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C4DD5BAE-C06D-4558-A743-436EB837EA8E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</calcChain>
</file>

<file path=xl/sharedStrings.xml><?xml version="1.0" encoding="utf-8"?>
<sst xmlns="http://schemas.openxmlformats.org/spreadsheetml/2006/main" count="14050" uniqueCount="97">
  <si>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</si>
  <si>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</si>
  <si>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</si>
  <si>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</si>
  <si>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</si>
  <si>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</si>
  <si>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</si>
  <si>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</si>
  <si>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</si>
  <si>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</si>
  <si>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</si>
  <si>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</si>
  <si>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</si>
  <si>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</si>
  <si>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</si>
  <si>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</si>
  <si>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</si>
  <si>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</si>
  <si>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</si>
  <si>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</si>
  <si>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</si>
  <si>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</si>
  <si>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</si>
  <si>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</si>
  <si>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</si>
  <si>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</si>
  <si>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</si>
  <si>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</si>
  <si>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</si>
  <si>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</si>
  <si>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</si>
  <si>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</si>
  <si>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</si>
  <si>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</si>
  <si>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</si>
  <si>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</si>
  <si>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</si>
  <si>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</si>
  <si>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</si>
  <si>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</si>
  <si>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</si>
  <si>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Kooper</t>
  </si>
  <si>
    <t>mcp_road_part_02</t>
  </si>
  <si>
    <t>Floor 01</t>
  </si>
  <si>
    <t>Pilar Small (25)</t>
  </si>
  <si>
    <t>Wall Small 03 (21)</t>
  </si>
  <si>
    <t>Pilar Small (24)</t>
  </si>
  <si>
    <t>Plane_01</t>
  </si>
  <si>
    <t>Building 07 (16)</t>
  </si>
  <si>
    <t>FAR</t>
  </si>
  <si>
    <t>Box001</t>
  </si>
  <si>
    <t>Building 18 (9)</t>
  </si>
  <si>
    <t>mcp_roads_turn_01 (1)</t>
  </si>
  <si>
    <t>Plane_01 (1)</t>
  </si>
  <si>
    <t>Building 07 (17)</t>
  </si>
  <si>
    <t>mcp_roads_T_cross_01</t>
  </si>
  <si>
    <t>mcp_road_part_01</t>
  </si>
  <si>
    <t>Building 18 (4)</t>
  </si>
  <si>
    <t>Building 19</t>
  </si>
  <si>
    <t>Tree 04 (2)</t>
  </si>
  <si>
    <t>Building 01</t>
  </si>
  <si>
    <t>Floor 02</t>
  </si>
  <si>
    <t>Tree 04</t>
  </si>
  <si>
    <t>Building 07 (4)</t>
  </si>
  <si>
    <t>Building 02 (8)</t>
  </si>
  <si>
    <t>Building 01 (9)</t>
  </si>
  <si>
    <t>mcp_roads_cross_01</t>
  </si>
  <si>
    <t>Building 15 (33)</t>
  </si>
  <si>
    <t>Building 15 (31)</t>
  </si>
  <si>
    <t>mcp_road_part_02 (17)</t>
  </si>
  <si>
    <t>Building 07 (15)</t>
  </si>
  <si>
    <t>Building 15 (30)</t>
  </si>
  <si>
    <t>mcp_building_24_fountain_marble</t>
  </si>
  <si>
    <t>Stand 03 (2)</t>
  </si>
  <si>
    <t>Tree 02 (2)</t>
  </si>
  <si>
    <t>Shurbs (3)</t>
  </si>
  <si>
    <t>Building 24</t>
  </si>
  <si>
    <t>Building 24 (1)</t>
  </si>
  <si>
    <t>mcp_roads_cross_02</t>
  </si>
  <si>
    <t>Stand 03 (4)</t>
  </si>
  <si>
    <t>Building 21 (2)</t>
  </si>
  <si>
    <t>mcp_roads_turn_01</t>
  </si>
  <si>
    <t>Building 09 (4)</t>
  </si>
  <si>
    <t>Building 15 (32)</t>
  </si>
  <si>
    <t>Building 13 (1)</t>
  </si>
  <si>
    <t>mcp_road_part_02 (1)</t>
  </si>
  <si>
    <t>mcp_road_part_02 (3)</t>
  </si>
  <si>
    <t>mcp_road_part_02 (2)</t>
  </si>
  <si>
    <t>Shurbs (2)</t>
  </si>
  <si>
    <t>Building 30 (4)</t>
  </si>
  <si>
    <t>Building 07 (14)</t>
  </si>
  <si>
    <t>mcp_road_part_02 (6)</t>
  </si>
  <si>
    <t>mcp_road_part_02 (9)</t>
  </si>
  <si>
    <t>mcp_road_part_02 (12)</t>
  </si>
  <si>
    <t>mcp_road_part_02 (11)</t>
  </si>
  <si>
    <t>mcp_road_part_02 (10)</t>
  </si>
  <si>
    <t>mcp_road_part_02 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</si>
</sst>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006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"20190305135156987"</f>
        <v>20190305135156987</v>
      </c>
      <c r="B2" t="str">
        <f>"1551765116979942"</f>
        <v>1551765116979942</v>
      </c>
      <c r="C2" t="s">
        <v>40</v>
      </c>
      <c r="D2">
        <v>4.8831449999999998</v>
      </c>
      <c r="E2">
        <v>0.59307180000000004</v>
      </c>
      <c r="F2" t="s">
        <v>41</v>
      </c>
      <c r="G2">
        <v>-475.91969999999998</v>
      </c>
      <c r="H2">
        <v>0.95801230000000004</v>
      </c>
      <c r="I2">
        <v>367.09649999999999</v>
      </c>
      <c r="J2">
        <v>-476.59780000000001</v>
      </c>
      <c r="K2">
        <v>1.1088439999999999</v>
      </c>
      <c r="L2">
        <v>367.2242</v>
      </c>
      <c r="M2">
        <v>0.999969</v>
      </c>
      <c r="N2">
        <v>-7.8705809999999998E-3</v>
      </c>
      <c r="O2">
        <v>1.766002E-4</v>
      </c>
      <c r="P2">
        <v>0.9978477</v>
      </c>
      <c r="Q2">
        <v>-4.1251889999999996E-3</v>
      </c>
      <c r="R2">
        <v>6.5444989999999995E-2</v>
      </c>
      <c r="S2">
        <v>3.0397949999999998</v>
      </c>
      <c r="T2">
        <v>-0.66600919999999997</v>
      </c>
      <c r="U2">
        <v>-0.56140140000000005</v>
      </c>
      <c r="V2">
        <v>-6.5268670000000001E-2</v>
      </c>
      <c r="W2">
        <v>3.7277299999999998E-3</v>
      </c>
      <c r="X2">
        <v>0.99786079999999999</v>
      </c>
      <c r="Y2">
        <v>0.17755460000000001</v>
      </c>
      <c r="Z2">
        <v>-1.9816529999999999E-2</v>
      </c>
      <c r="AA2">
        <v>0.98391139999999999</v>
      </c>
      <c r="AB2">
        <v>1</v>
      </c>
      <c r="AC2">
        <v>0.67810000000002801</v>
      </c>
      <c r="AD2">
        <v>-0.15083170000000001</v>
      </c>
      <c r="AE2">
        <v>-0.127700000000004</v>
      </c>
      <c r="AF2">
        <v>0.121990813308974</v>
      </c>
      <c r="AG2">
        <v>-0.15083170000000001</v>
      </c>
      <c r="AH2">
        <v>0.64715519486818196</v>
      </c>
      <c r="AI2">
        <v>102.900248523841</v>
      </c>
      <c r="AJ2">
        <v>79.324828835143904</v>
      </c>
      <c r="AK2">
        <v>0.67560477092864701</v>
      </c>
      <c r="AL2">
        <v>89.786416316803198</v>
      </c>
      <c r="AM2">
        <v>93.742305462295107</v>
      </c>
      <c r="AN2">
        <v>1.00000003571558</v>
      </c>
    </row>
    <row r="3" spans="1:40" x14ac:dyDescent="0.25">
      <c r="A3" t="str">
        <f>"20190305135157010"</f>
        <v>20190305135157010</v>
      </c>
      <c r="B3" t="str">
        <f>"1551765116999462"</f>
        <v>1551765116999462</v>
      </c>
      <c r="C3" t="s">
        <v>40</v>
      </c>
      <c r="D3">
        <v>4.8722859999999999</v>
      </c>
      <c r="E3">
        <v>0.59305609999999997</v>
      </c>
      <c r="F3" t="s">
        <v>41</v>
      </c>
      <c r="G3">
        <v>-475.89940000000001</v>
      </c>
      <c r="H3">
        <v>0.95607850000000005</v>
      </c>
      <c r="I3">
        <v>367.09390000000002</v>
      </c>
      <c r="J3">
        <v>-476.58420000000001</v>
      </c>
      <c r="K3">
        <v>1.108689</v>
      </c>
      <c r="L3">
        <v>367.2242</v>
      </c>
      <c r="M3">
        <v>0.99997709999999995</v>
      </c>
      <c r="N3">
        <v>-6.7599449999999998E-3</v>
      </c>
      <c r="O3">
        <v>2.2939170000000001E-4</v>
      </c>
      <c r="P3">
        <v>0.99786699999999995</v>
      </c>
      <c r="Q3">
        <v>-3.3979650000000002E-3</v>
      </c>
      <c r="R3">
        <v>6.5189899999999995E-2</v>
      </c>
      <c r="S3">
        <v>3.0408330000000001</v>
      </c>
      <c r="T3">
        <v>-0.66521699999999995</v>
      </c>
      <c r="U3">
        <v>-0.56542969999999904</v>
      </c>
      <c r="V3">
        <v>-6.4961370000000004E-2</v>
      </c>
      <c r="W3">
        <v>3.3467390000000001E-3</v>
      </c>
      <c r="X3">
        <v>0.99788220000000005</v>
      </c>
      <c r="Y3">
        <v>0.1788111</v>
      </c>
      <c r="Z3">
        <v>-1.9835470000000001E-2</v>
      </c>
      <c r="AA3">
        <v>0.98368350000000004</v>
      </c>
      <c r="AB3">
        <v>1</v>
      </c>
      <c r="AC3">
        <v>0.68479999999999497</v>
      </c>
      <c r="AD3">
        <v>-0.15261050000000001</v>
      </c>
      <c r="AE3">
        <v>-0.13029999999997699</v>
      </c>
      <c r="AF3">
        <v>0.124490420211677</v>
      </c>
      <c r="AG3">
        <v>-0.15261050000000001</v>
      </c>
      <c r="AH3">
        <v>0.65345101607187805</v>
      </c>
      <c r="AI3">
        <v>102.92115311822</v>
      </c>
      <c r="AJ3">
        <v>79.213708686185797</v>
      </c>
      <c r="AK3">
        <v>0.68248520851378203</v>
      </c>
      <c r="AL3">
        <v>89.8082456284681</v>
      </c>
      <c r="AM3">
        <v>93.724655885732005</v>
      </c>
      <c r="AN3">
        <v>1.0000000326655201</v>
      </c>
    </row>
    <row r="4" spans="1:40" x14ac:dyDescent="0.25">
      <c r="A4" t="str">
        <f>"20190305135157030"</f>
        <v>20190305135157030</v>
      </c>
      <c r="B4" t="str">
        <f>"1551765117019962"</f>
        <v>1551765117019962</v>
      </c>
      <c r="C4" t="s">
        <v>40</v>
      </c>
      <c r="D4">
        <v>4.8704839999999896</v>
      </c>
      <c r="E4">
        <v>0.59319069999999996</v>
      </c>
      <c r="F4" t="s">
        <v>41</v>
      </c>
      <c r="G4">
        <v>-475.88560000000001</v>
      </c>
      <c r="H4">
        <v>0.95591749999999998</v>
      </c>
      <c r="I4">
        <v>367.09339999999997</v>
      </c>
      <c r="J4">
        <v>-476.56900000000002</v>
      </c>
      <c r="K4">
        <v>1.1085590000000001</v>
      </c>
      <c r="L4">
        <v>367.2242</v>
      </c>
      <c r="M4">
        <v>0.99998359999999997</v>
      </c>
      <c r="N4">
        <v>-5.7402859999999998E-3</v>
      </c>
      <c r="O4">
        <v>2.8653009999999999E-4</v>
      </c>
      <c r="P4">
        <v>0.99785159999999995</v>
      </c>
      <c r="Q4">
        <v>-2.3373119999999998E-3</v>
      </c>
      <c r="R4">
        <v>6.5475549999999993E-2</v>
      </c>
      <c r="S4">
        <v>3.0411380000000001</v>
      </c>
      <c r="T4">
        <v>-0.66529850000000001</v>
      </c>
      <c r="U4">
        <v>-0.56622309999999998</v>
      </c>
      <c r="V4">
        <v>-6.5189759999999999E-2</v>
      </c>
      <c r="W4">
        <v>3.3887000000000001E-3</v>
      </c>
      <c r="X4">
        <v>0.99786710000000001</v>
      </c>
      <c r="Y4">
        <v>0.179109299999999</v>
      </c>
      <c r="Z4">
        <v>-1.978746E-2</v>
      </c>
      <c r="AA4">
        <v>0.98363020000000001</v>
      </c>
      <c r="AB4">
        <v>1</v>
      </c>
      <c r="AC4">
        <v>0.683400000000006</v>
      </c>
      <c r="AD4">
        <v>-0.15264150000000001</v>
      </c>
      <c r="AE4">
        <v>-0.13080000000002101</v>
      </c>
      <c r="AF4">
        <v>0.124981100182288</v>
      </c>
      <c r="AG4">
        <v>-0.15264150000000001</v>
      </c>
      <c r="AH4">
        <v>0.65198569778794302</v>
      </c>
      <c r="AI4">
        <v>102.94903272285499</v>
      </c>
      <c r="AJ4">
        <v>79.148439558432301</v>
      </c>
      <c r="AK4">
        <v>0.68117916368974096</v>
      </c>
      <c r="AL4">
        <v>89.805841414285098</v>
      </c>
      <c r="AM4">
        <v>93.737770306970106</v>
      </c>
      <c r="AN4">
        <v>0.99999996867947805</v>
      </c>
    </row>
    <row r="5" spans="1:40" x14ac:dyDescent="0.25">
      <c r="A5" t="str">
        <f>"20190305135157055"</f>
        <v>20190305135157055</v>
      </c>
      <c r="B5" t="str">
        <f>"1551765117050214"</f>
        <v>1551765117050214</v>
      </c>
      <c r="C5" t="s">
        <v>40</v>
      </c>
      <c r="D5">
        <v>4.9064509999999997</v>
      </c>
      <c r="E5">
        <v>0.59322640000000004</v>
      </c>
      <c r="F5" t="s">
        <v>41</v>
      </c>
      <c r="G5">
        <v>-475.86939999999998</v>
      </c>
      <c r="H5">
        <v>0.9557599</v>
      </c>
      <c r="I5">
        <v>367.09370000000001</v>
      </c>
      <c r="J5">
        <v>-476.54840000000002</v>
      </c>
      <c r="K5">
        <v>1.10843799999999</v>
      </c>
      <c r="L5">
        <v>367.22430000000003</v>
      </c>
      <c r="M5">
        <v>0.99998920000000002</v>
      </c>
      <c r="N5">
        <v>-4.6158240000000001E-3</v>
      </c>
      <c r="O5">
        <v>3.6275259999999997E-4</v>
      </c>
      <c r="P5">
        <v>0.99783060000000001</v>
      </c>
      <c r="Q5">
        <v>-1.3462189999999901E-3</v>
      </c>
      <c r="R5">
        <v>6.5822930000000002E-2</v>
      </c>
      <c r="S5">
        <v>3.0421140000000002</v>
      </c>
      <c r="T5">
        <v>-0.66440500000000002</v>
      </c>
      <c r="U5">
        <v>-0.56686400000000003</v>
      </c>
      <c r="V5">
        <v>-6.5461469999999994E-2</v>
      </c>
      <c r="W5">
        <v>3.2575709999999999E-3</v>
      </c>
      <c r="X5">
        <v>0.99784980000000001</v>
      </c>
      <c r="Y5">
        <v>0.17935619999999999</v>
      </c>
      <c r="Z5">
        <v>-1.9696410000000001E-2</v>
      </c>
      <c r="AA5">
        <v>0.98358699999999999</v>
      </c>
      <c r="AB5">
        <v>2</v>
      </c>
      <c r="AC5">
        <v>0.67900000000003002</v>
      </c>
      <c r="AD5">
        <v>-0.15267809999999901</v>
      </c>
      <c r="AE5">
        <v>-0.13060000000001501</v>
      </c>
      <c r="AF5">
        <v>0.124763220322389</v>
      </c>
      <c r="AG5">
        <v>-0.15267809999999901</v>
      </c>
      <c r="AH5">
        <v>0.64738787614016002</v>
      </c>
      <c r="AI5">
        <v>103.03849359292001</v>
      </c>
      <c r="AJ5">
        <v>79.091810696942005</v>
      </c>
      <c r="AK5">
        <v>0.67674775621208405</v>
      </c>
      <c r="AL5">
        <v>89.8133546037852</v>
      </c>
      <c r="AM5">
        <v>93.753369728491805</v>
      </c>
      <c r="AN5">
        <v>1.00000001959171</v>
      </c>
    </row>
    <row r="6" spans="1:40" x14ac:dyDescent="0.25">
      <c r="A6" t="str">
        <f>"20190305135157077"</f>
        <v>20190305135157077</v>
      </c>
      <c r="B6" t="str">
        <f>"1551765117069734"</f>
        <v>1551765117069734</v>
      </c>
      <c r="C6" t="s">
        <v>40</v>
      </c>
      <c r="D6">
        <v>4.9455730000000004</v>
      </c>
      <c r="E6">
        <v>0.59306789999999998</v>
      </c>
      <c r="F6" t="s">
        <v>41</v>
      </c>
      <c r="G6">
        <v>-475.85070000000002</v>
      </c>
      <c r="H6">
        <v>0.95627870000000004</v>
      </c>
      <c r="I6">
        <v>367.0942</v>
      </c>
      <c r="J6">
        <v>-476.52589999999998</v>
      </c>
      <c r="K6">
        <v>1.1083449999999999</v>
      </c>
      <c r="L6">
        <v>367.2244</v>
      </c>
      <c r="M6">
        <v>0.99999329999999997</v>
      </c>
      <c r="N6">
        <v>-3.6514719999999998E-3</v>
      </c>
      <c r="O6">
        <v>4.4430689999999998E-4</v>
      </c>
      <c r="P6">
        <v>0.99783310000000003</v>
      </c>
      <c r="Q6" s="1">
        <v>-2.9812570000000001E-5</v>
      </c>
      <c r="R6">
        <v>6.5797659999999994E-2</v>
      </c>
      <c r="S6">
        <v>3.0429689999999998</v>
      </c>
      <c r="T6">
        <v>-0.66359169999999901</v>
      </c>
      <c r="U6">
        <v>-0.56594849999999997</v>
      </c>
      <c r="V6">
        <v>-6.5354819999999994E-2</v>
      </c>
      <c r="W6">
        <v>3.6113819999999998E-3</v>
      </c>
      <c r="X6">
        <v>0.99785550000000001</v>
      </c>
      <c r="Y6">
        <v>0.17913470000000001</v>
      </c>
      <c r="Z6">
        <v>-1.9573799999999999E-2</v>
      </c>
      <c r="AA6">
        <v>0.9836298</v>
      </c>
      <c r="AB6">
        <v>2</v>
      </c>
      <c r="AC6">
        <v>0.67519999999996105</v>
      </c>
      <c r="AD6">
        <v>-0.15206629999999999</v>
      </c>
      <c r="AE6">
        <v>-0.13020000000000201</v>
      </c>
      <c r="AF6">
        <v>0.12441555475570699</v>
      </c>
      <c r="AG6">
        <v>-0.15206629999999999</v>
      </c>
      <c r="AH6">
        <v>0.64366426441538205</v>
      </c>
      <c r="AI6">
        <v>103.059239950921</v>
      </c>
      <c r="AJ6">
        <v>79.060063030062096</v>
      </c>
      <c r="AK6">
        <v>0.67298371090707398</v>
      </c>
      <c r="AL6">
        <v>89.793082592393802</v>
      </c>
      <c r="AM6">
        <v>93.747250821226302</v>
      </c>
      <c r="AN6">
        <v>0.99999994672871395</v>
      </c>
    </row>
    <row r="7" spans="1:40" x14ac:dyDescent="0.25">
      <c r="A7" t="str">
        <f>"20190305135157099"</f>
        <v>20190305135157099</v>
      </c>
      <c r="B7" t="str">
        <f>"1551765117090230"</f>
        <v>1551765117090230</v>
      </c>
      <c r="C7" t="s">
        <v>40</v>
      </c>
      <c r="D7">
        <v>4.9541550000000001</v>
      </c>
      <c r="E7">
        <v>0.59327669999999999</v>
      </c>
      <c r="F7" t="s">
        <v>41</v>
      </c>
      <c r="G7">
        <v>-475.82979999999998</v>
      </c>
      <c r="H7">
        <v>0.9566308</v>
      </c>
      <c r="I7">
        <v>367.0949</v>
      </c>
      <c r="J7">
        <v>-476.50130000000001</v>
      </c>
      <c r="K7">
        <v>1.108287</v>
      </c>
      <c r="L7">
        <v>367.22449999999998</v>
      </c>
      <c r="M7">
        <v>0.99999579999999999</v>
      </c>
      <c r="N7">
        <v>-2.8405430000000001E-3</v>
      </c>
      <c r="O7">
        <v>5.3108349999999996E-4</v>
      </c>
      <c r="P7">
        <v>0.99784030000000001</v>
      </c>
      <c r="Q7">
        <v>3.7646110000000001E-4</v>
      </c>
      <c r="R7">
        <v>6.5687309999999999E-2</v>
      </c>
      <c r="S7">
        <v>3.0437620000000001</v>
      </c>
      <c r="T7">
        <v>-0.66362399999999999</v>
      </c>
      <c r="U7">
        <v>-0.56454469999999901</v>
      </c>
      <c r="V7">
        <v>-6.5157930000000003E-2</v>
      </c>
      <c r="W7">
        <v>3.2084570000000001E-3</v>
      </c>
      <c r="X7">
        <v>0.99786980000000003</v>
      </c>
      <c r="Y7">
        <v>0.1787591</v>
      </c>
      <c r="Z7">
        <v>-1.947455E-2</v>
      </c>
      <c r="AA7">
        <v>0.98370009999999997</v>
      </c>
      <c r="AB7">
        <v>2</v>
      </c>
      <c r="AC7">
        <v>0.67150000000003696</v>
      </c>
      <c r="AD7">
        <v>-0.15165619999999899</v>
      </c>
      <c r="AE7">
        <v>-0.12959999999998201</v>
      </c>
      <c r="AF7">
        <v>0.123865508265534</v>
      </c>
      <c r="AG7">
        <v>-0.15165619999999899</v>
      </c>
      <c r="AH7">
        <v>0.63996093999431702</v>
      </c>
      <c r="AI7">
        <v>103.097395519019</v>
      </c>
      <c r="AJ7">
        <v>79.045756087024898</v>
      </c>
      <c r="AK7">
        <v>0.66924754153805399</v>
      </c>
      <c r="AL7">
        <v>89.816168638628199</v>
      </c>
      <c r="AM7">
        <v>93.7359403673711</v>
      </c>
      <c r="AN7">
        <v>0.99999999389512195</v>
      </c>
    </row>
    <row r="8" spans="1:40" x14ac:dyDescent="0.25">
      <c r="A8" t="str">
        <f>"20190305135157120"</f>
        <v>20190305135157120</v>
      </c>
      <c r="B8" t="str">
        <f>"1551765117109754"</f>
        <v>1551765117109754</v>
      </c>
      <c r="C8" t="s">
        <v>40</v>
      </c>
      <c r="D8">
        <v>4.8846259999999999</v>
      </c>
      <c r="E8">
        <v>0.59337169999999995</v>
      </c>
      <c r="F8" t="s">
        <v>41</v>
      </c>
      <c r="G8">
        <v>-475.80669999999998</v>
      </c>
      <c r="H8">
        <v>0.95712770000000003</v>
      </c>
      <c r="I8">
        <v>367.0949</v>
      </c>
      <c r="J8">
        <v>-476.47579999999999</v>
      </c>
      <c r="K8">
        <v>1.10825</v>
      </c>
      <c r="L8">
        <v>367.22460000000001</v>
      </c>
      <c r="M8">
        <v>0.99999740000000004</v>
      </c>
      <c r="N8">
        <v>-2.1748219999999999E-3</v>
      </c>
      <c r="O8">
        <v>6.19525E-4</v>
      </c>
      <c r="P8">
        <v>0.99783690000000003</v>
      </c>
      <c r="Q8">
        <v>4.037078E-4</v>
      </c>
      <c r="R8">
        <v>6.5737569999999995E-2</v>
      </c>
      <c r="S8">
        <v>3.0440670000000001</v>
      </c>
      <c r="T8">
        <v>-0.66255769999999903</v>
      </c>
      <c r="U8">
        <v>-0.56631469999999995</v>
      </c>
      <c r="V8">
        <v>-6.5119510000000005E-2</v>
      </c>
      <c r="W8">
        <v>2.5709280000000001E-3</v>
      </c>
      <c r="X8">
        <v>0.99787409999999999</v>
      </c>
      <c r="Y8">
        <v>0.1793921</v>
      </c>
      <c r="Z8">
        <v>-1.946811E-2</v>
      </c>
      <c r="AA8">
        <v>0.98358500000000004</v>
      </c>
      <c r="AB8">
        <v>2</v>
      </c>
      <c r="AC8">
        <v>0.66910000000001402</v>
      </c>
      <c r="AD8">
        <v>-0.15112229999999899</v>
      </c>
      <c r="AE8">
        <v>-0.129700000000013</v>
      </c>
      <c r="AF8">
        <v>0.124017200962604</v>
      </c>
      <c r="AG8">
        <v>-0.15112229999999899</v>
      </c>
      <c r="AH8">
        <v>0.63766857617609296</v>
      </c>
      <c r="AI8">
        <v>103.09596929903</v>
      </c>
      <c r="AJ8">
        <v>78.994200423843196</v>
      </c>
      <c r="AK8">
        <v>0.66696283909550302</v>
      </c>
      <c r="AL8">
        <v>89.852696505036405</v>
      </c>
      <c r="AM8">
        <v>93.7337276808111</v>
      </c>
      <c r="AN8">
        <v>0.999999939852113</v>
      </c>
    </row>
    <row r="9" spans="1:40" x14ac:dyDescent="0.25">
      <c r="A9" t="str">
        <f>"20190305135157142"</f>
        <v>20190305135157142</v>
      </c>
      <c r="B9" t="str">
        <f>"1551765117129270"</f>
        <v>1551765117129270</v>
      </c>
      <c r="C9" t="s">
        <v>40</v>
      </c>
      <c r="D9">
        <v>4.9332310000000001</v>
      </c>
      <c r="E9">
        <v>0.59354410000000002</v>
      </c>
      <c r="F9" t="s">
        <v>41</v>
      </c>
      <c r="G9">
        <v>-475.78160000000003</v>
      </c>
      <c r="H9">
        <v>0.95711659999999998</v>
      </c>
      <c r="I9">
        <v>367.09500000000003</v>
      </c>
      <c r="J9">
        <v>-476.44690000000003</v>
      </c>
      <c r="K9">
        <v>1.1082190000000001</v>
      </c>
      <c r="L9">
        <v>367.22480000000002</v>
      </c>
      <c r="M9">
        <v>0.99999859999999896</v>
      </c>
      <c r="N9">
        <v>-1.56028E-3</v>
      </c>
      <c r="O9">
        <v>7.1754030000000001E-4</v>
      </c>
      <c r="P9">
        <v>0.99781759999999997</v>
      </c>
      <c r="Q9">
        <v>5.8585590000000002E-4</v>
      </c>
      <c r="R9">
        <v>6.6028400000000001E-2</v>
      </c>
      <c r="S9">
        <v>3.0441590000000001</v>
      </c>
      <c r="T9">
        <v>-0.66284219999999905</v>
      </c>
      <c r="U9">
        <v>-0.56732179999999999</v>
      </c>
      <c r="V9">
        <v>-6.5312750000000003E-2</v>
      </c>
      <c r="W9">
        <v>2.140346E-3</v>
      </c>
      <c r="X9">
        <v>0.99786249999999999</v>
      </c>
      <c r="Y9">
        <v>0.17979519999999999</v>
      </c>
      <c r="Z9">
        <v>-1.948335E-2</v>
      </c>
      <c r="AA9">
        <v>0.98351109999999997</v>
      </c>
      <c r="AB9">
        <v>3</v>
      </c>
      <c r="AC9">
        <v>0.665300000000002</v>
      </c>
      <c r="AD9">
        <v>-0.1511024</v>
      </c>
      <c r="AE9">
        <v>-0.12979999999998801</v>
      </c>
      <c r="AF9">
        <v>0.124110108713213</v>
      </c>
      <c r="AG9">
        <v>-0.1511024</v>
      </c>
      <c r="AH9">
        <v>0.63371627488377102</v>
      </c>
      <c r="AI9">
        <v>103.169880932404</v>
      </c>
      <c r="AJ9">
        <v>78.919161816329904</v>
      </c>
      <c r="AK9">
        <v>0.66319798810244301</v>
      </c>
      <c r="AL9">
        <v>89.877367108063595</v>
      </c>
      <c r="AM9">
        <v>93.744819323398502</v>
      </c>
      <c r="AN9">
        <v>0.99999995264990404</v>
      </c>
    </row>
    <row r="10" spans="1:40" x14ac:dyDescent="0.25">
      <c r="A10" t="str">
        <f>"20190305135157167"</f>
        <v>20190305135157167</v>
      </c>
      <c r="B10" t="str">
        <f>"1551765117159527"</f>
        <v>1551765117159527</v>
      </c>
      <c r="C10" t="s">
        <v>40</v>
      </c>
      <c r="D10">
        <v>4.8909520000000004</v>
      </c>
      <c r="E10">
        <v>0.59358100000000003</v>
      </c>
      <c r="F10" t="s">
        <v>41</v>
      </c>
      <c r="G10">
        <v>-475.75409999999999</v>
      </c>
      <c r="H10">
        <v>0.95770869999999997</v>
      </c>
      <c r="I10">
        <v>367.09500000000003</v>
      </c>
      <c r="J10">
        <v>-476.41120000000001</v>
      </c>
      <c r="K10">
        <v>1.108188</v>
      </c>
      <c r="L10">
        <v>367.22489999999999</v>
      </c>
      <c r="M10">
        <v>0.99999910000000003</v>
      </c>
      <c r="N10">
        <v>-9.4049659999999996E-4</v>
      </c>
      <c r="O10">
        <v>8.3599179999999996E-4</v>
      </c>
      <c r="P10">
        <v>0.99778040000000001</v>
      </c>
      <c r="Q10">
        <v>5.2769850000000001E-4</v>
      </c>
      <c r="R10">
        <v>6.6587540000000001E-2</v>
      </c>
      <c r="S10">
        <v>3.0445859999999998</v>
      </c>
      <c r="T10">
        <v>-0.66158739999999905</v>
      </c>
      <c r="U10">
        <v>-0.56787109999999996</v>
      </c>
      <c r="V10">
        <v>-6.5753420000000007E-2</v>
      </c>
      <c r="W10">
        <v>1.463238E-3</v>
      </c>
      <c r="X10">
        <v>0.99783480000000002</v>
      </c>
      <c r="Y10">
        <v>0.18007790000000001</v>
      </c>
      <c r="Z10">
        <v>-1.944361E-2</v>
      </c>
      <c r="AA10">
        <v>0.98346020000000001</v>
      </c>
      <c r="AB10">
        <v>3</v>
      </c>
      <c r="AC10">
        <v>0.65710000000001401</v>
      </c>
      <c r="AD10">
        <v>-0.15047929999999901</v>
      </c>
      <c r="AE10">
        <v>-0.12989999999996299</v>
      </c>
      <c r="AF10">
        <v>0.124181714646491</v>
      </c>
      <c r="AG10">
        <v>-0.15047929999999901</v>
      </c>
      <c r="AH10">
        <v>0.62542535623260598</v>
      </c>
      <c r="AI10">
        <v>103.278625000913</v>
      </c>
      <c r="AJ10">
        <v>78.769663921318596</v>
      </c>
      <c r="AK10">
        <v>0.65515035999357796</v>
      </c>
      <c r="AL10">
        <v>89.916162605803393</v>
      </c>
      <c r="AM10">
        <v>93.770117631026196</v>
      </c>
      <c r="AN10">
        <v>0.99999997069908997</v>
      </c>
    </row>
    <row r="11" spans="1:40" x14ac:dyDescent="0.25">
      <c r="A11" t="str">
        <f>"20190305135157188"</f>
        <v>20190305135157188</v>
      </c>
      <c r="B11" t="str">
        <f>"1551765117179753"</f>
        <v>1551765117179753</v>
      </c>
      <c r="C11" t="s">
        <v>40</v>
      </c>
      <c r="D11">
        <v>4.8619240000000001</v>
      </c>
      <c r="E11">
        <v>0.5507261</v>
      </c>
      <c r="F11" t="s">
        <v>41</v>
      </c>
      <c r="G11">
        <v>-475.69479999999999</v>
      </c>
      <c r="H11">
        <v>0.95302439999999999</v>
      </c>
      <c r="I11">
        <v>367.09089999999998</v>
      </c>
      <c r="J11">
        <v>-476.37580000000003</v>
      </c>
      <c r="K11">
        <v>1.1081559999999999</v>
      </c>
      <c r="L11">
        <v>367.2251</v>
      </c>
      <c r="M11">
        <v>0.99999939999999998</v>
      </c>
      <c r="N11">
        <v>-4.477242E-4</v>
      </c>
      <c r="O11">
        <v>9.504146E-4</v>
      </c>
      <c r="P11">
        <v>0.99776050000000005</v>
      </c>
      <c r="Q11">
        <v>6.1169449999999895E-4</v>
      </c>
      <c r="R11">
        <v>6.6887000000000002E-2</v>
      </c>
      <c r="S11">
        <v>3.0448909999999998</v>
      </c>
      <c r="T11">
        <v>-0.65974999999999995</v>
      </c>
      <c r="U11">
        <v>-0.56680299999999995</v>
      </c>
      <c r="V11">
        <v>-6.5939029999999996E-2</v>
      </c>
      <c r="W11">
        <v>1.055542E-3</v>
      </c>
      <c r="X11">
        <v>0.99782309999999996</v>
      </c>
      <c r="Y11">
        <v>0.17987359999999999</v>
      </c>
      <c r="Z11">
        <v>-1.934744E-2</v>
      </c>
      <c r="AA11">
        <v>0.98349949999999997</v>
      </c>
      <c r="AB11">
        <v>3</v>
      </c>
      <c r="AC11">
        <v>0.68100000000004002</v>
      </c>
      <c r="AD11">
        <v>-0.15513159999999901</v>
      </c>
      <c r="AE11">
        <v>-0.134200000000021</v>
      </c>
      <c r="AF11">
        <v>0.12843164593526901</v>
      </c>
      <c r="AG11">
        <v>-0.15513159999999901</v>
      </c>
      <c r="AH11">
        <v>0.64847878747479704</v>
      </c>
      <c r="AI11">
        <v>103.20640665816499</v>
      </c>
      <c r="AJ11">
        <v>78.797501403126802</v>
      </c>
      <c r="AK11">
        <v>0.679032575655237</v>
      </c>
      <c r="AL11">
        <v>89.939521887335005</v>
      </c>
      <c r="AM11">
        <v>93.780773370648902</v>
      </c>
      <c r="AN11">
        <v>1.00000000436993</v>
      </c>
    </row>
    <row r="12" spans="1:40" x14ac:dyDescent="0.25">
      <c r="A12" t="str">
        <f>"20190305135157210"</f>
        <v>20190305135157210</v>
      </c>
      <c r="B12" t="str">
        <f>"1551765117199279"</f>
        <v>1551765117199279</v>
      </c>
      <c r="C12" t="s">
        <v>40</v>
      </c>
      <c r="D12">
        <v>4.8762100000000004</v>
      </c>
      <c r="E12">
        <v>0.54525389999999996</v>
      </c>
      <c r="F12" t="s">
        <v>41</v>
      </c>
      <c r="G12">
        <v>-475.65890000000002</v>
      </c>
      <c r="H12">
        <v>0.96049790000000002</v>
      </c>
      <c r="I12">
        <v>367.1721</v>
      </c>
      <c r="J12">
        <v>-476.3372</v>
      </c>
      <c r="K12">
        <v>1.108134</v>
      </c>
      <c r="L12">
        <v>367.2253</v>
      </c>
      <c r="M12">
        <v>0.99999950000000004</v>
      </c>
      <c r="N12" s="1">
        <v>-5.2110830000000001E-6</v>
      </c>
      <c r="O12">
        <v>1.072466E-3</v>
      </c>
      <c r="P12">
        <v>0.99770610000000004</v>
      </c>
      <c r="Q12">
        <v>8.8974829999999999E-4</v>
      </c>
      <c r="R12">
        <v>6.7689879999999994E-2</v>
      </c>
      <c r="S12">
        <v>3.022125</v>
      </c>
      <c r="T12">
        <v>-0.62240079999999998</v>
      </c>
      <c r="U12">
        <v>-0.2235413</v>
      </c>
      <c r="V12">
        <v>-6.6620360000000003E-2</v>
      </c>
      <c r="W12">
        <v>8.9198740000000004E-4</v>
      </c>
      <c r="X12">
        <v>0.99777800000000005</v>
      </c>
      <c r="Y12">
        <v>7.3284020000000005E-2</v>
      </c>
      <c r="Z12">
        <v>-7.6765869999999899E-3</v>
      </c>
      <c r="AA12">
        <v>0.99728159999999999</v>
      </c>
      <c r="AB12">
        <v>4</v>
      </c>
      <c r="AC12">
        <v>0.67829999999997803</v>
      </c>
      <c r="AD12">
        <v>-0.14763609999999999</v>
      </c>
      <c r="AE12">
        <v>-5.3200000000003897E-2</v>
      </c>
      <c r="AF12">
        <v>5.1502454806280899E-2</v>
      </c>
      <c r="AG12">
        <v>-0.14763609999999999</v>
      </c>
      <c r="AH12">
        <v>0.64774384820475495</v>
      </c>
      <c r="AI12">
        <v>102.80065921920399</v>
      </c>
      <c r="AJ12">
        <v>85.453946207818404</v>
      </c>
      <c r="AK12">
        <v>0.66634901797885704</v>
      </c>
      <c r="AL12">
        <v>89.948892879959203</v>
      </c>
      <c r="AM12">
        <v>93.819896152925907</v>
      </c>
      <c r="AN12">
        <v>1.0000000026460201</v>
      </c>
    </row>
    <row r="13" spans="1:40" x14ac:dyDescent="0.25">
      <c r="A13" t="str">
        <f>"20190305135157231"</f>
        <v>20190305135157231</v>
      </c>
      <c r="B13" t="str">
        <f>"1551765117219769"</f>
        <v>1551765117219769</v>
      </c>
      <c r="C13" t="s">
        <v>40</v>
      </c>
      <c r="D13">
        <v>4.871454</v>
      </c>
      <c r="E13">
        <v>0.54414180000000001</v>
      </c>
      <c r="F13" t="s">
        <v>41</v>
      </c>
      <c r="G13">
        <v>-475.6225</v>
      </c>
      <c r="H13">
        <v>0.9606867</v>
      </c>
      <c r="I13">
        <v>367.18299999999999</v>
      </c>
      <c r="J13">
        <v>-476.2989</v>
      </c>
      <c r="K13">
        <v>1.108112</v>
      </c>
      <c r="L13">
        <v>367.22539999999998</v>
      </c>
      <c r="M13">
        <v>0.99999919999999998</v>
      </c>
      <c r="N13">
        <v>3.5865780000000002E-4</v>
      </c>
      <c r="O13">
        <v>1.190682E-3</v>
      </c>
      <c r="P13">
        <v>0.997672</v>
      </c>
      <c r="Q13">
        <v>1.1700300000000001E-3</v>
      </c>
      <c r="R13">
        <v>6.8187419999999999E-2</v>
      </c>
      <c r="S13">
        <v>3.0194700000000001</v>
      </c>
      <c r="T13">
        <v>-0.62307800000000002</v>
      </c>
      <c r="U13">
        <v>-0.177612299999999</v>
      </c>
      <c r="V13">
        <v>-6.699956E-2</v>
      </c>
      <c r="W13">
        <v>8.0901759999999997E-4</v>
      </c>
      <c r="X13">
        <v>0.99775270000000005</v>
      </c>
      <c r="Y13">
        <v>5.8654930000000001E-2</v>
      </c>
      <c r="Z13">
        <v>-6.2164459999999996E-3</v>
      </c>
      <c r="AA13">
        <v>0.99825889999999995</v>
      </c>
      <c r="AB13">
        <v>4</v>
      </c>
      <c r="AC13">
        <v>0.676400000000001</v>
      </c>
      <c r="AD13">
        <v>-0.14742529999999901</v>
      </c>
      <c r="AE13">
        <v>-4.2399999999929598E-2</v>
      </c>
      <c r="AF13">
        <v>4.1253291288465999E-2</v>
      </c>
      <c r="AG13">
        <v>-0.14742529999999901</v>
      </c>
      <c r="AH13">
        <v>0.64579098439524296</v>
      </c>
      <c r="AI13">
        <v>102.834189951816</v>
      </c>
      <c r="AJ13">
        <v>86.344897502192296</v>
      </c>
      <c r="AK13">
        <v>0.66368821644534104</v>
      </c>
      <c r="AL13">
        <v>89.9536467019757</v>
      </c>
      <c r="AM13">
        <v>93.841671023613102</v>
      </c>
      <c r="AN13">
        <v>1.00000002295348</v>
      </c>
    </row>
    <row r="14" spans="1:40" x14ac:dyDescent="0.25">
      <c r="A14" t="str">
        <f>"20190305135157256"</f>
        <v>20190305135157256</v>
      </c>
      <c r="B14" t="str">
        <f>"1551765117250022"</f>
        <v>1551765117250022</v>
      </c>
      <c r="C14" t="s">
        <v>40</v>
      </c>
      <c r="D14">
        <v>4.8211009999999996</v>
      </c>
      <c r="E14">
        <v>0.54362140000000003</v>
      </c>
      <c r="F14" t="s">
        <v>41</v>
      </c>
      <c r="G14">
        <v>-475.58390000000003</v>
      </c>
      <c r="H14">
        <v>0.96110830000000003</v>
      </c>
      <c r="I14">
        <v>367.18560000000002</v>
      </c>
      <c r="J14">
        <v>-476.25</v>
      </c>
      <c r="K14">
        <v>1.108088</v>
      </c>
      <c r="L14">
        <v>367.22559999999999</v>
      </c>
      <c r="M14">
        <v>0.99999890000000002</v>
      </c>
      <c r="N14">
        <v>7.3939990000000005E-4</v>
      </c>
      <c r="O14">
        <v>1.3376729999999999E-3</v>
      </c>
      <c r="P14">
        <v>0.99762759999999995</v>
      </c>
      <c r="Q14">
        <v>1.202397E-3</v>
      </c>
      <c r="R14">
        <v>6.8830279999999994E-2</v>
      </c>
      <c r="S14">
        <v>3.0191650000000001</v>
      </c>
      <c r="T14">
        <v>-0.62073710000000004</v>
      </c>
      <c r="U14">
        <v>-0.16738889999999901</v>
      </c>
      <c r="V14">
        <v>-6.7495310000000003E-2</v>
      </c>
      <c r="W14">
        <v>4.6188039999999999E-4</v>
      </c>
      <c r="X14">
        <v>0.99771949999999998</v>
      </c>
      <c r="Y14">
        <v>5.5511240000000003E-2</v>
      </c>
      <c r="Z14">
        <v>-5.8954690000000004E-3</v>
      </c>
      <c r="AA14">
        <v>0.99844069999999996</v>
      </c>
      <c r="AB14">
        <v>4</v>
      </c>
      <c r="AC14">
        <v>0.66609999999997105</v>
      </c>
      <c r="AD14">
        <v>-0.14697969999999899</v>
      </c>
      <c r="AE14">
        <v>-3.9999999999963599E-2</v>
      </c>
      <c r="AF14">
        <v>3.89989686398148E-2</v>
      </c>
      <c r="AG14">
        <v>-0.14697969999999899</v>
      </c>
      <c r="AH14">
        <v>0.63522805593583498</v>
      </c>
      <c r="AI14">
        <v>103.00424148705</v>
      </c>
      <c r="AJ14">
        <v>86.486812510633499</v>
      </c>
      <c r="AK14">
        <v>0.653175806973191</v>
      </c>
      <c r="AL14">
        <v>89.973536201907905</v>
      </c>
      <c r="AM14">
        <v>93.870139033463602</v>
      </c>
      <c r="AN14">
        <v>1.0000000154428701</v>
      </c>
    </row>
    <row r="15" spans="1:40" x14ac:dyDescent="0.25">
      <c r="A15" t="str">
        <f>"20190305135157279"</f>
        <v>20190305135157279</v>
      </c>
      <c r="B15" t="str">
        <f>"1551765117269542"</f>
        <v>1551765117269542</v>
      </c>
      <c r="C15" t="s">
        <v>40</v>
      </c>
      <c r="D15">
        <v>5.7636159999999999</v>
      </c>
      <c r="E15">
        <v>0.54382949999999997</v>
      </c>
      <c r="F15" t="s">
        <v>41</v>
      </c>
      <c r="G15">
        <v>-475.5421</v>
      </c>
      <c r="H15">
        <v>0.96348849999999997</v>
      </c>
      <c r="I15">
        <v>367.18720000000002</v>
      </c>
      <c r="J15">
        <v>-476.20229999999998</v>
      </c>
      <c r="K15">
        <v>1.1080730000000001</v>
      </c>
      <c r="L15">
        <v>367.22590000000002</v>
      </c>
      <c r="M15">
        <v>0.99999850000000001</v>
      </c>
      <c r="N15">
        <v>1.0459410000000001E-3</v>
      </c>
      <c r="O15">
        <v>1.477719E-3</v>
      </c>
      <c r="P15">
        <v>0.99759109999999995</v>
      </c>
      <c r="Q15">
        <v>1.8172450000000001E-3</v>
      </c>
      <c r="R15">
        <v>6.9346030000000003E-2</v>
      </c>
      <c r="S15">
        <v>3.019012</v>
      </c>
      <c r="T15">
        <v>-0.61694369999999998</v>
      </c>
      <c r="U15">
        <v>-0.16137699999999999</v>
      </c>
      <c r="V15">
        <v>-6.7871600000000004E-2</v>
      </c>
      <c r="W15">
        <v>7.7087059999999998E-4</v>
      </c>
      <c r="X15">
        <v>0.99769379999999996</v>
      </c>
      <c r="Y15">
        <v>5.3720829999999997E-2</v>
      </c>
      <c r="Z15">
        <v>-5.7009169999999998E-3</v>
      </c>
      <c r="AA15">
        <v>0.99853970000000003</v>
      </c>
      <c r="AB15">
        <v>4</v>
      </c>
      <c r="AC15">
        <v>0.66019999999997403</v>
      </c>
      <c r="AD15">
        <v>-0.14458449999999901</v>
      </c>
      <c r="AE15">
        <v>-3.8700000000005702E-2</v>
      </c>
      <c r="AF15">
        <v>3.7865674032633002E-2</v>
      </c>
      <c r="AG15">
        <v>-0.14458449999999901</v>
      </c>
      <c r="AH15">
        <v>0.63002847762452097</v>
      </c>
      <c r="AI15">
        <v>102.902444290167</v>
      </c>
      <c r="AJ15">
        <v>86.560573427528794</v>
      </c>
      <c r="AK15">
        <v>0.64751399176239199</v>
      </c>
      <c r="AL15">
        <v>89.955832365172</v>
      </c>
      <c r="AM15">
        <v>93.891749090276093</v>
      </c>
      <c r="AN15">
        <v>1.00000003344324</v>
      </c>
    </row>
    <row r="16" spans="1:40" x14ac:dyDescent="0.25">
      <c r="A16" t="str">
        <f>"20190305135157300"</f>
        <v>20190305135157300</v>
      </c>
      <c r="B16" t="str">
        <f>"1551765117290037"</f>
        <v>1551765117290037</v>
      </c>
      <c r="C16" t="s">
        <v>40</v>
      </c>
      <c r="D16">
        <v>4.8431790000000001</v>
      </c>
      <c r="E16">
        <v>0.54413529999999999</v>
      </c>
      <c r="F16" t="s">
        <v>41</v>
      </c>
      <c r="G16">
        <v>-475.49849999999998</v>
      </c>
      <c r="H16">
        <v>0.96510180000000001</v>
      </c>
      <c r="I16">
        <v>367.18790000000001</v>
      </c>
      <c r="J16">
        <v>-476.15359999999998</v>
      </c>
      <c r="K16">
        <v>1.1080479999999999</v>
      </c>
      <c r="L16">
        <v>367.22609999999997</v>
      </c>
      <c r="M16">
        <v>0.99999800000000005</v>
      </c>
      <c r="N16">
        <v>1.3079039999999999E-3</v>
      </c>
      <c r="O16">
        <v>1.6176889999999901E-3</v>
      </c>
      <c r="P16">
        <v>0.99754120000000002</v>
      </c>
      <c r="Q16">
        <v>2.1655540000000001E-3</v>
      </c>
      <c r="R16">
        <v>7.0048529999999998E-2</v>
      </c>
      <c r="S16">
        <v>3.0195620000000001</v>
      </c>
      <c r="T16">
        <v>-0.6135564</v>
      </c>
      <c r="U16">
        <v>-0.1612854</v>
      </c>
      <c r="V16">
        <v>-6.8434389999999998E-2</v>
      </c>
      <c r="W16">
        <v>8.5765509999999995E-4</v>
      </c>
      <c r="X16">
        <v>0.99765530000000002</v>
      </c>
      <c r="Y16">
        <v>5.3829689999999999E-2</v>
      </c>
      <c r="Z16">
        <v>-5.7015479999999999E-3</v>
      </c>
      <c r="AA16">
        <v>0.99853380000000003</v>
      </c>
      <c r="AB16">
        <v>5</v>
      </c>
      <c r="AC16">
        <v>0.65510000000000401</v>
      </c>
      <c r="AD16">
        <v>-0.142946199999999</v>
      </c>
      <c r="AE16">
        <v>-3.8199999999960703E-2</v>
      </c>
      <c r="AF16">
        <v>3.74811384980967E-2</v>
      </c>
      <c r="AG16">
        <v>-0.142946199999999</v>
      </c>
      <c r="AH16">
        <v>0.62536255419026898</v>
      </c>
      <c r="AI16">
        <v>102.853243293707</v>
      </c>
      <c r="AJ16">
        <v>86.570077431678897</v>
      </c>
      <c r="AK16">
        <v>0.64258600671110999</v>
      </c>
      <c r="AL16">
        <v>89.950859978898293</v>
      </c>
      <c r="AM16">
        <v>93.924069955114902</v>
      </c>
      <c r="AN16">
        <v>1.0000000494625101</v>
      </c>
    </row>
    <row r="17" spans="1:40" x14ac:dyDescent="0.25">
      <c r="A17" t="str">
        <f>"20190305135157314"</f>
        <v>20190305135157314</v>
      </c>
      <c r="B17" t="str">
        <f>"1551765117309558"</f>
        <v>1551765117309558</v>
      </c>
      <c r="C17" t="s">
        <v>40</v>
      </c>
      <c r="D17">
        <v>4.9258790000000001</v>
      </c>
      <c r="E17">
        <v>0.54430649999999903</v>
      </c>
      <c r="F17" t="s">
        <v>41</v>
      </c>
      <c r="G17">
        <v>-475.4522</v>
      </c>
      <c r="H17">
        <v>0.96755639999999998</v>
      </c>
      <c r="I17">
        <v>367.18819999999999</v>
      </c>
      <c r="J17">
        <v>-476.1223</v>
      </c>
      <c r="K17">
        <v>1.1080319999999999</v>
      </c>
      <c r="L17">
        <v>367.22629999999998</v>
      </c>
      <c r="M17">
        <v>0.99999760000000004</v>
      </c>
      <c r="N17">
        <v>1.4528270000000001E-3</v>
      </c>
      <c r="O17">
        <v>1.7062170000000001E-3</v>
      </c>
      <c r="P17">
        <v>0.99753519999999896</v>
      </c>
      <c r="Q17">
        <v>2.3744809999999999E-3</v>
      </c>
      <c r="R17">
        <v>7.0129319999999995E-2</v>
      </c>
      <c r="S17">
        <v>3.0200809999999998</v>
      </c>
      <c r="T17">
        <v>-0.60525439999999997</v>
      </c>
      <c r="U17">
        <v>-0.16165160000000001</v>
      </c>
      <c r="V17">
        <v>-6.8427730000000006E-2</v>
      </c>
      <c r="W17">
        <v>9.220284E-4</v>
      </c>
      <c r="X17">
        <v>0.99765559999999998</v>
      </c>
      <c r="Y17">
        <v>5.4054579999999998E-2</v>
      </c>
      <c r="Z17">
        <v>-5.6606139999999996E-3</v>
      </c>
      <c r="AA17">
        <v>0.99852189999999996</v>
      </c>
      <c r="AB17">
        <v>5</v>
      </c>
      <c r="AC17">
        <v>0.67009999999999004</v>
      </c>
      <c r="AD17">
        <v>-0.14047559999999901</v>
      </c>
      <c r="AE17">
        <v>-3.8099999999985798E-2</v>
      </c>
      <c r="AF17">
        <v>3.7596382799856998E-2</v>
      </c>
      <c r="AG17">
        <v>-0.14047559999999901</v>
      </c>
      <c r="AH17">
        <v>0.64191510926366802</v>
      </c>
      <c r="AI17">
        <v>102.323442639436</v>
      </c>
      <c r="AJ17">
        <v>86.648067676946397</v>
      </c>
      <c r="AK17">
        <v>0.65818074242261104</v>
      </c>
      <c r="AL17">
        <v>89.947171653977506</v>
      </c>
      <c r="AM17">
        <v>93.923688083333801</v>
      </c>
      <c r="AN17">
        <v>0.99999995029033995</v>
      </c>
    </row>
    <row r="18" spans="1:40" x14ac:dyDescent="0.25">
      <c r="A18" t="str">
        <f>"20190305135157332"</f>
        <v>20190305135157332</v>
      </c>
      <c r="B18" t="str">
        <f>"1551765117319323"</f>
        <v>1551765117319323</v>
      </c>
      <c r="C18" t="s">
        <v>40</v>
      </c>
      <c r="D18">
        <v>4.9084940000000001</v>
      </c>
      <c r="E18">
        <v>0.54434289999999996</v>
      </c>
      <c r="F18" t="s">
        <v>41</v>
      </c>
      <c r="G18">
        <v>-475.40649999999999</v>
      </c>
      <c r="H18">
        <v>0.96444510000000006</v>
      </c>
      <c r="I18">
        <v>367.18720000000002</v>
      </c>
      <c r="J18">
        <v>-476.07940000000002</v>
      </c>
      <c r="K18">
        <v>1.108015</v>
      </c>
      <c r="L18">
        <v>367.22649999999999</v>
      </c>
      <c r="M18">
        <v>0.99999700000000002</v>
      </c>
      <c r="N18">
        <v>1.629838E-3</v>
      </c>
      <c r="O18">
        <v>1.8252850000000001E-3</v>
      </c>
      <c r="P18">
        <v>0.99750380000000005</v>
      </c>
      <c r="Q18">
        <v>2.808306E-3</v>
      </c>
      <c r="R18">
        <v>7.0557430000000004E-2</v>
      </c>
      <c r="S18">
        <v>3.0203250000000001</v>
      </c>
      <c r="T18">
        <v>-0.60605779999999998</v>
      </c>
      <c r="U18">
        <v>-0.16314699999999999</v>
      </c>
      <c r="V18">
        <v>-6.8736930000000002E-2</v>
      </c>
      <c r="W18">
        <v>1.1795200000000001E-3</v>
      </c>
      <c r="X18">
        <v>0.99763409999999997</v>
      </c>
      <c r="Y18">
        <v>5.464625E-2</v>
      </c>
      <c r="Z18">
        <v>-5.7450469999999997E-3</v>
      </c>
      <c r="AA18">
        <v>0.99848930000000002</v>
      </c>
      <c r="AB18">
        <v>5</v>
      </c>
      <c r="AC18">
        <v>0.67290000000002603</v>
      </c>
      <c r="AD18">
        <v>-0.1435699</v>
      </c>
      <c r="AE18">
        <v>-3.9299999999968797E-2</v>
      </c>
      <c r="AF18">
        <v>3.8769296198626201E-2</v>
      </c>
      <c r="AG18">
        <v>-0.1435699</v>
      </c>
      <c r="AH18">
        <v>0.64362724981074004</v>
      </c>
      <c r="AI18">
        <v>102.55271672860501</v>
      </c>
      <c r="AJ18">
        <v>86.552917356028601</v>
      </c>
      <c r="AK18">
        <v>0.66058414393072096</v>
      </c>
      <c r="AL18">
        <v>89.932418464933605</v>
      </c>
      <c r="AM18">
        <v>93.941446720116602</v>
      </c>
      <c r="AN18">
        <v>0.99999997714803202</v>
      </c>
    </row>
    <row r="19" spans="1:40" x14ac:dyDescent="0.25">
      <c r="A19" t="str">
        <f>"20190305135157355"</f>
        <v>20190305135157355</v>
      </c>
      <c r="B19" t="str">
        <f>"1551765117349575"</f>
        <v>1551765117349575</v>
      </c>
      <c r="C19" t="s">
        <v>40</v>
      </c>
      <c r="D19">
        <v>4.9024279999999996</v>
      </c>
      <c r="E19">
        <v>0.54455949999999997</v>
      </c>
      <c r="F19" t="s">
        <v>41</v>
      </c>
      <c r="G19">
        <v>-475.35750000000002</v>
      </c>
      <c r="H19">
        <v>0.96326210000000001</v>
      </c>
      <c r="I19">
        <v>367.18700000000001</v>
      </c>
      <c r="J19">
        <v>-476.02109999999999</v>
      </c>
      <c r="K19">
        <v>1.1079889999999999</v>
      </c>
      <c r="L19">
        <v>367.22669999999999</v>
      </c>
      <c r="M19">
        <v>0.99999649999999995</v>
      </c>
      <c r="N19">
        <v>1.833559E-3</v>
      </c>
      <c r="O19">
        <v>1.9834729999999999E-3</v>
      </c>
      <c r="P19">
        <v>0.99749650000000001</v>
      </c>
      <c r="Q19">
        <v>2.8837210000000001E-3</v>
      </c>
      <c r="R19">
        <v>7.0657520000000001E-2</v>
      </c>
      <c r="S19">
        <v>3.0206599999999999</v>
      </c>
      <c r="T19">
        <v>-0.60606070000000001</v>
      </c>
      <c r="U19">
        <v>-0.16195680000000001</v>
      </c>
      <c r="V19">
        <v>-6.8678900000000001E-2</v>
      </c>
      <c r="W19">
        <v>1.051251E-3</v>
      </c>
      <c r="X19">
        <v>0.99763829999999998</v>
      </c>
      <c r="Y19">
        <v>5.4408659999999998E-2</v>
      </c>
      <c r="Z19">
        <v>-5.7475769999999898E-3</v>
      </c>
      <c r="AA19">
        <v>0.99850220000000001</v>
      </c>
      <c r="AB19">
        <v>5</v>
      </c>
      <c r="AC19">
        <v>0.66359999999997399</v>
      </c>
      <c r="AD19">
        <v>-0.14472689999999999</v>
      </c>
      <c r="AE19">
        <v>-3.9700000000038899E-2</v>
      </c>
      <c r="AF19">
        <v>3.9160154059255999E-2</v>
      </c>
      <c r="AG19">
        <v>-0.14472689999999999</v>
      </c>
      <c r="AH19">
        <v>0.63349532569325495</v>
      </c>
      <c r="AI19">
        <v>102.845107041063</v>
      </c>
      <c r="AJ19">
        <v>86.4627044718451</v>
      </c>
      <c r="AK19">
        <v>0.65099594539809302</v>
      </c>
      <c r="AL19">
        <v>89.939767745627407</v>
      </c>
      <c r="AM19">
        <v>93.938113167224401</v>
      </c>
      <c r="AN19">
        <v>1.0000000370303801</v>
      </c>
    </row>
    <row r="20" spans="1:40" x14ac:dyDescent="0.25">
      <c r="A20" t="str">
        <f>"20190305135157370"</f>
        <v>20190305135157370</v>
      </c>
      <c r="B20" t="str">
        <f>"1551765117359335"</f>
        <v>1551765117359335</v>
      </c>
      <c r="C20" t="s">
        <v>40</v>
      </c>
      <c r="D20">
        <v>4.8977409999999999</v>
      </c>
      <c r="E20">
        <v>0.54456059999999995</v>
      </c>
      <c r="F20" t="s">
        <v>41</v>
      </c>
      <c r="G20">
        <v>-475.30529999999999</v>
      </c>
      <c r="H20">
        <v>0.96414339999999998</v>
      </c>
      <c r="I20">
        <v>367.18770000000001</v>
      </c>
      <c r="J20">
        <v>-475.98250000000002</v>
      </c>
      <c r="K20">
        <v>1.1079730000000001</v>
      </c>
      <c r="L20">
        <v>367.2269</v>
      </c>
      <c r="M20">
        <v>0.999996</v>
      </c>
      <c r="N20">
        <v>1.950654E-3</v>
      </c>
      <c r="O20">
        <v>2.0860570000000001E-3</v>
      </c>
      <c r="P20">
        <v>0.99748409999999998</v>
      </c>
      <c r="Q20">
        <v>2.9639150000000001E-3</v>
      </c>
      <c r="R20">
        <v>7.0828050000000004E-2</v>
      </c>
      <c r="S20">
        <v>3.0208740000000001</v>
      </c>
      <c r="T20">
        <v>-0.60720010000000002</v>
      </c>
      <c r="U20">
        <v>-0.16314699999999999</v>
      </c>
      <c r="V20">
        <v>-6.8746920000000003E-2</v>
      </c>
      <c r="W20">
        <v>1.0145340000000001E-3</v>
      </c>
      <c r="X20">
        <v>0.99763360000000001</v>
      </c>
      <c r="Y20">
        <v>5.4884700000000002E-2</v>
      </c>
      <c r="Z20">
        <v>-5.8222710000000004E-3</v>
      </c>
      <c r="AA20">
        <v>0.99847569999999997</v>
      </c>
      <c r="AB20">
        <v>6</v>
      </c>
      <c r="AC20">
        <v>0.677200000000027</v>
      </c>
      <c r="AD20">
        <v>-0.143829599999999</v>
      </c>
      <c r="AE20">
        <v>-3.9199999999993899E-2</v>
      </c>
      <c r="AF20">
        <v>3.8865278251850197E-2</v>
      </c>
      <c r="AG20">
        <v>-0.143829599999999</v>
      </c>
      <c r="AH20">
        <v>0.64798447272828597</v>
      </c>
      <c r="AI20">
        <v>102.492995119128</v>
      </c>
      <c r="AJ20">
        <v>86.567584608017</v>
      </c>
      <c r="AK20">
        <v>0.66489197662982003</v>
      </c>
      <c r="AL20">
        <v>89.941871472729602</v>
      </c>
      <c r="AM20">
        <v>93.942019720632402</v>
      </c>
      <c r="AN20">
        <v>0.99999998406884105</v>
      </c>
    </row>
    <row r="21" spans="1:40" x14ac:dyDescent="0.25">
      <c r="A21" t="str">
        <f>"20190305135157390"</f>
        <v>20190305135157390</v>
      </c>
      <c r="B21" t="str">
        <f>"1551765117379833"</f>
        <v>1551765117379833</v>
      </c>
      <c r="C21" t="s">
        <v>40</v>
      </c>
      <c r="D21">
        <v>5.1683199999999996</v>
      </c>
      <c r="E21">
        <v>0.54480640000000002</v>
      </c>
      <c r="F21" t="s">
        <v>41</v>
      </c>
      <c r="G21">
        <v>-475.2527</v>
      </c>
      <c r="H21">
        <v>0.96147439999999995</v>
      </c>
      <c r="I21">
        <v>367.18689999999998</v>
      </c>
      <c r="J21">
        <v>-475.92759999999998</v>
      </c>
      <c r="K21">
        <v>1.1079490000000001</v>
      </c>
      <c r="L21">
        <v>367.22719999999998</v>
      </c>
      <c r="M21">
        <v>0.99999550000000004</v>
      </c>
      <c r="N21">
        <v>2.0954300000000001E-3</v>
      </c>
      <c r="O21">
        <v>2.2295520000000001E-3</v>
      </c>
      <c r="P21">
        <v>0.99748029999999999</v>
      </c>
      <c r="Q21">
        <v>2.6666369999999999E-3</v>
      </c>
      <c r="R21">
        <v>7.0895700000000006E-2</v>
      </c>
      <c r="S21">
        <v>3.0209350000000001</v>
      </c>
      <c r="T21">
        <v>-0.60658029999999996</v>
      </c>
      <c r="U21">
        <v>-0.16299439999999901</v>
      </c>
      <c r="V21">
        <v>-6.8671300000000005E-2</v>
      </c>
      <c r="W21">
        <v>5.7250659999999996E-4</v>
      </c>
      <c r="X21">
        <v>0.99763919999999995</v>
      </c>
      <c r="Y21">
        <v>5.497498E-2</v>
      </c>
      <c r="Z21">
        <v>-5.8502490000000001E-3</v>
      </c>
      <c r="AA21">
        <v>0.99847059999999999</v>
      </c>
      <c r="AB21">
        <v>6</v>
      </c>
      <c r="AC21">
        <v>0.67489999999997896</v>
      </c>
      <c r="AD21">
        <v>-0.14647460000000001</v>
      </c>
      <c r="AE21">
        <v>-4.0300000000002001E-2</v>
      </c>
      <c r="AF21">
        <v>3.9930476768825697E-2</v>
      </c>
      <c r="AG21">
        <v>-0.14647460000000001</v>
      </c>
      <c r="AH21">
        <v>0.64455601199402901</v>
      </c>
      <c r="AI21">
        <v>102.779271845878</v>
      </c>
      <c r="AJ21">
        <v>86.4550362293989</v>
      </c>
      <c r="AK21">
        <v>0.66219461189124196</v>
      </c>
      <c r="AL21">
        <v>89.967197787081503</v>
      </c>
      <c r="AM21">
        <v>93.937675205900504</v>
      </c>
      <c r="AN21">
        <v>1.0000000242920599</v>
      </c>
    </row>
    <row r="22" spans="1:40" x14ac:dyDescent="0.25">
      <c r="A22" t="str">
        <f>"20190305135157412"</f>
        <v>20190305135157412</v>
      </c>
      <c r="B22" t="str">
        <f>"1551765117399349"</f>
        <v>1551765117399349</v>
      </c>
      <c r="C22" t="s">
        <v>40</v>
      </c>
      <c r="D22">
        <v>4.9257169999999997</v>
      </c>
      <c r="E22">
        <v>0.54494739999999997</v>
      </c>
      <c r="F22" t="s">
        <v>41</v>
      </c>
      <c r="G22">
        <v>-475.19639999999998</v>
      </c>
      <c r="H22">
        <v>0.96144569999999996</v>
      </c>
      <c r="I22">
        <v>367.18709999999999</v>
      </c>
      <c r="J22">
        <v>-475.86689999999999</v>
      </c>
      <c r="K22">
        <v>1.107931</v>
      </c>
      <c r="L22">
        <v>367.22750000000002</v>
      </c>
      <c r="M22">
        <v>0.99999470000000001</v>
      </c>
      <c r="N22">
        <v>2.2314420000000001E-3</v>
      </c>
      <c r="O22">
        <v>2.3844909999999999E-3</v>
      </c>
      <c r="P22">
        <v>0.997479</v>
      </c>
      <c r="Q22">
        <v>2.9128359999999998E-3</v>
      </c>
      <c r="R22">
        <v>7.0901169999999999E-2</v>
      </c>
      <c r="S22">
        <v>3.020905</v>
      </c>
      <c r="T22">
        <v>-0.60544900000000001</v>
      </c>
      <c r="U22">
        <v>-0.16452030000000001</v>
      </c>
      <c r="V22">
        <v>-6.8522890000000003E-2</v>
      </c>
      <c r="W22">
        <v>6.8360939999999998E-4</v>
      </c>
      <c r="X22">
        <v>0.99764929999999996</v>
      </c>
      <c r="Y22">
        <v>5.5622119999999997E-2</v>
      </c>
      <c r="Z22">
        <v>-5.9304600000000002E-3</v>
      </c>
      <c r="AA22">
        <v>0.9984343</v>
      </c>
      <c r="AB22">
        <v>6</v>
      </c>
      <c r="AC22">
        <v>0.67050000000000398</v>
      </c>
      <c r="AD22">
        <v>-0.14648529999999901</v>
      </c>
      <c r="AE22">
        <v>-4.0400000000033701E-2</v>
      </c>
      <c r="AF22">
        <v>4.0092024115858799E-2</v>
      </c>
      <c r="AG22">
        <v>-0.14648529999999901</v>
      </c>
      <c r="AH22">
        <v>0.63996670728632499</v>
      </c>
      <c r="AI22">
        <v>102.868244583977</v>
      </c>
      <c r="AJ22">
        <v>86.415273336603804</v>
      </c>
      <c r="AK22">
        <v>0.65774060232640197</v>
      </c>
      <c r="AL22">
        <v>89.960832063093704</v>
      </c>
      <c r="AM22">
        <v>93.929152271261003</v>
      </c>
      <c r="AN22">
        <v>0.99999998978312599</v>
      </c>
    </row>
    <row r="23" spans="1:40" x14ac:dyDescent="0.25">
      <c r="A23" t="str">
        <f>"20190305135157432"</f>
        <v>20190305135157432</v>
      </c>
      <c r="B23" t="str">
        <f>"1551765117419850"</f>
        <v>1551765117419850</v>
      </c>
      <c r="C23" t="s">
        <v>40</v>
      </c>
      <c r="D23">
        <v>4.9440330000000001</v>
      </c>
      <c r="E23">
        <v>0.54505109999999901</v>
      </c>
      <c r="F23" t="s">
        <v>41</v>
      </c>
      <c r="G23">
        <v>-475.13760000000002</v>
      </c>
      <c r="H23">
        <v>0.96243239999999997</v>
      </c>
      <c r="I23">
        <v>367.18709999999999</v>
      </c>
      <c r="J23">
        <v>-475.80399999999997</v>
      </c>
      <c r="K23">
        <v>1.107909</v>
      </c>
      <c r="L23">
        <v>367.2278</v>
      </c>
      <c r="M23">
        <v>0.9999941</v>
      </c>
      <c r="N23">
        <v>2.3510390000000001E-3</v>
      </c>
      <c r="O23">
        <v>2.5416449999999999E-3</v>
      </c>
      <c r="P23">
        <v>0.99748680000000001</v>
      </c>
      <c r="Q23">
        <v>2.657862E-3</v>
      </c>
      <c r="R23">
        <v>7.080359E-2</v>
      </c>
      <c r="S23">
        <v>3.0211790000000001</v>
      </c>
      <c r="T23">
        <v>-0.60302040000000001</v>
      </c>
      <c r="U23">
        <v>-0.1660461</v>
      </c>
      <c r="V23">
        <v>-6.8268380000000004E-2</v>
      </c>
      <c r="W23">
        <v>3.0881559999999998E-4</v>
      </c>
      <c r="X23">
        <v>0.99766699999999997</v>
      </c>
      <c r="Y23">
        <v>5.6271000000000002E-2</v>
      </c>
      <c r="Z23">
        <v>-5.9979339999999999E-3</v>
      </c>
      <c r="AA23">
        <v>0.99839750000000005</v>
      </c>
      <c r="AB23">
        <v>6</v>
      </c>
      <c r="AC23">
        <v>0.66640000000000998</v>
      </c>
      <c r="AD23">
        <v>-0.14547659999999901</v>
      </c>
      <c r="AE23">
        <v>-4.0700000000015203E-2</v>
      </c>
      <c r="AF23">
        <v>4.0472061980343102E-2</v>
      </c>
      <c r="AG23">
        <v>-0.14547659999999901</v>
      </c>
      <c r="AH23">
        <v>0.63609347308689901</v>
      </c>
      <c r="AI23">
        <v>102.857043792526</v>
      </c>
      <c r="AJ23">
        <v>86.359408054479701</v>
      </c>
      <c r="AK23">
        <v>0.65377085852174099</v>
      </c>
      <c r="AL23">
        <v>89.982306170163795</v>
      </c>
      <c r="AM23">
        <v>93.914534706046297</v>
      </c>
      <c r="AN23">
        <v>1.0000000549819399</v>
      </c>
    </row>
    <row r="24" spans="1:40" x14ac:dyDescent="0.25">
      <c r="A24" t="str">
        <f>"20190305135157455"</f>
        <v>20190305135157455</v>
      </c>
      <c r="B24" t="str">
        <f>"1551765117450102"</f>
        <v>1551765117450102</v>
      </c>
      <c r="C24" t="s">
        <v>40</v>
      </c>
      <c r="D24">
        <v>4.9578449999999998</v>
      </c>
      <c r="E24">
        <v>0.54517720000000003</v>
      </c>
      <c r="F24" t="s">
        <v>41</v>
      </c>
      <c r="G24">
        <v>-475.07679999999999</v>
      </c>
      <c r="H24">
        <v>0.96261220000000003</v>
      </c>
      <c r="I24">
        <v>367.18729999999999</v>
      </c>
      <c r="J24">
        <v>-475.7319</v>
      </c>
      <c r="K24">
        <v>1.1078889999999999</v>
      </c>
      <c r="L24">
        <v>367.22820000000002</v>
      </c>
      <c r="M24">
        <v>0.99999340000000003</v>
      </c>
      <c r="N24">
        <v>2.4665709999999999E-3</v>
      </c>
      <c r="O24">
        <v>2.7175709999999998E-3</v>
      </c>
      <c r="P24">
        <v>0.99747509999999995</v>
      </c>
      <c r="Q24">
        <v>2.6666860000000001E-3</v>
      </c>
      <c r="R24">
        <v>7.0968669999999998E-2</v>
      </c>
      <c r="S24">
        <v>3.0210880000000002</v>
      </c>
      <c r="T24">
        <v>-0.60377139999999996</v>
      </c>
      <c r="U24">
        <v>-0.16729740000000001</v>
      </c>
      <c r="V24">
        <v>-6.8257449999999997E-2</v>
      </c>
      <c r="W24">
        <v>2.0248090000000001E-4</v>
      </c>
      <c r="X24">
        <v>0.99766770000000005</v>
      </c>
      <c r="Y24">
        <v>5.6843539999999998E-2</v>
      </c>
      <c r="Z24">
        <v>-6.0935679999999997E-3</v>
      </c>
      <c r="AA24">
        <v>0.99836449999999999</v>
      </c>
      <c r="AB24">
        <v>7</v>
      </c>
      <c r="AC24">
        <v>0.65510000000000401</v>
      </c>
      <c r="AD24">
        <v>-0.14527679999999901</v>
      </c>
      <c r="AE24">
        <v>-4.0900000000021898E-2</v>
      </c>
      <c r="AF24">
        <v>4.0686970442696001E-2</v>
      </c>
      <c r="AG24">
        <v>-0.14527679999999901</v>
      </c>
      <c r="AH24">
        <v>0.62439853235873199</v>
      </c>
      <c r="AI24">
        <v>103.071032440883</v>
      </c>
      <c r="AJ24">
        <v>86.271771182841306</v>
      </c>
      <c r="AK24">
        <v>0.64236617703128196</v>
      </c>
      <c r="AL24">
        <v>89.988398698687206</v>
      </c>
      <c r="AM24">
        <v>93.913907186136996</v>
      </c>
      <c r="AN24">
        <v>0.99999998005115298</v>
      </c>
    </row>
    <row r="25" spans="1:40" x14ac:dyDescent="0.25">
      <c r="A25" t="str">
        <f>"20190305135157479"</f>
        <v>20190305135157479</v>
      </c>
      <c r="B25" t="str">
        <f>"1551765117469622"</f>
        <v>1551765117469622</v>
      </c>
      <c r="C25" t="s">
        <v>40</v>
      </c>
      <c r="D25">
        <v>4.9567269999999999</v>
      </c>
      <c r="E25">
        <v>0.54526280000000005</v>
      </c>
      <c r="F25" t="s">
        <v>41</v>
      </c>
      <c r="G25">
        <v>-475.01319999999998</v>
      </c>
      <c r="H25">
        <v>0.96435919999999997</v>
      </c>
      <c r="I25">
        <v>367.18770000000001</v>
      </c>
      <c r="J25">
        <v>-475.65469999999999</v>
      </c>
      <c r="K25">
        <v>1.1078600000000001</v>
      </c>
      <c r="L25">
        <v>367.22859999999997</v>
      </c>
      <c r="M25">
        <v>0.99999249999999995</v>
      </c>
      <c r="N25">
        <v>2.5703950000000001E-3</v>
      </c>
      <c r="O25">
        <v>2.9017909999999999E-3</v>
      </c>
      <c r="P25">
        <v>0.99748499999999996</v>
      </c>
      <c r="Q25">
        <v>2.525326E-3</v>
      </c>
      <c r="R25">
        <v>7.0834229999999998E-2</v>
      </c>
      <c r="S25">
        <v>3.021118</v>
      </c>
      <c r="T25">
        <v>-0.60354730000000001</v>
      </c>
      <c r="U25">
        <v>-0.16790769999999999</v>
      </c>
      <c r="V25">
        <v>-6.7939189999999997E-2</v>
      </c>
      <c r="W25" s="1">
        <v>-4.299532E-5</v>
      </c>
      <c r="X25">
        <v>0.99768950000000001</v>
      </c>
      <c r="Y25">
        <v>5.7218400000000003E-2</v>
      </c>
      <c r="Z25">
        <v>-6.1619769999999999E-3</v>
      </c>
      <c r="AA25">
        <v>0.99834270000000003</v>
      </c>
      <c r="AB25">
        <v>7</v>
      </c>
      <c r="AC25">
        <v>0.64150000000000695</v>
      </c>
      <c r="AD25">
        <v>-0.14350080000000001</v>
      </c>
      <c r="AE25">
        <v>-4.0899999999964999E-2</v>
      </c>
      <c r="AF25">
        <v>4.07313947046406E-2</v>
      </c>
      <c r="AG25">
        <v>-0.14350080000000001</v>
      </c>
      <c r="AH25">
        <v>0.61093150752014702</v>
      </c>
      <c r="AI25">
        <v>103.190242256118</v>
      </c>
      <c r="AJ25">
        <v>86.185679834475707</v>
      </c>
      <c r="AK25">
        <v>0.62887902890465797</v>
      </c>
      <c r="AL25">
        <v>90.002463450284694</v>
      </c>
      <c r="AM25">
        <v>93.895629503511501</v>
      </c>
      <c r="AN25">
        <v>1.0000000368983499</v>
      </c>
    </row>
    <row r="26" spans="1:40" x14ac:dyDescent="0.25">
      <c r="A26" t="str">
        <f>"20190305135157501"</f>
        <v>20190305135157501</v>
      </c>
      <c r="B26" t="str">
        <f>"1551765117489649"</f>
        <v>1551765117489649</v>
      </c>
      <c r="C26" t="s">
        <v>40</v>
      </c>
      <c r="D26">
        <v>4.9873539999999998</v>
      </c>
      <c r="E26">
        <v>0.54529609999999995</v>
      </c>
      <c r="F26" t="s">
        <v>41</v>
      </c>
      <c r="G26">
        <v>-474.947</v>
      </c>
      <c r="H26">
        <v>0.96648869999999998</v>
      </c>
      <c r="I26">
        <v>367.1891</v>
      </c>
      <c r="J26">
        <v>-475.58390000000003</v>
      </c>
      <c r="K26">
        <v>1.107837</v>
      </c>
      <c r="L26">
        <v>367.22899999999998</v>
      </c>
      <c r="M26">
        <v>0.99999179999999999</v>
      </c>
      <c r="N26">
        <v>2.6500130000000001E-3</v>
      </c>
      <c r="O26">
        <v>3.0666650000000001E-3</v>
      </c>
      <c r="P26">
        <v>0.9974613</v>
      </c>
      <c r="Q26">
        <v>2.3137819999999999E-3</v>
      </c>
      <c r="R26">
        <v>7.1173749999999994E-2</v>
      </c>
      <c r="S26">
        <v>3.0210569999999999</v>
      </c>
      <c r="T26">
        <v>-0.60353760000000001</v>
      </c>
      <c r="U26">
        <v>-0.16873170000000001</v>
      </c>
      <c r="V26">
        <v>-6.8114739999999993E-2</v>
      </c>
      <c r="W26">
        <v>-3.3416970000000001E-4</v>
      </c>
      <c r="X26">
        <v>0.99767740000000005</v>
      </c>
      <c r="Y26">
        <v>5.7644359999999999E-2</v>
      </c>
      <c r="Z26">
        <v>-6.2344380000000001E-3</v>
      </c>
      <c r="AA26">
        <v>0.99831769999999997</v>
      </c>
      <c r="AB26">
        <v>7</v>
      </c>
      <c r="AC26">
        <v>0.63690000000008196</v>
      </c>
      <c r="AD26">
        <v>-0.14134830000000001</v>
      </c>
      <c r="AE26">
        <v>-3.9900000000045503E-2</v>
      </c>
      <c r="AF26">
        <v>3.98956523310997E-2</v>
      </c>
      <c r="AG26">
        <v>-0.14134830000000001</v>
      </c>
      <c r="AH26">
        <v>0.606994793772617</v>
      </c>
      <c r="AI26">
        <v>103.081361170156</v>
      </c>
      <c r="AJ26">
        <v>86.239556879057901</v>
      </c>
      <c r="AK26">
        <v>0.62451075623633301</v>
      </c>
      <c r="AL26">
        <v>90.019146514535507</v>
      </c>
      <c r="AM26">
        <v>93.9057116394075</v>
      </c>
      <c r="AN26">
        <v>0.99999996197270702</v>
      </c>
    </row>
    <row r="27" spans="1:40" x14ac:dyDescent="0.25">
      <c r="A27" t="str">
        <f>"20190305135157515"</f>
        <v>20190305135157515</v>
      </c>
      <c r="B27" t="str">
        <f>"1551765117510145"</f>
        <v>1551765117510145</v>
      </c>
      <c r="C27" t="s">
        <v>40</v>
      </c>
      <c r="D27">
        <v>4.9908609999999998</v>
      </c>
      <c r="E27">
        <v>0.54538229999999999</v>
      </c>
      <c r="F27" t="s">
        <v>41</v>
      </c>
      <c r="G27">
        <v>-474.87939999999998</v>
      </c>
      <c r="H27">
        <v>0.96716570000000002</v>
      </c>
      <c r="I27">
        <v>367.18920000000003</v>
      </c>
      <c r="J27">
        <v>-475.53750000000002</v>
      </c>
      <c r="K27">
        <v>1.1078269999999999</v>
      </c>
      <c r="L27">
        <v>367.22930000000002</v>
      </c>
      <c r="M27">
        <v>0.99999150000000003</v>
      </c>
      <c r="N27">
        <v>2.6950699999999999E-3</v>
      </c>
      <c r="O27">
        <v>3.172996E-3</v>
      </c>
      <c r="P27">
        <v>0.99744699999999997</v>
      </c>
      <c r="Q27">
        <v>2.2407379999999999E-3</v>
      </c>
      <c r="R27">
        <v>7.1376759999999997E-2</v>
      </c>
      <c r="S27">
        <v>3.0210270000000001</v>
      </c>
      <c r="T27">
        <v>-0.60339140000000002</v>
      </c>
      <c r="U27">
        <v>-0.1681213</v>
      </c>
      <c r="V27">
        <v>-6.8211309999999997E-2</v>
      </c>
      <c r="W27">
        <v>-4.5226119999999999E-4</v>
      </c>
      <c r="X27">
        <v>0.99767079999999997</v>
      </c>
      <c r="Y27">
        <v>5.7550440000000001E-2</v>
      </c>
      <c r="Z27">
        <v>-6.2440079999999997E-3</v>
      </c>
      <c r="AA27">
        <v>0.99832310000000002</v>
      </c>
      <c r="AB27">
        <v>7</v>
      </c>
      <c r="AC27">
        <v>0.65810000000004698</v>
      </c>
      <c r="AD27">
        <v>-0.14066129999999999</v>
      </c>
      <c r="AE27">
        <v>-4.0099999999995299E-2</v>
      </c>
      <c r="AF27">
        <v>4.0351355944584402E-2</v>
      </c>
      <c r="AG27">
        <v>-0.14066129999999999</v>
      </c>
      <c r="AH27">
        <v>0.62932559926751597</v>
      </c>
      <c r="AI27">
        <v>102.574167090817</v>
      </c>
      <c r="AJ27">
        <v>86.331307835088793</v>
      </c>
      <c r="AK27">
        <v>0.64611496123961898</v>
      </c>
      <c r="AL27">
        <v>90.025912658718596</v>
      </c>
      <c r="AM27">
        <v>93.911257600561797</v>
      </c>
      <c r="AN27">
        <v>1.00000000626237</v>
      </c>
    </row>
    <row r="28" spans="1:40" x14ac:dyDescent="0.25">
      <c r="A28" t="str">
        <f>"20190305135157533"</f>
        <v>20190305135157533</v>
      </c>
      <c r="B28" t="str">
        <f>"1551765117519904"</f>
        <v>1551765117519904</v>
      </c>
      <c r="C28" t="s">
        <v>40</v>
      </c>
      <c r="D28">
        <v>4.9637469999999997</v>
      </c>
      <c r="E28">
        <v>0.5454099</v>
      </c>
      <c r="F28" t="s">
        <v>41</v>
      </c>
      <c r="G28">
        <v>-474.81180000000001</v>
      </c>
      <c r="H28">
        <v>0.96297710000000003</v>
      </c>
      <c r="I28">
        <v>367.18860000000001</v>
      </c>
      <c r="J28">
        <v>-475.47179999999997</v>
      </c>
      <c r="K28">
        <v>1.1078140000000001</v>
      </c>
      <c r="L28">
        <v>367.2296</v>
      </c>
      <c r="M28">
        <v>0.99999059999999995</v>
      </c>
      <c r="N28">
        <v>2.7516939999999998E-3</v>
      </c>
      <c r="O28">
        <v>3.321507E-3</v>
      </c>
      <c r="P28">
        <v>0.99742969999999997</v>
      </c>
      <c r="Q28">
        <v>1.931578E-3</v>
      </c>
      <c r="R28">
        <v>7.1625869999999994E-2</v>
      </c>
      <c r="S28">
        <v>3.0210569999999999</v>
      </c>
      <c r="T28">
        <v>-0.60319109999999998</v>
      </c>
      <c r="U28">
        <v>-0.1681213</v>
      </c>
      <c r="V28">
        <v>-6.8312129999999999E-2</v>
      </c>
      <c r="W28">
        <v>-8.1806350000000001E-4</v>
      </c>
      <c r="X28">
        <v>0.99766370000000004</v>
      </c>
      <c r="Y28">
        <v>5.769345E-2</v>
      </c>
      <c r="Z28">
        <v>-6.2840959999999899E-3</v>
      </c>
      <c r="AA28">
        <v>0.99831460000000005</v>
      </c>
      <c r="AB28">
        <v>8</v>
      </c>
      <c r="AC28">
        <v>0.65999999999996795</v>
      </c>
      <c r="AD28">
        <v>-0.14483689999999899</v>
      </c>
      <c r="AE28">
        <v>-4.0999999999996803E-2</v>
      </c>
      <c r="AF28">
        <v>4.1214776157247002E-2</v>
      </c>
      <c r="AG28">
        <v>-0.14483689999999899</v>
      </c>
      <c r="AH28">
        <v>0.62965373195924201</v>
      </c>
      <c r="AI28">
        <v>102.92746193911501</v>
      </c>
      <c r="AJ28">
        <v>86.254975211550303</v>
      </c>
      <c r="AK28">
        <v>0.64741038572570297</v>
      </c>
      <c r="AL28">
        <v>90.046871589402599</v>
      </c>
      <c r="AM28">
        <v>93.917048456938403</v>
      </c>
      <c r="AN28">
        <v>1.0000000373153499</v>
      </c>
    </row>
    <row r="29" spans="1:40" x14ac:dyDescent="0.25">
      <c r="A29" t="str">
        <f>"20190305135157557"</f>
        <v>20190305135157557</v>
      </c>
      <c r="B29" t="str">
        <f>"1551765117550160"</f>
        <v>1551765117550160</v>
      </c>
      <c r="C29" t="s">
        <v>40</v>
      </c>
      <c r="D29">
        <v>5.036956</v>
      </c>
      <c r="E29">
        <v>0.54547509999999999</v>
      </c>
      <c r="F29" t="s">
        <v>41</v>
      </c>
      <c r="G29">
        <v>-474.74059999999997</v>
      </c>
      <c r="H29">
        <v>0.96165599999999996</v>
      </c>
      <c r="I29">
        <v>367.18860000000001</v>
      </c>
      <c r="J29">
        <v>-475.38350000000003</v>
      </c>
      <c r="K29">
        <v>1.1077980000000001</v>
      </c>
      <c r="L29">
        <v>367.23020000000002</v>
      </c>
      <c r="M29">
        <v>0.99998989999999999</v>
      </c>
      <c r="N29">
        <v>2.816004E-3</v>
      </c>
      <c r="O29">
        <v>3.5166139999999999E-3</v>
      </c>
      <c r="P29">
        <v>0.99741880000000005</v>
      </c>
      <c r="Q29">
        <v>1.766693E-3</v>
      </c>
      <c r="R29">
        <v>7.1784180000000003E-2</v>
      </c>
      <c r="S29">
        <v>3.0209350000000001</v>
      </c>
      <c r="T29">
        <v>-0.6040297</v>
      </c>
      <c r="U29">
        <v>-0.167572</v>
      </c>
      <c r="V29">
        <v>-6.8275970000000005E-2</v>
      </c>
      <c r="W29">
        <v>-1.0473699999999999E-3</v>
      </c>
      <c r="X29">
        <v>0.99766589999999999</v>
      </c>
      <c r="Y29">
        <v>5.7702290000000003E-2</v>
      </c>
      <c r="Z29">
        <v>-6.331387E-3</v>
      </c>
      <c r="AA29">
        <v>0.99831380000000003</v>
      </c>
      <c r="AB29">
        <v>8</v>
      </c>
      <c r="AC29">
        <v>0.64290000000005398</v>
      </c>
      <c r="AD29">
        <v>-0.14614199999999999</v>
      </c>
      <c r="AE29">
        <v>-4.16000000000167E-2</v>
      </c>
      <c r="AF29">
        <v>4.1714080579647303E-2</v>
      </c>
      <c r="AG29">
        <v>-0.14614199999999999</v>
      </c>
      <c r="AH29">
        <v>0.61129407005287395</v>
      </c>
      <c r="AI29">
        <v>103.415266497302</v>
      </c>
      <c r="AJ29">
        <v>86.096246596533405</v>
      </c>
      <c r="AK29">
        <v>0.62990315824292697</v>
      </c>
      <c r="AL29">
        <v>90.060009892967898</v>
      </c>
      <c r="AM29">
        <v>93.914972869335998</v>
      </c>
      <c r="AN29">
        <v>0.99999997654308304</v>
      </c>
    </row>
    <row r="30" spans="1:40" x14ac:dyDescent="0.25">
      <c r="A30" t="str">
        <f>"20190305135157571"</f>
        <v>20190305135157571</v>
      </c>
      <c r="B30" t="str">
        <f>"1551765117559920"</f>
        <v>1551765117559920</v>
      </c>
      <c r="C30" t="s">
        <v>40</v>
      </c>
      <c r="D30">
        <v>5.0374889999999999</v>
      </c>
      <c r="E30">
        <v>0.54546890000000003</v>
      </c>
      <c r="F30" t="s">
        <v>41</v>
      </c>
      <c r="G30">
        <v>-474.66550000000001</v>
      </c>
      <c r="H30">
        <v>0.96389499999999995</v>
      </c>
      <c r="I30">
        <v>367.18990000000002</v>
      </c>
      <c r="J30">
        <v>-475.33269999999999</v>
      </c>
      <c r="K30">
        <v>1.1077870000000001</v>
      </c>
      <c r="L30">
        <v>367.23039999999997</v>
      </c>
      <c r="M30">
        <v>0.99998929999999997</v>
      </c>
      <c r="N30">
        <v>2.8479410000000001E-3</v>
      </c>
      <c r="O30">
        <v>3.6274900000000001E-3</v>
      </c>
      <c r="P30">
        <v>0.99739449999999996</v>
      </c>
      <c r="Q30">
        <v>1.9418059999999999E-3</v>
      </c>
      <c r="R30">
        <v>7.2113620000000003E-2</v>
      </c>
      <c r="S30">
        <v>3.0208740000000001</v>
      </c>
      <c r="T30">
        <v>-0.60559609999999997</v>
      </c>
      <c r="U30">
        <v>-0.16790769999999999</v>
      </c>
      <c r="V30">
        <v>-6.849529E-2</v>
      </c>
      <c r="W30">
        <v>-9.0421390000000005E-4</v>
      </c>
      <c r="X30">
        <v>0.99765099999999995</v>
      </c>
      <c r="Y30">
        <v>5.7912270000000002E-2</v>
      </c>
      <c r="Z30">
        <v>-6.3897800000000003E-3</v>
      </c>
      <c r="AA30">
        <v>0.9983012</v>
      </c>
      <c r="AB30">
        <v>8</v>
      </c>
      <c r="AC30">
        <v>0.66719999999997903</v>
      </c>
      <c r="AD30">
        <v>-0.14389199999999999</v>
      </c>
      <c r="AE30">
        <v>-4.0499999999951797E-2</v>
      </c>
      <c r="AF30">
        <v>4.1019143143369401E-2</v>
      </c>
      <c r="AG30">
        <v>-0.14389199999999999</v>
      </c>
      <c r="AH30">
        <v>0.63750612473282198</v>
      </c>
      <c r="AI30">
        <v>102.69374345609801</v>
      </c>
      <c r="AJ30">
        <v>86.318484821368003</v>
      </c>
      <c r="AK30">
        <v>0.65482939521685901</v>
      </c>
      <c r="AL30">
        <v>90.051807648856894</v>
      </c>
      <c r="AM30">
        <v>93.927567949652897</v>
      </c>
      <c r="AN30">
        <v>0.99999997007798003</v>
      </c>
    </row>
    <row r="31" spans="1:40" x14ac:dyDescent="0.25">
      <c r="A31" t="str">
        <f>"20190305135157591"</f>
        <v>20190305135157591</v>
      </c>
      <c r="B31" t="str">
        <f>"1551765117579948"</f>
        <v>1551765117579948</v>
      </c>
      <c r="C31" t="s">
        <v>40</v>
      </c>
      <c r="D31">
        <v>5.0345510000000004</v>
      </c>
      <c r="E31">
        <v>0.54537029999999997</v>
      </c>
      <c r="F31" t="s">
        <v>41</v>
      </c>
      <c r="G31">
        <v>-474.5915</v>
      </c>
      <c r="H31">
        <v>0.95917439999999998</v>
      </c>
      <c r="I31">
        <v>367.18920000000003</v>
      </c>
      <c r="J31">
        <v>-475.25400000000002</v>
      </c>
      <c r="K31">
        <v>1.1077699999999999</v>
      </c>
      <c r="L31">
        <v>367.23090000000002</v>
      </c>
      <c r="M31">
        <v>0.99998880000000001</v>
      </c>
      <c r="N31">
        <v>2.8906560000000001E-3</v>
      </c>
      <c r="O31">
        <v>3.7962220000000001E-3</v>
      </c>
      <c r="P31">
        <v>0.99738139999999997</v>
      </c>
      <c r="Q31">
        <v>1.6024450000000001E-3</v>
      </c>
      <c r="R31">
        <v>7.2305439999999999E-2</v>
      </c>
      <c r="S31">
        <v>3.0210270000000001</v>
      </c>
      <c r="T31">
        <v>-0.60590829999999996</v>
      </c>
      <c r="U31">
        <v>-0.166626</v>
      </c>
      <c r="V31">
        <v>-6.8518560000000006E-2</v>
      </c>
      <c r="W31">
        <v>-1.2863779999999999E-3</v>
      </c>
      <c r="X31">
        <v>0.99764900000000001</v>
      </c>
      <c r="Y31">
        <v>5.7656270000000003E-2</v>
      </c>
      <c r="Z31">
        <v>-6.4006449999999999E-3</v>
      </c>
      <c r="AA31">
        <v>0.99831599999999998</v>
      </c>
      <c r="AB31">
        <v>8</v>
      </c>
      <c r="AC31">
        <v>0.66250000000002196</v>
      </c>
      <c r="AD31">
        <v>-0.14859559999999999</v>
      </c>
      <c r="AE31">
        <v>-4.1699999999991598E-2</v>
      </c>
      <c r="AF31">
        <v>4.2104840319419697E-2</v>
      </c>
      <c r="AG31">
        <v>-0.14859559999999999</v>
      </c>
      <c r="AH31">
        <v>0.63073109613378298</v>
      </c>
      <c r="AI31">
        <v>103.22832177223</v>
      </c>
      <c r="AJ31">
        <v>86.180851553932897</v>
      </c>
      <c r="AK31">
        <v>0.64936521738372099</v>
      </c>
      <c r="AL31">
        <v>90.0737040515057</v>
      </c>
      <c r="AM31">
        <v>93.928905941277307</v>
      </c>
      <c r="AN31">
        <v>0.99999998751691599</v>
      </c>
    </row>
    <row r="32" spans="1:40" x14ac:dyDescent="0.25">
      <c r="A32" t="str">
        <f>"20190305135157613"</f>
        <v>20190305135157613</v>
      </c>
      <c r="B32" t="str">
        <f>"1551765117610205"</f>
        <v>1551765117610205</v>
      </c>
      <c r="C32" t="s">
        <v>40</v>
      </c>
      <c r="D32">
        <v>5.1267649999999998</v>
      </c>
      <c r="E32">
        <v>0.53351269999999995</v>
      </c>
      <c r="F32" t="s">
        <v>41</v>
      </c>
      <c r="G32">
        <v>-474.51330000000002</v>
      </c>
      <c r="H32">
        <v>0.95873629999999999</v>
      </c>
      <c r="I32">
        <v>367.19009999999997</v>
      </c>
      <c r="J32">
        <v>-475.17</v>
      </c>
      <c r="K32">
        <v>1.107747</v>
      </c>
      <c r="L32">
        <v>367.23140000000001</v>
      </c>
      <c r="M32">
        <v>0.99998779999999998</v>
      </c>
      <c r="N32">
        <v>2.9287639999999999E-3</v>
      </c>
      <c r="O32">
        <v>3.9724690000000002E-3</v>
      </c>
      <c r="P32">
        <v>0.99733760000000005</v>
      </c>
      <c r="Q32">
        <v>9.3802619999999997E-4</v>
      </c>
      <c r="R32">
        <v>7.2918090000000005E-2</v>
      </c>
      <c r="S32">
        <v>3.020813</v>
      </c>
      <c r="T32">
        <v>-0.6080335</v>
      </c>
      <c r="U32">
        <v>-0.1651001</v>
      </c>
      <c r="V32">
        <v>-6.8955669999999997E-2</v>
      </c>
      <c r="W32">
        <v>-1.989036E-3</v>
      </c>
      <c r="X32">
        <v>0.99761770000000005</v>
      </c>
      <c r="Y32">
        <v>5.732773E-2</v>
      </c>
      <c r="Z32">
        <v>-6.4258579999999996E-3</v>
      </c>
      <c r="AA32">
        <v>0.99833470000000002</v>
      </c>
      <c r="AB32">
        <v>9</v>
      </c>
      <c r="AC32">
        <v>0.65669999999999995</v>
      </c>
      <c r="AD32">
        <v>-0.149010699999999</v>
      </c>
      <c r="AE32">
        <v>-4.1300000000035197E-2</v>
      </c>
      <c r="AF32">
        <v>4.17664330214641E-2</v>
      </c>
      <c r="AG32">
        <v>-0.149010699999999</v>
      </c>
      <c r="AH32">
        <v>0.62450337963885905</v>
      </c>
      <c r="AI32">
        <v>103.39139343366701</v>
      </c>
      <c r="AJ32">
        <v>86.173788566053503</v>
      </c>
      <c r="AK32">
        <v>0.64339186723347896</v>
      </c>
      <c r="AL32">
        <v>90.113963448028599</v>
      </c>
      <c r="AM32">
        <v>93.954014570618597</v>
      </c>
      <c r="AN32">
        <v>0.99999995802132302</v>
      </c>
    </row>
    <row r="33" spans="1:40" x14ac:dyDescent="0.25">
      <c r="A33" t="str">
        <f>"20190305135157626"</f>
        <v>20190305135157626</v>
      </c>
      <c r="B33" t="str">
        <f>"1551765117619965"</f>
        <v>1551765117619965</v>
      </c>
      <c r="C33" t="s">
        <v>40</v>
      </c>
      <c r="D33">
        <v>5.1261720000000004</v>
      </c>
      <c r="E33">
        <v>0.53317709999999996</v>
      </c>
      <c r="F33" t="s">
        <v>41</v>
      </c>
      <c r="G33">
        <v>-474.4024</v>
      </c>
      <c r="H33">
        <v>1.0222329999999999</v>
      </c>
      <c r="I33">
        <v>367.2158</v>
      </c>
      <c r="J33">
        <v>-475.11250000000001</v>
      </c>
      <c r="K33">
        <v>1.1077330000000001</v>
      </c>
      <c r="L33">
        <v>367.23180000000002</v>
      </c>
      <c r="M33">
        <v>0.99998739999999997</v>
      </c>
      <c r="N33">
        <v>2.9514340000000002E-3</v>
      </c>
      <c r="O33">
        <v>4.0912229999999997E-3</v>
      </c>
      <c r="P33">
        <v>0.99732399999999999</v>
      </c>
      <c r="Q33">
        <v>8.1582179999999897E-4</v>
      </c>
      <c r="R33">
        <v>7.3103929999999998E-2</v>
      </c>
      <c r="S33">
        <v>3.0126949999999999</v>
      </c>
      <c r="T33">
        <v>-0.33576040000000001</v>
      </c>
      <c r="U33">
        <v>-5.9814449999999998E-2</v>
      </c>
      <c r="V33">
        <v>-6.9022719999999996E-2</v>
      </c>
      <c r="W33">
        <v>-2.1340299999999999E-3</v>
      </c>
      <c r="X33">
        <v>0.99761279999999997</v>
      </c>
      <c r="Y33">
        <v>2.3770619999999999E-2</v>
      </c>
      <c r="Z33">
        <v>-1.751744E-3</v>
      </c>
      <c r="AA33">
        <v>0.99971589999999999</v>
      </c>
      <c r="AB33">
        <v>9</v>
      </c>
      <c r="AC33">
        <v>0.71010000000001094</v>
      </c>
      <c r="AD33">
        <v>-8.5500000000000104E-2</v>
      </c>
      <c r="AE33">
        <v>-1.6000000000019499E-2</v>
      </c>
      <c r="AF33">
        <v>1.8635031503491301E-2</v>
      </c>
      <c r="AG33">
        <v>-8.5500000000000104E-2</v>
      </c>
      <c r="AH33">
        <v>0.69988713026692795</v>
      </c>
      <c r="AI33">
        <v>96.962445072263606</v>
      </c>
      <c r="AJ33">
        <v>88.474816285943703</v>
      </c>
      <c r="AK33">
        <v>0.70533645128577505</v>
      </c>
      <c r="AL33">
        <v>90.122271005851601</v>
      </c>
      <c r="AM33">
        <v>93.957866476430198</v>
      </c>
      <c r="AN33">
        <v>0.99999999434203901</v>
      </c>
    </row>
    <row r="34" spans="1:40" x14ac:dyDescent="0.25">
      <c r="A34" t="str">
        <f>"20190305135157647"</f>
        <v>20190305135157647</v>
      </c>
      <c r="B34" t="str">
        <f>"1551765117639485"</f>
        <v>1551765117639485</v>
      </c>
      <c r="C34" t="s">
        <v>40</v>
      </c>
      <c r="D34">
        <v>5.1129259999999999</v>
      </c>
      <c r="E34">
        <v>0.53345690000000001</v>
      </c>
      <c r="F34" t="s">
        <v>41</v>
      </c>
      <c r="G34">
        <v>-474.31569999999999</v>
      </c>
      <c r="H34">
        <v>1.0303310000000001</v>
      </c>
      <c r="I34">
        <v>367.21679999999998</v>
      </c>
      <c r="J34">
        <v>-475.03129999999999</v>
      </c>
      <c r="K34">
        <v>1.1077189999999999</v>
      </c>
      <c r="L34">
        <v>367.23230000000001</v>
      </c>
      <c r="M34">
        <v>0.9999865</v>
      </c>
      <c r="N34">
        <v>2.9786650000000001E-3</v>
      </c>
      <c r="O34">
        <v>4.2578909999999998E-3</v>
      </c>
      <c r="P34">
        <v>0.99731519999999996</v>
      </c>
      <c r="Q34">
        <v>-6.4261069999999997E-4</v>
      </c>
      <c r="R34">
        <v>7.3225990000000005E-2</v>
      </c>
      <c r="S34">
        <v>3.0122990000000001</v>
      </c>
      <c r="T34">
        <v>-0.2928752</v>
      </c>
      <c r="U34">
        <v>-5.4901119999999998E-2</v>
      </c>
      <c r="V34">
        <v>-6.8978639999999994E-2</v>
      </c>
      <c r="W34">
        <v>-3.619808E-3</v>
      </c>
      <c r="X34">
        <v>0.99761160000000004</v>
      </c>
      <c r="Y34">
        <v>2.2356210000000001E-2</v>
      </c>
      <c r="Z34">
        <v>-1.476413E-3</v>
      </c>
      <c r="AA34">
        <v>0.999749</v>
      </c>
      <c r="AB34">
        <v>9</v>
      </c>
      <c r="AC34">
        <v>0.71559999999999402</v>
      </c>
      <c r="AD34">
        <v>-7.7388000000000207E-2</v>
      </c>
      <c r="AE34">
        <v>-1.55000000000313E-2</v>
      </c>
      <c r="AF34">
        <v>1.8332518408099099E-2</v>
      </c>
      <c r="AG34">
        <v>-7.7388000000000207E-2</v>
      </c>
      <c r="AH34">
        <v>0.70725986916547501</v>
      </c>
      <c r="AI34">
        <v>96.242352038783807</v>
      </c>
      <c r="AJ34">
        <v>88.5151981132027</v>
      </c>
      <c r="AK34">
        <v>0.71171729380923998</v>
      </c>
      <c r="AL34">
        <v>90.2074001677301</v>
      </c>
      <c r="AM34">
        <v>93.955351631087694</v>
      </c>
      <c r="AN34">
        <v>1.00000003012038</v>
      </c>
    </row>
    <row r="35" spans="1:40" x14ac:dyDescent="0.25">
      <c r="A35" t="str">
        <f>"20190305135157661"</f>
        <v>20190305135157661</v>
      </c>
      <c r="B35" t="str">
        <f>"1551765117649245"</f>
        <v>1551765117649245</v>
      </c>
      <c r="C35" t="s">
        <v>40</v>
      </c>
      <c r="D35">
        <v>5.1458629999999896</v>
      </c>
      <c r="E35">
        <v>0.53341689999999997</v>
      </c>
      <c r="F35" t="s">
        <v>41</v>
      </c>
      <c r="G35">
        <v>-474.2242</v>
      </c>
      <c r="H35">
        <v>1.0438229999999999</v>
      </c>
      <c r="I35">
        <v>367.21690000000001</v>
      </c>
      <c r="J35">
        <v>-474.96730000000002</v>
      </c>
      <c r="K35">
        <v>1.1077090000000001</v>
      </c>
      <c r="L35">
        <v>367.23270000000002</v>
      </c>
      <c r="M35">
        <v>0.99998589999999998</v>
      </c>
      <c r="N35">
        <v>2.9966939999999998E-3</v>
      </c>
      <c r="O35">
        <v>4.3865459999999998E-3</v>
      </c>
      <c r="P35">
        <v>0.99731110000000001</v>
      </c>
      <c r="Q35">
        <v>-1.573468E-3</v>
      </c>
      <c r="R35">
        <v>7.3268819999999998E-2</v>
      </c>
      <c r="S35">
        <v>3.0119630000000002</v>
      </c>
      <c r="T35">
        <v>-0.23894499999999999</v>
      </c>
      <c r="U35">
        <v>-5.4809570000000002E-2</v>
      </c>
      <c r="V35">
        <v>-6.8892780000000001E-2</v>
      </c>
      <c r="W35">
        <v>-4.5688250000000003E-3</v>
      </c>
      <c r="X35">
        <v>0.99761359999999999</v>
      </c>
      <c r="Y35">
        <v>2.2497130000000001E-2</v>
      </c>
      <c r="Z35">
        <v>-1.2176800000000001E-3</v>
      </c>
      <c r="AA35">
        <v>0.99974609999999997</v>
      </c>
      <c r="AB35">
        <v>9</v>
      </c>
      <c r="AC35">
        <v>0.74310000000002596</v>
      </c>
      <c r="AD35">
        <v>-6.3886000000000095E-2</v>
      </c>
      <c r="AE35">
        <v>-1.5800000000012901E-2</v>
      </c>
      <c r="AF35">
        <v>1.89197280004153E-2</v>
      </c>
      <c r="AG35">
        <v>-6.3886000000000095E-2</v>
      </c>
      <c r="AH35">
        <v>0.73757442220191305</v>
      </c>
      <c r="AI35">
        <v>94.9487759312143</v>
      </c>
      <c r="AJ35">
        <v>88.530612142191799</v>
      </c>
      <c r="AK35">
        <v>0.74057775107688395</v>
      </c>
      <c r="AL35">
        <v>90.261775302630198</v>
      </c>
      <c r="AM35">
        <v>93.950435977214198</v>
      </c>
      <c r="AN35">
        <v>0.99999999210148405</v>
      </c>
    </row>
    <row r="36" spans="1:40" x14ac:dyDescent="0.25">
      <c r="A36" t="str">
        <f>"20190305135157683"</f>
        <v>20190305135157683</v>
      </c>
      <c r="B36" t="str">
        <f>"1551765117679500"</f>
        <v>1551765117679500</v>
      </c>
      <c r="C36" t="s">
        <v>40</v>
      </c>
      <c r="D36">
        <v>5.1055859999999997</v>
      </c>
      <c r="E36">
        <v>0.53319759999999905</v>
      </c>
      <c r="F36" t="s">
        <v>41</v>
      </c>
      <c r="G36">
        <v>-474.21859999999998</v>
      </c>
      <c r="H36">
        <v>1.0518940000000001</v>
      </c>
      <c r="I36">
        <v>367.21859999999998</v>
      </c>
      <c r="J36">
        <v>-474.87470000000002</v>
      </c>
      <c r="K36">
        <v>1.1076900000000001</v>
      </c>
      <c r="L36">
        <v>367.23329999999999</v>
      </c>
      <c r="M36">
        <v>0.99998520000000002</v>
      </c>
      <c r="N36">
        <v>3.0190289999999999E-3</v>
      </c>
      <c r="O36">
        <v>4.569849E-3</v>
      </c>
      <c r="P36">
        <v>0.9972839</v>
      </c>
      <c r="Q36">
        <v>-2.8313660000000001E-3</v>
      </c>
      <c r="R36">
        <v>7.3600869999999999E-2</v>
      </c>
      <c r="S36">
        <v>3.0116879999999999</v>
      </c>
      <c r="T36">
        <v>-0.22502929999999999</v>
      </c>
      <c r="U36">
        <v>-5.4046629999999998E-2</v>
      </c>
      <c r="V36">
        <v>-6.9042149999999997E-2</v>
      </c>
      <c r="W36">
        <v>-5.8492219999999899E-3</v>
      </c>
      <c r="X36">
        <v>0.99759659999999994</v>
      </c>
      <c r="Y36">
        <v>2.2437909999999998E-2</v>
      </c>
      <c r="Z36">
        <v>-1.1578409999999999E-3</v>
      </c>
      <c r="AA36">
        <v>0.99974759999999996</v>
      </c>
      <c r="AB36">
        <v>9</v>
      </c>
      <c r="AC36">
        <v>0.65610000000003699</v>
      </c>
      <c r="AD36">
        <v>-5.5795999999999901E-2</v>
      </c>
      <c r="AE36">
        <v>-1.47000000000048E-2</v>
      </c>
      <c r="AF36">
        <v>1.7571124650545399E-2</v>
      </c>
      <c r="AG36">
        <v>-5.5795999999999901E-2</v>
      </c>
      <c r="AH36">
        <v>0.65131792133310495</v>
      </c>
      <c r="AI36">
        <v>94.894591260528202</v>
      </c>
      <c r="AJ36">
        <v>88.4546607440451</v>
      </c>
      <c r="AK36">
        <v>0.65393957877403397</v>
      </c>
      <c r="AL36">
        <v>90.335137643711406</v>
      </c>
      <c r="AM36">
        <v>93.959041164941794</v>
      </c>
      <c r="AN36">
        <v>1.0000000041030901</v>
      </c>
    </row>
    <row r="37" spans="1:40" x14ac:dyDescent="0.25">
      <c r="A37" t="str">
        <f>"20190305135157702"</f>
        <v>20190305135157702</v>
      </c>
      <c r="B37" t="str">
        <f>"1551765117699997"</f>
        <v>1551765117699997</v>
      </c>
      <c r="C37" t="s">
        <v>40</v>
      </c>
      <c r="D37">
        <v>5.090687</v>
      </c>
      <c r="E37">
        <v>0.53345319999999996</v>
      </c>
      <c r="F37" t="s">
        <v>41</v>
      </c>
      <c r="G37">
        <v>-474.12369999999999</v>
      </c>
      <c r="H37">
        <v>1.056915</v>
      </c>
      <c r="I37">
        <v>367.22039999999998</v>
      </c>
      <c r="J37">
        <v>-474.78539999999998</v>
      </c>
      <c r="K37">
        <v>1.1076760000000001</v>
      </c>
      <c r="L37">
        <v>367.23390000000001</v>
      </c>
      <c r="M37">
        <v>0.99998410000000004</v>
      </c>
      <c r="N37">
        <v>3.0364699999999999E-3</v>
      </c>
      <c r="O37">
        <v>4.7439209999999999E-3</v>
      </c>
      <c r="P37">
        <v>0.99726009999999998</v>
      </c>
      <c r="Q37">
        <v>-4.1153240000000001E-3</v>
      </c>
      <c r="R37">
        <v>7.3861930000000006E-2</v>
      </c>
      <c r="S37">
        <v>3.0113219999999998</v>
      </c>
      <c r="T37">
        <v>-0.20378479999999999</v>
      </c>
      <c r="U37">
        <v>-5.0537110000000003E-2</v>
      </c>
      <c r="V37">
        <v>-6.9130040000000004E-2</v>
      </c>
      <c r="W37">
        <v>-7.1507910000000001E-3</v>
      </c>
      <c r="X37">
        <v>0.99758199999999997</v>
      </c>
      <c r="Y37">
        <v>2.146437E-2</v>
      </c>
      <c r="Z37">
        <v>-1.027806E-3</v>
      </c>
      <c r="AA37">
        <v>0.99976909999999997</v>
      </c>
      <c r="AB37">
        <v>10</v>
      </c>
      <c r="AC37">
        <v>0.66169999999999596</v>
      </c>
      <c r="AD37">
        <v>-5.0761000000000001E-2</v>
      </c>
      <c r="AE37">
        <v>-1.35000000000218E-2</v>
      </c>
      <c r="AF37">
        <v>1.6541610213614302E-2</v>
      </c>
      <c r="AG37">
        <v>-5.0761000000000001E-2</v>
      </c>
      <c r="AH37">
        <v>0.65775928295434205</v>
      </c>
      <c r="AI37">
        <v>94.4115288292804</v>
      </c>
      <c r="AJ37">
        <v>88.559405014105096</v>
      </c>
      <c r="AK37">
        <v>0.65992240324303997</v>
      </c>
      <c r="AL37">
        <v>90.409713647917997</v>
      </c>
      <c r="AM37">
        <v>93.964122760147603</v>
      </c>
      <c r="AN37">
        <v>0.999999971483163</v>
      </c>
    </row>
    <row r="38" spans="1:40" x14ac:dyDescent="0.25">
      <c r="A38" t="str">
        <f>"20190305135157724"</f>
        <v>20190305135157724</v>
      </c>
      <c r="B38" t="str">
        <f>"1551765117719517"</f>
        <v>1551765117719517</v>
      </c>
      <c r="C38" t="s">
        <v>40</v>
      </c>
      <c r="D38">
        <v>5.0909500000000003</v>
      </c>
      <c r="E38">
        <v>0.5335143</v>
      </c>
      <c r="F38" t="s">
        <v>42</v>
      </c>
      <c r="G38">
        <v>-457.9008</v>
      </c>
      <c r="H38" s="1">
        <v>-1.4110440000000001E-6</v>
      </c>
      <c r="I38">
        <v>366.94549999999998</v>
      </c>
      <c r="J38">
        <v>-474.69040000000001</v>
      </c>
      <c r="K38">
        <v>1.107666</v>
      </c>
      <c r="L38">
        <v>367.2346</v>
      </c>
      <c r="M38">
        <v>0.99998330000000002</v>
      </c>
      <c r="N38">
        <v>3.0515310000000001E-3</v>
      </c>
      <c r="O38">
        <v>4.9253259999999998E-3</v>
      </c>
      <c r="P38">
        <v>0.99724100000000004</v>
      </c>
      <c r="Q38">
        <v>-6.0930100000000003E-3</v>
      </c>
      <c r="R38">
        <v>7.3982370000000006E-2</v>
      </c>
      <c r="S38">
        <v>3.0112000000000001</v>
      </c>
      <c r="T38">
        <v>-0.19754279999999999</v>
      </c>
      <c r="U38">
        <v>-5.1422120000000002E-2</v>
      </c>
      <c r="V38">
        <v>-6.906851E-2</v>
      </c>
      <c r="W38">
        <v>-9.1437729999999991E-3</v>
      </c>
      <c r="X38">
        <v>0.99756999999999996</v>
      </c>
      <c r="Y38">
        <v>2.1942349999999999E-2</v>
      </c>
      <c r="Z38">
        <v>-1.0231559999999999E-3</v>
      </c>
      <c r="AA38">
        <v>0.9997587</v>
      </c>
      <c r="AB38">
        <v>10</v>
      </c>
      <c r="AC38">
        <v>16.7896</v>
      </c>
      <c r="AD38">
        <v>-1.1076674110439999</v>
      </c>
      <c r="AE38">
        <v>-0.28910000000001901</v>
      </c>
      <c r="AF38">
        <v>0.37018039477498799</v>
      </c>
      <c r="AG38">
        <v>-1.1076674110439999</v>
      </c>
      <c r="AH38">
        <v>16.7152410293399</v>
      </c>
      <c r="AI38">
        <v>93.790344659789298</v>
      </c>
      <c r="AJ38">
        <v>88.731319054089795</v>
      </c>
      <c r="AK38">
        <v>16.755991265427799</v>
      </c>
      <c r="AL38">
        <v>90.523906909606296</v>
      </c>
      <c r="AM38">
        <v>93.960653171688804</v>
      </c>
      <c r="AN38">
        <v>0.99999998627914699</v>
      </c>
    </row>
    <row r="39" spans="1:40" x14ac:dyDescent="0.25">
      <c r="A39" t="str">
        <f>"20190305135157758"</f>
        <v>20190305135157758</v>
      </c>
      <c r="B39" t="str">
        <f>"1551765117749773"</f>
        <v>1551765117749773</v>
      </c>
      <c r="C39" t="s">
        <v>40</v>
      </c>
      <c r="D39">
        <v>5.1271009999999997</v>
      </c>
      <c r="E39">
        <v>0.53354109999999999</v>
      </c>
      <c r="F39" t="s">
        <v>42</v>
      </c>
      <c r="G39">
        <v>-457.60719999999998</v>
      </c>
      <c r="H39" s="1">
        <v>-1.5116620000000001E-6</v>
      </c>
      <c r="I39">
        <v>366.94290000000001</v>
      </c>
      <c r="J39">
        <v>-474.52710000000002</v>
      </c>
      <c r="K39">
        <v>1.1076349999999999</v>
      </c>
      <c r="L39">
        <v>367.23570000000001</v>
      </c>
      <c r="M39">
        <v>0.99998180000000003</v>
      </c>
      <c r="N39">
        <v>3.0702899999999998E-3</v>
      </c>
      <c r="O39">
        <v>5.2309979999999997E-3</v>
      </c>
      <c r="P39">
        <v>0.99721550000000003</v>
      </c>
      <c r="Q39">
        <v>-9.1840389999999997E-3</v>
      </c>
      <c r="R39">
        <v>7.4008870000000004E-2</v>
      </c>
      <c r="S39">
        <v>3.0108950000000001</v>
      </c>
      <c r="T39">
        <v>-0.19522429999999999</v>
      </c>
      <c r="U39">
        <v>-5.1391600000000003E-2</v>
      </c>
      <c r="V39">
        <v>-6.8790320000000002E-2</v>
      </c>
      <c r="W39">
        <v>-1.22539E-2</v>
      </c>
      <c r="X39">
        <v>0.99755590000000005</v>
      </c>
      <c r="Y39">
        <v>2.223957E-2</v>
      </c>
      <c r="Z39">
        <v>-1.040851E-3</v>
      </c>
      <c r="AA39">
        <v>0.99975210000000003</v>
      </c>
      <c r="AB39">
        <v>10</v>
      </c>
      <c r="AC39">
        <v>16.919899999999998</v>
      </c>
      <c r="AD39">
        <v>-1.1076365116619999</v>
      </c>
      <c r="AE39">
        <v>-0.29279999999999901</v>
      </c>
      <c r="AF39">
        <v>0.37967774461883802</v>
      </c>
      <c r="AG39">
        <v>-1.1076365116619999</v>
      </c>
      <c r="AH39">
        <v>16.845965513347299</v>
      </c>
      <c r="AI39">
        <v>93.760878942713006</v>
      </c>
      <c r="AJ39">
        <v>88.708874834454704</v>
      </c>
      <c r="AK39">
        <v>16.886609129976701</v>
      </c>
      <c r="AL39">
        <v>90.7021143106994</v>
      </c>
      <c r="AM39">
        <v>93.944806736944798</v>
      </c>
      <c r="AN39">
        <v>1.00000001990786</v>
      </c>
    </row>
    <row r="40" spans="1:40" x14ac:dyDescent="0.25">
      <c r="A40" t="str">
        <f>"20190305135157780"</f>
        <v>20190305135157780</v>
      </c>
      <c r="B40" t="str">
        <f>"1551765117769293"</f>
        <v>1551765117769293</v>
      </c>
      <c r="C40" t="s">
        <v>40</v>
      </c>
      <c r="D40">
        <v>5.021496</v>
      </c>
      <c r="E40">
        <v>0.53459679999999998</v>
      </c>
      <c r="F40" t="s">
        <v>41</v>
      </c>
      <c r="G40">
        <v>-473.7527</v>
      </c>
      <c r="H40">
        <v>1.0572859999999999</v>
      </c>
      <c r="I40">
        <v>367.22219999999999</v>
      </c>
      <c r="J40">
        <v>-474.42189999999999</v>
      </c>
      <c r="K40">
        <v>1.1076140000000001</v>
      </c>
      <c r="L40">
        <v>367.23649999999998</v>
      </c>
      <c r="M40">
        <v>0.9999806</v>
      </c>
      <c r="N40">
        <v>3.078894E-3</v>
      </c>
      <c r="O40">
        <v>5.4240369999999996E-3</v>
      </c>
      <c r="P40">
        <v>0.99717679999999997</v>
      </c>
      <c r="Q40">
        <v>-1.2950440000000001E-2</v>
      </c>
      <c r="R40">
        <v>7.3965429999999999E-2</v>
      </c>
      <c r="S40">
        <v>3.0104060000000001</v>
      </c>
      <c r="T40">
        <v>-0.1960307</v>
      </c>
      <c r="U40">
        <v>-5.1452640000000001E-2</v>
      </c>
      <c r="V40">
        <v>-6.8553589999999998E-2</v>
      </c>
      <c r="W40">
        <v>-1.602905E-2</v>
      </c>
      <c r="X40">
        <v>0.99751869999999998</v>
      </c>
      <c r="Y40">
        <v>2.2454229999999999E-2</v>
      </c>
      <c r="Z40">
        <v>-1.0651370000000001E-3</v>
      </c>
      <c r="AA40">
        <v>0.99974730000000001</v>
      </c>
      <c r="AB40">
        <v>11</v>
      </c>
      <c r="AC40">
        <v>0.66919999999998903</v>
      </c>
      <c r="AD40">
        <v>-5.0327999999999901E-2</v>
      </c>
      <c r="AE40">
        <v>-1.42999999999915E-2</v>
      </c>
      <c r="AF40">
        <v>1.78287791213575E-2</v>
      </c>
      <c r="AG40">
        <v>-5.0327999999999901E-2</v>
      </c>
      <c r="AH40">
        <v>0.66535110016751697</v>
      </c>
      <c r="AI40">
        <v>94.324141674736595</v>
      </c>
      <c r="AJ40">
        <v>88.465066923810696</v>
      </c>
      <c r="AK40">
        <v>0.66748996954492401</v>
      </c>
      <c r="AL40">
        <v>90.9184362088493</v>
      </c>
      <c r="AM40">
        <v>93.931420153735104</v>
      </c>
      <c r="AN40">
        <v>1.0000000409977301</v>
      </c>
    </row>
    <row r="41" spans="1:40" x14ac:dyDescent="0.25">
      <c r="A41" t="str">
        <f>"20190305135157801"</f>
        <v>20190305135157801</v>
      </c>
      <c r="B41" t="str">
        <f>"1551765117789789"</f>
        <v>1551765117789789</v>
      </c>
      <c r="C41" t="s">
        <v>40</v>
      </c>
      <c r="D41">
        <v>5.059164</v>
      </c>
      <c r="E41">
        <v>0.53546539999999998</v>
      </c>
      <c r="F41" t="s">
        <v>41</v>
      </c>
      <c r="G41">
        <v>-473.65780000000001</v>
      </c>
      <c r="H41">
        <v>1.0566260000000001</v>
      </c>
      <c r="I41">
        <v>367.22059999999999</v>
      </c>
      <c r="J41">
        <v>-474.3141</v>
      </c>
      <c r="K41">
        <v>1.1075889999999999</v>
      </c>
      <c r="L41">
        <v>367.23719999999997</v>
      </c>
      <c r="M41">
        <v>0.99997950000000002</v>
      </c>
      <c r="N41">
        <v>3.0854440000000001E-3</v>
      </c>
      <c r="O41">
        <v>5.6185089999999998E-3</v>
      </c>
      <c r="P41">
        <v>0.99715299999999996</v>
      </c>
      <c r="Q41">
        <v>-1.6810450000000001E-2</v>
      </c>
      <c r="R41">
        <v>7.3508989999999996E-2</v>
      </c>
      <c r="S41">
        <v>3.010345</v>
      </c>
      <c r="T41">
        <v>-0.2013276</v>
      </c>
      <c r="U41">
        <v>-6.011963E-2</v>
      </c>
      <c r="V41">
        <v>-6.7903379999999999E-2</v>
      </c>
      <c r="W41">
        <v>-1.989573E-2</v>
      </c>
      <c r="X41">
        <v>0.99749350000000003</v>
      </c>
      <c r="Y41">
        <v>2.551606E-2</v>
      </c>
      <c r="Z41">
        <v>-1.205411E-3</v>
      </c>
      <c r="AA41">
        <v>0.9996737</v>
      </c>
      <c r="AB41">
        <v>11</v>
      </c>
      <c r="AC41">
        <v>0.656299999999987</v>
      </c>
      <c r="AD41">
        <v>-5.09629999999998E-2</v>
      </c>
      <c r="AE41">
        <v>-1.6599999999982601E-2</v>
      </c>
      <c r="AF41">
        <v>2.0165665013635502E-2</v>
      </c>
      <c r="AG41">
        <v>-5.09629999999998E-2</v>
      </c>
      <c r="AH41">
        <v>0.65226583482685296</v>
      </c>
      <c r="AI41">
        <v>94.465447238236294</v>
      </c>
      <c r="AJ41">
        <v>88.229188889929006</v>
      </c>
      <c r="AK41">
        <v>0.65456443586312696</v>
      </c>
      <c r="AL41">
        <v>91.1400165832478</v>
      </c>
      <c r="AM41">
        <v>93.894345183320496</v>
      </c>
      <c r="AN41">
        <v>0.99999999581495302</v>
      </c>
    </row>
    <row r="42" spans="1:40" x14ac:dyDescent="0.25">
      <c r="A42" t="str">
        <f>"20190305135157848"</f>
        <v>20190305135157848</v>
      </c>
      <c r="B42" t="str">
        <f>"1551765117839565"</f>
        <v>1551765117839565</v>
      </c>
      <c r="C42" t="s">
        <v>40</v>
      </c>
      <c r="D42">
        <v>4.9415290000000001</v>
      </c>
      <c r="E42">
        <v>0.56348719999999997</v>
      </c>
      <c r="F42" t="s">
        <v>41</v>
      </c>
      <c r="G42">
        <v>-473.55860000000001</v>
      </c>
      <c r="H42">
        <v>1.055207</v>
      </c>
      <c r="I42">
        <v>367.2199</v>
      </c>
      <c r="J42">
        <v>-474.07330000000002</v>
      </c>
      <c r="K42">
        <v>1.107542</v>
      </c>
      <c r="L42">
        <v>367.23899999999998</v>
      </c>
      <c r="M42">
        <v>0.99997709999999995</v>
      </c>
      <c r="N42">
        <v>3.0936100000000001E-3</v>
      </c>
      <c r="O42">
        <v>6.0415549999999997E-3</v>
      </c>
      <c r="P42">
        <v>0.99714100000000006</v>
      </c>
      <c r="Q42">
        <v>-2.3464639999999998E-2</v>
      </c>
      <c r="R42">
        <v>7.1831510000000001E-2</v>
      </c>
      <c r="S42">
        <v>3.01004</v>
      </c>
      <c r="T42">
        <v>-0.20873710000000001</v>
      </c>
      <c r="U42">
        <v>-6.8145750000000005E-2</v>
      </c>
      <c r="V42">
        <v>-6.580308E-2</v>
      </c>
      <c r="W42">
        <v>-2.6558410000000001E-2</v>
      </c>
      <c r="X42">
        <v>0.99747909999999995</v>
      </c>
      <c r="Y42">
        <v>2.859192E-2</v>
      </c>
      <c r="Z42">
        <v>-1.3828600000000001E-3</v>
      </c>
      <c r="AA42">
        <v>0.99959019999999998</v>
      </c>
      <c r="AB42">
        <v>11</v>
      </c>
      <c r="AC42">
        <v>0.51470000000000404</v>
      </c>
      <c r="AD42">
        <v>-5.2335E-2</v>
      </c>
      <c r="AE42">
        <v>-1.9100000000037198E-2</v>
      </c>
      <c r="AF42">
        <v>2.1982293110010601E-2</v>
      </c>
      <c r="AG42">
        <v>-5.2335E-2</v>
      </c>
      <c r="AH42">
        <v>0.50931665800481196</v>
      </c>
      <c r="AI42">
        <v>95.861436895772201</v>
      </c>
      <c r="AJ42">
        <v>87.528627025567104</v>
      </c>
      <c r="AK42">
        <v>0.51247012747726595</v>
      </c>
      <c r="AL42">
        <v>91.521863785393407</v>
      </c>
      <c r="AM42">
        <v>93.774298320015504</v>
      </c>
      <c r="AN42">
        <v>0.99999997470801105</v>
      </c>
    </row>
    <row r="43" spans="1:40" x14ac:dyDescent="0.25">
      <c r="A43" t="str">
        <f>"20190305135157871"</f>
        <v>20190305135157871</v>
      </c>
      <c r="B43" t="str">
        <f>"1551765117860062"</f>
        <v>1551765117860062</v>
      </c>
      <c r="C43" t="s">
        <v>40</v>
      </c>
      <c r="D43">
        <v>4.9329929999999997</v>
      </c>
      <c r="E43">
        <v>0.58169539999999997</v>
      </c>
      <c r="F43" t="s">
        <v>42</v>
      </c>
      <c r="G43">
        <v>-378.27850000000001</v>
      </c>
      <c r="H43">
        <v>7.9985940000000005E-2</v>
      </c>
      <c r="I43">
        <v>358.11059999999998</v>
      </c>
      <c r="J43">
        <v>-473.94709999999998</v>
      </c>
      <c r="K43">
        <v>1.1075250000000001</v>
      </c>
      <c r="L43">
        <v>367.24009999999998</v>
      </c>
      <c r="M43">
        <v>0.99997570000000002</v>
      </c>
      <c r="N43">
        <v>3.0953399999999998E-3</v>
      </c>
      <c r="O43">
        <v>6.2577300000000004E-3</v>
      </c>
      <c r="P43">
        <v>0.99720940000000002</v>
      </c>
      <c r="Q43">
        <v>-2.6106879999999999E-2</v>
      </c>
      <c r="R43">
        <v>6.9941649999999994E-2</v>
      </c>
      <c r="S43">
        <v>3.0286559999999998</v>
      </c>
      <c r="T43">
        <v>-3.2487269999999999E-2</v>
      </c>
      <c r="U43">
        <v>-0.28860469999999999</v>
      </c>
      <c r="V43">
        <v>-6.36964E-2</v>
      </c>
      <c r="W43">
        <v>-2.920263E-2</v>
      </c>
      <c r="X43">
        <v>0.99754200000000004</v>
      </c>
      <c r="Y43">
        <v>0.1010846</v>
      </c>
      <c r="Z43">
        <v>-4.7040489999999999E-4</v>
      </c>
      <c r="AA43">
        <v>0.99487769999999998</v>
      </c>
      <c r="AB43">
        <v>12</v>
      </c>
      <c r="AC43">
        <v>95.668599999999898</v>
      </c>
      <c r="AD43">
        <v>-1.0275390600000001</v>
      </c>
      <c r="AE43">
        <v>-9.1295000000000002</v>
      </c>
      <c r="AF43">
        <v>9.7268803654004792</v>
      </c>
      <c r="AG43">
        <v>-1.0275390600000001</v>
      </c>
      <c r="AH43">
        <v>95.5986677918727</v>
      </c>
      <c r="AI43">
        <v>90.612655206171198</v>
      </c>
      <c r="AJ43">
        <v>84.190317810793104</v>
      </c>
      <c r="AK43">
        <v>96.097727973888595</v>
      </c>
      <c r="AL43">
        <v>91.673425299061094</v>
      </c>
      <c r="AM43">
        <v>93.653567435003794</v>
      </c>
      <c r="AN43">
        <v>1.00000003336793</v>
      </c>
    </row>
    <row r="44" spans="1:40" x14ac:dyDescent="0.25">
      <c r="A44" t="str">
        <f>"20190305135157894"</f>
        <v>20190305135157894</v>
      </c>
      <c r="B44" t="str">
        <f>"1551765117890317"</f>
        <v>1551765117890317</v>
      </c>
      <c r="C44" t="s">
        <v>40</v>
      </c>
      <c r="D44">
        <v>4.8524649999999996</v>
      </c>
      <c r="E44">
        <v>0.59010050000000003</v>
      </c>
      <c r="F44" t="s">
        <v>43</v>
      </c>
      <c r="G44">
        <v>-338.3451</v>
      </c>
      <c r="H44">
        <v>1.5090619999999999</v>
      </c>
      <c r="I44">
        <v>347.74599999999998</v>
      </c>
      <c r="J44">
        <v>-473.8218</v>
      </c>
      <c r="K44">
        <v>1.1075090000000001</v>
      </c>
      <c r="L44">
        <v>367.24110000000002</v>
      </c>
      <c r="M44">
        <v>0.99997429999999998</v>
      </c>
      <c r="N44">
        <v>3.0958589999999999E-3</v>
      </c>
      <c r="O44">
        <v>6.4687819999999898E-3</v>
      </c>
      <c r="P44">
        <v>0.99725220000000003</v>
      </c>
      <c r="Q44">
        <v>-2.7526040000000002E-2</v>
      </c>
      <c r="R44">
        <v>6.8778930000000002E-2</v>
      </c>
      <c r="S44">
        <v>3.0392459999999999</v>
      </c>
      <c r="T44">
        <v>9.0013739999999995E-3</v>
      </c>
      <c r="U44">
        <v>-0.43692019999999998</v>
      </c>
      <c r="V44">
        <v>-6.2322820000000001E-2</v>
      </c>
      <c r="W44">
        <v>-3.0622549999999998E-2</v>
      </c>
      <c r="X44">
        <v>0.99758610000000003</v>
      </c>
      <c r="Y44">
        <v>0.1486952</v>
      </c>
      <c r="Z44">
        <v>4.4955910000000002E-4</v>
      </c>
      <c r="AA44">
        <v>0.98888299999999996</v>
      </c>
      <c r="AB44">
        <v>12</v>
      </c>
      <c r="AC44">
        <v>135.47669999999999</v>
      </c>
      <c r="AD44">
        <v>0.40155299999999999</v>
      </c>
      <c r="AE44">
        <v>-19.495100000000001</v>
      </c>
      <c r="AF44">
        <v>20.370890195466</v>
      </c>
      <c r="AG44">
        <v>0.40155299999999999</v>
      </c>
      <c r="AH44">
        <v>135.34659033047001</v>
      </c>
      <c r="AI44">
        <v>89.831905773402596</v>
      </c>
      <c r="AJ44">
        <v>81.440710475658804</v>
      </c>
      <c r="AK44">
        <v>136.871596491937</v>
      </c>
      <c r="AL44">
        <v>91.754817292941993</v>
      </c>
      <c r="AM44">
        <v>93.574829081174897</v>
      </c>
      <c r="AN44">
        <v>0.99999995068723102</v>
      </c>
    </row>
    <row r="45" spans="1:40" x14ac:dyDescent="0.25">
      <c r="A45" t="str">
        <f>"20190305135157916"</f>
        <v>20190305135157916</v>
      </c>
      <c r="B45" t="str">
        <f>"1551765117909837"</f>
        <v>1551765117909837</v>
      </c>
      <c r="C45" t="s">
        <v>40</v>
      </c>
      <c r="D45">
        <v>4.798851</v>
      </c>
      <c r="E45">
        <v>0.59248190000000001</v>
      </c>
      <c r="F45" t="s">
        <v>43</v>
      </c>
      <c r="G45">
        <v>-361.19130000000001</v>
      </c>
      <c r="H45">
        <v>2.2661570000000002</v>
      </c>
      <c r="I45">
        <v>348.51170000000002</v>
      </c>
      <c r="J45">
        <v>-473.69450000000001</v>
      </c>
      <c r="K45">
        <v>1.107504</v>
      </c>
      <c r="L45">
        <v>367.24209999999999</v>
      </c>
      <c r="M45">
        <v>0.99997290000000005</v>
      </c>
      <c r="N45">
        <v>3.0954609999999999E-3</v>
      </c>
      <c r="O45">
        <v>6.679656E-3</v>
      </c>
      <c r="P45">
        <v>0.99730960000000002</v>
      </c>
      <c r="Q45">
        <v>-2.768263E-2</v>
      </c>
      <c r="R45">
        <v>6.7878259999999996E-2</v>
      </c>
      <c r="S45">
        <v>3.0440369999999999</v>
      </c>
      <c r="T45">
        <v>3.131652E-2</v>
      </c>
      <c r="U45">
        <v>-0.50619510000000001</v>
      </c>
      <c r="V45">
        <v>-6.1210809999999997E-2</v>
      </c>
      <c r="W45">
        <v>-3.077906E-2</v>
      </c>
      <c r="X45">
        <v>0.99765020000000004</v>
      </c>
      <c r="Y45">
        <v>0.17061209999999999</v>
      </c>
      <c r="Z45">
        <v>1.1852029999999999E-3</v>
      </c>
      <c r="AA45">
        <v>0.98533760000000004</v>
      </c>
      <c r="AB45">
        <v>12</v>
      </c>
      <c r="AC45">
        <v>112.50320000000001</v>
      </c>
      <c r="AD45">
        <v>1.1586529999999899</v>
      </c>
      <c r="AE45">
        <v>-18.7303999999999</v>
      </c>
      <c r="AF45">
        <v>19.4794580238135</v>
      </c>
      <c r="AG45">
        <v>1.1586529999999899</v>
      </c>
      <c r="AH45">
        <v>112.363980311955</v>
      </c>
      <c r="AI45">
        <v>89.417891408881999</v>
      </c>
      <c r="AJ45">
        <v>80.164933712763698</v>
      </c>
      <c r="AK45">
        <v>114.045849697485</v>
      </c>
      <c r="AL45">
        <v>91.763788766687398</v>
      </c>
      <c r="AM45">
        <v>93.5109803132775</v>
      </c>
      <c r="AN45">
        <v>1.00000001767768</v>
      </c>
    </row>
    <row r="46" spans="1:40" x14ac:dyDescent="0.25">
      <c r="A46" t="str">
        <f>"20190305135157938"</f>
        <v>20190305135157938</v>
      </c>
      <c r="B46" t="str">
        <f>"1551765117929357"</f>
        <v>1551765117929357</v>
      </c>
      <c r="C46" t="s">
        <v>40</v>
      </c>
      <c r="D46">
        <v>4.7398699999999998</v>
      </c>
      <c r="E46">
        <v>0.59368959999999904</v>
      </c>
      <c r="F46" t="s">
        <v>43</v>
      </c>
      <c r="G46">
        <v>-365.541</v>
      </c>
      <c r="H46">
        <v>2.5942379999999998</v>
      </c>
      <c r="I46">
        <v>348.51170000000002</v>
      </c>
      <c r="J46">
        <v>-473.57229999999998</v>
      </c>
      <c r="K46">
        <v>1.1075060000000001</v>
      </c>
      <c r="L46">
        <v>367.24310000000003</v>
      </c>
      <c r="M46">
        <v>0.99997170000000002</v>
      </c>
      <c r="N46">
        <v>3.094407E-3</v>
      </c>
      <c r="O46">
        <v>6.8780760000000003E-3</v>
      </c>
      <c r="P46">
        <v>0.99736029999999998</v>
      </c>
      <c r="Q46">
        <v>-2.808366E-2</v>
      </c>
      <c r="R46">
        <v>6.6963060000000005E-2</v>
      </c>
      <c r="S46">
        <v>3.045166</v>
      </c>
      <c r="T46">
        <v>4.1862610000000001E-2</v>
      </c>
      <c r="U46">
        <v>-0.52737429999999996</v>
      </c>
      <c r="V46">
        <v>-6.0097329999999997E-2</v>
      </c>
      <c r="W46">
        <v>-3.1179269999999999E-2</v>
      </c>
      <c r="X46">
        <v>0.99770550000000002</v>
      </c>
      <c r="Y46">
        <v>0.17739669999999999</v>
      </c>
      <c r="Z46">
        <v>1.55954799999999E-3</v>
      </c>
      <c r="AA46">
        <v>0.98413819999999996</v>
      </c>
      <c r="AB46">
        <v>12</v>
      </c>
      <c r="AC46">
        <v>108.0313</v>
      </c>
      <c r="AD46">
        <v>1.4867319999999999</v>
      </c>
      <c r="AE46">
        <v>-18.731400000000001</v>
      </c>
      <c r="AF46">
        <v>19.470427907056099</v>
      </c>
      <c r="AG46">
        <v>1.4867319999999999</v>
      </c>
      <c r="AH46">
        <v>107.880072476924</v>
      </c>
      <c r="AI46">
        <v>89.222989451642306</v>
      </c>
      <c r="AJ46">
        <v>79.769270085737304</v>
      </c>
      <c r="AK46">
        <v>109.63310618855</v>
      </c>
      <c r="AL46">
        <v>91.786730063126498</v>
      </c>
      <c r="AM46">
        <v>93.447077236967104</v>
      </c>
      <c r="AN46">
        <v>1.00000005034055</v>
      </c>
    </row>
    <row r="47" spans="1:40" x14ac:dyDescent="0.25">
      <c r="A47" t="str">
        <f>"20190305135157959"</f>
        <v>20190305135157959</v>
      </c>
      <c r="B47" t="str">
        <f>"1551765117949853"</f>
        <v>1551765117949853</v>
      </c>
      <c r="C47" t="s">
        <v>40</v>
      </c>
      <c r="D47">
        <v>4.747268</v>
      </c>
      <c r="E47">
        <v>0.59450360000000002</v>
      </c>
      <c r="F47" t="s">
        <v>43</v>
      </c>
      <c r="G47">
        <v>-367.81369999999998</v>
      </c>
      <c r="H47">
        <v>2.7659590000000001</v>
      </c>
      <c r="I47">
        <v>348.51170000000002</v>
      </c>
      <c r="J47">
        <v>-473.44409999999999</v>
      </c>
      <c r="K47">
        <v>1.1074999999999999</v>
      </c>
      <c r="L47">
        <v>367.24419999999998</v>
      </c>
      <c r="M47">
        <v>0.99997020000000003</v>
      </c>
      <c r="N47">
        <v>3.097163E-3</v>
      </c>
      <c r="O47">
        <v>7.0814989999999998E-3</v>
      </c>
      <c r="P47">
        <v>0.99738159999999998</v>
      </c>
      <c r="Q47">
        <v>-2.7262109999999999E-2</v>
      </c>
      <c r="R47">
        <v>6.6985240000000001E-2</v>
      </c>
      <c r="S47">
        <v>3.045471</v>
      </c>
      <c r="T47">
        <v>4.775977E-2</v>
      </c>
      <c r="U47">
        <v>-0.53939820000000005</v>
      </c>
      <c r="V47">
        <v>-5.9916619999999997E-2</v>
      </c>
      <c r="W47">
        <v>-3.0360620000000001E-2</v>
      </c>
      <c r="X47">
        <v>0.99774160000000001</v>
      </c>
      <c r="Y47">
        <v>0.18134259999999999</v>
      </c>
      <c r="Z47">
        <v>1.7823239999999901E-3</v>
      </c>
      <c r="AA47">
        <v>0.98341829999999997</v>
      </c>
      <c r="AB47">
        <v>13</v>
      </c>
      <c r="AC47">
        <v>105.63039999999999</v>
      </c>
      <c r="AD47">
        <v>1.6584589999999999</v>
      </c>
      <c r="AE47">
        <v>-18.732499999999899</v>
      </c>
      <c r="AF47">
        <v>19.4754009331639</v>
      </c>
      <c r="AG47">
        <v>1.6584589999999999</v>
      </c>
      <c r="AH47">
        <v>105.46989010044</v>
      </c>
      <c r="AI47">
        <v>89.114102177247105</v>
      </c>
      <c r="AJ47">
        <v>79.537970338593695</v>
      </c>
      <c r="AK47">
        <v>107.265742180628</v>
      </c>
      <c r="AL47">
        <v>91.739802681420898</v>
      </c>
      <c r="AM47">
        <v>93.436612861259604</v>
      </c>
      <c r="AN47">
        <v>1.0000000344847799</v>
      </c>
    </row>
    <row r="48" spans="1:40" x14ac:dyDescent="0.25">
      <c r="A48" t="str">
        <f>"20190305135157981"</f>
        <v>20190305135157981</v>
      </c>
      <c r="B48" t="str">
        <f>"1551765117969376"</f>
        <v>1551765117969376</v>
      </c>
      <c r="C48" t="s">
        <v>40</v>
      </c>
      <c r="D48">
        <v>4.7534640000000001</v>
      </c>
      <c r="E48">
        <v>0.59515609999999997</v>
      </c>
      <c r="F48" t="s">
        <v>44</v>
      </c>
      <c r="G48">
        <v>-364.17380000000003</v>
      </c>
      <c r="H48">
        <v>3.0466449999999998</v>
      </c>
      <c r="I48">
        <v>347.67509999999999</v>
      </c>
      <c r="J48">
        <v>-473.31689999999998</v>
      </c>
      <c r="K48">
        <v>1.107491</v>
      </c>
      <c r="L48">
        <v>367.24529999999999</v>
      </c>
      <c r="M48">
        <v>0.99996879999999999</v>
      </c>
      <c r="N48">
        <v>3.1113180000000001E-3</v>
      </c>
      <c r="O48">
        <v>7.2765039999999996E-3</v>
      </c>
      <c r="P48">
        <v>0.99734769999999995</v>
      </c>
      <c r="Q48">
        <v>-2.8108129999999999E-2</v>
      </c>
      <c r="R48">
        <v>6.7141519999999996E-2</v>
      </c>
      <c r="S48">
        <v>3.0459900000000002</v>
      </c>
      <c r="T48">
        <v>5.4057239999999999E-2</v>
      </c>
      <c r="U48">
        <v>-0.54550169999999998</v>
      </c>
      <c r="V48">
        <v>-5.987841E-2</v>
      </c>
      <c r="W48">
        <v>-3.1220629999999999E-2</v>
      </c>
      <c r="X48">
        <v>0.99771730000000003</v>
      </c>
      <c r="Y48">
        <v>0.18340799999999999</v>
      </c>
      <c r="Z48">
        <v>2.0077739999999999E-3</v>
      </c>
      <c r="AA48">
        <v>0.98303479999999999</v>
      </c>
      <c r="AB48">
        <v>13</v>
      </c>
      <c r="AC48">
        <v>109.143099999999</v>
      </c>
      <c r="AD48">
        <v>1.939154</v>
      </c>
      <c r="AE48">
        <v>-19.5702</v>
      </c>
      <c r="AF48">
        <v>20.357639748153201</v>
      </c>
      <c r="AG48">
        <v>1.939154</v>
      </c>
      <c r="AH48">
        <v>108.964481927733</v>
      </c>
      <c r="AI48">
        <v>88.997797499289305</v>
      </c>
      <c r="AJ48">
        <v>79.417532419932101</v>
      </c>
      <c r="AK48">
        <v>110.866821620043</v>
      </c>
      <c r="AL48">
        <v>91.789101094396301</v>
      </c>
      <c r="AM48">
        <v>93.434509960895099</v>
      </c>
      <c r="AN48">
        <v>0.99999998122050704</v>
      </c>
    </row>
    <row r="49" spans="1:40" x14ac:dyDescent="0.25">
      <c r="A49" t="str">
        <f>"20190305135158001"</f>
        <v>20190305135158001</v>
      </c>
      <c r="B49" t="str">
        <f>"1551765117999628"</f>
        <v>1551765117999628</v>
      </c>
      <c r="C49" t="s">
        <v>40</v>
      </c>
      <c r="D49">
        <v>4.777431</v>
      </c>
      <c r="E49">
        <v>0.59566390000000002</v>
      </c>
      <c r="F49" t="s">
        <v>44</v>
      </c>
      <c r="G49">
        <v>-364.1232</v>
      </c>
      <c r="H49">
        <v>3.1377060000000001</v>
      </c>
      <c r="I49">
        <v>347.53199999999998</v>
      </c>
      <c r="J49">
        <v>-473.18630000000002</v>
      </c>
      <c r="K49">
        <v>1.1074759999999999</v>
      </c>
      <c r="L49">
        <v>367.24650000000003</v>
      </c>
      <c r="M49">
        <v>0.9999673</v>
      </c>
      <c r="N49">
        <v>3.1434029999999999E-3</v>
      </c>
      <c r="O49">
        <v>7.4686229999999998E-3</v>
      </c>
      <c r="P49">
        <v>0.99726740000000003</v>
      </c>
      <c r="Q49">
        <v>-2.844789E-2</v>
      </c>
      <c r="R49">
        <v>6.8179840000000005E-2</v>
      </c>
      <c r="S49">
        <v>3.0466000000000002</v>
      </c>
      <c r="T49">
        <v>5.664694E-2</v>
      </c>
      <c r="U49">
        <v>-0.55001829999999996</v>
      </c>
      <c r="V49">
        <v>-6.0725929999999997E-2</v>
      </c>
      <c r="W49">
        <v>-3.1592059999999998E-2</v>
      </c>
      <c r="X49">
        <v>0.99765440000000005</v>
      </c>
      <c r="Y49">
        <v>0.18497069999999999</v>
      </c>
      <c r="Z49">
        <v>2.1132540000000002E-3</v>
      </c>
      <c r="AA49">
        <v>0.9827418</v>
      </c>
      <c r="AB49">
        <v>13</v>
      </c>
      <c r="AC49">
        <v>109.06310000000001</v>
      </c>
      <c r="AD49">
        <v>2.03023</v>
      </c>
      <c r="AE49">
        <v>-19.714500000000001</v>
      </c>
      <c r="AF49">
        <v>20.521618991439301</v>
      </c>
      <c r="AG49">
        <v>2.03023</v>
      </c>
      <c r="AH49">
        <v>108.876282659013</v>
      </c>
      <c r="AI49">
        <v>88.950203055396003</v>
      </c>
      <c r="AJ49">
        <v>79.325797804774496</v>
      </c>
      <c r="AK49">
        <v>110.81201922863799</v>
      </c>
      <c r="AL49">
        <v>91.810392936801307</v>
      </c>
      <c r="AM49">
        <v>93.483222285973</v>
      </c>
      <c r="AN49">
        <v>0.99999999933438399</v>
      </c>
    </row>
    <row r="50" spans="1:40" x14ac:dyDescent="0.25">
      <c r="A50" t="str">
        <f>"20190305135158025"</f>
        <v>20190305135158025</v>
      </c>
      <c r="B50" t="str">
        <f>"1551765118020126"</f>
        <v>1551765118020126</v>
      </c>
      <c r="C50" t="s">
        <v>40</v>
      </c>
      <c r="D50">
        <v>4.7154829999999999</v>
      </c>
      <c r="E50">
        <v>0.59575800000000001</v>
      </c>
      <c r="F50" t="s">
        <v>44</v>
      </c>
      <c r="G50">
        <v>-364.07929999999999</v>
      </c>
      <c r="H50">
        <v>3.2282829999999998</v>
      </c>
      <c r="I50">
        <v>347.53199999999998</v>
      </c>
      <c r="J50">
        <v>-473.03859999999997</v>
      </c>
      <c r="K50">
        <v>1.107453</v>
      </c>
      <c r="L50">
        <v>367.24779999999998</v>
      </c>
      <c r="M50">
        <v>0.99996549999999995</v>
      </c>
      <c r="N50">
        <v>3.2055619999999999E-3</v>
      </c>
      <c r="O50">
        <v>7.6733950000000004E-3</v>
      </c>
      <c r="P50">
        <v>0.99718819999999997</v>
      </c>
      <c r="Q50">
        <v>-2.8127849999999999E-2</v>
      </c>
      <c r="R50">
        <v>6.9461439999999999E-2</v>
      </c>
      <c r="S50">
        <v>3.0475460000000001</v>
      </c>
      <c r="T50">
        <v>5.9239859999999998E-2</v>
      </c>
      <c r="U50">
        <v>-0.55065920000000002</v>
      </c>
      <c r="V50">
        <v>-6.1803919999999998E-2</v>
      </c>
      <c r="W50">
        <v>-3.1333470000000002E-2</v>
      </c>
      <c r="X50">
        <v>0.99759640000000005</v>
      </c>
      <c r="Y50">
        <v>0.18531529999999999</v>
      </c>
      <c r="Z50">
        <v>2.2095159999999999E-3</v>
      </c>
      <c r="AA50">
        <v>0.98267660000000001</v>
      </c>
      <c r="AB50">
        <v>13</v>
      </c>
      <c r="AC50">
        <v>108.959299999999</v>
      </c>
      <c r="AD50">
        <v>2.12082999999999</v>
      </c>
      <c r="AE50">
        <v>-19.715800000000002</v>
      </c>
      <c r="AF50">
        <v>20.5437749859815</v>
      </c>
      <c r="AG50">
        <v>2.12082999999999</v>
      </c>
      <c r="AH50">
        <v>108.76490354648401</v>
      </c>
      <c r="AI50">
        <v>88.902323161454404</v>
      </c>
      <c r="AJ50">
        <v>79.303848767350402</v>
      </c>
      <c r="AK50">
        <v>110.708395589673</v>
      </c>
      <c r="AL50">
        <v>91.795569402026501</v>
      </c>
      <c r="AM50">
        <v>93.545104758906504</v>
      </c>
      <c r="AN50">
        <v>1.00000004408128</v>
      </c>
    </row>
    <row r="51" spans="1:40" x14ac:dyDescent="0.25">
      <c r="A51" t="str">
        <f>"20190305135158048"</f>
        <v>20190305135158048</v>
      </c>
      <c r="B51" t="str">
        <f>"1551765118039645"</f>
        <v>1551765118039645</v>
      </c>
      <c r="C51" t="s">
        <v>40</v>
      </c>
      <c r="D51">
        <v>4.7319100000000001</v>
      </c>
      <c r="E51">
        <v>0.59580049999999996</v>
      </c>
      <c r="F51" t="s">
        <v>45</v>
      </c>
      <c r="G51">
        <v>-362.01249999999999</v>
      </c>
      <c r="H51">
        <v>3.341872</v>
      </c>
      <c r="I51">
        <v>347.29719999999998</v>
      </c>
      <c r="J51">
        <v>-472.89299999999997</v>
      </c>
      <c r="K51">
        <v>1.1074109999999999</v>
      </c>
      <c r="L51">
        <v>367.24919999999997</v>
      </c>
      <c r="M51">
        <v>0.99996379999999996</v>
      </c>
      <c r="N51">
        <v>3.3014009999999998E-3</v>
      </c>
      <c r="O51">
        <v>7.8564789999999995E-3</v>
      </c>
      <c r="P51">
        <v>0.99708960000000002</v>
      </c>
      <c r="Q51">
        <v>-2.8377449999999999E-2</v>
      </c>
      <c r="R51">
        <v>7.0760530000000002E-2</v>
      </c>
      <c r="S51">
        <v>3.0483090000000002</v>
      </c>
      <c r="T51">
        <v>6.1349750000000002E-2</v>
      </c>
      <c r="U51">
        <v>-0.54776000000000002</v>
      </c>
      <c r="V51">
        <v>-6.2921060000000001E-2</v>
      </c>
      <c r="W51">
        <v>-3.1677709999999998E-2</v>
      </c>
      <c r="X51">
        <v>0.99751559999999995</v>
      </c>
      <c r="Y51">
        <v>0.18454419999999999</v>
      </c>
      <c r="Z51">
        <v>2.2803480000000002E-3</v>
      </c>
      <c r="AA51">
        <v>0.98282159999999996</v>
      </c>
      <c r="AB51">
        <v>14</v>
      </c>
      <c r="AC51">
        <v>110.8805</v>
      </c>
      <c r="AD51">
        <v>2.234461</v>
      </c>
      <c r="AE51">
        <v>-19.952000000000002</v>
      </c>
      <c r="AF51">
        <v>20.8143315556127</v>
      </c>
      <c r="AG51">
        <v>2.234461</v>
      </c>
      <c r="AH51">
        <v>110.676788185848</v>
      </c>
      <c r="AI51">
        <v>88.863329755425397</v>
      </c>
      <c r="AJ51">
        <v>79.349124549385607</v>
      </c>
      <c r="AK51">
        <v>112.63916129483</v>
      </c>
      <c r="AL51">
        <v>91.815302858838507</v>
      </c>
      <c r="AM51">
        <v>93.609308182881705</v>
      </c>
      <c r="AN51">
        <v>0.99999995467286196</v>
      </c>
    </row>
    <row r="52" spans="1:40" x14ac:dyDescent="0.25">
      <c r="A52" t="str">
        <f>"20190305135158071"</f>
        <v>20190305135158071</v>
      </c>
      <c r="B52" t="str">
        <f>"1551765118060141"</f>
        <v>1551765118060141</v>
      </c>
      <c r="C52" t="s">
        <v>40</v>
      </c>
      <c r="D52">
        <v>4.7124439999999996</v>
      </c>
      <c r="E52">
        <v>0.59602239999999995</v>
      </c>
      <c r="F52" t="s">
        <v>45</v>
      </c>
      <c r="G52">
        <v>-361.05149999999998</v>
      </c>
      <c r="H52">
        <v>3.3892690000000001</v>
      </c>
      <c r="I52">
        <v>347.29719999999998</v>
      </c>
      <c r="J52">
        <v>-472.74430000000001</v>
      </c>
      <c r="K52">
        <v>1.1073660000000001</v>
      </c>
      <c r="L52">
        <v>367.25049999999999</v>
      </c>
      <c r="M52">
        <v>0.99996209999999996</v>
      </c>
      <c r="N52">
        <v>3.4281950000000002E-3</v>
      </c>
      <c r="O52">
        <v>8.0221679999999997E-3</v>
      </c>
      <c r="P52">
        <v>0.99701700000000004</v>
      </c>
      <c r="Q52">
        <v>-2.8650620000000002E-2</v>
      </c>
      <c r="R52">
        <v>7.1669369999999996E-2</v>
      </c>
      <c r="S52">
        <v>3.0491030000000001</v>
      </c>
      <c r="T52">
        <v>6.2211750000000003E-2</v>
      </c>
      <c r="U52">
        <v>-0.54394529999999996</v>
      </c>
      <c r="V52">
        <v>-6.3665579999999999E-2</v>
      </c>
      <c r="W52">
        <v>-3.2076109999999998E-2</v>
      </c>
      <c r="X52">
        <v>0.99745569999999895</v>
      </c>
      <c r="Y52">
        <v>0.18346989999999999</v>
      </c>
      <c r="Z52">
        <v>2.3089619999999999E-3</v>
      </c>
      <c r="AA52">
        <v>0.98302259999999997</v>
      </c>
      <c r="AB52">
        <v>14</v>
      </c>
      <c r="AC52">
        <v>111.69280000000001</v>
      </c>
      <c r="AD52">
        <v>2.2819029999999998</v>
      </c>
      <c r="AE52">
        <v>-19.953299999999999</v>
      </c>
      <c r="AF52">
        <v>20.8402519327453</v>
      </c>
      <c r="AG52">
        <v>2.2819029999999998</v>
      </c>
      <c r="AH52">
        <v>111.484042825118</v>
      </c>
      <c r="AI52">
        <v>88.847369913897595</v>
      </c>
      <c r="AJ52">
        <v>79.411629352810706</v>
      </c>
      <c r="AK52">
        <v>113.43815489752301</v>
      </c>
      <c r="AL52">
        <v>91.838140969757006</v>
      </c>
      <c r="AM52">
        <v>93.652119512240702</v>
      </c>
      <c r="AN52">
        <v>1.00000002818597</v>
      </c>
    </row>
    <row r="53" spans="1:40" x14ac:dyDescent="0.25">
      <c r="A53" t="str">
        <f>"20190305135158094"</f>
        <v>20190305135158094</v>
      </c>
      <c r="B53" t="str">
        <f>"1551765118090397"</f>
        <v>1551765118090397</v>
      </c>
      <c r="C53" t="s">
        <v>40</v>
      </c>
      <c r="D53">
        <v>4.7815379999999896</v>
      </c>
      <c r="E53">
        <v>0.59656769999999903</v>
      </c>
      <c r="F53" t="s">
        <v>45</v>
      </c>
      <c r="G53">
        <v>-360.7088</v>
      </c>
      <c r="H53">
        <v>3.44021</v>
      </c>
      <c r="I53">
        <v>347.29719999999998</v>
      </c>
      <c r="J53">
        <v>-472.59469999999999</v>
      </c>
      <c r="K53">
        <v>1.107316</v>
      </c>
      <c r="L53">
        <v>367.25189999999998</v>
      </c>
      <c r="M53">
        <v>0.99996050000000003</v>
      </c>
      <c r="N53">
        <v>3.569736E-3</v>
      </c>
      <c r="O53">
        <v>8.160835E-3</v>
      </c>
      <c r="P53">
        <v>0.99695270000000002</v>
      </c>
      <c r="Q53">
        <v>-2.9162670000000002E-2</v>
      </c>
      <c r="R53">
        <v>7.2355240000000001E-2</v>
      </c>
      <c r="S53">
        <v>3.0498959999999999</v>
      </c>
      <c r="T53">
        <v>6.3508029999999993E-2</v>
      </c>
      <c r="U53">
        <v>-0.54318239999999995</v>
      </c>
      <c r="V53">
        <v>-6.4214969999999996E-2</v>
      </c>
      <c r="W53">
        <v>-3.2727630000000001E-2</v>
      </c>
      <c r="X53">
        <v>0.99739929999999999</v>
      </c>
      <c r="Y53">
        <v>0.1833217</v>
      </c>
      <c r="Z53">
        <v>2.363076E-3</v>
      </c>
      <c r="AA53">
        <v>0.98305019999999999</v>
      </c>
      <c r="AB53">
        <v>15</v>
      </c>
      <c r="AC53">
        <v>111.88590000000001</v>
      </c>
      <c r="AD53">
        <v>2.332894</v>
      </c>
      <c r="AE53">
        <v>-19.954699999999999</v>
      </c>
      <c r="AF53">
        <v>20.858334921609799</v>
      </c>
      <c r="AG53">
        <v>2.332894</v>
      </c>
      <c r="AH53">
        <v>111.672273290734</v>
      </c>
      <c r="AI53">
        <v>88.823573778347594</v>
      </c>
      <c r="AJ53">
        <v>79.420108767653403</v>
      </c>
      <c r="AK53">
        <v>113.627501741602</v>
      </c>
      <c r="AL53">
        <v>91.875489957343106</v>
      </c>
      <c r="AM53">
        <v>93.683756104301807</v>
      </c>
      <c r="AN53">
        <v>1.000000011889</v>
      </c>
    </row>
    <row r="54" spans="1:40" x14ac:dyDescent="0.25">
      <c r="A54" t="str">
        <f>"20190305135158114"</f>
        <v>20190305135158114</v>
      </c>
      <c r="B54" t="str">
        <f>"1551765118109919"</f>
        <v>1551765118109919</v>
      </c>
      <c r="C54" t="s">
        <v>40</v>
      </c>
      <c r="D54">
        <v>4.7647089999999999</v>
      </c>
      <c r="E54">
        <v>0.59699419999999903</v>
      </c>
      <c r="F54" t="s">
        <v>45</v>
      </c>
      <c r="G54">
        <v>-360.93880000000001</v>
      </c>
      <c r="H54">
        <v>3.5176859999999999</v>
      </c>
      <c r="I54">
        <v>347.29719999999998</v>
      </c>
      <c r="J54">
        <v>-472.45100000000002</v>
      </c>
      <c r="K54">
        <v>1.107281</v>
      </c>
      <c r="L54">
        <v>367.25319999999999</v>
      </c>
      <c r="M54">
        <v>0.99995909999999999</v>
      </c>
      <c r="N54">
        <v>3.6929520000000002E-3</v>
      </c>
      <c r="O54">
        <v>8.2602030000000007E-3</v>
      </c>
      <c r="P54">
        <v>0.99690939999999995</v>
      </c>
      <c r="Q54">
        <v>-2.9260709999999999E-2</v>
      </c>
      <c r="R54">
        <v>7.2907600000000003E-2</v>
      </c>
      <c r="S54">
        <v>3.0506289999999998</v>
      </c>
      <c r="T54">
        <v>6.5857410000000005E-2</v>
      </c>
      <c r="U54">
        <v>-0.54519649999999997</v>
      </c>
      <c r="V54">
        <v>-6.4669180000000007E-2</v>
      </c>
      <c r="W54">
        <v>-3.294648E-2</v>
      </c>
      <c r="X54">
        <v>0.99736270000000005</v>
      </c>
      <c r="Y54">
        <v>0.184004</v>
      </c>
      <c r="Z54">
        <v>2.4594679999999998E-3</v>
      </c>
      <c r="AA54">
        <v>0.98292239999999997</v>
      </c>
      <c r="AB54">
        <v>15</v>
      </c>
      <c r="AC54">
        <v>111.512199999999</v>
      </c>
      <c r="AD54">
        <v>2.4104049999999999</v>
      </c>
      <c r="AE54">
        <v>-19.956</v>
      </c>
      <c r="AF54">
        <v>20.866991598286599</v>
      </c>
      <c r="AG54">
        <v>2.4104049999999999</v>
      </c>
      <c r="AH54">
        <v>111.293167483186</v>
      </c>
      <c r="AI54">
        <v>88.780516452642104</v>
      </c>
      <c r="AJ54">
        <v>79.380582103978398</v>
      </c>
      <c r="AK54">
        <v>113.258158730696</v>
      </c>
      <c r="AL54">
        <v>91.888035994114901</v>
      </c>
      <c r="AM54">
        <v>93.709875565032405</v>
      </c>
      <c r="AN54">
        <v>0.99999996436877503</v>
      </c>
    </row>
    <row r="55" spans="1:40" x14ac:dyDescent="0.25">
      <c r="A55" t="str">
        <f>"20190305135158137"</f>
        <v>20190305135158137</v>
      </c>
      <c r="B55" t="str">
        <f>"1551765118129437"</f>
        <v>1551765118129437</v>
      </c>
      <c r="C55" t="s">
        <v>40</v>
      </c>
      <c r="D55">
        <v>4.7987080000000004</v>
      </c>
      <c r="E55">
        <v>0.59648069999999997</v>
      </c>
      <c r="F55" t="s">
        <v>45</v>
      </c>
      <c r="G55">
        <v>-361.12950000000001</v>
      </c>
      <c r="H55">
        <v>3.590846</v>
      </c>
      <c r="I55">
        <v>347.29719999999998</v>
      </c>
      <c r="J55">
        <v>-472.2928</v>
      </c>
      <c r="K55">
        <v>1.1072500000000001</v>
      </c>
      <c r="L55">
        <v>367.25459999999998</v>
      </c>
      <c r="M55">
        <v>0.99995829999999997</v>
      </c>
      <c r="N55">
        <v>3.7891589999999998E-3</v>
      </c>
      <c r="O55">
        <v>8.3257809999999904E-3</v>
      </c>
      <c r="P55">
        <v>0.99693690000000001</v>
      </c>
      <c r="Q55">
        <v>-2.834455E-2</v>
      </c>
      <c r="R55">
        <v>7.2895210000000002E-2</v>
      </c>
      <c r="S55">
        <v>3.0513309999999998</v>
      </c>
      <c r="T55">
        <v>6.8076849999999994E-2</v>
      </c>
      <c r="U55">
        <v>-0.54699709999999901</v>
      </c>
      <c r="V55">
        <v>-6.4592919999999998E-2</v>
      </c>
      <c r="W55">
        <v>-3.2123770000000003E-2</v>
      </c>
      <c r="X55">
        <v>0.99739449999999996</v>
      </c>
      <c r="Y55">
        <v>0.18458769999999999</v>
      </c>
      <c r="Z55">
        <v>2.5481330000000002E-3</v>
      </c>
      <c r="AA55">
        <v>0.98281280000000004</v>
      </c>
      <c r="AB55">
        <v>15</v>
      </c>
      <c r="AC55">
        <v>111.16330000000001</v>
      </c>
      <c r="AD55">
        <v>2.4835959999999999</v>
      </c>
      <c r="AE55">
        <v>-19.9574</v>
      </c>
      <c r="AF55">
        <v>20.872142876191699</v>
      </c>
      <c r="AG55">
        <v>2.4835959999999999</v>
      </c>
      <c r="AH55">
        <v>110.939637541539</v>
      </c>
      <c r="AI55">
        <v>88.739643419587296</v>
      </c>
      <c r="AJ55">
        <v>79.344945124835604</v>
      </c>
      <c r="AK55">
        <v>112.913319742108</v>
      </c>
      <c r="AL55">
        <v>91.840873173520606</v>
      </c>
      <c r="AM55">
        <v>93.705395140949406</v>
      </c>
      <c r="AN55">
        <v>0.99999998527169398</v>
      </c>
    </row>
    <row r="56" spans="1:40" x14ac:dyDescent="0.25">
      <c r="A56" t="str">
        <f>"20190305135158159"</f>
        <v>20190305135158159</v>
      </c>
      <c r="B56" t="str">
        <f>"1551765118149933"</f>
        <v>1551765118149933</v>
      </c>
      <c r="C56" t="s">
        <v>40</v>
      </c>
      <c r="D56">
        <v>5.0498209999999997</v>
      </c>
      <c r="E56">
        <v>0.59534279999999995</v>
      </c>
      <c r="F56" t="s">
        <v>45</v>
      </c>
      <c r="G56">
        <v>-360.22059999999999</v>
      </c>
      <c r="H56">
        <v>3.7382599999999999</v>
      </c>
      <c r="I56">
        <v>347.29719999999998</v>
      </c>
      <c r="J56">
        <v>-472.13819999999998</v>
      </c>
      <c r="K56">
        <v>1.1072439999999999</v>
      </c>
      <c r="L56">
        <v>367.25599999999997</v>
      </c>
      <c r="M56">
        <v>0.99995789999999996</v>
      </c>
      <c r="N56">
        <v>3.8379149999999999E-3</v>
      </c>
      <c r="O56">
        <v>8.3497910000000005E-3</v>
      </c>
      <c r="P56">
        <v>0.99697579999999997</v>
      </c>
      <c r="Q56">
        <v>-2.8003480000000001E-2</v>
      </c>
      <c r="R56">
        <v>7.2495180000000006E-2</v>
      </c>
      <c r="S56">
        <v>3.050964</v>
      </c>
      <c r="T56">
        <v>7.1626419999999996E-2</v>
      </c>
      <c r="U56">
        <v>-0.54330440000000002</v>
      </c>
      <c r="V56">
        <v>-6.4169299999999999E-2</v>
      </c>
      <c r="W56">
        <v>-3.1828670000000003E-2</v>
      </c>
      <c r="X56">
        <v>0.99743130000000002</v>
      </c>
      <c r="Y56">
        <v>0.1834739</v>
      </c>
      <c r="Z56">
        <v>2.654179E-3</v>
      </c>
      <c r="AA56">
        <v>0.98302100000000003</v>
      </c>
      <c r="AB56">
        <v>15</v>
      </c>
      <c r="AC56">
        <v>111.91759999999999</v>
      </c>
      <c r="AD56">
        <v>2.6310159999999998</v>
      </c>
      <c r="AE56">
        <v>-19.9588</v>
      </c>
      <c r="AF56">
        <v>20.881415144910001</v>
      </c>
      <c r="AG56">
        <v>2.6310159999999998</v>
      </c>
      <c r="AH56">
        <v>111.687224038439</v>
      </c>
      <c r="AI56">
        <v>88.673509243841195</v>
      </c>
      <c r="AJ56">
        <v>79.410052320948196</v>
      </c>
      <c r="AK56">
        <v>113.652944339594</v>
      </c>
      <c r="AL56">
        <v>91.823956546249704</v>
      </c>
      <c r="AM56">
        <v>93.681025630004498</v>
      </c>
      <c r="AN56">
        <v>0.99999998075807395</v>
      </c>
    </row>
    <row r="57" spans="1:40" x14ac:dyDescent="0.25">
      <c r="A57" t="str">
        <f>"20190305135158172"</f>
        <v>20190305135158172</v>
      </c>
      <c r="B57" t="str">
        <f>"1551765118159693"</f>
        <v>1551765118159693</v>
      </c>
      <c r="C57" t="s">
        <v>40</v>
      </c>
      <c r="D57">
        <v>5.0459579999999997</v>
      </c>
      <c r="E57">
        <v>0.59442589999999995</v>
      </c>
      <c r="F57" t="s">
        <v>46</v>
      </c>
      <c r="G57">
        <v>-358.75229999999999</v>
      </c>
      <c r="H57">
        <v>3.50176</v>
      </c>
      <c r="I57">
        <v>347.34989999999999</v>
      </c>
      <c r="J57">
        <v>-472.05009999999999</v>
      </c>
      <c r="K57">
        <v>1.1072409999999999</v>
      </c>
      <c r="L57">
        <v>367.25670000000002</v>
      </c>
      <c r="M57">
        <v>0.99995769999999995</v>
      </c>
      <c r="N57">
        <v>3.8487270000000001E-3</v>
      </c>
      <c r="O57">
        <v>8.3492810000000001E-3</v>
      </c>
      <c r="P57">
        <v>0.99701260000000003</v>
      </c>
      <c r="Q57">
        <v>-2.7780559999999999E-2</v>
      </c>
      <c r="R57">
        <v>7.2070250000000002E-2</v>
      </c>
      <c r="S57">
        <v>3.0498349999999999</v>
      </c>
      <c r="T57">
        <v>6.4409259999999996E-2</v>
      </c>
      <c r="U57">
        <v>-0.53543090000000004</v>
      </c>
      <c r="V57">
        <v>-6.3745949999999996E-2</v>
      </c>
      <c r="W57">
        <v>-3.1615110000000002E-2</v>
      </c>
      <c r="X57">
        <v>0.9974653</v>
      </c>
      <c r="Y57">
        <v>0.18108589999999999</v>
      </c>
      <c r="Z57">
        <v>2.3917370000000001E-3</v>
      </c>
      <c r="AA57">
        <v>0.98346440000000002</v>
      </c>
      <c r="AB57">
        <v>16</v>
      </c>
      <c r="AC57">
        <v>113.2978</v>
      </c>
      <c r="AD57">
        <v>2.3945189999999998</v>
      </c>
      <c r="AE57">
        <v>-19.9068</v>
      </c>
      <c r="AF57">
        <v>20.8430370368085</v>
      </c>
      <c r="AG57">
        <v>2.3945189999999998</v>
      </c>
      <c r="AH57">
        <v>113.078645130925</v>
      </c>
      <c r="AI57">
        <v>88.806994315206495</v>
      </c>
      <c r="AJ57">
        <v>79.556271458558399</v>
      </c>
      <c r="AK57">
        <v>115.008460118396</v>
      </c>
      <c r="AL57">
        <v>91.8117141853877</v>
      </c>
      <c r="AM57">
        <v>93.656682266515205</v>
      </c>
      <c r="AN57">
        <v>1.0000000430128999</v>
      </c>
    </row>
    <row r="58" spans="1:40" x14ac:dyDescent="0.25">
      <c r="A58" t="str">
        <f>"20190305135158192"</f>
        <v>20190305135158192</v>
      </c>
      <c r="B58" t="str">
        <f>"1551765118189949"</f>
        <v>1551765118189949</v>
      </c>
      <c r="C58" t="s">
        <v>40</v>
      </c>
      <c r="D58">
        <v>5.0647169999999999</v>
      </c>
      <c r="E58">
        <v>0.59217759999999997</v>
      </c>
      <c r="F58" t="s">
        <v>46</v>
      </c>
      <c r="G58">
        <v>-358.56889999999999</v>
      </c>
      <c r="H58">
        <v>3.2049289999999999</v>
      </c>
      <c r="I58">
        <v>347.53199999999998</v>
      </c>
      <c r="J58">
        <v>-471.9</v>
      </c>
      <c r="K58">
        <v>1.107235</v>
      </c>
      <c r="L58">
        <v>367.25799999999998</v>
      </c>
      <c r="M58">
        <v>0.99995800000000001</v>
      </c>
      <c r="N58">
        <v>3.8461160000000001E-3</v>
      </c>
      <c r="O58">
        <v>8.3314189999999996E-3</v>
      </c>
      <c r="P58">
        <v>0.99704720000000002</v>
      </c>
      <c r="Q58">
        <v>-2.7190059999999999E-2</v>
      </c>
      <c r="R58">
        <v>7.1817499999999895E-2</v>
      </c>
      <c r="S58">
        <v>3.0488590000000002</v>
      </c>
      <c r="T58">
        <v>5.6359890000000003E-2</v>
      </c>
      <c r="U58">
        <v>-0.52993769999999996</v>
      </c>
      <c r="V58">
        <v>-6.3511699999999893E-2</v>
      </c>
      <c r="W58">
        <v>-3.1019660000000001E-2</v>
      </c>
      <c r="X58">
        <v>0.99749889999999997</v>
      </c>
      <c r="Y58">
        <v>0.17941299999999999</v>
      </c>
      <c r="Z58">
        <v>2.114505E-3</v>
      </c>
      <c r="AA58">
        <v>0.98377159999999997</v>
      </c>
      <c r="AB58">
        <v>16</v>
      </c>
      <c r="AC58">
        <v>113.33110000000001</v>
      </c>
      <c r="AD58">
        <v>2.0976940000000002</v>
      </c>
      <c r="AE58">
        <v>-19.725999999999999</v>
      </c>
      <c r="AF58">
        <v>20.662660278449099</v>
      </c>
      <c r="AG58">
        <v>2.0976940000000002</v>
      </c>
      <c r="AH58">
        <v>113.125202854603</v>
      </c>
      <c r="AI58">
        <v>88.954964691327007</v>
      </c>
      <c r="AJ58">
        <v>79.648858119561197</v>
      </c>
      <c r="AK58">
        <v>115.015900512908</v>
      </c>
      <c r="AL58">
        <v>91.777580738465105</v>
      </c>
      <c r="AM58">
        <v>93.643158765737795</v>
      </c>
      <c r="AN58">
        <v>1.0000000054222999</v>
      </c>
    </row>
    <row r="59" spans="1:40" x14ac:dyDescent="0.25">
      <c r="A59" t="str">
        <f>"20190305135158215"</f>
        <v>20190305135158215</v>
      </c>
      <c r="B59" t="str">
        <f>"1551765118209470"</f>
        <v>1551765118209470</v>
      </c>
      <c r="C59" t="s">
        <v>40</v>
      </c>
      <c r="D59">
        <v>5.0721639999999999</v>
      </c>
      <c r="E59">
        <v>0.59105160000000001</v>
      </c>
      <c r="F59" t="s">
        <v>43</v>
      </c>
      <c r="G59">
        <v>-360.72359999999998</v>
      </c>
      <c r="H59">
        <v>2.3939569999999999</v>
      </c>
      <c r="I59">
        <v>348.51170000000002</v>
      </c>
      <c r="J59">
        <v>-471.73039999999997</v>
      </c>
      <c r="K59">
        <v>1.1072310000000001</v>
      </c>
      <c r="L59">
        <v>367.2595</v>
      </c>
      <c r="M59">
        <v>0.99995840000000003</v>
      </c>
      <c r="N59">
        <v>3.8213040000000002E-3</v>
      </c>
      <c r="O59">
        <v>8.2974339999999994E-3</v>
      </c>
      <c r="P59">
        <v>0.99709239999999999</v>
      </c>
      <c r="Q59">
        <v>-2.682325E-2</v>
      </c>
      <c r="R59">
        <v>7.1325470000000002E-2</v>
      </c>
      <c r="S59">
        <v>3.0469059999999999</v>
      </c>
      <c r="T59">
        <v>3.5266039999999998E-2</v>
      </c>
      <c r="U59">
        <v>-0.51376339999999998</v>
      </c>
      <c r="V59">
        <v>-6.3053929999999994E-2</v>
      </c>
      <c r="W59">
        <v>-3.062614E-2</v>
      </c>
      <c r="X59">
        <v>0.99754010000000004</v>
      </c>
      <c r="Y59">
        <v>0.1744318</v>
      </c>
      <c r="Z59">
        <v>1.40189E-3</v>
      </c>
      <c r="AA59">
        <v>0.98466830000000005</v>
      </c>
      <c r="AB59">
        <v>16</v>
      </c>
      <c r="AC59">
        <v>111.0068</v>
      </c>
      <c r="AD59">
        <v>1.286726</v>
      </c>
      <c r="AE59">
        <v>-18.747799999999899</v>
      </c>
      <c r="AF59">
        <v>19.665663797005099</v>
      </c>
      <c r="AG59">
        <v>1.286726</v>
      </c>
      <c r="AH59">
        <v>110.832940228317</v>
      </c>
      <c r="AI59">
        <v>89.345077592034301</v>
      </c>
      <c r="AJ59">
        <v>79.938430612234995</v>
      </c>
      <c r="AK59">
        <v>112.571464572642</v>
      </c>
      <c r="AL59">
        <v>91.755022986281801</v>
      </c>
      <c r="AM59">
        <v>93.616821127704398</v>
      </c>
      <c r="AN59">
        <v>1.00000000482387</v>
      </c>
    </row>
    <row r="60" spans="1:40" x14ac:dyDescent="0.25">
      <c r="A60" t="str">
        <f>"20190305135158237"</f>
        <v>20190305135158237</v>
      </c>
      <c r="B60" t="str">
        <f>"1551765118229965"</f>
        <v>1551765118229965</v>
      </c>
      <c r="C60" t="s">
        <v>40</v>
      </c>
      <c r="D60">
        <v>5.0500999999999996</v>
      </c>
      <c r="E60">
        <v>0.58974879999999996</v>
      </c>
      <c r="F60" t="s">
        <v>43</v>
      </c>
      <c r="G60">
        <v>-359.07209999999998</v>
      </c>
      <c r="H60">
        <v>1.980343</v>
      </c>
      <c r="I60">
        <v>348.51170000000002</v>
      </c>
      <c r="J60">
        <v>-471.55860000000001</v>
      </c>
      <c r="K60">
        <v>1.1072340000000001</v>
      </c>
      <c r="L60">
        <v>367.26089999999999</v>
      </c>
      <c r="M60">
        <v>0.99995889999999998</v>
      </c>
      <c r="N60">
        <v>3.7813E-3</v>
      </c>
      <c r="O60">
        <v>8.2589229999999996E-3</v>
      </c>
      <c r="P60">
        <v>0.99709539999999997</v>
      </c>
      <c r="Q60">
        <v>-2.7249389999999998E-2</v>
      </c>
      <c r="R60">
        <v>7.1124069999999998E-2</v>
      </c>
      <c r="S60">
        <v>3.0456539999999999</v>
      </c>
      <c r="T60">
        <v>2.3606180000000001E-2</v>
      </c>
      <c r="U60">
        <v>-0.50683590000000001</v>
      </c>
      <c r="V60">
        <v>-6.2891939999999993E-2</v>
      </c>
      <c r="W60">
        <v>-3.1011070000000002E-2</v>
      </c>
      <c r="X60">
        <v>0.99753840000000005</v>
      </c>
      <c r="Y60">
        <v>0.1722891</v>
      </c>
      <c r="Z60">
        <v>1.023663E-3</v>
      </c>
      <c r="AA60">
        <v>0.98504590000000003</v>
      </c>
      <c r="AB60">
        <v>16</v>
      </c>
      <c r="AC60">
        <v>112.48650000000001</v>
      </c>
      <c r="AD60">
        <v>0.87310899999999902</v>
      </c>
      <c r="AE60">
        <v>-18.749199999999899</v>
      </c>
      <c r="AF60">
        <v>19.676430976478201</v>
      </c>
      <c r="AG60">
        <v>0.87310899999999902</v>
      </c>
      <c r="AH60">
        <v>112.321230149575</v>
      </c>
      <c r="AI60">
        <v>89.561310596540395</v>
      </c>
      <c r="AJ60">
        <v>80.063749066475694</v>
      </c>
      <c r="AK60">
        <v>114.035007772226</v>
      </c>
      <c r="AL60">
        <v>91.777088391971304</v>
      </c>
      <c r="AM60">
        <v>93.607559960450004</v>
      </c>
      <c r="AN60">
        <v>0.99999997102703397</v>
      </c>
    </row>
    <row r="61" spans="1:40" x14ac:dyDescent="0.25">
      <c r="A61" t="str">
        <f>"20190305135158260"</f>
        <v>20190305135158260</v>
      </c>
      <c r="B61" t="str">
        <f>"1551765118249488"</f>
        <v>1551765118249488</v>
      </c>
      <c r="C61" t="s">
        <v>40</v>
      </c>
      <c r="D61">
        <v>5.1246489999999998</v>
      </c>
      <c r="E61">
        <v>0.58875189999999999</v>
      </c>
      <c r="F61" t="s">
        <v>43</v>
      </c>
      <c r="G61">
        <v>-356.85480000000001</v>
      </c>
      <c r="H61">
        <v>1.4387779999999999</v>
      </c>
      <c r="I61">
        <v>348.51170000000002</v>
      </c>
      <c r="J61">
        <v>-471.39269999999999</v>
      </c>
      <c r="K61">
        <v>1.1072439999999999</v>
      </c>
      <c r="L61">
        <v>367.26220000000001</v>
      </c>
      <c r="M61">
        <v>0.9999593</v>
      </c>
      <c r="N61">
        <v>3.7352359999999999E-3</v>
      </c>
      <c r="O61">
        <v>8.224805E-3</v>
      </c>
      <c r="P61">
        <v>0.99706399999999995</v>
      </c>
      <c r="Q61">
        <v>-2.7847190000000001E-2</v>
      </c>
      <c r="R61">
        <v>7.1332889999999996E-2</v>
      </c>
      <c r="S61">
        <v>3.0445250000000001</v>
      </c>
      <c r="T61">
        <v>8.8020559999999904E-3</v>
      </c>
      <c r="U61">
        <v>-0.49765009999999998</v>
      </c>
      <c r="V61">
        <v>-6.3135330000000003E-2</v>
      </c>
      <c r="W61">
        <v>-3.1562340000000001E-2</v>
      </c>
      <c r="X61">
        <v>0.9975058</v>
      </c>
      <c r="Y61">
        <v>0.16942660000000001</v>
      </c>
      <c r="Z61">
        <v>5.5492460000000003E-4</v>
      </c>
      <c r="AA61">
        <v>0.98554269999999999</v>
      </c>
      <c r="AB61">
        <v>17</v>
      </c>
      <c r="AC61">
        <v>114.537899999999</v>
      </c>
      <c r="AD61">
        <v>0.331534</v>
      </c>
      <c r="AE61">
        <v>-18.750499999999899</v>
      </c>
      <c r="AF61">
        <v>19.691763460732702</v>
      </c>
      <c r="AG61">
        <v>0.331534</v>
      </c>
      <c r="AH61">
        <v>114.378872225471</v>
      </c>
      <c r="AI61">
        <v>89.836333038328803</v>
      </c>
      <c r="AJ61">
        <v>80.231570653915199</v>
      </c>
      <c r="AK61">
        <v>116.06206044421801</v>
      </c>
      <c r="AL61">
        <v>91.808689190084195</v>
      </c>
      <c r="AM61">
        <v>93.621602071245803</v>
      </c>
      <c r="AN61">
        <v>1.00000003611706</v>
      </c>
    </row>
    <row r="62" spans="1:40" x14ac:dyDescent="0.25">
      <c r="A62" t="str">
        <f>"20190305135158282"</f>
        <v>20190305135158282</v>
      </c>
      <c r="B62" t="str">
        <f>"1551765118269981"</f>
        <v>1551765118269981</v>
      </c>
      <c r="C62" t="s">
        <v>40</v>
      </c>
      <c r="D62">
        <v>5.1322380000000001</v>
      </c>
      <c r="E62">
        <v>0.58777840000000003</v>
      </c>
      <c r="F62" t="s">
        <v>43</v>
      </c>
      <c r="G62">
        <v>-338.3451</v>
      </c>
      <c r="H62">
        <v>0.93233659999999996</v>
      </c>
      <c r="I62">
        <v>345.87</v>
      </c>
      <c r="J62">
        <v>-471.21870000000001</v>
      </c>
      <c r="K62">
        <v>1.107251</v>
      </c>
      <c r="L62">
        <v>367.2636</v>
      </c>
      <c r="M62">
        <v>0.99995959999999995</v>
      </c>
      <c r="N62">
        <v>3.6856609999999998E-3</v>
      </c>
      <c r="O62">
        <v>8.1968089999999993E-3</v>
      </c>
      <c r="P62">
        <v>0.99701399999999996</v>
      </c>
      <c r="Q62">
        <v>-2.8294340000000001E-2</v>
      </c>
      <c r="R62">
        <v>7.1851750000000006E-2</v>
      </c>
      <c r="S62">
        <v>3.0436709999999998</v>
      </c>
      <c r="T62">
        <v>-3.9994719999999996E-3</v>
      </c>
      <c r="U62">
        <v>-0.48937989999999998</v>
      </c>
      <c r="V62">
        <v>-6.3682459999999996E-2</v>
      </c>
      <c r="W62">
        <v>-3.196015E-2</v>
      </c>
      <c r="X62">
        <v>0.99745830000000002</v>
      </c>
      <c r="Y62">
        <v>0.16683499999999901</v>
      </c>
      <c r="Z62">
        <v>1.597805E-4</v>
      </c>
      <c r="AA62">
        <v>0.98598479999999999</v>
      </c>
      <c r="AB62">
        <v>17</v>
      </c>
      <c r="AC62">
        <v>132.87360000000001</v>
      </c>
      <c r="AD62">
        <v>-0.1749144</v>
      </c>
      <c r="AE62">
        <v>-21.3935999999999</v>
      </c>
      <c r="AF62">
        <v>22.4819902427488</v>
      </c>
      <c r="AG62">
        <v>-0.1749144</v>
      </c>
      <c r="AH62">
        <v>132.69355154906799</v>
      </c>
      <c r="AI62">
        <v>90.074465058857996</v>
      </c>
      <c r="AJ62">
        <v>80.383815712222599</v>
      </c>
      <c r="AK62">
        <v>134.584728342511</v>
      </c>
      <c r="AL62">
        <v>91.831493624877595</v>
      </c>
      <c r="AM62">
        <v>93.653075700311007</v>
      </c>
      <c r="AN62">
        <v>0.99999998356928199</v>
      </c>
    </row>
    <row r="63" spans="1:40" x14ac:dyDescent="0.25">
      <c r="A63" t="str">
        <f>"20190305135158306"</f>
        <v>20190305135158306</v>
      </c>
      <c r="B63" t="str">
        <f>"1551765118300237"</f>
        <v>1551765118300237</v>
      </c>
      <c r="C63" t="s">
        <v>40</v>
      </c>
      <c r="D63">
        <v>5.1769730000000003</v>
      </c>
      <c r="E63">
        <v>0.58652199999999999</v>
      </c>
      <c r="F63" t="s">
        <v>43</v>
      </c>
      <c r="G63">
        <v>-338.3451</v>
      </c>
      <c r="H63">
        <v>0.4438474</v>
      </c>
      <c r="I63">
        <v>346.28500000000003</v>
      </c>
      <c r="J63">
        <v>-471.03410000000002</v>
      </c>
      <c r="K63">
        <v>1.1072580000000001</v>
      </c>
      <c r="L63">
        <v>367.26499999999999</v>
      </c>
      <c r="M63">
        <v>0.99995999999999996</v>
      </c>
      <c r="N63">
        <v>3.636855E-3</v>
      </c>
      <c r="O63">
        <v>8.1770760000000001E-3</v>
      </c>
      <c r="P63">
        <v>0.99695699999999998</v>
      </c>
      <c r="Q63">
        <v>-2.8551099999999999E-2</v>
      </c>
      <c r="R63">
        <v>7.253569E-2</v>
      </c>
      <c r="S63">
        <v>3.0431819999999998</v>
      </c>
      <c r="T63">
        <v>-1.519203E-2</v>
      </c>
      <c r="U63">
        <v>-0.48046879999999997</v>
      </c>
      <c r="V63">
        <v>-6.4385940000000003E-2</v>
      </c>
      <c r="W63">
        <v>-3.2169000000000003E-2</v>
      </c>
      <c r="X63">
        <v>0.99740640000000003</v>
      </c>
      <c r="Y63">
        <v>0.164023</v>
      </c>
      <c r="Z63">
        <v>-1.769168E-4</v>
      </c>
      <c r="AA63">
        <v>0.98645649999999996</v>
      </c>
      <c r="AB63">
        <v>17</v>
      </c>
      <c r="AC63">
        <v>132.68899999999999</v>
      </c>
      <c r="AD63">
        <v>-0.66341059999999996</v>
      </c>
      <c r="AE63">
        <v>-20.979999999999901</v>
      </c>
      <c r="AF63">
        <v>22.063775647260101</v>
      </c>
      <c r="AG63">
        <v>-0.66341059999999996</v>
      </c>
      <c r="AH63">
        <v>132.509775979502</v>
      </c>
      <c r="AI63">
        <v>90.282953605423799</v>
      </c>
      <c r="AJ63">
        <v>80.546591461750793</v>
      </c>
      <c r="AK63">
        <v>134.33573999340101</v>
      </c>
      <c r="AL63">
        <v>91.843466047772196</v>
      </c>
      <c r="AM63">
        <v>93.693510636542698</v>
      </c>
      <c r="AN63">
        <v>0.99999996029582106</v>
      </c>
    </row>
    <row r="64" spans="1:40" x14ac:dyDescent="0.25">
      <c r="A64" t="str">
        <f>"20190305135158327"</f>
        <v>20190305135158327</v>
      </c>
      <c r="B64" t="str">
        <f>"1551765118319758"</f>
        <v>1551765118319758</v>
      </c>
      <c r="C64" t="s">
        <v>40</v>
      </c>
      <c r="D64">
        <v>5.1752880000000001</v>
      </c>
      <c r="E64">
        <v>0.58579989999999904</v>
      </c>
      <c r="F64" t="s">
        <v>47</v>
      </c>
      <c r="G64">
        <v>-354.81290000000001</v>
      </c>
      <c r="H64">
        <v>-0.05</v>
      </c>
      <c r="I64">
        <v>349.35520000000002</v>
      </c>
      <c r="J64">
        <v>-470.85809999999998</v>
      </c>
      <c r="K64">
        <v>1.107262</v>
      </c>
      <c r="L64">
        <v>367.26639999999998</v>
      </c>
      <c r="M64">
        <v>0.99996019999999997</v>
      </c>
      <c r="N64">
        <v>3.596737E-3</v>
      </c>
      <c r="O64">
        <v>8.168046E-3</v>
      </c>
      <c r="P64">
        <v>0.99692329999999996</v>
      </c>
      <c r="Q64">
        <v>-2.902768E-2</v>
      </c>
      <c r="R64">
        <v>7.2812370000000001E-2</v>
      </c>
      <c r="S64">
        <v>3.0424190000000002</v>
      </c>
      <c r="T64">
        <v>-3.0294539999999998E-2</v>
      </c>
      <c r="U64">
        <v>-0.46884160000000002</v>
      </c>
      <c r="V64">
        <v>-6.4671329999999999E-2</v>
      </c>
      <c r="W64">
        <v>-3.2606929999999999E-2</v>
      </c>
      <c r="X64">
        <v>0.99737379999999998</v>
      </c>
      <c r="Y64">
        <v>0.1603658</v>
      </c>
      <c r="Z64">
        <v>-6.1367979999999995E-4</v>
      </c>
      <c r="AA64">
        <v>0.98705739999999997</v>
      </c>
      <c r="AB64">
        <v>18</v>
      </c>
      <c r="AC64">
        <v>116.045199999999</v>
      </c>
      <c r="AD64">
        <v>-1.157262</v>
      </c>
      <c r="AE64">
        <v>-17.911199999999901</v>
      </c>
      <c r="AF64">
        <v>18.8566394532183</v>
      </c>
      <c r="AG64">
        <v>-1.157262</v>
      </c>
      <c r="AH64">
        <v>115.88377175670701</v>
      </c>
      <c r="AI64">
        <v>90.564732575222394</v>
      </c>
      <c r="AJ64">
        <v>80.757817934215097</v>
      </c>
      <c r="AK64">
        <v>117.413630654051</v>
      </c>
      <c r="AL64">
        <v>91.868570602238293</v>
      </c>
      <c r="AM64">
        <v>93.709957385473501</v>
      </c>
      <c r="AN64">
        <v>1.0000000448672099</v>
      </c>
    </row>
    <row r="65" spans="1:40" x14ac:dyDescent="0.25">
      <c r="A65" t="str">
        <f>"20190305135158339"</f>
        <v>20190305135158339</v>
      </c>
      <c r="B65" t="str">
        <f>"1551765118329518"</f>
        <v>1551765118329518</v>
      </c>
      <c r="C65" t="s">
        <v>40</v>
      </c>
      <c r="D65">
        <v>5.1824440000000003</v>
      </c>
      <c r="E65">
        <v>0.58579989999999904</v>
      </c>
      <c r="F65" t="s">
        <v>42</v>
      </c>
      <c r="G65">
        <v>-393.90010000000001</v>
      </c>
      <c r="H65">
        <v>7.9985870000000001E-2</v>
      </c>
      <c r="I65">
        <v>355.56079999999997</v>
      </c>
      <c r="J65">
        <v>-470.75569999999999</v>
      </c>
      <c r="K65">
        <v>1.107262</v>
      </c>
      <c r="L65">
        <v>367.26729999999998</v>
      </c>
      <c r="M65">
        <v>0.99996019999999997</v>
      </c>
      <c r="N65">
        <v>3.5760359999999999E-3</v>
      </c>
      <c r="O65">
        <v>8.167044E-3</v>
      </c>
      <c r="P65">
        <v>0.99689530000000004</v>
      </c>
      <c r="Q65">
        <v>-2.894151E-2</v>
      </c>
      <c r="R65">
        <v>7.3227390000000003E-2</v>
      </c>
      <c r="S65">
        <v>3.0418699999999999</v>
      </c>
      <c r="T65">
        <v>-4.0604469999999997E-2</v>
      </c>
      <c r="U65">
        <v>-0.462677</v>
      </c>
      <c r="V65">
        <v>-6.5087210000000006E-2</v>
      </c>
      <c r="W65">
        <v>-3.2500910000000001E-2</v>
      </c>
      <c r="X65">
        <v>0.99735019999999996</v>
      </c>
      <c r="Y65">
        <v>0.1584313</v>
      </c>
      <c r="Z65">
        <v>-9.0385050000000005E-4</v>
      </c>
      <c r="AA65">
        <v>0.98736959999999996</v>
      </c>
      <c r="AB65">
        <v>18</v>
      </c>
      <c r="AC65">
        <v>76.855599999999896</v>
      </c>
      <c r="AD65">
        <v>-1.02727613</v>
      </c>
      <c r="AE65">
        <v>-11.7065</v>
      </c>
      <c r="AF65">
        <v>12.3316434924646</v>
      </c>
      <c r="AG65">
        <v>-1.02727613</v>
      </c>
      <c r="AH65">
        <v>76.744028579094902</v>
      </c>
      <c r="AI65">
        <v>90.757189207581803</v>
      </c>
      <c r="AJ65">
        <v>80.871437929096302</v>
      </c>
      <c r="AK65">
        <v>77.735260017713003</v>
      </c>
      <c r="AL65">
        <v>91.862492895919303</v>
      </c>
      <c r="AM65">
        <v>93.733835728067803</v>
      </c>
      <c r="AN65">
        <v>1.0000000377482201</v>
      </c>
    </row>
    <row r="66" spans="1:40" x14ac:dyDescent="0.25">
      <c r="A66" t="str">
        <f>"20190305135158352"</f>
        <v>20190305135158352</v>
      </c>
      <c r="B66" t="str">
        <f>"1551765118350014"</f>
        <v>1551765118350014</v>
      </c>
      <c r="C66" t="s">
        <v>40</v>
      </c>
      <c r="D66">
        <v>5.2137180000000001</v>
      </c>
      <c r="E66">
        <v>0.57167230000000002</v>
      </c>
      <c r="F66" t="s">
        <v>42</v>
      </c>
      <c r="G66">
        <v>-394.10579999999999</v>
      </c>
      <c r="H66">
        <v>7.9985799999999996E-2</v>
      </c>
      <c r="I66">
        <v>355.64139999999998</v>
      </c>
      <c r="J66">
        <v>-470.65449999999998</v>
      </c>
      <c r="K66">
        <v>1.1072679999999999</v>
      </c>
      <c r="L66">
        <v>367.2681</v>
      </c>
      <c r="M66">
        <v>0.99996050000000003</v>
      </c>
      <c r="N66">
        <v>3.5565729999999999E-3</v>
      </c>
      <c r="O66">
        <v>8.1675299999999992E-3</v>
      </c>
      <c r="P66">
        <v>0.99687749999999997</v>
      </c>
      <c r="Q66">
        <v>-2.8895049999999999E-2</v>
      </c>
      <c r="R66">
        <v>7.3487919999999998E-2</v>
      </c>
      <c r="S66">
        <v>3.0420229999999999</v>
      </c>
      <c r="T66">
        <v>-4.0769699999999902E-2</v>
      </c>
      <c r="U66">
        <v>-0.46139530000000001</v>
      </c>
      <c r="V66">
        <v>-6.5346520000000005E-2</v>
      </c>
      <c r="W66">
        <v>-3.243588E-2</v>
      </c>
      <c r="X66">
        <v>0.99733530000000004</v>
      </c>
      <c r="Y66">
        <v>0.15801770000000001</v>
      </c>
      <c r="Z66">
        <v>-9.0794270000000004E-4</v>
      </c>
      <c r="AA66">
        <v>0.98743590000000003</v>
      </c>
      <c r="AB66">
        <v>18</v>
      </c>
      <c r="AC66">
        <v>76.548699999999997</v>
      </c>
      <c r="AD66">
        <v>-1.0272821999999999</v>
      </c>
      <c r="AE66">
        <v>-11.6267</v>
      </c>
      <c r="AF66">
        <v>12.249373517091</v>
      </c>
      <c r="AG66">
        <v>-1.0272821999999999</v>
      </c>
      <c r="AH66">
        <v>76.437728987487702</v>
      </c>
      <c r="AI66">
        <v>90.760278957644303</v>
      </c>
      <c r="AJ66">
        <v>80.895590999468297</v>
      </c>
      <c r="AK66">
        <v>77.419822223021598</v>
      </c>
      <c r="AL66">
        <v>91.858765098410302</v>
      </c>
      <c r="AM66">
        <v>93.7487249891809</v>
      </c>
      <c r="AN66">
        <v>0.99999997730678702</v>
      </c>
    </row>
    <row r="67" spans="1:40" x14ac:dyDescent="0.25">
      <c r="A67" t="str">
        <f>"20190305135158371"</f>
        <v>20190305135158371</v>
      </c>
      <c r="B67" t="str">
        <f>"1551765118359773"</f>
        <v>1551765118359773</v>
      </c>
      <c r="C67" t="s">
        <v>40</v>
      </c>
      <c r="D67">
        <v>5.1895379999999998</v>
      </c>
      <c r="E67">
        <v>0.57138800000000001</v>
      </c>
      <c r="F67" t="s">
        <v>41</v>
      </c>
      <c r="G67">
        <v>-469.82080000000002</v>
      </c>
      <c r="H67">
        <v>1.044438</v>
      </c>
      <c r="I67">
        <v>367.1703</v>
      </c>
      <c r="J67">
        <v>-470.50049999999999</v>
      </c>
      <c r="K67">
        <v>1.107267</v>
      </c>
      <c r="L67">
        <v>367.26929999999999</v>
      </c>
      <c r="M67">
        <v>0.99996039999999997</v>
      </c>
      <c r="N67">
        <v>3.528429E-3</v>
      </c>
      <c r="O67">
        <v>8.1712380000000008E-3</v>
      </c>
      <c r="P67">
        <v>0.99682809999999999</v>
      </c>
      <c r="Q67">
        <v>-2.855185E-2</v>
      </c>
      <c r="R67">
        <v>7.4286619999999998E-2</v>
      </c>
      <c r="S67">
        <v>3.0289609999999998</v>
      </c>
      <c r="T67">
        <v>-0.22826850000000001</v>
      </c>
      <c r="U67">
        <v>-0.35501100000000002</v>
      </c>
      <c r="V67">
        <v>-6.6141489999999997E-2</v>
      </c>
      <c r="W67">
        <v>-3.2065829999999997E-2</v>
      </c>
      <c r="X67">
        <v>0.99729489999999998</v>
      </c>
      <c r="Y67">
        <v>0.1241646</v>
      </c>
      <c r="Z67">
        <v>-5.0776550000000004E-3</v>
      </c>
      <c r="AA67">
        <v>0.99224869999999998</v>
      </c>
      <c r="AB67">
        <v>18</v>
      </c>
      <c r="AC67">
        <v>0.679699999999968</v>
      </c>
      <c r="AD67">
        <v>-6.2828999999999996E-2</v>
      </c>
      <c r="AE67">
        <v>-9.8999999999989499E-2</v>
      </c>
      <c r="AF67">
        <v>0.10368320454162699</v>
      </c>
      <c r="AG67">
        <v>-6.2828999999999996E-2</v>
      </c>
      <c r="AH67">
        <v>0.67323540325930398</v>
      </c>
      <c r="AI67">
        <v>95.269853309825606</v>
      </c>
      <c r="AJ67">
        <v>81.244815296887595</v>
      </c>
      <c r="AK67">
        <v>0.68406403088215295</v>
      </c>
      <c r="AL67">
        <v>91.837551688677195</v>
      </c>
      <c r="AM67">
        <v>93.794350765823594</v>
      </c>
      <c r="AN67">
        <v>1.0000000158594999</v>
      </c>
    </row>
    <row r="68" spans="1:40" x14ac:dyDescent="0.25">
      <c r="A68" t="str">
        <f>"20190305135158383"</f>
        <v>20190305135158383</v>
      </c>
      <c r="B68" t="str">
        <f>"1551765118380270"</f>
        <v>1551765118380270</v>
      </c>
      <c r="C68" t="s">
        <v>40</v>
      </c>
      <c r="D68">
        <v>5.0483169999999999</v>
      </c>
      <c r="E68">
        <v>0.57076930000000003</v>
      </c>
      <c r="F68" t="s">
        <v>41</v>
      </c>
      <c r="G68">
        <v>-469.6542</v>
      </c>
      <c r="H68">
        <v>1.0435479999999999</v>
      </c>
      <c r="I68">
        <v>367.17090000000002</v>
      </c>
      <c r="J68">
        <v>-470.3947</v>
      </c>
      <c r="K68">
        <v>1.107273</v>
      </c>
      <c r="L68">
        <v>367.27010000000001</v>
      </c>
      <c r="M68">
        <v>0.99996050000000003</v>
      </c>
      <c r="N68">
        <v>3.509702E-3</v>
      </c>
      <c r="O68">
        <v>8.1745829999999992E-3</v>
      </c>
      <c r="P68">
        <v>0.99679180000000001</v>
      </c>
      <c r="Q68">
        <v>-2.8761599999999998E-2</v>
      </c>
      <c r="R68">
        <v>7.4691999999999995E-2</v>
      </c>
      <c r="S68">
        <v>3.029175</v>
      </c>
      <c r="T68">
        <v>-0.22832060000000001</v>
      </c>
      <c r="U68">
        <v>-0.35058590000000001</v>
      </c>
      <c r="V68">
        <v>-6.6542920000000005E-2</v>
      </c>
      <c r="W68">
        <v>-3.22577E-2</v>
      </c>
      <c r="X68">
        <v>0.99726199999999998</v>
      </c>
      <c r="Y68">
        <v>0.1227331</v>
      </c>
      <c r="Z68">
        <v>-5.029057E-3</v>
      </c>
      <c r="AA68">
        <v>0.99242699999999995</v>
      </c>
      <c r="AB68">
        <v>18</v>
      </c>
      <c r="AC68">
        <v>0.74049999999999705</v>
      </c>
      <c r="AD68">
        <v>-6.3725000000000004E-2</v>
      </c>
      <c r="AE68">
        <v>-9.9199999999996097E-2</v>
      </c>
      <c r="AF68">
        <v>0.104489817058187</v>
      </c>
      <c r="AG68">
        <v>-6.3725000000000004E-2</v>
      </c>
      <c r="AH68">
        <v>0.73432199741783</v>
      </c>
      <c r="AI68">
        <v>94.910525429340694</v>
      </c>
      <c r="AJ68">
        <v>81.901505024297293</v>
      </c>
      <c r="AK68">
        <v>0.74445133715076695</v>
      </c>
      <c r="AL68">
        <v>91.848550734273203</v>
      </c>
      <c r="AM68">
        <v>93.817437351968493</v>
      </c>
      <c r="AN68">
        <v>1.0000000080277001</v>
      </c>
    </row>
    <row r="69" spans="1:40" x14ac:dyDescent="0.25">
      <c r="A69" t="str">
        <f>"20190305135158405"</f>
        <v>20190305135158405</v>
      </c>
      <c r="B69" t="str">
        <f>"1551765118399789"</f>
        <v>1551765118399789</v>
      </c>
      <c r="C69" t="s">
        <v>40</v>
      </c>
      <c r="D69">
        <v>5.0415559999999999</v>
      </c>
      <c r="E69">
        <v>0.52504609999999996</v>
      </c>
      <c r="F69" t="s">
        <v>41</v>
      </c>
      <c r="G69">
        <v>-469.6506</v>
      </c>
      <c r="H69">
        <v>1.051663</v>
      </c>
      <c r="I69">
        <v>367.18509999999998</v>
      </c>
      <c r="J69">
        <v>-470.21159999999998</v>
      </c>
      <c r="K69">
        <v>1.107278</v>
      </c>
      <c r="L69">
        <v>367.27159999999998</v>
      </c>
      <c r="M69">
        <v>0.99996050000000003</v>
      </c>
      <c r="N69">
        <v>3.476631E-3</v>
      </c>
      <c r="O69">
        <v>8.1827110000000005E-3</v>
      </c>
      <c r="P69">
        <v>0.99674309999999999</v>
      </c>
      <c r="Q69">
        <v>-2.8647300000000001E-2</v>
      </c>
      <c r="R69">
        <v>7.5383110000000003E-2</v>
      </c>
      <c r="S69">
        <v>3.02887</v>
      </c>
      <c r="T69">
        <v>-0.22672680000000001</v>
      </c>
      <c r="U69">
        <v>-0.3442383</v>
      </c>
      <c r="V69">
        <v>-6.7226090000000002E-2</v>
      </c>
      <c r="W69">
        <v>-3.2111609999999999E-2</v>
      </c>
      <c r="X69">
        <v>0.99722089999999997</v>
      </c>
      <c r="Y69">
        <v>0.1207095</v>
      </c>
      <c r="Z69">
        <v>-4.924449E-3</v>
      </c>
      <c r="AA69">
        <v>0.99267570000000005</v>
      </c>
      <c r="AB69">
        <v>18</v>
      </c>
      <c r="AC69">
        <v>0.56099999999997796</v>
      </c>
      <c r="AD69">
        <v>-5.5614999999999901E-2</v>
      </c>
      <c r="AE69">
        <v>-8.6500000000000896E-2</v>
      </c>
      <c r="AF69">
        <v>9.0221540195622493E-2</v>
      </c>
      <c r="AG69">
        <v>-5.5614999999999901E-2</v>
      </c>
      <c r="AH69">
        <v>0.55494613820430005</v>
      </c>
      <c r="AI69">
        <v>95.649217132217501</v>
      </c>
      <c r="AJ69">
        <v>80.765809310140995</v>
      </c>
      <c r="AK69">
        <v>0.564976256888851</v>
      </c>
      <c r="AL69">
        <v>91.840176046098307</v>
      </c>
      <c r="AM69">
        <v>93.856670277769595</v>
      </c>
      <c r="AN69">
        <v>1.0000000130351401</v>
      </c>
    </row>
    <row r="70" spans="1:40" x14ac:dyDescent="0.25">
      <c r="A70" t="str">
        <f>"20190305135158419"</f>
        <v>20190305135158419</v>
      </c>
      <c r="B70" t="str">
        <f>"1551765118409550"</f>
        <v>1551765118409550</v>
      </c>
      <c r="C70" t="s">
        <v>40</v>
      </c>
      <c r="D70">
        <v>5.1243080000000001</v>
      </c>
      <c r="E70">
        <v>0.51832730000000005</v>
      </c>
      <c r="F70" t="s">
        <v>42</v>
      </c>
      <c r="G70">
        <v>-449.25639999999999</v>
      </c>
      <c r="H70" s="1">
        <v>-8.4875069999999897E-7</v>
      </c>
      <c r="I70">
        <v>367.4402</v>
      </c>
      <c r="J70">
        <v>-470.09010000000001</v>
      </c>
      <c r="K70">
        <v>1.107291</v>
      </c>
      <c r="L70">
        <v>367.27260000000001</v>
      </c>
      <c r="M70">
        <v>0.99996050000000003</v>
      </c>
      <c r="N70">
        <v>3.453312E-3</v>
      </c>
      <c r="O70">
        <v>8.1879190000000001E-3</v>
      </c>
      <c r="P70">
        <v>0.99673250000000002</v>
      </c>
      <c r="Q70">
        <v>-2.888841E-2</v>
      </c>
      <c r="R70">
        <v>7.5431209999999999E-2</v>
      </c>
      <c r="S70">
        <v>3.0033569999999998</v>
      </c>
      <c r="T70">
        <v>-0.158698799999999</v>
      </c>
      <c r="U70">
        <v>2.4169920000000001E-2</v>
      </c>
      <c r="V70">
        <v>-6.7268410000000001E-2</v>
      </c>
      <c r="W70">
        <v>-3.2330150000000002E-2</v>
      </c>
      <c r="X70">
        <v>0.99721099999999996</v>
      </c>
      <c r="Y70">
        <v>1.2746860000000001E-4</v>
      </c>
      <c r="Z70">
        <v>-4.6373740000000001E-4</v>
      </c>
      <c r="AA70">
        <v>0.99999990000000005</v>
      </c>
      <c r="AB70">
        <v>19</v>
      </c>
      <c r="AC70">
        <v>20.8337</v>
      </c>
      <c r="AD70">
        <v>-1.1072918487507</v>
      </c>
      <c r="AE70">
        <v>0.167599999999993</v>
      </c>
      <c r="AF70">
        <v>2.98286064185743E-3</v>
      </c>
      <c r="AG70">
        <v>-1.1072918487507</v>
      </c>
      <c r="AH70">
        <v>20.7756900468043</v>
      </c>
      <c r="AI70">
        <v>93.050833852417199</v>
      </c>
      <c r="AJ70">
        <v>89.991773783489506</v>
      </c>
      <c r="AK70">
        <v>20.805177265686801</v>
      </c>
      <c r="AL70">
        <v>91.852703942624302</v>
      </c>
      <c r="AM70">
        <v>93.859128981569299</v>
      </c>
      <c r="AN70">
        <v>1.0000000280519701</v>
      </c>
    </row>
    <row r="71" spans="1:40" x14ac:dyDescent="0.25">
      <c r="A71" t="str">
        <f>"20190305135158438"</f>
        <v>20190305135158438</v>
      </c>
      <c r="B71" t="str">
        <f>"1551765118430045"</f>
        <v>1551765118430045</v>
      </c>
      <c r="C71" t="s">
        <v>40</v>
      </c>
      <c r="D71">
        <v>5.0470600000000001</v>
      </c>
      <c r="E71">
        <v>0.51333079999999998</v>
      </c>
      <c r="F71" t="s">
        <v>42</v>
      </c>
      <c r="G71">
        <v>-450.13650000000001</v>
      </c>
      <c r="H71" s="1">
        <v>-4.537892E-6</v>
      </c>
      <c r="I71">
        <v>367.78879999999998</v>
      </c>
      <c r="J71">
        <v>-469.92059999999998</v>
      </c>
      <c r="K71">
        <v>1.1072979999999999</v>
      </c>
      <c r="L71">
        <v>367.274</v>
      </c>
      <c r="M71">
        <v>0.99996070000000004</v>
      </c>
      <c r="N71">
        <v>3.41881E-3</v>
      </c>
      <c r="O71">
        <v>8.1948139999999999E-3</v>
      </c>
      <c r="P71">
        <v>0.99671189999999998</v>
      </c>
      <c r="Q71">
        <v>-2.886884E-2</v>
      </c>
      <c r="R71">
        <v>7.5710810000000003E-2</v>
      </c>
      <c r="S71">
        <v>2.9991460000000001</v>
      </c>
      <c r="T71">
        <v>-0.1664321</v>
      </c>
      <c r="U71">
        <v>7.76062E-2</v>
      </c>
      <c r="V71">
        <v>-6.7540989999999995E-2</v>
      </c>
      <c r="W71">
        <v>-3.2276850000000003E-2</v>
      </c>
      <c r="X71">
        <v>0.99719429999999998</v>
      </c>
      <c r="Y71">
        <v>-1.7663180000000001E-2</v>
      </c>
      <c r="Z71" s="1">
        <v>-2.2890919999999999E-5</v>
      </c>
      <c r="AA71">
        <v>0.99984399999999996</v>
      </c>
      <c r="AB71">
        <v>19</v>
      </c>
      <c r="AC71">
        <v>19.784099999999899</v>
      </c>
      <c r="AD71">
        <v>-1.1073025378919901</v>
      </c>
      <c r="AE71">
        <v>0.51479999999997905</v>
      </c>
      <c r="AF71">
        <v>-0.35155424537874502</v>
      </c>
      <c r="AG71">
        <v>-1.1073025378919901</v>
      </c>
      <c r="AH71">
        <v>19.7259035448098</v>
      </c>
      <c r="AI71">
        <v>93.2123855518211</v>
      </c>
      <c r="AJ71">
        <v>91.021014946880996</v>
      </c>
      <c r="AK71">
        <v>19.7600855250428</v>
      </c>
      <c r="AL71">
        <v>91.849648486527599</v>
      </c>
      <c r="AM71">
        <v>93.874783807922995</v>
      </c>
      <c r="AN71">
        <v>1.0000000261642901</v>
      </c>
    </row>
    <row r="72" spans="1:40" x14ac:dyDescent="0.25">
      <c r="A72" t="str">
        <f>"20190305135158461"</f>
        <v>20190305135158461</v>
      </c>
      <c r="B72" t="str">
        <f>"1551765118449565"</f>
        <v>1551765118449565</v>
      </c>
      <c r="C72" t="s">
        <v>40</v>
      </c>
      <c r="D72">
        <v>4.9932499999999997</v>
      </c>
      <c r="E72">
        <v>0.51178100000000004</v>
      </c>
      <c r="F72" t="s">
        <v>42</v>
      </c>
      <c r="G72">
        <v>-450.5068</v>
      </c>
      <c r="H72" s="1">
        <v>-4.3344850000000004E-6</v>
      </c>
      <c r="I72">
        <v>368.04</v>
      </c>
      <c r="J72">
        <v>-469.73099999999999</v>
      </c>
      <c r="K72">
        <v>1.1073029999999999</v>
      </c>
      <c r="L72">
        <v>367.2756</v>
      </c>
      <c r="M72">
        <v>0.99996070000000004</v>
      </c>
      <c r="N72">
        <v>3.3773079999999999E-3</v>
      </c>
      <c r="O72">
        <v>8.2038089999999994E-3</v>
      </c>
      <c r="P72">
        <v>0.99675340000000001</v>
      </c>
      <c r="Q72">
        <v>-2.8744209999999999E-2</v>
      </c>
      <c r="R72">
        <v>7.5210040000000006E-2</v>
      </c>
      <c r="S72">
        <v>2.9960019999999998</v>
      </c>
      <c r="T72">
        <v>-0.17088159999999999</v>
      </c>
      <c r="U72">
        <v>0.1182251</v>
      </c>
      <c r="V72">
        <v>-6.7031140000000003E-2</v>
      </c>
      <c r="W72">
        <v>-3.2111639999999997E-2</v>
      </c>
      <c r="X72">
        <v>0.99723399999999995</v>
      </c>
      <c r="Y72">
        <v>-3.1198779999999999E-2</v>
      </c>
      <c r="Z72">
        <v>3.4091660000000001E-4</v>
      </c>
      <c r="AA72">
        <v>0.99951310000000004</v>
      </c>
      <c r="AB72">
        <v>19</v>
      </c>
      <c r="AC72">
        <v>19.2242</v>
      </c>
      <c r="AD72">
        <v>-1.107307334485</v>
      </c>
      <c r="AE72">
        <v>0.76440000000002295</v>
      </c>
      <c r="AF72">
        <v>-0.60465879833058001</v>
      </c>
      <c r="AG72">
        <v>-1.107307334485</v>
      </c>
      <c r="AH72">
        <v>19.1663359221176</v>
      </c>
      <c r="AI72">
        <v>93.304864687892902</v>
      </c>
      <c r="AJ72">
        <v>91.806965642041902</v>
      </c>
      <c r="AK72">
        <v>19.207815452957099</v>
      </c>
      <c r="AL72">
        <v>91.840177806504698</v>
      </c>
      <c r="AM72">
        <v>93.845469499594202</v>
      </c>
      <c r="AN72">
        <v>0.99999999095459402</v>
      </c>
    </row>
    <row r="73" spans="1:40" x14ac:dyDescent="0.25">
      <c r="A73" t="str">
        <f>"20190305135158473"</f>
        <v>20190305135158473</v>
      </c>
      <c r="B73" t="str">
        <f>"1551765118470062"</f>
        <v>1551765118470062</v>
      </c>
      <c r="C73" t="s">
        <v>40</v>
      </c>
      <c r="D73">
        <v>4.9679039999999999</v>
      </c>
      <c r="E73">
        <v>0.51107449999999999</v>
      </c>
      <c r="F73" t="s">
        <v>42</v>
      </c>
      <c r="G73">
        <v>-450.07639999999998</v>
      </c>
      <c r="H73" s="1">
        <v>-4.5045319999999999E-6</v>
      </c>
      <c r="I73">
        <v>368.12220000000002</v>
      </c>
      <c r="J73">
        <v>-469.61739999999998</v>
      </c>
      <c r="K73">
        <v>1.107307</v>
      </c>
      <c r="L73">
        <v>367.2765</v>
      </c>
      <c r="M73">
        <v>0.99996079999999998</v>
      </c>
      <c r="N73">
        <v>3.3508560000000001E-3</v>
      </c>
      <c r="O73">
        <v>8.2110569999999904E-3</v>
      </c>
      <c r="P73">
        <v>0.99676750000000003</v>
      </c>
      <c r="Q73">
        <v>-2.8575880000000001E-2</v>
      </c>
      <c r="R73">
        <v>7.5088139999999998E-2</v>
      </c>
      <c r="S73">
        <v>2.9951780000000001</v>
      </c>
      <c r="T73">
        <v>-0.16874229999999901</v>
      </c>
      <c r="U73">
        <v>0.12902830000000001</v>
      </c>
      <c r="V73">
        <v>-6.6901249999999995E-2</v>
      </c>
      <c r="W73">
        <v>-3.1917340000000002E-2</v>
      </c>
      <c r="X73">
        <v>0.99724889999999999</v>
      </c>
      <c r="Y73">
        <v>-3.4796609999999999E-2</v>
      </c>
      <c r="Z73">
        <v>4.3111670000000002E-4</v>
      </c>
      <c r="AA73">
        <v>0.99939429999999996</v>
      </c>
      <c r="AB73">
        <v>19</v>
      </c>
      <c r="AC73">
        <v>19.541</v>
      </c>
      <c r="AD73">
        <v>-1.1073115045319999</v>
      </c>
      <c r="AE73">
        <v>0.84570000000002199</v>
      </c>
      <c r="AF73">
        <v>-0.68302920899599895</v>
      </c>
      <c r="AG73">
        <v>-1.1073115045319999</v>
      </c>
      <c r="AH73">
        <v>19.484835702232701</v>
      </c>
      <c r="AI73">
        <v>93.250593950665703</v>
      </c>
      <c r="AJ73">
        <v>92.007647057122895</v>
      </c>
      <c r="AK73">
        <v>19.528222909712301</v>
      </c>
      <c r="AL73">
        <v>91.829039636333604</v>
      </c>
      <c r="AM73">
        <v>93.837983037058905</v>
      </c>
      <c r="AN73">
        <v>0.99999993119772101</v>
      </c>
    </row>
    <row r="74" spans="1:40" x14ac:dyDescent="0.25">
      <c r="A74" t="str">
        <f>"20190305135158488"</f>
        <v>20190305135158488</v>
      </c>
      <c r="B74" t="str">
        <f>"1551765118479822"</f>
        <v>1551765118479822</v>
      </c>
      <c r="C74" t="s">
        <v>40</v>
      </c>
      <c r="D74">
        <v>4.99871</v>
      </c>
      <c r="E74">
        <v>0.51095829999999998</v>
      </c>
      <c r="F74" t="s">
        <v>42</v>
      </c>
      <c r="G74">
        <v>-449.9599</v>
      </c>
      <c r="H74" s="1">
        <v>-4.5483719999999996E-6</v>
      </c>
      <c r="I74">
        <v>368.15679999999998</v>
      </c>
      <c r="J74">
        <v>-469.48820000000001</v>
      </c>
      <c r="K74">
        <v>1.1073139999999999</v>
      </c>
      <c r="L74">
        <v>367.27760000000001</v>
      </c>
      <c r="M74">
        <v>0.99996079999999998</v>
      </c>
      <c r="N74">
        <v>3.3198300000000002E-3</v>
      </c>
      <c r="O74">
        <v>8.2209929999999994E-3</v>
      </c>
      <c r="P74">
        <v>0.9967859</v>
      </c>
      <c r="Q74">
        <v>-2.854899E-2</v>
      </c>
      <c r="R74">
        <v>7.4855420000000006E-2</v>
      </c>
      <c r="S74">
        <v>2.9947810000000001</v>
      </c>
      <c r="T74">
        <v>-0.16869579999999901</v>
      </c>
      <c r="U74">
        <v>0.13412479999999999</v>
      </c>
      <c r="V74">
        <v>-6.6658850000000006E-2</v>
      </c>
      <c r="W74">
        <v>-3.1859980000000003E-2</v>
      </c>
      <c r="X74">
        <v>0.99726700000000001</v>
      </c>
      <c r="Y74">
        <v>-3.6487270000000002E-2</v>
      </c>
      <c r="Z74">
        <v>4.759721E-4</v>
      </c>
      <c r="AA74">
        <v>0.99933399999999994</v>
      </c>
      <c r="AB74">
        <v>20</v>
      </c>
      <c r="AC74">
        <v>19.528300000000002</v>
      </c>
      <c r="AD74">
        <v>-1.1073185483719901</v>
      </c>
      <c r="AE74">
        <v>0.87919999999996801</v>
      </c>
      <c r="AF74">
        <v>-0.71632887780828003</v>
      </c>
      <c r="AG74">
        <v>-1.1073185483719901</v>
      </c>
      <c r="AH74">
        <v>19.472385851047498</v>
      </c>
      <c r="AI74">
        <v>93.252486710819198</v>
      </c>
      <c r="AJ74">
        <v>92.106784590590294</v>
      </c>
      <c r="AK74">
        <v>19.516994957237301</v>
      </c>
      <c r="AL74">
        <v>91.825751416284305</v>
      </c>
      <c r="AM74">
        <v>93.824049197835507</v>
      </c>
      <c r="AN74">
        <v>0.99999996494896004</v>
      </c>
    </row>
    <row r="75" spans="1:40" x14ac:dyDescent="0.25">
      <c r="A75" t="str">
        <f>"20190305135158508"</f>
        <v>20190305135158508</v>
      </c>
      <c r="B75" t="str">
        <f>"1551765118500318"</f>
        <v>1551765118500318</v>
      </c>
      <c r="C75" t="s">
        <v>40</v>
      </c>
      <c r="D75">
        <v>5.0282419999999997</v>
      </c>
      <c r="E75">
        <v>0.51074019999999998</v>
      </c>
      <c r="F75" t="s">
        <v>42</v>
      </c>
      <c r="G75">
        <v>-449.71300000000002</v>
      </c>
      <c r="H75" s="1">
        <v>-4.8032030000000003E-7</v>
      </c>
      <c r="I75">
        <v>368.16609999999997</v>
      </c>
      <c r="J75">
        <v>-469.30990000000003</v>
      </c>
      <c r="K75">
        <v>1.1073170000000001</v>
      </c>
      <c r="L75">
        <v>367.27910000000003</v>
      </c>
      <c r="M75">
        <v>0.99996079999999998</v>
      </c>
      <c r="N75">
        <v>3.275273E-3</v>
      </c>
      <c r="O75">
        <v>8.2398880000000008E-3</v>
      </c>
      <c r="P75">
        <v>0.99687269999999994</v>
      </c>
      <c r="Q75">
        <v>-2.8062030000000002E-2</v>
      </c>
      <c r="R75">
        <v>7.3874229999999999E-2</v>
      </c>
      <c r="S75">
        <v>2.9947810000000001</v>
      </c>
      <c r="T75">
        <v>-0.16769310000000001</v>
      </c>
      <c r="U75">
        <v>0.134552</v>
      </c>
      <c r="V75">
        <v>-6.5657499999999994E-2</v>
      </c>
      <c r="W75">
        <v>-3.1329429999999998E-2</v>
      </c>
      <c r="X75">
        <v>0.99735030000000002</v>
      </c>
      <c r="Y75">
        <v>-3.6610959999999998E-2</v>
      </c>
      <c r="Z75">
        <v>4.7594130000000001E-4</v>
      </c>
      <c r="AA75">
        <v>0.99932949999999998</v>
      </c>
      <c r="AB75">
        <v>20</v>
      </c>
      <c r="AC75">
        <v>19.596900000000002</v>
      </c>
      <c r="AD75">
        <v>-1.1073174803203001</v>
      </c>
      <c r="AE75">
        <v>0.88699999999994295</v>
      </c>
      <c r="AF75">
        <v>-0.72318851413991103</v>
      </c>
      <c r="AG75">
        <v>-1.1073174803203001</v>
      </c>
      <c r="AH75">
        <v>19.541279996151101</v>
      </c>
      <c r="AI75">
        <v>93.241014834730706</v>
      </c>
      <c r="AJ75">
        <v>92.119449099177402</v>
      </c>
      <c r="AK75">
        <v>19.585984211092899</v>
      </c>
      <c r="AL75">
        <v>91.795337837420306</v>
      </c>
      <c r="AM75">
        <v>93.766457220752301</v>
      </c>
      <c r="AN75">
        <v>1.0000000307002299</v>
      </c>
    </row>
    <row r="76" spans="1:40" x14ac:dyDescent="0.25">
      <c r="A76" t="str">
        <f>"20190305135158529"</f>
        <v>20190305135158529</v>
      </c>
      <c r="B76" t="str">
        <f>"1551765118519837"</f>
        <v>1551765118519837</v>
      </c>
      <c r="C76" t="s">
        <v>40</v>
      </c>
      <c r="D76">
        <v>5.0339099999999997</v>
      </c>
      <c r="E76">
        <v>0.51072169999999995</v>
      </c>
      <c r="F76" t="s">
        <v>42</v>
      </c>
      <c r="G76">
        <v>-449.09629999999999</v>
      </c>
      <c r="H76" s="1">
        <v>-7.1315909999999998E-7</v>
      </c>
      <c r="I76">
        <v>368.18099999999998</v>
      </c>
      <c r="J76">
        <v>-469.11169999999998</v>
      </c>
      <c r="K76">
        <v>1.107327</v>
      </c>
      <c r="L76">
        <v>367.28070000000002</v>
      </c>
      <c r="M76">
        <v>0.99996079999999998</v>
      </c>
      <c r="N76">
        <v>3.2239429999999999E-3</v>
      </c>
      <c r="O76">
        <v>8.2683269999999903E-3</v>
      </c>
      <c r="P76">
        <v>0.99691609999999997</v>
      </c>
      <c r="Q76">
        <v>-2.7751270000000001E-2</v>
      </c>
      <c r="R76">
        <v>7.3406840000000001E-2</v>
      </c>
      <c r="S76">
        <v>2.9948730000000001</v>
      </c>
      <c r="T76">
        <v>-0.16406119999999999</v>
      </c>
      <c r="U76">
        <v>0.13363649999999999</v>
      </c>
      <c r="V76">
        <v>-6.5160780000000001E-2</v>
      </c>
      <c r="W76">
        <v>-3.0968260000000001E-2</v>
      </c>
      <c r="X76">
        <v>0.99739409999999895</v>
      </c>
      <c r="Y76">
        <v>-3.627851E-2</v>
      </c>
      <c r="Z76">
        <v>4.5491379999999999E-4</v>
      </c>
      <c r="AA76">
        <v>0.99934160000000005</v>
      </c>
      <c r="AB76">
        <v>20</v>
      </c>
      <c r="AC76">
        <v>20.0154</v>
      </c>
      <c r="AD76">
        <v>-1.1073277131590999</v>
      </c>
      <c r="AE76">
        <v>0.90029999999995802</v>
      </c>
      <c r="AF76">
        <v>-0.73253695771431904</v>
      </c>
      <c r="AG76">
        <v>-1.1073277131590999</v>
      </c>
      <c r="AH76">
        <v>19.961187543392501</v>
      </c>
      <c r="AI76">
        <v>93.1730424071107</v>
      </c>
      <c r="AJ76">
        <v>92.101701091505205</v>
      </c>
      <c r="AK76">
        <v>20.005294129335699</v>
      </c>
      <c r="AL76">
        <v>91.7746343729073</v>
      </c>
      <c r="AM76">
        <v>93.737880171554295</v>
      </c>
      <c r="AN76">
        <v>0.999999975546222</v>
      </c>
    </row>
    <row r="77" spans="1:40" x14ac:dyDescent="0.25">
      <c r="A77" t="str">
        <f>"20190305135158551"</f>
        <v>20190305135158551</v>
      </c>
      <c r="B77" t="str">
        <f>"1551765118539361"</f>
        <v>1551765118539361</v>
      </c>
      <c r="C77" t="s">
        <v>40</v>
      </c>
      <c r="D77">
        <v>4.9730119999999998</v>
      </c>
      <c r="E77">
        <v>0.51065649999999996</v>
      </c>
      <c r="F77" t="s">
        <v>42</v>
      </c>
      <c r="G77">
        <v>-448.5532</v>
      </c>
      <c r="H77" s="1">
        <v>-9.1960020000000004E-7</v>
      </c>
      <c r="I77">
        <v>368.18900000000002</v>
      </c>
      <c r="J77">
        <v>-468.91219999999998</v>
      </c>
      <c r="K77">
        <v>1.107334</v>
      </c>
      <c r="L77">
        <v>367.2824</v>
      </c>
      <c r="M77">
        <v>0.99996050000000003</v>
      </c>
      <c r="N77">
        <v>3.1712849999999998E-3</v>
      </c>
      <c r="O77">
        <v>8.3049930000000001E-3</v>
      </c>
      <c r="P77">
        <v>0.99697409999999997</v>
      </c>
      <c r="Q77">
        <v>-2.744168E-2</v>
      </c>
      <c r="R77">
        <v>7.2729100000000005E-2</v>
      </c>
      <c r="S77">
        <v>2.9950559999999999</v>
      </c>
      <c r="T77">
        <v>-0.1613203</v>
      </c>
      <c r="U77">
        <v>0.1323242</v>
      </c>
      <c r="V77">
        <v>-6.4446180000000006E-2</v>
      </c>
      <c r="W77">
        <v>-3.0606990000000001E-2</v>
      </c>
      <c r="X77">
        <v>0.99745170000000005</v>
      </c>
      <c r="Y77">
        <v>-3.5804089999999997E-2</v>
      </c>
      <c r="Z77">
        <v>4.3317220000000002E-4</v>
      </c>
      <c r="AA77">
        <v>0.99935870000000004</v>
      </c>
      <c r="AB77">
        <v>20</v>
      </c>
      <c r="AC77">
        <v>20.358999999999899</v>
      </c>
      <c r="AD77">
        <v>-1.10733491960019</v>
      </c>
      <c r="AE77">
        <v>0.90660000000002505</v>
      </c>
      <c r="AF77">
        <v>-0.73531554025582702</v>
      </c>
      <c r="AG77">
        <v>-1.10733491960019</v>
      </c>
      <c r="AH77">
        <v>20.305874830326498</v>
      </c>
      <c r="AI77">
        <v>93.119363419030194</v>
      </c>
      <c r="AJ77">
        <v>92.073886329800203</v>
      </c>
      <c r="AK77">
        <v>20.349334932444201</v>
      </c>
      <c r="AL77">
        <v>91.753925273166303</v>
      </c>
      <c r="AM77">
        <v>93.696789301175301</v>
      </c>
      <c r="AN77">
        <v>0.99999999589317101</v>
      </c>
    </row>
    <row r="78" spans="1:40" x14ac:dyDescent="0.25">
      <c r="A78" t="str">
        <f>"20190305135158573"</f>
        <v>20190305135158573</v>
      </c>
      <c r="B78" t="str">
        <f>"1551765118569614"</f>
        <v>1551765118569614</v>
      </c>
      <c r="C78" t="s">
        <v>40</v>
      </c>
      <c r="D78">
        <v>4.9573859999999996</v>
      </c>
      <c r="E78">
        <v>0.51036179999999998</v>
      </c>
      <c r="F78" t="s">
        <v>42</v>
      </c>
      <c r="G78">
        <v>-447.98790000000002</v>
      </c>
      <c r="H78" s="1">
        <v>-1.1835E-6</v>
      </c>
      <c r="I78">
        <v>368.19619999999998</v>
      </c>
      <c r="J78">
        <v>-468.70299999999997</v>
      </c>
      <c r="K78">
        <v>1.1073409999999999</v>
      </c>
      <c r="L78">
        <v>367.2842</v>
      </c>
      <c r="M78">
        <v>0.99996019999999997</v>
      </c>
      <c r="N78">
        <v>3.1152530000000001E-3</v>
      </c>
      <c r="O78">
        <v>8.352211E-3</v>
      </c>
      <c r="P78">
        <v>0.99699439999999995</v>
      </c>
      <c r="Q78">
        <v>-2.7413079999999999E-2</v>
      </c>
      <c r="R78">
        <v>7.246118E-2</v>
      </c>
      <c r="S78">
        <v>2.995209</v>
      </c>
      <c r="T78">
        <v>-0.1585097</v>
      </c>
      <c r="U78">
        <v>0.13079830000000001</v>
      </c>
      <c r="V78">
        <v>-6.4130049999999994E-2</v>
      </c>
      <c r="W78">
        <v>-3.0523310000000001E-2</v>
      </c>
      <c r="X78">
        <v>0.99747470000000005</v>
      </c>
      <c r="Y78">
        <v>-3.5248559999999998E-2</v>
      </c>
      <c r="Z78">
        <v>4.0918010000000002E-4</v>
      </c>
      <c r="AA78">
        <v>0.99937849999999995</v>
      </c>
      <c r="AB78">
        <v>21</v>
      </c>
      <c r="AC78">
        <v>20.7151</v>
      </c>
      <c r="AD78">
        <v>-1.1073421834999999</v>
      </c>
      <c r="AE78">
        <v>0.91199999999997705</v>
      </c>
      <c r="AF78">
        <v>-0.73684896254614896</v>
      </c>
      <c r="AG78">
        <v>-1.1073421834999999</v>
      </c>
      <c r="AH78">
        <v>20.663063757435101</v>
      </c>
      <c r="AI78">
        <v>93.065625427506006</v>
      </c>
      <c r="AJ78">
        <v>92.042313481867296</v>
      </c>
      <c r="AK78">
        <v>20.7058290572677</v>
      </c>
      <c r="AL78">
        <v>91.749128415200801</v>
      </c>
      <c r="AM78">
        <v>93.678620643112495</v>
      </c>
      <c r="AN78">
        <v>1.0000000564532201</v>
      </c>
    </row>
    <row r="79" spans="1:40" x14ac:dyDescent="0.25">
      <c r="A79" t="str">
        <f>"20190305135158596"</f>
        <v>20190305135158596</v>
      </c>
      <c r="B79" t="str">
        <f>"1551765118590109"</f>
        <v>1551765118590109</v>
      </c>
      <c r="C79" t="s">
        <v>40</v>
      </c>
      <c r="D79">
        <v>4.9946659999999996</v>
      </c>
      <c r="E79">
        <v>0.51023419999999997</v>
      </c>
      <c r="F79" t="s">
        <v>42</v>
      </c>
      <c r="G79">
        <v>-447.81259999999997</v>
      </c>
      <c r="H79" s="1">
        <v>-1.2641600000000001E-6</v>
      </c>
      <c r="I79">
        <v>368.20859999999999</v>
      </c>
      <c r="J79">
        <v>-468.48540000000003</v>
      </c>
      <c r="K79">
        <v>1.107348</v>
      </c>
      <c r="L79">
        <v>367.286</v>
      </c>
      <c r="M79">
        <v>0.99996010000000002</v>
      </c>
      <c r="N79">
        <v>3.0562459999999999E-3</v>
      </c>
      <c r="O79">
        <v>8.4117099999999993E-3</v>
      </c>
      <c r="P79">
        <v>0.99697899999999995</v>
      </c>
      <c r="Q79">
        <v>-2.775992E-2</v>
      </c>
      <c r="R79">
        <v>7.2543640000000006E-2</v>
      </c>
      <c r="S79">
        <v>2.9950559999999999</v>
      </c>
      <c r="T79">
        <v>-0.1587596</v>
      </c>
      <c r="U79">
        <v>0.13253779999999901</v>
      </c>
      <c r="V79">
        <v>-6.4153260000000004E-2</v>
      </c>
      <c r="W79">
        <v>-3.081207E-2</v>
      </c>
      <c r="X79">
        <v>0.99746429999999997</v>
      </c>
      <c r="Y79">
        <v>-3.5769820000000001E-2</v>
      </c>
      <c r="Z79">
        <v>4.211738E-4</v>
      </c>
      <c r="AA79">
        <v>0.99936000000000003</v>
      </c>
      <c r="AB79">
        <v>21</v>
      </c>
      <c r="AC79">
        <v>20.672799999999999</v>
      </c>
      <c r="AD79">
        <v>-1.10734926416</v>
      </c>
      <c r="AE79">
        <v>0.92259999999998799</v>
      </c>
      <c r="AF79">
        <v>-0.74653522488406499</v>
      </c>
      <c r="AG79">
        <v>-1.10734926416</v>
      </c>
      <c r="AH79">
        <v>20.6207804164933</v>
      </c>
      <c r="AI79">
        <v>93.071859406794403</v>
      </c>
      <c r="AJ79">
        <v>92.073376678955697</v>
      </c>
      <c r="AK79">
        <v>20.663981277093299</v>
      </c>
      <c r="AL79">
        <v>91.765680981170405</v>
      </c>
      <c r="AM79">
        <v>93.679986618111002</v>
      </c>
      <c r="AN79">
        <v>1.0000000271003999</v>
      </c>
    </row>
    <row r="80" spans="1:40" x14ac:dyDescent="0.25">
      <c r="A80" t="str">
        <f>"20190305135158618"</f>
        <v>20190305135158618</v>
      </c>
      <c r="B80" t="str">
        <f>"1551765118609629"</f>
        <v>1551765118609629</v>
      </c>
      <c r="C80" t="s">
        <v>40</v>
      </c>
      <c r="D80">
        <v>4.9840400000000002</v>
      </c>
      <c r="E80">
        <v>0.51003880000000001</v>
      </c>
      <c r="F80" t="s">
        <v>42</v>
      </c>
      <c r="G80">
        <v>-447.62849999999997</v>
      </c>
      <c r="H80" s="1">
        <v>-1.3498960000000001E-6</v>
      </c>
      <c r="I80">
        <v>368.21589999999998</v>
      </c>
      <c r="J80">
        <v>-468.27530000000002</v>
      </c>
      <c r="K80">
        <v>1.1073519999999999</v>
      </c>
      <c r="L80">
        <v>367.28789999999998</v>
      </c>
      <c r="M80">
        <v>0.9999595</v>
      </c>
      <c r="N80">
        <v>2.999065E-3</v>
      </c>
      <c r="O80">
        <v>8.4785940000000008E-3</v>
      </c>
      <c r="P80">
        <v>0.99696589999999996</v>
      </c>
      <c r="Q80">
        <v>-2.768433E-2</v>
      </c>
      <c r="R80">
        <v>7.274796E-2</v>
      </c>
      <c r="S80">
        <v>2.994904</v>
      </c>
      <c r="T80">
        <v>-0.1590078</v>
      </c>
      <c r="U80">
        <v>0.13351440000000001</v>
      </c>
      <c r="V80">
        <v>-6.4290020000000003E-2</v>
      </c>
      <c r="W80">
        <v>-3.0680349999999999E-2</v>
      </c>
      <c r="X80">
        <v>0.99745950000000005</v>
      </c>
      <c r="Y80">
        <v>-3.6030020000000003E-2</v>
      </c>
      <c r="Z80">
        <v>4.262445E-4</v>
      </c>
      <c r="AA80">
        <v>0.99935059999999998</v>
      </c>
      <c r="AB80">
        <v>21</v>
      </c>
      <c r="AC80">
        <v>20.646799999999999</v>
      </c>
      <c r="AD80">
        <v>-1.107353349896</v>
      </c>
      <c r="AE80">
        <v>0.92799999999999705</v>
      </c>
      <c r="AF80">
        <v>-0.75075480653110704</v>
      </c>
      <c r="AG80">
        <v>-1.107353349896</v>
      </c>
      <c r="AH80">
        <v>20.594804169815401</v>
      </c>
      <c r="AI80">
        <v>93.0757099333767</v>
      </c>
      <c r="AJ80">
        <v>92.087713140594204</v>
      </c>
      <c r="AK80">
        <v>20.638212689428801</v>
      </c>
      <c r="AL80">
        <v>91.758130507859605</v>
      </c>
      <c r="AM80">
        <v>93.687827575516806</v>
      </c>
      <c r="AN80">
        <v>0.99999997234398597</v>
      </c>
    </row>
    <row r="81" spans="1:40" x14ac:dyDescent="0.25">
      <c r="A81" t="str">
        <f>"20190305135158639"</f>
        <v>20190305135158639</v>
      </c>
      <c r="B81" t="str">
        <f>"1551765118630125"</f>
        <v>1551765118630125</v>
      </c>
      <c r="C81" t="s">
        <v>40</v>
      </c>
      <c r="D81">
        <v>4.9573640000000001</v>
      </c>
      <c r="E81">
        <v>0.50975760000000003</v>
      </c>
      <c r="F81" t="s">
        <v>42</v>
      </c>
      <c r="G81">
        <v>-447.31189999999998</v>
      </c>
      <c r="H81" s="1">
        <v>-1.495389E-6</v>
      </c>
      <c r="I81">
        <v>368.23950000000002</v>
      </c>
      <c r="J81">
        <v>-468.0659</v>
      </c>
      <c r="K81">
        <v>1.1073630000000001</v>
      </c>
      <c r="L81">
        <v>367.28969999999998</v>
      </c>
      <c r="M81">
        <v>0.99995919999999905</v>
      </c>
      <c r="N81">
        <v>2.9420050000000001E-3</v>
      </c>
      <c r="O81">
        <v>8.5543540000000001E-3</v>
      </c>
      <c r="P81">
        <v>0.99695619999999996</v>
      </c>
      <c r="Q81">
        <v>-2.7685339999999999E-2</v>
      </c>
      <c r="R81">
        <v>7.2884740000000003E-2</v>
      </c>
      <c r="S81">
        <v>2.9948429999999999</v>
      </c>
      <c r="T81">
        <v>-0.158197</v>
      </c>
      <c r="U81">
        <v>0.13595579999999999</v>
      </c>
      <c r="V81">
        <v>-6.4351489999999997E-2</v>
      </c>
      <c r="W81">
        <v>-3.0625469999999998E-2</v>
      </c>
      <c r="X81">
        <v>0.99745729999999999</v>
      </c>
      <c r="Y81">
        <v>-3.6767670000000002E-2</v>
      </c>
      <c r="Z81">
        <v>4.3933619999999998E-4</v>
      </c>
      <c r="AA81">
        <v>0.99932370000000004</v>
      </c>
      <c r="AB81">
        <v>21</v>
      </c>
      <c r="AC81">
        <v>20.754000000000001</v>
      </c>
      <c r="AD81">
        <v>-1.1073644953889901</v>
      </c>
      <c r="AE81">
        <v>0.94980000000003795</v>
      </c>
      <c r="AF81">
        <v>-0.77003976549728403</v>
      </c>
      <c r="AG81">
        <v>-1.1073644953889901</v>
      </c>
      <c r="AH81">
        <v>20.7025499498111</v>
      </c>
      <c r="AI81">
        <v>93.059680420119093</v>
      </c>
      <c r="AJ81">
        <v>92.130157827850496</v>
      </c>
      <c r="AK81">
        <v>20.746440460727602</v>
      </c>
      <c r="AL81">
        <v>91.754984501662705</v>
      </c>
      <c r="AM81">
        <v>93.691352014811898</v>
      </c>
      <c r="AN81">
        <v>1.0000000495006101</v>
      </c>
    </row>
    <row r="82" spans="1:40" x14ac:dyDescent="0.25">
      <c r="A82" t="str">
        <f>"20190305135158652"</f>
        <v>20190305135158652</v>
      </c>
      <c r="B82" t="str">
        <f>"1551765118649646"</f>
        <v>1551765118649646</v>
      </c>
      <c r="C82" t="s">
        <v>40</v>
      </c>
      <c r="D82">
        <v>4.9675120000000001</v>
      </c>
      <c r="E82">
        <v>0.50954079999999902</v>
      </c>
      <c r="F82" t="s">
        <v>42</v>
      </c>
      <c r="G82">
        <v>-447.04730000000001</v>
      </c>
      <c r="H82" s="1">
        <v>-1.6165999999999999E-6</v>
      </c>
      <c r="I82">
        <v>368.26130000000001</v>
      </c>
      <c r="J82">
        <v>-467.94319999999999</v>
      </c>
      <c r="K82">
        <v>1.10737</v>
      </c>
      <c r="L82">
        <v>367.29090000000002</v>
      </c>
      <c r="M82">
        <v>0.99995889999999998</v>
      </c>
      <c r="N82">
        <v>2.9084390000000001E-3</v>
      </c>
      <c r="O82">
        <v>8.6035639999999993E-3</v>
      </c>
      <c r="P82">
        <v>0.99694939999999999</v>
      </c>
      <c r="Q82">
        <v>-2.748453E-2</v>
      </c>
      <c r="R82">
        <v>7.3053129999999994E-2</v>
      </c>
      <c r="S82">
        <v>2.9946899999999999</v>
      </c>
      <c r="T82">
        <v>-0.15777539999999901</v>
      </c>
      <c r="U82">
        <v>0.13842769999999999</v>
      </c>
      <c r="V82">
        <v>-6.4470369999999999E-2</v>
      </c>
      <c r="W82">
        <v>-3.0391809999999998E-2</v>
      </c>
      <c r="X82">
        <v>0.99745669999999997</v>
      </c>
      <c r="Y82">
        <v>-3.7543140000000003E-2</v>
      </c>
      <c r="Z82">
        <v>4.5541849999999998E-4</v>
      </c>
      <c r="AA82">
        <v>0.99929489999999999</v>
      </c>
      <c r="AB82">
        <v>22</v>
      </c>
      <c r="AC82">
        <v>20.895899999999902</v>
      </c>
      <c r="AD82">
        <v>-1.1073716166000001</v>
      </c>
      <c r="AE82">
        <v>0.97039999999998305</v>
      </c>
      <c r="AF82">
        <v>-0.78837480005604299</v>
      </c>
      <c r="AG82">
        <v>-1.1073716166000001</v>
      </c>
      <c r="AH82">
        <v>20.845059497382302</v>
      </c>
      <c r="AI82">
        <v>93.038750385202405</v>
      </c>
      <c r="AJ82">
        <v>92.165934320670502</v>
      </c>
      <c r="AK82">
        <v>20.889334890609199</v>
      </c>
      <c r="AL82">
        <v>91.741590657469402</v>
      </c>
      <c r="AM82">
        <v>93.698154561738903</v>
      </c>
      <c r="AN82">
        <v>0.99999997954895103</v>
      </c>
    </row>
    <row r="83" spans="1:40" x14ac:dyDescent="0.25">
      <c r="A83" t="str">
        <f>"20190305135158665"</f>
        <v>20190305135158665</v>
      </c>
      <c r="B83" t="str">
        <f>"1551765118659406"</f>
        <v>1551765118659406</v>
      </c>
      <c r="C83" t="s">
        <v>40</v>
      </c>
      <c r="D83">
        <v>4.9294149999999997</v>
      </c>
      <c r="E83">
        <v>0.50944290000000003</v>
      </c>
      <c r="F83" t="s">
        <v>42</v>
      </c>
      <c r="G83">
        <v>-446.69479999999999</v>
      </c>
      <c r="H83" s="1">
        <v>-1.777963E-6</v>
      </c>
      <c r="I83">
        <v>368.29109999999997</v>
      </c>
      <c r="J83">
        <v>-467.81099999999998</v>
      </c>
      <c r="K83">
        <v>1.107378</v>
      </c>
      <c r="L83">
        <v>367.29199999999997</v>
      </c>
      <c r="M83">
        <v>0.99995829999999997</v>
      </c>
      <c r="N83">
        <v>2.8721469999999998E-3</v>
      </c>
      <c r="O83">
        <v>8.6595119999999994E-3</v>
      </c>
      <c r="P83">
        <v>0.99692360000000002</v>
      </c>
      <c r="Q83">
        <v>-2.751752E-2</v>
      </c>
      <c r="R83">
        <v>7.3390860000000002E-2</v>
      </c>
      <c r="S83">
        <v>2.9945680000000001</v>
      </c>
      <c r="T83">
        <v>-0.1560628</v>
      </c>
      <c r="U83">
        <v>0.14096069999999999</v>
      </c>
      <c r="V83">
        <v>-6.4751950000000003E-2</v>
      </c>
      <c r="W83">
        <v>-3.0389280000000001E-2</v>
      </c>
      <c r="X83">
        <v>0.99743850000000001</v>
      </c>
      <c r="Y83">
        <v>-3.8332360000000003E-2</v>
      </c>
      <c r="Z83">
        <v>4.6695660000000002E-4</v>
      </c>
      <c r="AA83">
        <v>0.99926499999999996</v>
      </c>
      <c r="AB83">
        <v>22</v>
      </c>
      <c r="AC83">
        <v>21.1161999999999</v>
      </c>
      <c r="AD83">
        <v>-1.1073797779629999</v>
      </c>
      <c r="AE83">
        <v>0.99909999999999799</v>
      </c>
      <c r="AF83">
        <v>-0.81397221023688904</v>
      </c>
      <c r="AG83">
        <v>-1.1073797779629999</v>
      </c>
      <c r="AH83">
        <v>21.066253361830999</v>
      </c>
      <c r="AI83">
        <v>93.006831028990206</v>
      </c>
      <c r="AJ83">
        <v>92.212732530266095</v>
      </c>
      <c r="AK83">
        <v>21.1110367210267</v>
      </c>
      <c r="AL83">
        <v>91.7414456970006</v>
      </c>
      <c r="AM83">
        <v>93.714329044005396</v>
      </c>
      <c r="AN83">
        <v>0.99999994232498302</v>
      </c>
    </row>
    <row r="84" spans="1:40" x14ac:dyDescent="0.25">
      <c r="A84" t="str">
        <f>"20190305135158683"</f>
        <v>20190305135158683</v>
      </c>
      <c r="B84" t="str">
        <f>"1551765118679902"</f>
        <v>1551765118679902</v>
      </c>
      <c r="C84" t="s">
        <v>40</v>
      </c>
      <c r="D84">
        <v>4.9817660000000004</v>
      </c>
      <c r="E84">
        <v>0.50930299999999995</v>
      </c>
      <c r="F84" t="s">
        <v>42</v>
      </c>
      <c r="G84">
        <v>-446.52710000000002</v>
      </c>
      <c r="H84" s="1">
        <v>-1.85437E-6</v>
      </c>
      <c r="I84">
        <v>368.30720000000002</v>
      </c>
      <c r="J84">
        <v>-467.62520000000001</v>
      </c>
      <c r="K84">
        <v>1.107383</v>
      </c>
      <c r="L84">
        <v>367.2937</v>
      </c>
      <c r="M84">
        <v>0.99995780000000001</v>
      </c>
      <c r="N84">
        <v>2.8210119999999999E-3</v>
      </c>
      <c r="O84">
        <v>8.7453349999999999E-3</v>
      </c>
      <c r="P84">
        <v>0.99691589999999997</v>
      </c>
      <c r="Q84">
        <v>-2.72587E-2</v>
      </c>
      <c r="R84">
        <v>7.3591160000000003E-2</v>
      </c>
      <c r="S84">
        <v>2.9944459999999999</v>
      </c>
      <c r="T84">
        <v>-0.15579799999999999</v>
      </c>
      <c r="U84">
        <v>0.14282230000000001</v>
      </c>
      <c r="V84">
        <v>-6.4866240000000006E-2</v>
      </c>
      <c r="W84">
        <v>-3.0080530000000001E-2</v>
      </c>
      <c r="X84">
        <v>0.99744049999999995</v>
      </c>
      <c r="Y84">
        <v>-3.8867829999999999E-2</v>
      </c>
      <c r="Z84">
        <v>4.7592270000000001E-4</v>
      </c>
      <c r="AA84">
        <v>0.99924429999999997</v>
      </c>
      <c r="AB84">
        <v>22</v>
      </c>
      <c r="AC84">
        <v>21.098099999999899</v>
      </c>
      <c r="AD84">
        <v>-1.10738485437</v>
      </c>
      <c r="AE84">
        <v>1.0135000000000201</v>
      </c>
      <c r="AF84">
        <v>-0.82667836232469205</v>
      </c>
      <c r="AG84">
        <v>-1.10738485437</v>
      </c>
      <c r="AH84">
        <v>21.048303522349599</v>
      </c>
      <c r="AI84">
        <v>93.009329907027094</v>
      </c>
      <c r="AJ84">
        <v>92.249152729670001</v>
      </c>
      <c r="AK84">
        <v>21.093619402544</v>
      </c>
      <c r="AL84">
        <v>91.723747417425699</v>
      </c>
      <c r="AM84">
        <v>93.720859155043996</v>
      </c>
      <c r="AN84">
        <v>1.0000000092085299</v>
      </c>
    </row>
    <row r="85" spans="1:40" x14ac:dyDescent="0.25">
      <c r="A85" t="str">
        <f>"20190305135158709"</f>
        <v>20190305135158709</v>
      </c>
      <c r="B85" t="str">
        <f>"1551765118699421"</f>
        <v>1551765118699421</v>
      </c>
      <c r="C85" t="s">
        <v>40</v>
      </c>
      <c r="D85">
        <v>4.9559150000000001</v>
      </c>
      <c r="E85">
        <v>0.50917659999999998</v>
      </c>
      <c r="F85" t="s">
        <v>42</v>
      </c>
      <c r="G85">
        <v>-446.08960000000002</v>
      </c>
      <c r="H85" s="1">
        <v>-2.0567289999999999E-6</v>
      </c>
      <c r="I85">
        <v>368.33229999999998</v>
      </c>
      <c r="J85">
        <v>-467.3768</v>
      </c>
      <c r="K85">
        <v>1.1074010000000001</v>
      </c>
      <c r="L85">
        <v>367.29599999999999</v>
      </c>
      <c r="M85">
        <v>0.99995699999999998</v>
      </c>
      <c r="N85">
        <v>2.7523339999999999E-3</v>
      </c>
      <c r="O85">
        <v>8.8716469999999999E-3</v>
      </c>
      <c r="P85">
        <v>0.99687809999999999</v>
      </c>
      <c r="Q85">
        <v>-2.7427340000000001E-2</v>
      </c>
      <c r="R85">
        <v>7.4041819999999994E-2</v>
      </c>
      <c r="S85">
        <v>2.9944459999999999</v>
      </c>
      <c r="T85">
        <v>-0.15397729999999901</v>
      </c>
      <c r="U85">
        <v>0.14440919999999999</v>
      </c>
      <c r="V85">
        <v>-6.5190399999999996E-2</v>
      </c>
      <c r="W85">
        <v>-3.018206E-2</v>
      </c>
      <c r="X85">
        <v>0.99741630000000003</v>
      </c>
      <c r="Y85">
        <v>-3.9270430000000002E-2</v>
      </c>
      <c r="Z85">
        <v>4.7431980000000001E-4</v>
      </c>
      <c r="AA85">
        <v>0.99922849999999996</v>
      </c>
      <c r="AB85">
        <v>22</v>
      </c>
      <c r="AC85">
        <v>21.287199999999899</v>
      </c>
      <c r="AD85">
        <v>-1.1074030567290001</v>
      </c>
      <c r="AE85">
        <v>1.03629999999998</v>
      </c>
      <c r="AF85">
        <v>-0.84512426084359904</v>
      </c>
      <c r="AG85">
        <v>-1.1074030567290001</v>
      </c>
      <c r="AH85">
        <v>21.238215103540998</v>
      </c>
      <c r="AI85">
        <v>92.982457499324894</v>
      </c>
      <c r="AJ85">
        <v>92.278747028311699</v>
      </c>
      <c r="AK85">
        <v>21.283852032247299</v>
      </c>
      <c r="AL85">
        <v>91.729567298584598</v>
      </c>
      <c r="AM85">
        <v>93.739491474334997</v>
      </c>
      <c r="AN85">
        <v>1.00000001025184</v>
      </c>
    </row>
    <row r="86" spans="1:40" x14ac:dyDescent="0.25">
      <c r="A86" t="str">
        <f>"20190305135158731"</f>
        <v>20190305135158731</v>
      </c>
      <c r="B86" t="str">
        <f>"1551765118719918"</f>
        <v>1551765118719918</v>
      </c>
      <c r="C86" t="s">
        <v>40</v>
      </c>
      <c r="D86">
        <v>4.8958459999999997</v>
      </c>
      <c r="E86">
        <v>0.50925500000000001</v>
      </c>
      <c r="F86" t="s">
        <v>42</v>
      </c>
      <c r="G86">
        <v>-445.8895</v>
      </c>
      <c r="H86" s="1">
        <v>-2.14832E-6</v>
      </c>
      <c r="I86">
        <v>368.3492</v>
      </c>
      <c r="J86">
        <v>-467.15069999999997</v>
      </c>
      <c r="K86">
        <v>1.1074090000000001</v>
      </c>
      <c r="L86">
        <v>367.29809999999998</v>
      </c>
      <c r="M86">
        <v>0.99995599999999996</v>
      </c>
      <c r="N86">
        <v>2.6896910000000001E-3</v>
      </c>
      <c r="O86">
        <v>8.9992609999999997E-3</v>
      </c>
      <c r="P86">
        <v>0.99686350000000001</v>
      </c>
      <c r="Q86">
        <v>-2.748693E-2</v>
      </c>
      <c r="R86">
        <v>7.4214840000000004E-2</v>
      </c>
      <c r="S86">
        <v>2.994202</v>
      </c>
      <c r="T86">
        <v>-0.15431339999999999</v>
      </c>
      <c r="U86">
        <v>0.146759</v>
      </c>
      <c r="V86">
        <v>-6.5235589999999996E-2</v>
      </c>
      <c r="W86">
        <v>-3.018055E-2</v>
      </c>
      <c r="X86">
        <v>0.99741340000000001</v>
      </c>
      <c r="Y86">
        <v>-3.992826E-2</v>
      </c>
      <c r="Z86">
        <v>4.864798E-4</v>
      </c>
      <c r="AA86">
        <v>0.99920240000000005</v>
      </c>
      <c r="AB86">
        <v>23</v>
      </c>
      <c r="AC86">
        <v>21.261199999999899</v>
      </c>
      <c r="AD86">
        <v>-1.10741114832</v>
      </c>
      <c r="AE86">
        <v>1.0511000000000099</v>
      </c>
      <c r="AF86">
        <v>-0.85740125965067704</v>
      </c>
      <c r="AG86">
        <v>-1.10741114832</v>
      </c>
      <c r="AH86">
        <v>21.212390290824899</v>
      </c>
      <c r="AI86">
        <v>92.9860288160598</v>
      </c>
      <c r="AJ86">
        <v>92.314625835368005</v>
      </c>
      <c r="AK86">
        <v>21.2585746987364</v>
      </c>
      <c r="AL86">
        <v>91.729480727132696</v>
      </c>
      <c r="AM86">
        <v>93.742087177174895</v>
      </c>
      <c r="AN86">
        <v>1.0000000191502501</v>
      </c>
    </row>
    <row r="87" spans="1:40" x14ac:dyDescent="0.25">
      <c r="A87" t="str">
        <f>"20190305135158886"</f>
        <v>20190305135158886</v>
      </c>
      <c r="B87" t="str">
        <f>"1551765118879982"</f>
        <v>1551765118879982</v>
      </c>
      <c r="C87" t="s">
        <v>40</v>
      </c>
      <c r="D87">
        <v>4.2265600000000001</v>
      </c>
      <c r="E87">
        <v>0.34087869999999998</v>
      </c>
      <c r="F87" t="s">
        <v>42</v>
      </c>
      <c r="G87">
        <v>-445.52519999999998</v>
      </c>
      <c r="H87" s="1">
        <v>-2.3189189999999998E-6</v>
      </c>
      <c r="I87">
        <v>368.358</v>
      </c>
      <c r="J87">
        <v>-465.48989999999998</v>
      </c>
      <c r="K87">
        <v>1.1075680000000001</v>
      </c>
      <c r="L87">
        <v>367.31540000000001</v>
      </c>
      <c r="M87">
        <v>0.99994329999999998</v>
      </c>
      <c r="N87">
        <v>2.210306E-3</v>
      </c>
      <c r="O87">
        <v>1.041337E-2</v>
      </c>
      <c r="P87">
        <v>0.99671080000000001</v>
      </c>
      <c r="Q87">
        <v>-2.799577E-2</v>
      </c>
      <c r="R87">
        <v>7.6051919999999995E-2</v>
      </c>
      <c r="S87">
        <v>2.9942929999999999</v>
      </c>
      <c r="T87">
        <v>-0.1533339</v>
      </c>
      <c r="U87">
        <v>0.146759</v>
      </c>
      <c r="V87">
        <v>-6.5656870000000006E-2</v>
      </c>
      <c r="W87">
        <v>-3.022642E-2</v>
      </c>
      <c r="X87">
        <v>0.99738439999999995</v>
      </c>
      <c r="Y87">
        <v>-3.8517240000000001E-2</v>
      </c>
      <c r="Z87">
        <v>3.8681879999999998E-4</v>
      </c>
      <c r="AA87">
        <v>0.99925790000000003</v>
      </c>
      <c r="AB87">
        <v>24</v>
      </c>
      <c r="AC87">
        <v>19.964700000000001</v>
      </c>
      <c r="AD87">
        <v>-1.107570318919</v>
      </c>
      <c r="AE87">
        <v>1.04259999999999</v>
      </c>
      <c r="AF87">
        <v>-0.83208924416617203</v>
      </c>
      <c r="AG87">
        <v>-1.107570318919</v>
      </c>
      <c r="AH87">
        <v>19.913355156248102</v>
      </c>
      <c r="AI87">
        <v>93.180711150738304</v>
      </c>
      <c r="AJ87">
        <v>92.392740104923305</v>
      </c>
      <c r="AK87">
        <v>19.9614828632665</v>
      </c>
      <c r="AL87">
        <v>91.732110028541399</v>
      </c>
      <c r="AM87">
        <v>93.766292783541203</v>
      </c>
      <c r="AN87">
        <v>1.0000000512037801</v>
      </c>
    </row>
    <row r="88" spans="1:40" x14ac:dyDescent="0.25">
      <c r="A88" t="str">
        <f>"20190305135158910"</f>
        <v>20190305135158910</v>
      </c>
      <c r="B88" t="str">
        <f>"1551765118899502"</f>
        <v>1551765118899502</v>
      </c>
      <c r="C88" t="s">
        <v>40</v>
      </c>
      <c r="D88">
        <v>4.4170540000000003</v>
      </c>
      <c r="E88">
        <v>0.3454912</v>
      </c>
      <c r="F88" t="s">
        <v>41</v>
      </c>
      <c r="G88">
        <v>-464.5652</v>
      </c>
      <c r="H88">
        <v>1.017943</v>
      </c>
      <c r="I88">
        <v>367.79140000000001</v>
      </c>
      <c r="J88">
        <v>-465.233</v>
      </c>
      <c r="K88">
        <v>1.107602</v>
      </c>
      <c r="L88">
        <v>367.3184</v>
      </c>
      <c r="M88">
        <v>0.99994050000000001</v>
      </c>
      <c r="N88">
        <v>2.1262719999999998E-3</v>
      </c>
      <c r="O88">
        <v>1.070776E-2</v>
      </c>
      <c r="P88">
        <v>0.99661960000000005</v>
      </c>
      <c r="Q88">
        <v>-2.694885E-2</v>
      </c>
      <c r="R88">
        <v>7.7610219999999994E-2</v>
      </c>
      <c r="S88">
        <v>2.8884889999999999</v>
      </c>
      <c r="T88">
        <v>-0.27994180000000002</v>
      </c>
      <c r="U88">
        <v>1.487579</v>
      </c>
      <c r="V88">
        <v>-6.6921750000000002E-2</v>
      </c>
      <c r="W88">
        <v>-2.9098189999999999E-2</v>
      </c>
      <c r="X88">
        <v>0.99733380000000005</v>
      </c>
      <c r="Y88">
        <v>-0.44673800000000002</v>
      </c>
      <c r="Z88">
        <v>1.8837159999999999E-2</v>
      </c>
      <c r="AA88">
        <v>0.89446650000000005</v>
      </c>
      <c r="AB88">
        <v>25</v>
      </c>
      <c r="AC88">
        <v>0.66779999999999895</v>
      </c>
      <c r="AD88">
        <v>-8.9658999999999905E-2</v>
      </c>
      <c r="AE88">
        <v>0.47300000000001302</v>
      </c>
      <c r="AF88">
        <v>-0.46029693941870198</v>
      </c>
      <c r="AG88">
        <v>-8.9658999999999905E-2</v>
      </c>
      <c r="AH88">
        <v>0.66484585814217501</v>
      </c>
      <c r="AI88">
        <v>96.326926731746198</v>
      </c>
      <c r="AJ88">
        <v>124.696262592087</v>
      </c>
      <c r="AK88">
        <v>0.81359204999067503</v>
      </c>
      <c r="AL88">
        <v>91.667438894768907</v>
      </c>
      <c r="AM88">
        <v>93.838829723778503</v>
      </c>
      <c r="AN88">
        <v>0.999999966953388</v>
      </c>
    </row>
    <row r="89" spans="1:40" x14ac:dyDescent="0.25">
      <c r="A89" t="str">
        <f>"20190305135158932"</f>
        <v>20190305135158932</v>
      </c>
      <c r="B89" t="str">
        <f>"1551765118929757"</f>
        <v>1551765118929757</v>
      </c>
      <c r="C89" t="s">
        <v>40</v>
      </c>
      <c r="D89">
        <v>4.5232769999999896</v>
      </c>
      <c r="E89">
        <v>0.35149239999999998</v>
      </c>
      <c r="F89" t="s">
        <v>41</v>
      </c>
      <c r="G89">
        <v>-464.33600000000001</v>
      </c>
      <c r="H89">
        <v>1.0206980000000001</v>
      </c>
      <c r="I89">
        <v>367.77010000000001</v>
      </c>
      <c r="J89">
        <v>-464.98579999999998</v>
      </c>
      <c r="K89">
        <v>1.1076189999999999</v>
      </c>
      <c r="L89">
        <v>367.32130000000001</v>
      </c>
      <c r="M89">
        <v>0.99993739999999998</v>
      </c>
      <c r="N89">
        <v>2.0410010000000002E-3</v>
      </c>
      <c r="O89">
        <v>1.09999E-2</v>
      </c>
      <c r="P89">
        <v>0.99641500000000005</v>
      </c>
      <c r="Q89">
        <v>-2.5987960000000001E-2</v>
      </c>
      <c r="R89">
        <v>8.0510990000000004E-2</v>
      </c>
      <c r="S89">
        <v>2.8892519999999999</v>
      </c>
      <c r="T89">
        <v>-0.27988150000000001</v>
      </c>
      <c r="U89">
        <v>1.4554750000000001</v>
      </c>
      <c r="V89">
        <v>-6.9533040000000004E-2</v>
      </c>
      <c r="W89">
        <v>-2.805469E-2</v>
      </c>
      <c r="X89">
        <v>0.99718510000000005</v>
      </c>
      <c r="Y89">
        <v>-0.43849139999999998</v>
      </c>
      <c r="Z89">
        <v>1.850189E-2</v>
      </c>
      <c r="AA89">
        <v>0.89854489999999998</v>
      </c>
      <c r="AB89">
        <v>25</v>
      </c>
      <c r="AC89">
        <v>0.64979999999996996</v>
      </c>
      <c r="AD89">
        <v>-8.6921000000000206E-2</v>
      </c>
      <c r="AE89">
        <v>0.44880000000000497</v>
      </c>
      <c r="AF89">
        <v>-0.436339127474144</v>
      </c>
      <c r="AG89">
        <v>-8.6921000000000206E-2</v>
      </c>
      <c r="AH89">
        <v>0.64686114261698902</v>
      </c>
      <c r="AI89">
        <v>96.356463820540299</v>
      </c>
      <c r="AJ89">
        <v>124.001569256209</v>
      </c>
      <c r="AK89">
        <v>0.785096447727064</v>
      </c>
      <c r="AL89">
        <v>91.607626237669606</v>
      </c>
      <c r="AM89">
        <v>93.9887395119313</v>
      </c>
      <c r="AN89">
        <v>1.00000001647232</v>
      </c>
    </row>
    <row r="90" spans="1:40" x14ac:dyDescent="0.25">
      <c r="A90" t="str">
        <f>"20190305135159024"</f>
        <v>20190305135159024</v>
      </c>
      <c r="B90" t="str">
        <f>"1551765119019550"</f>
        <v>1551765119019550</v>
      </c>
      <c r="C90" t="s">
        <v>40</v>
      </c>
      <c r="D90">
        <v>4.5002199999999997</v>
      </c>
      <c r="E90">
        <v>0.35476659999999999</v>
      </c>
      <c r="F90" t="s">
        <v>41</v>
      </c>
      <c r="G90">
        <v>-463.18380000000002</v>
      </c>
      <c r="H90">
        <v>1.050711</v>
      </c>
      <c r="I90">
        <v>367.7713</v>
      </c>
      <c r="J90">
        <v>-463.9169</v>
      </c>
      <c r="K90">
        <v>1.1076729999999999</v>
      </c>
      <c r="L90">
        <v>367.33479999999997</v>
      </c>
      <c r="M90">
        <v>0.99992329999999996</v>
      </c>
      <c r="N90">
        <v>1.6490649999999999E-3</v>
      </c>
      <c r="O90">
        <v>1.228598E-2</v>
      </c>
      <c r="P90">
        <v>0.99581149999999996</v>
      </c>
      <c r="Q90">
        <v>-2.5781510000000001E-2</v>
      </c>
      <c r="R90">
        <v>8.7721679999999996E-2</v>
      </c>
      <c r="S90">
        <v>2.8869630000000002</v>
      </c>
      <c r="T90">
        <v>-0.18289859999999999</v>
      </c>
      <c r="U90">
        <v>1.408569</v>
      </c>
      <c r="V90">
        <v>-7.5466710000000006E-2</v>
      </c>
      <c r="W90">
        <v>-2.7462549999999999E-2</v>
      </c>
      <c r="X90">
        <v>0.99677009999999999</v>
      </c>
      <c r="Y90">
        <v>-0.42677470000000001</v>
      </c>
      <c r="Z90">
        <v>1.1661080000000001E-2</v>
      </c>
      <c r="AA90">
        <v>0.90428280000000005</v>
      </c>
      <c r="AB90">
        <v>26</v>
      </c>
      <c r="AC90">
        <v>0.73309999999997899</v>
      </c>
      <c r="AD90">
        <v>-5.6961999999999902E-2</v>
      </c>
      <c r="AE90">
        <v>0.43650000000002298</v>
      </c>
      <c r="AF90">
        <v>-0.425563387661408</v>
      </c>
      <c r="AG90">
        <v>-5.6961999999999902E-2</v>
      </c>
      <c r="AH90">
        <v>0.73513090930832403</v>
      </c>
      <c r="AI90">
        <v>93.836484416755894</v>
      </c>
      <c r="AJ90">
        <v>120.06632266859501</v>
      </c>
      <c r="AK90">
        <v>0.85133208572350805</v>
      </c>
      <c r="AL90">
        <v>91.573686024146696</v>
      </c>
      <c r="AM90">
        <v>94.329674836723797</v>
      </c>
      <c r="AN90">
        <v>1.0000000241123601</v>
      </c>
    </row>
    <row r="91" spans="1:40" x14ac:dyDescent="0.25">
      <c r="A91" t="str">
        <f>"20190305135159041"</f>
        <v>20190305135159041</v>
      </c>
      <c r="B91" t="str">
        <f>"1551765119030289"</f>
        <v>1551765119030289</v>
      </c>
      <c r="C91" t="s">
        <v>40</v>
      </c>
      <c r="D91">
        <v>4.5075089999999998</v>
      </c>
      <c r="E91">
        <v>0.3550604</v>
      </c>
      <c r="F91" t="s">
        <v>42</v>
      </c>
      <c r="G91">
        <v>-444.84219999999999</v>
      </c>
      <c r="H91" s="1">
        <v>-4.1074349999999997E-6</v>
      </c>
      <c r="I91">
        <v>376.69490000000002</v>
      </c>
      <c r="J91">
        <v>-463.72500000000002</v>
      </c>
      <c r="K91">
        <v>1.107683</v>
      </c>
      <c r="L91">
        <v>367.3374</v>
      </c>
      <c r="M91">
        <v>0.99992049999999999</v>
      </c>
      <c r="N91">
        <v>1.577855E-3</v>
      </c>
      <c r="O91">
        <v>1.2515409999999999E-2</v>
      </c>
      <c r="P91">
        <v>0.99582859999999995</v>
      </c>
      <c r="Q91">
        <v>-2.4417999999999999E-2</v>
      </c>
      <c r="R91">
        <v>8.7918380000000004E-2</v>
      </c>
      <c r="S91">
        <v>2.8836360000000001</v>
      </c>
      <c r="T91">
        <v>-0.16745399999999999</v>
      </c>
      <c r="U91">
        <v>1.415009</v>
      </c>
      <c r="V91">
        <v>-7.5435379999999996E-2</v>
      </c>
      <c r="W91">
        <v>-2.602838E-2</v>
      </c>
      <c r="X91">
        <v>0.99681090000000006</v>
      </c>
      <c r="Y91">
        <v>-0.42870910000000001</v>
      </c>
      <c r="Z91">
        <v>1.0706540000000001E-2</v>
      </c>
      <c r="AA91">
        <v>0.90337920000000005</v>
      </c>
      <c r="AB91">
        <v>26</v>
      </c>
      <c r="AC91">
        <v>18.8828</v>
      </c>
      <c r="AD91">
        <v>-1.1076871074350001</v>
      </c>
      <c r="AE91">
        <v>9.3575000000000106</v>
      </c>
      <c r="AF91">
        <v>-9.0953133845819991</v>
      </c>
      <c r="AG91">
        <v>-1.1076871074350001</v>
      </c>
      <c r="AH91">
        <v>18.946092128254101</v>
      </c>
      <c r="AI91">
        <v>93.017064702222797</v>
      </c>
      <c r="AJ91">
        <v>115.64392854574901</v>
      </c>
      <c r="AK91">
        <v>21.045334476411298</v>
      </c>
      <c r="AL91">
        <v>91.491484803721207</v>
      </c>
      <c r="AM91">
        <v>94.327707733642299</v>
      </c>
      <c r="AN91">
        <v>0.999999971739989</v>
      </c>
    </row>
    <row r="92" spans="1:40" x14ac:dyDescent="0.25">
      <c r="A92" t="str">
        <f>"20190305135159053"</f>
        <v>20190305135159053</v>
      </c>
      <c r="B92" t="str">
        <f>"1551765119049806"</f>
        <v>1551765119049806</v>
      </c>
      <c r="C92" t="s">
        <v>40</v>
      </c>
      <c r="D92">
        <v>4.5122559999999998</v>
      </c>
      <c r="E92">
        <v>0.35553249999999997</v>
      </c>
      <c r="F92" t="s">
        <v>42</v>
      </c>
      <c r="G92">
        <v>-443.96039999999999</v>
      </c>
      <c r="H92" s="1">
        <v>-4.5041620000000002E-6</v>
      </c>
      <c r="I92">
        <v>377.02260000000001</v>
      </c>
      <c r="J92">
        <v>-463.58049999999997</v>
      </c>
      <c r="K92">
        <v>1.1076919999999999</v>
      </c>
      <c r="L92">
        <v>367.33940000000001</v>
      </c>
      <c r="M92">
        <v>0.99991830000000004</v>
      </c>
      <c r="N92">
        <v>1.5242319999999999E-3</v>
      </c>
      <c r="O92">
        <v>1.2689870000000001E-2</v>
      </c>
      <c r="P92">
        <v>0.99588330000000003</v>
      </c>
      <c r="Q92">
        <v>-2.378301E-2</v>
      </c>
      <c r="R92">
        <v>8.7471179999999996E-2</v>
      </c>
      <c r="S92">
        <v>2.8838200000000001</v>
      </c>
      <c r="T92">
        <v>-0.16162099999999999</v>
      </c>
      <c r="U92">
        <v>1.4131469999999999</v>
      </c>
      <c r="V92">
        <v>-7.481401E-2</v>
      </c>
      <c r="W92">
        <v>-2.5340020000000001E-2</v>
      </c>
      <c r="X92">
        <v>0.99687550000000003</v>
      </c>
      <c r="Y92">
        <v>-0.4280968</v>
      </c>
      <c r="Z92">
        <v>1.0309459999999999E-2</v>
      </c>
      <c r="AA92">
        <v>0.90367410000000004</v>
      </c>
      <c r="AB92">
        <v>26</v>
      </c>
      <c r="AC92">
        <v>19.620099999999901</v>
      </c>
      <c r="AD92">
        <v>-1.1076965041619999</v>
      </c>
      <c r="AE92">
        <v>9.6831999999999994</v>
      </c>
      <c r="AF92">
        <v>-9.40932639350744</v>
      </c>
      <c r="AG92">
        <v>-1.1076965041619999</v>
      </c>
      <c r="AH92">
        <v>19.690928941251599</v>
      </c>
      <c r="AI92">
        <v>92.905662252532295</v>
      </c>
      <c r="AJ92">
        <v>115.54084117997201</v>
      </c>
      <c r="AK92">
        <v>21.851661202167399</v>
      </c>
      <c r="AL92">
        <v>91.452031611620498</v>
      </c>
      <c r="AM92">
        <v>94.291916565588394</v>
      </c>
      <c r="AN92">
        <v>1.00000000760306</v>
      </c>
    </row>
    <row r="93" spans="1:40" x14ac:dyDescent="0.25">
      <c r="A93" t="str">
        <f>"20190305135159066"</f>
        <v>20190305135159066</v>
      </c>
      <c r="B93" t="str">
        <f>"1551765119059566"</f>
        <v>1551765119059566</v>
      </c>
      <c r="C93" t="s">
        <v>40</v>
      </c>
      <c r="D93">
        <v>4.530081</v>
      </c>
      <c r="E93">
        <v>0.35570760000000001</v>
      </c>
      <c r="F93" t="s">
        <v>41</v>
      </c>
      <c r="G93">
        <v>-462.6748</v>
      </c>
      <c r="H93">
        <v>1.0590679999999999</v>
      </c>
      <c r="I93">
        <v>367.78140000000002</v>
      </c>
      <c r="J93">
        <v>-463.42290000000003</v>
      </c>
      <c r="K93">
        <v>1.107702</v>
      </c>
      <c r="L93">
        <v>367.34160000000003</v>
      </c>
      <c r="M93">
        <v>0.99991600000000003</v>
      </c>
      <c r="N93">
        <v>1.46579E-3</v>
      </c>
      <c r="O93">
        <v>1.2881190000000001E-2</v>
      </c>
      <c r="P93">
        <v>0.99592630000000004</v>
      </c>
      <c r="Q93">
        <v>-2.370212E-2</v>
      </c>
      <c r="R93">
        <v>8.7001170000000003E-2</v>
      </c>
      <c r="S93">
        <v>2.884979</v>
      </c>
      <c r="T93">
        <v>-0.1548631</v>
      </c>
      <c r="U93">
        <v>1.408417</v>
      </c>
      <c r="V93">
        <v>-7.4152590000000004E-2</v>
      </c>
      <c r="W93">
        <v>-2.5201049999999999E-2</v>
      </c>
      <c r="X93">
        <v>0.9969285</v>
      </c>
      <c r="Y93">
        <v>-0.42662729999999999</v>
      </c>
      <c r="Z93">
        <v>9.8314590000000007E-3</v>
      </c>
      <c r="AA93">
        <v>0.90437409999999996</v>
      </c>
      <c r="AB93">
        <v>26</v>
      </c>
      <c r="AC93">
        <v>0.74810000000002197</v>
      </c>
      <c r="AD93">
        <v>-4.8633999999999802E-2</v>
      </c>
      <c r="AE93">
        <v>0.43979999999999098</v>
      </c>
      <c r="AF93">
        <v>-0.42878037008845599</v>
      </c>
      <c r="AG93">
        <v>-4.8633999999999802E-2</v>
      </c>
      <c r="AH93">
        <v>0.75134326764063897</v>
      </c>
      <c r="AI93">
        <v>93.217716113523593</v>
      </c>
      <c r="AJ93">
        <v>119.712756672841</v>
      </c>
      <c r="AK93">
        <v>0.86644940853930197</v>
      </c>
      <c r="AL93">
        <v>91.444066588055904</v>
      </c>
      <c r="AM93">
        <v>94.253886927148699</v>
      </c>
      <c r="AN93">
        <v>1.0000000668185201</v>
      </c>
    </row>
    <row r="94" spans="1:40" x14ac:dyDescent="0.25">
      <c r="A94" t="str">
        <f>"20190305135159080"</f>
        <v>20190305135159080</v>
      </c>
      <c r="B94" t="str">
        <f>"1551765119070302"</f>
        <v>1551765119070302</v>
      </c>
      <c r="C94" t="s">
        <v>40</v>
      </c>
      <c r="D94">
        <v>4.5247089999999996</v>
      </c>
      <c r="E94">
        <v>0.35588959999999997</v>
      </c>
      <c r="F94" t="s">
        <v>41</v>
      </c>
      <c r="G94">
        <v>-462.47789999999998</v>
      </c>
      <c r="H94">
        <v>1.0578050000000001</v>
      </c>
      <c r="I94">
        <v>367.80180000000001</v>
      </c>
      <c r="J94">
        <v>-463.26080000000002</v>
      </c>
      <c r="K94">
        <v>1.1077159999999999</v>
      </c>
      <c r="L94">
        <v>367.34390000000002</v>
      </c>
      <c r="M94">
        <v>0.99991350000000001</v>
      </c>
      <c r="N94">
        <v>1.406076E-3</v>
      </c>
      <c r="O94">
        <v>1.3081219999999999E-2</v>
      </c>
      <c r="P94">
        <v>0.9959749</v>
      </c>
      <c r="Q94">
        <v>-2.3547309999999998E-2</v>
      </c>
      <c r="R94">
        <v>8.6486480000000004E-2</v>
      </c>
      <c r="S94">
        <v>2.8858950000000001</v>
      </c>
      <c r="T94">
        <v>-0.15237300000000001</v>
      </c>
      <c r="U94">
        <v>1.40567</v>
      </c>
      <c r="V94">
        <v>-7.3437530000000001E-2</v>
      </c>
      <c r="W94">
        <v>-2.4987140000000001E-2</v>
      </c>
      <c r="X94">
        <v>0.9969867</v>
      </c>
      <c r="Y94">
        <v>-0.42565350000000002</v>
      </c>
      <c r="Z94">
        <v>9.64747E-3</v>
      </c>
      <c r="AA94">
        <v>0.90483480000000005</v>
      </c>
      <c r="AB94">
        <v>27</v>
      </c>
      <c r="AC94">
        <v>0.78290000000004001</v>
      </c>
      <c r="AD94">
        <v>-4.9910999999999997E-2</v>
      </c>
      <c r="AE94">
        <v>0.45789999999999498</v>
      </c>
      <c r="AF94">
        <v>-0.446268082884759</v>
      </c>
      <c r="AG94">
        <v>-4.9910999999999997E-2</v>
      </c>
      <c r="AH94">
        <v>0.78644131561831498</v>
      </c>
      <c r="AI94">
        <v>93.159337343488403</v>
      </c>
      <c r="AJ94">
        <v>119.57285145397</v>
      </c>
      <c r="AK94">
        <v>0.90561374362037195</v>
      </c>
      <c r="AL94">
        <v>91.431806749504304</v>
      </c>
      <c r="AM94">
        <v>94.212769680635304</v>
      </c>
      <c r="AN94">
        <v>0.99999995397738395</v>
      </c>
    </row>
    <row r="95" spans="1:40" x14ac:dyDescent="0.25">
      <c r="A95" t="str">
        <f>"20190305135159098"</f>
        <v>20190305135159098</v>
      </c>
      <c r="B95" t="str">
        <f>"1551765119089826"</f>
        <v>1551765119089826</v>
      </c>
      <c r="C95" t="s">
        <v>40</v>
      </c>
      <c r="D95">
        <v>4.488194</v>
      </c>
      <c r="E95">
        <v>0.35630430000000002</v>
      </c>
      <c r="F95" t="s">
        <v>42</v>
      </c>
      <c r="G95">
        <v>-441.91750000000002</v>
      </c>
      <c r="H95" s="1">
        <v>-5.4113670000000001E-6</v>
      </c>
      <c r="I95">
        <v>377.71429999999998</v>
      </c>
      <c r="J95">
        <v>-463.0403</v>
      </c>
      <c r="K95">
        <v>1.1077349999999999</v>
      </c>
      <c r="L95">
        <v>367.34699999999998</v>
      </c>
      <c r="M95">
        <v>0.99990990000000002</v>
      </c>
      <c r="N95">
        <v>1.32532299999999E-3</v>
      </c>
      <c r="O95">
        <v>1.335916E-2</v>
      </c>
      <c r="P95">
        <v>0.99614170000000002</v>
      </c>
      <c r="Q95">
        <v>-2.3521239999999999E-2</v>
      </c>
      <c r="R95">
        <v>8.4549429999999995E-2</v>
      </c>
      <c r="S95">
        <v>2.886841</v>
      </c>
      <c r="T95">
        <v>-0.14982770000000001</v>
      </c>
      <c r="U95">
        <v>1.402679</v>
      </c>
      <c r="V95">
        <v>-7.1221220000000002E-2</v>
      </c>
      <c r="W95">
        <v>-2.488077E-2</v>
      </c>
      <c r="X95">
        <v>0.99715019999999999</v>
      </c>
      <c r="Y95">
        <v>-0.42454259999999999</v>
      </c>
      <c r="Z95">
        <v>9.4588520000000002E-3</v>
      </c>
      <c r="AA95">
        <v>0.90535860000000001</v>
      </c>
      <c r="AB95">
        <v>27</v>
      </c>
      <c r="AC95">
        <v>21.122799999999899</v>
      </c>
      <c r="AD95">
        <v>-1.107740411367</v>
      </c>
      <c r="AE95">
        <v>10.3673</v>
      </c>
      <c r="AF95">
        <v>-10.0618910892117</v>
      </c>
      <c r="AG95">
        <v>-1.107740411367</v>
      </c>
      <c r="AH95">
        <v>21.212399537131098</v>
      </c>
      <c r="AI95">
        <v>92.701351460774703</v>
      </c>
      <c r="AJ95">
        <v>115.376859688256</v>
      </c>
      <c r="AK95">
        <v>23.503928080919</v>
      </c>
      <c r="AL95">
        <v>91.425710210294298</v>
      </c>
      <c r="AM95">
        <v>94.085399868740893</v>
      </c>
      <c r="AN95">
        <v>1.0000000181270601</v>
      </c>
    </row>
    <row r="96" spans="1:40" x14ac:dyDescent="0.25">
      <c r="A96" t="str">
        <f>"20190305135159122"</f>
        <v>20190305135159122</v>
      </c>
      <c r="B96" t="str">
        <f>"1551765119110322"</f>
        <v>1551765119110322</v>
      </c>
      <c r="C96" t="s">
        <v>40</v>
      </c>
      <c r="D96">
        <v>4.5341959999999997</v>
      </c>
      <c r="E96">
        <v>0.35669309999999999</v>
      </c>
      <c r="F96" t="s">
        <v>42</v>
      </c>
      <c r="G96">
        <v>-441.90949999999998</v>
      </c>
      <c r="H96" s="1">
        <v>-5.3829959999999999E-6</v>
      </c>
      <c r="I96">
        <v>377.53699999999998</v>
      </c>
      <c r="J96">
        <v>-462.76280000000003</v>
      </c>
      <c r="K96">
        <v>1.107758</v>
      </c>
      <c r="L96">
        <v>367.351</v>
      </c>
      <c r="M96">
        <v>0.99990520000000005</v>
      </c>
      <c r="N96">
        <v>1.2245229999999999E-3</v>
      </c>
      <c r="O96">
        <v>1.372055E-2</v>
      </c>
      <c r="P96">
        <v>0.99626619999999999</v>
      </c>
      <c r="Q96">
        <v>-2.2961059999999998E-2</v>
      </c>
      <c r="R96">
        <v>8.3226170000000002E-2</v>
      </c>
      <c r="S96">
        <v>2.8897710000000001</v>
      </c>
      <c r="T96">
        <v>-0.15149119999999999</v>
      </c>
      <c r="U96">
        <v>1.3935550000000001</v>
      </c>
      <c r="V96">
        <v>-6.9535230000000003E-2</v>
      </c>
      <c r="W96">
        <v>-2.422123E-2</v>
      </c>
      <c r="X96">
        <v>0.99728539999999999</v>
      </c>
      <c r="Y96">
        <v>-0.42152849999999997</v>
      </c>
      <c r="Z96">
        <v>9.4973929999999998E-3</v>
      </c>
      <c r="AA96">
        <v>0.90676540000000005</v>
      </c>
      <c r="AB96">
        <v>27</v>
      </c>
      <c r="AC96">
        <v>20.853300000000001</v>
      </c>
      <c r="AD96">
        <v>-1.1077633829960001</v>
      </c>
      <c r="AE96">
        <v>10.1859999999999</v>
      </c>
      <c r="AF96">
        <v>-9.8764205398721501</v>
      </c>
      <c r="AG96">
        <v>-1.1077633829960001</v>
      </c>
      <c r="AH96">
        <v>20.943378830764601</v>
      </c>
      <c r="AI96">
        <v>92.7389737557872</v>
      </c>
      <c r="AJ96">
        <v>115.247497526161</v>
      </c>
      <c r="AK96">
        <v>23.181801898084501</v>
      </c>
      <c r="AL96">
        <v>91.387909993478303</v>
      </c>
      <c r="AM96">
        <v>93.988464857673506</v>
      </c>
      <c r="AN96">
        <v>0.99999999262351202</v>
      </c>
    </row>
    <row r="97" spans="1:40" x14ac:dyDescent="0.25">
      <c r="A97" t="str">
        <f>"20190305135159144"</f>
        <v>20190305135159144</v>
      </c>
      <c r="B97" t="str">
        <f>"1551765119139602"</f>
        <v>1551765119139602</v>
      </c>
      <c r="C97" t="s">
        <v>40</v>
      </c>
      <c r="D97">
        <v>4.563599</v>
      </c>
      <c r="E97">
        <v>0.35726439999999998</v>
      </c>
      <c r="F97" t="s">
        <v>42</v>
      </c>
      <c r="G97">
        <v>-441.65429999999998</v>
      </c>
      <c r="H97" s="1">
        <v>-5.4695279999999998E-6</v>
      </c>
      <c r="I97">
        <v>377.47239999999999</v>
      </c>
      <c r="J97">
        <v>-462.49299999999999</v>
      </c>
      <c r="K97">
        <v>1.107777</v>
      </c>
      <c r="L97">
        <v>367.35509999999999</v>
      </c>
      <c r="M97">
        <v>0.99990020000000002</v>
      </c>
      <c r="N97">
        <v>1.1275910000000001E-3</v>
      </c>
      <c r="O97">
        <v>1.4089549999999999E-2</v>
      </c>
      <c r="P97">
        <v>0.99643219999999999</v>
      </c>
      <c r="Q97">
        <v>-2.2214620000000001E-2</v>
      </c>
      <c r="R97">
        <v>8.1421430000000003E-2</v>
      </c>
      <c r="S97">
        <v>2.891937</v>
      </c>
      <c r="T97">
        <v>-0.15176799999999999</v>
      </c>
      <c r="U97">
        <v>1.3866579999999999</v>
      </c>
      <c r="V97">
        <v>-6.7360349999999999E-2</v>
      </c>
      <c r="W97">
        <v>-2.337945E-2</v>
      </c>
      <c r="X97">
        <v>0.99745479999999997</v>
      </c>
      <c r="Y97">
        <v>-0.4191704</v>
      </c>
      <c r="Z97">
        <v>9.4603540000000007E-3</v>
      </c>
      <c r="AA97">
        <v>0.90785830000000001</v>
      </c>
      <c r="AB97">
        <v>27</v>
      </c>
      <c r="AC97">
        <v>20.838699999999999</v>
      </c>
      <c r="AD97">
        <v>-1.1077824695280001</v>
      </c>
      <c r="AE97">
        <v>10.1173</v>
      </c>
      <c r="AF97">
        <v>-9.8002753083678193</v>
      </c>
      <c r="AG97">
        <v>-1.1077824695280001</v>
      </c>
      <c r="AH97">
        <v>20.931311727394299</v>
      </c>
      <c r="AI97">
        <v>92.744145108124997</v>
      </c>
      <c r="AJ97">
        <v>115.089521534821</v>
      </c>
      <c r="AK97">
        <v>23.138547680201398</v>
      </c>
      <c r="AL97">
        <v>91.339665811884501</v>
      </c>
      <c r="AM97">
        <v>93.863445846423105</v>
      </c>
      <c r="AN97">
        <v>1.00000004673873</v>
      </c>
    </row>
    <row r="98" spans="1:40" x14ac:dyDescent="0.25">
      <c r="A98" t="str">
        <f>"20190305135159165"</f>
        <v>20190305135159165</v>
      </c>
      <c r="B98" t="str">
        <f>"1551765119160100"</f>
        <v>1551765119160100</v>
      </c>
      <c r="C98" t="s">
        <v>40</v>
      </c>
      <c r="D98">
        <v>4.5894510000000004</v>
      </c>
      <c r="E98">
        <v>0.3575991</v>
      </c>
      <c r="F98" t="s">
        <v>42</v>
      </c>
      <c r="G98">
        <v>-441.44529999999997</v>
      </c>
      <c r="H98" s="1">
        <v>-5.5310000000000001E-6</v>
      </c>
      <c r="I98">
        <v>377.3664</v>
      </c>
      <c r="J98">
        <v>-462.22399999999999</v>
      </c>
      <c r="K98">
        <v>1.1078209999999999</v>
      </c>
      <c r="L98">
        <v>367.35919999999999</v>
      </c>
      <c r="M98">
        <v>0.99989459999999997</v>
      </c>
      <c r="N98">
        <v>1.0317010000000001E-3</v>
      </c>
      <c r="O98">
        <v>1.4479769999999999E-2</v>
      </c>
      <c r="P98">
        <v>0.99664090000000005</v>
      </c>
      <c r="Q98">
        <v>-1.9330940000000001E-2</v>
      </c>
      <c r="R98">
        <v>7.9582769999999997E-2</v>
      </c>
      <c r="S98">
        <v>2.8947750000000001</v>
      </c>
      <c r="T98">
        <v>-0.15235779999999999</v>
      </c>
      <c r="U98">
        <v>1.376892</v>
      </c>
      <c r="V98">
        <v>-6.5130419999999994E-2</v>
      </c>
      <c r="W98">
        <v>-2.0401900000000001E-2</v>
      </c>
      <c r="X98">
        <v>0.99766809999999995</v>
      </c>
      <c r="Y98">
        <v>-0.4159716</v>
      </c>
      <c r="Z98">
        <v>9.420833E-3</v>
      </c>
      <c r="AA98">
        <v>0.90932880000000005</v>
      </c>
      <c r="AB98">
        <v>27</v>
      </c>
      <c r="AC98">
        <v>20.778700000000001</v>
      </c>
      <c r="AD98">
        <v>-1.1078265309999999</v>
      </c>
      <c r="AE98">
        <v>10.007199999999999</v>
      </c>
      <c r="AF98">
        <v>-9.6829379083884994</v>
      </c>
      <c r="AG98">
        <v>-1.1078265309999999</v>
      </c>
      <c r="AH98">
        <v>20.873261580390398</v>
      </c>
      <c r="AI98">
        <v>92.756422137296497</v>
      </c>
      <c r="AJ98">
        <v>114.88620559350601</v>
      </c>
      <c r="AK98">
        <v>23.036484435866001</v>
      </c>
      <c r="AL98">
        <v>91.169023961721194</v>
      </c>
      <c r="AM98">
        <v>93.735120344589603</v>
      </c>
      <c r="AN98">
        <v>0.99999992344529498</v>
      </c>
    </row>
    <row r="99" spans="1:40" x14ac:dyDescent="0.25">
      <c r="A99" t="str">
        <f>"20190305135159187"</f>
        <v>20190305135159187</v>
      </c>
      <c r="B99" t="str">
        <f>"1551765119179618"</f>
        <v>1551765119179618</v>
      </c>
      <c r="C99" t="s">
        <v>40</v>
      </c>
      <c r="D99">
        <v>4.7665920000000002</v>
      </c>
      <c r="E99">
        <v>0.35769709999999899</v>
      </c>
      <c r="F99" t="s">
        <v>41</v>
      </c>
      <c r="G99">
        <v>-461.25450000000001</v>
      </c>
      <c r="H99">
        <v>1.0595110000000001</v>
      </c>
      <c r="I99">
        <v>367.81729999999999</v>
      </c>
      <c r="J99">
        <v>-461.94459999999998</v>
      </c>
      <c r="K99">
        <v>1.107861</v>
      </c>
      <c r="L99">
        <v>367.36369999999999</v>
      </c>
      <c r="M99">
        <v>0.99988840000000001</v>
      </c>
      <c r="N99">
        <v>9.333891E-4</v>
      </c>
      <c r="O99">
        <v>1.491438E-2</v>
      </c>
      <c r="P99">
        <v>0.99681399999999998</v>
      </c>
      <c r="Q99">
        <v>-1.57627999999999E-2</v>
      </c>
      <c r="R99">
        <v>7.8190620000000002E-2</v>
      </c>
      <c r="S99">
        <v>2.89798</v>
      </c>
      <c r="T99">
        <v>-0.14440310000000001</v>
      </c>
      <c r="U99">
        <v>1.3691409999999999</v>
      </c>
      <c r="V99">
        <v>-6.3304029999999997E-2</v>
      </c>
      <c r="W99">
        <v>-1.6738280000000001E-2</v>
      </c>
      <c r="X99">
        <v>0.99785389999999996</v>
      </c>
      <c r="Y99">
        <v>-0.4132458</v>
      </c>
      <c r="Z99">
        <v>8.8517679999999994E-3</v>
      </c>
      <c r="AA99">
        <v>0.91057650000000001</v>
      </c>
      <c r="AB99">
        <v>28</v>
      </c>
      <c r="AC99">
        <v>0.69009999999997196</v>
      </c>
      <c r="AD99">
        <v>-4.8349999999999803E-2</v>
      </c>
      <c r="AE99">
        <v>0.45359999999999401</v>
      </c>
      <c r="AF99">
        <v>-0.44174292813323401</v>
      </c>
      <c r="AG99">
        <v>-4.8349999999999803E-2</v>
      </c>
      <c r="AH99">
        <v>0.69440812258698803</v>
      </c>
      <c r="AI99">
        <v>93.362149634784004</v>
      </c>
      <c r="AJ99">
        <v>122.462197225496</v>
      </c>
      <c r="AK99">
        <v>0.82442536215870399</v>
      </c>
      <c r="AL99">
        <v>90.959077599515595</v>
      </c>
      <c r="AM99">
        <v>93.629989901346406</v>
      </c>
      <c r="AN99">
        <v>0.99999998798840395</v>
      </c>
    </row>
    <row r="100" spans="1:40" x14ac:dyDescent="0.25">
      <c r="A100" t="str">
        <f>"20190305135159210"</f>
        <v>20190305135159210</v>
      </c>
      <c r="B100" t="str">
        <f>"1551765119199704"</f>
        <v>1551765119199704</v>
      </c>
      <c r="C100" t="s">
        <v>40</v>
      </c>
      <c r="D100">
        <v>4.5442299999999998</v>
      </c>
      <c r="E100">
        <v>0.35793370000000002</v>
      </c>
      <c r="F100" t="s">
        <v>41</v>
      </c>
      <c r="G100">
        <v>-461.00139999999999</v>
      </c>
      <c r="H100">
        <v>1.06423</v>
      </c>
      <c r="I100">
        <v>367.8073</v>
      </c>
      <c r="J100">
        <v>-461.66699999999997</v>
      </c>
      <c r="K100">
        <v>1.107899</v>
      </c>
      <c r="L100">
        <v>367.36829999999998</v>
      </c>
      <c r="M100">
        <v>0.99988160000000004</v>
      </c>
      <c r="N100">
        <v>8.3651560000000001E-4</v>
      </c>
      <c r="O100">
        <v>1.5371350000000001E-2</v>
      </c>
      <c r="P100">
        <v>0.99686589999999997</v>
      </c>
      <c r="Q100">
        <v>-1.4649830000000001E-2</v>
      </c>
      <c r="R100">
        <v>7.7743090000000001E-2</v>
      </c>
      <c r="S100">
        <v>2.900452</v>
      </c>
      <c r="T100">
        <v>-0.13418099999999999</v>
      </c>
      <c r="U100">
        <v>1.3645020000000001</v>
      </c>
      <c r="V100">
        <v>-6.2398790000000003E-2</v>
      </c>
      <c r="W100">
        <v>-1.5531649999999999E-2</v>
      </c>
      <c r="X100">
        <v>0.99793050000000005</v>
      </c>
      <c r="Y100">
        <v>-0.41139320000000001</v>
      </c>
      <c r="Z100">
        <v>8.1689199999999997E-3</v>
      </c>
      <c r="AA100">
        <v>0.91142140000000005</v>
      </c>
      <c r="AB100">
        <v>28</v>
      </c>
      <c r="AC100">
        <v>0.66559999999998298</v>
      </c>
      <c r="AD100">
        <v>-4.3668999999999902E-2</v>
      </c>
      <c r="AE100">
        <v>0.43900000000002098</v>
      </c>
      <c r="AF100">
        <v>-0.42743482527409898</v>
      </c>
      <c r="AG100">
        <v>-4.3668999999999902E-2</v>
      </c>
      <c r="AH100">
        <v>0.67025887477508295</v>
      </c>
      <c r="AI100">
        <v>93.144264750619499</v>
      </c>
      <c r="AJ100">
        <v>122.526310421608</v>
      </c>
      <c r="AK100">
        <v>0.79614977901953798</v>
      </c>
      <c r="AL100">
        <v>90.889933721257407</v>
      </c>
      <c r="AM100">
        <v>93.577943374981004</v>
      </c>
      <c r="AN100">
        <v>1.0000000619877101</v>
      </c>
    </row>
    <row r="101" spans="1:40" x14ac:dyDescent="0.25">
      <c r="A101" t="str">
        <f>"20190305135159230"</f>
        <v>20190305135159230</v>
      </c>
      <c r="B101" t="str">
        <f>"1551765119219224"</f>
        <v>1551765119219224</v>
      </c>
      <c r="C101" t="s">
        <v>40</v>
      </c>
      <c r="D101">
        <v>4.5559859999999999</v>
      </c>
      <c r="E101">
        <v>0.3580547</v>
      </c>
      <c r="F101" t="s">
        <v>41</v>
      </c>
      <c r="G101">
        <v>-460.72149999999999</v>
      </c>
      <c r="H101">
        <v>1.0643929999999999</v>
      </c>
      <c r="I101">
        <v>367.8116</v>
      </c>
      <c r="J101">
        <v>-461.40030000000002</v>
      </c>
      <c r="K101">
        <v>1.1079220000000001</v>
      </c>
      <c r="L101">
        <v>367.37270000000001</v>
      </c>
      <c r="M101">
        <v>0.9998745</v>
      </c>
      <c r="N101">
        <v>7.4349720000000004E-4</v>
      </c>
      <c r="O101">
        <v>1.5833549999999998E-2</v>
      </c>
      <c r="P101">
        <v>0.99688290000000002</v>
      </c>
      <c r="Q101">
        <v>-1.611808E-2</v>
      </c>
      <c r="R101">
        <v>7.7232300000000004E-2</v>
      </c>
      <c r="S101">
        <v>2.9013369999999998</v>
      </c>
      <c r="T101">
        <v>-0.13349369999999999</v>
      </c>
      <c r="U101">
        <v>1.3608089999999999</v>
      </c>
      <c r="V101">
        <v>-6.142475E-2</v>
      </c>
      <c r="W101">
        <v>-1.6909779999999999E-2</v>
      </c>
      <c r="X101">
        <v>0.99796850000000004</v>
      </c>
      <c r="Y101">
        <v>-0.40991810000000001</v>
      </c>
      <c r="Z101">
        <v>8.0953099999999997E-3</v>
      </c>
      <c r="AA101">
        <v>0.91208639999999996</v>
      </c>
      <c r="AB101">
        <v>28</v>
      </c>
      <c r="AC101">
        <v>0.67880000000002305</v>
      </c>
      <c r="AD101">
        <v>-4.3528999999999901E-2</v>
      </c>
      <c r="AE101">
        <v>0.43889999999998902</v>
      </c>
      <c r="AF101">
        <v>-0.42685933411191002</v>
      </c>
      <c r="AG101">
        <v>-4.3528999999999901E-2</v>
      </c>
      <c r="AH101">
        <v>0.68368167403545199</v>
      </c>
      <c r="AI101">
        <v>93.091339784768493</v>
      </c>
      <c r="AJ101">
        <v>121.978756093293</v>
      </c>
      <c r="AK101">
        <v>0.80717054974235802</v>
      </c>
      <c r="AL101">
        <v>90.968905172400198</v>
      </c>
      <c r="AM101">
        <v>93.5220999091474</v>
      </c>
      <c r="AN101">
        <v>1.0000000337822299</v>
      </c>
    </row>
    <row r="102" spans="1:40" x14ac:dyDescent="0.25">
      <c r="A102" t="str">
        <f>"20190305135159254"</f>
        <v>20190305135159254</v>
      </c>
      <c r="B102" t="str">
        <f>"1551765119249481"</f>
        <v>1551765119249481</v>
      </c>
      <c r="C102" t="s">
        <v>40</v>
      </c>
      <c r="D102">
        <v>4.8226800000000001</v>
      </c>
      <c r="E102">
        <v>0.35811189999999998</v>
      </c>
      <c r="F102" t="s">
        <v>41</v>
      </c>
      <c r="G102">
        <v>-460.43830000000003</v>
      </c>
      <c r="H102">
        <v>1.0611839999999999</v>
      </c>
      <c r="I102">
        <v>367.82319999999999</v>
      </c>
      <c r="J102">
        <v>-461.11489999999998</v>
      </c>
      <c r="K102">
        <v>1.1079540000000001</v>
      </c>
      <c r="L102">
        <v>367.3777</v>
      </c>
      <c r="M102">
        <v>0.99986609999999998</v>
      </c>
      <c r="N102">
        <v>6.4261959999999997E-4</v>
      </c>
      <c r="O102">
        <v>1.635298E-2</v>
      </c>
      <c r="P102">
        <v>0.99695290000000003</v>
      </c>
      <c r="Q102">
        <v>-1.5985079999999999E-2</v>
      </c>
      <c r="R102">
        <v>7.6350849999999998E-2</v>
      </c>
      <c r="S102">
        <v>2.9018860000000002</v>
      </c>
      <c r="T102">
        <v>-0.14101729999999901</v>
      </c>
      <c r="U102">
        <v>1.358582</v>
      </c>
      <c r="V102">
        <v>-6.0023020000000003E-2</v>
      </c>
      <c r="W102">
        <v>-1.6678539999999999E-2</v>
      </c>
      <c r="X102">
        <v>0.99805770000000005</v>
      </c>
      <c r="Y102">
        <v>-0.40876499999999999</v>
      </c>
      <c r="Z102">
        <v>8.5333649999999994E-3</v>
      </c>
      <c r="AA102">
        <v>0.91259979999999996</v>
      </c>
      <c r="AB102">
        <v>28</v>
      </c>
      <c r="AC102">
        <v>0.67659999999995002</v>
      </c>
      <c r="AD102">
        <v>-4.67700000000002E-2</v>
      </c>
      <c r="AE102">
        <v>0.44549999999998102</v>
      </c>
      <c r="AF102">
        <v>-0.43293295153079703</v>
      </c>
      <c r="AG102">
        <v>-4.67700000000002E-2</v>
      </c>
      <c r="AH102">
        <v>0.68152313259999298</v>
      </c>
      <c r="AI102">
        <v>93.315224117972207</v>
      </c>
      <c r="AJ102">
        <v>122.425477410078</v>
      </c>
      <c r="AK102">
        <v>0.808759639009066</v>
      </c>
      <c r="AL102">
        <v>90.955654208083303</v>
      </c>
      <c r="AM102">
        <v>93.441613202615997</v>
      </c>
      <c r="AN102">
        <v>1.00000005457786</v>
      </c>
    </row>
    <row r="103" spans="1:40" x14ac:dyDescent="0.25">
      <c r="A103" t="str">
        <f>"20190305135159276"</f>
        <v>20190305135159276</v>
      </c>
      <c r="B103" t="str">
        <f>"1551765119269976"</f>
        <v>1551765119269976</v>
      </c>
      <c r="C103" t="s">
        <v>40</v>
      </c>
      <c r="D103">
        <v>4.7579250000000002</v>
      </c>
      <c r="E103">
        <v>0.42458439999999997</v>
      </c>
      <c r="F103" t="s">
        <v>47</v>
      </c>
      <c r="G103">
        <v>-437.51620000000003</v>
      </c>
      <c r="H103">
        <v>-0.05</v>
      </c>
      <c r="I103">
        <v>378.39409999999998</v>
      </c>
      <c r="J103">
        <v>-460.81659999999999</v>
      </c>
      <c r="K103">
        <v>1.1079950000000001</v>
      </c>
      <c r="L103">
        <v>367.38310000000001</v>
      </c>
      <c r="M103">
        <v>0.99985670000000004</v>
      </c>
      <c r="N103">
        <v>5.3537739999999999E-4</v>
      </c>
      <c r="O103">
        <v>1.6918610000000001E-2</v>
      </c>
      <c r="P103">
        <v>0.99707760000000001</v>
      </c>
      <c r="Q103">
        <v>-1.4570029999999999E-2</v>
      </c>
      <c r="R103">
        <v>7.4995249999999999E-2</v>
      </c>
      <c r="S103">
        <v>2.903076</v>
      </c>
      <c r="T103">
        <v>-0.1424503</v>
      </c>
      <c r="U103">
        <v>1.3552249999999999</v>
      </c>
      <c r="V103">
        <v>-5.8101640000000003E-2</v>
      </c>
      <c r="W103">
        <v>-1.51582E-2</v>
      </c>
      <c r="X103">
        <v>0.99819559999999996</v>
      </c>
      <c r="Y103">
        <v>-0.40723189999999998</v>
      </c>
      <c r="Z103">
        <v>8.5830590000000005E-3</v>
      </c>
      <c r="AA103">
        <v>0.91328450000000005</v>
      </c>
      <c r="AB103">
        <v>28</v>
      </c>
      <c r="AC103">
        <v>23.3003999999999</v>
      </c>
      <c r="AD103">
        <v>-1.1579950000000001</v>
      </c>
      <c r="AE103">
        <v>11.0109999999999</v>
      </c>
      <c r="AF103">
        <v>-10.593824106546</v>
      </c>
      <c r="AG103">
        <v>-1.1579950000000001</v>
      </c>
      <c r="AH103">
        <v>23.436037370927899</v>
      </c>
      <c r="AI103">
        <v>92.577975261867493</v>
      </c>
      <c r="AJ103">
        <v>114.324460887406</v>
      </c>
      <c r="AK103">
        <v>25.7452502274107</v>
      </c>
      <c r="AL103">
        <v>90.868534135919901</v>
      </c>
      <c r="AM103">
        <v>93.331237719457903</v>
      </c>
      <c r="AN103">
        <v>1.00000001372864</v>
      </c>
    </row>
    <row r="104" spans="1:40" x14ac:dyDescent="0.25">
      <c r="A104" t="str">
        <f>"20190305135159299"</f>
        <v>20190305135159299</v>
      </c>
      <c r="B104" t="str">
        <f>"1551765119290202"</f>
        <v>1551765119290202</v>
      </c>
      <c r="C104" t="s">
        <v>40</v>
      </c>
      <c r="D104">
        <v>4.7049079999999996</v>
      </c>
      <c r="E104">
        <v>0.502274</v>
      </c>
      <c r="F104" t="s">
        <v>42</v>
      </c>
      <c r="G104">
        <v>-443.88499999999999</v>
      </c>
      <c r="H104" s="1">
        <v>-3.534009E-6</v>
      </c>
      <c r="I104">
        <v>372.1078</v>
      </c>
      <c r="J104">
        <v>-460.51609999999999</v>
      </c>
      <c r="K104">
        <v>1.1080380000000001</v>
      </c>
      <c r="L104">
        <v>367.3888</v>
      </c>
      <c r="M104">
        <v>0.99984680000000004</v>
      </c>
      <c r="N104">
        <v>4.263553E-4</v>
      </c>
      <c r="O104">
        <v>1.7504080000000002E-2</v>
      </c>
      <c r="P104">
        <v>0.99711360000000004</v>
      </c>
      <c r="Q104">
        <v>-1.2621469999999999E-2</v>
      </c>
      <c r="R104">
        <v>7.486864E-2</v>
      </c>
      <c r="S104">
        <v>2.9441830000000002</v>
      </c>
      <c r="T104">
        <v>-0.19266639999999999</v>
      </c>
      <c r="U104">
        <v>0.82156369999999901</v>
      </c>
      <c r="V104">
        <v>-5.7390749999999997E-2</v>
      </c>
      <c r="W104">
        <v>-1.310301E-2</v>
      </c>
      <c r="X104">
        <v>0.99826579999999998</v>
      </c>
      <c r="Y104">
        <v>-0.25141720000000001</v>
      </c>
      <c r="Z104">
        <v>6.8798699999999997E-3</v>
      </c>
      <c r="AA104">
        <v>0.9678544</v>
      </c>
      <c r="AB104">
        <v>29</v>
      </c>
      <c r="AC104">
        <v>16.6311</v>
      </c>
      <c r="AD104">
        <v>-1.108041534009</v>
      </c>
      <c r="AE104">
        <v>4.7189999999999896</v>
      </c>
      <c r="AF104">
        <v>-4.4090520928993904</v>
      </c>
      <c r="AG104">
        <v>-1.108041534009</v>
      </c>
      <c r="AH104">
        <v>16.6427835573514</v>
      </c>
      <c r="AI104">
        <v>93.682348905980902</v>
      </c>
      <c r="AJ104">
        <v>104.838091645887</v>
      </c>
      <c r="AK104">
        <v>17.252528537459</v>
      </c>
      <c r="AL104">
        <v>90.750768658129005</v>
      </c>
      <c r="AM104">
        <v>93.290338310684703</v>
      </c>
      <c r="AN104">
        <v>0.99999999725313105</v>
      </c>
    </row>
    <row r="105" spans="1:40" x14ac:dyDescent="0.25">
      <c r="A105" t="str">
        <f>"20190305135159322"</f>
        <v>20190305135159322</v>
      </c>
      <c r="B105" t="str">
        <f>"1551765119309722"</f>
        <v>1551765119309722</v>
      </c>
      <c r="C105" t="s">
        <v>40</v>
      </c>
      <c r="D105">
        <v>4.72661</v>
      </c>
      <c r="E105">
        <v>0.50996629999999998</v>
      </c>
      <c r="F105" t="s">
        <v>42</v>
      </c>
      <c r="G105">
        <v>-441.12279999999998</v>
      </c>
      <c r="H105" s="1">
        <v>-4.3376690000000002E-6</v>
      </c>
      <c r="I105">
        <v>368.70929999999998</v>
      </c>
      <c r="J105">
        <v>-460.23149999999998</v>
      </c>
      <c r="K105">
        <v>1.1080719999999999</v>
      </c>
      <c r="L105">
        <v>367.39429999999999</v>
      </c>
      <c r="M105">
        <v>0.99983679999999997</v>
      </c>
      <c r="N105">
        <v>3.2306240000000002E-4</v>
      </c>
      <c r="O105">
        <v>1.8068170000000001E-2</v>
      </c>
      <c r="P105">
        <v>0.99707999999999997</v>
      </c>
      <c r="Q105">
        <v>-1.0025879999999999E-2</v>
      </c>
      <c r="R105">
        <v>7.5705380000000003E-2</v>
      </c>
      <c r="S105">
        <v>2.9912719999999999</v>
      </c>
      <c r="T105">
        <v>-0.170908</v>
      </c>
      <c r="U105">
        <v>0.2036743</v>
      </c>
      <c r="V105">
        <v>-5.766723E-2</v>
      </c>
      <c r="W105">
        <v>-1.040672E-2</v>
      </c>
      <c r="X105">
        <v>0.99828159999999999</v>
      </c>
      <c r="Y105">
        <v>-4.9843940000000003E-2</v>
      </c>
      <c r="Z105">
        <v>3.7713159999999999E-4</v>
      </c>
      <c r="AA105">
        <v>0.99875689999999995</v>
      </c>
      <c r="AB105">
        <v>29</v>
      </c>
      <c r="AC105">
        <v>19.108699999999999</v>
      </c>
      <c r="AD105">
        <v>-1.1080763376689999</v>
      </c>
      <c r="AE105">
        <v>1.31499999999999</v>
      </c>
      <c r="AF105">
        <v>-0.96629215773891997</v>
      </c>
      <c r="AG105">
        <v>-1.1080763376689999</v>
      </c>
      <c r="AH105">
        <v>19.065532430046201</v>
      </c>
      <c r="AI105">
        <v>93.321997225827502</v>
      </c>
      <c r="AJ105">
        <v>92.901420667519901</v>
      </c>
      <c r="AK105">
        <v>19.122135878226398</v>
      </c>
      <c r="AL105">
        <v>90.596271908883693</v>
      </c>
      <c r="AM105">
        <v>93.306102229197904</v>
      </c>
      <c r="AN105">
        <v>0.99999998106779497</v>
      </c>
    </row>
    <row r="106" spans="1:40" x14ac:dyDescent="0.25">
      <c r="A106" t="str">
        <f>"20190305135159344"</f>
        <v>20190305135159344</v>
      </c>
      <c r="B106" t="str">
        <f>"1551765119339978"</f>
        <v>1551765119339978</v>
      </c>
      <c r="C106" t="s">
        <v>40</v>
      </c>
      <c r="D106">
        <v>4.6204919999999996</v>
      </c>
      <c r="E106">
        <v>0.51090829999999998</v>
      </c>
      <c r="F106" t="s">
        <v>47</v>
      </c>
      <c r="G106">
        <v>-436.31819999999999</v>
      </c>
      <c r="H106">
        <v>-0.05</v>
      </c>
      <c r="I106">
        <v>368.55560000000003</v>
      </c>
      <c r="J106">
        <v>-459.94470000000001</v>
      </c>
      <c r="K106">
        <v>1.108104</v>
      </c>
      <c r="L106">
        <v>367.4</v>
      </c>
      <c r="M106">
        <v>0.99982629999999995</v>
      </c>
      <c r="N106">
        <v>2.188619E-4</v>
      </c>
      <c r="O106">
        <v>1.8642329999999999E-2</v>
      </c>
      <c r="P106">
        <v>0.99697020000000003</v>
      </c>
      <c r="Q106">
        <v>-8.6425779999999997E-3</v>
      </c>
      <c r="R106">
        <v>7.730389E-2</v>
      </c>
      <c r="S106">
        <v>2.9962770000000001</v>
      </c>
      <c r="T106">
        <v>-0.1451036</v>
      </c>
      <c r="U106">
        <v>0.14550779999999999</v>
      </c>
      <c r="V106">
        <v>-5.869576E-2</v>
      </c>
      <c r="W106">
        <v>-8.9221189999999992E-3</v>
      </c>
      <c r="X106">
        <v>0.99823609999999896</v>
      </c>
      <c r="Y106">
        <v>-2.9864129999999999E-2</v>
      </c>
      <c r="Z106">
        <v>-1.8667649999999999E-4</v>
      </c>
      <c r="AA106">
        <v>0.99955400000000005</v>
      </c>
      <c r="AB106">
        <v>29</v>
      </c>
      <c r="AC106">
        <v>23.6265</v>
      </c>
      <c r="AD106">
        <v>-1.158104</v>
      </c>
      <c r="AE106">
        <v>1.1556000000000399</v>
      </c>
      <c r="AF106">
        <v>-0.71323661187091303</v>
      </c>
      <c r="AG106">
        <v>-1.158104</v>
      </c>
      <c r="AH106">
        <v>23.587399412828201</v>
      </c>
      <c r="AI106">
        <v>92.809592802035695</v>
      </c>
      <c r="AJ106">
        <v>91.731984048491995</v>
      </c>
      <c r="AK106">
        <v>23.626580844456001</v>
      </c>
      <c r="AL106">
        <v>90.511206517978906</v>
      </c>
      <c r="AM106">
        <v>93.365087277423498</v>
      </c>
      <c r="AN106">
        <v>1.0000000538963101</v>
      </c>
    </row>
    <row r="107" spans="1:40" x14ac:dyDescent="0.25">
      <c r="A107" t="str">
        <f>"20190305135159368"</f>
        <v>20190305135159368</v>
      </c>
      <c r="B107" t="str">
        <f>"1551765119359499"</f>
        <v>1551765119359499</v>
      </c>
      <c r="C107" t="s">
        <v>40</v>
      </c>
      <c r="D107">
        <v>4.6749519999999896</v>
      </c>
      <c r="E107">
        <v>0.51077029999999901</v>
      </c>
      <c r="F107" t="s">
        <v>47</v>
      </c>
      <c r="G107">
        <v>-437.90699999999998</v>
      </c>
      <c r="H107">
        <v>-0.05</v>
      </c>
      <c r="I107">
        <v>368.44720000000001</v>
      </c>
      <c r="J107">
        <v>-459.63220000000001</v>
      </c>
      <c r="K107">
        <v>1.1081270000000001</v>
      </c>
      <c r="L107">
        <v>367.40640000000002</v>
      </c>
      <c r="M107">
        <v>0.99981450000000005</v>
      </c>
      <c r="N107">
        <v>1.059688E-4</v>
      </c>
      <c r="O107">
        <v>1.927038E-2</v>
      </c>
      <c r="P107">
        <v>0.99680659999999999</v>
      </c>
      <c r="Q107">
        <v>-8.0435130000000004E-3</v>
      </c>
      <c r="R107">
        <v>7.9449549999999994E-2</v>
      </c>
      <c r="S107">
        <v>2.9967039999999998</v>
      </c>
      <c r="T107">
        <v>-0.15748000000000001</v>
      </c>
      <c r="U107">
        <v>0.14239499999999999</v>
      </c>
      <c r="V107">
        <v>-6.0217340000000001E-2</v>
      </c>
      <c r="W107">
        <v>-8.2133450000000004E-3</v>
      </c>
      <c r="X107">
        <v>0.99815149999999997</v>
      </c>
      <c r="Y107">
        <v>-2.8194090000000002E-2</v>
      </c>
      <c r="Z107">
        <v>-2.7489700000000002E-4</v>
      </c>
      <c r="AA107">
        <v>0.9996024</v>
      </c>
      <c r="AB107">
        <v>29</v>
      </c>
      <c r="AC107">
        <v>21.725200000000001</v>
      </c>
      <c r="AD107">
        <v>-1.1581269999999999</v>
      </c>
      <c r="AE107">
        <v>1.04079999999999</v>
      </c>
      <c r="AF107">
        <v>-0.62019555259724402</v>
      </c>
      <c r="AG107">
        <v>-1.1581269999999999</v>
      </c>
      <c r="AH107">
        <v>21.679755216212701</v>
      </c>
      <c r="AI107">
        <v>93.0565714137566</v>
      </c>
      <c r="AJ107">
        <v>91.638620850872897</v>
      </c>
      <c r="AK107">
        <v>21.719523174013101</v>
      </c>
      <c r="AL107">
        <v>90.470595294323005</v>
      </c>
      <c r="AM107">
        <v>93.452404573548606</v>
      </c>
      <c r="AN107">
        <v>1.0000000020124999</v>
      </c>
    </row>
    <row r="108" spans="1:40" x14ac:dyDescent="0.25">
      <c r="A108" t="str">
        <f>"20190305135159388"</f>
        <v>20190305135159388</v>
      </c>
      <c r="B108" t="str">
        <f>"1551765119379995"</f>
        <v>1551765119379995</v>
      </c>
      <c r="C108" t="s">
        <v>40</v>
      </c>
      <c r="D108">
        <v>4.8319739999999998</v>
      </c>
      <c r="E108">
        <v>0.51074649999999999</v>
      </c>
      <c r="F108" t="s">
        <v>47</v>
      </c>
      <c r="G108">
        <v>-438.36590000000001</v>
      </c>
      <c r="H108">
        <v>-0.05</v>
      </c>
      <c r="I108">
        <v>368.47449999999998</v>
      </c>
      <c r="J108">
        <v>-459.35329999999999</v>
      </c>
      <c r="K108">
        <v>1.108144</v>
      </c>
      <c r="L108">
        <v>367.41230000000002</v>
      </c>
      <c r="M108">
        <v>0.99980349999999996</v>
      </c>
      <c r="N108" s="1">
        <v>6.5208299999999999E-6</v>
      </c>
      <c r="O108">
        <v>1.9829340000000001E-2</v>
      </c>
      <c r="P108">
        <v>0.99665760000000003</v>
      </c>
      <c r="Q108">
        <v>-6.6833379999999996E-3</v>
      </c>
      <c r="R108">
        <v>8.1421679999999996E-2</v>
      </c>
      <c r="S108">
        <v>2.9963069999999998</v>
      </c>
      <c r="T108">
        <v>-0.16317390000000001</v>
      </c>
      <c r="U108">
        <v>0.15048220000000001</v>
      </c>
      <c r="V108">
        <v>-6.1635830000000003E-2</v>
      </c>
      <c r="W108">
        <v>-6.7563220000000004E-3</v>
      </c>
      <c r="X108">
        <v>0.99807579999999996</v>
      </c>
      <c r="Y108">
        <v>-3.0329579999999998E-2</v>
      </c>
      <c r="Z108">
        <v>-2.537172E-4</v>
      </c>
      <c r="AA108">
        <v>0.99953990000000004</v>
      </c>
      <c r="AB108">
        <v>30</v>
      </c>
      <c r="AC108">
        <v>20.987399999999901</v>
      </c>
      <c r="AD108">
        <v>-1.1581440000000001</v>
      </c>
      <c r="AE108">
        <v>1.0621999999999601</v>
      </c>
      <c r="AF108">
        <v>-0.64386924429429104</v>
      </c>
      <c r="AG108">
        <v>-1.1581440000000001</v>
      </c>
      <c r="AH108">
        <v>20.940731545550801</v>
      </c>
      <c r="AI108">
        <v>93.164072008106601</v>
      </c>
      <c r="AJ108">
        <v>91.761130994428598</v>
      </c>
      <c r="AK108">
        <v>20.982614298302099</v>
      </c>
      <c r="AL108">
        <v>90.387111695136497</v>
      </c>
      <c r="AM108">
        <v>93.533793642937894</v>
      </c>
      <c r="AN108">
        <v>0.99999996298619698</v>
      </c>
    </row>
    <row r="109" spans="1:40" x14ac:dyDescent="0.25">
      <c r="A109" t="str">
        <f>"20190305135159411"</f>
        <v>20190305135159411</v>
      </c>
      <c r="B109" t="str">
        <f>"1551765119399514"</f>
        <v>1551765119399514</v>
      </c>
      <c r="C109" t="s">
        <v>40</v>
      </c>
      <c r="D109">
        <v>4.6382519999999996</v>
      </c>
      <c r="E109">
        <v>0.5106463</v>
      </c>
      <c r="F109" t="s">
        <v>47</v>
      </c>
      <c r="G109">
        <v>-437.3698</v>
      </c>
      <c r="H109">
        <v>-0.05</v>
      </c>
      <c r="I109">
        <v>368.56349999999998</v>
      </c>
      <c r="J109">
        <v>-459.0573</v>
      </c>
      <c r="K109">
        <v>1.1081669999999999</v>
      </c>
      <c r="L109">
        <v>367.41879999999998</v>
      </c>
      <c r="M109">
        <v>0.99979150000000006</v>
      </c>
      <c r="N109" s="1">
        <v>-9.8393299999999999E-5</v>
      </c>
      <c r="O109">
        <v>2.041948E-2</v>
      </c>
      <c r="P109">
        <v>0.99658100000000005</v>
      </c>
      <c r="Q109">
        <v>-4.5432809999999997E-3</v>
      </c>
      <c r="R109">
        <v>8.2497000000000001E-2</v>
      </c>
      <c r="S109">
        <v>2.9961549999999999</v>
      </c>
      <c r="T109">
        <v>-0.15784479999999901</v>
      </c>
      <c r="U109">
        <v>0.1568909</v>
      </c>
      <c r="V109">
        <v>-6.2125380000000001E-2</v>
      </c>
      <c r="W109">
        <v>-4.512762E-3</v>
      </c>
      <c r="X109">
        <v>0.99805809999999995</v>
      </c>
      <c r="Y109">
        <v>-3.187396E-2</v>
      </c>
      <c r="Z109">
        <v>-2.320477E-4</v>
      </c>
      <c r="AA109">
        <v>0.99949189999999999</v>
      </c>
      <c r="AB109">
        <v>30</v>
      </c>
      <c r="AC109">
        <v>21.6875</v>
      </c>
      <c r="AD109">
        <v>-1.1581669999999999</v>
      </c>
      <c r="AE109">
        <v>1.1447000000000001</v>
      </c>
      <c r="AF109">
        <v>-0.69962419288561395</v>
      </c>
      <c r="AG109">
        <v>-1.1581669999999999</v>
      </c>
      <c r="AH109">
        <v>21.644796592101301</v>
      </c>
      <c r="AI109">
        <v>93.061258669828007</v>
      </c>
      <c r="AJ109">
        <v>91.851325419595398</v>
      </c>
      <c r="AK109">
        <v>21.687047847150598</v>
      </c>
      <c r="AL109">
        <v>90.258563107237805</v>
      </c>
      <c r="AM109">
        <v>93.561852256393905</v>
      </c>
      <c r="AN109">
        <v>0.99999994941831005</v>
      </c>
    </row>
    <row r="110" spans="1:40" x14ac:dyDescent="0.25">
      <c r="A110" t="str">
        <f>"20190305135159432"</f>
        <v>20190305135159432</v>
      </c>
      <c r="B110" t="str">
        <f>"1551765119420010"</f>
        <v>1551765119420010</v>
      </c>
      <c r="C110" t="s">
        <v>40</v>
      </c>
      <c r="D110">
        <v>4.6384100000000004</v>
      </c>
      <c r="E110">
        <v>0.51059759999999998</v>
      </c>
      <c r="F110" t="s">
        <v>47</v>
      </c>
      <c r="G110">
        <v>-436.262</v>
      </c>
      <c r="H110">
        <v>-0.05</v>
      </c>
      <c r="I110">
        <v>368.64319999999998</v>
      </c>
      <c r="J110">
        <v>-458.76900000000001</v>
      </c>
      <c r="K110">
        <v>1.1081829999999999</v>
      </c>
      <c r="L110">
        <v>367.42520000000002</v>
      </c>
      <c r="M110">
        <v>0.99977969999999905</v>
      </c>
      <c r="N110">
        <v>-1.997345E-4</v>
      </c>
      <c r="O110">
        <v>2.098827E-2</v>
      </c>
      <c r="P110">
        <v>0.99649189999999999</v>
      </c>
      <c r="Q110">
        <v>-2.899876E-3</v>
      </c>
      <c r="R110">
        <v>8.3638870000000004E-2</v>
      </c>
      <c r="S110">
        <v>2.9962770000000001</v>
      </c>
      <c r="T110">
        <v>-0.15223299999999901</v>
      </c>
      <c r="U110">
        <v>0.1609497</v>
      </c>
      <c r="V110">
        <v>-6.2702569999999999E-2</v>
      </c>
      <c r="W110">
        <v>-2.7692390000000002E-3</v>
      </c>
      <c r="X110">
        <v>0.99802840000000004</v>
      </c>
      <c r="Y110">
        <v>-3.2653990000000001E-2</v>
      </c>
      <c r="Z110">
        <v>-2.2884340000000001E-4</v>
      </c>
      <c r="AA110">
        <v>0.99946670000000004</v>
      </c>
      <c r="AB110">
        <v>30</v>
      </c>
      <c r="AC110">
        <v>22.507000000000001</v>
      </c>
      <c r="AD110">
        <v>-1.158183</v>
      </c>
      <c r="AE110">
        <v>1.21799999999996</v>
      </c>
      <c r="AF110">
        <v>-0.74338595487578396</v>
      </c>
      <c r="AG110">
        <v>-1.158183</v>
      </c>
      <c r="AH110">
        <v>22.4682834728529</v>
      </c>
      <c r="AI110">
        <v>92.949229351637001</v>
      </c>
      <c r="AJ110">
        <v>91.894997724066499</v>
      </c>
      <c r="AK110">
        <v>22.510392550017201</v>
      </c>
      <c r="AL110">
        <v>90.158665912481297</v>
      </c>
      <c r="AM110">
        <v>93.594964773652606</v>
      </c>
      <c r="AN110">
        <v>0.99999998408790103</v>
      </c>
    </row>
    <row r="111" spans="1:40" x14ac:dyDescent="0.25">
      <c r="A111" t="str">
        <f>"20190305135159455"</f>
        <v>20190305135159455</v>
      </c>
      <c r="B111" t="str">
        <f>"1551765119450267"</f>
        <v>1551765119450267</v>
      </c>
      <c r="C111" t="s">
        <v>40</v>
      </c>
      <c r="D111">
        <v>4.5738719999999997</v>
      </c>
      <c r="E111">
        <v>0.51077070000000002</v>
      </c>
      <c r="F111" t="s">
        <v>47</v>
      </c>
      <c r="G111">
        <v>-435.74880000000002</v>
      </c>
      <c r="H111">
        <v>-0.05</v>
      </c>
      <c r="I111">
        <v>368.69290000000001</v>
      </c>
      <c r="J111">
        <v>-458.46730000000002</v>
      </c>
      <c r="K111">
        <v>1.1081939999999999</v>
      </c>
      <c r="L111">
        <v>367.43209999999999</v>
      </c>
      <c r="M111">
        <v>0.99976730000000003</v>
      </c>
      <c r="N111">
        <v>-3.0455219999999999E-4</v>
      </c>
      <c r="O111">
        <v>2.1573390000000001E-2</v>
      </c>
      <c r="P111">
        <v>0.99644200000000005</v>
      </c>
      <c r="Q111">
        <v>-2.7085920000000001E-3</v>
      </c>
      <c r="R111">
        <v>8.4239720000000004E-2</v>
      </c>
      <c r="S111">
        <v>2.9962460000000002</v>
      </c>
      <c r="T111">
        <v>-0.15074609999999999</v>
      </c>
      <c r="U111">
        <v>0.1650085</v>
      </c>
      <c r="V111">
        <v>-6.2720700000000004E-2</v>
      </c>
      <c r="W111">
        <v>-2.4733609999999999E-3</v>
      </c>
      <c r="X111">
        <v>0.99802800000000003</v>
      </c>
      <c r="Y111">
        <v>-3.3419360000000002E-2</v>
      </c>
      <c r="Z111">
        <v>-2.324796E-4</v>
      </c>
      <c r="AA111">
        <v>0.99944140000000004</v>
      </c>
      <c r="AB111">
        <v>30</v>
      </c>
      <c r="AC111">
        <v>22.718499999999999</v>
      </c>
      <c r="AD111">
        <v>-1.1581939999999999</v>
      </c>
      <c r="AE111">
        <v>1.2608000000000099</v>
      </c>
      <c r="AF111">
        <v>-0.76840059825745499</v>
      </c>
      <c r="AG111">
        <v>-1.1581939999999999</v>
      </c>
      <c r="AH111">
        <v>22.681644200488599</v>
      </c>
      <c r="AI111">
        <v>92.921485441520701</v>
      </c>
      <c r="AJ111">
        <v>91.940303781000097</v>
      </c>
      <c r="AK111">
        <v>22.724190556730399</v>
      </c>
      <c r="AL111">
        <v>90.141713298617901</v>
      </c>
      <c r="AM111">
        <v>93.596002942357003</v>
      </c>
      <c r="AN111">
        <v>0.99999994625356103</v>
      </c>
    </row>
    <row r="112" spans="1:40" x14ac:dyDescent="0.25">
      <c r="A112" t="str">
        <f>"20190305135159478"</f>
        <v>20190305135159478</v>
      </c>
      <c r="B112" t="str">
        <f>"1551765119469787"</f>
        <v>1551765119469787</v>
      </c>
      <c r="C112" t="s">
        <v>40</v>
      </c>
      <c r="D112">
        <v>4.5886559999999896</v>
      </c>
      <c r="E112">
        <v>0.51090459999999904</v>
      </c>
      <c r="F112" t="s">
        <v>47</v>
      </c>
      <c r="G112">
        <v>-435.99680000000001</v>
      </c>
      <c r="H112">
        <v>-0.05</v>
      </c>
      <c r="I112">
        <v>368.67110000000002</v>
      </c>
      <c r="J112">
        <v>-458.14089999999999</v>
      </c>
      <c r="K112">
        <v>1.108201</v>
      </c>
      <c r="L112">
        <v>367.43970000000002</v>
      </c>
      <c r="M112">
        <v>0.99975369999999997</v>
      </c>
      <c r="N112">
        <v>-4.168717E-4</v>
      </c>
      <c r="O112">
        <v>2.2190700000000001E-2</v>
      </c>
      <c r="P112">
        <v>0.99640479999999998</v>
      </c>
      <c r="Q112">
        <v>-2.4319300000000001E-3</v>
      </c>
      <c r="R112">
        <v>8.4685490000000002E-2</v>
      </c>
      <c r="S112">
        <v>2.9963069999999998</v>
      </c>
      <c r="T112">
        <v>-0.15443850000000001</v>
      </c>
      <c r="U112">
        <v>0.16522220000000001</v>
      </c>
      <c r="V112">
        <v>-6.2551809999999999E-2</v>
      </c>
      <c r="W112">
        <v>-2.0838440000000001E-3</v>
      </c>
      <c r="X112">
        <v>0.99803949999999997</v>
      </c>
      <c r="Y112">
        <v>-3.2872720000000001E-2</v>
      </c>
      <c r="Z112">
        <v>-2.7982840000000001E-4</v>
      </c>
      <c r="AA112">
        <v>0.99945949999999995</v>
      </c>
      <c r="AB112">
        <v>30</v>
      </c>
      <c r="AC112">
        <v>22.144099999999899</v>
      </c>
      <c r="AD112">
        <v>-1.158201</v>
      </c>
      <c r="AE112">
        <v>1.2314000000000001</v>
      </c>
      <c r="AF112">
        <v>-0.73769186272988996</v>
      </c>
      <c r="AG112">
        <v>-1.158201</v>
      </c>
      <c r="AH112">
        <v>22.1056869942493</v>
      </c>
      <c r="AI112">
        <v>92.997535819215202</v>
      </c>
      <c r="AJ112">
        <v>91.911315896617694</v>
      </c>
      <c r="AK112">
        <v>22.148296014105899</v>
      </c>
      <c r="AL112">
        <v>90.119395557854602</v>
      </c>
      <c r="AM112">
        <v>93.586303962109596</v>
      </c>
      <c r="AN112">
        <v>0.99999995745017001</v>
      </c>
    </row>
    <row r="113" spans="1:40" x14ac:dyDescent="0.25">
      <c r="A113" t="str">
        <f>"20190305135159500"</f>
        <v>20190305135159500</v>
      </c>
      <c r="B113" t="str">
        <f>"1551765119490282"</f>
        <v>1551765119490282</v>
      </c>
      <c r="C113" t="s">
        <v>40</v>
      </c>
      <c r="D113">
        <v>4.606592</v>
      </c>
      <c r="E113">
        <v>0.51112630000000003</v>
      </c>
      <c r="F113" t="s">
        <v>47</v>
      </c>
      <c r="G113">
        <v>-435.95280000000002</v>
      </c>
      <c r="H113">
        <v>-0.05</v>
      </c>
      <c r="I113">
        <v>368.66379999999998</v>
      </c>
      <c r="J113">
        <v>-457.84230000000002</v>
      </c>
      <c r="K113">
        <v>1.108206</v>
      </c>
      <c r="L113">
        <v>367.4468</v>
      </c>
      <c r="M113">
        <v>0.9997414</v>
      </c>
      <c r="N113">
        <v>-5.1853559999999997E-4</v>
      </c>
      <c r="O113">
        <v>2.2736119999999999E-2</v>
      </c>
      <c r="P113">
        <v>0.99644069999999996</v>
      </c>
      <c r="Q113">
        <v>-1.7527489999999901E-3</v>
      </c>
      <c r="R113">
        <v>8.4279870000000007E-2</v>
      </c>
      <c r="S113">
        <v>2.9963989999999998</v>
      </c>
      <c r="T113">
        <v>-0.156409299999999</v>
      </c>
      <c r="U113">
        <v>0.16531370000000001</v>
      </c>
      <c r="V113">
        <v>-6.1601969999999999E-2</v>
      </c>
      <c r="W113">
        <v>-1.3010229999999999E-3</v>
      </c>
      <c r="X113">
        <v>0.99809990000000004</v>
      </c>
      <c r="Y113">
        <v>-3.2357080000000003E-2</v>
      </c>
      <c r="Z113">
        <v>-3.2136890000000003E-4</v>
      </c>
      <c r="AA113">
        <v>0.99947629999999998</v>
      </c>
      <c r="AB113">
        <v>30</v>
      </c>
      <c r="AC113">
        <v>21.889500000000002</v>
      </c>
      <c r="AD113">
        <v>-1.1582059999999901</v>
      </c>
      <c r="AE113">
        <v>1.2169999999999801</v>
      </c>
      <c r="AF113">
        <v>-0.71700190656843998</v>
      </c>
      <c r="AG113">
        <v>-1.1582059999999901</v>
      </c>
      <c r="AH113">
        <v>21.850526663371301</v>
      </c>
      <c r="AI113">
        <v>93.032543515422404</v>
      </c>
      <c r="AJ113">
        <v>91.879425998003995</v>
      </c>
      <c r="AK113">
        <v>21.892945172798399</v>
      </c>
      <c r="AL113">
        <v>90.074543151491696</v>
      </c>
      <c r="AM113">
        <v>93.531772184342103</v>
      </c>
      <c r="AN113">
        <v>0.99999995287436705</v>
      </c>
    </row>
    <row r="114" spans="1:40" x14ac:dyDescent="0.25">
      <c r="A114" t="str">
        <f>"20190305135159522"</f>
        <v>20190305135159522</v>
      </c>
      <c r="B114" t="str">
        <f>"1551765119509803"</f>
        <v>1551765119509803</v>
      </c>
      <c r="C114" t="s">
        <v>40</v>
      </c>
      <c r="D114">
        <v>4.6042670000000001</v>
      </c>
      <c r="E114">
        <v>0.51122129999999999</v>
      </c>
      <c r="F114" t="s">
        <v>47</v>
      </c>
      <c r="G114">
        <v>-435.7747</v>
      </c>
      <c r="H114">
        <v>-0.05</v>
      </c>
      <c r="I114">
        <v>368.63990000000001</v>
      </c>
      <c r="J114">
        <v>-457.53660000000002</v>
      </c>
      <c r="K114">
        <v>1.1082050000000001</v>
      </c>
      <c r="L114">
        <v>367.45429999999999</v>
      </c>
      <c r="M114">
        <v>0.99972919999999998</v>
      </c>
      <c r="N114">
        <v>-6.215185E-4</v>
      </c>
      <c r="O114">
        <v>2.3269669999999999E-2</v>
      </c>
      <c r="P114">
        <v>0.996471</v>
      </c>
      <c r="Q114">
        <v>-1.0811270000000001E-3</v>
      </c>
      <c r="R114">
        <v>8.3932580000000007E-2</v>
      </c>
      <c r="S114">
        <v>2.9967959999999998</v>
      </c>
      <c r="T114">
        <v>-0.15728519999999999</v>
      </c>
      <c r="U114">
        <v>0.16201779999999999</v>
      </c>
      <c r="V114">
        <v>-6.0721509999999999E-2</v>
      </c>
      <c r="W114">
        <v>-5.2383759999999997E-4</v>
      </c>
      <c r="X114">
        <v>0.9981546</v>
      </c>
      <c r="Y114">
        <v>-3.0723E-2</v>
      </c>
      <c r="Z114">
        <v>-3.9018810000000001E-4</v>
      </c>
      <c r="AA114">
        <v>0.99952790000000002</v>
      </c>
      <c r="AB114">
        <v>31</v>
      </c>
      <c r="AC114">
        <v>21.761900000000001</v>
      </c>
      <c r="AD114">
        <v>-1.1582049999999999</v>
      </c>
      <c r="AE114">
        <v>1.18560000000002</v>
      </c>
      <c r="AF114">
        <v>-0.67697483576053996</v>
      </c>
      <c r="AG114">
        <v>-1.1582049999999999</v>
      </c>
      <c r="AH114">
        <v>21.7222487115523</v>
      </c>
      <c r="AI114">
        <v>93.050575898379805</v>
      </c>
      <c r="AJ114">
        <v>91.785047721078101</v>
      </c>
      <c r="AK114">
        <v>21.763635331368999</v>
      </c>
      <c r="AL114">
        <v>90.030013685277794</v>
      </c>
      <c r="AM114">
        <v>93.481228271415404</v>
      </c>
      <c r="AN114">
        <v>0.999999990841835</v>
      </c>
    </row>
    <row r="115" spans="1:40" x14ac:dyDescent="0.25">
      <c r="A115" t="str">
        <f>"20190305135159545"</f>
        <v>20190305135159545</v>
      </c>
      <c r="B115" t="str">
        <f>"1551765119540058"</f>
        <v>1551765119540058</v>
      </c>
      <c r="C115" t="s">
        <v>40</v>
      </c>
      <c r="D115">
        <v>4.5754570000000001</v>
      </c>
      <c r="E115">
        <v>0.51142989999999999</v>
      </c>
      <c r="F115" t="s">
        <v>47</v>
      </c>
      <c r="G115">
        <v>-435.34949999999998</v>
      </c>
      <c r="H115">
        <v>-0.05</v>
      </c>
      <c r="I115">
        <v>368.64</v>
      </c>
      <c r="J115">
        <v>-457.22390000000001</v>
      </c>
      <c r="K115">
        <v>1.10819</v>
      </c>
      <c r="L115">
        <v>367.46210000000002</v>
      </c>
      <c r="M115">
        <v>0.99971690000000002</v>
      </c>
      <c r="N115">
        <v>-7.2592740000000005E-4</v>
      </c>
      <c r="O115">
        <v>2.3783189999999999E-2</v>
      </c>
      <c r="P115">
        <v>0.99655050000000001</v>
      </c>
      <c r="Q115">
        <v>-1.5713509999999999E-3</v>
      </c>
      <c r="R115">
        <v>8.2974549999999994E-2</v>
      </c>
      <c r="S115">
        <v>2.9969790000000001</v>
      </c>
      <c r="T115">
        <v>-0.15644749999999999</v>
      </c>
      <c r="U115">
        <v>0.160156299999999</v>
      </c>
      <c r="V115">
        <v>-5.9249290000000003E-2</v>
      </c>
      <c r="W115">
        <v>-9.0577340000000004E-4</v>
      </c>
      <c r="X115">
        <v>0.99824279999999999</v>
      </c>
      <c r="Y115">
        <v>-2.9589359999999999E-2</v>
      </c>
      <c r="Z115">
        <v>-4.402791E-4</v>
      </c>
      <c r="AA115">
        <v>0.99956199999999995</v>
      </c>
      <c r="AB115">
        <v>31</v>
      </c>
      <c r="AC115">
        <v>21.874400000000001</v>
      </c>
      <c r="AD115">
        <v>-1.1581900000000001</v>
      </c>
      <c r="AE115">
        <v>1.17789999999996</v>
      </c>
      <c r="AF115">
        <v>-0.65549138178531097</v>
      </c>
      <c r="AG115">
        <v>-1.1581900000000001</v>
      </c>
      <c r="AH115">
        <v>21.835190720574602</v>
      </c>
      <c r="AI115">
        <v>93.034893224623104</v>
      </c>
      <c r="AJ115">
        <v>91.719500150088905</v>
      </c>
      <c r="AK115">
        <v>21.875708601815901</v>
      </c>
      <c r="AL115">
        <v>90.051897000460599</v>
      </c>
      <c r="AM115">
        <v>93.396725008424198</v>
      </c>
      <c r="AN115">
        <v>0.99999999327139799</v>
      </c>
    </row>
    <row r="116" spans="1:40" x14ac:dyDescent="0.25">
      <c r="A116" t="str">
        <f>"20190305135159568"</f>
        <v>20190305135159568</v>
      </c>
      <c r="B116" t="str">
        <f>"1551765119559579"</f>
        <v>1551765119559579</v>
      </c>
      <c r="C116" t="s">
        <v>40</v>
      </c>
      <c r="D116">
        <v>4.5502510000000003</v>
      </c>
      <c r="E116">
        <v>0.51160340000000004</v>
      </c>
      <c r="F116" t="s">
        <v>47</v>
      </c>
      <c r="G116">
        <v>-435.50810000000001</v>
      </c>
      <c r="H116">
        <v>-0.05</v>
      </c>
      <c r="I116">
        <v>368.58710000000002</v>
      </c>
      <c r="J116">
        <v>-456.90640000000002</v>
      </c>
      <c r="K116">
        <v>1.108176</v>
      </c>
      <c r="L116">
        <v>367.4701</v>
      </c>
      <c r="M116">
        <v>0.99970539999999997</v>
      </c>
      <c r="N116">
        <v>-8.3122329999999996E-4</v>
      </c>
      <c r="O116">
        <v>2.4262490000000001E-2</v>
      </c>
      <c r="P116">
        <v>0.99663360000000001</v>
      </c>
      <c r="Q116">
        <v>-2.280902E-3</v>
      </c>
      <c r="R116">
        <v>8.1953520000000002E-2</v>
      </c>
      <c r="S116">
        <v>2.9971619999999999</v>
      </c>
      <c r="T116">
        <v>-0.15985070000000001</v>
      </c>
      <c r="U116">
        <v>0.15527340000000001</v>
      </c>
      <c r="V116">
        <v>-5.7747409999999999E-2</v>
      </c>
      <c r="W116">
        <v>-1.5054879999999999E-3</v>
      </c>
      <c r="X116">
        <v>0.9983301</v>
      </c>
      <c r="Y116">
        <v>-2.7485969999999998E-2</v>
      </c>
      <c r="Z116">
        <v>-5.2839209999999996E-4</v>
      </c>
      <c r="AA116">
        <v>0.99962200000000001</v>
      </c>
      <c r="AB116">
        <v>31</v>
      </c>
      <c r="AC116">
        <v>21.398299999999999</v>
      </c>
      <c r="AD116">
        <v>-1.1581760000000001</v>
      </c>
      <c r="AE116">
        <v>1.11700000000001</v>
      </c>
      <c r="AF116">
        <v>-0.59575451648830702</v>
      </c>
      <c r="AG116">
        <v>-1.1581760000000001</v>
      </c>
      <c r="AH116">
        <v>21.356707987259298</v>
      </c>
      <c r="AI116">
        <v>93.102909493680897</v>
      </c>
      <c r="AJ116">
        <v>91.597875930547204</v>
      </c>
      <c r="AK116">
        <v>21.396384534401001</v>
      </c>
      <c r="AL116">
        <v>90.086258140297005</v>
      </c>
      <c r="AM116">
        <v>93.310528306941293</v>
      </c>
      <c r="AN116">
        <v>1.00000000921091</v>
      </c>
    </row>
    <row r="117" spans="1:40" x14ac:dyDescent="0.25">
      <c r="A117" t="str">
        <f>"20190305135159590"</f>
        <v>20190305135159590</v>
      </c>
      <c r="B117" t="str">
        <f>"1551765119580075"</f>
        <v>1551765119580075</v>
      </c>
      <c r="C117" t="s">
        <v>40</v>
      </c>
      <c r="D117">
        <v>4.4980859999999998</v>
      </c>
      <c r="E117">
        <v>0.51176849999999996</v>
      </c>
      <c r="F117" t="s">
        <v>47</v>
      </c>
      <c r="G117">
        <v>-435.62979999999999</v>
      </c>
      <c r="H117">
        <v>-0.05</v>
      </c>
      <c r="I117">
        <v>368.53699999999998</v>
      </c>
      <c r="J117">
        <v>-456.57920000000001</v>
      </c>
      <c r="K117">
        <v>1.1081639999999999</v>
      </c>
      <c r="L117">
        <v>367.4785</v>
      </c>
      <c r="M117">
        <v>0.99969419999999998</v>
      </c>
      <c r="N117">
        <v>-9.410124E-4</v>
      </c>
      <c r="O117">
        <v>2.471375E-2</v>
      </c>
      <c r="P117">
        <v>0.99671209999999999</v>
      </c>
      <c r="Q117">
        <v>-2.242937E-3</v>
      </c>
      <c r="R117">
        <v>8.0995730000000002E-2</v>
      </c>
      <c r="S117">
        <v>2.9974370000000001</v>
      </c>
      <c r="T117">
        <v>-0.16316349999999999</v>
      </c>
      <c r="U117">
        <v>0.15029909999999999</v>
      </c>
      <c r="V117">
        <v>-5.6337329999999998E-2</v>
      </c>
      <c r="W117">
        <v>-1.352989E-3</v>
      </c>
      <c r="X117">
        <v>0.99841089999999999</v>
      </c>
      <c r="Y117">
        <v>-2.5378680000000001E-2</v>
      </c>
      <c r="Z117">
        <v>-6.1814960000000001E-4</v>
      </c>
      <c r="AA117">
        <v>0.9996777</v>
      </c>
      <c r="AB117">
        <v>31</v>
      </c>
      <c r="AC117">
        <v>20.949400000000001</v>
      </c>
      <c r="AD117">
        <v>-1.158164</v>
      </c>
      <c r="AE117">
        <v>1.05849999999998</v>
      </c>
      <c r="AF117">
        <v>-0.53879574379620199</v>
      </c>
      <c r="AG117">
        <v>-1.158164</v>
      </c>
      <c r="AH117">
        <v>20.905430197393901</v>
      </c>
      <c r="AI117">
        <v>93.169902965684599</v>
      </c>
      <c r="AJ117">
        <v>91.476357544490696</v>
      </c>
      <c r="AK117">
        <v>20.944418264600699</v>
      </c>
      <c r="AL117">
        <v>90.077520581118804</v>
      </c>
      <c r="AM117">
        <v>93.229604056647005</v>
      </c>
      <c r="AN117">
        <v>1.00000002528478</v>
      </c>
    </row>
    <row r="118" spans="1:40" x14ac:dyDescent="0.25">
      <c r="A118" t="str">
        <f>"20190305135159612"</f>
        <v>20190305135159612</v>
      </c>
      <c r="B118" t="str">
        <f>"1551765119599595"</f>
        <v>1551765119599595</v>
      </c>
      <c r="C118" t="s">
        <v>40</v>
      </c>
      <c r="D118">
        <v>4.5124909999999998</v>
      </c>
      <c r="E118">
        <v>0.511938</v>
      </c>
      <c r="F118" t="s">
        <v>47</v>
      </c>
      <c r="G118">
        <v>-435.46980000000002</v>
      </c>
      <c r="H118">
        <v>-0.05</v>
      </c>
      <c r="I118">
        <v>368.50790000000001</v>
      </c>
      <c r="J118">
        <v>-456.28300000000002</v>
      </c>
      <c r="K118">
        <v>1.1081650000000001</v>
      </c>
      <c r="L118">
        <v>367.48610000000002</v>
      </c>
      <c r="M118">
        <v>0.99968460000000003</v>
      </c>
      <c r="N118">
        <v>-1.042222E-3</v>
      </c>
      <c r="O118">
        <v>2.50908E-2</v>
      </c>
      <c r="P118">
        <v>0.99678299999999997</v>
      </c>
      <c r="Q118">
        <v>-1.4416609999999999E-3</v>
      </c>
      <c r="R118">
        <v>8.0136170000000007E-2</v>
      </c>
      <c r="S118">
        <v>2.9976500000000001</v>
      </c>
      <c r="T118">
        <v>-0.16446540000000001</v>
      </c>
      <c r="U118">
        <v>0.14617920000000001</v>
      </c>
      <c r="V118">
        <v>-5.510048E-2</v>
      </c>
      <c r="W118">
        <v>-4.4651499999999998E-4</v>
      </c>
      <c r="X118">
        <v>0.9984807</v>
      </c>
      <c r="Y118">
        <v>-2.3630450000000001E-2</v>
      </c>
      <c r="Z118">
        <v>-6.886126E-4</v>
      </c>
      <c r="AA118">
        <v>0.99972050000000001</v>
      </c>
      <c r="AB118">
        <v>31</v>
      </c>
      <c r="AC118">
        <v>20.813199999999899</v>
      </c>
      <c r="AD118">
        <v>-1.1581649999999999</v>
      </c>
      <c r="AE118">
        <v>1.0217999999999801</v>
      </c>
      <c r="AF118">
        <v>-0.497720714888995</v>
      </c>
      <c r="AG118">
        <v>-1.1581649999999999</v>
      </c>
      <c r="AH118">
        <v>20.768132570955601</v>
      </c>
      <c r="AI118">
        <v>93.190961749313203</v>
      </c>
      <c r="AJ118">
        <v>91.372864820048306</v>
      </c>
      <c r="AK118">
        <v>20.8063548600432</v>
      </c>
      <c r="AL118">
        <v>90.025583426216102</v>
      </c>
      <c r="AM118">
        <v>93.158624989113406</v>
      </c>
      <c r="AN118">
        <v>0.99999998527218203</v>
      </c>
    </row>
    <row r="119" spans="1:40" x14ac:dyDescent="0.25">
      <c r="A119" t="str">
        <f>"20190305135159633"</f>
        <v>20190305135159633</v>
      </c>
      <c r="B119" t="str">
        <f>"1551765119629851"</f>
        <v>1551765119629851</v>
      </c>
      <c r="C119" t="s">
        <v>40</v>
      </c>
      <c r="D119">
        <v>4.4137649999999997</v>
      </c>
      <c r="E119">
        <v>0.51217699999999999</v>
      </c>
      <c r="F119" t="s">
        <v>47</v>
      </c>
      <c r="G119">
        <v>-435.14030000000002</v>
      </c>
      <c r="H119">
        <v>-0.05</v>
      </c>
      <c r="I119">
        <v>368.48660000000001</v>
      </c>
      <c r="J119">
        <v>-455.96820000000002</v>
      </c>
      <c r="K119">
        <v>1.1081650000000001</v>
      </c>
      <c r="L119">
        <v>367.49439999999998</v>
      </c>
      <c r="M119">
        <v>0.99967539999999999</v>
      </c>
      <c r="N119">
        <v>-1.15445E-3</v>
      </c>
      <c r="O119">
        <v>2.545615E-2</v>
      </c>
      <c r="P119">
        <v>0.99695480000000003</v>
      </c>
      <c r="Q119">
        <v>7.3092709999999996E-4</v>
      </c>
      <c r="R119">
        <v>7.7980659999999993E-2</v>
      </c>
      <c r="S119">
        <v>2.9980159999999998</v>
      </c>
      <c r="T119">
        <v>-0.1642265</v>
      </c>
      <c r="U119">
        <v>0.14187620000000001</v>
      </c>
      <c r="V119">
        <v>-5.257825E-2</v>
      </c>
      <c r="W119">
        <v>1.8432769999999999E-3</v>
      </c>
      <c r="X119">
        <v>0.99861509999999998</v>
      </c>
      <c r="Y119">
        <v>-2.1830579999999999E-2</v>
      </c>
      <c r="Z119">
        <v>-7.5318689999999996E-4</v>
      </c>
      <c r="AA119">
        <v>0.99976140000000002</v>
      </c>
      <c r="AB119">
        <v>32</v>
      </c>
      <c r="AC119">
        <v>20.8279</v>
      </c>
      <c r="AD119">
        <v>-1.1581649999999999</v>
      </c>
      <c r="AE119">
        <v>0.99220000000002495</v>
      </c>
      <c r="AF119">
        <v>-0.46026009839345</v>
      </c>
      <c r="AG119">
        <v>-1.1581649999999999</v>
      </c>
      <c r="AH119">
        <v>20.782293211771201</v>
      </c>
      <c r="AI119">
        <v>93.1889253605151</v>
      </c>
      <c r="AJ119">
        <v>91.268707483593104</v>
      </c>
      <c r="AK119">
        <v>20.819627678357499</v>
      </c>
      <c r="AL119">
        <v>89.894387946986399</v>
      </c>
      <c r="AM119">
        <v>93.013906692646501</v>
      </c>
      <c r="AN119">
        <v>0.99999999399558503</v>
      </c>
    </row>
    <row r="120" spans="1:40" x14ac:dyDescent="0.25">
      <c r="A120" t="str">
        <f>"20190305135159646"</f>
        <v>20190305135159646</v>
      </c>
      <c r="B120" t="str">
        <f>"1551765119639611"</f>
        <v>1551765119639611</v>
      </c>
      <c r="C120" t="s">
        <v>40</v>
      </c>
      <c r="D120">
        <v>4.467327</v>
      </c>
      <c r="E120">
        <v>0.51225039999999999</v>
      </c>
      <c r="F120" t="s">
        <v>47</v>
      </c>
      <c r="G120">
        <v>-433.97379999999998</v>
      </c>
      <c r="H120">
        <v>-0.05</v>
      </c>
      <c r="I120">
        <v>368.47649999999999</v>
      </c>
      <c r="J120">
        <v>-455.78730000000002</v>
      </c>
      <c r="K120">
        <v>1.108163</v>
      </c>
      <c r="L120">
        <v>367.49919999999997</v>
      </c>
      <c r="M120">
        <v>0.99967030000000001</v>
      </c>
      <c r="N120">
        <v>-1.221761E-3</v>
      </c>
      <c r="O120">
        <v>2.565228E-2</v>
      </c>
      <c r="P120">
        <v>0.99702009999999996</v>
      </c>
      <c r="Q120">
        <v>1.063427E-3</v>
      </c>
      <c r="R120">
        <v>7.7137280000000003E-2</v>
      </c>
      <c r="S120">
        <v>2.9988100000000002</v>
      </c>
      <c r="T120">
        <v>-0.15790940000000001</v>
      </c>
      <c r="U120">
        <v>0.13391110000000001</v>
      </c>
      <c r="V120">
        <v>-5.1538210000000001E-2</v>
      </c>
      <c r="W120">
        <v>2.2457269999999999E-3</v>
      </c>
      <c r="X120">
        <v>0.99866849999999996</v>
      </c>
      <c r="Y120">
        <v>-1.8975849999999999E-2</v>
      </c>
      <c r="Z120">
        <v>-8.0693910000000004E-4</v>
      </c>
      <c r="AA120">
        <v>0.99981960000000003</v>
      </c>
      <c r="AB120">
        <v>32</v>
      </c>
      <c r="AC120">
        <v>21.813500000000001</v>
      </c>
      <c r="AD120">
        <v>-1.1581629999999901</v>
      </c>
      <c r="AE120">
        <v>0.97730000000001305</v>
      </c>
      <c r="AF120">
        <v>-0.41624102010195302</v>
      </c>
      <c r="AG120">
        <v>-1.1581629999999901</v>
      </c>
      <c r="AH120">
        <v>21.770145530093799</v>
      </c>
      <c r="AI120">
        <v>93.044686328207504</v>
      </c>
      <c r="AJ120">
        <v>91.095350887649701</v>
      </c>
      <c r="AK120">
        <v>21.804903909965901</v>
      </c>
      <c r="AL120">
        <v>89.871329213017702</v>
      </c>
      <c r="AM120">
        <v>92.954238185170695</v>
      </c>
      <c r="AN120">
        <v>1.000000001636</v>
      </c>
    </row>
    <row r="121" spans="1:40" x14ac:dyDescent="0.25">
      <c r="A121" t="str">
        <f>"20190305135159658"</f>
        <v>20190305135159658</v>
      </c>
      <c r="B121" t="str">
        <f>"1551765119650347"</f>
        <v>1551765119650347</v>
      </c>
      <c r="C121" t="s">
        <v>40</v>
      </c>
      <c r="D121">
        <v>4.5243440000000001</v>
      </c>
      <c r="E121">
        <v>0.51228279999999904</v>
      </c>
      <c r="F121" t="s">
        <v>47</v>
      </c>
      <c r="G121">
        <v>-433.64179999999999</v>
      </c>
      <c r="H121">
        <v>-0.05</v>
      </c>
      <c r="I121">
        <v>368.46660000000003</v>
      </c>
      <c r="J121">
        <v>-455.60520000000002</v>
      </c>
      <c r="K121">
        <v>1.108158</v>
      </c>
      <c r="L121">
        <v>367.50400000000002</v>
      </c>
      <c r="M121">
        <v>0.99966549999999998</v>
      </c>
      <c r="N121">
        <v>-1.295708E-3</v>
      </c>
      <c r="O121">
        <v>2.583119E-2</v>
      </c>
      <c r="P121">
        <v>0.99708909999999995</v>
      </c>
      <c r="Q121">
        <v>1.5706590000000001E-3</v>
      </c>
      <c r="R121">
        <v>7.6230030000000004E-2</v>
      </c>
      <c r="S121">
        <v>2.9989620000000001</v>
      </c>
      <c r="T121">
        <v>-0.1568388</v>
      </c>
      <c r="U121">
        <v>0.13101199999999999</v>
      </c>
      <c r="V121">
        <v>-5.0450460000000003E-2</v>
      </c>
      <c r="W121">
        <v>2.829374E-3</v>
      </c>
      <c r="X121">
        <v>0.99872260000000002</v>
      </c>
      <c r="Y121">
        <v>-1.7831550000000002E-2</v>
      </c>
      <c r="Z121">
        <v>-8.3830440000000003E-4</v>
      </c>
      <c r="AA121">
        <v>0.99984070000000003</v>
      </c>
      <c r="AB121">
        <v>32</v>
      </c>
      <c r="AC121">
        <v>21.9634</v>
      </c>
      <c r="AD121">
        <v>-1.158158</v>
      </c>
      <c r="AE121">
        <v>0.962600000000009</v>
      </c>
      <c r="AF121">
        <v>-0.39384455574419602</v>
      </c>
      <c r="AG121">
        <v>-1.158158</v>
      </c>
      <c r="AH121">
        <v>21.9201024473285</v>
      </c>
      <c r="AI121">
        <v>93.023947664922105</v>
      </c>
      <c r="AJ121">
        <v>91.029338394633299</v>
      </c>
      <c r="AK121">
        <v>21.954209955915701</v>
      </c>
      <c r="AL121">
        <v>89.837888601814697</v>
      </c>
      <c r="AM121">
        <v>92.8918375149768</v>
      </c>
      <c r="AN121">
        <v>1.0000000430111</v>
      </c>
    </row>
    <row r="122" spans="1:40" x14ac:dyDescent="0.25">
      <c r="A122" t="str">
        <f>"20190305135159679"</f>
        <v>20190305135159679</v>
      </c>
      <c r="B122" t="str">
        <f>"1551765119669870"</f>
        <v>1551765119669870</v>
      </c>
      <c r="C122" t="s">
        <v>40</v>
      </c>
      <c r="D122">
        <v>4.4786989999999998</v>
      </c>
      <c r="E122">
        <v>0.51229519999999995</v>
      </c>
      <c r="F122" t="s">
        <v>47</v>
      </c>
      <c r="G122">
        <v>-433.25069999999999</v>
      </c>
      <c r="H122">
        <v>-0.05</v>
      </c>
      <c r="I122">
        <v>368.4581</v>
      </c>
      <c r="J122">
        <v>-455.30739999999997</v>
      </c>
      <c r="K122">
        <v>1.1081639999999999</v>
      </c>
      <c r="L122">
        <v>367.51190000000003</v>
      </c>
      <c r="M122">
        <v>0.9996583</v>
      </c>
      <c r="N122">
        <v>-1.4263639999999901E-3</v>
      </c>
      <c r="O122">
        <v>2.609964E-2</v>
      </c>
      <c r="P122">
        <v>0.99723600000000001</v>
      </c>
      <c r="Q122">
        <v>2.137066E-3</v>
      </c>
      <c r="R122">
        <v>7.4269089999999996E-2</v>
      </c>
      <c r="S122">
        <v>2.9992369999999999</v>
      </c>
      <c r="T122">
        <v>-0.15538689999999999</v>
      </c>
      <c r="U122">
        <v>0.1280212</v>
      </c>
      <c r="V122">
        <v>-4.8218150000000001E-2</v>
      </c>
      <c r="W122">
        <v>3.530797E-3</v>
      </c>
      <c r="X122">
        <v>0.99883060000000001</v>
      </c>
      <c r="Y122">
        <v>-1.6565570000000002E-2</v>
      </c>
      <c r="Z122">
        <v>-8.7270710000000005E-4</v>
      </c>
      <c r="AA122">
        <v>0.99986240000000004</v>
      </c>
      <c r="AB122">
        <v>32</v>
      </c>
      <c r="AC122">
        <v>22.0566999999999</v>
      </c>
      <c r="AD122">
        <v>-1.158164</v>
      </c>
      <c r="AE122">
        <v>0.94619999999997595</v>
      </c>
      <c r="AF122">
        <v>-0.369189104319951</v>
      </c>
      <c r="AG122">
        <v>-1.158164</v>
      </c>
      <c r="AH122">
        <v>22.0132995023456</v>
      </c>
      <c r="AI122">
        <v>93.011246873332695</v>
      </c>
      <c r="AJ122">
        <v>90.960828003133201</v>
      </c>
      <c r="AK122">
        <v>22.0468364947358</v>
      </c>
      <c r="AL122">
        <v>89.797699815679806</v>
      </c>
      <c r="AM122">
        <v>92.7637853604311</v>
      </c>
      <c r="AN122">
        <v>1.0000000120066099</v>
      </c>
    </row>
    <row r="123" spans="1:40" x14ac:dyDescent="0.25">
      <c r="A123" t="str">
        <f>"20190305135159700"</f>
        <v>20190305135159700</v>
      </c>
      <c r="B123" t="str">
        <f>"1551765119689390"</f>
        <v>1551765119689390</v>
      </c>
      <c r="C123" t="s">
        <v>40</v>
      </c>
      <c r="D123">
        <v>4.4642799999999996</v>
      </c>
      <c r="E123">
        <v>0.51239769999999996</v>
      </c>
      <c r="F123" t="s">
        <v>47</v>
      </c>
      <c r="G123">
        <v>-432.78429999999997</v>
      </c>
      <c r="H123">
        <v>-0.05</v>
      </c>
      <c r="I123">
        <v>368.42790000000002</v>
      </c>
      <c r="J123">
        <v>-455.01010000000002</v>
      </c>
      <c r="K123">
        <v>1.1082000000000001</v>
      </c>
      <c r="L123">
        <v>367.51979999999998</v>
      </c>
      <c r="M123">
        <v>0.99965219999999999</v>
      </c>
      <c r="N123">
        <v>-1.6050330000000001E-3</v>
      </c>
      <c r="O123">
        <v>2.6326789999999999E-2</v>
      </c>
      <c r="P123">
        <v>0.99735280000000004</v>
      </c>
      <c r="Q123">
        <v>3.1017599999999998E-3</v>
      </c>
      <c r="R123">
        <v>7.2648779999999996E-2</v>
      </c>
      <c r="S123">
        <v>2.9995419999999999</v>
      </c>
      <c r="T123">
        <v>-0.154240299999999</v>
      </c>
      <c r="U123">
        <v>0.1219788</v>
      </c>
      <c r="V123">
        <v>-4.636941E-2</v>
      </c>
      <c r="W123">
        <v>4.6785350000000002E-3</v>
      </c>
      <c r="X123">
        <v>0.99891339999999995</v>
      </c>
      <c r="Y123">
        <v>-1.4326139999999999E-2</v>
      </c>
      <c r="Z123">
        <v>-9.3033809999999999E-4</v>
      </c>
      <c r="AA123">
        <v>0.99989689999999998</v>
      </c>
      <c r="AB123">
        <v>32</v>
      </c>
      <c r="AC123">
        <v>22.2258</v>
      </c>
      <c r="AD123">
        <v>-1.1581999999999999</v>
      </c>
      <c r="AE123">
        <v>0.90810000000004698</v>
      </c>
      <c r="AF123">
        <v>-0.32177823985106102</v>
      </c>
      <c r="AG123">
        <v>-1.1581999999999999</v>
      </c>
      <c r="AH123">
        <v>22.181868857699101</v>
      </c>
      <c r="AI123">
        <v>92.988603134965501</v>
      </c>
      <c r="AJ123">
        <v>90.831095077518398</v>
      </c>
      <c r="AK123">
        <v>22.214415916152301</v>
      </c>
      <c r="AL123">
        <v>89.731938711141794</v>
      </c>
      <c r="AM123">
        <v>92.657753597371297</v>
      </c>
      <c r="AN123">
        <v>0.99999999578652699</v>
      </c>
    </row>
    <row r="124" spans="1:40" x14ac:dyDescent="0.25">
      <c r="A124" t="str">
        <f>"20190305135159713"</f>
        <v>20190305135159713</v>
      </c>
      <c r="B124" t="str">
        <f>"1551765119700122"</f>
        <v>1551765119700122</v>
      </c>
      <c r="C124" t="s">
        <v>40</v>
      </c>
      <c r="D124">
        <v>4.4360390000000001</v>
      </c>
      <c r="E124">
        <v>0.51239769999999996</v>
      </c>
      <c r="F124" t="s">
        <v>47</v>
      </c>
      <c r="G124">
        <v>-432.26339999999999</v>
      </c>
      <c r="H124">
        <v>-0.05</v>
      </c>
      <c r="I124">
        <v>368.40010000000001</v>
      </c>
      <c r="J124">
        <v>-454.81810000000002</v>
      </c>
      <c r="K124">
        <v>1.1082479999999999</v>
      </c>
      <c r="L124">
        <v>367.52510000000001</v>
      </c>
      <c r="M124">
        <v>0.9996488</v>
      </c>
      <c r="N124">
        <v>-1.7801430000000001E-3</v>
      </c>
      <c r="O124">
        <v>2.6446219999999999E-2</v>
      </c>
      <c r="P124">
        <v>0.99740209999999996</v>
      </c>
      <c r="Q124">
        <v>3.4581970000000001E-3</v>
      </c>
      <c r="R124">
        <v>7.1954679999999993E-2</v>
      </c>
      <c r="S124">
        <v>2.9999690000000001</v>
      </c>
      <c r="T124">
        <v>-0.1527501</v>
      </c>
      <c r="U124">
        <v>0.11608889999999999</v>
      </c>
      <c r="V124">
        <v>-4.555476E-2</v>
      </c>
      <c r="W124">
        <v>5.2135389999999997E-3</v>
      </c>
      <c r="X124">
        <v>0.99894819999999995</v>
      </c>
      <c r="Y124">
        <v>-1.2243199999999999E-2</v>
      </c>
      <c r="Z124">
        <v>-9.755775E-4</v>
      </c>
      <c r="AA124">
        <v>0.99992460000000005</v>
      </c>
      <c r="AB124">
        <v>32</v>
      </c>
      <c r="AC124">
        <v>22.5547</v>
      </c>
      <c r="AD124">
        <v>-1.1582479999999999</v>
      </c>
      <c r="AE124">
        <v>0.875</v>
      </c>
      <c r="AF124">
        <v>-0.27747590541558798</v>
      </c>
      <c r="AG124">
        <v>-1.1582479999999999</v>
      </c>
      <c r="AH124">
        <v>22.510677637320299</v>
      </c>
      <c r="AI124">
        <v>92.945234456561593</v>
      </c>
      <c r="AJ124">
        <v>90.706215664995099</v>
      </c>
      <c r="AK124">
        <v>22.542163582916</v>
      </c>
      <c r="AL124">
        <v>89.701284854297597</v>
      </c>
      <c r="AM124">
        <v>92.611034699688801</v>
      </c>
      <c r="AN124">
        <v>0.99999996171539995</v>
      </c>
    </row>
    <row r="125" spans="1:40" x14ac:dyDescent="0.25">
      <c r="A125" t="str">
        <f>"20190305135159728"</f>
        <v>20190305135159728</v>
      </c>
      <c r="B125" t="str">
        <f>"1551765119719643"</f>
        <v>1551765119719643</v>
      </c>
      <c r="C125" t="s">
        <v>40</v>
      </c>
      <c r="D125">
        <v>4.5450679999999997</v>
      </c>
      <c r="E125">
        <v>0.52926249999999997</v>
      </c>
      <c r="F125" t="s">
        <v>47</v>
      </c>
      <c r="G125">
        <v>-431.89620000000002</v>
      </c>
      <c r="H125">
        <v>-0.05</v>
      </c>
      <c r="I125">
        <v>368.3938</v>
      </c>
      <c r="J125">
        <v>-454.59879999999998</v>
      </c>
      <c r="K125">
        <v>1.1083080000000001</v>
      </c>
      <c r="L125">
        <v>367.53089999999997</v>
      </c>
      <c r="M125">
        <v>0.99964520000000001</v>
      </c>
      <c r="N125">
        <v>-2.04295E-3</v>
      </c>
      <c r="O125">
        <v>2.6561419999999999E-2</v>
      </c>
      <c r="P125">
        <v>0.99744080000000002</v>
      </c>
      <c r="Q125">
        <v>4.8236340000000003E-3</v>
      </c>
      <c r="R125">
        <v>7.1336750000000004E-2</v>
      </c>
      <c r="S125">
        <v>3.0001530000000001</v>
      </c>
      <c r="T125">
        <v>-0.1515977</v>
      </c>
      <c r="U125">
        <v>0.1137085</v>
      </c>
      <c r="V125">
        <v>-4.4820749999999999E-2</v>
      </c>
      <c r="W125">
        <v>6.8447689999999997E-3</v>
      </c>
      <c r="X125">
        <v>0.99897159999999996</v>
      </c>
      <c r="Y125">
        <v>-1.133405E-2</v>
      </c>
      <c r="Z125">
        <v>-9.886443E-4</v>
      </c>
      <c r="AA125">
        <v>0.99993529999999997</v>
      </c>
      <c r="AB125">
        <v>32</v>
      </c>
      <c r="AC125">
        <v>22.702599999999901</v>
      </c>
      <c r="AD125">
        <v>-1.1583079999999999</v>
      </c>
      <c r="AE125">
        <v>0.86290000000002398</v>
      </c>
      <c r="AF125">
        <v>-0.25890806329386101</v>
      </c>
      <c r="AG125">
        <v>-1.1583079999999999</v>
      </c>
      <c r="AH125">
        <v>22.658611638570999</v>
      </c>
      <c r="AI125">
        <v>92.926221604698398</v>
      </c>
      <c r="AJ125">
        <v>90.654660311229406</v>
      </c>
      <c r="AK125">
        <v>22.689675894461001</v>
      </c>
      <c r="AL125">
        <v>89.607820563781502</v>
      </c>
      <c r="AM125">
        <v>92.568960619858601</v>
      </c>
      <c r="AN125">
        <v>1.00000000404989</v>
      </c>
    </row>
    <row r="126" spans="1:40" x14ac:dyDescent="0.25">
      <c r="A126" t="str">
        <f>"20190305135159747"</f>
        <v>20190305135159747</v>
      </c>
      <c r="B126" t="str">
        <f>"1551765119740139"</f>
        <v>1551765119740139</v>
      </c>
      <c r="C126" t="s">
        <v>40</v>
      </c>
      <c r="D126">
        <v>4.5026129999999904</v>
      </c>
      <c r="E126">
        <v>0.53094819999999998</v>
      </c>
      <c r="F126" t="s">
        <v>47</v>
      </c>
      <c r="G126">
        <v>-418.18740000000003</v>
      </c>
      <c r="H126">
        <v>-0.05</v>
      </c>
      <c r="I126">
        <v>367.27659999999997</v>
      </c>
      <c r="J126">
        <v>-454.32580000000002</v>
      </c>
      <c r="K126">
        <v>1.108441</v>
      </c>
      <c r="L126">
        <v>367.53829999999999</v>
      </c>
      <c r="M126">
        <v>0.99964120000000001</v>
      </c>
      <c r="N126">
        <v>-2.5161900000000002E-3</v>
      </c>
      <c r="O126">
        <v>2.6665479999999998E-2</v>
      </c>
      <c r="P126">
        <v>0.99745589999999995</v>
      </c>
      <c r="Q126">
        <v>9.874519E-3</v>
      </c>
      <c r="R126">
        <v>7.0600570000000001E-2</v>
      </c>
      <c r="S126">
        <v>3.0096440000000002</v>
      </c>
      <c r="T126">
        <v>-9.574175E-2</v>
      </c>
      <c r="U126">
        <v>-2.1026610000000001E-2</v>
      </c>
      <c r="V126">
        <v>-4.3981939999999997E-2</v>
      </c>
      <c r="W126">
        <v>1.2373439999999999E-2</v>
      </c>
      <c r="X126">
        <v>0.9989557</v>
      </c>
      <c r="Y126">
        <v>3.3618879999999997E-2</v>
      </c>
      <c r="Z126">
        <v>-1.3578119999999999E-3</v>
      </c>
      <c r="AA126">
        <v>0.99943380000000004</v>
      </c>
      <c r="AB126">
        <v>33</v>
      </c>
      <c r="AC126">
        <v>36.138399999999898</v>
      </c>
      <c r="AD126">
        <v>-1.1584410000000001</v>
      </c>
      <c r="AE126">
        <v>-0.26170000000001797</v>
      </c>
      <c r="AF126">
        <v>1.2240001438950701</v>
      </c>
      <c r="AG126">
        <v>-1.1584410000000001</v>
      </c>
      <c r="AH126">
        <v>36.081496990265002</v>
      </c>
      <c r="AI126">
        <v>91.837863579385896</v>
      </c>
      <c r="AJ126">
        <v>88.057088389790394</v>
      </c>
      <c r="AK126">
        <v>36.120833143232502</v>
      </c>
      <c r="AL126">
        <v>89.291036019806299</v>
      </c>
      <c r="AM126">
        <v>92.520985802319501</v>
      </c>
      <c r="AN126">
        <v>1.0000000018130399</v>
      </c>
    </row>
    <row r="127" spans="1:40" x14ac:dyDescent="0.25">
      <c r="A127" t="str">
        <f>"20190305135159768"</f>
        <v>20190305135159768</v>
      </c>
      <c r="B127" t="str">
        <f>"1551765119759659"</f>
        <v>1551765119759659</v>
      </c>
      <c r="C127" t="s">
        <v>40</v>
      </c>
      <c r="D127">
        <v>4.4991979999999998</v>
      </c>
      <c r="E127">
        <v>0.53131969999999995</v>
      </c>
      <c r="F127" t="s">
        <v>47</v>
      </c>
      <c r="G127">
        <v>-400.24529999999999</v>
      </c>
      <c r="H127">
        <v>-0.05</v>
      </c>
      <c r="I127">
        <v>366.87990000000002</v>
      </c>
      <c r="J127">
        <v>-454.01710000000003</v>
      </c>
      <c r="K127">
        <v>1.1086240000000001</v>
      </c>
      <c r="L127">
        <v>367.54660000000001</v>
      </c>
      <c r="M127">
        <v>0.99963740000000001</v>
      </c>
      <c r="N127">
        <v>-3.2571700000000002E-3</v>
      </c>
      <c r="O127">
        <v>2.6732039999999999E-2</v>
      </c>
      <c r="P127">
        <v>0.99741650000000004</v>
      </c>
      <c r="Q127">
        <v>1.7595989999999999E-2</v>
      </c>
      <c r="R127">
        <v>6.9648299999999996E-2</v>
      </c>
      <c r="S127">
        <v>3.0108640000000002</v>
      </c>
      <c r="T127">
        <v>-6.449473E-2</v>
      </c>
      <c r="U127">
        <v>-3.6651610000000001E-2</v>
      </c>
      <c r="V127">
        <v>-4.2965080000000003E-2</v>
      </c>
      <c r="W127">
        <v>2.0839920000000001E-2</v>
      </c>
      <c r="X127">
        <v>0.99885919999999895</v>
      </c>
      <c r="Y127">
        <v>3.8883389999999997E-2</v>
      </c>
      <c r="Z127">
        <v>-9.6516660000000004E-4</v>
      </c>
      <c r="AA127">
        <v>0.99924329999999995</v>
      </c>
      <c r="AB127">
        <v>33</v>
      </c>
      <c r="AC127">
        <v>53.771799999999999</v>
      </c>
      <c r="AD127">
        <v>-1.1586239999999901</v>
      </c>
      <c r="AE127">
        <v>-0.66669999999999097</v>
      </c>
      <c r="AF127">
        <v>2.1029229875370401</v>
      </c>
      <c r="AG127">
        <v>-1.1586239999999901</v>
      </c>
      <c r="AH127">
        <v>53.7098289719126</v>
      </c>
      <c r="AI127">
        <v>91.234842318249306</v>
      </c>
      <c r="AJ127">
        <v>87.7578200966244</v>
      </c>
      <c r="AK127">
        <v>53.763467362671001</v>
      </c>
      <c r="AL127">
        <v>88.8058740937755</v>
      </c>
      <c r="AM127">
        <v>92.463010999142597</v>
      </c>
      <c r="AN127">
        <v>1.00000000089482</v>
      </c>
    </row>
    <row r="128" spans="1:40" x14ac:dyDescent="0.25">
      <c r="A128" t="str">
        <f>"20190305135159781"</f>
        <v>20190305135159781</v>
      </c>
      <c r="B128" t="str">
        <f>"1551765119769419"</f>
        <v>1551765119769419</v>
      </c>
      <c r="C128" t="s">
        <v>40</v>
      </c>
      <c r="D128">
        <v>4.5011269999999897</v>
      </c>
      <c r="E128">
        <v>0.53130639999999996</v>
      </c>
      <c r="F128" t="s">
        <v>42</v>
      </c>
      <c r="G128">
        <v>-358.3252</v>
      </c>
      <c r="H128" s="1">
        <v>-1.4669530000000001E-6</v>
      </c>
      <c r="I128">
        <v>366.1927</v>
      </c>
      <c r="J128">
        <v>-453.82499999999999</v>
      </c>
      <c r="K128">
        <v>1.108743</v>
      </c>
      <c r="L128">
        <v>367.55169999999998</v>
      </c>
      <c r="M128">
        <v>0.99963500000000005</v>
      </c>
      <c r="N128">
        <v>-3.8160720000000002E-3</v>
      </c>
      <c r="O128">
        <v>2.6745580000000001E-2</v>
      </c>
      <c r="P128">
        <v>0.9973727</v>
      </c>
      <c r="Q128">
        <v>2.1916399999999999E-2</v>
      </c>
      <c r="R128">
        <v>6.9046220000000005E-2</v>
      </c>
      <c r="S128">
        <v>3.0113530000000002</v>
      </c>
      <c r="T128">
        <v>-3.4887550000000003E-2</v>
      </c>
      <c r="U128">
        <v>-4.2602540000000001E-2</v>
      </c>
      <c r="V128">
        <v>-4.2350119999999998E-2</v>
      </c>
      <c r="W128">
        <v>2.5721399999999998E-2</v>
      </c>
      <c r="X128">
        <v>0.99877169999999904</v>
      </c>
      <c r="Y128">
        <v>4.0879480000000003E-2</v>
      </c>
      <c r="Z128">
        <v>-5.2254629999999905E-4</v>
      </c>
      <c r="AA128">
        <v>0.99916389999999999</v>
      </c>
      <c r="AB128">
        <v>33</v>
      </c>
      <c r="AC128">
        <v>95.499799999999993</v>
      </c>
      <c r="AD128">
        <v>-1.108744466953</v>
      </c>
      <c r="AE128">
        <v>-1.35899999999998</v>
      </c>
      <c r="AF128">
        <v>3.9122027335059699</v>
      </c>
      <c r="AG128">
        <v>-1.108744466953</v>
      </c>
      <c r="AH128">
        <v>95.416430551211704</v>
      </c>
      <c r="AI128">
        <v>90.665191478321404</v>
      </c>
      <c r="AJ128">
        <v>87.652110627495603</v>
      </c>
      <c r="AK128">
        <v>95.503035887113398</v>
      </c>
      <c r="AL128">
        <v>88.526109811192796</v>
      </c>
      <c r="AM128">
        <v>92.428012803575797</v>
      </c>
      <c r="AN128">
        <v>1.00000001590143</v>
      </c>
    </row>
    <row r="129" spans="1:40" x14ac:dyDescent="0.25">
      <c r="A129" t="str">
        <f>"20190305135159800"</f>
        <v>20190305135159800</v>
      </c>
      <c r="B129" t="str">
        <f>"1551765119789915"</f>
        <v>1551765119789915</v>
      </c>
      <c r="C129" t="s">
        <v>40</v>
      </c>
      <c r="D129">
        <v>4.4819740000000001</v>
      </c>
      <c r="E129">
        <v>0.53113449999999995</v>
      </c>
      <c r="F129" t="s">
        <v>47</v>
      </c>
      <c r="G129">
        <v>-287.94159999999999</v>
      </c>
      <c r="H129">
        <v>-0.05</v>
      </c>
      <c r="I129">
        <v>365.10239999999999</v>
      </c>
      <c r="J129">
        <v>-453.54680000000002</v>
      </c>
      <c r="K129">
        <v>1.108867</v>
      </c>
      <c r="L129">
        <v>367.5591</v>
      </c>
      <c r="M129">
        <v>0.99963279999999999</v>
      </c>
      <c r="N129">
        <v>-4.6175679999999998E-3</v>
      </c>
      <c r="O129">
        <v>2.670695E-2</v>
      </c>
      <c r="P129">
        <v>0.99728399999999995</v>
      </c>
      <c r="Q129">
        <v>2.9275249999999999E-2</v>
      </c>
      <c r="R129">
        <v>6.7585889999999996E-2</v>
      </c>
      <c r="S129">
        <v>3.011444</v>
      </c>
      <c r="T129">
        <v>-2.1035789999999999E-2</v>
      </c>
      <c r="U129">
        <v>-4.4464110000000001E-2</v>
      </c>
      <c r="V129">
        <v>-4.0928979999999997E-2</v>
      </c>
      <c r="W129">
        <v>3.3884539999999998E-2</v>
      </c>
      <c r="X129">
        <v>0.99858729999999996</v>
      </c>
      <c r="Y129">
        <v>4.1460730000000001E-2</v>
      </c>
      <c r="Z129">
        <v>-3.037456E-4</v>
      </c>
      <c r="AA129">
        <v>0.99914009999999998</v>
      </c>
      <c r="AB129">
        <v>33</v>
      </c>
      <c r="AC129">
        <v>165.6052</v>
      </c>
      <c r="AD129">
        <v>-1.1588670000000001</v>
      </c>
      <c r="AE129">
        <v>-2.4567000000000099</v>
      </c>
      <c r="AF129">
        <v>6.8783431861850897</v>
      </c>
      <c r="AG129">
        <v>-1.1588670000000001</v>
      </c>
      <c r="AH129">
        <v>165.47241549191901</v>
      </c>
      <c r="AI129">
        <v>90.400911626307206</v>
      </c>
      <c r="AJ129">
        <v>87.619704280564306</v>
      </c>
      <c r="AK129">
        <v>165.619367425555</v>
      </c>
      <c r="AL129">
        <v>88.058187101259094</v>
      </c>
      <c r="AM129">
        <v>92.347061656444296</v>
      </c>
      <c r="AN129">
        <v>0.99999996958807003</v>
      </c>
    </row>
    <row r="130" spans="1:40" x14ac:dyDescent="0.25">
      <c r="A130" t="str">
        <f>"20190305135159815"</f>
        <v>20190305135159815</v>
      </c>
      <c r="B130" t="str">
        <f>"1551765119809435"</f>
        <v>1551765119809435</v>
      </c>
      <c r="C130" t="s">
        <v>40</v>
      </c>
      <c r="D130">
        <v>4.3672230000000001</v>
      </c>
      <c r="E130">
        <v>0.5438248</v>
      </c>
      <c r="F130" t="s">
        <v>48</v>
      </c>
      <c r="G130">
        <v>-158.19499999999999</v>
      </c>
      <c r="H130">
        <v>1.21112999999999</v>
      </c>
      <c r="I130">
        <v>362.83600000000001</v>
      </c>
      <c r="J130">
        <v>-453.3476</v>
      </c>
      <c r="K130">
        <v>1.108887</v>
      </c>
      <c r="L130">
        <v>367.56439999999998</v>
      </c>
      <c r="M130">
        <v>0.99963270000000004</v>
      </c>
      <c r="N130">
        <v>-5.1518850000000001E-3</v>
      </c>
      <c r="O130">
        <v>2.6612509999999999E-2</v>
      </c>
      <c r="P130">
        <v>0.99735499999999999</v>
      </c>
      <c r="Q130">
        <v>2.9169190000000001E-2</v>
      </c>
      <c r="R130">
        <v>6.6576529999999995E-2</v>
      </c>
      <c r="S130">
        <v>3.0113829999999999</v>
      </c>
      <c r="T130">
        <v>1.043558E-3</v>
      </c>
      <c r="U130">
        <v>-4.8156740000000003E-2</v>
      </c>
      <c r="V130">
        <v>-4.0008429999999998E-2</v>
      </c>
      <c r="W130">
        <v>3.4317260000000002E-2</v>
      </c>
      <c r="X130">
        <v>0.99860979999999999</v>
      </c>
      <c r="Y130">
        <v>4.2592949999999997E-2</v>
      </c>
      <c r="Z130" s="1">
        <v>4.3977680000000003E-5</v>
      </c>
      <c r="AA130">
        <v>0.99909250000000005</v>
      </c>
      <c r="AB130">
        <v>32</v>
      </c>
      <c r="AC130">
        <v>295.15260000000001</v>
      </c>
      <c r="AD130">
        <v>0.102242999999999</v>
      </c>
      <c r="AE130">
        <v>-4.7283999999999597</v>
      </c>
      <c r="AF130">
        <v>12.581578335979099</v>
      </c>
      <c r="AG130">
        <v>0.102242999999999</v>
      </c>
      <c r="AH130">
        <v>294.92218979357398</v>
      </c>
      <c r="AI130">
        <v>89.980154871518295</v>
      </c>
      <c r="AJ130">
        <v>87.557204823372501</v>
      </c>
      <c r="AK130">
        <v>295.19045479095797</v>
      </c>
      <c r="AL130">
        <v>88.033379585687101</v>
      </c>
      <c r="AM130">
        <v>92.294278378908004</v>
      </c>
      <c r="AN130">
        <v>0.99999994073050402</v>
      </c>
    </row>
    <row r="131" spans="1:40" x14ac:dyDescent="0.25">
      <c r="A131" t="str">
        <f>"20190305135159827"</f>
        <v>20190305135159827</v>
      </c>
      <c r="B131" t="str">
        <f>"1551765119820171"</f>
        <v>1551765119820171</v>
      </c>
      <c r="C131" t="s">
        <v>40</v>
      </c>
      <c r="D131">
        <v>4.3870950000000004</v>
      </c>
      <c r="E131">
        <v>0.54288999999999998</v>
      </c>
      <c r="F131" t="s">
        <v>48</v>
      </c>
      <c r="G131">
        <v>-158.78319999999999</v>
      </c>
      <c r="H131">
        <v>6.3125580000000001</v>
      </c>
      <c r="I131">
        <v>352.86329999999998</v>
      </c>
      <c r="J131">
        <v>-453.1472</v>
      </c>
      <c r="K131">
        <v>1.1088800000000001</v>
      </c>
      <c r="L131">
        <v>367.56970000000001</v>
      </c>
      <c r="M131">
        <v>0.99963360000000001</v>
      </c>
      <c r="N131">
        <v>-5.660666E-3</v>
      </c>
      <c r="O131">
        <v>2.6469759999999998E-2</v>
      </c>
      <c r="P131">
        <v>0.9974864</v>
      </c>
      <c r="Q131">
        <v>2.5830539999999999E-2</v>
      </c>
      <c r="R131">
        <v>6.598366E-2</v>
      </c>
      <c r="S131">
        <v>3.0164179999999998</v>
      </c>
      <c r="T131">
        <v>5.3287859999999999E-2</v>
      </c>
      <c r="U131">
        <v>-0.15054319999999999</v>
      </c>
      <c r="V131">
        <v>-3.9550679999999998E-2</v>
      </c>
      <c r="W131">
        <v>3.1493060000000003E-2</v>
      </c>
      <c r="X131">
        <v>0.99872110000000003</v>
      </c>
      <c r="Y131">
        <v>7.6250460000000006E-2</v>
      </c>
      <c r="Z131">
        <v>1.074125E-3</v>
      </c>
      <c r="AA131">
        <v>0.99708810000000003</v>
      </c>
      <c r="AB131">
        <v>32</v>
      </c>
      <c r="AC131">
        <v>294.36399999999998</v>
      </c>
      <c r="AD131">
        <v>5.203678</v>
      </c>
      <c r="AE131">
        <v>-14.7064</v>
      </c>
      <c r="AF131">
        <v>22.486106662121301</v>
      </c>
      <c r="AG131">
        <v>5.203678</v>
      </c>
      <c r="AH131">
        <v>293.77999674401599</v>
      </c>
      <c r="AI131">
        <v>88.988194027256696</v>
      </c>
      <c r="AJ131">
        <v>85.623078855882298</v>
      </c>
      <c r="AK131">
        <v>294.68523842307002</v>
      </c>
      <c r="AL131">
        <v>88.195282084434496</v>
      </c>
      <c r="AM131">
        <v>92.267803840269494</v>
      </c>
      <c r="AN131">
        <v>0.99999995235091599</v>
      </c>
    </row>
    <row r="132" spans="1:40" x14ac:dyDescent="0.25">
      <c r="A132" t="str">
        <f>"20190305135159845"</f>
        <v>20190305135159845</v>
      </c>
      <c r="B132" t="str">
        <f>"1551765119839691"</f>
        <v>1551765119839691</v>
      </c>
      <c r="C132" t="s">
        <v>40</v>
      </c>
      <c r="D132">
        <v>4.4019719999999998</v>
      </c>
      <c r="E132">
        <v>0.54168050000000001</v>
      </c>
      <c r="F132" t="s">
        <v>48</v>
      </c>
      <c r="G132">
        <v>-169.2955</v>
      </c>
      <c r="H132">
        <v>4.7185360000000003</v>
      </c>
      <c r="I132">
        <v>353.9074</v>
      </c>
      <c r="J132">
        <v>-452.8965</v>
      </c>
      <c r="K132">
        <v>1.108811</v>
      </c>
      <c r="L132">
        <v>367.5761</v>
      </c>
      <c r="M132">
        <v>0.99963729999999995</v>
      </c>
      <c r="N132">
        <v>-6.2515740000000002E-3</v>
      </c>
      <c r="O132">
        <v>2.6200279999999999E-2</v>
      </c>
      <c r="P132">
        <v>0.99777490000000002</v>
      </c>
      <c r="Q132">
        <v>1.543216E-2</v>
      </c>
      <c r="R132">
        <v>6.4865980000000004E-2</v>
      </c>
      <c r="S132">
        <v>3.0161440000000002</v>
      </c>
      <c r="T132">
        <v>3.8356300000000003E-2</v>
      </c>
      <c r="U132">
        <v>-0.1451721</v>
      </c>
      <c r="V132">
        <v>-3.8692129999999998E-2</v>
      </c>
      <c r="W132">
        <v>2.169517E-2</v>
      </c>
      <c r="X132">
        <v>0.9990156</v>
      </c>
      <c r="Y132">
        <v>7.4222289999999996E-2</v>
      </c>
      <c r="Z132">
        <v>7.3619110000000001E-4</v>
      </c>
      <c r="AA132">
        <v>0.99724139999999994</v>
      </c>
      <c r="AB132">
        <v>32</v>
      </c>
      <c r="AC132">
        <v>283.601</v>
      </c>
      <c r="AD132">
        <v>3.6097250000000001</v>
      </c>
      <c r="AE132">
        <v>-13.668699999999999</v>
      </c>
      <c r="AF132">
        <v>21.091168365199898</v>
      </c>
      <c r="AG132">
        <v>3.6097250000000001</v>
      </c>
      <c r="AH132">
        <v>283.099751439991</v>
      </c>
      <c r="AI132">
        <v>89.271495999301294</v>
      </c>
      <c r="AJ132">
        <v>85.739287700470101</v>
      </c>
      <c r="AK132">
        <v>283.90726789388401</v>
      </c>
      <c r="AL132">
        <v>88.756860746674803</v>
      </c>
      <c r="AM132">
        <v>92.217971645173407</v>
      </c>
      <c r="AN132">
        <v>0.999999965184312</v>
      </c>
    </row>
    <row r="133" spans="1:40" x14ac:dyDescent="0.25">
      <c r="A133" t="str">
        <f>"20190305135159868"</f>
        <v>20190305135159868</v>
      </c>
      <c r="B133" t="str">
        <f>"1551765119860187"</f>
        <v>1551765119860187</v>
      </c>
      <c r="C133" t="s">
        <v>40</v>
      </c>
      <c r="D133">
        <v>4.3549819999999997</v>
      </c>
      <c r="E133">
        <v>0.54112879999999997</v>
      </c>
      <c r="F133" t="s">
        <v>48</v>
      </c>
      <c r="G133">
        <v>-169.2955</v>
      </c>
      <c r="H133">
        <v>1.0651250000000001</v>
      </c>
      <c r="I133">
        <v>354.4667</v>
      </c>
      <c r="J133">
        <v>-452.55900000000003</v>
      </c>
      <c r="K133">
        <v>1.10869</v>
      </c>
      <c r="L133">
        <v>367.58449999999999</v>
      </c>
      <c r="M133">
        <v>0.99964600000000003</v>
      </c>
      <c r="N133">
        <v>-6.9801519999999999E-3</v>
      </c>
      <c r="O133">
        <v>2.5676170000000002E-2</v>
      </c>
      <c r="P133">
        <v>0.99783339999999998</v>
      </c>
      <c r="Q133">
        <v>7.66046E-3</v>
      </c>
      <c r="R133">
        <v>6.5345669999999995E-2</v>
      </c>
      <c r="S133">
        <v>3.0157780000000001</v>
      </c>
      <c r="T133">
        <v>-4.6360489999999998E-4</v>
      </c>
      <c r="U133">
        <v>-0.13940429999999901</v>
      </c>
      <c r="V133">
        <v>-3.969135E-2</v>
      </c>
      <c r="W133">
        <v>1.4666810000000001E-2</v>
      </c>
      <c r="X133">
        <v>0.99910429999999995</v>
      </c>
      <c r="Y133">
        <v>7.1809230000000002E-2</v>
      </c>
      <c r="Z133" s="1">
        <v>-8.1099980000000005E-5</v>
      </c>
      <c r="AA133">
        <v>0.99741840000000004</v>
      </c>
      <c r="AB133">
        <v>32</v>
      </c>
      <c r="AC133">
        <v>283.26350000000002</v>
      </c>
      <c r="AD133">
        <v>-4.3564999999999798E-2</v>
      </c>
      <c r="AE133">
        <v>-13.1177999999999</v>
      </c>
      <c r="AF133">
        <v>20.386773094546601</v>
      </c>
      <c r="AG133">
        <v>-4.3564999999999798E-2</v>
      </c>
      <c r="AH133">
        <v>282.83327738450902</v>
      </c>
      <c r="AI133">
        <v>90.008802469951405</v>
      </c>
      <c r="AJ133">
        <v>85.877219976481399</v>
      </c>
      <c r="AK133">
        <v>283.56707356669699</v>
      </c>
      <c r="AL133">
        <v>89.1596235233459</v>
      </c>
      <c r="AM133">
        <v>92.274989302701002</v>
      </c>
      <c r="AN133">
        <v>0.99999996042944295</v>
      </c>
    </row>
    <row r="134" spans="1:40" x14ac:dyDescent="0.25">
      <c r="A134" t="str">
        <f>"20190305135159881"</f>
        <v>20190305135159881</v>
      </c>
      <c r="B134" t="str">
        <f>"1551765119869947"</f>
        <v>1551765119869947</v>
      </c>
      <c r="C134" t="s">
        <v>40</v>
      </c>
      <c r="D134">
        <v>4.3431259999999998</v>
      </c>
      <c r="E134">
        <v>0.55028829999999995</v>
      </c>
      <c r="F134" t="s">
        <v>42</v>
      </c>
      <c r="G134">
        <v>-327.2878</v>
      </c>
      <c r="H134" s="1">
        <v>-2.9275100000000002E-6</v>
      </c>
      <c r="I134">
        <v>362.03030000000001</v>
      </c>
      <c r="J134">
        <v>-452.37310000000002</v>
      </c>
      <c r="K134">
        <v>1.1086210000000001</v>
      </c>
      <c r="L134">
        <v>367.589</v>
      </c>
      <c r="M134">
        <v>0.9996524</v>
      </c>
      <c r="N134">
        <v>-7.35375E-3</v>
      </c>
      <c r="O134">
        <v>2.531916E-2</v>
      </c>
      <c r="P134">
        <v>0.99776600000000004</v>
      </c>
      <c r="Q134">
        <v>4.806411E-3</v>
      </c>
      <c r="R134">
        <v>6.663521E-2</v>
      </c>
      <c r="S134">
        <v>3.0155029999999998</v>
      </c>
      <c r="T134">
        <v>-2.6688219999999999E-2</v>
      </c>
      <c r="U134">
        <v>-0.1336975</v>
      </c>
      <c r="V134">
        <v>-4.1338670000000001E-2</v>
      </c>
      <c r="W134">
        <v>1.2195589999999999E-2</v>
      </c>
      <c r="X134">
        <v>0.99907080000000004</v>
      </c>
      <c r="Y134">
        <v>6.9569000000000006E-2</v>
      </c>
      <c r="Z134">
        <v>-6.0152429999999998E-4</v>
      </c>
      <c r="AA134">
        <v>0.99757700000000005</v>
      </c>
      <c r="AB134">
        <v>32</v>
      </c>
      <c r="AC134">
        <v>125.0853</v>
      </c>
      <c r="AD134">
        <v>-1.1086239275099901</v>
      </c>
      <c r="AE134">
        <v>-5.5586999999999804</v>
      </c>
      <c r="AF134">
        <v>8.7233742713437898</v>
      </c>
      <c r="AG134">
        <v>-1.1086239275099901</v>
      </c>
      <c r="AH134">
        <v>124.89466104724799</v>
      </c>
      <c r="AI134">
        <v>90.507335077807497</v>
      </c>
      <c r="AJ134">
        <v>86.004615998683903</v>
      </c>
      <c r="AK134">
        <v>125.203844444959</v>
      </c>
      <c r="AL134">
        <v>89.301226870359102</v>
      </c>
      <c r="AM134">
        <v>92.369382644982096</v>
      </c>
      <c r="AN134">
        <v>1.0000000407327201</v>
      </c>
    </row>
    <row r="135" spans="1:40" x14ac:dyDescent="0.25">
      <c r="A135" t="str">
        <f>"20190305135159894"</f>
        <v>20190305135159894</v>
      </c>
      <c r="B135" t="str">
        <f>"1551765119889467"</f>
        <v>1551765119889467</v>
      </c>
      <c r="C135" t="s">
        <v>40</v>
      </c>
      <c r="D135">
        <v>4.385046</v>
      </c>
      <c r="E135">
        <v>0.54761269999999995</v>
      </c>
      <c r="F135" t="s">
        <v>42</v>
      </c>
      <c r="G135">
        <v>-179.93049999999999</v>
      </c>
      <c r="H135">
        <v>7.720109E-2</v>
      </c>
      <c r="I135">
        <v>349.41460000000001</v>
      </c>
      <c r="J135">
        <v>-452.19459999999998</v>
      </c>
      <c r="K135">
        <v>1.1085590000000001</v>
      </c>
      <c r="L135">
        <v>367.59309999999999</v>
      </c>
      <c r="M135">
        <v>0.99965999999999999</v>
      </c>
      <c r="N135">
        <v>-7.6885829999999997E-3</v>
      </c>
      <c r="O135">
        <v>2.4917580000000002E-2</v>
      </c>
      <c r="P135">
        <v>0.99768749999999995</v>
      </c>
      <c r="Q135">
        <v>3.0348300000000001E-3</v>
      </c>
      <c r="R135">
        <v>6.7900730000000006E-2</v>
      </c>
      <c r="S135">
        <v>3.0202330000000002</v>
      </c>
      <c r="T135">
        <v>-1.1434079999999999E-2</v>
      </c>
      <c r="U135">
        <v>-0.20147709999999999</v>
      </c>
      <c r="V135">
        <v>-4.3006219999999998E-2</v>
      </c>
      <c r="W135">
        <v>1.076803E-2</v>
      </c>
      <c r="X135">
        <v>0.99901680000000004</v>
      </c>
      <c r="Y135">
        <v>9.1401399999999994E-2</v>
      </c>
      <c r="Z135">
        <v>-4.2748880000000001E-4</v>
      </c>
      <c r="AA135">
        <v>0.99581399999999998</v>
      </c>
      <c r="AB135">
        <v>32</v>
      </c>
      <c r="AC135">
        <v>272.26409999999998</v>
      </c>
      <c r="AD135">
        <v>-1.0313579100000001</v>
      </c>
      <c r="AE135">
        <v>-18.1784999999999</v>
      </c>
      <c r="AF135">
        <v>24.9568615041415</v>
      </c>
      <c r="AG135">
        <v>-1.0313579100000001</v>
      </c>
      <c r="AH135">
        <v>271.72270004957699</v>
      </c>
      <c r="AI135">
        <v>90.216560832116102</v>
      </c>
      <c r="AJ135">
        <v>84.752289009844901</v>
      </c>
      <c r="AK135">
        <v>272.868346199239</v>
      </c>
      <c r="AL135">
        <v>89.383025419931798</v>
      </c>
      <c r="AM135">
        <v>92.464978032914601</v>
      </c>
      <c r="AN135">
        <v>1.0000000260555</v>
      </c>
    </row>
    <row r="136" spans="1:40" x14ac:dyDescent="0.25">
      <c r="A136" t="str">
        <f>"20190305135159911"</f>
        <v>20190305135159911</v>
      </c>
      <c r="B136" t="str">
        <f>"1551765119909963"</f>
        <v>1551765119909963</v>
      </c>
      <c r="C136" t="s">
        <v>40</v>
      </c>
      <c r="D136">
        <v>4.336093</v>
      </c>
      <c r="E136">
        <v>0.54774029999999996</v>
      </c>
      <c r="F136" t="s">
        <v>42</v>
      </c>
      <c r="G136">
        <v>-277.12119999999999</v>
      </c>
      <c r="H136">
        <v>7.9986299999999996E-2</v>
      </c>
      <c r="I136">
        <v>357.34829999999999</v>
      </c>
      <c r="J136">
        <v>-451.93020000000001</v>
      </c>
      <c r="K136">
        <v>1.108479</v>
      </c>
      <c r="L136">
        <v>367.59910000000002</v>
      </c>
      <c r="M136">
        <v>0.99967309999999998</v>
      </c>
      <c r="N136">
        <v>-8.1508689999999998E-3</v>
      </c>
      <c r="O136">
        <v>2.423695E-2</v>
      </c>
      <c r="P136">
        <v>0.99746570000000001</v>
      </c>
      <c r="Q136">
        <v>1.349701E-3</v>
      </c>
      <c r="R136">
        <v>7.113709E-2</v>
      </c>
      <c r="S136">
        <v>3.0190429999999999</v>
      </c>
      <c r="T136">
        <v>-1.773715E-2</v>
      </c>
      <c r="U136">
        <v>-0.176666299999999</v>
      </c>
      <c r="V136">
        <v>-4.6926009999999997E-2</v>
      </c>
      <c r="W136">
        <v>9.5612179999999998E-3</v>
      </c>
      <c r="X136">
        <v>0.99885259999999998</v>
      </c>
      <c r="Y136">
        <v>8.2593109999999997E-2</v>
      </c>
      <c r="Z136">
        <v>-5.2423390000000002E-4</v>
      </c>
      <c r="AA136">
        <v>0.9965832</v>
      </c>
      <c r="AB136">
        <v>32</v>
      </c>
      <c r="AC136">
        <v>174.809</v>
      </c>
      <c r="AD136">
        <v>-1.0284926999999999</v>
      </c>
      <c r="AE136">
        <v>-10.2508</v>
      </c>
      <c r="AF136">
        <v>14.4842662519993</v>
      </c>
      <c r="AG136">
        <v>-1.0284926999999999</v>
      </c>
      <c r="AH136">
        <v>174.503168818739</v>
      </c>
      <c r="AI136">
        <v>90.336530656332002</v>
      </c>
      <c r="AJ136">
        <v>85.255161608958304</v>
      </c>
      <c r="AK136">
        <v>175.10627542687899</v>
      </c>
      <c r="AL136">
        <v>89.452174210195295</v>
      </c>
      <c r="AM136">
        <v>92.689773123453307</v>
      </c>
      <c r="AN136">
        <v>0.99999999191546096</v>
      </c>
    </row>
    <row r="137" spans="1:40" x14ac:dyDescent="0.25">
      <c r="A137" t="str">
        <f>"20190305135159926"</f>
        <v>20190305135159926</v>
      </c>
      <c r="B137" t="str">
        <f>"1551765119919723"</f>
        <v>1551765119919723</v>
      </c>
      <c r="C137" t="s">
        <v>40</v>
      </c>
      <c r="D137">
        <v>4.3218709999999998</v>
      </c>
      <c r="E137">
        <v>0.54977100000000001</v>
      </c>
      <c r="F137" t="s">
        <v>47</v>
      </c>
      <c r="G137">
        <v>-306.60879999999997</v>
      </c>
      <c r="H137">
        <v>-0.05</v>
      </c>
      <c r="I137">
        <v>359.51839999999999</v>
      </c>
      <c r="J137">
        <v>-451.73939999999999</v>
      </c>
      <c r="K137">
        <v>1.1084210000000001</v>
      </c>
      <c r="L137">
        <v>367.60329999999999</v>
      </c>
      <c r="M137">
        <v>0.99968369999999995</v>
      </c>
      <c r="N137">
        <v>-8.4622759999999995E-3</v>
      </c>
      <c r="O137">
        <v>2.368526E-2</v>
      </c>
      <c r="P137">
        <v>0.99736389999999997</v>
      </c>
      <c r="Q137">
        <v>8.6910839999999997E-4</v>
      </c>
      <c r="R137">
        <v>7.2558739999999997E-2</v>
      </c>
      <c r="S137">
        <v>3.0196230000000002</v>
      </c>
      <c r="T137">
        <v>-2.4071929999999998E-2</v>
      </c>
      <c r="U137">
        <v>-0.16790769999999999</v>
      </c>
      <c r="V137">
        <v>-4.889926E-2</v>
      </c>
      <c r="W137">
        <v>9.4033929999999995E-3</v>
      </c>
      <c r="X137">
        <v>0.99875939999999996</v>
      </c>
      <c r="Y137">
        <v>7.9148590000000005E-2</v>
      </c>
      <c r="Z137">
        <v>-6.3881799999999998E-4</v>
      </c>
      <c r="AA137">
        <v>0.99686260000000004</v>
      </c>
      <c r="AB137">
        <v>32</v>
      </c>
      <c r="AC137">
        <v>145.13059999999999</v>
      </c>
      <c r="AD137">
        <v>-1.1584209999999999</v>
      </c>
      <c r="AE137">
        <v>-8.0848999999999993</v>
      </c>
      <c r="AF137">
        <v>11.519478996731401</v>
      </c>
      <c r="AG137">
        <v>-1.1584209999999999</v>
      </c>
      <c r="AH137">
        <v>144.889180566601</v>
      </c>
      <c r="AI137">
        <v>90.456641743547294</v>
      </c>
      <c r="AJ137">
        <v>85.454235475909996</v>
      </c>
      <c r="AK137">
        <v>145.351006122526</v>
      </c>
      <c r="AL137">
        <v>89.461217300795596</v>
      </c>
      <c r="AM137">
        <v>92.802963138177006</v>
      </c>
      <c r="AN137">
        <v>0.99999995025840804</v>
      </c>
    </row>
    <row r="138" spans="1:40" x14ac:dyDescent="0.25">
      <c r="A138" t="str">
        <f>"20190305135159948"</f>
        <v>20190305135159948</v>
      </c>
      <c r="B138" t="str">
        <f>"1551765119940219"</f>
        <v>1551765119940219</v>
      </c>
      <c r="C138" t="s">
        <v>40</v>
      </c>
      <c r="D138">
        <v>4.3516550000000001</v>
      </c>
      <c r="E138">
        <v>0.55366559999999998</v>
      </c>
      <c r="F138" t="s">
        <v>47</v>
      </c>
      <c r="G138">
        <v>-81.128799999999998</v>
      </c>
      <c r="H138">
        <v>-0.05</v>
      </c>
      <c r="I138">
        <v>345.65269999999998</v>
      </c>
      <c r="J138">
        <v>-451.40910000000002</v>
      </c>
      <c r="K138">
        <v>1.1083339999999999</v>
      </c>
      <c r="L138">
        <v>367.61</v>
      </c>
      <c r="M138">
        <v>0.99970519999999996</v>
      </c>
      <c r="N138">
        <v>-8.9383669999999991E-3</v>
      </c>
      <c r="O138">
        <v>2.2578150000000002E-2</v>
      </c>
      <c r="P138">
        <v>0.99721040000000005</v>
      </c>
      <c r="Q138">
        <v>4.3036510000000004E-3</v>
      </c>
      <c r="R138">
        <v>7.4518459999999995E-2</v>
      </c>
      <c r="S138">
        <v>3.0209350000000001</v>
      </c>
      <c r="T138">
        <v>-9.4425680000000001E-3</v>
      </c>
      <c r="U138">
        <v>-0.17892459999999999</v>
      </c>
      <c r="V138">
        <v>-5.1957059999999999E-2</v>
      </c>
      <c r="W138">
        <v>1.3334179999999999E-2</v>
      </c>
      <c r="X138">
        <v>0.99856029999999996</v>
      </c>
      <c r="Y138">
        <v>8.1647159999999996E-2</v>
      </c>
      <c r="Z138">
        <v>-3.6161590000000001E-4</v>
      </c>
      <c r="AA138">
        <v>0.99666120000000002</v>
      </c>
      <c r="AB138">
        <v>32</v>
      </c>
      <c r="AC138">
        <v>370.28030000000001</v>
      </c>
      <c r="AD138">
        <v>-1.158334</v>
      </c>
      <c r="AE138">
        <v>-21.9573</v>
      </c>
      <c r="AF138">
        <v>30.311984127200699</v>
      </c>
      <c r="AG138">
        <v>-1.158334</v>
      </c>
      <c r="AH138">
        <v>369.686520951999</v>
      </c>
      <c r="AI138">
        <v>90.178923101884294</v>
      </c>
      <c r="AJ138">
        <v>85.312589867116003</v>
      </c>
      <c r="AK138">
        <v>370.92894453382399</v>
      </c>
      <c r="AL138">
        <v>89.235985124744204</v>
      </c>
      <c r="AM138">
        <v>92.978526295915302</v>
      </c>
      <c r="AN138">
        <v>1.0000000045880999</v>
      </c>
    </row>
    <row r="139" spans="1:40" x14ac:dyDescent="0.25">
      <c r="A139" t="str">
        <f>"20190305135159969"</f>
        <v>20190305135159969</v>
      </c>
      <c r="B139" t="str">
        <f>"1551765119959739"</f>
        <v>1551765119959739</v>
      </c>
      <c r="C139" t="s">
        <v>40</v>
      </c>
      <c r="D139">
        <v>4.5085230000000003</v>
      </c>
      <c r="E139">
        <v>0.55239499999999997</v>
      </c>
      <c r="F139" t="s">
        <v>49</v>
      </c>
      <c r="G139">
        <v>0</v>
      </c>
      <c r="H139">
        <v>0</v>
      </c>
      <c r="I139">
        <v>0</v>
      </c>
      <c r="J139">
        <v>-451.09589999999997</v>
      </c>
      <c r="K139">
        <v>1.1082700000000001</v>
      </c>
      <c r="L139">
        <v>367.61599999999999</v>
      </c>
      <c r="M139">
        <v>0.99972689999999997</v>
      </c>
      <c r="N139">
        <v>-9.3365930000000007E-3</v>
      </c>
      <c r="O139">
        <v>2.1425059999999999E-2</v>
      </c>
      <c r="P139">
        <v>0.99718340000000005</v>
      </c>
      <c r="Q139">
        <v>1.0749750000000001E-2</v>
      </c>
      <c r="R139">
        <v>7.4228500000000003E-2</v>
      </c>
      <c r="S139">
        <v>3.0234070000000002</v>
      </c>
      <c r="T139">
        <v>2.8648969999999999E-2</v>
      </c>
      <c r="U139">
        <v>-0.20306399999999999</v>
      </c>
      <c r="V139">
        <v>-5.2800420000000001E-2</v>
      </c>
      <c r="W139">
        <v>2.019251E-2</v>
      </c>
      <c r="X139">
        <v>0.99840090000000004</v>
      </c>
      <c r="Y139">
        <v>8.8371599999999995E-2</v>
      </c>
      <c r="Z139">
        <v>4.0778659999999998E-4</v>
      </c>
      <c r="AA139">
        <v>0.99608750000000001</v>
      </c>
      <c r="AB139">
        <v>32</v>
      </c>
      <c r="AC139">
        <v>3.0234070000000002</v>
      </c>
      <c r="AD139">
        <v>2.8648969999999999E-2</v>
      </c>
      <c r="AE139">
        <v>-0.20306399999999999</v>
      </c>
      <c r="AF139">
        <v>0.26777294618194197</v>
      </c>
      <c r="AG139">
        <v>2.8648969999999999E-2</v>
      </c>
      <c r="AH139">
        <v>3.0180923143837499</v>
      </c>
      <c r="AI139">
        <v>89.458269161165703</v>
      </c>
      <c r="AJ139">
        <v>84.929846200423199</v>
      </c>
      <c r="AK139">
        <v>3.0300832220140901</v>
      </c>
      <c r="AL139">
        <v>88.842975750929199</v>
      </c>
      <c r="AM139">
        <v>93.027266494018804</v>
      </c>
      <c r="AN139">
        <v>0.999999989466543</v>
      </c>
    </row>
    <row r="140" spans="1:40" x14ac:dyDescent="0.25">
      <c r="A140" t="str">
        <f>"20190305135159982"</f>
        <v>20190305135159982</v>
      </c>
      <c r="B140" t="str">
        <f>"1551765119969499"</f>
        <v>1551765119969499</v>
      </c>
      <c r="C140" t="s">
        <v>40</v>
      </c>
      <c r="D140">
        <v>4.5214400000000001</v>
      </c>
      <c r="E140">
        <v>0.55219379999999996</v>
      </c>
      <c r="F140" t="s">
        <v>49</v>
      </c>
      <c r="G140">
        <v>0</v>
      </c>
      <c r="H140">
        <v>0</v>
      </c>
      <c r="I140">
        <v>0</v>
      </c>
      <c r="J140">
        <v>-450.91649999999998</v>
      </c>
      <c r="K140">
        <v>1.1082399999999999</v>
      </c>
      <c r="L140">
        <v>367.61919999999998</v>
      </c>
      <c r="M140">
        <v>0.9997395</v>
      </c>
      <c r="N140">
        <v>-9.5439189999999997E-3</v>
      </c>
      <c r="O140">
        <v>2.073235E-2</v>
      </c>
      <c r="P140">
        <v>0.99720050000000005</v>
      </c>
      <c r="Q140">
        <v>1.424504E-2</v>
      </c>
      <c r="R140">
        <v>7.3406100000000002E-2</v>
      </c>
      <c r="S140">
        <v>3.0223689999999999</v>
      </c>
      <c r="T140">
        <v>4.8015000000000002E-2</v>
      </c>
      <c r="U140">
        <v>-0.193634</v>
      </c>
      <c r="V140">
        <v>-5.2658049999999998E-2</v>
      </c>
      <c r="W140">
        <v>2.389997E-2</v>
      </c>
      <c r="X140">
        <v>0.99832650000000001</v>
      </c>
      <c r="Y140">
        <v>8.4602109999999994E-2</v>
      </c>
      <c r="Z140">
        <v>7.938086E-4</v>
      </c>
      <c r="AA140">
        <v>0.99641449999999998</v>
      </c>
      <c r="AB140">
        <v>32</v>
      </c>
      <c r="AC140">
        <v>3.0223689999999999</v>
      </c>
      <c r="AD140">
        <v>4.8015000000000002E-2</v>
      </c>
      <c r="AE140">
        <v>-0.193634</v>
      </c>
      <c r="AF140">
        <v>0.25619164931182598</v>
      </c>
      <c r="AG140">
        <v>4.8015000000000002E-2</v>
      </c>
      <c r="AH140">
        <v>3.0169463360041502</v>
      </c>
      <c r="AI140">
        <v>89.091478201719994</v>
      </c>
      <c r="AJ140">
        <v>85.146228056632296</v>
      </c>
      <c r="AK140">
        <v>3.02818506629482</v>
      </c>
      <c r="AL140">
        <v>88.630502106659193</v>
      </c>
      <c r="AM140">
        <v>93.019343537328794</v>
      </c>
      <c r="AN140">
        <v>0.99999993969902401</v>
      </c>
    </row>
    <row r="141" spans="1:40" x14ac:dyDescent="0.25">
      <c r="A141" t="str">
        <f>"20190305135159995"</f>
        <v>20190305135159995</v>
      </c>
      <c r="B141" t="str">
        <f>"1551765119989995"</f>
        <v>1551765119989995</v>
      </c>
      <c r="C141" t="s">
        <v>40</v>
      </c>
      <c r="D141">
        <v>4.5655340000000004</v>
      </c>
      <c r="E141">
        <v>0.551658599999999</v>
      </c>
      <c r="F141" t="s">
        <v>49</v>
      </c>
      <c r="G141">
        <v>0</v>
      </c>
      <c r="H141">
        <v>0</v>
      </c>
      <c r="I141">
        <v>0</v>
      </c>
      <c r="J141">
        <v>-450.72309999999999</v>
      </c>
      <c r="K141">
        <v>1.1082160000000001</v>
      </c>
      <c r="L141">
        <v>367.6225</v>
      </c>
      <c r="M141">
        <v>0.99975320000000001</v>
      </c>
      <c r="N141">
        <v>-9.7479209999999997E-3</v>
      </c>
      <c r="O141">
        <v>1.9963769999999999E-2</v>
      </c>
      <c r="P141">
        <v>0.99724349999999995</v>
      </c>
      <c r="Q141">
        <v>1.7454089999999998E-2</v>
      </c>
      <c r="R141">
        <v>7.2117310000000004E-2</v>
      </c>
      <c r="S141">
        <v>3.0219420000000001</v>
      </c>
      <c r="T141">
        <v>5.939436E-2</v>
      </c>
      <c r="U141">
        <v>-0.19485469999999999</v>
      </c>
      <c r="V141">
        <v>-5.2125079999999997E-2</v>
      </c>
      <c r="W141">
        <v>2.7316819999999999E-2</v>
      </c>
      <c r="X141">
        <v>0.99826689999999996</v>
      </c>
      <c r="Y141">
        <v>8.4240129999999996E-2</v>
      </c>
      <c r="Z141">
        <v>1.0021989999999901E-3</v>
      </c>
      <c r="AA141">
        <v>0.99644500000000003</v>
      </c>
      <c r="AB141">
        <v>32</v>
      </c>
      <c r="AC141">
        <v>3.0219420000000001</v>
      </c>
      <c r="AD141">
        <v>5.939436E-2</v>
      </c>
      <c r="AE141">
        <v>-0.19485469999999999</v>
      </c>
      <c r="AF141">
        <v>0.25504996667915603</v>
      </c>
      <c r="AG141">
        <v>5.939436E-2</v>
      </c>
      <c r="AH141">
        <v>3.0162891123261999</v>
      </c>
      <c r="AI141">
        <v>88.875933316995997</v>
      </c>
      <c r="AJ141">
        <v>85.166707650308794</v>
      </c>
      <c r="AK141">
        <v>3.0276357417365198</v>
      </c>
      <c r="AL141">
        <v>88.434666813956795</v>
      </c>
      <c r="AM141">
        <v>92.9890175486847</v>
      </c>
      <c r="AN141">
        <v>1.00000001812776</v>
      </c>
    </row>
    <row r="142" spans="1:40" x14ac:dyDescent="0.25">
      <c r="A142" t="str">
        <f>"20190305135200014"</f>
        <v>20190305135200014</v>
      </c>
      <c r="B142" t="str">
        <f>"1551765120009516"</f>
        <v>1551765120009516</v>
      </c>
      <c r="C142" t="s">
        <v>40</v>
      </c>
      <c r="D142">
        <v>4.5355030000000003</v>
      </c>
      <c r="E142">
        <v>0.55144139999999997</v>
      </c>
      <c r="F142" t="s">
        <v>49</v>
      </c>
      <c r="G142">
        <v>0</v>
      </c>
      <c r="H142">
        <v>0</v>
      </c>
      <c r="I142">
        <v>0</v>
      </c>
      <c r="J142">
        <v>-450.45580000000001</v>
      </c>
      <c r="K142">
        <v>1.1081970000000001</v>
      </c>
      <c r="L142">
        <v>367.62670000000003</v>
      </c>
      <c r="M142">
        <v>0.99977169999999904</v>
      </c>
      <c r="N142">
        <v>-1.000649E-2</v>
      </c>
      <c r="O142">
        <v>1.888219E-2</v>
      </c>
      <c r="P142">
        <v>0.99734540000000005</v>
      </c>
      <c r="Q142">
        <v>2.290406E-2</v>
      </c>
      <c r="R142">
        <v>6.9121989999999994E-2</v>
      </c>
      <c r="S142">
        <v>3.0211489999999999</v>
      </c>
      <c r="T142">
        <v>7.0398810000000006E-2</v>
      </c>
      <c r="U142">
        <v>-0.1943665</v>
      </c>
      <c r="V142">
        <v>-5.0190400000000003E-2</v>
      </c>
      <c r="W142">
        <v>3.3025289999999999E-2</v>
      </c>
      <c r="X142">
        <v>0.99819349999999996</v>
      </c>
      <c r="Y142">
        <v>8.3012069999999993E-2</v>
      </c>
      <c r="Z142">
        <v>1.1784670000000001E-3</v>
      </c>
      <c r="AA142">
        <v>0.99654779999999998</v>
      </c>
      <c r="AB142">
        <v>32</v>
      </c>
      <c r="AC142">
        <v>3.0211489999999999</v>
      </c>
      <c r="AD142">
        <v>7.0398810000000006E-2</v>
      </c>
      <c r="AE142">
        <v>-0.1943665</v>
      </c>
      <c r="AF142">
        <v>0.251244746927556</v>
      </c>
      <c r="AG142">
        <v>7.0398810000000006E-2</v>
      </c>
      <c r="AH142">
        <v>3.0153095600215098</v>
      </c>
      <c r="AI142">
        <v>88.667168299318206</v>
      </c>
      <c r="AJ142">
        <v>85.236944236350894</v>
      </c>
      <c r="AK142">
        <v>3.0265775486620599</v>
      </c>
      <c r="AL142">
        <v>88.107446143183296</v>
      </c>
      <c r="AM142">
        <v>92.878478283712596</v>
      </c>
      <c r="AN142">
        <v>1.0000000047369899</v>
      </c>
    </row>
    <row r="143" spans="1:40" x14ac:dyDescent="0.25">
      <c r="A143" t="str">
        <f>"20190305135200037"</f>
        <v>20190305135200037</v>
      </c>
      <c r="B143" t="str">
        <f>"1551765120030011"</f>
        <v>1551765120030011</v>
      </c>
      <c r="C143" t="s">
        <v>40</v>
      </c>
      <c r="D143">
        <v>4.5171789999999996</v>
      </c>
      <c r="E143">
        <v>0.5513825</v>
      </c>
      <c r="F143" t="s">
        <v>49</v>
      </c>
      <c r="G143">
        <v>0</v>
      </c>
      <c r="H143">
        <v>0</v>
      </c>
      <c r="I143">
        <v>0</v>
      </c>
      <c r="J143">
        <v>-450.11509999999998</v>
      </c>
      <c r="K143">
        <v>1.1081859999999999</v>
      </c>
      <c r="L143">
        <v>367.63170000000002</v>
      </c>
      <c r="M143">
        <v>0.99979410000000002</v>
      </c>
      <c r="N143">
        <v>-1.029571E-2</v>
      </c>
      <c r="O143">
        <v>1.7487119999999998E-2</v>
      </c>
      <c r="P143">
        <v>0.99759469999999995</v>
      </c>
      <c r="Q143">
        <v>2.6065149999999999E-2</v>
      </c>
      <c r="R143">
        <v>6.4230570000000001E-2</v>
      </c>
      <c r="S143">
        <v>3.0198670000000001</v>
      </c>
      <c r="T143">
        <v>8.9892390000000003E-2</v>
      </c>
      <c r="U143">
        <v>-0.2014465</v>
      </c>
      <c r="V143">
        <v>-4.6676549999999997E-2</v>
      </c>
      <c r="W143">
        <v>3.647073E-2</v>
      </c>
      <c r="X143">
        <v>0.99824400000000002</v>
      </c>
      <c r="Y143">
        <v>8.3960110000000004E-2</v>
      </c>
      <c r="Z143">
        <v>1.514867E-3</v>
      </c>
      <c r="AA143">
        <v>0.99646789999999996</v>
      </c>
      <c r="AB143">
        <v>32</v>
      </c>
      <c r="AC143">
        <v>3.0198670000000001</v>
      </c>
      <c r="AD143">
        <v>8.9892390000000003E-2</v>
      </c>
      <c r="AE143">
        <v>-0.2014465</v>
      </c>
      <c r="AF143">
        <v>0.25400319919153902</v>
      </c>
      <c r="AG143">
        <v>8.9892390000000003E-2</v>
      </c>
      <c r="AH143">
        <v>3.0132241604563701</v>
      </c>
      <c r="AI143">
        <v>88.297258657927998</v>
      </c>
      <c r="AJ143">
        <v>85.181577746289506</v>
      </c>
      <c r="AK143">
        <v>3.0252467846669</v>
      </c>
      <c r="AL143">
        <v>87.909917472497099</v>
      </c>
      <c r="AM143">
        <v>92.677123844029694</v>
      </c>
      <c r="AN143">
        <v>0.99999994900131595</v>
      </c>
    </row>
    <row r="144" spans="1:40" x14ac:dyDescent="0.25">
      <c r="A144" t="str">
        <f>"20190305135200058"</f>
        <v>20190305135200058</v>
      </c>
      <c r="B144" t="str">
        <f>"1551765120049531"</f>
        <v>1551765120049531</v>
      </c>
      <c r="C144" t="s">
        <v>40</v>
      </c>
      <c r="D144">
        <v>4.5495839999999896</v>
      </c>
      <c r="E144">
        <v>0.55133379999999998</v>
      </c>
      <c r="F144" t="s">
        <v>49</v>
      </c>
      <c r="G144">
        <v>0</v>
      </c>
      <c r="H144">
        <v>0</v>
      </c>
      <c r="I144">
        <v>0</v>
      </c>
      <c r="J144">
        <v>-449.80680000000001</v>
      </c>
      <c r="K144">
        <v>1.1081780000000001</v>
      </c>
      <c r="L144">
        <v>367.63589999999999</v>
      </c>
      <c r="M144">
        <v>0.99981310000000001</v>
      </c>
      <c r="N144">
        <v>-1.052316E-2</v>
      </c>
      <c r="O144">
        <v>1.6228570000000001E-2</v>
      </c>
      <c r="P144">
        <v>0.99782219999999999</v>
      </c>
      <c r="Q144">
        <v>2.9645439999999999E-2</v>
      </c>
      <c r="R144">
        <v>5.892584E-2</v>
      </c>
      <c r="S144">
        <v>3.0185849999999999</v>
      </c>
      <c r="T144">
        <v>9.8154309999999995E-2</v>
      </c>
      <c r="U144">
        <v>-0.21591189999999999</v>
      </c>
      <c r="V144">
        <v>-4.2613489999999997E-2</v>
      </c>
      <c r="W144">
        <v>4.0269279999999998E-2</v>
      </c>
      <c r="X144">
        <v>0.99827980000000005</v>
      </c>
      <c r="Y144">
        <v>8.7477920000000001E-2</v>
      </c>
      <c r="Z144">
        <v>1.656533E-3</v>
      </c>
      <c r="AA144">
        <v>0.99616510000000003</v>
      </c>
      <c r="AB144">
        <v>32</v>
      </c>
      <c r="AC144">
        <v>3.0185849999999999</v>
      </c>
      <c r="AD144">
        <v>9.8154309999999995E-2</v>
      </c>
      <c r="AE144">
        <v>-0.21591189999999999</v>
      </c>
      <c r="AF144">
        <v>0.26459514404797901</v>
      </c>
      <c r="AG144">
        <v>9.8154309999999995E-2</v>
      </c>
      <c r="AH144">
        <v>3.0115153303854298</v>
      </c>
      <c r="AI144">
        <v>88.1403785630893</v>
      </c>
      <c r="AJ144">
        <v>84.978821958332603</v>
      </c>
      <c r="AK144">
        <v>3.0247098115309901</v>
      </c>
      <c r="AL144">
        <v>87.692116271780193</v>
      </c>
      <c r="AM144">
        <v>92.444296435643196</v>
      </c>
      <c r="AN144">
        <v>1.00000004176486</v>
      </c>
    </row>
    <row r="145" spans="1:40" x14ac:dyDescent="0.25">
      <c r="A145" t="str">
        <f>"20190305135200071"</f>
        <v>20190305135200071</v>
      </c>
      <c r="B145" t="str">
        <f>"1551765120070027"</f>
        <v>1551765120070027</v>
      </c>
      <c r="C145" t="s">
        <v>40</v>
      </c>
      <c r="D145">
        <v>4.52935</v>
      </c>
      <c r="E145">
        <v>0.55124839999999997</v>
      </c>
      <c r="F145" t="s">
        <v>50</v>
      </c>
      <c r="G145">
        <v>-325.67939999999999</v>
      </c>
      <c r="H145">
        <v>5.3983249999999998</v>
      </c>
      <c r="I145">
        <v>358.10640000000001</v>
      </c>
      <c r="J145">
        <v>-449.61290000000002</v>
      </c>
      <c r="K145">
        <v>1.108185</v>
      </c>
      <c r="L145">
        <v>367.63830000000002</v>
      </c>
      <c r="M145">
        <v>0.99982389999999999</v>
      </c>
      <c r="N145">
        <v>-1.0656860000000001E-2</v>
      </c>
      <c r="O145">
        <v>1.544659E-2</v>
      </c>
      <c r="P145">
        <v>0.99799360000000004</v>
      </c>
      <c r="Q145">
        <v>2.9588779999999999E-2</v>
      </c>
      <c r="R145">
        <v>5.5974889999999999E-2</v>
      </c>
      <c r="S145">
        <v>3.0171199999999998</v>
      </c>
      <c r="T145">
        <v>0.1042812</v>
      </c>
      <c r="U145">
        <v>-0.23162840000000001</v>
      </c>
      <c r="V145">
        <v>-4.0441199999999997E-2</v>
      </c>
      <c r="W145">
        <v>4.0341700000000001E-2</v>
      </c>
      <c r="X145">
        <v>0.99836720000000001</v>
      </c>
      <c r="Y145">
        <v>9.1885759999999997E-2</v>
      </c>
      <c r="Z145">
        <v>1.791981E-3</v>
      </c>
      <c r="AA145">
        <v>0.99576799999999999</v>
      </c>
      <c r="AB145">
        <v>32</v>
      </c>
      <c r="AC145">
        <v>123.9335</v>
      </c>
      <c r="AD145">
        <v>4.2901400000000001</v>
      </c>
      <c r="AE145">
        <v>-9.5319000000000091</v>
      </c>
      <c r="AF145">
        <v>11.4316034066412</v>
      </c>
      <c r="AG145">
        <v>4.2901400000000001</v>
      </c>
      <c r="AH145">
        <v>123.62420091864399</v>
      </c>
      <c r="AI145">
        <v>88.020894548966993</v>
      </c>
      <c r="AJ145">
        <v>84.716849405268704</v>
      </c>
      <c r="AK145">
        <v>124.22572161367999</v>
      </c>
      <c r="AL145">
        <v>87.687963451421695</v>
      </c>
      <c r="AM145">
        <v>92.319631479762094</v>
      </c>
      <c r="AN145">
        <v>1.00000000472608</v>
      </c>
    </row>
    <row r="146" spans="1:40" x14ac:dyDescent="0.25">
      <c r="A146" t="str">
        <f>"20190305135200094"</f>
        <v>20190305135200094</v>
      </c>
      <c r="B146" t="str">
        <f>"1551765120089547"</f>
        <v>1551765120089547</v>
      </c>
      <c r="C146" t="s">
        <v>40</v>
      </c>
      <c r="D146">
        <v>4.5758159999999997</v>
      </c>
      <c r="E146">
        <v>0.55092509999999995</v>
      </c>
      <c r="F146" t="s">
        <v>49</v>
      </c>
      <c r="G146">
        <v>0</v>
      </c>
      <c r="H146">
        <v>0</v>
      </c>
      <c r="I146">
        <v>0</v>
      </c>
      <c r="J146">
        <v>-449.31439999999998</v>
      </c>
      <c r="K146">
        <v>1.1081510000000001</v>
      </c>
      <c r="L146">
        <v>367.64159999999998</v>
      </c>
      <c r="M146">
        <v>0.99984300000000004</v>
      </c>
      <c r="N146">
        <v>-1.051551E-2</v>
      </c>
      <c r="O146">
        <v>1.426637E-2</v>
      </c>
      <c r="P146">
        <v>0.99826230000000005</v>
      </c>
      <c r="Q146">
        <v>2.8795479999999998E-2</v>
      </c>
      <c r="R146">
        <v>5.1413830000000001E-2</v>
      </c>
      <c r="S146">
        <v>3.0164789999999999</v>
      </c>
      <c r="T146">
        <v>0.10082289999999999</v>
      </c>
      <c r="U146">
        <v>-0.24023439999999999</v>
      </c>
      <c r="V146">
        <v>-3.7059969999999998E-2</v>
      </c>
      <c r="W146">
        <v>3.9398309999999999E-2</v>
      </c>
      <c r="X146">
        <v>0.99853610000000004</v>
      </c>
      <c r="Y146">
        <v>9.3554120000000004E-2</v>
      </c>
      <c r="Z146">
        <v>1.693527E-3</v>
      </c>
      <c r="AA146">
        <v>0.99561270000000002</v>
      </c>
      <c r="AB146">
        <v>32</v>
      </c>
      <c r="AC146">
        <v>3.0164789999999999</v>
      </c>
      <c r="AD146">
        <v>0.10082289999999999</v>
      </c>
      <c r="AE146">
        <v>-0.24023439999999999</v>
      </c>
      <c r="AF146">
        <v>0.28293244049419303</v>
      </c>
      <c r="AG146">
        <v>0.10082289999999999</v>
      </c>
      <c r="AH146">
        <v>3.0094037031029401</v>
      </c>
      <c r="AI146">
        <v>88.089577422193798</v>
      </c>
      <c r="AJ146">
        <v>84.629060984634094</v>
      </c>
      <c r="AK146">
        <v>3.0243555795074899</v>
      </c>
      <c r="AL146">
        <v>87.742058733100293</v>
      </c>
      <c r="AM146">
        <v>92.125517254586697</v>
      </c>
      <c r="AN146">
        <v>1.0000000056052301</v>
      </c>
    </row>
    <row r="147" spans="1:40" x14ac:dyDescent="0.25">
      <c r="A147" t="str">
        <f>"20190305135200114"</f>
        <v>20190305135200114</v>
      </c>
      <c r="B147" t="str">
        <f>"1551765120110045"</f>
        <v>1551765120110045</v>
      </c>
      <c r="C147" t="s">
        <v>40</v>
      </c>
      <c r="D147">
        <v>4.5669919999999999</v>
      </c>
      <c r="E147">
        <v>0.55056139999999998</v>
      </c>
      <c r="F147" t="s">
        <v>51</v>
      </c>
      <c r="G147">
        <v>-149.06039999999999</v>
      </c>
      <c r="H147">
        <v>11.013870000000001</v>
      </c>
      <c r="I147">
        <v>342.64400000000001</v>
      </c>
      <c r="J147">
        <v>-448.9941</v>
      </c>
      <c r="K147">
        <v>1.107944</v>
      </c>
      <c r="L147">
        <v>367.64510000000001</v>
      </c>
      <c r="M147">
        <v>0.99986920000000001</v>
      </c>
      <c r="N147">
        <v>-9.5544299999999992E-3</v>
      </c>
      <c r="O147">
        <v>1.305252E-2</v>
      </c>
      <c r="P147">
        <v>0.99831099999999995</v>
      </c>
      <c r="Q147">
        <v>3.2437319999999999E-2</v>
      </c>
      <c r="R147">
        <v>4.8196900000000001E-2</v>
      </c>
      <c r="S147">
        <v>3.0152890000000001</v>
      </c>
      <c r="T147">
        <v>9.9477889999999999E-2</v>
      </c>
      <c r="U147">
        <v>-0.25103760000000003</v>
      </c>
      <c r="V147">
        <v>-3.5053910000000001E-2</v>
      </c>
      <c r="W147">
        <v>4.2069250000000002E-2</v>
      </c>
      <c r="X147">
        <v>0.99849960000000004</v>
      </c>
      <c r="Y147">
        <v>9.5920409999999998E-2</v>
      </c>
      <c r="Z147">
        <v>1.6742269999999999E-3</v>
      </c>
      <c r="AA147">
        <v>0.99538760000000004</v>
      </c>
      <c r="AB147">
        <v>32</v>
      </c>
      <c r="AC147">
        <v>299.93369999999999</v>
      </c>
      <c r="AD147">
        <v>9.9059259999999991</v>
      </c>
      <c r="AE147">
        <v>-25.001100000000001</v>
      </c>
      <c r="AF147">
        <v>28.882751678684201</v>
      </c>
      <c r="AG147">
        <v>9.9059259999999991</v>
      </c>
      <c r="AH147">
        <v>299.257631055248</v>
      </c>
      <c r="AI147">
        <v>88.112869156878503</v>
      </c>
      <c r="AJ147">
        <v>84.487191820487993</v>
      </c>
      <c r="AK147">
        <v>300.81135360762102</v>
      </c>
      <c r="AL147">
        <v>87.588898027106694</v>
      </c>
      <c r="AM147">
        <v>92.010633346364401</v>
      </c>
      <c r="AN147">
        <v>1.0000000248009999</v>
      </c>
    </row>
    <row r="148" spans="1:40" x14ac:dyDescent="0.25">
      <c r="A148" t="str">
        <f>"20190305135200139"</f>
        <v>20190305135200139</v>
      </c>
      <c r="B148" t="str">
        <f>"1551765120129563"</f>
        <v>1551765120129563</v>
      </c>
      <c r="C148" t="s">
        <v>40</v>
      </c>
      <c r="D148">
        <v>4.5084580000000001</v>
      </c>
      <c r="E148">
        <v>0.55009580000000002</v>
      </c>
      <c r="F148" t="s">
        <v>51</v>
      </c>
      <c r="G148">
        <v>-156.4709</v>
      </c>
      <c r="H148">
        <v>11.906549999999999</v>
      </c>
      <c r="I148">
        <v>342.59269999999998</v>
      </c>
      <c r="J148">
        <v>-448.63369999999998</v>
      </c>
      <c r="K148">
        <v>1.1077269999999999</v>
      </c>
      <c r="L148">
        <v>367.64850000000001</v>
      </c>
      <c r="M148">
        <v>0.99989709999999998</v>
      </c>
      <c r="N148">
        <v>-8.2524490000000002E-3</v>
      </c>
      <c r="O148">
        <v>1.1746879999999999E-2</v>
      </c>
      <c r="P148">
        <v>0.99834109999999998</v>
      </c>
      <c r="Q148">
        <v>3.6161800000000001E-2</v>
      </c>
      <c r="R148">
        <v>4.4810379999999997E-2</v>
      </c>
      <c r="S148">
        <v>3.013916</v>
      </c>
      <c r="T148">
        <v>0.11125989999999999</v>
      </c>
      <c r="U148">
        <v>-0.25811770000000001</v>
      </c>
      <c r="V148">
        <v>-3.2973549999999997E-2</v>
      </c>
      <c r="W148">
        <v>4.448216E-2</v>
      </c>
      <c r="X148">
        <v>0.99846579999999996</v>
      </c>
      <c r="Y148">
        <v>9.6965410000000002E-2</v>
      </c>
      <c r="Z148">
        <v>1.914404E-3</v>
      </c>
      <c r="AA148">
        <v>0.99528589999999995</v>
      </c>
      <c r="AB148">
        <v>33</v>
      </c>
      <c r="AC148">
        <v>292.16279999999898</v>
      </c>
      <c r="AD148">
        <v>10.798823000000001</v>
      </c>
      <c r="AE148">
        <v>-25.055800000000001</v>
      </c>
      <c r="AF148">
        <v>28.447608445736201</v>
      </c>
      <c r="AG148">
        <v>10.798823000000001</v>
      </c>
      <c r="AH148">
        <v>291.45303709682798</v>
      </c>
      <c r="AI148">
        <v>87.888093126866494</v>
      </c>
      <c r="AJ148">
        <v>84.425238388934204</v>
      </c>
      <c r="AK148">
        <v>293.03712023808902</v>
      </c>
      <c r="AL148">
        <v>87.450518571893895</v>
      </c>
      <c r="AM148">
        <v>91.891460775867799</v>
      </c>
      <c r="AN148">
        <v>0.999999935663752</v>
      </c>
    </row>
    <row r="149" spans="1:40" x14ac:dyDescent="0.25">
      <c r="A149" t="str">
        <f>"20190305135200161"</f>
        <v>20190305135200161</v>
      </c>
      <c r="B149" t="str">
        <f>"1551765120150059"</f>
        <v>1551765120150059</v>
      </c>
      <c r="C149" t="s">
        <v>40</v>
      </c>
      <c r="D149">
        <v>4.6086359999999997</v>
      </c>
      <c r="E149">
        <v>0.54965359999999996</v>
      </c>
      <c r="F149" t="s">
        <v>51</v>
      </c>
      <c r="G149">
        <v>-162.63149999999999</v>
      </c>
      <c r="H149">
        <v>12.74558</v>
      </c>
      <c r="I149">
        <v>342.51960000000003</v>
      </c>
      <c r="J149">
        <v>-448.29570000000001</v>
      </c>
      <c r="K149">
        <v>1.107553</v>
      </c>
      <c r="L149">
        <v>367.65159999999997</v>
      </c>
      <c r="M149">
        <v>0.99991949999999996</v>
      </c>
      <c r="N149">
        <v>-7.0292640000000003E-3</v>
      </c>
      <c r="O149">
        <v>1.055796E-2</v>
      </c>
      <c r="P149">
        <v>0.99832849999999995</v>
      </c>
      <c r="Q149">
        <v>3.815292E-2</v>
      </c>
      <c r="R149">
        <v>4.3411579999999998E-2</v>
      </c>
      <c r="S149">
        <v>3.0124209999999998</v>
      </c>
      <c r="T149">
        <v>0.12257990000000001</v>
      </c>
      <c r="U149">
        <v>-0.264679</v>
      </c>
      <c r="V149">
        <v>-3.2767230000000001E-2</v>
      </c>
      <c r="W149">
        <v>4.524624E-2</v>
      </c>
      <c r="X149">
        <v>0.9984383</v>
      </c>
      <c r="Y149">
        <v>9.7959779999999996E-2</v>
      </c>
      <c r="Z149">
        <v>2.1460310000000001E-3</v>
      </c>
      <c r="AA149">
        <v>0.99518810000000002</v>
      </c>
      <c r="AB149">
        <v>33</v>
      </c>
      <c r="AC149">
        <v>285.66419999999999</v>
      </c>
      <c r="AD149">
        <v>11.638026999999999</v>
      </c>
      <c r="AE149">
        <v>-25.131999999999898</v>
      </c>
      <c r="AF149">
        <v>28.100423106898099</v>
      </c>
      <c r="AG149">
        <v>11.638026999999999</v>
      </c>
      <c r="AH149">
        <v>284.91366978466999</v>
      </c>
      <c r="AI149">
        <v>87.6721897363051</v>
      </c>
      <c r="AJ149">
        <v>84.367257311181504</v>
      </c>
      <c r="AK149">
        <v>286.53250545340802</v>
      </c>
      <c r="AL149">
        <v>87.406695988825305</v>
      </c>
      <c r="AM149">
        <v>91.879685897790097</v>
      </c>
      <c r="AN149">
        <v>0.99999997625144899</v>
      </c>
    </row>
    <row r="150" spans="1:40" x14ac:dyDescent="0.25">
      <c r="A150" t="str">
        <f>"20190305135200180"</f>
        <v>20190305135200180</v>
      </c>
      <c r="B150" t="str">
        <f>"1551765120169579"</f>
        <v>1551765120169579</v>
      </c>
      <c r="C150" t="s">
        <v>40</v>
      </c>
      <c r="D150">
        <v>4.5878119999999996</v>
      </c>
      <c r="E150">
        <v>0.54935849999999997</v>
      </c>
      <c r="F150" t="s">
        <v>51</v>
      </c>
      <c r="G150">
        <v>-162.6317</v>
      </c>
      <c r="H150">
        <v>13.450760000000001</v>
      </c>
      <c r="I150">
        <v>342.47309999999999</v>
      </c>
      <c r="J150">
        <v>-447.99880000000002</v>
      </c>
      <c r="K150">
        <v>1.1074170000000001</v>
      </c>
      <c r="L150">
        <v>367.654</v>
      </c>
      <c r="M150">
        <v>0.99993650000000001</v>
      </c>
      <c r="N150">
        <v>-5.9990019999999998E-3</v>
      </c>
      <c r="O150">
        <v>9.5509419999999998E-3</v>
      </c>
      <c r="P150">
        <v>0.99829639999999997</v>
      </c>
      <c r="Q150">
        <v>4.0206730000000003E-2</v>
      </c>
      <c r="R150">
        <v>4.228469E-2</v>
      </c>
      <c r="S150">
        <v>3.0115970000000001</v>
      </c>
      <c r="T150">
        <v>0.13012770000000001</v>
      </c>
      <c r="U150">
        <v>-0.26544190000000001</v>
      </c>
      <c r="V150">
        <v>-3.2646189999999999E-2</v>
      </c>
      <c r="W150">
        <v>4.626893E-2</v>
      </c>
      <c r="X150">
        <v>0.99839540000000004</v>
      </c>
      <c r="Y150">
        <v>9.7220849999999998E-2</v>
      </c>
      <c r="Z150">
        <v>2.2719540000000001E-3</v>
      </c>
      <c r="AA150">
        <v>0.99526020000000004</v>
      </c>
      <c r="AB150">
        <v>33</v>
      </c>
      <c r="AC150">
        <v>285.36709999999999</v>
      </c>
      <c r="AD150">
        <v>12.3433429999999</v>
      </c>
      <c r="AE150">
        <v>-25.180900000000001</v>
      </c>
      <c r="AF150">
        <v>27.8536152360914</v>
      </c>
      <c r="AG150">
        <v>12.3433429999999</v>
      </c>
      <c r="AH150">
        <v>284.58525229644403</v>
      </c>
      <c r="AI150">
        <v>87.528257270837997</v>
      </c>
      <c r="AJ150">
        <v>84.410013273729504</v>
      </c>
      <c r="AK150">
        <v>286.21136913611002</v>
      </c>
      <c r="AL150">
        <v>87.348038737973795</v>
      </c>
      <c r="AM150">
        <v>91.872827827403896</v>
      </c>
      <c r="AN150">
        <v>0.99999998117301003</v>
      </c>
    </row>
    <row r="151" spans="1:40" x14ac:dyDescent="0.25">
      <c r="A151" t="str">
        <f>"20190305135200193"</f>
        <v>20190305135200193</v>
      </c>
      <c r="B151" t="str">
        <f>"1551765120190075"</f>
        <v>1551765120190075</v>
      </c>
      <c r="C151" t="s">
        <v>40</v>
      </c>
      <c r="D151">
        <v>4.4982480000000002</v>
      </c>
      <c r="E151">
        <v>0.54916009999999904</v>
      </c>
      <c r="F151" t="s">
        <v>51</v>
      </c>
      <c r="G151">
        <v>-162.63200000000001</v>
      </c>
      <c r="H151">
        <v>14.201460000000001</v>
      </c>
      <c r="I151">
        <v>342.38810000000001</v>
      </c>
      <c r="J151">
        <v>-447.79950000000002</v>
      </c>
      <c r="K151">
        <v>1.107337</v>
      </c>
      <c r="L151">
        <v>367.65539999999999</v>
      </c>
      <c r="M151">
        <v>0.99994590000000005</v>
      </c>
      <c r="N151">
        <v>-5.4017329999999997E-3</v>
      </c>
      <c r="O151">
        <v>8.9024959999999993E-3</v>
      </c>
      <c r="P151">
        <v>0.99827299999999997</v>
      </c>
      <c r="Q151">
        <v>4.1177279999999997E-2</v>
      </c>
      <c r="R151">
        <v>4.1900769999999997E-2</v>
      </c>
      <c r="S151">
        <v>3.0108030000000001</v>
      </c>
      <c r="T151">
        <v>0.13815060000000001</v>
      </c>
      <c r="U151">
        <v>-0.266571</v>
      </c>
      <c r="V151">
        <v>-3.2908880000000001E-2</v>
      </c>
      <c r="W151">
        <v>4.6643789999999997E-2</v>
      </c>
      <c r="X151">
        <v>0.99836930000000002</v>
      </c>
      <c r="Y151">
        <v>9.6956769999999998E-2</v>
      </c>
      <c r="Z151">
        <v>2.4119050000000002E-3</v>
      </c>
      <c r="AA151">
        <v>0.99528570000000005</v>
      </c>
      <c r="AB151">
        <v>34</v>
      </c>
      <c r="AC151">
        <v>285.16750000000002</v>
      </c>
      <c r="AD151">
        <v>13.094123</v>
      </c>
      <c r="AE151">
        <v>-25.267299999999899</v>
      </c>
      <c r="AF151">
        <v>27.7469919306135</v>
      </c>
      <c r="AG151">
        <v>13.094123</v>
      </c>
      <c r="AH151">
        <v>284.33642904465103</v>
      </c>
      <c r="AI151">
        <v>87.375753471733404</v>
      </c>
      <c r="AJ151">
        <v>84.426434389206307</v>
      </c>
      <c r="AK151">
        <v>285.98698659239898</v>
      </c>
      <c r="AL151">
        <v>87.326537539423796</v>
      </c>
      <c r="AM151">
        <v>91.887936133022293</v>
      </c>
      <c r="AN151">
        <v>0.99999994835545203</v>
      </c>
    </row>
    <row r="152" spans="1:40" x14ac:dyDescent="0.25">
      <c r="A152" t="str">
        <f>"20190305135200206"</f>
        <v>20190305135200206</v>
      </c>
      <c r="B152" t="str">
        <f>"1551765120199835"</f>
        <v>1551765120199835</v>
      </c>
      <c r="C152" t="s">
        <v>40</v>
      </c>
      <c r="D152">
        <v>4.4790859999999997</v>
      </c>
      <c r="E152">
        <v>0.54914090000000004</v>
      </c>
      <c r="F152" t="s">
        <v>51</v>
      </c>
      <c r="G152">
        <v>-162.63210000000001</v>
      </c>
      <c r="H152">
        <v>14.751189999999999</v>
      </c>
      <c r="I152">
        <v>342.4357</v>
      </c>
      <c r="J152">
        <v>-447.60399999999998</v>
      </c>
      <c r="K152">
        <v>1.107272</v>
      </c>
      <c r="L152">
        <v>367.65679999999998</v>
      </c>
      <c r="M152">
        <v>0.99995369999999995</v>
      </c>
      <c r="N152">
        <v>-4.8972649999999996E-3</v>
      </c>
      <c r="O152">
        <v>8.2839660000000002E-3</v>
      </c>
      <c r="P152">
        <v>0.99824800000000002</v>
      </c>
      <c r="Q152">
        <v>4.1898480000000002E-2</v>
      </c>
      <c r="R152">
        <v>4.1780409999999997E-2</v>
      </c>
      <c r="S152">
        <v>3.0104060000000001</v>
      </c>
      <c r="T152">
        <v>0.1440332</v>
      </c>
      <c r="U152">
        <v>-0.26623540000000001</v>
      </c>
      <c r="V152">
        <v>-3.3403639999999998E-2</v>
      </c>
      <c r="W152">
        <v>4.6863380000000003E-2</v>
      </c>
      <c r="X152">
        <v>0.99834259999999997</v>
      </c>
      <c r="Y152">
        <v>9.6233929999999995E-2</v>
      </c>
      <c r="Z152">
        <v>2.4959940000000001E-3</v>
      </c>
      <c r="AA152">
        <v>0.99535560000000001</v>
      </c>
      <c r="AB152">
        <v>34</v>
      </c>
      <c r="AC152">
        <v>284.97190000000001</v>
      </c>
      <c r="AD152">
        <v>13.643917999999999</v>
      </c>
      <c r="AE152">
        <v>-25.2210999999999</v>
      </c>
      <c r="AF152">
        <v>27.518369924545201</v>
      </c>
      <c r="AG152">
        <v>13.643917999999999</v>
      </c>
      <c r="AH152">
        <v>284.10698757910001</v>
      </c>
      <c r="AI152">
        <v>87.263334833163299</v>
      </c>
      <c r="AJ152">
        <v>84.467635687287995</v>
      </c>
      <c r="AK152">
        <v>285.76248454436097</v>
      </c>
      <c r="AL152">
        <v>87.313942224984999</v>
      </c>
      <c r="AM152">
        <v>91.916350024158405</v>
      </c>
      <c r="AN152">
        <v>0.99999996326251595</v>
      </c>
    </row>
    <row r="153" spans="1:40" x14ac:dyDescent="0.25">
      <c r="A153" t="str">
        <f>"20190305135200226"</f>
        <v>20190305135200226</v>
      </c>
      <c r="B153" t="str">
        <f>"1551765120220331"</f>
        <v>1551765120220331</v>
      </c>
      <c r="C153" t="s">
        <v>40</v>
      </c>
      <c r="D153">
        <v>4.5127350000000002</v>
      </c>
      <c r="E153">
        <v>0.54900709999999997</v>
      </c>
      <c r="F153" t="s">
        <v>51</v>
      </c>
      <c r="G153">
        <v>-162.63220000000001</v>
      </c>
      <c r="H153">
        <v>14.96039</v>
      </c>
      <c r="I153">
        <v>342.43619999999999</v>
      </c>
      <c r="J153">
        <v>-447.31079999999997</v>
      </c>
      <c r="K153">
        <v>1.1072789999999999</v>
      </c>
      <c r="L153">
        <v>367.6585</v>
      </c>
      <c r="M153">
        <v>0.99996180000000001</v>
      </c>
      <c r="N153">
        <v>-4.6289490000000003E-3</v>
      </c>
      <c r="O153">
        <v>7.4329080000000002E-3</v>
      </c>
      <c r="P153">
        <v>0.99820520000000001</v>
      </c>
      <c r="Q153">
        <v>4.2618709999999997E-2</v>
      </c>
      <c r="R153">
        <v>4.2074609999999998E-2</v>
      </c>
      <c r="S153">
        <v>3.0103149999999999</v>
      </c>
      <c r="T153">
        <v>0.1463382</v>
      </c>
      <c r="U153">
        <v>-0.2664185</v>
      </c>
      <c r="V153">
        <v>-3.4540149999999999E-2</v>
      </c>
      <c r="W153">
        <v>4.7323009999999999E-2</v>
      </c>
      <c r="X153">
        <v>0.99828229999999996</v>
      </c>
      <c r="Y153">
        <v>9.5447299999999999E-2</v>
      </c>
      <c r="Z153">
        <v>2.4873679999999998E-3</v>
      </c>
      <c r="AA153">
        <v>0.99543139999999997</v>
      </c>
      <c r="AB153">
        <v>34</v>
      </c>
      <c r="AC153">
        <v>284.67860000000002</v>
      </c>
      <c r="AD153">
        <v>13.853110999999901</v>
      </c>
      <c r="AE153">
        <v>-25.222300000000001</v>
      </c>
      <c r="AF153">
        <v>27.273534261919899</v>
      </c>
      <c r="AG153">
        <v>13.853110999999901</v>
      </c>
      <c r="AH153">
        <v>283.81641101443603</v>
      </c>
      <c r="AI153">
        <v>87.218397698211106</v>
      </c>
      <c r="AJ153">
        <v>84.510976955947996</v>
      </c>
      <c r="AK153">
        <v>285.46017150669201</v>
      </c>
      <c r="AL153">
        <v>87.287578267308007</v>
      </c>
      <c r="AM153">
        <v>91.981619503942696</v>
      </c>
      <c r="AN153">
        <v>1.00000001986538</v>
      </c>
    </row>
    <row r="154" spans="1:40" x14ac:dyDescent="0.25">
      <c r="A154" t="str">
        <f>"20190305135200237"</f>
        <v>20190305135200237</v>
      </c>
      <c r="B154" t="str">
        <f>"1551765120230092"</f>
        <v>1551765120230092</v>
      </c>
      <c r="C154" t="s">
        <v>40</v>
      </c>
      <c r="D154">
        <v>4.477849</v>
      </c>
      <c r="E154">
        <v>0.54891089999999998</v>
      </c>
      <c r="F154" t="s">
        <v>51</v>
      </c>
      <c r="G154">
        <v>-162.16630000000001</v>
      </c>
      <c r="H154">
        <v>15.31678</v>
      </c>
      <c r="I154">
        <v>342.64389999999997</v>
      </c>
      <c r="J154">
        <v>-447.11559999999997</v>
      </c>
      <c r="K154">
        <v>1.1073729999999999</v>
      </c>
      <c r="L154">
        <v>367.65940000000001</v>
      </c>
      <c r="M154">
        <v>0.99996459999999998</v>
      </c>
      <c r="N154">
        <v>-4.8175120000000004E-3</v>
      </c>
      <c r="O154">
        <v>6.9002519999999999E-3</v>
      </c>
      <c r="P154">
        <v>0.99818280000000004</v>
      </c>
      <c r="Q154">
        <v>4.2984509999999997E-2</v>
      </c>
      <c r="R154">
        <v>4.2231860000000003E-2</v>
      </c>
      <c r="S154">
        <v>3.0101619999999998</v>
      </c>
      <c r="T154">
        <v>0.15000439999999901</v>
      </c>
      <c r="U154">
        <v>-0.26406859999999999</v>
      </c>
      <c r="V154">
        <v>-3.5224180000000001E-2</v>
      </c>
      <c r="W154">
        <v>4.7881710000000001E-2</v>
      </c>
      <c r="X154">
        <v>0.99823170000000006</v>
      </c>
      <c r="Y154">
        <v>9.4147040000000001E-2</v>
      </c>
      <c r="Z154">
        <v>2.488685E-3</v>
      </c>
      <c r="AA154">
        <v>0.99555519999999997</v>
      </c>
      <c r="AB154">
        <v>34</v>
      </c>
      <c r="AC154">
        <v>284.94929999999999</v>
      </c>
      <c r="AD154">
        <v>14.209407000000001</v>
      </c>
      <c r="AE154">
        <v>-25.015499999999999</v>
      </c>
      <c r="AF154">
        <v>26.9147332398651</v>
      </c>
      <c r="AG154">
        <v>14.209407000000001</v>
      </c>
      <c r="AH154">
        <v>284.06891990062297</v>
      </c>
      <c r="AI154">
        <v>87.149141785826501</v>
      </c>
      <c r="AJ154">
        <v>84.587542968999202</v>
      </c>
      <c r="AK154">
        <v>285.69469957661403</v>
      </c>
      <c r="AL154">
        <v>87.2555306317836</v>
      </c>
      <c r="AM154">
        <v>92.020933445077802</v>
      </c>
      <c r="AN154">
        <v>0.99999996394704205</v>
      </c>
    </row>
    <row r="155" spans="1:40" x14ac:dyDescent="0.25">
      <c r="A155" t="str">
        <f>"20190305135200250"</f>
        <v>20190305135200250</v>
      </c>
      <c r="B155" t="str">
        <f>"1551765120239851"</f>
        <v>1551765120239851</v>
      </c>
      <c r="C155" t="s">
        <v>40</v>
      </c>
      <c r="D155">
        <v>4.5081850000000001</v>
      </c>
      <c r="E155">
        <v>0.54878090000000002</v>
      </c>
      <c r="F155" t="s">
        <v>51</v>
      </c>
      <c r="G155">
        <v>-160.8536</v>
      </c>
      <c r="H155">
        <v>15.59456</v>
      </c>
      <c r="I155">
        <v>342.64389999999997</v>
      </c>
      <c r="J155">
        <v>-446.9307</v>
      </c>
      <c r="K155">
        <v>1.107486</v>
      </c>
      <c r="L155">
        <v>367.6601</v>
      </c>
      <c r="M155">
        <v>0.99996669999999999</v>
      </c>
      <c r="N155">
        <v>-5.0732980000000004E-3</v>
      </c>
      <c r="O155">
        <v>6.3877880000000001E-3</v>
      </c>
      <c r="P155">
        <v>0.99815830000000005</v>
      </c>
      <c r="Q155">
        <v>4.2847440000000001E-2</v>
      </c>
      <c r="R155">
        <v>4.2944339999999998E-2</v>
      </c>
      <c r="S155">
        <v>3.009979</v>
      </c>
      <c r="T155">
        <v>0.152329399999999</v>
      </c>
      <c r="U155">
        <v>-0.26303100000000001</v>
      </c>
      <c r="V155">
        <v>-3.6445819999999997E-2</v>
      </c>
      <c r="W155">
        <v>4.800459E-2</v>
      </c>
      <c r="X155">
        <v>0.99818200000000001</v>
      </c>
      <c r="Y155">
        <v>9.3300040000000001E-2</v>
      </c>
      <c r="Z155">
        <v>2.4724220000000002E-3</v>
      </c>
      <c r="AA155">
        <v>0.99563500000000005</v>
      </c>
      <c r="AB155">
        <v>34</v>
      </c>
      <c r="AC155">
        <v>286.07709999999997</v>
      </c>
      <c r="AD155">
        <v>14.487074</v>
      </c>
      <c r="AE155">
        <v>-25.016200000000001</v>
      </c>
      <c r="AF155">
        <v>26.7749708831665</v>
      </c>
      <c r="AG155">
        <v>14.487074</v>
      </c>
      <c r="AH155">
        <v>285.18566704744302</v>
      </c>
      <c r="AI155">
        <v>87.104656848416596</v>
      </c>
      <c r="AJ155">
        <v>84.636444874029294</v>
      </c>
      <c r="AK155">
        <v>286.80592578984601</v>
      </c>
      <c r="AL155">
        <v>87.248482179979803</v>
      </c>
      <c r="AM155">
        <v>92.091066015364504</v>
      </c>
      <c r="AN155">
        <v>1.00000002179027</v>
      </c>
    </row>
    <row r="156" spans="1:40" x14ac:dyDescent="0.25">
      <c r="A156" t="str">
        <f>"20190305135200264"</f>
        <v>20190305135200264</v>
      </c>
      <c r="B156" t="str">
        <f>"1551765120260348"</f>
        <v>1551765120260348</v>
      </c>
      <c r="C156" t="s">
        <v>40</v>
      </c>
      <c r="D156">
        <v>4.5083869999999999</v>
      </c>
      <c r="E156">
        <v>0.5484909</v>
      </c>
      <c r="F156" t="s">
        <v>51</v>
      </c>
      <c r="G156">
        <v>-156.47219999999999</v>
      </c>
      <c r="H156">
        <v>15.87415</v>
      </c>
      <c r="I156">
        <v>342.57990000000001</v>
      </c>
      <c r="J156">
        <v>-446.72739999999999</v>
      </c>
      <c r="K156">
        <v>1.1076269999999999</v>
      </c>
      <c r="L156">
        <v>367.66090000000003</v>
      </c>
      <c r="M156">
        <v>0.99996830000000003</v>
      </c>
      <c r="N156">
        <v>-5.4592919999999897E-3</v>
      </c>
      <c r="O156">
        <v>5.8141719999999899E-3</v>
      </c>
      <c r="P156">
        <v>0.99810770000000004</v>
      </c>
      <c r="Q156">
        <v>4.3200450000000001E-2</v>
      </c>
      <c r="R156">
        <v>4.3760140000000003E-2</v>
      </c>
      <c r="S156">
        <v>3.0101619999999998</v>
      </c>
      <c r="T156">
        <v>0.15303420000000001</v>
      </c>
      <c r="U156">
        <v>-0.25991819999999999</v>
      </c>
      <c r="V156">
        <v>-3.7830450000000002E-2</v>
      </c>
      <c r="W156">
        <v>4.874759E-2</v>
      </c>
      <c r="X156">
        <v>0.99809440000000005</v>
      </c>
      <c r="Y156">
        <v>9.1704060000000004E-2</v>
      </c>
      <c r="Z156">
        <v>2.400854E-3</v>
      </c>
      <c r="AA156">
        <v>0.99578339999999999</v>
      </c>
      <c r="AB156">
        <v>34</v>
      </c>
      <c r="AC156">
        <v>290.2552</v>
      </c>
      <c r="AD156">
        <v>14.766522999999999</v>
      </c>
      <c r="AE156">
        <v>-25.081</v>
      </c>
      <c r="AF156">
        <v>26.6996031431704</v>
      </c>
      <c r="AG156">
        <v>14.766522999999999</v>
      </c>
      <c r="AH156">
        <v>289.36109492884901</v>
      </c>
      <c r="AI156">
        <v>87.090982096888396</v>
      </c>
      <c r="AJ156">
        <v>84.728195365350103</v>
      </c>
      <c r="AK156">
        <v>290.96522518667803</v>
      </c>
      <c r="AL156">
        <v>87.205861316859597</v>
      </c>
      <c r="AM156">
        <v>92.1706243928124</v>
      </c>
      <c r="AN156">
        <v>0.99999995089468396</v>
      </c>
    </row>
    <row r="157" spans="1:40" x14ac:dyDescent="0.25">
      <c r="A157" t="str">
        <f>"20190305135200281"</f>
        <v>20190305135200281</v>
      </c>
      <c r="B157" t="str">
        <f>"1551765120270107"</f>
        <v>1551765120270107</v>
      </c>
      <c r="C157" t="s">
        <v>40</v>
      </c>
      <c r="D157">
        <v>4.5074149999999999</v>
      </c>
      <c r="E157">
        <v>0.54832919999999996</v>
      </c>
      <c r="F157" t="s">
        <v>51</v>
      </c>
      <c r="G157">
        <v>-149.9708</v>
      </c>
      <c r="H157">
        <v>16.54279</v>
      </c>
      <c r="I157">
        <v>342.52370000000002</v>
      </c>
      <c r="J157">
        <v>-446.46039999999999</v>
      </c>
      <c r="K157">
        <v>1.107809</v>
      </c>
      <c r="L157">
        <v>367.66160000000002</v>
      </c>
      <c r="M157">
        <v>0.99996960000000001</v>
      </c>
      <c r="N157">
        <v>-5.9857819999999898E-3</v>
      </c>
      <c r="O157">
        <v>5.016815E-3</v>
      </c>
      <c r="P157">
        <v>0.99794950000000004</v>
      </c>
      <c r="Q157">
        <v>4.4248200000000001E-2</v>
      </c>
      <c r="R157">
        <v>4.6249310000000002E-2</v>
      </c>
      <c r="S157">
        <v>3.0101010000000001</v>
      </c>
      <c r="T157">
        <v>0.15656400000000001</v>
      </c>
      <c r="U157">
        <v>-0.25497439999999999</v>
      </c>
      <c r="V157">
        <v>-4.1113289999999997E-2</v>
      </c>
      <c r="W157">
        <v>5.0327320000000002E-2</v>
      </c>
      <c r="X157">
        <v>0.99788619999999995</v>
      </c>
      <c r="Y157">
        <v>8.9287569999999997E-2</v>
      </c>
      <c r="Z157">
        <v>2.3387400000000002E-3</v>
      </c>
      <c r="AA157">
        <v>0.99600319999999998</v>
      </c>
      <c r="AB157">
        <v>34</v>
      </c>
      <c r="AC157">
        <v>296.4896</v>
      </c>
      <c r="AD157">
        <v>15.434981000000001</v>
      </c>
      <c r="AE157">
        <v>-25.137899999999998</v>
      </c>
      <c r="AF157">
        <v>26.553593031422398</v>
      </c>
      <c r="AG157">
        <v>15.434981000000001</v>
      </c>
      <c r="AH157">
        <v>295.564447507598</v>
      </c>
      <c r="AI157">
        <v>87.022582452330994</v>
      </c>
      <c r="AJ157">
        <v>84.866313264118403</v>
      </c>
      <c r="AK157">
        <v>297.15597684014398</v>
      </c>
      <c r="AL157">
        <v>87.115238336152302</v>
      </c>
      <c r="AM157">
        <v>92.359273522507905</v>
      </c>
      <c r="AN157">
        <v>1.0000000049517199</v>
      </c>
    </row>
    <row r="158" spans="1:40" x14ac:dyDescent="0.25">
      <c r="A158" t="str">
        <f>"20190305135200295"</f>
        <v>20190305135200295</v>
      </c>
      <c r="B158" t="str">
        <f>"1551765120289627"</f>
        <v>1551765120289627</v>
      </c>
      <c r="C158" t="s">
        <v>40</v>
      </c>
      <c r="D158">
        <v>4.5153280000000002</v>
      </c>
      <c r="E158">
        <v>0.54818449999999996</v>
      </c>
      <c r="F158" t="s">
        <v>49</v>
      </c>
      <c r="G158">
        <v>0</v>
      </c>
      <c r="H158">
        <v>0</v>
      </c>
      <c r="I158">
        <v>0</v>
      </c>
      <c r="J158">
        <v>-446.25319999999999</v>
      </c>
      <c r="K158">
        <v>1.1079319999999999</v>
      </c>
      <c r="L158">
        <v>367.66199999999998</v>
      </c>
      <c r="M158">
        <v>0.99997020000000003</v>
      </c>
      <c r="N158">
        <v>-6.3650269999999997E-3</v>
      </c>
      <c r="O158">
        <v>4.3826400000000001E-3</v>
      </c>
      <c r="P158">
        <v>0.99788279999999996</v>
      </c>
      <c r="Q158">
        <v>4.4289849999999999E-2</v>
      </c>
      <c r="R158">
        <v>4.7628360000000002E-2</v>
      </c>
      <c r="S158">
        <v>3.010437</v>
      </c>
      <c r="T158">
        <v>0.161079</v>
      </c>
      <c r="U158">
        <v>-0.24642939999999999</v>
      </c>
      <c r="V158">
        <v>-4.3126949999999997E-2</v>
      </c>
      <c r="W158">
        <v>5.0750209999999997E-2</v>
      </c>
      <c r="X158">
        <v>0.99777979999999999</v>
      </c>
      <c r="Y158">
        <v>8.5837620000000003E-2</v>
      </c>
      <c r="Z158">
        <v>2.2789569999999999E-3</v>
      </c>
      <c r="AA158">
        <v>0.99630649999999998</v>
      </c>
      <c r="AB158">
        <v>34</v>
      </c>
      <c r="AC158">
        <v>3.010437</v>
      </c>
      <c r="AD158">
        <v>0.161079</v>
      </c>
      <c r="AE158">
        <v>-0.24642939999999999</v>
      </c>
      <c r="AF158">
        <v>0.25888471225033499</v>
      </c>
      <c r="AG158">
        <v>0.161079</v>
      </c>
      <c r="AH158">
        <v>3.0007940166448601</v>
      </c>
      <c r="AI158">
        <v>86.938730074504505</v>
      </c>
      <c r="AJ158">
        <v>85.069183440722895</v>
      </c>
      <c r="AK158">
        <v>3.0162447627487898</v>
      </c>
      <c r="AL158">
        <v>87.090977574885102</v>
      </c>
      <c r="AM158">
        <v>92.474950039022502</v>
      </c>
      <c r="AN158">
        <v>1.00000002345969</v>
      </c>
    </row>
    <row r="159" spans="1:40" x14ac:dyDescent="0.25">
      <c r="A159" t="str">
        <f>"20190305135200315"</f>
        <v>20190305135200315</v>
      </c>
      <c r="B159" t="str">
        <f>"1551765120310124"</f>
        <v>1551765120310124</v>
      </c>
      <c r="C159" t="s">
        <v>40</v>
      </c>
      <c r="D159">
        <v>4.514653</v>
      </c>
      <c r="E159">
        <v>0.5480486</v>
      </c>
      <c r="F159" t="s">
        <v>50</v>
      </c>
      <c r="G159">
        <v>-325.72039999999998</v>
      </c>
      <c r="H159">
        <v>7.6316160000000002</v>
      </c>
      <c r="I159">
        <v>358.01240000000001</v>
      </c>
      <c r="J159">
        <v>-445.95400000000001</v>
      </c>
      <c r="K159">
        <v>1.108085</v>
      </c>
      <c r="L159">
        <v>367.66239999999999</v>
      </c>
      <c r="M159">
        <v>0.99997040000000004</v>
      </c>
      <c r="N159">
        <v>-6.8713480000000002E-3</v>
      </c>
      <c r="O159">
        <v>3.4740140000000001E-3</v>
      </c>
      <c r="P159">
        <v>0.99776229999999999</v>
      </c>
      <c r="Q159">
        <v>4.368532E-2</v>
      </c>
      <c r="R159">
        <v>5.0615149999999998E-2</v>
      </c>
      <c r="S159">
        <v>3.0106809999999999</v>
      </c>
      <c r="T159">
        <v>0.1629515</v>
      </c>
      <c r="U159">
        <v>-0.24102779999999999</v>
      </c>
      <c r="V159">
        <v>-4.7025369999999997E-2</v>
      </c>
      <c r="W159">
        <v>5.0656399999999997E-2</v>
      </c>
      <c r="X159">
        <v>0.99760839999999995</v>
      </c>
      <c r="Y159">
        <v>8.3152859999999995E-2</v>
      </c>
      <c r="Z159">
        <v>2.1701569999999998E-3</v>
      </c>
      <c r="AA159">
        <v>0.99653449999999999</v>
      </c>
      <c r="AB159">
        <v>34</v>
      </c>
      <c r="AC159">
        <v>120.2336</v>
      </c>
      <c r="AD159">
        <v>6.5235310000000002</v>
      </c>
      <c r="AE159">
        <v>-9.6499999999999702</v>
      </c>
      <c r="AF159">
        <v>10.038282891478501</v>
      </c>
      <c r="AG159">
        <v>6.5235310000000002</v>
      </c>
      <c r="AH159">
        <v>119.848792289789</v>
      </c>
      <c r="AI159">
        <v>86.895238296273604</v>
      </c>
      <c r="AJ159">
        <v>85.212201173411302</v>
      </c>
      <c r="AK159">
        <v>120.445243133294</v>
      </c>
      <c r="AL159">
        <v>87.096359311173202</v>
      </c>
      <c r="AM159">
        <v>92.6988167575483</v>
      </c>
      <c r="AN159">
        <v>0.99999998801757795</v>
      </c>
    </row>
    <row r="160" spans="1:40" x14ac:dyDescent="0.25">
      <c r="A160" t="str">
        <f>"20190305135200329"</f>
        <v>20190305135200329</v>
      </c>
      <c r="B160" t="str">
        <f>"1551765120319884"</f>
        <v>1551765120319884</v>
      </c>
      <c r="C160" t="s">
        <v>40</v>
      </c>
      <c r="D160">
        <v>4.5239339999999997</v>
      </c>
      <c r="E160">
        <v>0.54798919999999995</v>
      </c>
      <c r="F160" t="s">
        <v>50</v>
      </c>
      <c r="G160">
        <v>-325.69650000000001</v>
      </c>
      <c r="H160">
        <v>7.6004649999999998</v>
      </c>
      <c r="I160">
        <v>358.45010000000002</v>
      </c>
      <c r="J160">
        <v>-445.73410000000001</v>
      </c>
      <c r="K160">
        <v>1.108176</v>
      </c>
      <c r="L160">
        <v>367.6626</v>
      </c>
      <c r="M160">
        <v>0.99997000000000003</v>
      </c>
      <c r="N160">
        <v>-7.2134219999999997E-3</v>
      </c>
      <c r="O160">
        <v>2.8282400000000001E-3</v>
      </c>
      <c r="P160">
        <v>0.99774090000000004</v>
      </c>
      <c r="Q160">
        <v>4.2475619999999999E-2</v>
      </c>
      <c r="R160">
        <v>5.2049209999999999E-2</v>
      </c>
      <c r="S160">
        <v>3.0113219999999998</v>
      </c>
      <c r="T160">
        <v>0.16257559999999999</v>
      </c>
      <c r="U160">
        <v>-0.23068240000000001</v>
      </c>
      <c r="V160">
        <v>-4.9110010000000003E-2</v>
      </c>
      <c r="W160">
        <v>4.9788689999999997E-2</v>
      </c>
      <c r="X160">
        <v>0.99755159999999998</v>
      </c>
      <c r="Y160">
        <v>7.9096570000000005E-2</v>
      </c>
      <c r="Z160">
        <v>2.0173080000000002E-3</v>
      </c>
      <c r="AA160">
        <v>0.99686490000000005</v>
      </c>
      <c r="AB160">
        <v>34</v>
      </c>
      <c r="AC160">
        <v>120.0376</v>
      </c>
      <c r="AD160">
        <v>6.4922890000000004</v>
      </c>
      <c r="AE160">
        <v>-9.2124999999999702</v>
      </c>
      <c r="AF160">
        <v>9.5242695157411905</v>
      </c>
      <c r="AG160">
        <v>6.4922890000000004</v>
      </c>
      <c r="AH160">
        <v>119.663070891849</v>
      </c>
      <c r="AI160">
        <v>86.904248110260298</v>
      </c>
      <c r="AJ160">
        <v>85.449285444814194</v>
      </c>
      <c r="AK160">
        <v>120.21693749857199</v>
      </c>
      <c r="AL160">
        <v>87.146138146044194</v>
      </c>
      <c r="AM160">
        <v>92.818427025534803</v>
      </c>
      <c r="AN160">
        <v>0.99999995069833603</v>
      </c>
    </row>
    <row r="161" spans="1:40" x14ac:dyDescent="0.25">
      <c r="A161" t="str">
        <f>"20190305135200351"</f>
        <v>20190305135200351</v>
      </c>
      <c r="B161" t="str">
        <f>"1551765120340381"</f>
        <v>1551765120340381</v>
      </c>
      <c r="C161" t="s">
        <v>40</v>
      </c>
      <c r="D161">
        <v>4.5267970000000002</v>
      </c>
      <c r="E161">
        <v>0.54794619999999905</v>
      </c>
      <c r="F161" t="s">
        <v>49</v>
      </c>
      <c r="G161">
        <v>0</v>
      </c>
      <c r="H161">
        <v>0</v>
      </c>
      <c r="I161">
        <v>0</v>
      </c>
      <c r="J161">
        <v>-445.40890000000002</v>
      </c>
      <c r="K161">
        <v>1.108279</v>
      </c>
      <c r="L161">
        <v>367.66269999999997</v>
      </c>
      <c r="M161">
        <v>0.99996890000000005</v>
      </c>
      <c r="N161">
        <v>-7.6585239999999999E-3</v>
      </c>
      <c r="O161">
        <v>1.9281089999999999E-3</v>
      </c>
      <c r="P161">
        <v>0.99766889999999997</v>
      </c>
      <c r="Q161">
        <v>4.0063210000000002E-2</v>
      </c>
      <c r="R161">
        <v>5.524362E-2</v>
      </c>
      <c r="S161">
        <v>3.0118100000000001</v>
      </c>
      <c r="T161">
        <v>0.15962399999999999</v>
      </c>
      <c r="U161">
        <v>-0.22628780000000001</v>
      </c>
      <c r="V161">
        <v>-5.3212589999999997E-2</v>
      </c>
      <c r="W161">
        <v>4.7822650000000001E-2</v>
      </c>
      <c r="X161">
        <v>0.99743740000000003</v>
      </c>
      <c r="Y161">
        <v>7.6749849999999994E-2</v>
      </c>
      <c r="Z161">
        <v>1.851786E-3</v>
      </c>
      <c r="AA161">
        <v>0.99704870000000001</v>
      </c>
      <c r="AB161">
        <v>34</v>
      </c>
      <c r="AC161">
        <v>3.0118100000000001</v>
      </c>
      <c r="AD161">
        <v>0.15962399999999999</v>
      </c>
      <c r="AE161">
        <v>-0.22628780000000001</v>
      </c>
      <c r="AF161">
        <v>0.23144817429480599</v>
      </c>
      <c r="AG161">
        <v>0.15962399999999999</v>
      </c>
      <c r="AH161">
        <v>3.0029802630070299</v>
      </c>
      <c r="AI161">
        <v>86.966275507785994</v>
      </c>
      <c r="AJ161">
        <v>85.5927652420946</v>
      </c>
      <c r="AK161">
        <v>3.0161131508565999</v>
      </c>
      <c r="AL161">
        <v>87.258918435335502</v>
      </c>
      <c r="AM161">
        <v>93.053794908887895</v>
      </c>
      <c r="AN161">
        <v>0.99999997625314496</v>
      </c>
    </row>
    <row r="162" spans="1:40" x14ac:dyDescent="0.25">
      <c r="A162" t="str">
        <f>"20190305135200372"</f>
        <v>20190305135200372</v>
      </c>
      <c r="B162" t="str">
        <f>"1551765120359899"</f>
        <v>1551765120359899</v>
      </c>
      <c r="C162" t="s">
        <v>40</v>
      </c>
      <c r="D162">
        <v>4.5324549999999997</v>
      </c>
      <c r="E162">
        <v>0.54792929999999995</v>
      </c>
      <c r="F162" t="s">
        <v>49</v>
      </c>
      <c r="G162">
        <v>0</v>
      </c>
      <c r="H162">
        <v>0</v>
      </c>
      <c r="I162">
        <v>0</v>
      </c>
      <c r="J162">
        <v>-445.08229999999998</v>
      </c>
      <c r="K162">
        <v>1.108352</v>
      </c>
      <c r="L162">
        <v>367.66250000000002</v>
      </c>
      <c r="M162">
        <v>0.99996739999999995</v>
      </c>
      <c r="N162">
        <v>-8.0113909999999997E-3</v>
      </c>
      <c r="O162">
        <v>1.08266E-3</v>
      </c>
      <c r="P162">
        <v>0.9975811</v>
      </c>
      <c r="Q162">
        <v>3.6863470000000002E-2</v>
      </c>
      <c r="R162">
        <v>5.893259E-2</v>
      </c>
      <c r="S162">
        <v>3.0127869999999999</v>
      </c>
      <c r="T162">
        <v>0.15360960000000001</v>
      </c>
      <c r="U162">
        <v>-0.21624760000000001</v>
      </c>
      <c r="V162">
        <v>-5.775752E-2</v>
      </c>
      <c r="W162">
        <v>4.4977570000000001E-2</v>
      </c>
      <c r="X162">
        <v>0.99731700000000001</v>
      </c>
      <c r="Y162">
        <v>7.2591420000000004E-2</v>
      </c>
      <c r="Z162">
        <v>1.6194320000000001E-3</v>
      </c>
      <c r="AA162">
        <v>0.99736049999999998</v>
      </c>
      <c r="AB162">
        <v>34</v>
      </c>
      <c r="AC162">
        <v>3.0127869999999999</v>
      </c>
      <c r="AD162">
        <v>0.15360960000000001</v>
      </c>
      <c r="AE162">
        <v>-0.21624760000000001</v>
      </c>
      <c r="AF162">
        <v>0.21894316294251301</v>
      </c>
      <c r="AG162">
        <v>0.15360960000000001</v>
      </c>
      <c r="AH162">
        <v>3.0047800334411199</v>
      </c>
      <c r="AI162">
        <v>87.081212056587404</v>
      </c>
      <c r="AJ162">
        <v>85.8325106573553</v>
      </c>
      <c r="AK162">
        <v>3.0166595875533999</v>
      </c>
      <c r="AL162">
        <v>87.422105538920604</v>
      </c>
      <c r="AM162">
        <v>93.314462612312099</v>
      </c>
      <c r="AN162">
        <v>1.00000005570432</v>
      </c>
    </row>
    <row r="163" spans="1:40" x14ac:dyDescent="0.25">
      <c r="A163" t="str">
        <f>"20190305135200393"</f>
        <v>20190305135200393</v>
      </c>
      <c r="B163" t="str">
        <f>"1551765120390155"</f>
        <v>1551765120390155</v>
      </c>
      <c r="C163" t="s">
        <v>40</v>
      </c>
      <c r="D163">
        <v>4.5127110000000004</v>
      </c>
      <c r="E163">
        <v>0.54817869999999902</v>
      </c>
      <c r="F163" t="s">
        <v>49</v>
      </c>
      <c r="G163">
        <v>0</v>
      </c>
      <c r="H163">
        <v>0</v>
      </c>
      <c r="I163">
        <v>0</v>
      </c>
      <c r="J163">
        <v>-444.76420000000002</v>
      </c>
      <c r="K163">
        <v>1.108393</v>
      </c>
      <c r="L163">
        <v>367.66210000000001</v>
      </c>
      <c r="M163">
        <v>0.99996600000000002</v>
      </c>
      <c r="N163">
        <v>-8.2498160000000001E-3</v>
      </c>
      <c r="O163">
        <v>3.0681300000000002E-4</v>
      </c>
      <c r="P163">
        <v>0.99743970000000004</v>
      </c>
      <c r="Q163">
        <v>3.4666580000000002E-2</v>
      </c>
      <c r="R163">
        <v>6.2549809999999997E-2</v>
      </c>
      <c r="S163">
        <v>3.0139770000000001</v>
      </c>
      <c r="T163">
        <v>0.1457504</v>
      </c>
      <c r="U163">
        <v>-0.2048035</v>
      </c>
      <c r="V163">
        <v>-6.2157410000000003E-2</v>
      </c>
      <c r="W163">
        <v>4.3019189999999999E-2</v>
      </c>
      <c r="X163">
        <v>0.99713879999999999</v>
      </c>
      <c r="Y163">
        <v>6.8034949999999997E-2</v>
      </c>
      <c r="Z163">
        <v>1.3784089999999999E-3</v>
      </c>
      <c r="AA163">
        <v>0.99768199999999996</v>
      </c>
      <c r="AB163">
        <v>34</v>
      </c>
      <c r="AC163">
        <v>3.0139770000000001</v>
      </c>
      <c r="AD163">
        <v>0.1457504</v>
      </c>
      <c r="AE163">
        <v>-0.2048035</v>
      </c>
      <c r="AF163">
        <v>0.20525047440514799</v>
      </c>
      <c r="AG163">
        <v>0.1457504</v>
      </c>
      <c r="AH163">
        <v>3.0069146318006101</v>
      </c>
      <c r="AI163">
        <v>87.231377998115093</v>
      </c>
      <c r="AJ163">
        <v>86.095076318482697</v>
      </c>
      <c r="AK163">
        <v>3.0174337671737299</v>
      </c>
      <c r="AL163">
        <v>87.534421064531898</v>
      </c>
      <c r="AM163">
        <v>93.566960926768004</v>
      </c>
      <c r="AN163">
        <v>0.99999999039580201</v>
      </c>
    </row>
    <row r="164" spans="1:40" x14ac:dyDescent="0.25">
      <c r="A164" t="str">
        <f>"20190305135200406"</f>
        <v>20190305135200406</v>
      </c>
      <c r="B164" t="str">
        <f>"1551765120399915"</f>
        <v>1551765120399915</v>
      </c>
      <c r="C164" t="s">
        <v>40</v>
      </c>
      <c r="D164">
        <v>4.5406490000000002</v>
      </c>
      <c r="E164">
        <v>0.54833909999999997</v>
      </c>
      <c r="F164" t="s">
        <v>49</v>
      </c>
      <c r="G164">
        <v>0</v>
      </c>
      <c r="H164">
        <v>0</v>
      </c>
      <c r="I164">
        <v>0</v>
      </c>
      <c r="J164">
        <v>-444.5496</v>
      </c>
      <c r="K164">
        <v>1.1084069999999999</v>
      </c>
      <c r="L164">
        <v>367.6617</v>
      </c>
      <c r="M164">
        <v>0.99996529999999995</v>
      </c>
      <c r="N164">
        <v>-8.3567160000000001E-3</v>
      </c>
      <c r="O164">
        <v>-1.9576829999999999E-4</v>
      </c>
      <c r="P164">
        <v>0.99739599999999995</v>
      </c>
      <c r="Q164">
        <v>3.4082920000000003E-2</v>
      </c>
      <c r="R164">
        <v>6.3561510000000002E-2</v>
      </c>
      <c r="S164">
        <v>3.0150760000000001</v>
      </c>
      <c r="T164">
        <v>0.13996169999999999</v>
      </c>
      <c r="U164">
        <v>-0.19573969999999999</v>
      </c>
      <c r="V164">
        <v>-6.3674449999999994E-2</v>
      </c>
      <c r="W164">
        <v>4.2540399999999999E-2</v>
      </c>
      <c r="X164">
        <v>0.99706360000000005</v>
      </c>
      <c r="Y164">
        <v>6.4532199999999998E-2</v>
      </c>
      <c r="Z164">
        <v>1.2146839999999999E-3</v>
      </c>
      <c r="AA164">
        <v>0.99791490000000005</v>
      </c>
      <c r="AB164">
        <v>34</v>
      </c>
      <c r="AC164">
        <v>3.0150760000000001</v>
      </c>
      <c r="AD164">
        <v>0.13996169999999999</v>
      </c>
      <c r="AE164">
        <v>-0.19573969999999999</v>
      </c>
      <c r="AF164">
        <v>0.194731558629549</v>
      </c>
      <c r="AG164">
        <v>0.13996169999999999</v>
      </c>
      <c r="AH164">
        <v>3.0086581937834702</v>
      </c>
      <c r="AI164">
        <v>87.342094468741706</v>
      </c>
      <c r="AJ164">
        <v>86.296769233312205</v>
      </c>
      <c r="AK164">
        <v>3.0182004215117302</v>
      </c>
      <c r="AL164">
        <v>87.561878802940001</v>
      </c>
      <c r="AM164">
        <v>93.654059476498901</v>
      </c>
      <c r="AN164">
        <v>0.99999997182996003</v>
      </c>
    </row>
    <row r="165" spans="1:40" x14ac:dyDescent="0.25">
      <c r="A165" t="str">
        <f>"20190305135200418"</f>
        <v>20190305135200418</v>
      </c>
      <c r="B165" t="str">
        <f>"1551765120409676"</f>
        <v>1551765120409676</v>
      </c>
      <c r="C165" t="s">
        <v>40</v>
      </c>
      <c r="D165">
        <v>4.5614059999999998</v>
      </c>
      <c r="E165">
        <v>0.54848090000000005</v>
      </c>
      <c r="F165" t="s">
        <v>49</v>
      </c>
      <c r="G165">
        <v>0</v>
      </c>
      <c r="H165">
        <v>0</v>
      </c>
      <c r="I165">
        <v>0</v>
      </c>
      <c r="J165">
        <v>-444.36040000000003</v>
      </c>
      <c r="K165">
        <v>1.108403</v>
      </c>
      <c r="L165">
        <v>367.66129999999998</v>
      </c>
      <c r="M165">
        <v>0.99996470000000004</v>
      </c>
      <c r="N165">
        <v>-8.3950280000000006E-3</v>
      </c>
      <c r="O165">
        <v>-6.1814519999999905E-4</v>
      </c>
      <c r="P165">
        <v>0.99732350000000003</v>
      </c>
      <c r="Q165">
        <v>3.3282619999999999E-2</v>
      </c>
      <c r="R165">
        <v>6.5102789999999994E-2</v>
      </c>
      <c r="S165">
        <v>3.0154420000000002</v>
      </c>
      <c r="T165">
        <v>0.13874010000000001</v>
      </c>
      <c r="U165">
        <v>-0.19421389999999999</v>
      </c>
      <c r="V165">
        <v>-6.564093E-2</v>
      </c>
      <c r="W165">
        <v>4.17772E-2</v>
      </c>
      <c r="X165">
        <v>0.99696839999999998</v>
      </c>
      <c r="Y165">
        <v>6.3602549999999994E-2</v>
      </c>
      <c r="Z165">
        <v>1.159942E-3</v>
      </c>
      <c r="AA165">
        <v>0.99797460000000004</v>
      </c>
      <c r="AB165">
        <v>34</v>
      </c>
      <c r="AC165">
        <v>3.0154420000000002</v>
      </c>
      <c r="AD165">
        <v>0.13874010000000001</v>
      </c>
      <c r="AE165">
        <v>-0.19421389999999999</v>
      </c>
      <c r="AF165">
        <v>0.19194516470815601</v>
      </c>
      <c r="AG165">
        <v>0.13874010000000001</v>
      </c>
      <c r="AH165">
        <v>3.00921755860338</v>
      </c>
      <c r="AI165">
        <v>87.365591276183807</v>
      </c>
      <c r="AJ165">
        <v>86.350290784341695</v>
      </c>
      <c r="AK165">
        <v>3.0185231615161898</v>
      </c>
      <c r="AL165">
        <v>87.605645991910393</v>
      </c>
      <c r="AM165">
        <v>93.766947682716605</v>
      </c>
      <c r="AN165">
        <v>1.00000002836483</v>
      </c>
    </row>
    <row r="166" spans="1:40" x14ac:dyDescent="0.25">
      <c r="A166" t="str">
        <f>"20190305135200438"</f>
        <v>20190305135200438</v>
      </c>
      <c r="B166" t="str">
        <f>"1551765120430171"</f>
        <v>1551765120430171</v>
      </c>
      <c r="C166" t="s">
        <v>40</v>
      </c>
      <c r="D166">
        <v>4.8441510000000001</v>
      </c>
      <c r="E166">
        <v>0.54874519999999904</v>
      </c>
      <c r="F166" t="s">
        <v>49</v>
      </c>
      <c r="G166">
        <v>0</v>
      </c>
      <c r="H166">
        <v>0</v>
      </c>
      <c r="I166">
        <v>0</v>
      </c>
      <c r="J166">
        <v>-444.06630000000001</v>
      </c>
      <c r="K166">
        <v>1.1083730000000001</v>
      </c>
      <c r="L166">
        <v>367.66050000000001</v>
      </c>
      <c r="M166">
        <v>0.99996410000000002</v>
      </c>
      <c r="N166">
        <v>-8.395296E-3</v>
      </c>
      <c r="O166">
        <v>-1.255489E-3</v>
      </c>
      <c r="P166">
        <v>0.99727639999999995</v>
      </c>
      <c r="Q166">
        <v>3.0986079999999999E-2</v>
      </c>
      <c r="R166">
        <v>6.693296E-2</v>
      </c>
      <c r="S166">
        <v>3.01593</v>
      </c>
      <c r="T166">
        <v>0.1367679</v>
      </c>
      <c r="U166">
        <v>-0.1906128</v>
      </c>
      <c r="V166">
        <v>-6.8113930000000003E-2</v>
      </c>
      <c r="W166">
        <v>3.9479779999999999E-2</v>
      </c>
      <c r="X166">
        <v>0.99689609999999995</v>
      </c>
      <c r="Y166">
        <v>6.1773380000000003E-2</v>
      </c>
      <c r="Z166">
        <v>1.071507E-3</v>
      </c>
      <c r="AA166">
        <v>0.99808960000000002</v>
      </c>
      <c r="AB166">
        <v>34</v>
      </c>
      <c r="AC166">
        <v>3.01593</v>
      </c>
      <c r="AD166">
        <v>0.1367679</v>
      </c>
      <c r="AE166">
        <v>-0.1906128</v>
      </c>
      <c r="AF166">
        <v>0.186444155471609</v>
      </c>
      <c r="AG166">
        <v>0.1367679</v>
      </c>
      <c r="AH166">
        <v>3.0100015439661898</v>
      </c>
      <c r="AI166">
        <v>87.403364007717698</v>
      </c>
      <c r="AJ166">
        <v>86.455539164064902</v>
      </c>
      <c r="AK166">
        <v>3.0188700164562898</v>
      </c>
      <c r="AL166">
        <v>87.737387192716497</v>
      </c>
      <c r="AM166">
        <v>93.908716850312501</v>
      </c>
      <c r="AN166">
        <v>0.99999999734205103</v>
      </c>
    </row>
    <row r="167" spans="1:40" x14ac:dyDescent="0.25">
      <c r="A167" t="str">
        <f>"20190305135200452"</f>
        <v>20190305135200452</v>
      </c>
      <c r="B167" t="str">
        <f>"1551765120449691"</f>
        <v>1551765120449691</v>
      </c>
      <c r="C167" t="s">
        <v>40</v>
      </c>
      <c r="D167">
        <v>4.5672449999999998</v>
      </c>
      <c r="E167">
        <v>0.54897109999999905</v>
      </c>
      <c r="F167" t="s">
        <v>49</v>
      </c>
      <c r="G167">
        <v>0</v>
      </c>
      <c r="H167">
        <v>0</v>
      </c>
      <c r="I167">
        <v>0</v>
      </c>
      <c r="J167">
        <v>-443.85469999999998</v>
      </c>
      <c r="K167">
        <v>1.1083419999999999</v>
      </c>
      <c r="L167">
        <v>367.65989999999999</v>
      </c>
      <c r="M167">
        <v>0.99996370000000001</v>
      </c>
      <c r="N167">
        <v>-8.3470249999999992E-3</v>
      </c>
      <c r="O167">
        <v>-1.6967579999999901E-3</v>
      </c>
      <c r="P167">
        <v>0.99724270000000004</v>
      </c>
      <c r="Q167">
        <v>2.9016520000000001E-2</v>
      </c>
      <c r="R167">
        <v>6.8302219999999997E-2</v>
      </c>
      <c r="S167">
        <v>3.016632</v>
      </c>
      <c r="T167">
        <v>0.13256279999999901</v>
      </c>
      <c r="U167">
        <v>-0.18692020000000001</v>
      </c>
      <c r="V167">
        <v>-6.9928920000000006E-2</v>
      </c>
      <c r="W167">
        <v>3.7460920000000002E-2</v>
      </c>
      <c r="X167">
        <v>0.99684830000000002</v>
      </c>
      <c r="Y167">
        <v>6.010646E-2</v>
      </c>
      <c r="Z167">
        <v>9.7896529999999993E-4</v>
      </c>
      <c r="AA167">
        <v>0.99819150000000001</v>
      </c>
      <c r="AB167">
        <v>34</v>
      </c>
      <c r="AC167">
        <v>3.016632</v>
      </c>
      <c r="AD167">
        <v>0.13256279999999901</v>
      </c>
      <c r="AE167">
        <v>-0.18692020000000001</v>
      </c>
      <c r="AF167">
        <v>0.18145220074809901</v>
      </c>
      <c r="AG167">
        <v>0.13256279999999901</v>
      </c>
      <c r="AH167">
        <v>3.0111523120408101</v>
      </c>
      <c r="AI167">
        <v>87.483799969244004</v>
      </c>
      <c r="AJ167">
        <v>86.551523323001703</v>
      </c>
      <c r="AK167">
        <v>3.0195257977717098</v>
      </c>
      <c r="AL167">
        <v>87.853144967359498</v>
      </c>
      <c r="AM167">
        <v>94.0127259834901</v>
      </c>
      <c r="AN167">
        <v>0.99999995379624995</v>
      </c>
    </row>
    <row r="168" spans="1:40" x14ac:dyDescent="0.25">
      <c r="A168" t="str">
        <f>"20190305135200470"</f>
        <v>20190305135200470</v>
      </c>
      <c r="B168" t="str">
        <f>"1551765120459451"</f>
        <v>1551765120459451</v>
      </c>
      <c r="C168" t="s">
        <v>40</v>
      </c>
      <c r="D168">
        <v>4.558497</v>
      </c>
      <c r="E168">
        <v>0.54910360000000003</v>
      </c>
      <c r="F168" t="s">
        <v>49</v>
      </c>
      <c r="G168">
        <v>0</v>
      </c>
      <c r="H168">
        <v>0</v>
      </c>
      <c r="I168">
        <v>0</v>
      </c>
      <c r="J168">
        <v>-443.57740000000001</v>
      </c>
      <c r="K168">
        <v>1.1082890000000001</v>
      </c>
      <c r="L168">
        <v>367.65890000000002</v>
      </c>
      <c r="M168">
        <v>0.99996359999999995</v>
      </c>
      <c r="N168">
        <v>-8.2307579999999995E-3</v>
      </c>
      <c r="O168">
        <v>-2.2564949999999999E-3</v>
      </c>
      <c r="P168">
        <v>0.99715569999999998</v>
      </c>
      <c r="Q168">
        <v>2.6861880000000001E-2</v>
      </c>
      <c r="R168">
        <v>7.0420109999999994E-2</v>
      </c>
      <c r="S168">
        <v>3.0171809999999999</v>
      </c>
      <c r="T168">
        <v>0.12925400000000001</v>
      </c>
      <c r="U168">
        <v>-0.18426509999999999</v>
      </c>
      <c r="V168">
        <v>-7.2610800000000003E-2</v>
      </c>
      <c r="W168">
        <v>3.5189350000000001E-2</v>
      </c>
      <c r="X168">
        <v>0.99673940000000005</v>
      </c>
      <c r="Y168">
        <v>5.8665500000000002E-2</v>
      </c>
      <c r="Z168">
        <v>8.9802619999999997E-4</v>
      </c>
      <c r="AA168">
        <v>0.99827730000000003</v>
      </c>
      <c r="AB168">
        <v>34</v>
      </c>
      <c r="AC168">
        <v>3.0171809999999999</v>
      </c>
      <c r="AD168">
        <v>0.12925400000000001</v>
      </c>
      <c r="AE168">
        <v>-0.18426509999999999</v>
      </c>
      <c r="AF168">
        <v>0.17713227991785199</v>
      </c>
      <c r="AG168">
        <v>0.12925400000000001</v>
      </c>
      <c r="AH168">
        <v>3.0120818700304199</v>
      </c>
      <c r="AI168">
        <v>87.547072315358406</v>
      </c>
      <c r="AJ168">
        <v>86.634468324966207</v>
      </c>
      <c r="AK168">
        <v>3.0200529188858298</v>
      </c>
      <c r="AL168">
        <v>87.983382472641793</v>
      </c>
      <c r="AM168">
        <v>94.166541768390999</v>
      </c>
      <c r="AN168">
        <v>1.00000002507121</v>
      </c>
    </row>
    <row r="169" spans="1:40" x14ac:dyDescent="0.25">
      <c r="A169" t="str">
        <f>"20190305135200493"</f>
        <v>20190305135200493</v>
      </c>
      <c r="B169" t="str">
        <f>"1551765120489708"</f>
        <v>1551765120489708</v>
      </c>
      <c r="C169" t="s">
        <v>40</v>
      </c>
      <c r="D169">
        <v>4.586481</v>
      </c>
      <c r="E169">
        <v>0.54954179999999997</v>
      </c>
      <c r="F169" t="s">
        <v>48</v>
      </c>
      <c r="G169">
        <v>-159.35079999999999</v>
      </c>
      <c r="H169">
        <v>12.76247</v>
      </c>
      <c r="I169">
        <v>350.7989</v>
      </c>
      <c r="J169">
        <v>-443.21870000000001</v>
      </c>
      <c r="K169">
        <v>1.1082259999999999</v>
      </c>
      <c r="L169">
        <v>367.6574</v>
      </c>
      <c r="M169">
        <v>0.99996359999999995</v>
      </c>
      <c r="N169">
        <v>-8.0127610000000002E-3</v>
      </c>
      <c r="O169">
        <v>-2.9517359999999999E-3</v>
      </c>
      <c r="P169">
        <v>0.99704510000000002</v>
      </c>
      <c r="Q169">
        <v>2.7143090000000002E-2</v>
      </c>
      <c r="R169">
        <v>7.1864250000000005E-2</v>
      </c>
      <c r="S169">
        <v>3.0178530000000001</v>
      </c>
      <c r="T169">
        <v>0.1237423</v>
      </c>
      <c r="U169">
        <v>-0.17901610000000001</v>
      </c>
      <c r="V169">
        <v>-7.4750199999999906E-2</v>
      </c>
      <c r="W169">
        <v>3.5250339999999998E-2</v>
      </c>
      <c r="X169">
        <v>0.99657910000000005</v>
      </c>
      <c r="Y169">
        <v>5.6233720000000001E-2</v>
      </c>
      <c r="Z169">
        <v>7.8133079999999995E-4</v>
      </c>
      <c r="AA169">
        <v>0.99841729999999995</v>
      </c>
      <c r="AB169">
        <v>34</v>
      </c>
      <c r="AC169">
        <v>283.86790000000002</v>
      </c>
      <c r="AD169">
        <v>11.654244</v>
      </c>
      <c r="AE169">
        <v>-16.8584999999999</v>
      </c>
      <c r="AF169">
        <v>15.9936336519904</v>
      </c>
      <c r="AG169">
        <v>11.654244</v>
      </c>
      <c r="AH169">
        <v>283.440359506942</v>
      </c>
      <c r="AI169">
        <v>87.649225523049907</v>
      </c>
      <c r="AJ169">
        <v>86.770407023466802</v>
      </c>
      <c r="AK169">
        <v>284.13034881552198</v>
      </c>
      <c r="AL169">
        <v>87.979885865394806</v>
      </c>
      <c r="AM169">
        <v>94.289540232481102</v>
      </c>
      <c r="AN169">
        <v>1.0000000407134799</v>
      </c>
    </row>
    <row r="170" spans="1:40" x14ac:dyDescent="0.25">
      <c r="A170" t="str">
        <f>"20190305135200518"</f>
        <v>20190305135200518</v>
      </c>
      <c r="B170" t="str">
        <f>"1551765120510204"</f>
        <v>1551765120510204</v>
      </c>
      <c r="C170" t="s">
        <v>40</v>
      </c>
      <c r="D170">
        <v>4.5730729999999999</v>
      </c>
      <c r="E170">
        <v>0.54963339999999905</v>
      </c>
      <c r="F170" t="s">
        <v>48</v>
      </c>
      <c r="G170">
        <v>-159.35079999999999</v>
      </c>
      <c r="H170">
        <v>12.98936</v>
      </c>
      <c r="I170">
        <v>350.88720000000001</v>
      </c>
      <c r="J170">
        <v>-442.84339999999997</v>
      </c>
      <c r="K170">
        <v>1.108168</v>
      </c>
      <c r="L170">
        <v>367.65570000000002</v>
      </c>
      <c r="M170">
        <v>0.9999633</v>
      </c>
      <c r="N170">
        <v>-7.7441979999999999E-3</v>
      </c>
      <c r="O170">
        <v>-3.6542290000000002E-3</v>
      </c>
      <c r="P170">
        <v>0.997062</v>
      </c>
      <c r="Q170">
        <v>2.646766E-2</v>
      </c>
      <c r="R170">
        <v>7.1879299999999993E-2</v>
      </c>
      <c r="S170">
        <v>3.0183110000000002</v>
      </c>
      <c r="T170">
        <v>0.12633059999999999</v>
      </c>
      <c r="U170">
        <v>-0.17831420000000001</v>
      </c>
      <c r="V170">
        <v>-7.5468800000000003E-2</v>
      </c>
      <c r="W170">
        <v>3.430391E-2</v>
      </c>
      <c r="X170">
        <v>0.99655800000000005</v>
      </c>
      <c r="Y170">
        <v>5.5291479999999997E-2</v>
      </c>
      <c r="Z170">
        <v>7.6022969999999998E-4</v>
      </c>
      <c r="AA170">
        <v>0.99846990000000002</v>
      </c>
      <c r="AB170">
        <v>35</v>
      </c>
      <c r="AC170">
        <v>283.49259999999998</v>
      </c>
      <c r="AD170">
        <v>11.881192</v>
      </c>
      <c r="AE170">
        <v>-16.7685</v>
      </c>
      <c r="AF170">
        <v>15.7049212672332</v>
      </c>
      <c r="AG170">
        <v>11.881192</v>
      </c>
      <c r="AH170">
        <v>283.05654270120402</v>
      </c>
      <c r="AI170">
        <v>87.6001288287856</v>
      </c>
      <c r="AJ170">
        <v>86.824295040123403</v>
      </c>
      <c r="AK170">
        <v>283.74075075905</v>
      </c>
      <c r="AL170">
        <v>88.034145194526303</v>
      </c>
      <c r="AM170">
        <v>94.330712303975204</v>
      </c>
      <c r="AN170">
        <v>1.0000000726893601</v>
      </c>
    </row>
    <row r="171" spans="1:40" x14ac:dyDescent="0.25">
      <c r="A171" t="str">
        <f>"20190305135200531"</f>
        <v>20190305135200531</v>
      </c>
      <c r="B171" t="str">
        <f>"1551765120519964"</f>
        <v>1551765120519964</v>
      </c>
      <c r="C171" t="s">
        <v>40</v>
      </c>
      <c r="D171">
        <v>4.6565859999999999</v>
      </c>
      <c r="E171">
        <v>0.54963339999999905</v>
      </c>
      <c r="F171" t="s">
        <v>48</v>
      </c>
      <c r="G171">
        <v>-159.35079999999999</v>
      </c>
      <c r="H171">
        <v>12.796519999999999</v>
      </c>
      <c r="I171">
        <v>350.8793</v>
      </c>
      <c r="J171">
        <v>-442.6268</v>
      </c>
      <c r="K171">
        <v>1.108134</v>
      </c>
      <c r="L171">
        <v>367.65460000000002</v>
      </c>
      <c r="M171">
        <v>0.99996309999999999</v>
      </c>
      <c r="N171">
        <v>-7.5796650000000002E-3</v>
      </c>
      <c r="O171">
        <v>-4.0507909999999998E-3</v>
      </c>
      <c r="P171">
        <v>0.99706879999999998</v>
      </c>
      <c r="Q171">
        <v>2.613739E-2</v>
      </c>
      <c r="R171">
        <v>7.1906709999999999E-2</v>
      </c>
      <c r="S171">
        <v>3.0183719999999998</v>
      </c>
      <c r="T171">
        <v>0.1244478</v>
      </c>
      <c r="U171">
        <v>-0.17861939999999901</v>
      </c>
      <c r="V171">
        <v>-7.5893479999999999E-2</v>
      </c>
      <c r="W171">
        <v>3.3807810000000001E-2</v>
      </c>
      <c r="X171">
        <v>0.99654259999999995</v>
      </c>
      <c r="Y171">
        <v>5.499656E-2</v>
      </c>
      <c r="Z171">
        <v>7.2614670000000002E-4</v>
      </c>
      <c r="AA171">
        <v>0.99848630000000005</v>
      </c>
      <c r="AB171">
        <v>35</v>
      </c>
      <c r="AC171">
        <v>283.27600000000001</v>
      </c>
      <c r="AD171">
        <v>11.688385999999999</v>
      </c>
      <c r="AE171">
        <v>-16.775300000000001</v>
      </c>
      <c r="AF171">
        <v>15.601169242859999</v>
      </c>
      <c r="AG171">
        <v>11.688385999999999</v>
      </c>
      <c r="AH171">
        <v>282.86173905969099</v>
      </c>
      <c r="AI171">
        <v>87.637362207059397</v>
      </c>
      <c r="AJ171">
        <v>86.843064044446507</v>
      </c>
      <c r="AK171">
        <v>283.53267584689797</v>
      </c>
      <c r="AL171">
        <v>88.062585929521902</v>
      </c>
      <c r="AM171">
        <v>94.355055748604997</v>
      </c>
      <c r="AN171">
        <v>0.99999997096913196</v>
      </c>
    </row>
    <row r="172" spans="1:40" x14ac:dyDescent="0.25">
      <c r="A172" t="str">
        <f>"20190305135200551"</f>
        <v>20190305135200551</v>
      </c>
      <c r="B172" t="str">
        <f>"1551765120539483"</f>
        <v>1551765120539483</v>
      </c>
      <c r="C172" t="s">
        <v>40</v>
      </c>
      <c r="D172">
        <v>4.6173580000000003</v>
      </c>
      <c r="E172">
        <v>0.52085809999999999</v>
      </c>
      <c r="F172" t="s">
        <v>48</v>
      </c>
      <c r="G172">
        <v>-159.35079999999999</v>
      </c>
      <c r="H172">
        <v>12.650779999999999</v>
      </c>
      <c r="I172">
        <v>350.86900000000003</v>
      </c>
      <c r="J172">
        <v>-442.31799999999998</v>
      </c>
      <c r="K172">
        <v>1.1080840000000001</v>
      </c>
      <c r="L172">
        <v>367.65280000000001</v>
      </c>
      <c r="M172">
        <v>0.99996260000000003</v>
      </c>
      <c r="N172">
        <v>-7.3391680000000001E-3</v>
      </c>
      <c r="O172">
        <v>-4.6068899999999998E-3</v>
      </c>
      <c r="P172">
        <v>0.99714910000000001</v>
      </c>
      <c r="Q172">
        <v>2.500776E-2</v>
      </c>
      <c r="R172">
        <v>7.1194770000000004E-2</v>
      </c>
      <c r="S172">
        <v>3.0185240000000002</v>
      </c>
      <c r="T172">
        <v>0.1229967</v>
      </c>
      <c r="U172">
        <v>-0.17886350000000001</v>
      </c>
      <c r="V172">
        <v>-7.5739639999999997E-2</v>
      </c>
      <c r="W172">
        <v>3.2436230000000003E-2</v>
      </c>
      <c r="X172">
        <v>0.99659989999999998</v>
      </c>
      <c r="Y172">
        <v>5.452034E-2</v>
      </c>
      <c r="Z172">
        <v>6.8779729999999997E-4</v>
      </c>
      <c r="AA172">
        <v>0.99851239999999997</v>
      </c>
      <c r="AB172">
        <v>35</v>
      </c>
      <c r="AC172">
        <v>282.96719999999999</v>
      </c>
      <c r="AD172">
        <v>11.542695999999999</v>
      </c>
      <c r="AE172">
        <v>-16.7837999999999</v>
      </c>
      <c r="AF172">
        <v>15.454362942625799</v>
      </c>
      <c r="AG172">
        <v>11.542695999999999</v>
      </c>
      <c r="AH172">
        <v>282.57297909568302</v>
      </c>
      <c r="AI172">
        <v>87.664337736994199</v>
      </c>
      <c r="AJ172">
        <v>86.869522017442804</v>
      </c>
      <c r="AK172">
        <v>283.23057688025102</v>
      </c>
      <c r="AL172">
        <v>88.141214845086395</v>
      </c>
      <c r="AM172">
        <v>94.3460127532678</v>
      </c>
      <c r="AN172">
        <v>0.99999998138197599</v>
      </c>
    </row>
    <row r="173" spans="1:40" x14ac:dyDescent="0.25">
      <c r="A173" t="str">
        <f>"20190305135200573"</f>
        <v>20190305135200573</v>
      </c>
      <c r="B173" t="str">
        <f>"1551765120569740"</f>
        <v>1551765120569740</v>
      </c>
      <c r="C173" t="s">
        <v>40</v>
      </c>
      <c r="D173">
        <v>4.5956169999999998</v>
      </c>
      <c r="E173">
        <v>0.5199414</v>
      </c>
      <c r="F173" t="s">
        <v>48</v>
      </c>
      <c r="G173">
        <v>-170.08879999999999</v>
      </c>
      <c r="H173">
        <v>12.88592</v>
      </c>
      <c r="I173">
        <v>372.0172</v>
      </c>
      <c r="J173">
        <v>-441.96890000000002</v>
      </c>
      <c r="K173">
        <v>1.108033</v>
      </c>
      <c r="L173">
        <v>367.65069999999997</v>
      </c>
      <c r="M173">
        <v>0.9999614</v>
      </c>
      <c r="N173">
        <v>-7.0686450000000001E-3</v>
      </c>
      <c r="O173">
        <v>-5.2262309999999996E-3</v>
      </c>
      <c r="P173">
        <v>0.9972278</v>
      </c>
      <c r="Q173">
        <v>2.4400129999999999E-2</v>
      </c>
      <c r="R173">
        <v>7.029349E-2</v>
      </c>
      <c r="S173">
        <v>3.0018919999999998</v>
      </c>
      <c r="T173">
        <v>0.12987599999999999</v>
      </c>
      <c r="U173">
        <v>4.8126219999999997E-2</v>
      </c>
      <c r="V173">
        <v>-7.5457570000000002E-2</v>
      </c>
      <c r="W173">
        <v>3.1557380000000003E-2</v>
      </c>
      <c r="X173">
        <v>0.99664949999999997</v>
      </c>
      <c r="Y173">
        <v>-2.1232150000000002E-2</v>
      </c>
      <c r="Z173">
        <v>-6.4689369999999997E-4</v>
      </c>
      <c r="AA173">
        <v>0.9997743</v>
      </c>
      <c r="AB173">
        <v>35</v>
      </c>
      <c r="AC173">
        <v>271.88010000000003</v>
      </c>
      <c r="AD173">
        <v>11.777887</v>
      </c>
      <c r="AE173">
        <v>4.3665000000000296</v>
      </c>
      <c r="AF173">
        <v>-5.7765463372638299</v>
      </c>
      <c r="AG173">
        <v>11.777887</v>
      </c>
      <c r="AH173">
        <v>271.34448251111502</v>
      </c>
      <c r="AI173">
        <v>87.515161129908194</v>
      </c>
      <c r="AJ173">
        <v>91.219563178464298</v>
      </c>
      <c r="AK173">
        <v>271.66139824972498</v>
      </c>
      <c r="AL173">
        <v>88.191595018053206</v>
      </c>
      <c r="AM173">
        <v>94.329674309514402</v>
      </c>
      <c r="AN173">
        <v>0.99999996947650904</v>
      </c>
    </row>
    <row r="174" spans="1:40" x14ac:dyDescent="0.25">
      <c r="A174" t="str">
        <f>"20190305135200595"</f>
        <v>20190305135200595</v>
      </c>
      <c r="B174" t="str">
        <f>"1551765120590236"</f>
        <v>1551765120590236</v>
      </c>
      <c r="C174" t="s">
        <v>40</v>
      </c>
      <c r="D174">
        <v>4.5800559999999999</v>
      </c>
      <c r="E174">
        <v>0.52017179999999996</v>
      </c>
      <c r="F174" t="s">
        <v>48</v>
      </c>
      <c r="G174">
        <v>-168.84350000000001</v>
      </c>
      <c r="H174">
        <v>11.942959999999999</v>
      </c>
      <c r="I174">
        <v>372.4212</v>
      </c>
      <c r="J174">
        <v>-441.63299999999998</v>
      </c>
      <c r="K174">
        <v>1.107996</v>
      </c>
      <c r="L174">
        <v>367.64839999999998</v>
      </c>
      <c r="M174">
        <v>0.99996010000000002</v>
      </c>
      <c r="N174">
        <v>-6.8148219999999999E-3</v>
      </c>
      <c r="O174">
        <v>-5.8171100000000003E-3</v>
      </c>
      <c r="P174">
        <v>0.99729319999999999</v>
      </c>
      <c r="Q174">
        <v>2.4010130000000001E-2</v>
      </c>
      <c r="R174">
        <v>6.9499660000000005E-2</v>
      </c>
      <c r="S174">
        <v>3.00177</v>
      </c>
      <c r="T174">
        <v>0.1190816</v>
      </c>
      <c r="U174">
        <v>5.2429199999999898E-2</v>
      </c>
      <c r="V174">
        <v>-7.5254740000000001E-2</v>
      </c>
      <c r="W174">
        <v>3.0913980000000001E-2</v>
      </c>
      <c r="X174">
        <v>0.99668500000000004</v>
      </c>
      <c r="Y174">
        <v>-2.3258069999999999E-2</v>
      </c>
      <c r="Z174">
        <v>-6.5211269999999996E-4</v>
      </c>
      <c r="AA174">
        <v>0.99972930000000004</v>
      </c>
      <c r="AB174">
        <v>35</v>
      </c>
      <c r="AC174">
        <v>272.78949999999998</v>
      </c>
      <c r="AD174">
        <v>10.834963999999999</v>
      </c>
      <c r="AE174">
        <v>4.7728000000000099</v>
      </c>
      <c r="AF174">
        <v>-6.3495881297099501</v>
      </c>
      <c r="AG174">
        <v>10.834963999999999</v>
      </c>
      <c r="AH174">
        <v>272.327624475687</v>
      </c>
      <c r="AI174">
        <v>87.722221369849706</v>
      </c>
      <c r="AJ174">
        <v>91.335665810583095</v>
      </c>
      <c r="AK174">
        <v>272.617036824313</v>
      </c>
      <c r="AL174">
        <v>88.228477121372705</v>
      </c>
      <c r="AM174">
        <v>94.317926999534293</v>
      </c>
      <c r="AN174">
        <v>0.99999996963845295</v>
      </c>
    </row>
    <row r="175" spans="1:40" x14ac:dyDescent="0.25">
      <c r="A175" t="str">
        <f>"20190305135200617"</f>
        <v>20190305135200617</v>
      </c>
      <c r="B175" t="str">
        <f>"1551765120609980"</f>
        <v>1551765120609980</v>
      </c>
      <c r="C175" t="s">
        <v>40</v>
      </c>
      <c r="D175">
        <v>4.6225239999999896</v>
      </c>
      <c r="E175">
        <v>0.52033019999999996</v>
      </c>
      <c r="F175" t="s">
        <v>48</v>
      </c>
      <c r="G175">
        <v>-168.84350000000001</v>
      </c>
      <c r="H175">
        <v>11.797929999999999</v>
      </c>
      <c r="I175">
        <v>372.06889999999999</v>
      </c>
      <c r="J175">
        <v>-441.26549999999997</v>
      </c>
      <c r="K175">
        <v>1.1079589999999999</v>
      </c>
      <c r="L175">
        <v>367.64580000000001</v>
      </c>
      <c r="M175">
        <v>0.99995769999999995</v>
      </c>
      <c r="N175">
        <v>-6.5485990000000004E-3</v>
      </c>
      <c r="O175">
        <v>-6.4580619999999997E-3</v>
      </c>
      <c r="P175">
        <v>0.99737889999999996</v>
      </c>
      <c r="Q175">
        <v>2.4485199999999999E-2</v>
      </c>
      <c r="R175">
        <v>6.8086800000000003E-2</v>
      </c>
      <c r="S175">
        <v>3.0019230000000001</v>
      </c>
      <c r="T175">
        <v>0.1176387</v>
      </c>
      <c r="U175">
        <v>4.8645019999999997E-2</v>
      </c>
      <c r="V175">
        <v>-7.4481459999999999E-2</v>
      </c>
      <c r="W175">
        <v>3.1122730000000001E-2</v>
      </c>
      <c r="X175">
        <v>0.99673659999999997</v>
      </c>
      <c r="Y175">
        <v>-2.2638289999999998E-2</v>
      </c>
      <c r="Z175">
        <v>-6.6445440000000001E-4</v>
      </c>
      <c r="AA175">
        <v>0.99974350000000001</v>
      </c>
      <c r="AB175">
        <v>35</v>
      </c>
      <c r="AC175">
        <v>272.42200000000003</v>
      </c>
      <c r="AD175">
        <v>10.689971</v>
      </c>
      <c r="AE175">
        <v>4.4230999999999696</v>
      </c>
      <c r="AF175">
        <v>-6.1728610938661799</v>
      </c>
      <c r="AG175">
        <v>10.689971</v>
      </c>
      <c r="AH175">
        <v>271.96908168534799</v>
      </c>
      <c r="AI175">
        <v>87.749679376674194</v>
      </c>
      <c r="AJ175">
        <v>91.300214613293903</v>
      </c>
      <c r="AK175">
        <v>272.24907912945599</v>
      </c>
      <c r="AL175">
        <v>88.216510889290802</v>
      </c>
      <c r="AM175">
        <v>94.273502955485895</v>
      </c>
      <c r="AN175">
        <v>0.99999998099297205</v>
      </c>
    </row>
    <row r="176" spans="1:40" x14ac:dyDescent="0.25">
      <c r="A176" t="str">
        <f>"20190305135200639"</f>
        <v>20190305135200639</v>
      </c>
      <c r="B176" t="str">
        <f>"1551765120629502"</f>
        <v>1551765120629502</v>
      </c>
      <c r="C176" t="s">
        <v>40</v>
      </c>
      <c r="D176">
        <v>4.6125400000000001</v>
      </c>
      <c r="E176">
        <v>0.5204529</v>
      </c>
      <c r="F176" t="s">
        <v>48</v>
      </c>
      <c r="G176">
        <v>-168.84350000000001</v>
      </c>
      <c r="H176">
        <v>12.519579999999999</v>
      </c>
      <c r="I176">
        <v>371.53969999999998</v>
      </c>
      <c r="J176">
        <v>-440.93150000000003</v>
      </c>
      <c r="K176">
        <v>1.1078589999999999</v>
      </c>
      <c r="L176">
        <v>367.64319999999998</v>
      </c>
      <c r="M176">
        <v>0.99995690000000004</v>
      </c>
      <c r="N176">
        <v>-6.0393859999999999E-3</v>
      </c>
      <c r="O176">
        <v>-7.045735E-3</v>
      </c>
      <c r="P176">
        <v>0.9975041</v>
      </c>
      <c r="Q176">
        <v>2.3731149999999999E-2</v>
      </c>
      <c r="R176">
        <v>6.6500809999999994E-2</v>
      </c>
      <c r="S176">
        <v>3.001862</v>
      </c>
      <c r="T176">
        <v>0.12574739999999901</v>
      </c>
      <c r="U176">
        <v>4.2907710000000002E-2</v>
      </c>
      <c r="V176">
        <v>-7.3484759999999996E-2</v>
      </c>
      <c r="W176">
        <v>2.9858269999999999E-2</v>
      </c>
      <c r="X176">
        <v>0.99684930000000005</v>
      </c>
      <c r="Y176">
        <v>-2.1312950000000001E-2</v>
      </c>
      <c r="Z176">
        <v>-7.1932349999999996E-4</v>
      </c>
      <c r="AA176">
        <v>0.99977260000000001</v>
      </c>
      <c r="AB176">
        <v>35</v>
      </c>
      <c r="AC176">
        <v>272.087999999999</v>
      </c>
      <c r="AD176">
        <v>11.411721</v>
      </c>
      <c r="AE176">
        <v>3.8965000000000001</v>
      </c>
      <c r="AF176">
        <v>-5.8032919520891504</v>
      </c>
      <c r="AG176">
        <v>11.411721</v>
      </c>
      <c r="AH176">
        <v>271.57616794492998</v>
      </c>
      <c r="AI176">
        <v>87.594376334399399</v>
      </c>
      <c r="AJ176">
        <v>91.224163158104702</v>
      </c>
      <c r="AK176">
        <v>271.87776769959601</v>
      </c>
      <c r="AL176">
        <v>88.288992894883606</v>
      </c>
      <c r="AM176">
        <v>94.2160482236512</v>
      </c>
      <c r="AN176">
        <v>1.0000000265750699</v>
      </c>
    </row>
    <row r="177" spans="1:40" x14ac:dyDescent="0.25">
      <c r="A177" t="str">
        <f>"20190305135200650"</f>
        <v>20190305135200650</v>
      </c>
      <c r="B177" t="str">
        <f>"1551765120640235"</f>
        <v>1551765120640235</v>
      </c>
      <c r="C177" t="s">
        <v>40</v>
      </c>
      <c r="D177">
        <v>4.6204460000000003</v>
      </c>
      <c r="E177">
        <v>0.52053369999999999</v>
      </c>
      <c r="F177" t="s">
        <v>48</v>
      </c>
      <c r="G177">
        <v>-169.012</v>
      </c>
      <c r="H177">
        <v>12.64978</v>
      </c>
      <c r="I177">
        <v>371.01</v>
      </c>
      <c r="J177">
        <v>-440.73779999999999</v>
      </c>
      <c r="K177">
        <v>1.1077600000000001</v>
      </c>
      <c r="L177">
        <v>367.64150000000001</v>
      </c>
      <c r="M177">
        <v>0.99995659999999997</v>
      </c>
      <c r="N177">
        <v>-5.6825259999999898E-3</v>
      </c>
      <c r="O177">
        <v>-7.3859040000000004E-3</v>
      </c>
      <c r="P177">
        <v>0.9975657</v>
      </c>
      <c r="Q177">
        <v>2.3716580000000001E-2</v>
      </c>
      <c r="R177">
        <v>6.5578600000000001E-2</v>
      </c>
      <c r="S177">
        <v>3.0020449999999999</v>
      </c>
      <c r="T177">
        <v>0.12742600000000001</v>
      </c>
      <c r="U177">
        <v>3.7170410000000001E-2</v>
      </c>
      <c r="V177">
        <v>-7.2903250000000003E-2</v>
      </c>
      <c r="W177">
        <v>2.9486020000000002E-2</v>
      </c>
      <c r="X177">
        <v>0.99690310000000004</v>
      </c>
      <c r="Y177">
        <v>-1.9741930000000001E-2</v>
      </c>
      <c r="Z177">
        <v>-7.1796719999999998E-4</v>
      </c>
      <c r="AA177">
        <v>0.9998049</v>
      </c>
      <c r="AB177">
        <v>35</v>
      </c>
      <c r="AC177">
        <v>271.72579999999999</v>
      </c>
      <c r="AD177">
        <v>11.542020000000001</v>
      </c>
      <c r="AE177">
        <v>3.3684999999999801</v>
      </c>
      <c r="AF177">
        <v>-5.3657014548971702</v>
      </c>
      <c r="AG177">
        <v>11.542020000000001</v>
      </c>
      <c r="AH177">
        <v>271.20425737606098</v>
      </c>
      <c r="AI177">
        <v>87.563529951201104</v>
      </c>
      <c r="AJ177">
        <v>91.133433326717807</v>
      </c>
      <c r="AK177">
        <v>271.50277751191499</v>
      </c>
      <c r="AL177">
        <v>88.310330683308806</v>
      </c>
      <c r="AM177">
        <v>94.182579144533904</v>
      </c>
      <c r="AN177">
        <v>1.0000000500127999</v>
      </c>
    </row>
    <row r="178" spans="1:40" x14ac:dyDescent="0.25">
      <c r="A178" t="str">
        <f>"20190305135200664"</f>
        <v>20190305135200664</v>
      </c>
      <c r="B178" t="str">
        <f>"1551765120660139"</f>
        <v>1551765120660139</v>
      </c>
      <c r="C178" t="s">
        <v>40</v>
      </c>
      <c r="D178">
        <v>4.6217689999999996</v>
      </c>
      <c r="E178">
        <v>0.52066950000000001</v>
      </c>
      <c r="F178" t="s">
        <v>48</v>
      </c>
      <c r="G178">
        <v>-168.84350000000001</v>
      </c>
      <c r="H178">
        <v>12.635</v>
      </c>
      <c r="I178">
        <v>370.68180000000001</v>
      </c>
      <c r="J178">
        <v>-440.5204</v>
      </c>
      <c r="K178">
        <v>1.107626</v>
      </c>
      <c r="L178">
        <v>367.6397</v>
      </c>
      <c r="M178">
        <v>0.99995590000000001</v>
      </c>
      <c r="N178">
        <v>-5.3124879999999998E-3</v>
      </c>
      <c r="O178">
        <v>-7.7649529999999998E-3</v>
      </c>
      <c r="P178">
        <v>0.99760530000000003</v>
      </c>
      <c r="Q178">
        <v>2.3607469999999998E-2</v>
      </c>
      <c r="R178">
        <v>6.5012319999999998E-2</v>
      </c>
      <c r="S178">
        <v>3.0021360000000001</v>
      </c>
      <c r="T178">
        <v>0.12727949999999999</v>
      </c>
      <c r="U178">
        <v>3.3569340000000003E-2</v>
      </c>
      <c r="V178">
        <v>-7.2716030000000001E-2</v>
      </c>
      <c r="W178">
        <v>2.9006529999999999E-2</v>
      </c>
      <c r="X178">
        <v>0.99693080000000001</v>
      </c>
      <c r="Y178">
        <v>-1.892166E-2</v>
      </c>
      <c r="Z178">
        <v>-7.2090719999999997E-4</v>
      </c>
      <c r="AA178">
        <v>0.99982070000000001</v>
      </c>
      <c r="AB178">
        <v>36</v>
      </c>
      <c r="AC178">
        <v>271.67689999999999</v>
      </c>
      <c r="AD178">
        <v>11.527374</v>
      </c>
      <c r="AE178">
        <v>3.0421</v>
      </c>
      <c r="AF178">
        <v>-5.1423392618145201</v>
      </c>
      <c r="AG178">
        <v>11.527374</v>
      </c>
      <c r="AH178">
        <v>271.15697278988898</v>
      </c>
      <c r="AI178">
        <v>87.566155494948703</v>
      </c>
      <c r="AJ178">
        <v>91.086451952102294</v>
      </c>
      <c r="AK178">
        <v>271.45059936753898</v>
      </c>
      <c r="AL178">
        <v>88.337815125692501</v>
      </c>
      <c r="AM178">
        <v>94.1717604909187</v>
      </c>
      <c r="AN178">
        <v>1.0000000098951201</v>
      </c>
    </row>
    <row r="179" spans="1:40" x14ac:dyDescent="0.25">
      <c r="A179" t="str">
        <f>"20190305135200683"</f>
        <v>20190305135200683</v>
      </c>
      <c r="B179" t="str">
        <f>"1551765120680251"</f>
        <v>1551765120680251</v>
      </c>
      <c r="C179" t="s">
        <v>40</v>
      </c>
      <c r="D179">
        <v>4.6599949999999897</v>
      </c>
      <c r="E179">
        <v>0.5210224</v>
      </c>
      <c r="F179" t="s">
        <v>48</v>
      </c>
      <c r="G179">
        <v>-170.08879999999999</v>
      </c>
      <c r="H179">
        <v>12.653029999999999</v>
      </c>
      <c r="I179">
        <v>370.44369999999998</v>
      </c>
      <c r="J179">
        <v>-440.22239999999999</v>
      </c>
      <c r="K179">
        <v>1.107359</v>
      </c>
      <c r="L179">
        <v>367.637</v>
      </c>
      <c r="M179">
        <v>0.99995310000000004</v>
      </c>
      <c r="N179">
        <v>-5.0731869999999998E-3</v>
      </c>
      <c r="O179">
        <v>-8.2659900000000008E-3</v>
      </c>
      <c r="P179">
        <v>0.99769410000000003</v>
      </c>
      <c r="Q179">
        <v>2.2889340000000001E-2</v>
      </c>
      <c r="R179">
        <v>6.3896380000000003E-2</v>
      </c>
      <c r="S179">
        <v>3.0021360000000001</v>
      </c>
      <c r="T179">
        <v>0.1281697</v>
      </c>
      <c r="U179">
        <v>3.1127930000000002E-2</v>
      </c>
      <c r="V179">
        <v>-7.2102379999999994E-2</v>
      </c>
      <c r="W179">
        <v>2.8048E-2</v>
      </c>
      <c r="X179">
        <v>0.99700279999999997</v>
      </c>
      <c r="Y179">
        <v>-1.8608980000000001E-2</v>
      </c>
      <c r="Z179">
        <v>-7.4446110000000001E-4</v>
      </c>
      <c r="AA179">
        <v>0.99982660000000001</v>
      </c>
      <c r="AB179">
        <v>36</v>
      </c>
      <c r="AC179">
        <v>270.1336</v>
      </c>
      <c r="AD179">
        <v>11.545671</v>
      </c>
      <c r="AE179">
        <v>2.8067000000000299</v>
      </c>
      <c r="AF179">
        <v>-5.0303659122944202</v>
      </c>
      <c r="AG179">
        <v>11.545671</v>
      </c>
      <c r="AH179">
        <v>269.60871364948798</v>
      </c>
      <c r="AI179">
        <v>87.548301127481807</v>
      </c>
      <c r="AJ179">
        <v>91.068902017974096</v>
      </c>
      <c r="AK179">
        <v>269.902696495947</v>
      </c>
      <c r="AL179">
        <v>88.392757216977799</v>
      </c>
      <c r="AM179">
        <v>94.136380070048205</v>
      </c>
      <c r="AN179">
        <v>1.0000000133567499</v>
      </c>
    </row>
    <row r="180" spans="1:40" x14ac:dyDescent="0.25">
      <c r="A180" t="str">
        <f>"20190305135200717"</f>
        <v>20190305135200717</v>
      </c>
      <c r="B180" t="str">
        <f>"1551765120709530"</f>
        <v>1551765120709530</v>
      </c>
      <c r="C180" t="s">
        <v>40</v>
      </c>
      <c r="D180">
        <v>4.6526800000000001</v>
      </c>
      <c r="E180">
        <v>0.52111600000000002</v>
      </c>
      <c r="F180" t="s">
        <v>48</v>
      </c>
      <c r="G180">
        <v>-169.21299999999999</v>
      </c>
      <c r="H180">
        <v>12.64978</v>
      </c>
      <c r="I180">
        <v>369.87380000000002</v>
      </c>
      <c r="J180">
        <v>-439.6617</v>
      </c>
      <c r="K180">
        <v>1.1065210000000001</v>
      </c>
      <c r="L180">
        <v>367.63170000000002</v>
      </c>
      <c r="M180">
        <v>0.9999441</v>
      </c>
      <c r="N180">
        <v>-5.370306E-3</v>
      </c>
      <c r="O180">
        <v>-9.1115970000000008E-3</v>
      </c>
      <c r="P180">
        <v>0.99777709999999997</v>
      </c>
      <c r="Q180">
        <v>2.1106920000000001E-2</v>
      </c>
      <c r="R180">
        <v>6.3210820000000001E-2</v>
      </c>
      <c r="S180">
        <v>3.0024109999999999</v>
      </c>
      <c r="T180">
        <v>0.12787509999999999</v>
      </c>
      <c r="U180">
        <v>2.478027E-2</v>
      </c>
      <c r="V180">
        <v>-7.2262670000000001E-2</v>
      </c>
      <c r="W180">
        <v>2.656321E-2</v>
      </c>
      <c r="X180">
        <v>0.99703189999999997</v>
      </c>
      <c r="Y180">
        <v>-1.7340040000000001E-2</v>
      </c>
      <c r="Z180">
        <v>-7.5930360000000001E-4</v>
      </c>
      <c r="AA180">
        <v>0.9998494</v>
      </c>
      <c r="AB180">
        <v>36</v>
      </c>
      <c r="AC180">
        <v>270.44869999999997</v>
      </c>
      <c r="AD180">
        <v>11.543259000000001</v>
      </c>
      <c r="AE180">
        <v>2.24209999999999</v>
      </c>
      <c r="AF180">
        <v>-4.6977045219203202</v>
      </c>
      <c r="AG180">
        <v>11.543259000000001</v>
      </c>
      <c r="AH180">
        <v>269.92534276980098</v>
      </c>
      <c r="AI180">
        <v>87.551629201499097</v>
      </c>
      <c r="AJ180">
        <v>90.997058925930403</v>
      </c>
      <c r="AK180">
        <v>270.21289000621499</v>
      </c>
      <c r="AL180">
        <v>88.477861217923504</v>
      </c>
      <c r="AM180">
        <v>94.145423014430904</v>
      </c>
      <c r="AN180">
        <v>1.0000000536093201</v>
      </c>
    </row>
    <row r="181" spans="1:40" x14ac:dyDescent="0.25">
      <c r="A181" t="str">
        <f>"20190305135200740"</f>
        <v>20190305135200740</v>
      </c>
      <c r="B181" t="str">
        <f>"1551765120730027"</f>
        <v>1551765120730027</v>
      </c>
      <c r="C181" t="s">
        <v>40</v>
      </c>
      <c r="D181">
        <v>4.6565909999999997</v>
      </c>
      <c r="E181">
        <v>0.52100879999999905</v>
      </c>
      <c r="F181" t="s">
        <v>48</v>
      </c>
      <c r="G181">
        <v>-168.84350000000001</v>
      </c>
      <c r="H181">
        <v>12.22667</v>
      </c>
      <c r="I181">
        <v>369.6465</v>
      </c>
      <c r="J181">
        <v>-439.28440000000001</v>
      </c>
      <c r="K181">
        <v>1.1056870000000001</v>
      </c>
      <c r="L181">
        <v>367.62779999999998</v>
      </c>
      <c r="M181">
        <v>0.99993569999999998</v>
      </c>
      <c r="N181">
        <v>-6.0128469999999896E-3</v>
      </c>
      <c r="O181">
        <v>-9.6123100000000006E-3</v>
      </c>
      <c r="P181">
        <v>0.9977317</v>
      </c>
      <c r="Q181">
        <v>2.111756E-2</v>
      </c>
      <c r="R181">
        <v>6.3918530000000001E-2</v>
      </c>
      <c r="S181">
        <v>3.0026250000000001</v>
      </c>
      <c r="T181">
        <v>0.1232926</v>
      </c>
      <c r="U181">
        <v>2.233887E-2</v>
      </c>
      <c r="V181">
        <v>-7.3468430000000001E-2</v>
      </c>
      <c r="W181">
        <v>2.7216239999999999E-2</v>
      </c>
      <c r="X181">
        <v>0.99692610000000004</v>
      </c>
      <c r="Y181">
        <v>-1.7028560000000002E-2</v>
      </c>
      <c r="Z181">
        <v>-7.5053659999999999E-4</v>
      </c>
      <c r="AA181">
        <v>0.99985469999999999</v>
      </c>
      <c r="AB181">
        <v>36</v>
      </c>
      <c r="AC181">
        <v>270.4409</v>
      </c>
      <c r="AD181">
        <v>11.120983000000001</v>
      </c>
      <c r="AE181">
        <v>2.0187000000000199</v>
      </c>
      <c r="AF181">
        <v>-4.6104198044156899</v>
      </c>
      <c r="AG181">
        <v>11.120983000000001</v>
      </c>
      <c r="AH181">
        <v>269.95253843286298</v>
      </c>
      <c r="AI181">
        <v>87.641316685631296</v>
      </c>
      <c r="AJ181">
        <v>90.978438356138199</v>
      </c>
      <c r="AK181">
        <v>270.220845309916</v>
      </c>
      <c r="AL181">
        <v>88.440431725069203</v>
      </c>
      <c r="AM181">
        <v>94.214791149433097</v>
      </c>
      <c r="AN181">
        <v>0.99999999139380602</v>
      </c>
    </row>
    <row r="182" spans="1:40" x14ac:dyDescent="0.25">
      <c r="A182" t="str">
        <f>"20190305135200764"</f>
        <v>20190305135200764</v>
      </c>
      <c r="B182" t="str">
        <f>"1551765120760285"</f>
        <v>1551765120760285</v>
      </c>
      <c r="C182" t="s">
        <v>40</v>
      </c>
      <c r="D182">
        <v>4.6446839999999998</v>
      </c>
      <c r="E182">
        <v>0.52087450000000002</v>
      </c>
      <c r="F182" t="s">
        <v>48</v>
      </c>
      <c r="G182">
        <v>-168.84350000000001</v>
      </c>
      <c r="H182">
        <v>12.136150000000001</v>
      </c>
      <c r="I182">
        <v>369.90660000000003</v>
      </c>
      <c r="J182">
        <v>-438.90839999999997</v>
      </c>
      <c r="K182">
        <v>1.1046450000000001</v>
      </c>
      <c r="L182">
        <v>367.62389999999999</v>
      </c>
      <c r="M182">
        <v>0.99992479999999995</v>
      </c>
      <c r="N182">
        <v>-7.1274140000000003E-3</v>
      </c>
      <c r="O182">
        <v>-9.9831360000000001E-3</v>
      </c>
      <c r="P182">
        <v>0.99772950000000005</v>
      </c>
      <c r="Q182">
        <v>1.9907669999999999E-2</v>
      </c>
      <c r="R182">
        <v>6.4340359999999999E-2</v>
      </c>
      <c r="S182">
        <v>3.0025629999999999</v>
      </c>
      <c r="T182">
        <v>0.1224664</v>
      </c>
      <c r="U182">
        <v>2.529907E-2</v>
      </c>
      <c r="V182">
        <v>-7.4260090000000001E-2</v>
      </c>
      <c r="W182">
        <v>2.7118050000000001E-2</v>
      </c>
      <c r="X182">
        <v>0.99687009999999998</v>
      </c>
      <c r="Y182">
        <v>-1.8384069999999999E-2</v>
      </c>
      <c r="Z182">
        <v>-7.8734279999999996E-4</v>
      </c>
      <c r="AA182">
        <v>0.99983069999999996</v>
      </c>
      <c r="AB182">
        <v>36</v>
      </c>
      <c r="AC182">
        <v>270.06490000000002</v>
      </c>
      <c r="AD182">
        <v>11.031504999999999</v>
      </c>
      <c r="AE182">
        <v>2.2827000000000299</v>
      </c>
      <c r="AF182">
        <v>-4.97045650883509</v>
      </c>
      <c r="AG182">
        <v>11.031504999999999</v>
      </c>
      <c r="AH182">
        <v>269.57888463728301</v>
      </c>
      <c r="AI182">
        <v>87.657090242658995</v>
      </c>
      <c r="AJ182">
        <v>91.056291614695496</v>
      </c>
      <c r="AK182">
        <v>269.85028179113101</v>
      </c>
      <c r="AL182">
        <v>88.446059646272701</v>
      </c>
      <c r="AM182">
        <v>94.260279805614005</v>
      </c>
      <c r="AN182">
        <v>0.999999972938309</v>
      </c>
    </row>
    <row r="183" spans="1:40" x14ac:dyDescent="0.25">
      <c r="A183" t="str">
        <f>"20190305135200784"</f>
        <v>20190305135200784</v>
      </c>
      <c r="B183" t="str">
        <f>"1551765120779803"</f>
        <v>1551765120779803</v>
      </c>
      <c r="C183" t="s">
        <v>40</v>
      </c>
      <c r="D183">
        <v>4.621759</v>
      </c>
      <c r="E183">
        <v>0.52092179999999999</v>
      </c>
      <c r="F183" t="s">
        <v>48</v>
      </c>
      <c r="G183">
        <v>-168.84350000000001</v>
      </c>
      <c r="H183">
        <v>11.957940000000001</v>
      </c>
      <c r="I183">
        <v>370.10250000000002</v>
      </c>
      <c r="J183">
        <v>-438.57209999999998</v>
      </c>
      <c r="K183">
        <v>1.103572</v>
      </c>
      <c r="L183">
        <v>367.62029999999999</v>
      </c>
      <c r="M183">
        <v>0.99991149999999995</v>
      </c>
      <c r="N183">
        <v>-8.5273529999999997E-3</v>
      </c>
      <c r="O183">
        <v>-1.021234E-2</v>
      </c>
      <c r="P183">
        <v>0.99775650000000005</v>
      </c>
      <c r="Q183">
        <v>1.5520279999999999E-2</v>
      </c>
      <c r="R183">
        <v>6.5122749999999993E-2</v>
      </c>
      <c r="S183">
        <v>3.0026549999999999</v>
      </c>
      <c r="T183">
        <v>0.12067079999999999</v>
      </c>
      <c r="U183">
        <v>2.7557370000000001E-2</v>
      </c>
      <c r="V183">
        <v>-7.5276880000000004E-2</v>
      </c>
      <c r="W183">
        <v>2.4122109999999999E-2</v>
      </c>
      <c r="X183">
        <v>0.9968709</v>
      </c>
      <c r="Y183">
        <v>-1.9364659999999999E-2</v>
      </c>
      <c r="Z183">
        <v>-8.0363489999999999E-4</v>
      </c>
      <c r="AA183">
        <v>0.99981220000000004</v>
      </c>
      <c r="AB183">
        <v>37</v>
      </c>
      <c r="AC183">
        <v>269.72859999999997</v>
      </c>
      <c r="AD183">
        <v>10.854367999999999</v>
      </c>
      <c r="AE183">
        <v>2.4822000000000299</v>
      </c>
      <c r="AF183">
        <v>-5.2282649018073002</v>
      </c>
      <c r="AG183">
        <v>10.854367999999999</v>
      </c>
      <c r="AH183">
        <v>269.25319071682202</v>
      </c>
      <c r="AI183">
        <v>87.691927484988</v>
      </c>
      <c r="AJ183">
        <v>91.112409742878</v>
      </c>
      <c r="AK183">
        <v>269.52260159354398</v>
      </c>
      <c r="AL183">
        <v>88.617770886854302</v>
      </c>
      <c r="AM183">
        <v>94.318390119245706</v>
      </c>
      <c r="AN183">
        <v>1.00000003806009</v>
      </c>
    </row>
    <row r="184" spans="1:40" x14ac:dyDescent="0.25">
      <c r="A184" t="str">
        <f>"20190305135200806"</f>
        <v>20190305135200806</v>
      </c>
      <c r="B184" t="str">
        <f>"1551765120799635"</f>
        <v>1551765120799635</v>
      </c>
      <c r="C184" t="s">
        <v>40</v>
      </c>
      <c r="D184">
        <v>4.633813</v>
      </c>
      <c r="E184">
        <v>0.52092890000000003</v>
      </c>
      <c r="F184" t="s">
        <v>48</v>
      </c>
      <c r="G184">
        <v>-168.84350000000001</v>
      </c>
      <c r="H184">
        <v>10.701510000000001</v>
      </c>
      <c r="I184">
        <v>370.25979999999998</v>
      </c>
      <c r="J184">
        <v>-438.2045</v>
      </c>
      <c r="K184">
        <v>1.1021369999999999</v>
      </c>
      <c r="L184">
        <v>367.61619999999999</v>
      </c>
      <c r="M184">
        <v>0.99989890000000003</v>
      </c>
      <c r="N184">
        <v>-9.6610080000000004E-3</v>
      </c>
      <c r="O184">
        <v>-1.0440629999999999E-2</v>
      </c>
      <c r="P184">
        <v>0.99780570000000002</v>
      </c>
      <c r="Q184">
        <v>1.14708E-2</v>
      </c>
      <c r="R184">
        <v>6.5210760000000006E-2</v>
      </c>
      <c r="S184">
        <v>3.0032040000000002</v>
      </c>
      <c r="T184">
        <v>0.106866</v>
      </c>
      <c r="U184">
        <v>2.938843E-2</v>
      </c>
      <c r="V184">
        <v>-7.560182E-2</v>
      </c>
      <c r="W184">
        <v>2.118888E-2</v>
      </c>
      <c r="X184">
        <v>0.99691300000000005</v>
      </c>
      <c r="Y184">
        <v>-2.0205310000000001E-2</v>
      </c>
      <c r="Z184">
        <v>-7.3396039999999902E-4</v>
      </c>
      <c r="AA184">
        <v>0.99979560000000001</v>
      </c>
      <c r="AB184">
        <v>37</v>
      </c>
      <c r="AC184">
        <v>269.36099999999999</v>
      </c>
      <c r="AD184">
        <v>9.5993729999999999</v>
      </c>
      <c r="AE184">
        <v>2.64359999999999</v>
      </c>
      <c r="AF184">
        <v>-5.44896575286434</v>
      </c>
      <c r="AG184">
        <v>9.5993729999999999</v>
      </c>
      <c r="AH184">
        <v>268.97713705222299</v>
      </c>
      <c r="AI184">
        <v>87.956489697991401</v>
      </c>
      <c r="AJ184">
        <v>91.160544892127902</v>
      </c>
      <c r="AK184">
        <v>269.20352792372398</v>
      </c>
      <c r="AL184">
        <v>88.785875822201902</v>
      </c>
      <c r="AM184">
        <v>94.336777449596596</v>
      </c>
      <c r="AN184">
        <v>1.0000000666959801</v>
      </c>
    </row>
    <row r="185" spans="1:40" x14ac:dyDescent="0.25">
      <c r="A185" t="str">
        <f>"20190305135200828"</f>
        <v>20190305135200828</v>
      </c>
      <c r="B185" t="str">
        <f>"1551765120820130"</f>
        <v>1551765120820130</v>
      </c>
      <c r="C185" t="s">
        <v>40</v>
      </c>
      <c r="D185">
        <v>4.6538760000000003</v>
      </c>
      <c r="E185">
        <v>0.52097899999999997</v>
      </c>
      <c r="F185" t="s">
        <v>48</v>
      </c>
      <c r="G185">
        <v>-168.84350000000001</v>
      </c>
      <c r="H185">
        <v>9.5758189999999992</v>
      </c>
      <c r="I185">
        <v>370.27910000000003</v>
      </c>
      <c r="J185">
        <v>-437.82299999999998</v>
      </c>
      <c r="K185">
        <v>1.100344</v>
      </c>
      <c r="L185">
        <v>367.61200000000002</v>
      </c>
      <c r="M185">
        <v>0.99988869999999996</v>
      </c>
      <c r="N185">
        <v>-1.045752E-2</v>
      </c>
      <c r="O185">
        <v>-1.0650659999999999E-2</v>
      </c>
      <c r="P185">
        <v>0.99781600000000004</v>
      </c>
      <c r="Q185">
        <v>8.17616E-3</v>
      </c>
      <c r="R185">
        <v>6.5547969999999997E-2</v>
      </c>
      <c r="S185">
        <v>3.0036010000000002</v>
      </c>
      <c r="T185">
        <v>9.4489569999999995E-2</v>
      </c>
      <c r="U185">
        <v>2.9693600000000001E-2</v>
      </c>
      <c r="V185">
        <v>-7.6156109999999999E-2</v>
      </c>
      <c r="W185">
        <v>1.866978E-2</v>
      </c>
      <c r="X185">
        <v>0.9969211</v>
      </c>
      <c r="Y185">
        <v>-2.0519550000000001E-2</v>
      </c>
      <c r="Z185">
        <v>-6.616657E-4</v>
      </c>
      <c r="AA185">
        <v>0.99978920000000004</v>
      </c>
      <c r="AB185">
        <v>37</v>
      </c>
      <c r="AC185">
        <v>268.97949999999997</v>
      </c>
      <c r="AD185">
        <v>8.4754749999999994</v>
      </c>
      <c r="AE185">
        <v>2.66710000000006</v>
      </c>
      <c r="AF185">
        <v>-5.5264278172364198</v>
      </c>
      <c r="AG185">
        <v>8.4754749999999994</v>
      </c>
      <c r="AH185">
        <v>268.66910828119097</v>
      </c>
      <c r="AI185">
        <v>88.193520045512003</v>
      </c>
      <c r="AJ185">
        <v>91.178387590056204</v>
      </c>
      <c r="AK185">
        <v>268.85956338859398</v>
      </c>
      <c r="AL185">
        <v>88.930238245745301</v>
      </c>
      <c r="AM185">
        <v>94.3684154180593</v>
      </c>
      <c r="AN185">
        <v>0.99999999670039497</v>
      </c>
    </row>
    <row r="186" spans="1:40" x14ac:dyDescent="0.25">
      <c r="A186" t="str">
        <f>"20190305135200851"</f>
        <v>20190305135200851</v>
      </c>
      <c r="B186" t="str">
        <f>"1551765120839654"</f>
        <v>1551765120839654</v>
      </c>
      <c r="C186" t="s">
        <v>40</v>
      </c>
      <c r="D186">
        <v>4.6773449999999999</v>
      </c>
      <c r="E186">
        <v>0.52098719999999998</v>
      </c>
      <c r="F186" t="s">
        <v>48</v>
      </c>
      <c r="G186">
        <v>-168.84350000000001</v>
      </c>
      <c r="H186">
        <v>8.7653409999999994</v>
      </c>
      <c r="I186">
        <v>370.35019999999997</v>
      </c>
      <c r="J186">
        <v>-437.45659999999998</v>
      </c>
      <c r="K186">
        <v>1.098379</v>
      </c>
      <c r="L186">
        <v>367.60789999999997</v>
      </c>
      <c r="M186">
        <v>0.9998802</v>
      </c>
      <c r="N186">
        <v>-1.108642E-2</v>
      </c>
      <c r="O186">
        <v>-1.0808979999999999E-2</v>
      </c>
      <c r="P186">
        <v>0.99777700000000003</v>
      </c>
      <c r="Q186">
        <v>6.7117790000000002E-3</v>
      </c>
      <c r="R186">
        <v>6.6302749999999994E-2</v>
      </c>
      <c r="S186">
        <v>3.0038149999999999</v>
      </c>
      <c r="T186">
        <v>8.5599419999999996E-2</v>
      </c>
      <c r="U186">
        <v>3.0578609999999999E-2</v>
      </c>
      <c r="V186">
        <v>-7.7072840000000004E-2</v>
      </c>
      <c r="W186">
        <v>1.781686E-2</v>
      </c>
      <c r="X186">
        <v>0.99686629999999998</v>
      </c>
      <c r="Y186">
        <v>-2.0974219999999998E-2</v>
      </c>
      <c r="Z186">
        <v>-6.1024780000000002E-4</v>
      </c>
      <c r="AA186">
        <v>0.9997798</v>
      </c>
      <c r="AB186">
        <v>37</v>
      </c>
      <c r="AC186">
        <v>268.61309999999997</v>
      </c>
      <c r="AD186">
        <v>7.6669619999999998</v>
      </c>
      <c r="AE186">
        <v>2.7423000000000002</v>
      </c>
      <c r="AF186">
        <v>-5.6411563080731799</v>
      </c>
      <c r="AG186">
        <v>7.6669619999999998</v>
      </c>
      <c r="AH186">
        <v>268.34916422633398</v>
      </c>
      <c r="AI186">
        <v>88.363817735498699</v>
      </c>
      <c r="AJ186">
        <v>91.204277459924697</v>
      </c>
      <c r="AK186">
        <v>268.51793029846999</v>
      </c>
      <c r="AL186">
        <v>88.979115143758193</v>
      </c>
      <c r="AM186">
        <v>94.4210351029175</v>
      </c>
      <c r="AN186">
        <v>1.0000000416207999</v>
      </c>
    </row>
    <row r="187" spans="1:40" x14ac:dyDescent="0.25">
      <c r="A187" t="str">
        <f>"20190305135200873"</f>
        <v>20190305135200873</v>
      </c>
      <c r="B187" t="str">
        <f>"1551765120869909"</f>
        <v>1551765120869909</v>
      </c>
      <c r="C187" t="s">
        <v>40</v>
      </c>
      <c r="D187">
        <v>4.6543390000000002</v>
      </c>
      <c r="E187">
        <v>0.52108809999999905</v>
      </c>
      <c r="F187" t="s">
        <v>48</v>
      </c>
      <c r="G187">
        <v>-170.08879999999999</v>
      </c>
      <c r="H187">
        <v>8.4503500000000003</v>
      </c>
      <c r="I187">
        <v>370.5197</v>
      </c>
      <c r="J187">
        <v>-437.07920000000001</v>
      </c>
      <c r="K187">
        <v>1.0961080000000001</v>
      </c>
      <c r="L187">
        <v>367.60390000000001</v>
      </c>
      <c r="M187">
        <v>0.99987389999999998</v>
      </c>
      <c r="N187">
        <v>-1.1554129999999999E-2</v>
      </c>
      <c r="O187">
        <v>-1.0903120000000001E-2</v>
      </c>
      <c r="P187">
        <v>0.997664</v>
      </c>
      <c r="Q187">
        <v>6.2499249999999999E-3</v>
      </c>
      <c r="R187">
        <v>6.8027270000000001E-2</v>
      </c>
      <c r="S187">
        <v>3.0039669999999998</v>
      </c>
      <c r="T187">
        <v>8.260286E-2</v>
      </c>
      <c r="U187">
        <v>3.2714840000000002E-2</v>
      </c>
      <c r="V187">
        <v>-7.8892799999999999E-2</v>
      </c>
      <c r="W187">
        <v>1.7807320000000001E-2</v>
      </c>
      <c r="X187">
        <v>0.9967241</v>
      </c>
      <c r="Y187">
        <v>-2.1779369999999999E-2</v>
      </c>
      <c r="Z187">
        <v>-5.9922600000000001E-4</v>
      </c>
      <c r="AA187">
        <v>0.99976259999999995</v>
      </c>
      <c r="AB187">
        <v>37</v>
      </c>
      <c r="AC187">
        <v>266.99040000000002</v>
      </c>
      <c r="AD187">
        <v>7.3542420000000002</v>
      </c>
      <c r="AE187">
        <v>2.9157999999999902</v>
      </c>
      <c r="AF187">
        <v>-5.8224319784156204</v>
      </c>
      <c r="AG187">
        <v>7.3542420000000002</v>
      </c>
      <c r="AH187">
        <v>266.740375804785</v>
      </c>
      <c r="AI187">
        <v>88.421086282717596</v>
      </c>
      <c r="AJ187">
        <v>91.250458652646898</v>
      </c>
      <c r="AK187">
        <v>266.90525224134501</v>
      </c>
      <c r="AL187">
        <v>88.979661843844497</v>
      </c>
      <c r="AM187">
        <v>94.525645545899707</v>
      </c>
      <c r="AN187">
        <v>1.00000005302911</v>
      </c>
    </row>
    <row r="188" spans="1:40" x14ac:dyDescent="0.25">
      <c r="A188" t="str">
        <f>"20190305135200896"</f>
        <v>20190305135200896</v>
      </c>
      <c r="B188" t="str">
        <f>"1551765120890404"</f>
        <v>1551765120890404</v>
      </c>
      <c r="C188" t="s">
        <v>40</v>
      </c>
      <c r="D188">
        <v>4.64567</v>
      </c>
      <c r="E188">
        <v>0.52124219999999999</v>
      </c>
      <c r="F188" t="s">
        <v>48</v>
      </c>
      <c r="G188">
        <v>-168.84350000000001</v>
      </c>
      <c r="H188">
        <v>8.6801460000000006</v>
      </c>
      <c r="I188">
        <v>370.9393</v>
      </c>
      <c r="J188">
        <v>-436.70580000000001</v>
      </c>
      <c r="K188">
        <v>1.0936060000000001</v>
      </c>
      <c r="L188">
        <v>367.59989999999999</v>
      </c>
      <c r="M188">
        <v>0.99987190000000004</v>
      </c>
      <c r="N188">
        <v>-1.173337E-2</v>
      </c>
      <c r="O188">
        <v>-1.0906880000000001E-2</v>
      </c>
      <c r="P188">
        <v>0.99749829999999995</v>
      </c>
      <c r="Q188">
        <v>3.1959169999999999E-3</v>
      </c>
      <c r="R188">
        <v>7.0621169999999997E-2</v>
      </c>
      <c r="S188">
        <v>3.0039669999999998</v>
      </c>
      <c r="T188">
        <v>8.4934469999999998E-2</v>
      </c>
      <c r="U188">
        <v>3.7353520000000001E-2</v>
      </c>
      <c r="V188">
        <v>-8.1491859999999999E-2</v>
      </c>
      <c r="W188">
        <v>1.491951E-2</v>
      </c>
      <c r="X188">
        <v>0.99656239999999996</v>
      </c>
      <c r="Y188">
        <v>-2.3325640000000002E-2</v>
      </c>
      <c r="Z188">
        <v>-6.2905389999999995E-4</v>
      </c>
      <c r="AA188">
        <v>0.9997277</v>
      </c>
      <c r="AB188">
        <v>37</v>
      </c>
      <c r="AC188">
        <v>267.8623</v>
      </c>
      <c r="AD188">
        <v>7.5865400000000003</v>
      </c>
      <c r="AE188">
        <v>3.3394000000000101</v>
      </c>
      <c r="AF188">
        <v>-6.2559262624359704</v>
      </c>
      <c r="AG188">
        <v>7.5865400000000003</v>
      </c>
      <c r="AH188">
        <v>267.59531741020101</v>
      </c>
      <c r="AI188">
        <v>88.376497457114596</v>
      </c>
      <c r="AJ188">
        <v>91.339234541726199</v>
      </c>
      <c r="AK188">
        <v>267.77592517334102</v>
      </c>
      <c r="AL188">
        <v>89.145143385060706</v>
      </c>
      <c r="AM188">
        <v>94.674844215362199</v>
      </c>
      <c r="AN188">
        <v>1.00000006605932</v>
      </c>
    </row>
    <row r="189" spans="1:40" x14ac:dyDescent="0.25">
      <c r="A189" t="str">
        <f>"20190305135200919"</f>
        <v>20190305135200919</v>
      </c>
      <c r="B189" t="str">
        <f>"1551765120909454"</f>
        <v>1551765120909454</v>
      </c>
      <c r="C189" t="s">
        <v>40</v>
      </c>
      <c r="D189">
        <v>4.6654600000000004</v>
      </c>
      <c r="E189">
        <v>0.52137319999999998</v>
      </c>
      <c r="F189" t="s">
        <v>48</v>
      </c>
      <c r="G189">
        <v>-170.08879999999999</v>
      </c>
      <c r="H189">
        <v>8.0552849999999996</v>
      </c>
      <c r="I189">
        <v>371.52440000000001</v>
      </c>
      <c r="J189">
        <v>-436.30169999999998</v>
      </c>
      <c r="K189">
        <v>1.090678</v>
      </c>
      <c r="L189">
        <v>367.59559999999999</v>
      </c>
      <c r="M189">
        <v>0.99987380000000003</v>
      </c>
      <c r="N189">
        <v>-1.165601E-2</v>
      </c>
      <c r="O189">
        <v>-1.080007E-2</v>
      </c>
      <c r="P189">
        <v>0.99729259999999997</v>
      </c>
      <c r="Q189">
        <v>-3.6507659999999997E-4</v>
      </c>
      <c r="R189">
        <v>7.3534829999999995E-2</v>
      </c>
      <c r="S189">
        <v>3.0041500000000001</v>
      </c>
      <c r="T189">
        <v>7.8442810000000002E-2</v>
      </c>
      <c r="U189">
        <v>4.4219969999999997E-2</v>
      </c>
      <c r="V189">
        <v>-8.4299699999999894E-2</v>
      </c>
      <c r="W189">
        <v>1.1265819999999999E-2</v>
      </c>
      <c r="X189">
        <v>0.99637679999999995</v>
      </c>
      <c r="Y189">
        <v>-2.5504300000000001E-2</v>
      </c>
      <c r="Z189">
        <v>-5.920322E-4</v>
      </c>
      <c r="AA189">
        <v>0.99967459999999997</v>
      </c>
      <c r="AB189">
        <v>38</v>
      </c>
      <c r="AC189">
        <v>266.21289999999999</v>
      </c>
      <c r="AD189">
        <v>6.964607</v>
      </c>
      <c r="AE189">
        <v>3.9288000000000198</v>
      </c>
      <c r="AF189">
        <v>-6.7992312955228398</v>
      </c>
      <c r="AG189">
        <v>6.964607</v>
      </c>
      <c r="AH189">
        <v>265.97293477645002</v>
      </c>
      <c r="AI189">
        <v>88.500519661435405</v>
      </c>
      <c r="AJ189">
        <v>91.464368659106796</v>
      </c>
      <c r="AK189">
        <v>266.150967179291</v>
      </c>
      <c r="AL189">
        <v>89.354502434129202</v>
      </c>
      <c r="AM189">
        <v>94.836063526391996</v>
      </c>
      <c r="AN189">
        <v>1.0000000428493001</v>
      </c>
    </row>
    <row r="190" spans="1:40" x14ac:dyDescent="0.25">
      <c r="A190" t="str">
        <f>"20190305135200942"</f>
        <v>20190305135200942</v>
      </c>
      <c r="B190" t="str">
        <f>"1551765120939709"</f>
        <v>1551765120939709</v>
      </c>
      <c r="C190" t="s">
        <v>40</v>
      </c>
      <c r="D190">
        <v>4.7156459999999996</v>
      </c>
      <c r="E190">
        <v>0.52173919999999996</v>
      </c>
      <c r="F190" t="s">
        <v>48</v>
      </c>
      <c r="G190">
        <v>-170.08879999999999</v>
      </c>
      <c r="H190">
        <v>7.2716589999999997</v>
      </c>
      <c r="I190">
        <v>372.20080000000002</v>
      </c>
      <c r="J190">
        <v>-435.916</v>
      </c>
      <c r="K190">
        <v>1.087766</v>
      </c>
      <c r="L190">
        <v>367.5915</v>
      </c>
      <c r="M190">
        <v>0.99987800000000004</v>
      </c>
      <c r="N190">
        <v>-1.147243E-2</v>
      </c>
      <c r="O190">
        <v>-1.060151E-2</v>
      </c>
      <c r="P190">
        <v>0.99708850000000004</v>
      </c>
      <c r="Q190">
        <v>-3.3132669999999999E-3</v>
      </c>
      <c r="R190">
        <v>7.6183180000000003E-2</v>
      </c>
      <c r="S190">
        <v>3.0043030000000002</v>
      </c>
      <c r="T190">
        <v>6.9755429999999993E-2</v>
      </c>
      <c r="U190">
        <v>5.1971440000000001E-2</v>
      </c>
      <c r="V190">
        <v>-8.6750350000000004E-2</v>
      </c>
      <c r="W190">
        <v>8.1178889999999997E-3</v>
      </c>
      <c r="X190">
        <v>0.996197</v>
      </c>
      <c r="Y190">
        <v>-2.788589E-2</v>
      </c>
      <c r="Z190">
        <v>-5.3137559999999896E-4</v>
      </c>
      <c r="AA190">
        <v>0.99961100000000003</v>
      </c>
      <c r="AB190">
        <v>38</v>
      </c>
      <c r="AC190">
        <v>265.8272</v>
      </c>
      <c r="AD190">
        <v>6.1838929999999896</v>
      </c>
      <c r="AE190">
        <v>4.6093000000000099</v>
      </c>
      <c r="AF190">
        <v>-7.4233800741276399</v>
      </c>
      <c r="AG190">
        <v>6.1838929999999896</v>
      </c>
      <c r="AH190">
        <v>265.61969107841298</v>
      </c>
      <c r="AI190">
        <v>88.666858003801195</v>
      </c>
      <c r="AJ190">
        <v>91.6008514385626</v>
      </c>
      <c r="AK190">
        <v>265.79534870450999</v>
      </c>
      <c r="AL190">
        <v>89.534874109787097</v>
      </c>
      <c r="AM190">
        <v>94.976848834804599</v>
      </c>
      <c r="AN190">
        <v>0.99999999307796905</v>
      </c>
    </row>
    <row r="191" spans="1:40" x14ac:dyDescent="0.25">
      <c r="A191" t="str">
        <f>"20190305135200967"</f>
        <v>20190305135200967</v>
      </c>
      <c r="B191" t="str">
        <f>"1551765120960205"</f>
        <v>1551765120960205</v>
      </c>
      <c r="C191" t="s">
        <v>40</v>
      </c>
      <c r="D191">
        <v>4.6585130000000001</v>
      </c>
      <c r="E191">
        <v>0.52199830000000003</v>
      </c>
      <c r="F191" t="s">
        <v>48</v>
      </c>
      <c r="G191">
        <v>-163.89859999999999</v>
      </c>
      <c r="H191">
        <v>6.6740890000000004</v>
      </c>
      <c r="I191">
        <v>372.78300000000002</v>
      </c>
      <c r="J191">
        <v>-435.51580000000001</v>
      </c>
      <c r="K191">
        <v>1.0847199999999999</v>
      </c>
      <c r="L191">
        <v>367.5874</v>
      </c>
      <c r="M191">
        <v>0.9998842</v>
      </c>
      <c r="N191">
        <v>-1.119706E-2</v>
      </c>
      <c r="O191">
        <v>-1.03138E-2</v>
      </c>
      <c r="P191">
        <v>0.99693149999999997</v>
      </c>
      <c r="Q191">
        <v>-5.6361859999999996E-3</v>
      </c>
      <c r="R191">
        <v>7.8076019999999996E-2</v>
      </c>
      <c r="S191">
        <v>3.0045470000000001</v>
      </c>
      <c r="T191">
        <v>6.170428E-2</v>
      </c>
      <c r="U191">
        <v>5.7342530000000003E-2</v>
      </c>
      <c r="V191">
        <v>-8.835548E-2</v>
      </c>
      <c r="W191">
        <v>5.500591E-3</v>
      </c>
      <c r="X191">
        <v>0.99607380000000001</v>
      </c>
      <c r="Y191">
        <v>-2.9385319999999999E-2</v>
      </c>
      <c r="Z191">
        <v>-4.6437270000000003E-4</v>
      </c>
      <c r="AA191">
        <v>0.99956800000000001</v>
      </c>
      <c r="AB191">
        <v>38</v>
      </c>
      <c r="AC191">
        <v>271.61720000000003</v>
      </c>
      <c r="AD191">
        <v>5.5893689999999996</v>
      </c>
      <c r="AE191">
        <v>5.1956000000000104</v>
      </c>
      <c r="AF191">
        <v>-7.9935208096296897</v>
      </c>
      <c r="AG191">
        <v>5.5893689999999996</v>
      </c>
      <c r="AH191">
        <v>271.43426235390399</v>
      </c>
      <c r="AI191">
        <v>88.820844211719304</v>
      </c>
      <c r="AJ191">
        <v>91.6868271205485</v>
      </c>
      <c r="AK191">
        <v>271.60945528526901</v>
      </c>
      <c r="AL191">
        <v>89.684837755648203</v>
      </c>
      <c r="AM191">
        <v>95.069083091742499</v>
      </c>
      <c r="AN191">
        <v>0.99999998119690903</v>
      </c>
    </row>
    <row r="192" spans="1:40" x14ac:dyDescent="0.25">
      <c r="A192" t="str">
        <f>"20190305135200986"</f>
        <v>20190305135200986</v>
      </c>
      <c r="B192" t="str">
        <f>"1551765120979726"</f>
        <v>1551765120979726</v>
      </c>
      <c r="C192" t="s">
        <v>40</v>
      </c>
      <c r="D192">
        <v>4.673387</v>
      </c>
      <c r="E192">
        <v>0.52227369999999995</v>
      </c>
      <c r="F192" t="s">
        <v>48</v>
      </c>
      <c r="G192">
        <v>-158.19499999999999</v>
      </c>
      <c r="H192">
        <v>6.2786770000000001</v>
      </c>
      <c r="I192">
        <v>373.2122</v>
      </c>
      <c r="J192">
        <v>-435.1696</v>
      </c>
      <c r="K192">
        <v>1.082117</v>
      </c>
      <c r="L192">
        <v>367.58409999999998</v>
      </c>
      <c r="M192">
        <v>0.99989119999999998</v>
      </c>
      <c r="N192">
        <v>-1.0842539999999999E-2</v>
      </c>
      <c r="O192">
        <v>-1.0010679999999999E-2</v>
      </c>
      <c r="P192">
        <v>0.99682959999999998</v>
      </c>
      <c r="Q192">
        <v>-7.2575690000000002E-3</v>
      </c>
      <c r="R192">
        <v>7.9235120000000006E-2</v>
      </c>
      <c r="S192">
        <v>3.0047609999999998</v>
      </c>
      <c r="T192">
        <v>5.6277279999999999E-2</v>
      </c>
      <c r="U192">
        <v>6.0943600000000001E-2</v>
      </c>
      <c r="V192">
        <v>-8.9212139999999995E-2</v>
      </c>
      <c r="W192">
        <v>3.5088630000000001E-3</v>
      </c>
      <c r="X192">
        <v>0.99600650000000002</v>
      </c>
      <c r="Y192">
        <v>-3.0279759999999999E-2</v>
      </c>
      <c r="Z192">
        <v>-4.1530099999999997E-4</v>
      </c>
      <c r="AA192">
        <v>0.99954140000000002</v>
      </c>
      <c r="AB192">
        <v>38</v>
      </c>
      <c r="AC192">
        <v>276.97460000000001</v>
      </c>
      <c r="AD192">
        <v>5.1965599999999998</v>
      </c>
      <c r="AE192">
        <v>5.6281000000000097</v>
      </c>
      <c r="AF192">
        <v>-8.3977299343229195</v>
      </c>
      <c r="AG192">
        <v>5.1965599999999998</v>
      </c>
      <c r="AH192">
        <v>276.80697734522897</v>
      </c>
      <c r="AI192">
        <v>88.924994186465796</v>
      </c>
      <c r="AJ192">
        <v>91.737698062904002</v>
      </c>
      <c r="AK192">
        <v>276.983083979664</v>
      </c>
      <c r="AL192">
        <v>89.798956553306795</v>
      </c>
      <c r="AM192">
        <v>95.118315137022606</v>
      </c>
      <c r="AN192">
        <v>1.00000003304259</v>
      </c>
    </row>
    <row r="193" spans="1:40" x14ac:dyDescent="0.25">
      <c r="A193" t="str">
        <f>"20190305135201009"</f>
        <v>20190305135201009</v>
      </c>
      <c r="B193" t="str">
        <f>"1551765120999751"</f>
        <v>1551765120999751</v>
      </c>
      <c r="C193" t="s">
        <v>40</v>
      </c>
      <c r="D193">
        <v>4.6254689999999998</v>
      </c>
      <c r="E193">
        <v>0.52259500000000003</v>
      </c>
      <c r="F193" t="s">
        <v>48</v>
      </c>
      <c r="G193">
        <v>-158.19499999999999</v>
      </c>
      <c r="H193">
        <v>6.0619239999999897</v>
      </c>
      <c r="I193">
        <v>373.31400000000002</v>
      </c>
      <c r="J193">
        <v>-434.7801</v>
      </c>
      <c r="K193">
        <v>1.079304</v>
      </c>
      <c r="L193">
        <v>367.58049999999997</v>
      </c>
      <c r="M193">
        <v>0.99990049999999997</v>
      </c>
      <c r="N193">
        <v>-1.031496E-2</v>
      </c>
      <c r="O193">
        <v>-9.6273550000000006E-3</v>
      </c>
      <c r="P193">
        <v>0.99672969999999905</v>
      </c>
      <c r="Q193">
        <v>-8.495364E-3</v>
      </c>
      <c r="R193">
        <v>8.0362500000000003E-2</v>
      </c>
      <c r="S193">
        <v>3.0049440000000001</v>
      </c>
      <c r="T193">
        <v>5.4027680000000002E-2</v>
      </c>
      <c r="U193">
        <v>6.216431E-2</v>
      </c>
      <c r="V193">
        <v>-8.9956289999999994E-2</v>
      </c>
      <c r="W193">
        <v>1.7288360000000001E-3</v>
      </c>
      <c r="X193">
        <v>0.99594419999999995</v>
      </c>
      <c r="Y193">
        <v>-3.0301829999999998E-2</v>
      </c>
      <c r="Z193">
        <v>-3.883984E-4</v>
      </c>
      <c r="AA193">
        <v>0.99954069999999995</v>
      </c>
      <c r="AB193">
        <v>38</v>
      </c>
      <c r="AC193">
        <v>276.58510000000001</v>
      </c>
      <c r="AD193">
        <v>4.9826199999999901</v>
      </c>
      <c r="AE193">
        <v>5.7335000000000402</v>
      </c>
      <c r="AF193">
        <v>-8.3934359758728494</v>
      </c>
      <c r="AG193">
        <v>4.9826199999999901</v>
      </c>
      <c r="AH193">
        <v>276.42740808904898</v>
      </c>
      <c r="AI193">
        <v>88.967827695282907</v>
      </c>
      <c r="AJ193">
        <v>91.739193473879894</v>
      </c>
      <c r="AK193">
        <v>276.59968946543501</v>
      </c>
      <c r="AL193">
        <v>89.900944943023703</v>
      </c>
      <c r="AM193">
        <v>95.161100297495494</v>
      </c>
      <c r="AN193">
        <v>0.99999998624905895</v>
      </c>
    </row>
    <row r="194" spans="1:40" x14ac:dyDescent="0.25">
      <c r="A194" t="str">
        <f>"20190305135201030"</f>
        <v>20190305135201030</v>
      </c>
      <c r="B194" t="str">
        <f>"1551765121020250"</f>
        <v>1551765121020250</v>
      </c>
      <c r="C194" t="s">
        <v>40</v>
      </c>
      <c r="D194">
        <v>4.6812189999999996</v>
      </c>
      <c r="E194">
        <v>0.5228739</v>
      </c>
      <c r="F194" t="s">
        <v>48</v>
      </c>
      <c r="G194">
        <v>-158.19499999999999</v>
      </c>
      <c r="H194">
        <v>5.9857909999999999</v>
      </c>
      <c r="I194">
        <v>373.40300000000002</v>
      </c>
      <c r="J194">
        <v>-434.42020000000002</v>
      </c>
      <c r="K194">
        <v>1.0768500000000001</v>
      </c>
      <c r="L194">
        <v>367.57729999999998</v>
      </c>
      <c r="M194">
        <v>0.99990990000000002</v>
      </c>
      <c r="N194">
        <v>-9.7442569999999992E-3</v>
      </c>
      <c r="O194">
        <v>-9.2449909999999993E-3</v>
      </c>
      <c r="P194">
        <v>0.99669300000000005</v>
      </c>
      <c r="Q194">
        <v>-8.0186130000000008E-3</v>
      </c>
      <c r="R194">
        <v>8.0863729999999995E-2</v>
      </c>
      <c r="S194">
        <v>3.0051570000000001</v>
      </c>
      <c r="T194">
        <v>5.3310990000000003E-2</v>
      </c>
      <c r="U194">
        <v>6.3262940000000004E-2</v>
      </c>
      <c r="V194">
        <v>-9.0076450000000002E-2</v>
      </c>
      <c r="W194">
        <v>1.6248860000000001E-3</v>
      </c>
      <c r="X194">
        <v>0.99593350000000003</v>
      </c>
      <c r="Y194">
        <v>-3.0283640000000001E-2</v>
      </c>
      <c r="Z194">
        <v>-3.7503290000000001E-4</v>
      </c>
      <c r="AA194">
        <v>0.99954129999999997</v>
      </c>
      <c r="AB194">
        <v>38</v>
      </c>
      <c r="AC194">
        <v>276.22519999999997</v>
      </c>
      <c r="AD194">
        <v>4.9089410000000004</v>
      </c>
      <c r="AE194">
        <v>5.8257000000000403</v>
      </c>
      <c r="AF194">
        <v>-8.3766270651774306</v>
      </c>
      <c r="AG194">
        <v>4.9089410000000004</v>
      </c>
      <c r="AH194">
        <v>276.07238076889701</v>
      </c>
      <c r="AI194">
        <v>88.981779262633694</v>
      </c>
      <c r="AJ194">
        <v>91.737943400350005</v>
      </c>
      <c r="AK194">
        <v>276.24305422243202</v>
      </c>
      <c r="AL194">
        <v>89.906900846413393</v>
      </c>
      <c r="AM194">
        <v>95.168012204353801</v>
      </c>
      <c r="AN194">
        <v>0.999999971760682</v>
      </c>
    </row>
    <row r="195" spans="1:40" x14ac:dyDescent="0.25">
      <c r="A195" t="str">
        <f>"20190305135201051"</f>
        <v>20190305135201051</v>
      </c>
      <c r="B195" t="str">
        <f>"1551765121039766"</f>
        <v>1551765121039766</v>
      </c>
      <c r="C195" t="s">
        <v>40</v>
      </c>
      <c r="D195">
        <v>4.6600549999999998</v>
      </c>
      <c r="E195">
        <v>0.52318480000000001</v>
      </c>
      <c r="F195" t="s">
        <v>48</v>
      </c>
      <c r="G195">
        <v>-158.19499999999999</v>
      </c>
      <c r="H195">
        <v>6.4961989999999998</v>
      </c>
      <c r="I195">
        <v>373.36669999999998</v>
      </c>
      <c r="J195">
        <v>-434.05290000000002</v>
      </c>
      <c r="K195">
        <v>1.074527</v>
      </c>
      <c r="L195">
        <v>367.57420000000002</v>
      </c>
      <c r="M195">
        <v>0.99991949999999996</v>
      </c>
      <c r="N195">
        <v>-9.1176130000000001E-3</v>
      </c>
      <c r="O195">
        <v>-8.8319980000000006E-3</v>
      </c>
      <c r="P195">
        <v>0.99661690000000003</v>
      </c>
      <c r="Q195">
        <v>-8.6909880000000002E-3</v>
      </c>
      <c r="R195">
        <v>8.1726690000000005E-2</v>
      </c>
      <c r="S195">
        <v>3.0053100000000001</v>
      </c>
      <c r="T195">
        <v>5.8963059999999998E-2</v>
      </c>
      <c r="U195">
        <v>6.2988279999999994E-2</v>
      </c>
      <c r="V195">
        <v>-9.0526280000000001E-2</v>
      </c>
      <c r="W195">
        <v>3.1835240000000002E-4</v>
      </c>
      <c r="X195">
        <v>0.99589399999999995</v>
      </c>
      <c r="Y195">
        <v>-2.9777290000000001E-2</v>
      </c>
      <c r="Z195">
        <v>-4.1003019999999999E-4</v>
      </c>
      <c r="AA195">
        <v>0.99955649999999996</v>
      </c>
      <c r="AB195">
        <v>38</v>
      </c>
      <c r="AC195">
        <v>275.85789999999997</v>
      </c>
      <c r="AD195">
        <v>5.421672</v>
      </c>
      <c r="AE195">
        <v>5.7924999999999596</v>
      </c>
      <c r="AF195">
        <v>-8.2255756544265193</v>
      </c>
      <c r="AG195">
        <v>5.421672</v>
      </c>
      <c r="AH195">
        <v>275.68953358763298</v>
      </c>
      <c r="AI195">
        <v>88.873875400844895</v>
      </c>
      <c r="AJ195">
        <v>91.708991228165402</v>
      </c>
      <c r="AK195">
        <v>275.86549902423201</v>
      </c>
      <c r="AL195">
        <v>89.9817597504817</v>
      </c>
      <c r="AM195">
        <v>95.193884654488699</v>
      </c>
      <c r="AN195">
        <v>0.99999998397744405</v>
      </c>
    </row>
    <row r="196" spans="1:40" x14ac:dyDescent="0.25">
      <c r="A196" t="str">
        <f>"20190305135201073"</f>
        <v>20190305135201073</v>
      </c>
      <c r="B196" t="str">
        <f>"1551765121070023"</f>
        <v>1551765121070023</v>
      </c>
      <c r="C196" t="s">
        <v>40</v>
      </c>
      <c r="D196">
        <v>4.5039449999999999</v>
      </c>
      <c r="E196">
        <v>0.52465879999999998</v>
      </c>
      <c r="F196" t="s">
        <v>48</v>
      </c>
      <c r="G196">
        <v>-159.29679999999999</v>
      </c>
      <c r="H196">
        <v>6.6740890000000004</v>
      </c>
      <c r="I196">
        <v>373.3184</v>
      </c>
      <c r="J196">
        <v>-433.6601</v>
      </c>
      <c r="K196">
        <v>1.07226</v>
      </c>
      <c r="L196">
        <v>367.5711</v>
      </c>
      <c r="M196">
        <v>0.99992939999999997</v>
      </c>
      <c r="N196">
        <v>-8.4389019999999999E-3</v>
      </c>
      <c r="O196">
        <v>-8.3773249999999997E-3</v>
      </c>
      <c r="P196">
        <v>0.99655709999999997</v>
      </c>
      <c r="Q196">
        <v>-1.0782730000000001E-2</v>
      </c>
      <c r="R196">
        <v>8.2207069999999993E-2</v>
      </c>
      <c r="S196">
        <v>3.0055540000000001</v>
      </c>
      <c r="T196">
        <v>6.1254500000000003E-2</v>
      </c>
      <c r="U196">
        <v>6.283569E-2</v>
      </c>
      <c r="V196">
        <v>-9.0550710000000006E-2</v>
      </c>
      <c r="W196">
        <v>-2.4568519999999998E-3</v>
      </c>
      <c r="X196">
        <v>0.99588880000000002</v>
      </c>
      <c r="Y196">
        <v>-2.9269980000000001E-2</v>
      </c>
      <c r="Z196">
        <v>-4.1605450000000002E-4</v>
      </c>
      <c r="AA196">
        <v>0.9995714</v>
      </c>
      <c r="AB196">
        <v>39</v>
      </c>
      <c r="AC196">
        <v>274.36329999999998</v>
      </c>
      <c r="AD196">
        <v>5.6018290000000004</v>
      </c>
      <c r="AE196">
        <v>5.7472999999999903</v>
      </c>
      <c r="AF196">
        <v>-8.0422592988706505</v>
      </c>
      <c r="AG196">
        <v>5.6018290000000004</v>
      </c>
      <c r="AH196">
        <v>274.191269262258</v>
      </c>
      <c r="AI196">
        <v>88.830091853978601</v>
      </c>
      <c r="AJ196">
        <v>91.680051472066197</v>
      </c>
      <c r="AK196">
        <v>274.36638016058703</v>
      </c>
      <c r="AL196">
        <v>90.140767394273396</v>
      </c>
      <c r="AM196">
        <v>95.195305618695699</v>
      </c>
      <c r="AN196">
        <v>0.99999998458434602</v>
      </c>
    </row>
    <row r="197" spans="1:40" x14ac:dyDescent="0.25">
      <c r="A197" t="str">
        <f>"20190305135201098"</f>
        <v>20190305135201098</v>
      </c>
      <c r="B197" t="str">
        <f>"1551765121089542"</f>
        <v>1551765121089542</v>
      </c>
      <c r="C197" t="s">
        <v>40</v>
      </c>
      <c r="D197">
        <v>4.5812019999999896</v>
      </c>
      <c r="E197">
        <v>0.52510630000000003</v>
      </c>
      <c r="F197" t="s">
        <v>48</v>
      </c>
      <c r="G197">
        <v>-170.08879999999999</v>
      </c>
      <c r="H197">
        <v>6.7629919999999997</v>
      </c>
      <c r="I197">
        <v>372.19920000000002</v>
      </c>
      <c r="J197">
        <v>-433.23649999999998</v>
      </c>
      <c r="K197">
        <v>1.0700810000000001</v>
      </c>
      <c r="L197">
        <v>367.56790000000001</v>
      </c>
      <c r="M197">
        <v>0.99993900000000002</v>
      </c>
      <c r="N197">
        <v>-7.7306400000000004E-3</v>
      </c>
      <c r="O197">
        <v>-7.8883630000000007E-3</v>
      </c>
      <c r="P197">
        <v>0.99650530000000004</v>
      </c>
      <c r="Q197">
        <v>-1.2698660000000001E-2</v>
      </c>
      <c r="R197">
        <v>8.2559320000000005E-2</v>
      </c>
      <c r="S197">
        <v>3.0067140000000001</v>
      </c>
      <c r="T197">
        <v>6.4918519999999993E-2</v>
      </c>
      <c r="U197">
        <v>5.2795410000000001E-2</v>
      </c>
      <c r="V197">
        <v>-9.0413060000000003E-2</v>
      </c>
      <c r="W197">
        <v>-5.0828669999999996E-3</v>
      </c>
      <c r="X197">
        <v>0.99589139999999998</v>
      </c>
      <c r="Y197">
        <v>-2.5436110000000001E-2</v>
      </c>
      <c r="Z197">
        <v>-4.0746549999999998E-4</v>
      </c>
      <c r="AA197">
        <v>0.99967629999999996</v>
      </c>
      <c r="AB197">
        <v>39</v>
      </c>
      <c r="AC197">
        <v>263.14769999999999</v>
      </c>
      <c r="AD197">
        <v>5.6929109999999996</v>
      </c>
      <c r="AE197">
        <v>4.6313000000000004</v>
      </c>
      <c r="AF197">
        <v>-6.7038858944786703</v>
      </c>
      <c r="AG197">
        <v>5.6929109999999996</v>
      </c>
      <c r="AH197">
        <v>262.979934329961</v>
      </c>
      <c r="AI197">
        <v>88.760274409018805</v>
      </c>
      <c r="AJ197">
        <v>91.460268058354401</v>
      </c>
      <c r="AK197">
        <v>263.12696019589299</v>
      </c>
      <c r="AL197">
        <v>90.291228075473299</v>
      </c>
      <c r="AM197">
        <v>95.187437664077905</v>
      </c>
      <c r="AN197">
        <v>1.00000001877473</v>
      </c>
    </row>
    <row r="198" spans="1:40" x14ac:dyDescent="0.25">
      <c r="A198" t="str">
        <f>"20190305135201129"</f>
        <v>20190305135201129</v>
      </c>
      <c r="B198" t="str">
        <f>"1551765121119798"</f>
        <v>1551765121119798</v>
      </c>
      <c r="C198" t="s">
        <v>40</v>
      </c>
      <c r="D198">
        <v>4.8091629999999999</v>
      </c>
      <c r="E198">
        <v>0.54871380000000003</v>
      </c>
      <c r="F198" t="s">
        <v>48</v>
      </c>
      <c r="G198">
        <v>-161.85</v>
      </c>
      <c r="H198">
        <v>6.6740890000000004</v>
      </c>
      <c r="I198">
        <v>372.10939999999999</v>
      </c>
      <c r="J198">
        <v>-432.68369999999999</v>
      </c>
      <c r="K198">
        <v>1.067653</v>
      </c>
      <c r="L198">
        <v>367.56400000000002</v>
      </c>
      <c r="M198">
        <v>0.99995009999999995</v>
      </c>
      <c r="N198">
        <v>-6.8790079999999998E-3</v>
      </c>
      <c r="O198">
        <v>-7.2783489999999999E-3</v>
      </c>
      <c r="P198">
        <v>0.99655819999999995</v>
      </c>
      <c r="Q198">
        <v>-1.26538E-2</v>
      </c>
      <c r="R198">
        <v>8.1926230000000003E-2</v>
      </c>
      <c r="S198">
        <v>3.0071720000000002</v>
      </c>
      <c r="T198">
        <v>6.2097670000000001E-2</v>
      </c>
      <c r="U198">
        <v>5.0323489999999999E-2</v>
      </c>
      <c r="V198">
        <v>-8.9171730000000005E-2</v>
      </c>
      <c r="W198">
        <v>-5.8864470000000004E-3</v>
      </c>
      <c r="X198">
        <v>0.99599890000000002</v>
      </c>
      <c r="Y198">
        <v>-2.400304E-2</v>
      </c>
      <c r="Z198">
        <v>-3.6554380000000002E-4</v>
      </c>
      <c r="AA198">
        <v>0.99971180000000004</v>
      </c>
      <c r="AB198">
        <v>39</v>
      </c>
      <c r="AC198">
        <v>270.83370000000002</v>
      </c>
      <c r="AD198">
        <v>5.6064360000000004</v>
      </c>
      <c r="AE198">
        <v>4.5453999999999697</v>
      </c>
      <c r="AF198">
        <v>-6.5137574669303104</v>
      </c>
      <c r="AG198">
        <v>5.6064360000000004</v>
      </c>
      <c r="AH198">
        <v>270.67748484950198</v>
      </c>
      <c r="AI198">
        <v>88.813768109351898</v>
      </c>
      <c r="AJ198">
        <v>91.378536503853795</v>
      </c>
      <c r="AK198">
        <v>270.81388805859399</v>
      </c>
      <c r="AL198">
        <v>90.337270507671803</v>
      </c>
      <c r="AM198">
        <v>95.116047854953607</v>
      </c>
      <c r="AN198">
        <v>1.0000000282453401</v>
      </c>
    </row>
    <row r="199" spans="1:40" x14ac:dyDescent="0.25">
      <c r="A199" t="str">
        <f>"20190305135201152"</f>
        <v>20190305135201152</v>
      </c>
      <c r="B199" t="str">
        <f>"1551765121150055"</f>
        <v>1551765121150055</v>
      </c>
      <c r="C199" t="s">
        <v>40</v>
      </c>
      <c r="D199">
        <v>4.7405889999999999</v>
      </c>
      <c r="E199">
        <v>0.54595229999999995</v>
      </c>
      <c r="F199" t="s">
        <v>50</v>
      </c>
      <c r="G199">
        <v>-325.75470000000001</v>
      </c>
      <c r="H199">
        <v>9.1154329999999995</v>
      </c>
      <c r="I199">
        <v>362.74329999999998</v>
      </c>
      <c r="J199">
        <v>-432.27440000000001</v>
      </c>
      <c r="K199">
        <v>1.0661499999999999</v>
      </c>
      <c r="L199">
        <v>367.56130000000002</v>
      </c>
      <c r="M199">
        <v>0.99995670000000003</v>
      </c>
      <c r="N199">
        <v>-6.3170910000000004E-3</v>
      </c>
      <c r="O199">
        <v>-6.8575279999999999E-3</v>
      </c>
      <c r="P199">
        <v>0.99668029999999996</v>
      </c>
      <c r="Q199">
        <v>-1.073697E-2</v>
      </c>
      <c r="R199">
        <v>8.0706239999999999E-2</v>
      </c>
      <c r="S199">
        <v>3.0245060000000001</v>
      </c>
      <c r="T199">
        <v>0.22763549999999999</v>
      </c>
      <c r="U199">
        <v>-0.13635249999999999</v>
      </c>
      <c r="V199">
        <v>-8.7535139999999997E-2</v>
      </c>
      <c r="W199">
        <v>-4.5264190000000003E-3</v>
      </c>
      <c r="X199">
        <v>0.99615109999999996</v>
      </c>
      <c r="Y199">
        <v>3.8109329999999997E-2</v>
      </c>
      <c r="Z199">
        <v>7.5244369999999904E-4</v>
      </c>
      <c r="AA199">
        <v>0.99927330000000003</v>
      </c>
      <c r="AB199">
        <v>39</v>
      </c>
      <c r="AC199">
        <v>106.5197</v>
      </c>
      <c r="AD199">
        <v>8.0492829999999902</v>
      </c>
      <c r="AE199">
        <v>-4.8180000000000396</v>
      </c>
      <c r="AF199">
        <v>4.0642499619491304</v>
      </c>
      <c r="AG199">
        <v>8.0492829999999902</v>
      </c>
      <c r="AH199">
        <v>105.94649057081099</v>
      </c>
      <c r="AI199">
        <v>85.658481764846599</v>
      </c>
      <c r="AJ199">
        <v>87.803133996955594</v>
      </c>
      <c r="AK199">
        <v>106.329525292076</v>
      </c>
      <c r="AL199">
        <v>90.259345603159801</v>
      </c>
      <c r="AM199">
        <v>95.021873081738605</v>
      </c>
      <c r="AN199">
        <v>0.999999951617495</v>
      </c>
    </row>
    <row r="200" spans="1:40" x14ac:dyDescent="0.25">
      <c r="A200" t="str">
        <f>"20190305135201175"</f>
        <v>20190305135201175</v>
      </c>
      <c r="B200" t="str">
        <f>"1551765121169575"</f>
        <v>1551765121169575</v>
      </c>
      <c r="C200" t="s">
        <v>40</v>
      </c>
      <c r="D200">
        <v>4.767639</v>
      </c>
      <c r="E200">
        <v>0.54768899999999998</v>
      </c>
      <c r="F200" t="s">
        <v>50</v>
      </c>
      <c r="G200">
        <v>-249.62379999999999</v>
      </c>
      <c r="H200">
        <v>8.7478079999999991</v>
      </c>
      <c r="I200">
        <v>360.2901</v>
      </c>
      <c r="J200">
        <v>-431.88339999999999</v>
      </c>
      <c r="K200">
        <v>1.0649120000000001</v>
      </c>
      <c r="L200">
        <v>367.55889999999999</v>
      </c>
      <c r="M200">
        <v>0.99996220000000002</v>
      </c>
      <c r="N200">
        <v>-5.8353529999999997E-3</v>
      </c>
      <c r="O200">
        <v>-6.4781999999999999E-3</v>
      </c>
      <c r="P200">
        <v>0.99681039999999999</v>
      </c>
      <c r="Q200">
        <v>-9.4881900000000005E-3</v>
      </c>
      <c r="R200">
        <v>7.9243140000000004E-2</v>
      </c>
      <c r="S200">
        <v>3.0211489999999999</v>
      </c>
      <c r="T200">
        <v>0.12706049999999999</v>
      </c>
      <c r="U200">
        <v>-0.1202698</v>
      </c>
      <c r="V200">
        <v>-8.5696049999999996E-2</v>
      </c>
      <c r="W200">
        <v>-3.7538139999999998E-3</v>
      </c>
      <c r="X200">
        <v>0.99631420000000004</v>
      </c>
      <c r="Y200">
        <v>3.3285889999999999E-2</v>
      </c>
      <c r="Z200">
        <v>2.9218750000000002E-4</v>
      </c>
      <c r="AA200">
        <v>0.9994459</v>
      </c>
      <c r="AB200">
        <v>39</v>
      </c>
      <c r="AC200">
        <v>182.25960000000001</v>
      </c>
      <c r="AD200">
        <v>7.6828960000000004</v>
      </c>
      <c r="AE200">
        <v>-7.2687999999999899</v>
      </c>
      <c r="AF200">
        <v>6.0771320132189901</v>
      </c>
      <c r="AG200">
        <v>7.6828960000000004</v>
      </c>
      <c r="AH200">
        <v>181.98001359514899</v>
      </c>
      <c r="AI200">
        <v>87.583847587815399</v>
      </c>
      <c r="AJ200">
        <v>88.087346730683294</v>
      </c>
      <c r="AK200">
        <v>182.24347388190299</v>
      </c>
      <c r="AL200">
        <v>90.215078216307006</v>
      </c>
      <c r="AM200">
        <v>94.916086642370999</v>
      </c>
      <c r="AN200">
        <v>0.99999994461339303</v>
      </c>
    </row>
    <row r="201" spans="1:40" x14ac:dyDescent="0.25">
      <c r="A201" t="str">
        <f>"20190305135201197"</f>
        <v>20190305135201197</v>
      </c>
      <c r="B201" t="str">
        <f>"1551765121190071"</f>
        <v>1551765121190071</v>
      </c>
      <c r="C201" t="s">
        <v>40</v>
      </c>
      <c r="D201">
        <v>4.799277</v>
      </c>
      <c r="E201">
        <v>0.54818480000000003</v>
      </c>
      <c r="F201" t="s">
        <v>48</v>
      </c>
      <c r="G201">
        <v>-170.08879999999999</v>
      </c>
      <c r="H201">
        <v>12.7858</v>
      </c>
      <c r="I201">
        <v>355.55610000000001</v>
      </c>
      <c r="J201">
        <v>-431.48309999999998</v>
      </c>
      <c r="K201">
        <v>1.063822</v>
      </c>
      <c r="L201">
        <v>367.55650000000003</v>
      </c>
      <c r="M201">
        <v>0.99996680000000004</v>
      </c>
      <c r="N201">
        <v>-5.3974230000000002E-3</v>
      </c>
      <c r="O201">
        <v>-6.1116010000000004E-3</v>
      </c>
      <c r="P201">
        <v>0.99700619999999995</v>
      </c>
      <c r="Q201">
        <v>-8.0079039999999997E-3</v>
      </c>
      <c r="R201">
        <v>7.6905660000000001E-2</v>
      </c>
      <c r="S201">
        <v>3.0219119999999999</v>
      </c>
      <c r="T201">
        <v>0.135296</v>
      </c>
      <c r="U201">
        <v>-0.138549799999999</v>
      </c>
      <c r="V201">
        <v>-8.299521E-2</v>
      </c>
      <c r="W201">
        <v>-2.7048910000000001E-3</v>
      </c>
      <c r="X201">
        <v>0.9965463</v>
      </c>
      <c r="Y201">
        <v>3.9666970000000003E-2</v>
      </c>
      <c r="Z201">
        <v>4.736265E-4</v>
      </c>
      <c r="AA201">
        <v>0.99921289999999996</v>
      </c>
      <c r="AB201">
        <v>40</v>
      </c>
      <c r="AC201">
        <v>261.39429999999999</v>
      </c>
      <c r="AD201">
        <v>11.721978</v>
      </c>
      <c r="AE201">
        <v>-12.000400000000001</v>
      </c>
      <c r="AF201">
        <v>10.3817812741058</v>
      </c>
      <c r="AG201">
        <v>11.721978</v>
      </c>
      <c r="AH201">
        <v>260.93911887769099</v>
      </c>
      <c r="AI201">
        <v>87.429903312291401</v>
      </c>
      <c r="AJ201">
        <v>87.721619168348994</v>
      </c>
      <c r="AK201">
        <v>261.40851155102399</v>
      </c>
      <c r="AL201">
        <v>90.154979023500601</v>
      </c>
      <c r="AM201">
        <v>94.760768801156402</v>
      </c>
      <c r="AN201">
        <v>1.0000000246809699</v>
      </c>
    </row>
    <row r="202" spans="1:40" x14ac:dyDescent="0.25">
      <c r="A202" t="str">
        <f>"20190305135201219"</f>
        <v>20190305135201219</v>
      </c>
      <c r="B202" t="str">
        <f>"1551765121209590"</f>
        <v>1551765121209590</v>
      </c>
      <c r="C202" t="s">
        <v>40</v>
      </c>
      <c r="D202">
        <v>4.7862929999999997</v>
      </c>
      <c r="E202">
        <v>0.54737669999999905</v>
      </c>
      <c r="F202" t="s">
        <v>48</v>
      </c>
      <c r="G202">
        <v>-170.08879999999999</v>
      </c>
      <c r="H202">
        <v>13.465159999999999</v>
      </c>
      <c r="I202">
        <v>354.6078</v>
      </c>
      <c r="J202">
        <v>-431.08600000000001</v>
      </c>
      <c r="K202">
        <v>1.0629040000000001</v>
      </c>
      <c r="L202">
        <v>367.55430000000001</v>
      </c>
      <c r="M202">
        <v>0.99997080000000005</v>
      </c>
      <c r="N202">
        <v>-5.0152540000000002E-3</v>
      </c>
      <c r="O202">
        <v>-5.7649880000000004E-3</v>
      </c>
      <c r="P202">
        <v>0.99715880000000001</v>
      </c>
      <c r="Q202">
        <v>-7.0626949999999999E-3</v>
      </c>
      <c r="R202">
        <v>7.4997800000000003E-2</v>
      </c>
      <c r="S202">
        <v>3.0217290000000001</v>
      </c>
      <c r="T202">
        <v>0.14336099999999999</v>
      </c>
      <c r="U202">
        <v>-0.14968870000000001</v>
      </c>
      <c r="V202">
        <v>-8.0743659999999995E-2</v>
      </c>
      <c r="W202">
        <v>-2.1365289999999999E-3</v>
      </c>
      <c r="X202">
        <v>0.99673259999999997</v>
      </c>
      <c r="Y202">
        <v>4.368205E-2</v>
      </c>
      <c r="Z202">
        <v>6.2327789999999997E-4</v>
      </c>
      <c r="AA202">
        <v>0.99904530000000002</v>
      </c>
      <c r="AB202">
        <v>40</v>
      </c>
      <c r="AC202">
        <v>260.99720000000002</v>
      </c>
      <c r="AD202">
        <v>12.402256</v>
      </c>
      <c r="AE202">
        <v>-12.9465</v>
      </c>
      <c r="AF202">
        <v>11.4159060100459</v>
      </c>
      <c r="AG202">
        <v>12.402256</v>
      </c>
      <c r="AH202">
        <v>260.48077039377102</v>
      </c>
      <c r="AI202">
        <v>87.276648234405698</v>
      </c>
      <c r="AJ202">
        <v>87.4905443529358</v>
      </c>
      <c r="AK202">
        <v>261.02561293645601</v>
      </c>
      <c r="AL202">
        <v>90.122414188906902</v>
      </c>
      <c r="AM202">
        <v>94.631323245959294</v>
      </c>
      <c r="AN202">
        <v>0.99999998964456105</v>
      </c>
    </row>
    <row r="203" spans="1:40" x14ac:dyDescent="0.25">
      <c r="A203" t="str">
        <f>"20190305135201240"</f>
        <v>20190305135201240</v>
      </c>
      <c r="B203" t="str">
        <f>"1551765121230086"</f>
        <v>1551765121230086</v>
      </c>
      <c r="C203" t="s">
        <v>40</v>
      </c>
      <c r="D203">
        <v>4.8029449999999896</v>
      </c>
      <c r="E203">
        <v>0.54674519999999904</v>
      </c>
      <c r="F203" t="s">
        <v>48</v>
      </c>
      <c r="G203">
        <v>-170.08879999999999</v>
      </c>
      <c r="H203">
        <v>13.845219999999999</v>
      </c>
      <c r="I203">
        <v>354.65300000000002</v>
      </c>
      <c r="J203">
        <v>-430.71039999999999</v>
      </c>
      <c r="K203">
        <v>1.0621499999999999</v>
      </c>
      <c r="L203">
        <v>367.55239999999998</v>
      </c>
      <c r="M203">
        <v>0.99997420000000004</v>
      </c>
      <c r="N203">
        <v>-4.6987720000000004E-3</v>
      </c>
      <c r="O203">
        <v>-5.4489569999999999E-3</v>
      </c>
      <c r="P203">
        <v>0.99722949999999999</v>
      </c>
      <c r="Q203">
        <v>-6.3964249999999999E-3</v>
      </c>
      <c r="R203">
        <v>7.4113209999999999E-2</v>
      </c>
      <c r="S203">
        <v>3.0208439999999999</v>
      </c>
      <c r="T203">
        <v>0.14794649999999901</v>
      </c>
      <c r="U203">
        <v>-0.1493225</v>
      </c>
      <c r="V203">
        <v>-7.9544539999999997E-2</v>
      </c>
      <c r="W203">
        <v>-1.7834280000000001E-3</v>
      </c>
      <c r="X203">
        <v>0.99682969999999904</v>
      </c>
      <c r="Y203">
        <v>4.3887759999999998E-2</v>
      </c>
      <c r="Z203">
        <v>6.7807659999999999E-4</v>
      </c>
      <c r="AA203">
        <v>0.99903629999999999</v>
      </c>
      <c r="AB203">
        <v>40</v>
      </c>
      <c r="AC203">
        <v>260.6216</v>
      </c>
      <c r="AD203">
        <v>12.78307</v>
      </c>
      <c r="AE203">
        <v>-12.899399999999901</v>
      </c>
      <c r="AF203">
        <v>11.451594759315901</v>
      </c>
      <c r="AG203">
        <v>12.78307</v>
      </c>
      <c r="AH203">
        <v>260.06390145031401</v>
      </c>
      <c r="AI203">
        <v>87.188692380753295</v>
      </c>
      <c r="AJ203">
        <v>87.478679409692504</v>
      </c>
      <c r="AK203">
        <v>260.629581472854</v>
      </c>
      <c r="AL203">
        <v>90.102182953407805</v>
      </c>
      <c r="AM203">
        <v>94.562393719573393</v>
      </c>
      <c r="AN203">
        <v>0.99999998263066603</v>
      </c>
    </row>
    <row r="204" spans="1:40" x14ac:dyDescent="0.25">
      <c r="A204" t="str">
        <f>"20190305135201263"</f>
        <v>20190305135201263</v>
      </c>
      <c r="B204" t="str">
        <f>"1551765121260343"</f>
        <v>1551765121260343</v>
      </c>
      <c r="C204" t="s">
        <v>40</v>
      </c>
      <c r="D204">
        <v>4.8270879999999998</v>
      </c>
      <c r="E204">
        <v>0.54605119999999996</v>
      </c>
      <c r="F204" t="s">
        <v>48</v>
      </c>
      <c r="G204">
        <v>-170.08879999999999</v>
      </c>
      <c r="H204">
        <v>14.49006</v>
      </c>
      <c r="I204">
        <v>354.89870000000002</v>
      </c>
      <c r="J204">
        <v>-430.30919999999998</v>
      </c>
      <c r="K204">
        <v>1.061466</v>
      </c>
      <c r="L204">
        <v>367.55040000000002</v>
      </c>
      <c r="M204">
        <v>0.99997720000000001</v>
      </c>
      <c r="N204">
        <v>-4.4037360000000001E-3</v>
      </c>
      <c r="O204">
        <v>-5.1192989999999999E-3</v>
      </c>
      <c r="P204">
        <v>0.99727619999999895</v>
      </c>
      <c r="Q204">
        <v>-6.287506E-3</v>
      </c>
      <c r="R204">
        <v>7.3489399999999899E-2</v>
      </c>
      <c r="S204">
        <v>3.020203</v>
      </c>
      <c r="T204">
        <v>0.15560969999999999</v>
      </c>
      <c r="U204">
        <v>-0.14663699999999999</v>
      </c>
      <c r="V204">
        <v>-7.8592369999999995E-2</v>
      </c>
      <c r="W204">
        <v>-1.9668419999999999E-3</v>
      </c>
      <c r="X204">
        <v>0.99690489999999998</v>
      </c>
      <c r="Y204">
        <v>4.33365E-2</v>
      </c>
      <c r="Z204">
        <v>7.3354309999999995E-4</v>
      </c>
      <c r="AA204">
        <v>0.99906030000000001</v>
      </c>
      <c r="AB204">
        <v>40</v>
      </c>
      <c r="AC204">
        <v>260.22039999999998</v>
      </c>
      <c r="AD204">
        <v>13.428594</v>
      </c>
      <c r="AE204">
        <v>-12.6517</v>
      </c>
      <c r="AF204">
        <v>11.2893820355167</v>
      </c>
      <c r="AG204">
        <v>13.428594</v>
      </c>
      <c r="AH204">
        <v>259.59208357407499</v>
      </c>
      <c r="AI204">
        <v>87.041543239054207</v>
      </c>
      <c r="AJ204">
        <v>87.509836916932002</v>
      </c>
      <c r="AK204">
        <v>260.18421769563599</v>
      </c>
      <c r="AL204">
        <v>90.1126918177345</v>
      </c>
      <c r="AM204">
        <v>94.507668423023802</v>
      </c>
      <c r="AN204">
        <v>1.00000000436684</v>
      </c>
    </row>
    <row r="205" spans="1:40" x14ac:dyDescent="0.25">
      <c r="A205" t="str">
        <f>"20190305135201286"</f>
        <v>20190305135201286</v>
      </c>
      <c r="B205" t="str">
        <f>"1551765121279863"</f>
        <v>1551765121279863</v>
      </c>
      <c r="C205" t="s">
        <v>40</v>
      </c>
      <c r="D205">
        <v>4.8521080000000003</v>
      </c>
      <c r="E205">
        <v>0.54545290000000002</v>
      </c>
      <c r="F205" t="s">
        <v>48</v>
      </c>
      <c r="G205">
        <v>-158.19499999999999</v>
      </c>
      <c r="H205">
        <v>15.65626</v>
      </c>
      <c r="I205">
        <v>354.64479999999998</v>
      </c>
      <c r="J205">
        <v>-429.88150000000002</v>
      </c>
      <c r="K205">
        <v>1.0608580000000001</v>
      </c>
      <c r="L205">
        <v>367.54840000000002</v>
      </c>
      <c r="M205">
        <v>0.99998030000000004</v>
      </c>
      <c r="N205">
        <v>-4.1346229999999996E-3</v>
      </c>
      <c r="O205">
        <v>-4.7735080000000001E-3</v>
      </c>
      <c r="P205">
        <v>0.99721630000000006</v>
      </c>
      <c r="Q205">
        <v>-7.9452610000000003E-3</v>
      </c>
      <c r="R205">
        <v>7.4142429999999995E-2</v>
      </c>
      <c r="S205">
        <v>3.0197750000000001</v>
      </c>
      <c r="T205">
        <v>0.161966</v>
      </c>
      <c r="U205">
        <v>-0.14321900000000001</v>
      </c>
      <c r="V205">
        <v>-7.8898540000000003E-2</v>
      </c>
      <c r="W205">
        <v>-3.8928309999999998E-3</v>
      </c>
      <c r="X205">
        <v>0.99687499999999996</v>
      </c>
      <c r="Y205">
        <v>4.255668E-2</v>
      </c>
      <c r="Z205">
        <v>7.7631789999999998E-4</v>
      </c>
      <c r="AA205">
        <v>0.99909380000000003</v>
      </c>
      <c r="AB205">
        <v>40</v>
      </c>
      <c r="AC205">
        <v>271.68650000000002</v>
      </c>
      <c r="AD205">
        <v>14.595402</v>
      </c>
      <c r="AE205">
        <v>-12.903600000000001</v>
      </c>
      <c r="AF205">
        <v>11.5732194151224</v>
      </c>
      <c r="AG205">
        <v>14.595402</v>
      </c>
      <c r="AH205">
        <v>270.964756810214</v>
      </c>
      <c r="AI205">
        <v>86.919569691547395</v>
      </c>
      <c r="AJ205">
        <v>87.554317174285202</v>
      </c>
      <c r="AK205">
        <v>271.604242603812</v>
      </c>
      <c r="AL205">
        <v>90.223043361220405</v>
      </c>
      <c r="AM205">
        <v>94.525291185558203</v>
      </c>
      <c r="AN205">
        <v>0.99999994968616102</v>
      </c>
    </row>
    <row r="206" spans="1:40" x14ac:dyDescent="0.25">
      <c r="A206" t="str">
        <f>"20190305135201298"</f>
        <v>20190305135201298</v>
      </c>
      <c r="B206" t="str">
        <f>"1551765121289623"</f>
        <v>1551765121289623</v>
      </c>
      <c r="C206" t="s">
        <v>40</v>
      </c>
      <c r="D206">
        <v>4.8594030000000004</v>
      </c>
      <c r="E206">
        <v>0.5452321</v>
      </c>
      <c r="F206" t="s">
        <v>48</v>
      </c>
      <c r="G206">
        <v>-158.19499999999999</v>
      </c>
      <c r="H206">
        <v>15.44416</v>
      </c>
      <c r="I206">
        <v>355.32459999999998</v>
      </c>
      <c r="J206">
        <v>-429.6481</v>
      </c>
      <c r="K206">
        <v>1.0605739999999999</v>
      </c>
      <c r="L206">
        <v>367.54739999999998</v>
      </c>
      <c r="M206">
        <v>0.99998149999999997</v>
      </c>
      <c r="N206">
        <v>-4.0081630000000004E-3</v>
      </c>
      <c r="O206">
        <v>-4.5859150000000003E-3</v>
      </c>
      <c r="P206">
        <v>0.99718459999999998</v>
      </c>
      <c r="Q206">
        <v>-9.1999100000000004E-3</v>
      </c>
      <c r="R206">
        <v>7.4418319999999996E-2</v>
      </c>
      <c r="S206">
        <v>3.019714</v>
      </c>
      <c r="T206">
        <v>0.15986700000000001</v>
      </c>
      <c r="U206">
        <v>-0.13586429999999999</v>
      </c>
      <c r="V206">
        <v>-7.8985970000000003E-2</v>
      </c>
      <c r="W206">
        <v>-5.2734519999999997E-3</v>
      </c>
      <c r="X206">
        <v>0.99686180000000002</v>
      </c>
      <c r="Y206">
        <v>4.0320500000000002E-2</v>
      </c>
      <c r="Z206">
        <v>7.2427940000000001E-4</v>
      </c>
      <c r="AA206">
        <v>0.99918649999999998</v>
      </c>
      <c r="AB206">
        <v>41</v>
      </c>
      <c r="AC206">
        <v>271.45310000000001</v>
      </c>
      <c r="AD206">
        <v>14.383585999999999</v>
      </c>
      <c r="AE206">
        <v>-12.222799999999999</v>
      </c>
      <c r="AF206">
        <v>10.947127050951201</v>
      </c>
      <c r="AG206">
        <v>14.383585999999999</v>
      </c>
      <c r="AH206">
        <v>270.74766899547399</v>
      </c>
      <c r="AI206">
        <v>86.961473938685302</v>
      </c>
      <c r="AJ206">
        <v>87.684623787350205</v>
      </c>
      <c r="AK206">
        <v>271.35037756261198</v>
      </c>
      <c r="AL206">
        <v>90.302147937294095</v>
      </c>
      <c r="AM206">
        <v>94.530344681298999</v>
      </c>
      <c r="AN206">
        <v>1.00000002052603</v>
      </c>
    </row>
    <row r="207" spans="1:40" x14ac:dyDescent="0.25">
      <c r="A207" t="str">
        <f>"20190305135201319"</f>
        <v>20190305135201319</v>
      </c>
      <c r="B207" t="str">
        <f>"1551765121310120"</f>
        <v>1551765121310120</v>
      </c>
      <c r="C207" t="s">
        <v>40</v>
      </c>
      <c r="D207">
        <v>4.8274850000000002</v>
      </c>
      <c r="E207">
        <v>0.54515040000000003</v>
      </c>
      <c r="F207" t="s">
        <v>48</v>
      </c>
      <c r="G207">
        <v>-158.19499999999999</v>
      </c>
      <c r="H207">
        <v>15.278549999999999</v>
      </c>
      <c r="I207">
        <v>355.58179999999999</v>
      </c>
      <c r="J207">
        <v>-429.27260000000001</v>
      </c>
      <c r="K207">
        <v>1.06016</v>
      </c>
      <c r="L207">
        <v>367.54579999999999</v>
      </c>
      <c r="M207">
        <v>0.99998370000000003</v>
      </c>
      <c r="N207">
        <v>-3.8242969999999999E-3</v>
      </c>
      <c r="O207">
        <v>-4.2851190000000004E-3</v>
      </c>
      <c r="P207">
        <v>0.99707979999999996</v>
      </c>
      <c r="Q207">
        <v>-1.127542E-2</v>
      </c>
      <c r="R207">
        <v>7.5531600000000004E-2</v>
      </c>
      <c r="S207">
        <v>3.0198969999999998</v>
      </c>
      <c r="T207">
        <v>0.15817500000000001</v>
      </c>
      <c r="U207">
        <v>-0.13311770000000001</v>
      </c>
      <c r="V207">
        <v>-7.9797160000000006E-2</v>
      </c>
      <c r="W207">
        <v>-7.5329109999999998E-3</v>
      </c>
      <c r="X207">
        <v>0.99678270000000002</v>
      </c>
      <c r="Y207">
        <v>3.971243E-2</v>
      </c>
      <c r="Z207">
        <v>7.2223990000000004E-4</v>
      </c>
      <c r="AA207">
        <v>0.99921090000000001</v>
      </c>
      <c r="AB207">
        <v>41</v>
      </c>
      <c r="AC207">
        <v>271.07760000000002</v>
      </c>
      <c r="AD207">
        <v>14.218389999999999</v>
      </c>
      <c r="AE207">
        <v>-11.964</v>
      </c>
      <c r="AF207">
        <v>10.7727024562425</v>
      </c>
      <c r="AG207">
        <v>14.218389999999999</v>
      </c>
      <c r="AH207">
        <v>270.38395919108598</v>
      </c>
      <c r="AI207">
        <v>86.992203142065605</v>
      </c>
      <c r="AJ207">
        <v>87.7184145862484</v>
      </c>
      <c r="AK207">
        <v>270.97176812400602</v>
      </c>
      <c r="AL207">
        <v>90.431608071922</v>
      </c>
      <c r="AM207">
        <v>94.577036536457001</v>
      </c>
      <c r="AN207">
        <v>1.0000000412557399</v>
      </c>
    </row>
    <row r="208" spans="1:40" x14ac:dyDescent="0.25">
      <c r="A208" t="str">
        <f>"20190305135201334"</f>
        <v>20190305135201334</v>
      </c>
      <c r="B208" t="str">
        <f>"1551765121329640"</f>
        <v>1551765121329640</v>
      </c>
      <c r="C208" t="s">
        <v>40</v>
      </c>
      <c r="D208">
        <v>4.8701210000000001</v>
      </c>
      <c r="E208">
        <v>0.545045</v>
      </c>
      <c r="F208" t="s">
        <v>48</v>
      </c>
      <c r="G208">
        <v>-170.08879999999999</v>
      </c>
      <c r="H208">
        <v>14.14617</v>
      </c>
      <c r="I208">
        <v>356.45780000000002</v>
      </c>
      <c r="J208">
        <v>-429.00830000000002</v>
      </c>
      <c r="K208">
        <v>1.0599099999999999</v>
      </c>
      <c r="L208">
        <v>367.54480000000001</v>
      </c>
      <c r="M208">
        <v>0.99998480000000001</v>
      </c>
      <c r="N208">
        <v>-3.7115550000000001E-3</v>
      </c>
      <c r="O208">
        <v>-4.0734839999999996E-3</v>
      </c>
      <c r="P208">
        <v>0.99706430000000001</v>
      </c>
      <c r="Q208">
        <v>-1.1751549999999999E-2</v>
      </c>
      <c r="R208">
        <v>7.5662080000000007E-2</v>
      </c>
      <c r="S208">
        <v>3.0203250000000001</v>
      </c>
      <c r="T208">
        <v>0.15249509999999999</v>
      </c>
      <c r="U208">
        <v>-0.1292114</v>
      </c>
      <c r="V208">
        <v>-7.9715980000000006E-2</v>
      </c>
      <c r="W208">
        <v>-8.121105E-3</v>
      </c>
      <c r="X208">
        <v>0.99678449999999996</v>
      </c>
      <c r="Y208">
        <v>3.863188E-2</v>
      </c>
      <c r="Z208">
        <v>6.8188089999999895E-4</v>
      </c>
      <c r="AA208">
        <v>0.99925330000000001</v>
      </c>
      <c r="AB208">
        <v>41</v>
      </c>
      <c r="AC208">
        <v>258.91950000000003</v>
      </c>
      <c r="AD208">
        <v>13.086259999999999</v>
      </c>
      <c r="AE208">
        <v>-11.0869999999999</v>
      </c>
      <c r="AF208">
        <v>10.0066812637341</v>
      </c>
      <c r="AG208">
        <v>13.086259999999999</v>
      </c>
      <c r="AH208">
        <v>258.30389176180103</v>
      </c>
      <c r="AI208">
        <v>87.101915887536606</v>
      </c>
      <c r="AJ208">
        <v>87.781473452570594</v>
      </c>
      <c r="AK208">
        <v>258.828677642169</v>
      </c>
      <c r="AL208">
        <v>90.465310172754002</v>
      </c>
      <c r="AM208">
        <v>94.572391715007797</v>
      </c>
      <c r="AN208">
        <v>0.99999996462701501</v>
      </c>
    </row>
    <row r="209" spans="1:40" x14ac:dyDescent="0.25">
      <c r="A209" t="str">
        <f>"20190305135201353"</f>
        <v>20190305135201353</v>
      </c>
      <c r="B209" t="str">
        <f>"1551765121350135"</f>
        <v>1551765121350135</v>
      </c>
      <c r="C209" t="s">
        <v>40</v>
      </c>
      <c r="D209">
        <v>4.8352510000000004</v>
      </c>
      <c r="E209">
        <v>0.54506160000000003</v>
      </c>
      <c r="F209" t="s">
        <v>48</v>
      </c>
      <c r="G209">
        <v>-170.08879999999999</v>
      </c>
      <c r="H209">
        <v>13.91168</v>
      </c>
      <c r="I209">
        <v>356.55439999999999</v>
      </c>
      <c r="J209">
        <v>-428.65940000000001</v>
      </c>
      <c r="K209">
        <v>1.059612</v>
      </c>
      <c r="L209">
        <v>367.54360000000003</v>
      </c>
      <c r="M209">
        <v>0.99998640000000005</v>
      </c>
      <c r="N209">
        <v>-3.579952E-3</v>
      </c>
      <c r="O209">
        <v>-3.7947150000000002E-3</v>
      </c>
      <c r="P209">
        <v>0.99699280000000001</v>
      </c>
      <c r="Q209">
        <v>-1.361476E-2</v>
      </c>
      <c r="R209">
        <v>7.6290049999999998E-2</v>
      </c>
      <c r="S209">
        <v>3.0203250000000001</v>
      </c>
      <c r="T209">
        <v>0.1499183</v>
      </c>
      <c r="U209">
        <v>-0.12820429999999999</v>
      </c>
      <c r="V209">
        <v>-8.0064350000000006E-2</v>
      </c>
      <c r="W209">
        <v>-1.011569E-2</v>
      </c>
      <c r="X209">
        <v>0.99673840000000002</v>
      </c>
      <c r="Y209">
        <v>3.8578769999999998E-2</v>
      </c>
      <c r="Z209">
        <v>6.8559079999999998E-4</v>
      </c>
      <c r="AA209">
        <v>0.99925529999999996</v>
      </c>
      <c r="AB209">
        <v>41</v>
      </c>
      <c r="AC209">
        <v>258.57060000000001</v>
      </c>
      <c r="AD209">
        <v>12.852067999999999</v>
      </c>
      <c r="AE209">
        <v>-10.9892</v>
      </c>
      <c r="AF209">
        <v>9.9832934412570395</v>
      </c>
      <c r="AG209">
        <v>12.852067999999999</v>
      </c>
      <c r="AH209">
        <v>257.97425887844298</v>
      </c>
      <c r="AI209">
        <v>87.150058531787906</v>
      </c>
      <c r="AJ209">
        <v>87.783828136505207</v>
      </c>
      <c r="AK209">
        <v>258.48705972193801</v>
      </c>
      <c r="AL209">
        <v>90.579596209949202</v>
      </c>
      <c r="AM209">
        <v>94.592499912928503</v>
      </c>
      <c r="AN209">
        <v>1.00000003267982</v>
      </c>
    </row>
    <row r="210" spans="1:40" x14ac:dyDescent="0.25">
      <c r="A210" t="str">
        <f>"20190305135201371"</f>
        <v>20190305135201371</v>
      </c>
      <c r="B210" t="str">
        <f>"1551765121359895"</f>
        <v>1551765121359895</v>
      </c>
      <c r="C210" t="s">
        <v>40</v>
      </c>
      <c r="D210">
        <v>4.8659460000000001</v>
      </c>
      <c r="E210">
        <v>0.544987</v>
      </c>
      <c r="F210" t="s">
        <v>48</v>
      </c>
      <c r="G210">
        <v>-170.08879999999999</v>
      </c>
      <c r="H210">
        <v>13.23715</v>
      </c>
      <c r="I210">
        <v>356.72089999999997</v>
      </c>
      <c r="J210">
        <v>-428.32990000000001</v>
      </c>
      <c r="K210">
        <v>1.05938</v>
      </c>
      <c r="L210">
        <v>367.54250000000002</v>
      </c>
      <c r="M210">
        <v>0.99998790000000004</v>
      </c>
      <c r="N210">
        <v>-3.4726700000000002E-3</v>
      </c>
      <c r="O210">
        <v>-3.531602E-3</v>
      </c>
      <c r="P210">
        <v>0.99695869999999998</v>
      </c>
      <c r="Q210">
        <v>-1.457139E-2</v>
      </c>
      <c r="R210">
        <v>7.6559039999999995E-2</v>
      </c>
      <c r="S210">
        <v>3.0206909999999998</v>
      </c>
      <c r="T210">
        <v>0.14226220000000001</v>
      </c>
      <c r="U210">
        <v>-0.1264343</v>
      </c>
      <c r="V210">
        <v>-8.0069630000000003E-2</v>
      </c>
      <c r="W210">
        <v>-1.1179069999999999E-2</v>
      </c>
      <c r="X210">
        <v>0.99672660000000002</v>
      </c>
      <c r="Y210">
        <v>3.8255989999999997E-2</v>
      </c>
      <c r="Z210">
        <v>6.5506210000000002E-4</v>
      </c>
      <c r="AA210">
        <v>0.99926780000000004</v>
      </c>
      <c r="AB210">
        <v>41</v>
      </c>
      <c r="AC210">
        <v>258.24110000000002</v>
      </c>
      <c r="AD210">
        <v>12.177770000000001</v>
      </c>
      <c r="AE210">
        <v>-10.8216</v>
      </c>
      <c r="AF210">
        <v>9.8875734909550506</v>
      </c>
      <c r="AG210">
        <v>12.177770000000001</v>
      </c>
      <c r="AH210">
        <v>257.70564053508002</v>
      </c>
      <c r="AI210">
        <v>87.296511168457897</v>
      </c>
      <c r="AJ210">
        <v>87.802770289015896</v>
      </c>
      <c r="AK210">
        <v>258.18260854540102</v>
      </c>
      <c r="AL210">
        <v>90.640526861254799</v>
      </c>
      <c r="AM210">
        <v>94.592855619070207</v>
      </c>
      <c r="AN210">
        <v>1.0000000162009799</v>
      </c>
    </row>
    <row r="211" spans="1:40" x14ac:dyDescent="0.25">
      <c r="A211" t="str">
        <f>"20190305135201388"</f>
        <v>20190305135201388</v>
      </c>
      <c r="B211" t="str">
        <f>"1551765121379415"</f>
        <v>1551765121379415</v>
      </c>
      <c r="C211" t="s">
        <v>40</v>
      </c>
      <c r="D211">
        <v>4.8256129999999997</v>
      </c>
      <c r="E211">
        <v>0.54490559999999999</v>
      </c>
      <c r="F211" t="s">
        <v>48</v>
      </c>
      <c r="G211">
        <v>-170.08879999999999</v>
      </c>
      <c r="H211">
        <v>12.947340000000001</v>
      </c>
      <c r="I211">
        <v>356.84620000000001</v>
      </c>
      <c r="J211">
        <v>-428.01150000000001</v>
      </c>
      <c r="K211">
        <v>1.059169</v>
      </c>
      <c r="L211">
        <v>367.54160000000002</v>
      </c>
      <c r="M211">
        <v>0.99998889999999996</v>
      </c>
      <c r="N211">
        <v>-3.383067E-3</v>
      </c>
      <c r="O211">
        <v>-3.2769790000000002E-3</v>
      </c>
      <c r="P211">
        <v>0.99692130000000001</v>
      </c>
      <c r="Q211">
        <v>-1.5952359999999999E-2</v>
      </c>
      <c r="R211">
        <v>7.6767390000000005E-2</v>
      </c>
      <c r="S211">
        <v>3.020813</v>
      </c>
      <c r="T211">
        <v>0.13906199999999999</v>
      </c>
      <c r="U211">
        <v>-0.12512210000000001</v>
      </c>
      <c r="V211">
        <v>-8.0023549999999999E-2</v>
      </c>
      <c r="W211">
        <v>-1.2649179999999999E-2</v>
      </c>
      <c r="X211">
        <v>0.99671270000000001</v>
      </c>
      <c r="Y211">
        <v>3.8076800000000001E-2</v>
      </c>
      <c r="Z211">
        <v>6.4933679999999998E-4</v>
      </c>
      <c r="AA211">
        <v>0.99927460000000001</v>
      </c>
      <c r="AB211">
        <v>41</v>
      </c>
      <c r="AC211">
        <v>257.92270000000002</v>
      </c>
      <c r="AD211">
        <v>11.8881709999999</v>
      </c>
      <c r="AE211">
        <v>-10.695399999999999</v>
      </c>
      <c r="AF211">
        <v>9.8292842669242297</v>
      </c>
      <c r="AG211">
        <v>11.8881709999999</v>
      </c>
      <c r="AH211">
        <v>257.41044145776198</v>
      </c>
      <c r="AI211">
        <v>87.357669843983501</v>
      </c>
      <c r="AJ211">
        <v>87.813208294934995</v>
      </c>
      <c r="AK211">
        <v>257.87221411079798</v>
      </c>
      <c r="AL211">
        <v>90.724763964890201</v>
      </c>
      <c r="AM211">
        <v>94.590287474391502</v>
      </c>
      <c r="AN211">
        <v>0.99999998832528203</v>
      </c>
    </row>
    <row r="212" spans="1:40" x14ac:dyDescent="0.25">
      <c r="A212" t="str">
        <f>"20190305135201409"</f>
        <v>20190305135201409</v>
      </c>
      <c r="B212" t="str">
        <f>"1551765121399911"</f>
        <v>1551765121399911</v>
      </c>
      <c r="C212" t="s">
        <v>40</v>
      </c>
      <c r="D212">
        <v>4.8372549999999999</v>
      </c>
      <c r="E212">
        <v>0.54476480000000005</v>
      </c>
      <c r="F212" t="s">
        <v>50</v>
      </c>
      <c r="G212">
        <v>-249.661</v>
      </c>
      <c r="H212">
        <v>8.981662</v>
      </c>
      <c r="I212">
        <v>360.2285</v>
      </c>
      <c r="J212">
        <v>-427.61489999999998</v>
      </c>
      <c r="K212">
        <v>1.058964</v>
      </c>
      <c r="L212">
        <v>367.54039999999998</v>
      </c>
      <c r="M212">
        <v>0.99999020000000005</v>
      </c>
      <c r="N212">
        <v>-3.2901829999999999E-3</v>
      </c>
      <c r="O212">
        <v>-2.9608429999999999E-3</v>
      </c>
      <c r="P212">
        <v>0.99692049999999999</v>
      </c>
      <c r="Q212">
        <v>-1.5992159999999998E-2</v>
      </c>
      <c r="R212">
        <v>7.6772229999999997E-2</v>
      </c>
      <c r="S212">
        <v>3.020966</v>
      </c>
      <c r="T212">
        <v>0.1341956</v>
      </c>
      <c r="U212">
        <v>-0.1238708</v>
      </c>
      <c r="V212">
        <v>-7.9712580000000005E-2</v>
      </c>
      <c r="W212">
        <v>-1.278112E-2</v>
      </c>
      <c r="X212">
        <v>0.99673590000000001</v>
      </c>
      <c r="Y212">
        <v>3.7979510000000001E-2</v>
      </c>
      <c r="Z212">
        <v>6.3911230000000005E-4</v>
      </c>
      <c r="AA212">
        <v>0.99927829999999995</v>
      </c>
      <c r="AB212">
        <v>41</v>
      </c>
      <c r="AC212">
        <v>177.9539</v>
      </c>
      <c r="AD212">
        <v>7.9226979999999996</v>
      </c>
      <c r="AE212">
        <v>-7.3118999999999801</v>
      </c>
      <c r="AF212">
        <v>6.7715720516487696</v>
      </c>
      <c r="AG212">
        <v>7.9226979999999996</v>
      </c>
      <c r="AH212">
        <v>177.62329118329399</v>
      </c>
      <c r="AI212">
        <v>87.447926917503693</v>
      </c>
      <c r="AJ212">
        <v>87.816757597608202</v>
      </c>
      <c r="AK212">
        <v>177.92879728260701</v>
      </c>
      <c r="AL212">
        <v>90.732324206889302</v>
      </c>
      <c r="AM212">
        <v>94.5724195140604</v>
      </c>
      <c r="AN212">
        <v>0.99999995339375902</v>
      </c>
    </row>
    <row r="213" spans="1:40" x14ac:dyDescent="0.25">
      <c r="A213" t="str">
        <f>"20190305135201422"</f>
        <v>20190305135201422</v>
      </c>
      <c r="B213" t="str">
        <f>"1551765121409672"</f>
        <v>1551765121409672</v>
      </c>
      <c r="C213" t="s">
        <v>40</v>
      </c>
      <c r="D213">
        <v>4.9018550000000003</v>
      </c>
      <c r="E213">
        <v>0.54472039999999999</v>
      </c>
      <c r="F213" t="s">
        <v>50</v>
      </c>
      <c r="G213">
        <v>-249.62620000000001</v>
      </c>
      <c r="H213">
        <v>8.9586769999999998</v>
      </c>
      <c r="I213">
        <v>360.31040000000002</v>
      </c>
      <c r="J213">
        <v>-427.37689999999998</v>
      </c>
      <c r="K213">
        <v>1.0588569999999999</v>
      </c>
      <c r="L213">
        <v>367.53980000000001</v>
      </c>
      <c r="M213">
        <v>0.99999090000000002</v>
      </c>
      <c r="N213">
        <v>-3.242371E-3</v>
      </c>
      <c r="O213">
        <v>-2.7713630000000002E-3</v>
      </c>
      <c r="P213">
        <v>0.99692510000000001</v>
      </c>
      <c r="Q213">
        <v>-1.66842E-2</v>
      </c>
      <c r="R213">
        <v>7.6565469999999997E-2</v>
      </c>
      <c r="S213">
        <v>3.020905</v>
      </c>
      <c r="T213">
        <v>0.134079</v>
      </c>
      <c r="U213">
        <v>-0.12271120000000001</v>
      </c>
      <c r="V213">
        <v>-7.9316380000000006E-2</v>
      </c>
      <c r="W213">
        <v>-1.352041E-2</v>
      </c>
      <c r="X213">
        <v>0.99675780000000003</v>
      </c>
      <c r="Y213">
        <v>3.7786670000000001E-2</v>
      </c>
      <c r="Z213">
        <v>6.446186E-4</v>
      </c>
      <c r="AA213">
        <v>0.9992856</v>
      </c>
      <c r="AB213">
        <v>42</v>
      </c>
      <c r="AC213">
        <v>177.750699999999</v>
      </c>
      <c r="AD213">
        <v>7.8998200000000001</v>
      </c>
      <c r="AE213">
        <v>-7.2293999999999903</v>
      </c>
      <c r="AF213">
        <v>6.7234995874978303</v>
      </c>
      <c r="AG213">
        <v>7.8998200000000001</v>
      </c>
      <c r="AH213">
        <v>177.420190613946</v>
      </c>
      <c r="AI213">
        <v>87.452355558318203</v>
      </c>
      <c r="AJ213">
        <v>87.829762787377007</v>
      </c>
      <c r="AK213">
        <v>177.72320231254099</v>
      </c>
      <c r="AL213">
        <v>90.774686033227397</v>
      </c>
      <c r="AM213">
        <v>94.5496890658398</v>
      </c>
      <c r="AN213">
        <v>1.0000000007418499</v>
      </c>
    </row>
    <row r="214" spans="1:40" x14ac:dyDescent="0.25">
      <c r="A214" t="str">
        <f>"20190305135201435"</f>
        <v>20190305135201435</v>
      </c>
      <c r="B214" t="str">
        <f>"1551765121430167"</f>
        <v>1551765121430167</v>
      </c>
      <c r="C214" t="s">
        <v>40</v>
      </c>
      <c r="D214">
        <v>4.7897309999999997</v>
      </c>
      <c r="E214">
        <v>0.53588519999999995</v>
      </c>
      <c r="F214" t="s">
        <v>50</v>
      </c>
      <c r="G214">
        <v>-249.67789999999999</v>
      </c>
      <c r="H214">
        <v>8.8558310000000002</v>
      </c>
      <c r="I214">
        <v>360.29649999999998</v>
      </c>
      <c r="J214">
        <v>-427.15660000000003</v>
      </c>
      <c r="K214">
        <v>1.0587679999999999</v>
      </c>
      <c r="L214">
        <v>367.53930000000003</v>
      </c>
      <c r="M214">
        <v>0.99999159999999998</v>
      </c>
      <c r="N214">
        <v>-3.2041719999999999E-3</v>
      </c>
      <c r="O214">
        <v>-2.596199E-3</v>
      </c>
      <c r="P214">
        <v>0.99695180000000005</v>
      </c>
      <c r="Q214">
        <v>-1.691059E-2</v>
      </c>
      <c r="R214">
        <v>7.6166849999999994E-2</v>
      </c>
      <c r="S214">
        <v>3.0209350000000001</v>
      </c>
      <c r="T214">
        <v>0.13255229999999901</v>
      </c>
      <c r="U214">
        <v>-0.1231384</v>
      </c>
      <c r="V214">
        <v>-7.8743350000000004E-2</v>
      </c>
      <c r="W214">
        <v>-1.3784289999999999E-2</v>
      </c>
      <c r="X214">
        <v>0.99679960000000001</v>
      </c>
      <c r="Y214">
        <v>3.8102619999999997E-2</v>
      </c>
      <c r="Z214">
        <v>6.5196359999999997E-4</v>
      </c>
      <c r="AA214">
        <v>0.99927359999999998</v>
      </c>
      <c r="AB214">
        <v>42</v>
      </c>
      <c r="AC214">
        <v>177.4787</v>
      </c>
      <c r="AD214">
        <v>7.7970629999999996</v>
      </c>
      <c r="AE214">
        <v>-7.2428000000000399</v>
      </c>
      <c r="AF214">
        <v>6.7689605072007604</v>
      </c>
      <c r="AG214">
        <v>7.7970629999999996</v>
      </c>
      <c r="AH214">
        <v>177.15555429826</v>
      </c>
      <c r="AI214">
        <v>87.481729771444193</v>
      </c>
      <c r="AJ214">
        <v>87.811842264112698</v>
      </c>
      <c r="AK214">
        <v>177.456201459677</v>
      </c>
      <c r="AL214">
        <v>90.789806667417693</v>
      </c>
      <c r="AM214">
        <v>94.516767214883899</v>
      </c>
      <c r="AN214">
        <v>0.99999998219009301</v>
      </c>
    </row>
    <row r="215" spans="1:40" x14ac:dyDescent="0.25">
      <c r="A215" t="str">
        <f>"20190305135201454"</f>
        <v>20190305135201454</v>
      </c>
      <c r="B215" t="str">
        <f>"1551765121449687"</f>
        <v>1551765121449687</v>
      </c>
      <c r="C215" t="s">
        <v>40</v>
      </c>
      <c r="D215">
        <v>4.8332639999999998</v>
      </c>
      <c r="E215">
        <v>0.53335959999999905</v>
      </c>
      <c r="F215" t="s">
        <v>48</v>
      </c>
      <c r="G215">
        <v>-158.19499999999999</v>
      </c>
      <c r="H215">
        <v>3.8788399999999998</v>
      </c>
      <c r="I215">
        <v>362.5829</v>
      </c>
      <c r="J215">
        <v>-426.78550000000001</v>
      </c>
      <c r="K215">
        <v>1.0586340000000001</v>
      </c>
      <c r="L215">
        <v>367.5385</v>
      </c>
      <c r="M215">
        <v>0.99999249999999995</v>
      </c>
      <c r="N215">
        <v>-3.1487189999999999E-3</v>
      </c>
      <c r="O215">
        <v>-2.301567E-3</v>
      </c>
      <c r="P215">
        <v>0.99695279999999997</v>
      </c>
      <c r="Q215">
        <v>-1.7783429999999999E-2</v>
      </c>
      <c r="R215">
        <v>7.5955729999999999E-2</v>
      </c>
      <c r="S215">
        <v>3.0139770000000001</v>
      </c>
      <c r="T215">
        <v>3.1602619999999998E-2</v>
      </c>
      <c r="U215">
        <v>-5.5541989999999999E-2</v>
      </c>
      <c r="V215">
        <v>-7.823753E-2</v>
      </c>
      <c r="W215">
        <v>-1.4712050000000001E-2</v>
      </c>
      <c r="X215">
        <v>0.9968262</v>
      </c>
      <c r="Y215">
        <v>1.6123370000000001E-2</v>
      </c>
      <c r="Z215" s="1">
        <v>2.775741E-5</v>
      </c>
      <c r="AA215">
        <v>0.99987000000000004</v>
      </c>
      <c r="AB215">
        <v>42</v>
      </c>
      <c r="AC215">
        <v>268.59050000000002</v>
      </c>
      <c r="AD215">
        <v>2.8202060000000002</v>
      </c>
      <c r="AE215">
        <v>-4.9555999999999996</v>
      </c>
      <c r="AF215">
        <v>4.3369268586567298</v>
      </c>
      <c r="AG215">
        <v>2.8202060000000002</v>
      </c>
      <c r="AH215">
        <v>268.57159424004101</v>
      </c>
      <c r="AI215">
        <v>89.398451271110403</v>
      </c>
      <c r="AJ215">
        <v>89.074861172699897</v>
      </c>
      <c r="AK215">
        <v>268.62141338526402</v>
      </c>
      <c r="AL215">
        <v>90.8429687721422</v>
      </c>
      <c r="AM215">
        <v>94.487752707573904</v>
      </c>
      <c r="AN215">
        <v>1.0000000142610701</v>
      </c>
    </row>
    <row r="216" spans="1:40" x14ac:dyDescent="0.25">
      <c r="A216" t="str">
        <f>"20190305135201477"</f>
        <v>20190305135201477</v>
      </c>
      <c r="B216" t="str">
        <f>"1551765121470183"</f>
        <v>1551765121470183</v>
      </c>
      <c r="C216" t="s">
        <v>40</v>
      </c>
      <c r="D216">
        <v>4.7434379999999896</v>
      </c>
      <c r="E216">
        <v>0.53280079999999996</v>
      </c>
      <c r="F216" t="s">
        <v>42</v>
      </c>
      <c r="G216">
        <v>-371.40809999999999</v>
      </c>
      <c r="H216" s="1">
        <v>-4.158949E-6</v>
      </c>
      <c r="I216">
        <v>366.84969999999998</v>
      </c>
      <c r="J216">
        <v>-426.34969999999998</v>
      </c>
      <c r="K216">
        <v>1.0585059999999999</v>
      </c>
      <c r="L216">
        <v>367.53769999999997</v>
      </c>
      <c r="M216">
        <v>0.99999340000000003</v>
      </c>
      <c r="N216">
        <v>-3.0982449999999999E-3</v>
      </c>
      <c r="O216">
        <v>-1.9566340000000001E-3</v>
      </c>
      <c r="P216">
        <v>0.99696989999999996</v>
      </c>
      <c r="Q216">
        <v>-1.9787760000000001E-2</v>
      </c>
      <c r="R216">
        <v>7.5230900000000003E-2</v>
      </c>
      <c r="S216">
        <v>3.0109859999999999</v>
      </c>
      <c r="T216">
        <v>-5.7560319999999998E-2</v>
      </c>
      <c r="U216">
        <v>-3.7445069999999997E-2</v>
      </c>
      <c r="V216">
        <v>-7.716692E-2</v>
      </c>
      <c r="W216">
        <v>-1.67659E-2</v>
      </c>
      <c r="X216">
        <v>0.99687720000000002</v>
      </c>
      <c r="Y216">
        <v>1.04767E-2</v>
      </c>
      <c r="Z216" s="1">
        <v>-8.5021290000000005E-5</v>
      </c>
      <c r="AA216">
        <v>0.99994510000000003</v>
      </c>
      <c r="AB216">
        <v>42</v>
      </c>
      <c r="AC216">
        <v>54.941600000000001</v>
      </c>
      <c r="AD216">
        <v>-1.058510158949</v>
      </c>
      <c r="AE216">
        <v>-0.68799999999998795</v>
      </c>
      <c r="AF216">
        <v>0.58028221989344897</v>
      </c>
      <c r="AG216">
        <v>-1.058510158949</v>
      </c>
      <c r="AH216">
        <v>54.922457942509197</v>
      </c>
      <c r="AI216">
        <v>91.104052440993598</v>
      </c>
      <c r="AJ216">
        <v>89.394665018398797</v>
      </c>
      <c r="AK216">
        <v>54.9357220545795</v>
      </c>
      <c r="AL216">
        <v>90.960660328734505</v>
      </c>
      <c r="AM216">
        <v>94.426362058185404</v>
      </c>
      <c r="AN216">
        <v>0.99999999041246801</v>
      </c>
    </row>
    <row r="217" spans="1:40" x14ac:dyDescent="0.25">
      <c r="A217" t="str">
        <f>"20190305135201488"</f>
        <v>20190305135201488</v>
      </c>
      <c r="B217" t="str">
        <f>"1551765121479943"</f>
        <v>1551765121479943</v>
      </c>
      <c r="C217" t="s">
        <v>40</v>
      </c>
      <c r="D217">
        <v>4.8609499999999999</v>
      </c>
      <c r="E217">
        <v>0.53294759999999997</v>
      </c>
      <c r="F217" t="s">
        <v>42</v>
      </c>
      <c r="G217">
        <v>-391.44369999999998</v>
      </c>
      <c r="H217" s="1">
        <v>-4.0949030000000003E-6</v>
      </c>
      <c r="I217">
        <v>367.12459999999999</v>
      </c>
      <c r="J217">
        <v>-426.12029999999999</v>
      </c>
      <c r="K217">
        <v>1.058446</v>
      </c>
      <c r="L217">
        <v>367.53739999999999</v>
      </c>
      <c r="M217">
        <v>0.99999369999999999</v>
      </c>
      <c r="N217">
        <v>-3.0768229999999998E-3</v>
      </c>
      <c r="O217">
        <v>-1.7748149999999999E-3</v>
      </c>
      <c r="P217">
        <v>0.99696340000000006</v>
      </c>
      <c r="Q217">
        <v>-2.0792850000000002E-2</v>
      </c>
      <c r="R217">
        <v>7.5044680000000002E-2</v>
      </c>
      <c r="S217">
        <v>3.0100099999999999</v>
      </c>
      <c r="T217">
        <v>-9.1276999999999997E-2</v>
      </c>
      <c r="U217">
        <v>-3.5614010000000001E-2</v>
      </c>
      <c r="V217">
        <v>-7.6798599999999995E-2</v>
      </c>
      <c r="W217">
        <v>-1.7792160000000001E-2</v>
      </c>
      <c r="X217">
        <v>0.99688790000000005</v>
      </c>
      <c r="Y217">
        <v>1.0051879999999999E-2</v>
      </c>
      <c r="Z217">
        <v>-1.194908E-4</v>
      </c>
      <c r="AA217">
        <v>0.99994950000000005</v>
      </c>
      <c r="AB217">
        <v>42</v>
      </c>
      <c r="AC217">
        <v>34.676600000000001</v>
      </c>
      <c r="AD217">
        <v>-1.058450094903</v>
      </c>
      <c r="AE217">
        <v>-0.412800000000004</v>
      </c>
      <c r="AF217">
        <v>0.35092760256962302</v>
      </c>
      <c r="AG217">
        <v>-1.058450094903</v>
      </c>
      <c r="AH217">
        <v>34.645004474235698</v>
      </c>
      <c r="AI217">
        <v>91.749826808419101</v>
      </c>
      <c r="AJ217">
        <v>89.419657083871499</v>
      </c>
      <c r="AK217">
        <v>34.662945659673198</v>
      </c>
      <c r="AL217">
        <v>91.019469432379694</v>
      </c>
      <c r="AM217">
        <v>94.405271166880198</v>
      </c>
      <c r="AN217">
        <v>1.0000000355429099</v>
      </c>
    </row>
    <row r="218" spans="1:40" x14ac:dyDescent="0.25">
      <c r="A218" t="str">
        <f>"20190305135201501"</f>
        <v>20190305135201501</v>
      </c>
      <c r="B218" t="str">
        <f>"1551765121489703"</f>
        <v>1551765121489703</v>
      </c>
      <c r="C218" t="s">
        <v>40</v>
      </c>
      <c r="D218">
        <v>4.8542439999999996</v>
      </c>
      <c r="E218">
        <v>0.53313489999999997</v>
      </c>
      <c r="F218" t="s">
        <v>42</v>
      </c>
      <c r="G218">
        <v>-391.7867</v>
      </c>
      <c r="H218" s="1">
        <v>-3.9505130000000003E-6</v>
      </c>
      <c r="I218">
        <v>367.10910000000001</v>
      </c>
      <c r="J218">
        <v>-425.88279999999997</v>
      </c>
      <c r="K218">
        <v>1.0583899999999999</v>
      </c>
      <c r="L218">
        <v>367.53699999999998</v>
      </c>
      <c r="M218">
        <v>0.9999941</v>
      </c>
      <c r="N218">
        <v>-3.0588519999999999E-3</v>
      </c>
      <c r="O218">
        <v>-1.5871570000000001E-3</v>
      </c>
      <c r="P218">
        <v>0.99698600000000004</v>
      </c>
      <c r="Q218">
        <v>-2.1696239999999999E-2</v>
      </c>
      <c r="R218">
        <v>7.448486E-2</v>
      </c>
      <c r="S218">
        <v>3.01004</v>
      </c>
      <c r="T218">
        <v>-9.2794539999999995E-2</v>
      </c>
      <c r="U218">
        <v>-3.753662E-2</v>
      </c>
      <c r="V218">
        <v>-7.6050989999999999E-2</v>
      </c>
      <c r="W218">
        <v>-1.871287E-2</v>
      </c>
      <c r="X218">
        <v>0.99692829999999999</v>
      </c>
      <c r="Y218">
        <v>1.0877380000000001E-2</v>
      </c>
      <c r="Z218">
        <v>-1.401985E-4</v>
      </c>
      <c r="AA218">
        <v>0.99994079999999996</v>
      </c>
      <c r="AB218">
        <v>42</v>
      </c>
      <c r="AC218">
        <v>34.0960999999999</v>
      </c>
      <c r="AD218">
        <v>-1.058393950513</v>
      </c>
      <c r="AE218">
        <v>-0.42789999999996498</v>
      </c>
      <c r="AF218">
        <v>0.37342358136095599</v>
      </c>
      <c r="AG218">
        <v>-1.058393950513</v>
      </c>
      <c r="AH218">
        <v>34.063918248755101</v>
      </c>
      <c r="AI218">
        <v>91.779547583696299</v>
      </c>
      <c r="AJ218">
        <v>89.371923745940506</v>
      </c>
      <c r="AK218">
        <v>34.082402635135203</v>
      </c>
      <c r="AL218">
        <v>91.072231078734504</v>
      </c>
      <c r="AM218">
        <v>94.362377503478001</v>
      </c>
      <c r="AN218">
        <v>0.99999997996225298</v>
      </c>
    </row>
    <row r="219" spans="1:40" x14ac:dyDescent="0.25">
      <c r="A219" t="str">
        <f>"20190305135201520"</f>
        <v>20190305135201520</v>
      </c>
      <c r="B219" t="str">
        <f>"1551765121510199"</f>
        <v>1551765121510199</v>
      </c>
      <c r="C219" t="s">
        <v>40</v>
      </c>
      <c r="D219">
        <v>4.8288250000000001</v>
      </c>
      <c r="E219">
        <v>0.53380780000000005</v>
      </c>
      <c r="F219" t="s">
        <v>42</v>
      </c>
      <c r="G219">
        <v>-391.3177</v>
      </c>
      <c r="H219" s="1">
        <v>-4.1581050000000004E-6</v>
      </c>
      <c r="I219">
        <v>367.07299999999998</v>
      </c>
      <c r="J219">
        <v>-425.52140000000003</v>
      </c>
      <c r="K219">
        <v>1.058316</v>
      </c>
      <c r="L219">
        <v>367.53660000000002</v>
      </c>
      <c r="M219">
        <v>0.99999450000000001</v>
      </c>
      <c r="N219">
        <v>-3.0380979999999999E-3</v>
      </c>
      <c r="O219">
        <v>-1.304012E-3</v>
      </c>
      <c r="P219">
        <v>0.99704029999999999</v>
      </c>
      <c r="Q219">
        <v>-2.3002829999999998E-2</v>
      </c>
      <c r="R219">
        <v>7.3358989999999999E-2</v>
      </c>
      <c r="S219">
        <v>3.0101010000000001</v>
      </c>
      <c r="T219">
        <v>-9.2170240000000001E-2</v>
      </c>
      <c r="U219">
        <v>-4.040527E-2</v>
      </c>
      <c r="V219">
        <v>-7.4641890000000002E-2</v>
      </c>
      <c r="W219">
        <v>-2.0038770000000001E-2</v>
      </c>
      <c r="X219">
        <v>0.99700900000000003</v>
      </c>
      <c r="Y219">
        <v>1.2112360000000001E-2</v>
      </c>
      <c r="Z219">
        <v>-1.6783799999999999E-4</v>
      </c>
      <c r="AA219">
        <v>0.9999266</v>
      </c>
      <c r="AB219">
        <v>42</v>
      </c>
      <c r="AC219">
        <v>34.203699999999998</v>
      </c>
      <c r="AD219">
        <v>-1.0583201581049999</v>
      </c>
      <c r="AE219">
        <v>-0.46359999999998502</v>
      </c>
      <c r="AF219">
        <v>0.41859667739201101</v>
      </c>
      <c r="AG219">
        <v>-1.0583201581049999</v>
      </c>
      <c r="AH219">
        <v>34.171566025125401</v>
      </c>
      <c r="AI219">
        <v>91.773795127872006</v>
      </c>
      <c r="AJ219">
        <v>89.298170199135299</v>
      </c>
      <c r="AK219">
        <v>34.190513148311801</v>
      </c>
      <c r="AL219">
        <v>91.148213852631102</v>
      </c>
      <c r="AM219">
        <v>94.281507945600097</v>
      </c>
      <c r="AN219">
        <v>0.99999995506344097</v>
      </c>
    </row>
    <row r="220" spans="1:40" x14ac:dyDescent="0.25">
      <c r="A220" t="str">
        <f>"20190305135201533"</f>
        <v>20190305135201533</v>
      </c>
      <c r="B220" t="str">
        <f>"1551765121529720"</f>
        <v>1551765121529720</v>
      </c>
      <c r="C220" t="s">
        <v>40</v>
      </c>
      <c r="D220">
        <v>4.8144439999999999</v>
      </c>
      <c r="E220">
        <v>0.53400289999999995</v>
      </c>
      <c r="F220" t="s">
        <v>42</v>
      </c>
      <c r="G220">
        <v>-390.05380000000002</v>
      </c>
      <c r="H220" s="1">
        <v>-4.720578E-6</v>
      </c>
      <c r="I220">
        <v>366.9588</v>
      </c>
      <c r="J220">
        <v>-425.2783</v>
      </c>
      <c r="K220">
        <v>1.05827</v>
      </c>
      <c r="L220">
        <v>367.53640000000001</v>
      </c>
      <c r="M220">
        <v>0.99999479999999996</v>
      </c>
      <c r="N220">
        <v>-3.0283770000000001E-3</v>
      </c>
      <c r="O220">
        <v>-1.1182779999999999E-3</v>
      </c>
      <c r="P220">
        <v>0.99706640000000002</v>
      </c>
      <c r="Q220">
        <v>-2.3405309999999999E-2</v>
      </c>
      <c r="R220">
        <v>7.2874289999999994E-2</v>
      </c>
      <c r="S220">
        <v>3.010437</v>
      </c>
      <c r="T220">
        <v>-8.9828610000000003E-2</v>
      </c>
      <c r="U220">
        <v>-4.9041750000000002E-2</v>
      </c>
      <c r="V220">
        <v>-7.3971399999999896E-2</v>
      </c>
      <c r="W220">
        <v>-2.0449970000000001E-2</v>
      </c>
      <c r="X220">
        <v>0.99705060000000001</v>
      </c>
      <c r="Y220">
        <v>1.516324E-2</v>
      </c>
      <c r="Z220">
        <v>-2.1915730000000001E-4</v>
      </c>
      <c r="AA220">
        <v>0.99988500000000002</v>
      </c>
      <c r="AB220">
        <v>42</v>
      </c>
      <c r="AC220">
        <v>35.2244999999999</v>
      </c>
      <c r="AD220">
        <v>-1.0582747205779901</v>
      </c>
      <c r="AE220">
        <v>-0.57760000000001799</v>
      </c>
      <c r="AF220">
        <v>0.53772344328351795</v>
      </c>
      <c r="AG220">
        <v>-1.0582747205779901</v>
      </c>
      <c r="AH220">
        <v>35.193366036114597</v>
      </c>
      <c r="AI220">
        <v>91.722180798712699</v>
      </c>
      <c r="AJ220">
        <v>89.124639380608301</v>
      </c>
      <c r="AK220">
        <v>35.213379628169903</v>
      </c>
      <c r="AL220">
        <v>91.171778732270496</v>
      </c>
      <c r="AM220">
        <v>94.243012906729604</v>
      </c>
      <c r="AN220">
        <v>0.99999993412565802</v>
      </c>
    </row>
    <row r="221" spans="1:40" x14ac:dyDescent="0.25">
      <c r="A221" t="str">
        <f>"20190305135201547"</f>
        <v>20190305135201547</v>
      </c>
      <c r="B221" t="str">
        <f>"1551765121539479"</f>
        <v>1551765121539479</v>
      </c>
      <c r="C221" t="s">
        <v>40</v>
      </c>
      <c r="D221">
        <v>4.8360629999999896</v>
      </c>
      <c r="E221">
        <v>0.53414359999999905</v>
      </c>
      <c r="F221" t="s">
        <v>42</v>
      </c>
      <c r="G221">
        <v>-388.97050000000002</v>
      </c>
      <c r="H221" s="1">
        <v>-1.05766E-6</v>
      </c>
      <c r="I221">
        <v>366.90550000000002</v>
      </c>
      <c r="J221">
        <v>-425.02929999999998</v>
      </c>
      <c r="K221">
        <v>1.058219</v>
      </c>
      <c r="L221">
        <v>367.53620000000001</v>
      </c>
      <c r="M221">
        <v>0.99999510000000003</v>
      </c>
      <c r="N221">
        <v>-3.0206719999999999E-3</v>
      </c>
      <c r="O221">
        <v>-9.3207309999999999E-4</v>
      </c>
      <c r="P221">
        <v>0.99709479999999995</v>
      </c>
      <c r="Q221">
        <v>-2.4188620000000001E-2</v>
      </c>
      <c r="R221">
        <v>7.2228870000000001E-2</v>
      </c>
      <c r="S221">
        <v>3.0106199999999999</v>
      </c>
      <c r="T221">
        <v>-8.775115E-2</v>
      </c>
      <c r="U221">
        <v>-5.230713E-2</v>
      </c>
      <c r="V221">
        <v>-7.3140079999999996E-2</v>
      </c>
      <c r="W221">
        <v>-2.1239540000000001E-2</v>
      </c>
      <c r="X221">
        <v>0.99709550000000002</v>
      </c>
      <c r="Y221">
        <v>1.6432260000000001E-2</v>
      </c>
      <c r="Z221">
        <v>-2.3988960000000001E-4</v>
      </c>
      <c r="AA221">
        <v>0.99986489999999995</v>
      </c>
      <c r="AB221">
        <v>43</v>
      </c>
      <c r="AC221">
        <v>36.058799999999898</v>
      </c>
      <c r="AD221">
        <v>-1.05822005766</v>
      </c>
      <c r="AE221">
        <v>-0.63069999999999005</v>
      </c>
      <c r="AF221">
        <v>0.59657649384168598</v>
      </c>
      <c r="AG221">
        <v>-1.05822005766</v>
      </c>
      <c r="AH221">
        <v>36.028352254795102</v>
      </c>
      <c r="AI221">
        <v>91.682169994623294</v>
      </c>
      <c r="AJ221">
        <v>89.051352903229699</v>
      </c>
      <c r="AK221">
        <v>36.048826602249299</v>
      </c>
      <c r="AL221">
        <v>91.217027500837702</v>
      </c>
      <c r="AM221">
        <v>94.195311223123696</v>
      </c>
      <c r="AN221">
        <v>1.00000001274103</v>
      </c>
    </row>
    <row r="222" spans="1:40" x14ac:dyDescent="0.25">
      <c r="A222" t="str">
        <f>"20190305135201567"</f>
        <v>20190305135201567</v>
      </c>
      <c r="B222" t="str">
        <f>"1551765121559976"</f>
        <v>1551765121559976</v>
      </c>
      <c r="C222" t="s">
        <v>40</v>
      </c>
      <c r="D222">
        <v>4.8207490000000002</v>
      </c>
      <c r="E222">
        <v>0.53435169999999999</v>
      </c>
      <c r="F222" t="s">
        <v>42</v>
      </c>
      <c r="G222">
        <v>-388.81599999999997</v>
      </c>
      <c r="H222" s="1">
        <v>-1.1190340000000001E-6</v>
      </c>
      <c r="I222">
        <v>366.8725</v>
      </c>
      <c r="J222">
        <v>-424.6377</v>
      </c>
      <c r="K222">
        <v>1.0581449999999999</v>
      </c>
      <c r="L222">
        <v>367.536</v>
      </c>
      <c r="M222">
        <v>0.99999539999999998</v>
      </c>
      <c r="N222">
        <v>-3.0152849999999999E-3</v>
      </c>
      <c r="O222">
        <v>-6.5922639999999998E-4</v>
      </c>
      <c r="P222">
        <v>0.99708669999999999</v>
      </c>
      <c r="Q222">
        <v>-2.5931039999999999E-2</v>
      </c>
      <c r="R222">
        <v>7.1736159999999993E-2</v>
      </c>
      <c r="S222">
        <v>3.0105900000000001</v>
      </c>
      <c r="T222">
        <v>-8.7974910000000003E-2</v>
      </c>
      <c r="U222">
        <v>-5.5175780000000001E-2</v>
      </c>
      <c r="V222">
        <v>-7.2374629999999995E-2</v>
      </c>
      <c r="W222">
        <v>-2.2984729999999998E-2</v>
      </c>
      <c r="X222">
        <v>0.99711260000000002</v>
      </c>
      <c r="Y222">
        <v>1.7656950000000001E-2</v>
      </c>
      <c r="Z222">
        <v>-2.6726549999999999E-4</v>
      </c>
      <c r="AA222">
        <v>0.99984410000000001</v>
      </c>
      <c r="AB222">
        <v>43</v>
      </c>
      <c r="AC222">
        <v>35.8217</v>
      </c>
      <c r="AD222">
        <v>-1.058146119034</v>
      </c>
      <c r="AE222">
        <v>-0.66349999999999898</v>
      </c>
      <c r="AF222">
        <v>0.63932747710872495</v>
      </c>
      <c r="AG222">
        <v>-1.058146119034</v>
      </c>
      <c r="AH222">
        <v>35.790910349695302</v>
      </c>
      <c r="AI222">
        <v>91.6931670494521</v>
      </c>
      <c r="AJ222">
        <v>88.976643217797502</v>
      </c>
      <c r="AK222">
        <v>35.812255953683497</v>
      </c>
      <c r="AL222">
        <v>91.317044056255597</v>
      </c>
      <c r="AM222">
        <v>94.151488426117496</v>
      </c>
      <c r="AN222">
        <v>0.99999996097978405</v>
      </c>
    </row>
    <row r="223" spans="1:40" x14ac:dyDescent="0.25">
      <c r="A223" t="str">
        <f>"20190305135201591"</f>
        <v>20190305135201591</v>
      </c>
      <c r="B223" t="str">
        <f>"1551765121579495"</f>
        <v>1551765121579495</v>
      </c>
      <c r="C223" t="s">
        <v>40</v>
      </c>
      <c r="D223">
        <v>4.8136590000000004</v>
      </c>
      <c r="E223">
        <v>0.53444250000000004</v>
      </c>
      <c r="F223" t="s">
        <v>42</v>
      </c>
      <c r="G223">
        <v>-389.5849</v>
      </c>
      <c r="H223" s="1">
        <v>-8.6179909999999997E-7</v>
      </c>
      <c r="I223">
        <v>366.85590000000002</v>
      </c>
      <c r="J223">
        <v>-424.18380000000002</v>
      </c>
      <c r="K223">
        <v>1.05806</v>
      </c>
      <c r="L223">
        <v>367.53590000000003</v>
      </c>
      <c r="M223">
        <v>0.99999539999999998</v>
      </c>
      <c r="N223">
        <v>-3.0168700000000001E-3</v>
      </c>
      <c r="O223">
        <v>-3.8021719999999998E-4</v>
      </c>
      <c r="P223">
        <v>0.99700809999999995</v>
      </c>
      <c r="Q223">
        <v>-2.7999590000000001E-2</v>
      </c>
      <c r="R223">
        <v>7.2049950000000001E-2</v>
      </c>
      <c r="S223">
        <v>3.0106199999999999</v>
      </c>
      <c r="T223">
        <v>-9.0882060000000001E-2</v>
      </c>
      <c r="U223">
        <v>-5.841064E-2</v>
      </c>
      <c r="V223">
        <v>-7.2410039999999995E-2</v>
      </c>
      <c r="W223">
        <v>-2.5048129999999998E-2</v>
      </c>
      <c r="X223">
        <v>0.99706039999999996</v>
      </c>
      <c r="Y223">
        <v>1.9008359999999998E-2</v>
      </c>
      <c r="Z223">
        <v>-3.0516739999999999E-4</v>
      </c>
      <c r="AA223">
        <v>0.99981929999999997</v>
      </c>
      <c r="AB223">
        <v>43</v>
      </c>
      <c r="AC223">
        <v>34.5989</v>
      </c>
      <c r="AD223">
        <v>-1.0580608617991001</v>
      </c>
      <c r="AE223">
        <v>-0.68000000000000604</v>
      </c>
      <c r="AF223">
        <v>0.66622199532660598</v>
      </c>
      <c r="AG223">
        <v>-1.0580608617991001</v>
      </c>
      <c r="AH223">
        <v>34.5668421982636</v>
      </c>
      <c r="AI223">
        <v>91.752901045419094</v>
      </c>
      <c r="AJ223">
        <v>88.895849875614005</v>
      </c>
      <c r="AK223">
        <v>34.589448161165897</v>
      </c>
      <c r="AL223">
        <v>91.435302201355896</v>
      </c>
      <c r="AM223">
        <v>94.153729167341993</v>
      </c>
      <c r="AN223">
        <v>1.0000000319787199</v>
      </c>
    </row>
    <row r="224" spans="1:40" x14ac:dyDescent="0.25">
      <c r="A224" t="str">
        <f>"20190305135201611"</f>
        <v>20190305135201611</v>
      </c>
      <c r="B224" t="str">
        <f>"1551765121599992"</f>
        <v>1551765121599992</v>
      </c>
      <c r="C224" t="s">
        <v>40</v>
      </c>
      <c r="D224">
        <v>4.7989379999999997</v>
      </c>
      <c r="E224">
        <v>0.5346571</v>
      </c>
      <c r="F224" t="s">
        <v>42</v>
      </c>
      <c r="G224">
        <v>-390.11989999999997</v>
      </c>
      <c r="H224" s="1">
        <v>-4.706317E-6</v>
      </c>
      <c r="I224">
        <v>366.87939999999998</v>
      </c>
      <c r="J224">
        <v>-423.786</v>
      </c>
      <c r="K224">
        <v>1.0579879999999999</v>
      </c>
      <c r="L224">
        <v>367.53590000000003</v>
      </c>
      <c r="M224">
        <v>0.99999550000000004</v>
      </c>
      <c r="N224">
        <v>-3.0240559999999998E-3</v>
      </c>
      <c r="O224">
        <v>-1.72873699999999E-4</v>
      </c>
      <c r="P224">
        <v>0.99691189999999996</v>
      </c>
      <c r="Q224">
        <v>-2.9418139999999999E-2</v>
      </c>
      <c r="R224">
        <v>7.2809280000000004E-2</v>
      </c>
      <c r="S224">
        <v>3.0105900000000001</v>
      </c>
      <c r="T224">
        <v>-9.351218E-2</v>
      </c>
      <c r="U224">
        <v>-5.8013919999999997E-2</v>
      </c>
      <c r="V224">
        <v>-7.2962680000000002E-2</v>
      </c>
      <c r="W224">
        <v>-2.6455570000000001E-2</v>
      </c>
      <c r="X224">
        <v>0.99698370000000003</v>
      </c>
      <c r="Y224">
        <v>1.90835E-2</v>
      </c>
      <c r="Z224">
        <v>-3.2029820000000002E-4</v>
      </c>
      <c r="AA224">
        <v>0.99981779999999998</v>
      </c>
      <c r="AB224">
        <v>43</v>
      </c>
      <c r="AC224">
        <v>33.6661</v>
      </c>
      <c r="AD224">
        <v>-1.0579927063169901</v>
      </c>
      <c r="AE224">
        <v>-0.65650000000005004</v>
      </c>
      <c r="AF224">
        <v>0.65003824906590901</v>
      </c>
      <c r="AG224">
        <v>-1.0579927063169901</v>
      </c>
      <c r="AH224">
        <v>33.633009757947299</v>
      </c>
      <c r="AI224">
        <v>91.801421480968003</v>
      </c>
      <c r="AJ224">
        <v>88.892760060083802</v>
      </c>
      <c r="AK224">
        <v>33.655924347283197</v>
      </c>
      <c r="AL224">
        <v>91.515969417292595</v>
      </c>
      <c r="AM224">
        <v>94.185639418598299</v>
      </c>
      <c r="AN224">
        <v>0.99999997396124796</v>
      </c>
    </row>
    <row r="225" spans="1:40" x14ac:dyDescent="0.25">
      <c r="A225" t="str">
        <f>"20190305135201626"</f>
        <v>20190305135201626</v>
      </c>
      <c r="B225" t="str">
        <f>"1551765121619511"</f>
        <v>1551765121619511</v>
      </c>
      <c r="C225" t="s">
        <v>40</v>
      </c>
      <c r="D225">
        <v>4.7951639999999998</v>
      </c>
      <c r="E225">
        <v>0.53487530000000005</v>
      </c>
      <c r="F225" t="s">
        <v>42</v>
      </c>
      <c r="G225">
        <v>-390.2706</v>
      </c>
      <c r="H225" s="1">
        <v>-4.6383920000000001E-6</v>
      </c>
      <c r="I225">
        <v>366.89780000000002</v>
      </c>
      <c r="J225">
        <v>-423.50040000000001</v>
      </c>
      <c r="K225">
        <v>1.0579430000000001</v>
      </c>
      <c r="L225">
        <v>367.53590000000003</v>
      </c>
      <c r="M225">
        <v>0.99999550000000004</v>
      </c>
      <c r="N225">
        <v>-3.0318699999999999E-3</v>
      </c>
      <c r="O225" s="1">
        <v>-4.7540539999999999E-5</v>
      </c>
      <c r="P225">
        <v>0.99681439999999999</v>
      </c>
      <c r="Q225">
        <v>-3.0277200000000001E-2</v>
      </c>
      <c r="R225">
        <v>7.3789510000000003E-2</v>
      </c>
      <c r="S225">
        <v>3.0107119999999998</v>
      </c>
      <c r="T225">
        <v>-9.5040079999999999E-2</v>
      </c>
      <c r="U225">
        <v>-5.7312009999999997E-2</v>
      </c>
      <c r="V225">
        <v>-7.3819070000000001E-2</v>
      </c>
      <c r="W225">
        <v>-2.7303569999999999E-2</v>
      </c>
      <c r="X225">
        <v>0.99689779999999995</v>
      </c>
      <c r="Y225">
        <v>1.897472E-2</v>
      </c>
      <c r="Z225">
        <v>-3.268077E-4</v>
      </c>
      <c r="AA225">
        <v>0.99981989999999998</v>
      </c>
      <c r="AB225">
        <v>43</v>
      </c>
      <c r="AC225">
        <v>33.229799999999997</v>
      </c>
      <c r="AD225">
        <v>-1.0579476383919999</v>
      </c>
      <c r="AE225">
        <v>-0.63810000000000799</v>
      </c>
      <c r="AF225">
        <v>0.63587593393235597</v>
      </c>
      <c r="AG225">
        <v>-1.0579476383919999</v>
      </c>
      <c r="AH225">
        <v>33.1961945509548</v>
      </c>
      <c r="AI225">
        <v>91.8250380766615</v>
      </c>
      <c r="AJ225">
        <v>88.902628665272701</v>
      </c>
      <c r="AK225">
        <v>33.219134908570098</v>
      </c>
      <c r="AL225">
        <v>91.564573790500802</v>
      </c>
      <c r="AM225">
        <v>94.234953697048297</v>
      </c>
      <c r="AN225">
        <v>0.99999998183762395</v>
      </c>
    </row>
    <row r="226" spans="1:40" x14ac:dyDescent="0.25">
      <c r="A226" t="str">
        <f>"20190305135201643"</f>
        <v>20190305135201643</v>
      </c>
      <c r="B226" t="str">
        <f>"1551765121640008"</f>
        <v>1551765121640008</v>
      </c>
      <c r="C226" t="s">
        <v>40</v>
      </c>
      <c r="D226">
        <v>4.8082969999999996</v>
      </c>
      <c r="E226">
        <v>0.53504319999999905</v>
      </c>
      <c r="F226" t="s">
        <v>42</v>
      </c>
      <c r="G226">
        <v>-390.27670000000001</v>
      </c>
      <c r="H226" s="1">
        <v>-4.6333129999999999E-6</v>
      </c>
      <c r="I226">
        <v>366.91180000000003</v>
      </c>
      <c r="J226">
        <v>-423.1592</v>
      </c>
      <c r="K226">
        <v>1.0578809999999901</v>
      </c>
      <c r="L226">
        <v>367.53590000000003</v>
      </c>
      <c r="M226">
        <v>0.99999539999999998</v>
      </c>
      <c r="N226">
        <v>-3.0447479999999999E-3</v>
      </c>
      <c r="O226" s="1">
        <v>6.7985269999999904E-5</v>
      </c>
      <c r="P226">
        <v>0.99672110000000003</v>
      </c>
      <c r="Q226">
        <v>-3.103918E-2</v>
      </c>
      <c r="R226">
        <v>7.4722999999999998E-2</v>
      </c>
      <c r="S226">
        <v>3.0108950000000001</v>
      </c>
      <c r="T226">
        <v>-9.587598E-2</v>
      </c>
      <c r="U226">
        <v>-5.654907E-2</v>
      </c>
      <c r="V226">
        <v>-7.4638930000000006E-2</v>
      </c>
      <c r="W226">
        <v>-2.8047869999999999E-2</v>
      </c>
      <c r="X226">
        <v>0.99681609999999998</v>
      </c>
      <c r="Y226">
        <v>1.8835660000000001E-2</v>
      </c>
      <c r="Z226">
        <v>-3.304324E-4</v>
      </c>
      <c r="AA226">
        <v>0.99982260000000001</v>
      </c>
      <c r="AB226">
        <v>43</v>
      </c>
      <c r="AC226">
        <v>32.882499999999901</v>
      </c>
      <c r="AD226">
        <v>-1.05788563331299</v>
      </c>
      <c r="AE226">
        <v>-0.62409999999999799</v>
      </c>
      <c r="AF226">
        <v>0.62568816934050098</v>
      </c>
      <c r="AG226">
        <v>-1.05788563331299</v>
      </c>
      <c r="AH226">
        <v>32.848470987924898</v>
      </c>
      <c r="AI226">
        <v>91.844239839960494</v>
      </c>
      <c r="AJ226">
        <v>88.908778530534306</v>
      </c>
      <c r="AK226">
        <v>32.871456522992197</v>
      </c>
      <c r="AL226">
        <v>91.607235361068405</v>
      </c>
      <c r="AM226">
        <v>94.282164216030594</v>
      </c>
      <c r="AN226">
        <v>0.99999999505114501</v>
      </c>
    </row>
    <row r="227" spans="1:40" x14ac:dyDescent="0.25">
      <c r="A227" t="str">
        <f>"20190305135201666"</f>
        <v>20190305135201666</v>
      </c>
      <c r="B227" t="str">
        <f>"1551765121659527"</f>
        <v>1551765121659527</v>
      </c>
      <c r="C227" t="s">
        <v>40</v>
      </c>
      <c r="D227">
        <v>4.793482</v>
      </c>
      <c r="E227">
        <v>0.53520590000000001</v>
      </c>
      <c r="F227" t="s">
        <v>42</v>
      </c>
      <c r="G227">
        <v>-390.149</v>
      </c>
      <c r="H227" s="1">
        <v>-4.6839199999999999E-6</v>
      </c>
      <c r="I227">
        <v>366.93529999999998</v>
      </c>
      <c r="J227">
        <v>-422.71929999999998</v>
      </c>
      <c r="K227">
        <v>1.0578110000000001</v>
      </c>
      <c r="L227">
        <v>367.536</v>
      </c>
      <c r="M227">
        <v>0.99999539999999998</v>
      </c>
      <c r="N227">
        <v>-3.0699709999999999E-3</v>
      </c>
      <c r="O227">
        <v>1.72311899999999E-4</v>
      </c>
      <c r="P227">
        <v>0.99666580000000005</v>
      </c>
      <c r="Q227">
        <v>-3.2251179999999997E-2</v>
      </c>
      <c r="R227">
        <v>7.4947109999999997E-2</v>
      </c>
      <c r="S227">
        <v>3.0109560000000002</v>
      </c>
      <c r="T227">
        <v>-9.6492649999999999E-2</v>
      </c>
      <c r="U227">
        <v>-5.4779050000000003E-2</v>
      </c>
      <c r="V227">
        <v>-7.4761380000000002E-2</v>
      </c>
      <c r="W227">
        <v>-2.9227329999999999E-2</v>
      </c>
      <c r="X227">
        <v>0.99677309999999997</v>
      </c>
      <c r="Y227">
        <v>1.835212E-2</v>
      </c>
      <c r="Z227">
        <v>-3.2713920000000001E-4</v>
      </c>
      <c r="AA227">
        <v>0.99983160000000004</v>
      </c>
      <c r="AB227">
        <v>43</v>
      </c>
      <c r="AC227">
        <v>32.570299999999897</v>
      </c>
      <c r="AD227">
        <v>-1.0578156839199999</v>
      </c>
      <c r="AE227">
        <v>-0.600700000000017</v>
      </c>
      <c r="AF227">
        <v>0.60567361044393997</v>
      </c>
      <c r="AG227">
        <v>-1.0578156839199999</v>
      </c>
      <c r="AH227">
        <v>32.535888320045203</v>
      </c>
      <c r="AI227">
        <v>91.861837735764894</v>
      </c>
      <c r="AJ227">
        <v>88.9335304590563</v>
      </c>
      <c r="AK227">
        <v>32.558713784760997</v>
      </c>
      <c r="AL227">
        <v>91.674841069812999</v>
      </c>
      <c r="AM227">
        <v>94.2893475289939</v>
      </c>
      <c r="AN227">
        <v>1.0000000568210199</v>
      </c>
    </row>
    <row r="228" spans="1:40" x14ac:dyDescent="0.25">
      <c r="A228" t="str">
        <f>"20190305135201688"</f>
        <v>20190305135201688</v>
      </c>
      <c r="B228" t="str">
        <f>"1551765121680023"</f>
        <v>1551765121680023</v>
      </c>
      <c r="C228" t="s">
        <v>40</v>
      </c>
      <c r="D228">
        <v>4.7900029999999996</v>
      </c>
      <c r="E228">
        <v>0.53557630000000001</v>
      </c>
      <c r="F228" t="s">
        <v>42</v>
      </c>
      <c r="G228">
        <v>-390.42059999999998</v>
      </c>
      <c r="H228" s="1">
        <v>-4.5657530000000002E-6</v>
      </c>
      <c r="I228">
        <v>366.94470000000001</v>
      </c>
      <c r="J228">
        <v>-422.26679999999999</v>
      </c>
      <c r="K228">
        <v>1.0577449999999999</v>
      </c>
      <c r="L228">
        <v>367.53609999999998</v>
      </c>
      <c r="M228">
        <v>0.99999519999999997</v>
      </c>
      <c r="N228">
        <v>-3.1143659999999999E-3</v>
      </c>
      <c r="O228">
        <v>2.062977E-4</v>
      </c>
      <c r="P228">
        <v>0.99661920000000004</v>
      </c>
      <c r="Q228">
        <v>-3.297547E-2</v>
      </c>
      <c r="R228">
        <v>7.5251979999999996E-2</v>
      </c>
      <c r="S228">
        <v>3.0109859999999999</v>
      </c>
      <c r="T228">
        <v>-9.8612549999999993E-2</v>
      </c>
      <c r="U228">
        <v>-5.5114749999999997E-2</v>
      </c>
      <c r="V228">
        <v>-7.5036050000000007E-2</v>
      </c>
      <c r="W228">
        <v>-2.989822E-2</v>
      </c>
      <c r="X228">
        <v>0.99673250000000002</v>
      </c>
      <c r="Y228">
        <v>1.8496800000000001E-2</v>
      </c>
      <c r="Z228">
        <v>-3.3771259999999998E-4</v>
      </c>
      <c r="AA228">
        <v>0.99982890000000002</v>
      </c>
      <c r="AB228">
        <v>44</v>
      </c>
      <c r="AC228">
        <v>31.8462</v>
      </c>
      <c r="AD228">
        <v>-1.0577495657529901</v>
      </c>
      <c r="AE228">
        <v>-0.59139999999996395</v>
      </c>
      <c r="AF228">
        <v>0.59731109592476295</v>
      </c>
      <c r="AG228">
        <v>-1.0577495657529901</v>
      </c>
      <c r="AH228">
        <v>31.810995830315399</v>
      </c>
      <c r="AI228">
        <v>91.904108769454695</v>
      </c>
      <c r="AJ228">
        <v>88.924290713012894</v>
      </c>
      <c r="AK228">
        <v>31.834180850235601</v>
      </c>
      <c r="AL228">
        <v>91.713297148866005</v>
      </c>
      <c r="AM228">
        <v>94.305221962964495</v>
      </c>
      <c r="AN228">
        <v>0.99999999445750998</v>
      </c>
    </row>
    <row r="229" spans="1:40" x14ac:dyDescent="0.25">
      <c r="A229" t="str">
        <f>"20190305135201701"</f>
        <v>20190305135201701</v>
      </c>
      <c r="B229" t="str">
        <f>"1551765121689784"</f>
        <v>1551765121689784</v>
      </c>
      <c r="C229" t="s">
        <v>40</v>
      </c>
      <c r="D229">
        <v>4.7850580000000003</v>
      </c>
      <c r="E229">
        <v>0.53568789999999999</v>
      </c>
      <c r="F229" t="s">
        <v>42</v>
      </c>
      <c r="G229">
        <v>-390.0428</v>
      </c>
      <c r="H229" s="1">
        <v>-4.7317309999999997E-6</v>
      </c>
      <c r="I229">
        <v>366.92270000000002</v>
      </c>
      <c r="J229">
        <v>-422.02820000000003</v>
      </c>
      <c r="K229">
        <v>1.0577080000000001</v>
      </c>
      <c r="L229">
        <v>367.53609999999998</v>
      </c>
      <c r="M229">
        <v>0.99999519999999997</v>
      </c>
      <c r="N229">
        <v>-3.1441559999999999E-3</v>
      </c>
      <c r="O229">
        <v>1.9858859999999999E-4</v>
      </c>
      <c r="P229">
        <v>0.99660919999999997</v>
      </c>
      <c r="Q229">
        <v>-3.283237E-2</v>
      </c>
      <c r="R229">
        <v>7.5447139999999996E-2</v>
      </c>
      <c r="S229">
        <v>3.0112299999999999</v>
      </c>
      <c r="T229">
        <v>-9.8842979999999997E-2</v>
      </c>
      <c r="U229">
        <v>-5.7312009999999997E-2</v>
      </c>
      <c r="V229">
        <v>-7.5240840000000003E-2</v>
      </c>
      <c r="W229">
        <v>-2.9720300000000002E-2</v>
      </c>
      <c r="X229">
        <v>0.99672240000000001</v>
      </c>
      <c r="Y229">
        <v>1.9216440000000001E-2</v>
      </c>
      <c r="Z229">
        <v>-3.5138779999999999E-4</v>
      </c>
      <c r="AA229">
        <v>0.99981529999999996</v>
      </c>
      <c r="AB229">
        <v>44</v>
      </c>
      <c r="AC229">
        <v>31.985399999999998</v>
      </c>
      <c r="AD229">
        <v>-1.057712731731</v>
      </c>
      <c r="AE229">
        <v>-0.61339999999995598</v>
      </c>
      <c r="AF229">
        <v>0.61907522377684299</v>
      </c>
      <c r="AG229">
        <v>-1.057712731731</v>
      </c>
      <c r="AH229">
        <v>31.950351635666198</v>
      </c>
      <c r="AI229">
        <v>91.895722195062802</v>
      </c>
      <c r="AJ229">
        <v>88.889966533812</v>
      </c>
      <c r="AK229">
        <v>31.973848376419799</v>
      </c>
      <c r="AL229">
        <v>91.703098522555507</v>
      </c>
      <c r="AM229">
        <v>94.316971088803896</v>
      </c>
      <c r="AN229">
        <v>1.0000000114488701</v>
      </c>
    </row>
    <row r="230" spans="1:40" x14ac:dyDescent="0.25">
      <c r="A230" t="str">
        <f>"20190305135201714"</f>
        <v>20190305135201714</v>
      </c>
      <c r="B230" t="str">
        <f>"1551765121710280"</f>
        <v>1551765121710280</v>
      </c>
      <c r="C230" t="s">
        <v>40</v>
      </c>
      <c r="D230">
        <v>4.850568</v>
      </c>
      <c r="E230">
        <v>0.53564519999999904</v>
      </c>
      <c r="F230" t="s">
        <v>42</v>
      </c>
      <c r="G230">
        <v>-389.3997</v>
      </c>
      <c r="H230" s="1">
        <v>-9.0967189999999998E-7</v>
      </c>
      <c r="I230">
        <v>366.9128</v>
      </c>
      <c r="J230">
        <v>-421.7885</v>
      </c>
      <c r="K230">
        <v>1.0576719999999999</v>
      </c>
      <c r="L230">
        <v>367.53620000000001</v>
      </c>
      <c r="M230">
        <v>0.99999499999999997</v>
      </c>
      <c r="N230">
        <v>-3.1825379999999999E-3</v>
      </c>
      <c r="O230">
        <v>1.6975590000000001E-4</v>
      </c>
      <c r="P230">
        <v>0.99660130000000002</v>
      </c>
      <c r="Q230">
        <v>-3.3282949999999999E-2</v>
      </c>
      <c r="R230">
        <v>7.5354539999999998E-2</v>
      </c>
      <c r="S230">
        <v>3.0113219999999998</v>
      </c>
      <c r="T230">
        <v>-9.7616910000000001E-2</v>
      </c>
      <c r="U230">
        <v>-5.7525630000000001E-2</v>
      </c>
      <c r="V230">
        <v>-7.5178610000000007E-2</v>
      </c>
      <c r="W230">
        <v>-3.01271E-2</v>
      </c>
      <c r="X230">
        <v>0.99671489999999996</v>
      </c>
      <c r="Y230">
        <v>1.925818E-2</v>
      </c>
      <c r="Z230">
        <v>-3.4764980000000001E-4</v>
      </c>
      <c r="AA230">
        <v>0.99981450000000005</v>
      </c>
      <c r="AB230">
        <v>44</v>
      </c>
      <c r="AC230">
        <v>32.388800000000003</v>
      </c>
      <c r="AD230">
        <v>-1.0576729096719</v>
      </c>
      <c r="AE230">
        <v>-0.62340000000000295</v>
      </c>
      <c r="AF230">
        <v>0.62822852445480404</v>
      </c>
      <c r="AG230">
        <v>-1.0576729096719</v>
      </c>
      <c r="AH230">
        <v>32.354204523478302</v>
      </c>
      <c r="AI230">
        <v>91.872004362090095</v>
      </c>
      <c r="AJ230">
        <v>88.887615353748402</v>
      </c>
      <c r="AK230">
        <v>32.377583192849002</v>
      </c>
      <c r="AL230">
        <v>91.7264168580259</v>
      </c>
      <c r="AM230">
        <v>94.313446435070801</v>
      </c>
      <c r="AN230">
        <v>1.0000000287189701</v>
      </c>
    </row>
    <row r="231" spans="1:40" x14ac:dyDescent="0.25">
      <c r="A231" t="str">
        <f>"20190305135201725"</f>
        <v>20190305135201725</v>
      </c>
      <c r="B231" t="str">
        <f>"1551765121720041"</f>
        <v>1551765121720041</v>
      </c>
      <c r="C231" t="s">
        <v>40</v>
      </c>
      <c r="D231">
        <v>4.8669949999999904</v>
      </c>
      <c r="E231">
        <v>0.53543619999999903</v>
      </c>
      <c r="F231" t="s">
        <v>42</v>
      </c>
      <c r="G231">
        <v>-389.42129999999997</v>
      </c>
      <c r="H231" s="1">
        <v>-9.0045710000000002E-7</v>
      </c>
      <c r="I231">
        <v>366.91969999999998</v>
      </c>
      <c r="J231">
        <v>-421.536</v>
      </c>
      <c r="K231">
        <v>1.0576369999999999</v>
      </c>
      <c r="L231">
        <v>367.53609999999998</v>
      </c>
      <c r="M231">
        <v>0.99999490000000002</v>
      </c>
      <c r="N231">
        <v>-3.2311649999999998E-3</v>
      </c>
      <c r="O231">
        <v>1.2575149999999999E-4</v>
      </c>
      <c r="P231">
        <v>0.99660210000000005</v>
      </c>
      <c r="Q231">
        <v>-3.3482379999999999E-2</v>
      </c>
      <c r="R231">
        <v>7.5255080000000002E-2</v>
      </c>
      <c r="S231">
        <v>3.0112610000000002</v>
      </c>
      <c r="T231">
        <v>-9.8399760000000003E-2</v>
      </c>
      <c r="U231">
        <v>-5.7342530000000003E-2</v>
      </c>
      <c r="V231">
        <v>-7.5126009999999993E-2</v>
      </c>
      <c r="W231">
        <v>-3.0272050000000002E-2</v>
      </c>
      <c r="X231">
        <v>0.99671449999999995</v>
      </c>
      <c r="Y231">
        <v>1.9153690000000001E-2</v>
      </c>
      <c r="Z231">
        <v>-3.4749100000000001E-4</v>
      </c>
      <c r="AA231">
        <v>0.9998165</v>
      </c>
      <c r="AB231">
        <v>44</v>
      </c>
      <c r="AC231">
        <v>32.114699999999999</v>
      </c>
      <c r="AD231">
        <v>-1.0576379004570999</v>
      </c>
      <c r="AE231">
        <v>-0.61639999999999795</v>
      </c>
      <c r="AF231">
        <v>0.61976654129204101</v>
      </c>
      <c r="AG231">
        <v>-1.0576379004570999</v>
      </c>
      <c r="AH231">
        <v>32.079841516139297</v>
      </c>
      <c r="AI231">
        <v>91.887944271840894</v>
      </c>
      <c r="AJ231">
        <v>88.893211797343596</v>
      </c>
      <c r="AK231">
        <v>32.103254355202097</v>
      </c>
      <c r="AL231">
        <v>91.7347256261274</v>
      </c>
      <c r="AM231">
        <v>94.310441560275507</v>
      </c>
      <c r="AN231">
        <v>1.0000000544499801</v>
      </c>
    </row>
    <row r="232" spans="1:40" x14ac:dyDescent="0.25">
      <c r="A232" t="str">
        <f>"20190305135201744"</f>
        <v>20190305135201744</v>
      </c>
      <c r="B232" t="str">
        <f>"1551765121739559"</f>
        <v>1551765121739559</v>
      </c>
      <c r="C232" t="s">
        <v>40</v>
      </c>
      <c r="D232">
        <v>4.8769080000000002</v>
      </c>
      <c r="E232">
        <v>0.53516490000000005</v>
      </c>
      <c r="F232" t="s">
        <v>42</v>
      </c>
      <c r="G232">
        <v>-389.98649999999998</v>
      </c>
      <c r="H232" s="1">
        <v>-4.7512419999999901E-6</v>
      </c>
      <c r="I232">
        <v>366.94869999999997</v>
      </c>
      <c r="J232">
        <v>-421.17090000000002</v>
      </c>
      <c r="K232">
        <v>1.0576000000000001</v>
      </c>
      <c r="L232">
        <v>367.53609999999998</v>
      </c>
      <c r="M232">
        <v>0.99999439999999995</v>
      </c>
      <c r="N232">
        <v>-3.3628600000000001E-3</v>
      </c>
      <c r="O232" s="1">
        <v>1.5603410000000001E-5</v>
      </c>
      <c r="P232">
        <v>0.99655680000000002</v>
      </c>
      <c r="Q232">
        <v>-3.5071739999999997E-2</v>
      </c>
      <c r="R232">
        <v>7.5128470000000003E-2</v>
      </c>
      <c r="S232">
        <v>3.0110779999999999</v>
      </c>
      <c r="T232">
        <v>-0.1009409</v>
      </c>
      <c r="U232">
        <v>-5.6060789999999999E-2</v>
      </c>
      <c r="V232">
        <v>-7.511263E-2</v>
      </c>
      <c r="W232">
        <v>-3.1720829999999998E-2</v>
      </c>
      <c r="X232">
        <v>0.99667039999999996</v>
      </c>
      <c r="Y232">
        <v>1.861904E-2</v>
      </c>
      <c r="Z232">
        <v>-3.4375980000000002E-4</v>
      </c>
      <c r="AA232">
        <v>0.99982660000000001</v>
      </c>
      <c r="AB232">
        <v>44</v>
      </c>
      <c r="AC232">
        <v>31.1844</v>
      </c>
      <c r="AD232">
        <v>-1.0576047512419999</v>
      </c>
      <c r="AE232">
        <v>-0.58740000000000203</v>
      </c>
      <c r="AF232">
        <v>0.58721141673363397</v>
      </c>
      <c r="AG232">
        <v>-1.0576047512419999</v>
      </c>
      <c r="AH232">
        <v>31.1485765574777</v>
      </c>
      <c r="AI232">
        <v>91.944302848976307</v>
      </c>
      <c r="AJ232">
        <v>88.919990744579593</v>
      </c>
      <c r="AK232">
        <v>31.172057465217801</v>
      </c>
      <c r="AL232">
        <v>91.817774608687003</v>
      </c>
      <c r="AM232">
        <v>94.3098667331016</v>
      </c>
      <c r="AN232">
        <v>1.0000000022387801</v>
      </c>
    </row>
    <row r="233" spans="1:40" x14ac:dyDescent="0.25">
      <c r="A233" t="str">
        <f>"20190305135201768"</f>
        <v>20190305135201768</v>
      </c>
      <c r="B233" t="str">
        <f>"1551765121760055"</f>
        <v>1551765121760055</v>
      </c>
      <c r="C233" t="s">
        <v>40</v>
      </c>
      <c r="D233">
        <v>4.8368710000000004</v>
      </c>
      <c r="E233">
        <v>0.53496460000000001</v>
      </c>
      <c r="F233" t="s">
        <v>42</v>
      </c>
      <c r="G233">
        <v>-392.06920000000002</v>
      </c>
      <c r="H233" s="1">
        <v>-3.8468810000000001E-6</v>
      </c>
      <c r="I233">
        <v>367.01010000000002</v>
      </c>
      <c r="J233">
        <v>-420.72030000000001</v>
      </c>
      <c r="K233">
        <v>1.0575889999999999</v>
      </c>
      <c r="L233">
        <v>367.53590000000003</v>
      </c>
      <c r="M233">
        <v>0.99999320000000003</v>
      </c>
      <c r="N233">
        <v>-3.678228E-3</v>
      </c>
      <c r="O233">
        <v>-1.80102999999999E-4</v>
      </c>
      <c r="P233">
        <v>0.99655320000000003</v>
      </c>
      <c r="Q233">
        <v>-3.6456389999999998E-2</v>
      </c>
      <c r="R233">
        <v>7.4516180000000001E-2</v>
      </c>
      <c r="S233">
        <v>3.0105900000000001</v>
      </c>
      <c r="T233">
        <v>-0.1094097</v>
      </c>
      <c r="U233">
        <v>-5.4412839999999997E-2</v>
      </c>
      <c r="V233">
        <v>-7.4700879999999997E-2</v>
      </c>
      <c r="W233">
        <v>-3.2779049999999997E-2</v>
      </c>
      <c r="X233">
        <v>0.99666710000000003</v>
      </c>
      <c r="Y233">
        <v>1.787789E-2</v>
      </c>
      <c r="Z233">
        <v>-3.5173600000000001E-4</v>
      </c>
      <c r="AA233">
        <v>0.99984010000000001</v>
      </c>
      <c r="AB233">
        <v>44</v>
      </c>
      <c r="AC233">
        <v>28.6510999999999</v>
      </c>
      <c r="AD233">
        <v>-1.0575928468810001</v>
      </c>
      <c r="AE233">
        <v>-0.52580000000000304</v>
      </c>
      <c r="AF233">
        <v>0.51993160990366205</v>
      </c>
      <c r="AG233">
        <v>-1.0575928468810001</v>
      </c>
      <c r="AH233">
        <v>28.6122216011535</v>
      </c>
      <c r="AI233">
        <v>92.116509687259693</v>
      </c>
      <c r="AJ233">
        <v>88.958955058371004</v>
      </c>
      <c r="AK233">
        <v>28.636481216487901</v>
      </c>
      <c r="AL233">
        <v>91.878437714123905</v>
      </c>
      <c r="AM233">
        <v>94.286343475447396</v>
      </c>
      <c r="AN233">
        <v>0.99999999790704297</v>
      </c>
    </row>
    <row r="234" spans="1:40" x14ac:dyDescent="0.25">
      <c r="A234" t="str">
        <f>"20190305135201792"</f>
        <v>20190305135201792</v>
      </c>
      <c r="B234" t="str">
        <f>"1551765121779576"</f>
        <v>1551765121779576</v>
      </c>
      <c r="C234" t="s">
        <v>40</v>
      </c>
      <c r="D234">
        <v>4.8301270000000001</v>
      </c>
      <c r="E234">
        <v>0.5348233</v>
      </c>
      <c r="F234" t="s">
        <v>42</v>
      </c>
      <c r="G234">
        <v>-393.40570000000002</v>
      </c>
      <c r="H234" s="1">
        <v>-3.268618E-6</v>
      </c>
      <c r="I234">
        <v>367.03769999999997</v>
      </c>
      <c r="J234">
        <v>-420.26260000000002</v>
      </c>
      <c r="K234">
        <v>1.0576239999999999</v>
      </c>
      <c r="L234">
        <v>367.53570000000002</v>
      </c>
      <c r="M234">
        <v>0.99999110000000002</v>
      </c>
      <c r="N234">
        <v>-4.2180159999999998E-3</v>
      </c>
      <c r="O234">
        <v>-4.3011779999999999E-4</v>
      </c>
      <c r="P234">
        <v>0.99655320000000003</v>
      </c>
      <c r="Q234">
        <v>-3.7937489999999997E-2</v>
      </c>
      <c r="R234">
        <v>7.3774489999999998E-2</v>
      </c>
      <c r="S234">
        <v>3.0101930000000001</v>
      </c>
      <c r="T234">
        <v>-0.1165513</v>
      </c>
      <c r="U234">
        <v>-5.4901119999999998E-2</v>
      </c>
      <c r="V234">
        <v>-7.4213829999999995E-2</v>
      </c>
      <c r="W234">
        <v>-3.371039E-2</v>
      </c>
      <c r="X234">
        <v>0.99667249999999996</v>
      </c>
      <c r="Y234">
        <v>1.7790799999999999E-2</v>
      </c>
      <c r="Z234">
        <v>-3.6696960000000002E-4</v>
      </c>
      <c r="AA234">
        <v>0.99984170000000006</v>
      </c>
      <c r="AB234">
        <v>44</v>
      </c>
      <c r="AC234">
        <v>26.8569</v>
      </c>
      <c r="AD234">
        <v>-1.0576272686179999</v>
      </c>
      <c r="AE234">
        <v>-0.49800000000004702</v>
      </c>
      <c r="AF234">
        <v>0.48569526806693197</v>
      </c>
      <c r="AG234">
        <v>-1.0576272686179999</v>
      </c>
      <c r="AH234">
        <v>26.815540687258402</v>
      </c>
      <c r="AI234">
        <v>92.258252606905501</v>
      </c>
      <c r="AJ234">
        <v>88.962346245877299</v>
      </c>
      <c r="AK234">
        <v>26.8407842225736</v>
      </c>
      <c r="AL234">
        <v>91.931828925969995</v>
      </c>
      <c r="AM234">
        <v>94.258476657622893</v>
      </c>
      <c r="AN234">
        <v>1.0000000776067299</v>
      </c>
    </row>
    <row r="235" spans="1:40" x14ac:dyDescent="0.25">
      <c r="A235" t="str">
        <f>"20190305135201811"</f>
        <v>20190305135201811</v>
      </c>
      <c r="B235" t="str">
        <f>"1551765121800072"</f>
        <v>1551765121800072</v>
      </c>
      <c r="C235" t="s">
        <v>40</v>
      </c>
      <c r="D235">
        <v>4.7918669999999999</v>
      </c>
      <c r="E235">
        <v>0.53473689999999996</v>
      </c>
      <c r="F235" t="s">
        <v>42</v>
      </c>
      <c r="G235">
        <v>-394.40460000000002</v>
      </c>
      <c r="H235" s="1">
        <v>-2.837035E-6</v>
      </c>
      <c r="I235">
        <v>367.05509999999998</v>
      </c>
      <c r="J235">
        <v>-419.8501</v>
      </c>
      <c r="K235">
        <v>1.057696</v>
      </c>
      <c r="L235">
        <v>367.53530000000001</v>
      </c>
      <c r="M235">
        <v>0.99998770000000003</v>
      </c>
      <c r="N235">
        <v>-4.9087250000000001E-3</v>
      </c>
      <c r="O235">
        <v>-6.8857119999999998E-4</v>
      </c>
      <c r="P235">
        <v>0.99655249999999995</v>
      </c>
      <c r="Q235">
        <v>-3.987682E-2</v>
      </c>
      <c r="R235">
        <v>7.2752490000000003E-2</v>
      </c>
      <c r="S235">
        <v>3.009827</v>
      </c>
      <c r="T235">
        <v>-0.1231058</v>
      </c>
      <c r="U235">
        <v>-5.5938719999999997E-2</v>
      </c>
      <c r="V235">
        <v>-7.3454549999999993E-2</v>
      </c>
      <c r="W235">
        <v>-3.495185E-2</v>
      </c>
      <c r="X235">
        <v>0.99668590000000001</v>
      </c>
      <c r="Y235">
        <v>1.7877400000000002E-2</v>
      </c>
      <c r="Z235">
        <v>-3.8455150000000002E-4</v>
      </c>
      <c r="AA235">
        <v>0.99984010000000001</v>
      </c>
      <c r="AB235">
        <v>44</v>
      </c>
      <c r="AC235">
        <v>25.4454999999999</v>
      </c>
      <c r="AD235">
        <v>-1.057698837035</v>
      </c>
      <c r="AE235">
        <v>-0.480200000000024</v>
      </c>
      <c r="AF235">
        <v>0.46188086687448299</v>
      </c>
      <c r="AG235">
        <v>-1.057698837035</v>
      </c>
      <c r="AH235">
        <v>25.401949890372101</v>
      </c>
      <c r="AI235">
        <v>92.383938824938397</v>
      </c>
      <c r="AJ235">
        <v>88.958311919574498</v>
      </c>
      <c r="AK235">
        <v>25.428156028269601</v>
      </c>
      <c r="AL235">
        <v>92.003001468173807</v>
      </c>
      <c r="AM235">
        <v>94.215009648293901</v>
      </c>
      <c r="AN235">
        <v>0.99999999299646702</v>
      </c>
    </row>
    <row r="236" spans="1:40" x14ac:dyDescent="0.25">
      <c r="A236" t="str">
        <f>"20190305135201833"</f>
        <v>20190305135201833</v>
      </c>
      <c r="B236" t="str">
        <f>"1551765121830327"</f>
        <v>1551765121830327</v>
      </c>
      <c r="C236" t="s">
        <v>40</v>
      </c>
      <c r="D236">
        <v>4.8052510000000002</v>
      </c>
      <c r="E236">
        <v>0.53462310000000002</v>
      </c>
      <c r="F236" t="s">
        <v>42</v>
      </c>
      <c r="G236">
        <v>-395.37270000000001</v>
      </c>
      <c r="H236" s="1">
        <v>-2.420585E-6</v>
      </c>
      <c r="I236">
        <v>367.06139999999999</v>
      </c>
      <c r="J236">
        <v>-419.42599999999999</v>
      </c>
      <c r="K236">
        <v>1.0578110000000001</v>
      </c>
      <c r="L236">
        <v>367.53480000000002</v>
      </c>
      <c r="M236">
        <v>0.99998299999999996</v>
      </c>
      <c r="N236">
        <v>-5.7902240000000001E-3</v>
      </c>
      <c r="O236">
        <v>-9.7256920000000002E-4</v>
      </c>
      <c r="P236">
        <v>0.99659180000000003</v>
      </c>
      <c r="Q236">
        <v>-4.1633129999999997E-2</v>
      </c>
      <c r="R236">
        <v>7.1217779999999994E-2</v>
      </c>
      <c r="S236">
        <v>3.0093990000000002</v>
      </c>
      <c r="T236">
        <v>-0.13003969999999901</v>
      </c>
      <c r="U236">
        <v>-5.825806E-2</v>
      </c>
      <c r="V236">
        <v>-7.2207090000000002E-2</v>
      </c>
      <c r="W236">
        <v>-3.582192E-2</v>
      </c>
      <c r="X236">
        <v>0.99674620000000003</v>
      </c>
      <c r="Y236">
        <v>1.8363910000000001E-2</v>
      </c>
      <c r="Z236">
        <v>-4.1336660000000001E-4</v>
      </c>
      <c r="AA236">
        <v>0.99983129999999998</v>
      </c>
      <c r="AB236">
        <v>44</v>
      </c>
      <c r="AC236">
        <v>24.053299999999901</v>
      </c>
      <c r="AD236">
        <v>-1.0578134205850001</v>
      </c>
      <c r="AE236">
        <v>-0.47340000000002602</v>
      </c>
      <c r="AF236">
        <v>0.44913757033484197</v>
      </c>
      <c r="AG236">
        <v>-1.0578134205850001</v>
      </c>
      <c r="AH236">
        <v>24.0073355178871</v>
      </c>
      <c r="AI236">
        <v>92.522499172028603</v>
      </c>
      <c r="AJ236">
        <v>88.928215689357799</v>
      </c>
      <c r="AK236">
        <v>24.034825825419698</v>
      </c>
      <c r="AL236">
        <v>92.052883974005496</v>
      </c>
      <c r="AM236">
        <v>94.1434288808763</v>
      </c>
      <c r="AN236">
        <v>1.0000000305065899</v>
      </c>
    </row>
    <row r="237" spans="1:40" x14ac:dyDescent="0.25">
      <c r="A237" t="str">
        <f>"20190305135201856"</f>
        <v>20190305135201856</v>
      </c>
      <c r="B237" t="str">
        <f>"1551765121849848"</f>
        <v>1551765121849848</v>
      </c>
      <c r="C237" t="s">
        <v>40</v>
      </c>
      <c r="D237">
        <v>4.6044320000000001</v>
      </c>
      <c r="E237">
        <v>0.53459999999999996</v>
      </c>
      <c r="F237" t="s">
        <v>42</v>
      </c>
      <c r="G237">
        <v>-396.29680000000002</v>
      </c>
      <c r="H237" s="1">
        <v>-2.024952E-6</v>
      </c>
      <c r="I237">
        <v>367.05689999999998</v>
      </c>
      <c r="J237">
        <v>-418.97059999999999</v>
      </c>
      <c r="K237">
        <v>1.0579540000000001</v>
      </c>
      <c r="L237">
        <v>367.53410000000002</v>
      </c>
      <c r="M237">
        <v>0.99997590000000003</v>
      </c>
      <c r="N237">
        <v>-6.815499E-3</v>
      </c>
      <c r="O237">
        <v>-1.297922E-3</v>
      </c>
      <c r="P237">
        <v>0.99656299999999998</v>
      </c>
      <c r="Q237">
        <v>-4.352201E-2</v>
      </c>
      <c r="R237">
        <v>7.0485019999999995E-2</v>
      </c>
      <c r="S237">
        <v>3.0089109999999999</v>
      </c>
      <c r="T237">
        <v>-0.13761219999999999</v>
      </c>
      <c r="U237">
        <v>-6.216431E-2</v>
      </c>
      <c r="V237">
        <v>-7.1802740000000004E-2</v>
      </c>
      <c r="W237">
        <v>-3.6682880000000001E-2</v>
      </c>
      <c r="X237">
        <v>0.99674399999999996</v>
      </c>
      <c r="Y237">
        <v>1.9335729999999999E-2</v>
      </c>
      <c r="Z237">
        <v>-4.5733779999999999E-4</v>
      </c>
      <c r="AA237">
        <v>0.99981299999999995</v>
      </c>
      <c r="AB237">
        <v>44</v>
      </c>
      <c r="AC237">
        <v>22.6737999999999</v>
      </c>
      <c r="AD237">
        <v>-1.0579560249519999</v>
      </c>
      <c r="AE237">
        <v>-0.47720000000003798</v>
      </c>
      <c r="AF237">
        <v>0.44679777853180702</v>
      </c>
      <c r="AG237">
        <v>-1.0579560249519999</v>
      </c>
      <c r="AH237">
        <v>22.625163914876499</v>
      </c>
      <c r="AI237">
        <v>92.6766879338347</v>
      </c>
      <c r="AJ237">
        <v>88.868680018025699</v>
      </c>
      <c r="AK237">
        <v>22.654291897577899</v>
      </c>
      <c r="AL237">
        <v>92.102245997821399</v>
      </c>
      <c r="AM237">
        <v>94.120315434486599</v>
      </c>
      <c r="AN237">
        <v>0.99999993434629797</v>
      </c>
    </row>
    <row r="238" spans="1:40" x14ac:dyDescent="0.25">
      <c r="A238" t="str">
        <f>"20190305135201879"</f>
        <v>20190305135201879</v>
      </c>
      <c r="B238" t="str">
        <f>"1551765121870346"</f>
        <v>1551765121870346</v>
      </c>
      <c r="C238" t="s">
        <v>40</v>
      </c>
      <c r="D238">
        <v>4.5733379999999997</v>
      </c>
      <c r="E238">
        <v>0.55929739999999994</v>
      </c>
      <c r="F238" t="s">
        <v>42</v>
      </c>
      <c r="G238">
        <v>-396.767</v>
      </c>
      <c r="H238" s="1">
        <v>-1.8225919999999999E-6</v>
      </c>
      <c r="I238">
        <v>367.06060000000002</v>
      </c>
      <c r="J238">
        <v>-418.5188</v>
      </c>
      <c r="K238">
        <v>1.058071</v>
      </c>
      <c r="L238">
        <v>367.53320000000002</v>
      </c>
      <c r="M238">
        <v>0.99996819999999997</v>
      </c>
      <c r="N238">
        <v>-7.8131840000000008E-3</v>
      </c>
      <c r="O238">
        <v>-1.634644E-3</v>
      </c>
      <c r="P238">
        <v>0.99649339999999997</v>
      </c>
      <c r="Q238">
        <v>-4.5591100000000002E-2</v>
      </c>
      <c r="R238">
        <v>7.0161940000000006E-2</v>
      </c>
      <c r="S238">
        <v>3.0086360000000001</v>
      </c>
      <c r="T238">
        <v>-0.14335439999999999</v>
      </c>
      <c r="U238">
        <v>-6.4147949999999995E-2</v>
      </c>
      <c r="V238">
        <v>-7.1818409999999999E-2</v>
      </c>
      <c r="W238">
        <v>-3.7753349999999998E-2</v>
      </c>
      <c r="X238">
        <v>0.99670300000000001</v>
      </c>
      <c r="Y238">
        <v>1.9657419999999998E-2</v>
      </c>
      <c r="Z238">
        <v>-4.7978119999999999E-4</v>
      </c>
      <c r="AA238">
        <v>0.99980659999999999</v>
      </c>
      <c r="AB238">
        <v>44</v>
      </c>
      <c r="AC238">
        <v>21.751799999999999</v>
      </c>
      <c r="AD238">
        <v>-1.058072822592</v>
      </c>
      <c r="AE238">
        <v>-0.47259999999999902</v>
      </c>
      <c r="AF238">
        <v>0.436010659824559</v>
      </c>
      <c r="AG238">
        <v>-1.058072822592</v>
      </c>
      <c r="AH238">
        <v>21.7012195648146</v>
      </c>
      <c r="AI238">
        <v>92.790761818578403</v>
      </c>
      <c r="AJ238">
        <v>88.8489951019898</v>
      </c>
      <c r="AK238">
        <v>21.731372575005</v>
      </c>
      <c r="AL238">
        <v>92.1636217237251</v>
      </c>
      <c r="AM238">
        <v>94.121380485420801</v>
      </c>
      <c r="AN238">
        <v>1.0000000348300699</v>
      </c>
    </row>
    <row r="239" spans="1:40" x14ac:dyDescent="0.25">
      <c r="A239" t="str">
        <f>"20190305135201900"</f>
        <v>20190305135201900</v>
      </c>
      <c r="B239" t="str">
        <f>"1551765121889879"</f>
        <v>1551765121889879</v>
      </c>
      <c r="C239" t="s">
        <v>40</v>
      </c>
      <c r="D239">
        <v>4.5264059999999997</v>
      </c>
      <c r="E239">
        <v>0.55998079999999995</v>
      </c>
      <c r="F239" t="s">
        <v>49</v>
      </c>
      <c r="G239">
        <v>0</v>
      </c>
      <c r="H239">
        <v>0</v>
      </c>
      <c r="I239">
        <v>0</v>
      </c>
      <c r="J239">
        <v>-418.09960000000001</v>
      </c>
      <c r="K239">
        <v>1.0581510000000001</v>
      </c>
      <c r="L239">
        <v>367.53230000000002</v>
      </c>
      <c r="M239">
        <v>0.99996050000000003</v>
      </c>
      <c r="N239">
        <v>-8.6753409999999996E-3</v>
      </c>
      <c r="O239">
        <v>-1.9451959999999999E-3</v>
      </c>
      <c r="P239">
        <v>0.99641049999999998</v>
      </c>
      <c r="Q239">
        <v>-4.7694680000000003E-2</v>
      </c>
      <c r="R239">
        <v>6.9937750000000007E-2</v>
      </c>
      <c r="S239">
        <v>3.030548</v>
      </c>
      <c r="T239">
        <v>3.9850829999999997E-2</v>
      </c>
      <c r="U239">
        <v>-0.2576599</v>
      </c>
      <c r="V239">
        <v>-7.1905750000000004E-2</v>
      </c>
      <c r="W239">
        <v>-3.8995090000000003E-2</v>
      </c>
      <c r="X239">
        <v>0.9966488</v>
      </c>
      <c r="Y239">
        <v>8.2774890000000004E-2</v>
      </c>
      <c r="Z239">
        <v>1.411455E-4</v>
      </c>
      <c r="AA239">
        <v>0.99656829999999996</v>
      </c>
      <c r="AB239">
        <v>44</v>
      </c>
      <c r="AC239">
        <v>3.030548</v>
      </c>
      <c r="AD239">
        <v>3.9850829999999997E-2</v>
      </c>
      <c r="AE239">
        <v>-0.2576599</v>
      </c>
      <c r="AF239">
        <v>0.25172096701153801</v>
      </c>
      <c r="AG239">
        <v>3.9850829999999997E-2</v>
      </c>
      <c r="AH239">
        <v>3.0305232220770901</v>
      </c>
      <c r="AI239">
        <v>89.249199567877397</v>
      </c>
      <c r="AJ239">
        <v>85.251804320438595</v>
      </c>
      <c r="AK239">
        <v>3.0412205663899901</v>
      </c>
      <c r="AL239">
        <v>92.234820836516803</v>
      </c>
      <c r="AM239">
        <v>94.126598913748296</v>
      </c>
      <c r="AN239">
        <v>0.999999942234303</v>
      </c>
    </row>
    <row r="240" spans="1:40" x14ac:dyDescent="0.25">
      <c r="A240" t="str">
        <f>"20190305135201922"</f>
        <v>20190305135201922</v>
      </c>
      <c r="B240" t="str">
        <f>"1551765121910359"</f>
        <v>1551765121910359</v>
      </c>
      <c r="C240" t="s">
        <v>40</v>
      </c>
      <c r="D240">
        <v>4.5644879999999999</v>
      </c>
      <c r="E240">
        <v>0.5606236</v>
      </c>
      <c r="F240" t="s">
        <v>49</v>
      </c>
      <c r="G240">
        <v>0</v>
      </c>
      <c r="H240">
        <v>0</v>
      </c>
      <c r="I240">
        <v>0</v>
      </c>
      <c r="J240">
        <v>-417.67189999999999</v>
      </c>
      <c r="K240">
        <v>1.0582210000000001</v>
      </c>
      <c r="L240">
        <v>367.53129999999999</v>
      </c>
      <c r="M240">
        <v>0.99995270000000003</v>
      </c>
      <c r="N240">
        <v>-9.480469E-3</v>
      </c>
      <c r="O240">
        <v>-2.2453960000000002E-3</v>
      </c>
      <c r="P240">
        <v>0.99630030000000003</v>
      </c>
      <c r="Q240">
        <v>-4.9936790000000002E-2</v>
      </c>
      <c r="R240">
        <v>6.9944809999999996E-2</v>
      </c>
      <c r="S240">
        <v>3.0309750000000002</v>
      </c>
      <c r="T240">
        <v>3.362834E-2</v>
      </c>
      <c r="U240">
        <v>-0.26385500000000001</v>
      </c>
      <c r="V240">
        <v>-7.2213390000000002E-2</v>
      </c>
      <c r="W240">
        <v>-4.0433700000000003E-2</v>
      </c>
      <c r="X240">
        <v>0.99656929999999999</v>
      </c>
      <c r="Y240">
        <v>8.4487339999999994E-2</v>
      </c>
      <c r="Z240" s="1">
        <v>2.0422860000000001E-5</v>
      </c>
      <c r="AA240">
        <v>0.99642459999999999</v>
      </c>
      <c r="AB240">
        <v>44</v>
      </c>
      <c r="AC240">
        <v>3.0309750000000002</v>
      </c>
      <c r="AD240">
        <v>3.362834E-2</v>
      </c>
      <c r="AE240">
        <v>-0.26385500000000001</v>
      </c>
      <c r="AF240">
        <v>0.25701689092115698</v>
      </c>
      <c r="AG240">
        <v>3.362834E-2</v>
      </c>
      <c r="AH240">
        <v>3.0311895211843001</v>
      </c>
      <c r="AI240">
        <v>89.366653036842806</v>
      </c>
      <c r="AJ240">
        <v>85.153439343639803</v>
      </c>
      <c r="AK240">
        <v>3.04225220203839</v>
      </c>
      <c r="AL240">
        <v>92.317312043733295</v>
      </c>
      <c r="AM240">
        <v>94.144522128723906</v>
      </c>
      <c r="AN240">
        <v>1.00000001374673</v>
      </c>
    </row>
    <row r="241" spans="1:40" x14ac:dyDescent="0.25">
      <c r="A241" t="str">
        <f>"20190305135201946"</f>
        <v>20190305135201946</v>
      </c>
      <c r="B241" t="str">
        <f>"1551765121939639"</f>
        <v>1551765121939639</v>
      </c>
      <c r="C241" t="s">
        <v>40</v>
      </c>
      <c r="D241">
        <v>4.5246219999999999</v>
      </c>
      <c r="E241">
        <v>0.56081289999999995</v>
      </c>
      <c r="F241" t="s">
        <v>49</v>
      </c>
      <c r="G241">
        <v>0</v>
      </c>
      <c r="H241">
        <v>0</v>
      </c>
      <c r="I241">
        <v>0</v>
      </c>
      <c r="J241">
        <v>-417.21289999999999</v>
      </c>
      <c r="K241">
        <v>1.0582750000000001</v>
      </c>
      <c r="L241">
        <v>367.53</v>
      </c>
      <c r="M241">
        <v>0.99994419999999995</v>
      </c>
      <c r="N241">
        <v>-1.0260969999999999E-2</v>
      </c>
      <c r="O241">
        <v>-2.5374450000000002E-3</v>
      </c>
      <c r="P241">
        <v>0.99625739999999996</v>
      </c>
      <c r="Q241">
        <v>-5.108861E-2</v>
      </c>
      <c r="R241">
        <v>6.972296E-2</v>
      </c>
      <c r="S241">
        <v>3.0315859999999999</v>
      </c>
      <c r="T241">
        <v>3.0316349999999999E-2</v>
      </c>
      <c r="U241">
        <v>-0.2691345</v>
      </c>
      <c r="V241">
        <v>-7.2283100000000003E-2</v>
      </c>
      <c r="W241">
        <v>-4.0808009999999999E-2</v>
      </c>
      <c r="X241">
        <v>0.99654900000000002</v>
      </c>
      <c r="Y241">
        <v>8.5901759999999994E-2</v>
      </c>
      <c r="Z241" s="1">
        <v>-6.4241119999999897E-5</v>
      </c>
      <c r="AA241">
        <v>0.99630359999999996</v>
      </c>
      <c r="AB241">
        <v>44</v>
      </c>
      <c r="AC241">
        <v>3.0315859999999999</v>
      </c>
      <c r="AD241">
        <v>3.0316349999999999E-2</v>
      </c>
      <c r="AE241">
        <v>-0.2691345</v>
      </c>
      <c r="AF241">
        <v>0.26141480834441599</v>
      </c>
      <c r="AG241">
        <v>3.0316349999999999E-2</v>
      </c>
      <c r="AH241">
        <v>3.0319583545706399</v>
      </c>
      <c r="AI241">
        <v>89.429239805870296</v>
      </c>
      <c r="AJ241">
        <v>85.0721568427318</v>
      </c>
      <c r="AK241">
        <v>3.0433580543455299</v>
      </c>
      <c r="AL241">
        <v>92.338776116667404</v>
      </c>
      <c r="AM241">
        <v>94.148593224215801</v>
      </c>
      <c r="AN241">
        <v>1.00000002481338</v>
      </c>
    </row>
    <row r="242" spans="1:40" x14ac:dyDescent="0.25">
      <c r="A242" t="str">
        <f>"20190305135201967"</f>
        <v>20190305135201967</v>
      </c>
      <c r="B242" t="str">
        <f>"1551765121960135"</f>
        <v>1551765121960135</v>
      </c>
      <c r="C242" t="s">
        <v>40</v>
      </c>
      <c r="D242">
        <v>4.6024890000000003</v>
      </c>
      <c r="E242">
        <v>0.5608976</v>
      </c>
      <c r="F242" t="s">
        <v>49</v>
      </c>
      <c r="G242">
        <v>0</v>
      </c>
      <c r="H242">
        <v>0</v>
      </c>
      <c r="I242">
        <v>0</v>
      </c>
      <c r="J242">
        <v>-416.77690000000001</v>
      </c>
      <c r="K242">
        <v>1.0583279999999999</v>
      </c>
      <c r="L242">
        <v>367.52870000000001</v>
      </c>
      <c r="M242">
        <v>0.99993670000000001</v>
      </c>
      <c r="N242">
        <v>-1.09169E-2</v>
      </c>
      <c r="O242">
        <v>-2.7735530000000002E-3</v>
      </c>
      <c r="P242">
        <v>0.99630390000000002</v>
      </c>
      <c r="Q242">
        <v>-5.096291E-2</v>
      </c>
      <c r="R242">
        <v>6.915056E-2</v>
      </c>
      <c r="S242">
        <v>3.0317379999999998</v>
      </c>
      <c r="T242">
        <v>2.8847100000000001E-2</v>
      </c>
      <c r="U242">
        <v>-0.27133180000000001</v>
      </c>
      <c r="V242">
        <v>-7.1944629999999996E-2</v>
      </c>
      <c r="W242">
        <v>-4.003081E-2</v>
      </c>
      <c r="X242">
        <v>0.99660499999999996</v>
      </c>
      <c r="Y242">
        <v>8.6378949999999996E-2</v>
      </c>
      <c r="Z242">
        <v>-1.188825E-4</v>
      </c>
      <c r="AA242">
        <v>0.99626239999999999</v>
      </c>
      <c r="AB242">
        <v>44</v>
      </c>
      <c r="AC242">
        <v>3.0317379999999998</v>
      </c>
      <c r="AD242">
        <v>2.8847100000000001E-2</v>
      </c>
      <c r="AE242">
        <v>-0.27133180000000001</v>
      </c>
      <c r="AF242">
        <v>0.26289795768890301</v>
      </c>
      <c r="AG242">
        <v>2.8847100000000001E-2</v>
      </c>
      <c r="AH242">
        <v>3.0322065932285001</v>
      </c>
      <c r="AI242">
        <v>89.456966323595907</v>
      </c>
      <c r="AJ242">
        <v>85.044741016089802</v>
      </c>
      <c r="AK242">
        <v>3.04371882987799</v>
      </c>
      <c r="AL242">
        <v>92.294209449191698</v>
      </c>
      <c r="AM242">
        <v>94.129003314453499</v>
      </c>
      <c r="AN242">
        <v>1.00000001078004</v>
      </c>
    </row>
    <row r="243" spans="1:40" x14ac:dyDescent="0.25">
      <c r="A243" t="str">
        <f>"20190305135201991"</f>
        <v>20190305135201991</v>
      </c>
      <c r="B243" t="str">
        <f>"1551765121979655"</f>
        <v>1551765121979655</v>
      </c>
      <c r="C243" t="s">
        <v>40</v>
      </c>
      <c r="D243">
        <v>4.4769310000000004</v>
      </c>
      <c r="E243">
        <v>0.56142630000000004</v>
      </c>
      <c r="F243" t="s">
        <v>51</v>
      </c>
      <c r="G243">
        <v>-141.37719999999999</v>
      </c>
      <c r="H243">
        <v>3.598967</v>
      </c>
      <c r="I243">
        <v>342.64400000000001</v>
      </c>
      <c r="J243">
        <v>-416.31920000000002</v>
      </c>
      <c r="K243">
        <v>1.0583800000000001</v>
      </c>
      <c r="L243">
        <v>367.52719999999999</v>
      </c>
      <c r="M243">
        <v>0.99992919999999996</v>
      </c>
      <c r="N243">
        <v>-1.152713E-2</v>
      </c>
      <c r="O243">
        <v>-2.983669E-3</v>
      </c>
      <c r="P243">
        <v>0.9963436</v>
      </c>
      <c r="Q243">
        <v>-5.084288E-2</v>
      </c>
      <c r="R243">
        <v>6.8663970000000005E-2</v>
      </c>
      <c r="S243">
        <v>3.031555</v>
      </c>
      <c r="T243">
        <v>2.7966979999999999E-2</v>
      </c>
      <c r="U243">
        <v>-0.2739258</v>
      </c>
      <c r="V243">
        <v>-7.1664420000000006E-2</v>
      </c>
      <c r="W243">
        <v>-3.9306609999999999E-2</v>
      </c>
      <c r="X243">
        <v>0.99665400000000004</v>
      </c>
      <c r="Y243">
        <v>8.7020959999999994E-2</v>
      </c>
      <c r="Z243">
        <v>-1.6380400000000001E-4</v>
      </c>
      <c r="AA243">
        <v>0.99620649999999999</v>
      </c>
      <c r="AB243">
        <v>44</v>
      </c>
      <c r="AC243">
        <v>274.94200000000001</v>
      </c>
      <c r="AD243">
        <v>2.5405869999999999</v>
      </c>
      <c r="AE243">
        <v>-24.883199999999899</v>
      </c>
      <c r="AF243">
        <v>24.0606611231823</v>
      </c>
      <c r="AG243">
        <v>2.5405869999999999</v>
      </c>
      <c r="AH243">
        <v>274.99173454436499</v>
      </c>
      <c r="AI243">
        <v>89.472686666442101</v>
      </c>
      <c r="AJ243">
        <v>84.999586086985602</v>
      </c>
      <c r="AK243">
        <v>276.05402381365099</v>
      </c>
      <c r="AL243">
        <v>92.252683189926898</v>
      </c>
      <c r="AM243">
        <v>94.112775447735004</v>
      </c>
      <c r="AN243">
        <v>0.99999999719981403</v>
      </c>
    </row>
    <row r="244" spans="1:40" x14ac:dyDescent="0.25">
      <c r="A244" t="str">
        <f>"20190305135202012"</f>
        <v>20190305135202012</v>
      </c>
      <c r="B244" t="str">
        <f>"1551765122000151"</f>
        <v>1551765122000151</v>
      </c>
      <c r="C244" t="s">
        <v>40</v>
      </c>
      <c r="D244">
        <v>4.8049269999999904</v>
      </c>
      <c r="E244">
        <v>0.56092759999999997</v>
      </c>
      <c r="F244" t="s">
        <v>51</v>
      </c>
      <c r="G244">
        <v>-143.63120000000001</v>
      </c>
      <c r="H244">
        <v>3.901675</v>
      </c>
      <c r="I244">
        <v>342.3963</v>
      </c>
      <c r="J244">
        <v>-415.9042</v>
      </c>
      <c r="K244">
        <v>1.0584229999999999</v>
      </c>
      <c r="L244">
        <v>367.52589999999998</v>
      </c>
      <c r="M244">
        <v>0.99992300000000001</v>
      </c>
      <c r="N244">
        <v>-1.201676E-2</v>
      </c>
      <c r="O244">
        <v>-3.1334710000000001E-3</v>
      </c>
      <c r="P244">
        <v>0.99633130000000003</v>
      </c>
      <c r="Q244">
        <v>-5.2099670000000001E-2</v>
      </c>
      <c r="R244">
        <v>6.7897070000000004E-2</v>
      </c>
      <c r="S244">
        <v>3.0318909999999999</v>
      </c>
      <c r="T244">
        <v>3.1613349999999998E-2</v>
      </c>
      <c r="U244">
        <v>-0.27941890000000003</v>
      </c>
      <c r="V244">
        <v>-7.1043919999999997E-2</v>
      </c>
      <c r="W244">
        <v>-4.0081140000000001E-2</v>
      </c>
      <c r="X244">
        <v>0.99666759999999999</v>
      </c>
      <c r="Y244">
        <v>8.8651690000000005E-2</v>
      </c>
      <c r="Z244">
        <v>-1.42779E-4</v>
      </c>
      <c r="AA244">
        <v>0.99606269999999997</v>
      </c>
      <c r="AB244">
        <v>44</v>
      </c>
      <c r="AC244">
        <v>272.272999999999</v>
      </c>
      <c r="AD244">
        <v>2.8432520000000001</v>
      </c>
      <c r="AE244">
        <v>-25.1295999999999</v>
      </c>
      <c r="AF244">
        <v>24.273630897813501</v>
      </c>
      <c r="AG244">
        <v>2.8432520000000001</v>
      </c>
      <c r="AH244">
        <v>272.32096618933201</v>
      </c>
      <c r="AI244">
        <v>89.404169431725194</v>
      </c>
      <c r="AJ244">
        <v>84.906338907923697</v>
      </c>
      <c r="AK244">
        <v>273.41543823491401</v>
      </c>
      <c r="AL244">
        <v>92.2970954393315</v>
      </c>
      <c r="AM244">
        <v>94.077230519395997</v>
      </c>
      <c r="AN244">
        <v>1.0000000206212101</v>
      </c>
    </row>
    <row r="245" spans="1:40" x14ac:dyDescent="0.25">
      <c r="A245" t="str">
        <f>"20190305135202034"</f>
        <v>20190305135202034</v>
      </c>
      <c r="B245" t="str">
        <f>"1551765122030407"</f>
        <v>1551765122030407</v>
      </c>
      <c r="C245" t="s">
        <v>40</v>
      </c>
      <c r="D245">
        <v>4.7403719999999998</v>
      </c>
      <c r="E245">
        <v>0.54186179999999995</v>
      </c>
      <c r="F245" t="s">
        <v>51</v>
      </c>
      <c r="G245">
        <v>-143.631</v>
      </c>
      <c r="H245">
        <v>3.1512229999999999</v>
      </c>
      <c r="I245">
        <v>342.56189999999998</v>
      </c>
      <c r="J245">
        <v>-415.476</v>
      </c>
      <c r="K245">
        <v>1.0584629999999999</v>
      </c>
      <c r="L245">
        <v>367.52440000000001</v>
      </c>
      <c r="M245">
        <v>0.9999171</v>
      </c>
      <c r="N245">
        <v>-1.2462350000000001E-2</v>
      </c>
      <c r="O245">
        <v>-3.2464920000000001E-3</v>
      </c>
      <c r="P245">
        <v>0.99628470000000002</v>
      </c>
      <c r="Q245">
        <v>-5.4399360000000001E-2</v>
      </c>
      <c r="R245">
        <v>6.6764080000000003E-2</v>
      </c>
      <c r="S245">
        <v>3.0312190000000001</v>
      </c>
      <c r="T245">
        <v>2.3299219999999999E-2</v>
      </c>
      <c r="U245">
        <v>-0.27792359999999999</v>
      </c>
      <c r="V245">
        <v>-7.0021020000000003E-2</v>
      </c>
      <c r="W245">
        <v>-4.1944000000000002E-2</v>
      </c>
      <c r="X245">
        <v>0.99666330000000003</v>
      </c>
      <c r="Y245">
        <v>8.8072689999999995E-2</v>
      </c>
      <c r="Z245">
        <v>-2.7746880000000001E-4</v>
      </c>
      <c r="AA245">
        <v>0.99611400000000005</v>
      </c>
      <c r="AB245">
        <v>44</v>
      </c>
      <c r="AC245">
        <v>271.84500000000003</v>
      </c>
      <c r="AD245">
        <v>2.09275999999999</v>
      </c>
      <c r="AE245">
        <v>-24.962499999999999</v>
      </c>
      <c r="AF245">
        <v>24.0783422318354</v>
      </c>
      <c r="AG245">
        <v>2.09275999999999</v>
      </c>
      <c r="AH245">
        <v>271.90863419517399</v>
      </c>
      <c r="AI245">
        <v>89.560747338692906</v>
      </c>
      <c r="AJ245">
        <v>84.939483309854197</v>
      </c>
      <c r="AK245">
        <v>272.98067982722802</v>
      </c>
      <c r="AL245">
        <v>92.403919425385993</v>
      </c>
      <c r="AM245">
        <v>94.018737026141295</v>
      </c>
      <c r="AN245">
        <v>0.999999987972365</v>
      </c>
    </row>
    <row r="246" spans="1:40" x14ac:dyDescent="0.25">
      <c r="A246" t="str">
        <f>"20190305135202056"</f>
        <v>20190305135202056</v>
      </c>
      <c r="B246" t="str">
        <f>"1551765122049928"</f>
        <v>1551765122049928</v>
      </c>
      <c r="C246" t="s">
        <v>40</v>
      </c>
      <c r="D246">
        <v>4.7108660000000002</v>
      </c>
      <c r="E246">
        <v>0.56703359999999903</v>
      </c>
      <c r="F246" t="s">
        <v>41</v>
      </c>
      <c r="G246">
        <v>-414.55770000000001</v>
      </c>
      <c r="H246">
        <v>0.94153640000000005</v>
      </c>
      <c r="I246">
        <v>367.48239999999998</v>
      </c>
      <c r="J246">
        <v>-415.02910000000003</v>
      </c>
      <c r="K246">
        <v>1.05851299999999</v>
      </c>
      <c r="L246">
        <v>367.52289999999999</v>
      </c>
      <c r="M246">
        <v>0.99991180000000002</v>
      </c>
      <c r="N246">
        <v>-1.2868940000000001E-2</v>
      </c>
      <c r="O246">
        <v>-3.318938E-3</v>
      </c>
      <c r="P246">
        <v>0.99618450000000003</v>
      </c>
      <c r="Q246">
        <v>-5.6951130000000003E-2</v>
      </c>
      <c r="R246">
        <v>6.6128909999999999E-2</v>
      </c>
      <c r="S246">
        <v>2.9994809999999998</v>
      </c>
      <c r="T246">
        <v>-0.38203140000000002</v>
      </c>
      <c r="U246">
        <v>-0.1366272</v>
      </c>
      <c r="V246">
        <v>-6.9454710000000003E-2</v>
      </c>
      <c r="W246">
        <v>-4.4098989999999998E-2</v>
      </c>
      <c r="X246">
        <v>0.99660990000000005</v>
      </c>
      <c r="Y246">
        <v>4.1837010000000001E-2</v>
      </c>
      <c r="Z246">
        <v>-2.5445089999999999E-3</v>
      </c>
      <c r="AA246">
        <v>0.99912120000000004</v>
      </c>
      <c r="AB246">
        <v>44</v>
      </c>
      <c r="AC246">
        <v>0.47140000000001597</v>
      </c>
      <c r="AD246">
        <v>-0.116976599999999</v>
      </c>
      <c r="AE246">
        <v>-4.0500000000008599E-2</v>
      </c>
      <c r="AF246">
        <v>3.66922546304701E-2</v>
      </c>
      <c r="AG246">
        <v>-0.116976599999999</v>
      </c>
      <c r="AH246">
        <v>0.44436937259671599</v>
      </c>
      <c r="AI246">
        <v>104.70020852714499</v>
      </c>
      <c r="AJ246">
        <v>85.279708685433405</v>
      </c>
      <c r="AK246">
        <v>0.46097069950206798</v>
      </c>
      <c r="AL246">
        <v>92.527505712542194</v>
      </c>
      <c r="AM246">
        <v>93.986552747365707</v>
      </c>
      <c r="AN246">
        <v>0.99999998521910705</v>
      </c>
    </row>
    <row r="247" spans="1:40" x14ac:dyDescent="0.25">
      <c r="A247" t="str">
        <f>"20190305135202080"</f>
        <v>20190305135202080</v>
      </c>
      <c r="B247" t="str">
        <f>"1551765122070427"</f>
        <v>1551765122070427</v>
      </c>
      <c r="C247" t="s">
        <v>40</v>
      </c>
      <c r="D247">
        <v>4.7138179999999998</v>
      </c>
      <c r="E247">
        <v>0.56644119999999998</v>
      </c>
      <c r="F247" t="s">
        <v>41</v>
      </c>
      <c r="G247">
        <v>-414.2063</v>
      </c>
      <c r="H247">
        <v>0.86290339999999999</v>
      </c>
      <c r="I247">
        <v>367.42779999999999</v>
      </c>
      <c r="J247">
        <v>-414.58640000000003</v>
      </c>
      <c r="K247">
        <v>1.058575</v>
      </c>
      <c r="L247">
        <v>367.52140000000003</v>
      </c>
      <c r="M247">
        <v>0.99990730000000005</v>
      </c>
      <c r="N247">
        <v>-1.3219460000000001E-2</v>
      </c>
      <c r="O247">
        <v>-3.3307359999999999E-3</v>
      </c>
      <c r="P247">
        <v>0.99617579999999994</v>
      </c>
      <c r="Q247">
        <v>-5.775069E-2</v>
      </c>
      <c r="R247">
        <v>6.5566719999999995E-2</v>
      </c>
      <c r="S247">
        <v>2.9936829999999999</v>
      </c>
      <c r="T247">
        <v>-0.71185730000000003</v>
      </c>
      <c r="U247">
        <v>-0.34466550000000001</v>
      </c>
      <c r="V247">
        <v>-6.8899210000000002E-2</v>
      </c>
      <c r="W247">
        <v>-4.4557659999999999E-2</v>
      </c>
      <c r="X247">
        <v>0.99662799999999996</v>
      </c>
      <c r="Y247">
        <v>0.1080035</v>
      </c>
      <c r="Z247">
        <v>-1.261554E-2</v>
      </c>
      <c r="AA247">
        <v>0.99407049999999997</v>
      </c>
      <c r="AB247">
        <v>44</v>
      </c>
      <c r="AC247">
        <v>0.38010000000002703</v>
      </c>
      <c r="AD247">
        <v>-0.1956716</v>
      </c>
      <c r="AE247">
        <v>-9.3600000000037598E-2</v>
      </c>
      <c r="AF247">
        <v>7.3875119886010407E-2</v>
      </c>
      <c r="AG247">
        <v>-0.1956716</v>
      </c>
      <c r="AH247">
        <v>0.30436248712564001</v>
      </c>
      <c r="AI247">
        <v>121.995092555702</v>
      </c>
      <c r="AJ247">
        <v>76.356955482392706</v>
      </c>
      <c r="AK247">
        <v>0.36929856749524198</v>
      </c>
      <c r="AL247">
        <v>92.553811571904305</v>
      </c>
      <c r="AM247">
        <v>93.954698212784095</v>
      </c>
      <c r="AN247">
        <v>0.99999992829364703</v>
      </c>
    </row>
    <row r="248" spans="1:40" x14ac:dyDescent="0.25">
      <c r="A248" t="str">
        <f>"20190305135202101"</f>
        <v>20190305135202101</v>
      </c>
      <c r="B248" t="str">
        <f>"1551765122089943"</f>
        <v>1551765122089943</v>
      </c>
      <c r="C248" t="s">
        <v>40</v>
      </c>
      <c r="D248">
        <v>4.7582909999999998</v>
      </c>
      <c r="E248">
        <v>0.56558079999999999</v>
      </c>
      <c r="F248" t="s">
        <v>41</v>
      </c>
      <c r="G248">
        <v>-413.81229999999999</v>
      </c>
      <c r="H248">
        <v>0.87343590000000004</v>
      </c>
      <c r="I248">
        <v>367.43259999999998</v>
      </c>
      <c r="J248">
        <v>-414.17439999999999</v>
      </c>
      <c r="K248">
        <v>1.0586439999999999</v>
      </c>
      <c r="L248">
        <v>367.52010000000001</v>
      </c>
      <c r="M248">
        <v>0.9999036</v>
      </c>
      <c r="N248">
        <v>-1.3502979999999999E-2</v>
      </c>
      <c r="O248">
        <v>-3.2748690000000001E-3</v>
      </c>
      <c r="P248">
        <v>0.99618229999999997</v>
      </c>
      <c r="Q248">
        <v>-5.7882299999999998E-2</v>
      </c>
      <c r="R248">
        <v>6.53479E-2</v>
      </c>
      <c r="S248">
        <v>2.9925229999999998</v>
      </c>
      <c r="T248">
        <v>-0.71577159999999995</v>
      </c>
      <c r="U248">
        <v>-0.34188839999999998</v>
      </c>
      <c r="V248">
        <v>-6.8618299999999993E-2</v>
      </c>
      <c r="W248">
        <v>-4.4415980000000001E-2</v>
      </c>
      <c r="X248">
        <v>0.99665380000000003</v>
      </c>
      <c r="Y248">
        <v>0.1071762</v>
      </c>
      <c r="Z248">
        <v>-1.261003E-2</v>
      </c>
      <c r="AA248">
        <v>0.99416009999999999</v>
      </c>
      <c r="AB248">
        <v>44</v>
      </c>
      <c r="AC248">
        <v>0.36209999999999798</v>
      </c>
      <c r="AD248">
        <v>-0.18520809999999999</v>
      </c>
      <c r="AE248">
        <v>-8.7500000000034106E-2</v>
      </c>
      <c r="AF248">
        <v>6.9206919489594898E-2</v>
      </c>
      <c r="AG248">
        <v>-0.18520809999999999</v>
      </c>
      <c r="AH248">
        <v>0.29056285904324902</v>
      </c>
      <c r="AI248">
        <v>121.801631085906</v>
      </c>
      <c r="AJ248">
        <v>76.602783643481999</v>
      </c>
      <c r="AK248">
        <v>0.35145186450812299</v>
      </c>
      <c r="AL248">
        <v>92.545685617514593</v>
      </c>
      <c r="AM248">
        <v>93.938523666855204</v>
      </c>
      <c r="AN248">
        <v>1.00000002371434</v>
      </c>
    </row>
    <row r="249" spans="1:40" x14ac:dyDescent="0.25">
      <c r="A249" t="str">
        <f>"20190305135202123"</f>
        <v>20190305135202123</v>
      </c>
      <c r="B249" t="str">
        <f>"1551765122110439"</f>
        <v>1551765122110439</v>
      </c>
      <c r="C249" t="s">
        <v>40</v>
      </c>
      <c r="D249">
        <v>4.7507929999999998</v>
      </c>
      <c r="E249">
        <v>0.56512099999999998</v>
      </c>
      <c r="F249" t="s">
        <v>41</v>
      </c>
      <c r="G249">
        <v>-413.42160000000001</v>
      </c>
      <c r="H249">
        <v>0.87775840000000005</v>
      </c>
      <c r="I249">
        <v>367.43520000000001</v>
      </c>
      <c r="J249">
        <v>-413.75729999999999</v>
      </c>
      <c r="K249">
        <v>1.0587299999999999</v>
      </c>
      <c r="L249">
        <v>367.5188</v>
      </c>
      <c r="M249">
        <v>0.99990049999999997</v>
      </c>
      <c r="N249">
        <v>-1.3753629999999999E-2</v>
      </c>
      <c r="O249">
        <v>-3.1485319999999999E-3</v>
      </c>
      <c r="P249">
        <v>0.99615180000000003</v>
      </c>
      <c r="Q249">
        <v>-5.8366559999999998E-2</v>
      </c>
      <c r="R249">
        <v>6.5385520000000003E-2</v>
      </c>
      <c r="S249">
        <v>2.9917600000000002</v>
      </c>
      <c r="T249">
        <v>-0.71891240000000001</v>
      </c>
      <c r="U249">
        <v>-0.33615109999999998</v>
      </c>
      <c r="V249">
        <v>-6.852345E-2</v>
      </c>
      <c r="W249">
        <v>-4.4661670000000001E-2</v>
      </c>
      <c r="X249">
        <v>0.99664929999999996</v>
      </c>
      <c r="Y249">
        <v>0.10546410000000001</v>
      </c>
      <c r="Z249">
        <v>-1.249311E-2</v>
      </c>
      <c r="AA249">
        <v>0.99434469999999997</v>
      </c>
      <c r="AB249">
        <v>44</v>
      </c>
      <c r="AC249">
        <v>0.33569999999997402</v>
      </c>
      <c r="AD249">
        <v>-0.18097159999999901</v>
      </c>
      <c r="AE249">
        <v>-8.3599999999989905E-2</v>
      </c>
      <c r="AF249">
        <v>6.4808133069932994E-2</v>
      </c>
      <c r="AG249">
        <v>-0.18097159999999901</v>
      </c>
      <c r="AH249">
        <v>0.26377970706510001</v>
      </c>
      <c r="AI249">
        <v>123.673803652299</v>
      </c>
      <c r="AJ249">
        <v>76.196389999466206</v>
      </c>
      <c r="AK249">
        <v>0.32639017751445898</v>
      </c>
      <c r="AL249">
        <v>92.559776718587997</v>
      </c>
      <c r="AM249">
        <v>93.933114308368502</v>
      </c>
      <c r="AN249">
        <v>0.99999997757879</v>
      </c>
    </row>
    <row r="250" spans="1:40" x14ac:dyDescent="0.25">
      <c r="A250" t="str">
        <f>"20190305135202145"</f>
        <v>20190305135202145</v>
      </c>
      <c r="B250" t="str">
        <f>"1551765122139720"</f>
        <v>1551765122139720</v>
      </c>
      <c r="C250" t="s">
        <v>40</v>
      </c>
      <c r="D250">
        <v>4.7560510000000003</v>
      </c>
      <c r="E250">
        <v>0.5643783</v>
      </c>
      <c r="F250" t="s">
        <v>41</v>
      </c>
      <c r="G250">
        <v>-413.0299</v>
      </c>
      <c r="H250">
        <v>0.88465269999999996</v>
      </c>
      <c r="I250">
        <v>367.43790000000001</v>
      </c>
      <c r="J250">
        <v>-413.3175</v>
      </c>
      <c r="K250">
        <v>1.0588249999999999</v>
      </c>
      <c r="L250">
        <v>367.51749999999998</v>
      </c>
      <c r="M250">
        <v>0.99989790000000001</v>
      </c>
      <c r="N250">
        <v>-1.398342E-2</v>
      </c>
      <c r="O250">
        <v>-2.945006E-3</v>
      </c>
      <c r="P250">
        <v>0.99613050000000003</v>
      </c>
      <c r="Q250">
        <v>-5.8304229999999999E-2</v>
      </c>
      <c r="R250">
        <v>6.5764009999999998E-2</v>
      </c>
      <c r="S250">
        <v>2.9914860000000001</v>
      </c>
      <c r="T250">
        <v>-0.71603209999999995</v>
      </c>
      <c r="U250">
        <v>-0.3327637</v>
      </c>
      <c r="V250">
        <v>-6.8691089999999996E-2</v>
      </c>
      <c r="W250">
        <v>-4.438305E-2</v>
      </c>
      <c r="X250">
        <v>0.99665020000000004</v>
      </c>
      <c r="Y250">
        <v>0.10460419999999999</v>
      </c>
      <c r="Z250">
        <v>-1.239994E-2</v>
      </c>
      <c r="AA250">
        <v>0.9944366</v>
      </c>
      <c r="AB250">
        <v>43</v>
      </c>
      <c r="AC250">
        <v>0.28759999999999702</v>
      </c>
      <c r="AD250">
        <v>-0.174172299999999</v>
      </c>
      <c r="AE250">
        <v>-7.9599999999970805E-2</v>
      </c>
      <c r="AF250">
        <v>5.8741535533430499E-2</v>
      </c>
      <c r="AG250">
        <v>-0.174172299999999</v>
      </c>
      <c r="AH250">
        <v>0.21469470922814601</v>
      </c>
      <c r="AI250">
        <v>128.04302093295399</v>
      </c>
      <c r="AJ250">
        <v>74.698085864547906</v>
      </c>
      <c r="AK250">
        <v>0.28263116646023601</v>
      </c>
      <c r="AL250">
        <v>92.543797139108705</v>
      </c>
      <c r="AM250">
        <v>93.9427026628113</v>
      </c>
      <c r="AN250">
        <v>0.99999997106636496</v>
      </c>
    </row>
    <row r="251" spans="1:40" x14ac:dyDescent="0.25">
      <c r="A251" t="str">
        <f>"20190305135202169"</f>
        <v>20190305135202169</v>
      </c>
      <c r="B251" t="str">
        <f>"1551765122160232"</f>
        <v>1551765122160232</v>
      </c>
      <c r="C251" t="s">
        <v>40</v>
      </c>
      <c r="D251">
        <v>4.8874170000000001</v>
      </c>
      <c r="E251">
        <v>0.5656525</v>
      </c>
      <c r="F251" t="s">
        <v>41</v>
      </c>
      <c r="G251">
        <v>-412.28539999999998</v>
      </c>
      <c r="H251">
        <v>0.81349159999999998</v>
      </c>
      <c r="I251">
        <v>367.40519999999998</v>
      </c>
      <c r="J251">
        <v>-412.85950000000003</v>
      </c>
      <c r="K251">
        <v>1.058921</v>
      </c>
      <c r="L251">
        <v>367.51639999999998</v>
      </c>
      <c r="M251">
        <v>0.99989600000000001</v>
      </c>
      <c r="N251">
        <v>-1.418612E-2</v>
      </c>
      <c r="O251">
        <v>-2.6571350000000001E-3</v>
      </c>
      <c r="P251">
        <v>0.99616870000000002</v>
      </c>
      <c r="Q251">
        <v>-5.7465040000000002E-2</v>
      </c>
      <c r="R251">
        <v>6.5924880000000005E-2</v>
      </c>
      <c r="S251">
        <v>2.9915159999999998</v>
      </c>
      <c r="T251">
        <v>-0.7111113</v>
      </c>
      <c r="U251">
        <v>-0.32543949999999999</v>
      </c>
      <c r="V251">
        <v>-6.8556859999999997E-2</v>
      </c>
      <c r="W251">
        <v>-4.3353679999999999E-2</v>
      </c>
      <c r="X251">
        <v>0.99670479999999995</v>
      </c>
      <c r="Y251">
        <v>0.102572</v>
      </c>
      <c r="Z251">
        <v>-1.214586E-2</v>
      </c>
      <c r="AA251">
        <v>0.99465139999999996</v>
      </c>
      <c r="AB251">
        <v>43</v>
      </c>
      <c r="AC251">
        <v>0.57410000000004302</v>
      </c>
      <c r="AD251">
        <v>-0.24542939999999999</v>
      </c>
      <c r="AE251">
        <v>-0.111199999999996</v>
      </c>
      <c r="AF251">
        <v>9.3248304821194505E-2</v>
      </c>
      <c r="AG251">
        <v>-0.24542939999999999</v>
      </c>
      <c r="AH251">
        <v>0.48836753847077502</v>
      </c>
      <c r="AI251">
        <v>116.272458253913</v>
      </c>
      <c r="AJ251">
        <v>79.190127505441396</v>
      </c>
      <c r="AK251">
        <v>0.55446703181378598</v>
      </c>
      <c r="AL251">
        <v>92.484761620667896</v>
      </c>
      <c r="AM251">
        <v>93.9348075274238</v>
      </c>
      <c r="AN251">
        <v>1.00000002148282</v>
      </c>
    </row>
    <row r="252" spans="1:40" x14ac:dyDescent="0.25">
      <c r="A252" t="str">
        <f>"20190305135202192"</f>
        <v>20190305135202192</v>
      </c>
      <c r="B252" t="str">
        <f>"1551765122179735"</f>
        <v>1551765122179735</v>
      </c>
      <c r="C252" t="s">
        <v>40</v>
      </c>
      <c r="D252">
        <v>5.0340420000000003</v>
      </c>
      <c r="E252">
        <v>0.581269699999999</v>
      </c>
      <c r="F252" t="s">
        <v>41</v>
      </c>
      <c r="G252">
        <v>-411.89109999999999</v>
      </c>
      <c r="H252">
        <v>0.83140840000000005</v>
      </c>
      <c r="I252">
        <v>367.40780000000001</v>
      </c>
      <c r="J252">
        <v>-412.42070000000001</v>
      </c>
      <c r="K252">
        <v>1.0589980000000001</v>
      </c>
      <c r="L252">
        <v>367.51560000000001</v>
      </c>
      <c r="M252">
        <v>0.99989419999999996</v>
      </c>
      <c r="N252">
        <v>-1.4353299999999999E-2</v>
      </c>
      <c r="O252">
        <v>-2.3306139999999999E-3</v>
      </c>
      <c r="P252">
        <v>0.99613209999999996</v>
      </c>
      <c r="Q252">
        <v>-5.689321E-2</v>
      </c>
      <c r="R252">
        <v>6.6961039999999999E-2</v>
      </c>
      <c r="S252">
        <v>2.993134</v>
      </c>
      <c r="T252">
        <v>-0.70325959999999998</v>
      </c>
      <c r="U252">
        <v>-0.33474730000000003</v>
      </c>
      <c r="V252">
        <v>-6.9261450000000002E-2</v>
      </c>
      <c r="W252">
        <v>-4.262635E-2</v>
      </c>
      <c r="X252">
        <v>0.9966874</v>
      </c>
      <c r="Y252">
        <v>0.105856199999999</v>
      </c>
      <c r="Z252">
        <v>-1.2499329999999999E-2</v>
      </c>
      <c r="AA252">
        <v>0.99430289999999999</v>
      </c>
      <c r="AB252">
        <v>43</v>
      </c>
      <c r="AC252">
        <v>0.52960000000001595</v>
      </c>
      <c r="AD252">
        <v>-0.227589599999999</v>
      </c>
      <c r="AE252">
        <v>-0.107799999999997</v>
      </c>
      <c r="AF252">
        <v>9.0514513792510604E-2</v>
      </c>
      <c r="AG252">
        <v>-0.227589599999999</v>
      </c>
      <c r="AH252">
        <v>0.45004429660956302</v>
      </c>
      <c r="AI252">
        <v>116.371157589579</v>
      </c>
      <c r="AJ252">
        <v>78.6281813161945</v>
      </c>
      <c r="AK252">
        <v>0.51237659211370201</v>
      </c>
      <c r="AL252">
        <v>92.443050260267597</v>
      </c>
      <c r="AM252">
        <v>93.975187518128493</v>
      </c>
      <c r="AN252">
        <v>0.99999996374459099</v>
      </c>
    </row>
    <row r="253" spans="1:40" x14ac:dyDescent="0.25">
      <c r="A253" t="str">
        <f>"20190305135202213"</f>
        <v>20190305135202213</v>
      </c>
      <c r="B253" t="str">
        <f>"1551765122200231"</f>
        <v>1551765122200231</v>
      </c>
      <c r="C253" t="s">
        <v>40</v>
      </c>
      <c r="D253">
        <v>4.86402</v>
      </c>
      <c r="E253">
        <v>0.58122309999999999</v>
      </c>
      <c r="F253" t="s">
        <v>41</v>
      </c>
      <c r="G253">
        <v>-411.4973</v>
      </c>
      <c r="H253">
        <v>0.84404789999999996</v>
      </c>
      <c r="I253">
        <v>367.37490000000003</v>
      </c>
      <c r="J253">
        <v>-411.99329999999998</v>
      </c>
      <c r="K253">
        <v>1.0590619999999999</v>
      </c>
      <c r="L253">
        <v>367.51490000000001</v>
      </c>
      <c r="M253">
        <v>0.99989309999999998</v>
      </c>
      <c r="N253">
        <v>-1.449371E-2</v>
      </c>
      <c r="O253">
        <v>-1.9763509999999999E-3</v>
      </c>
      <c r="P253">
        <v>0.99610410000000005</v>
      </c>
      <c r="Q253">
        <v>-5.6043629999999997E-2</v>
      </c>
      <c r="R253">
        <v>6.80896E-2</v>
      </c>
      <c r="S253">
        <v>3.0024410000000001</v>
      </c>
      <c r="T253">
        <v>-0.69896610000000003</v>
      </c>
      <c r="U253">
        <v>-0.45623780000000003</v>
      </c>
      <c r="V253">
        <v>-7.0032339999999998E-2</v>
      </c>
      <c r="W253">
        <v>-4.1645880000000003E-2</v>
      </c>
      <c r="X253">
        <v>0.99667499999999998</v>
      </c>
      <c r="Y253">
        <v>0.14430409999999999</v>
      </c>
      <c r="Z253">
        <v>-1.7127150000000001E-2</v>
      </c>
      <c r="AA253">
        <v>0.98938510000000002</v>
      </c>
      <c r="AB253">
        <v>43</v>
      </c>
      <c r="AC253">
        <v>0.49599999999998001</v>
      </c>
      <c r="AD253">
        <v>-0.21501410000000001</v>
      </c>
      <c r="AE253">
        <v>-0.139999999999986</v>
      </c>
      <c r="AF253">
        <v>0.11840985203326</v>
      </c>
      <c r="AG253">
        <v>-0.21501410000000001</v>
      </c>
      <c r="AH253">
        <v>0.42270328946904401</v>
      </c>
      <c r="AI253">
        <v>116.096054190098</v>
      </c>
      <c r="AJ253">
        <v>74.351100765968795</v>
      </c>
      <c r="AK253">
        <v>0.48880469227013301</v>
      </c>
      <c r="AL253">
        <v>92.386823483798594</v>
      </c>
      <c r="AM253">
        <v>94.019337559940894</v>
      </c>
      <c r="AN253">
        <v>0.99999998179592497</v>
      </c>
    </row>
    <row r="254" spans="1:40" x14ac:dyDescent="0.25">
      <c r="A254" t="str">
        <f>"20190305135202236"</f>
        <v>20190305135202236</v>
      </c>
      <c r="B254" t="str">
        <f>"1551765122229512"</f>
        <v>1551765122229512</v>
      </c>
      <c r="C254" t="s">
        <v>40</v>
      </c>
      <c r="D254">
        <v>4.8829710000000004</v>
      </c>
      <c r="E254">
        <v>0.58235559999999997</v>
      </c>
      <c r="F254" t="s">
        <v>41</v>
      </c>
      <c r="G254">
        <v>-411.10759999999999</v>
      </c>
      <c r="H254">
        <v>0.85306269999999995</v>
      </c>
      <c r="I254">
        <v>367.38099999999997</v>
      </c>
      <c r="J254">
        <v>-411.55500000000001</v>
      </c>
      <c r="K254">
        <v>1.0591140000000001</v>
      </c>
      <c r="L254">
        <v>367.51440000000002</v>
      </c>
      <c r="M254">
        <v>0.999892</v>
      </c>
      <c r="N254">
        <v>-1.461748E-2</v>
      </c>
      <c r="O254">
        <v>-1.5858999999999999E-3</v>
      </c>
      <c r="P254">
        <v>0.99610259999999995</v>
      </c>
      <c r="Q254">
        <v>-5.5195059999999997E-2</v>
      </c>
      <c r="R254">
        <v>6.8800310000000003E-2</v>
      </c>
      <c r="S254">
        <v>3.0033569999999998</v>
      </c>
      <c r="T254">
        <v>-0.69871070000000002</v>
      </c>
      <c r="U254">
        <v>-0.45227050000000002</v>
      </c>
      <c r="V254">
        <v>-7.0351189999999994E-2</v>
      </c>
      <c r="W254">
        <v>-4.0680760000000003E-2</v>
      </c>
      <c r="X254">
        <v>0.99669240000000003</v>
      </c>
      <c r="Y254">
        <v>0.14338629999999999</v>
      </c>
      <c r="Z254">
        <v>-1.7099389999999999E-2</v>
      </c>
      <c r="AA254">
        <v>0.98951909999999998</v>
      </c>
      <c r="AB254">
        <v>43</v>
      </c>
      <c r="AC254">
        <v>0.44740000000001601</v>
      </c>
      <c r="AD254">
        <v>-0.20605129999999899</v>
      </c>
      <c r="AE254">
        <v>-0.13340000000005101</v>
      </c>
      <c r="AF254">
        <v>0.11105725138903499</v>
      </c>
      <c r="AG254">
        <v>-0.20605129999999899</v>
      </c>
      <c r="AH254">
        <v>0.374635354822274</v>
      </c>
      <c r="AI254">
        <v>117.803709443701</v>
      </c>
      <c r="AJ254">
        <v>73.488021047388102</v>
      </c>
      <c r="AK254">
        <v>0.44174936378062701</v>
      </c>
      <c r="AL254">
        <v>92.331479280622702</v>
      </c>
      <c r="AM254">
        <v>94.037506548285094</v>
      </c>
      <c r="AN254">
        <v>0.99999997719317602</v>
      </c>
    </row>
    <row r="255" spans="1:40" x14ac:dyDescent="0.25">
      <c r="A255" t="str">
        <f>"20190305135202257"</f>
        <v>20190305135202257</v>
      </c>
      <c r="B255" t="str">
        <f>"1551765122250011"</f>
        <v>1551765122250011</v>
      </c>
      <c r="C255" t="s">
        <v>40</v>
      </c>
      <c r="D255">
        <v>4.8315729999999997</v>
      </c>
      <c r="E255">
        <v>0.5820033</v>
      </c>
      <c r="F255" t="s">
        <v>41</v>
      </c>
      <c r="G255">
        <v>-410.71589999999998</v>
      </c>
      <c r="H255">
        <v>0.86774910000000005</v>
      </c>
      <c r="I255">
        <v>367.38619999999997</v>
      </c>
      <c r="J255">
        <v>-411.13659999999999</v>
      </c>
      <c r="K255">
        <v>1.0591600000000001</v>
      </c>
      <c r="L255">
        <v>367.51400000000001</v>
      </c>
      <c r="M255">
        <v>0.99989099999999997</v>
      </c>
      <c r="N255">
        <v>-1.471898E-2</v>
      </c>
      <c r="O255">
        <v>-1.197126E-3</v>
      </c>
      <c r="P255">
        <v>0.996027</v>
      </c>
      <c r="Q255">
        <v>-5.6076500000000001E-2</v>
      </c>
      <c r="R255">
        <v>6.9177459999999996E-2</v>
      </c>
      <c r="S255">
        <v>3.0054319999999999</v>
      </c>
      <c r="T255">
        <v>-0.68543540000000003</v>
      </c>
      <c r="U255">
        <v>-0.45864870000000002</v>
      </c>
      <c r="V255">
        <v>-7.0337510000000006E-2</v>
      </c>
      <c r="W255">
        <v>-4.1466910000000003E-2</v>
      </c>
      <c r="X255">
        <v>0.99666100000000002</v>
      </c>
      <c r="Y255">
        <v>0.1457967</v>
      </c>
      <c r="Z255">
        <v>-1.7166549999999999E-2</v>
      </c>
      <c r="AA255">
        <v>0.98916559999999998</v>
      </c>
      <c r="AB255">
        <v>43</v>
      </c>
      <c r="AC255">
        <v>0.42070000000001001</v>
      </c>
      <c r="AD255">
        <v>-0.19141089999999999</v>
      </c>
      <c r="AE255">
        <v>-0.127800000000036</v>
      </c>
      <c r="AF255">
        <v>0.10701484010847299</v>
      </c>
      <c r="AG255">
        <v>-0.19141089999999999</v>
      </c>
      <c r="AH255">
        <v>0.35380064061248501</v>
      </c>
      <c r="AI255">
        <v>117.377073438549</v>
      </c>
      <c r="AJ255">
        <v>73.170895990139996</v>
      </c>
      <c r="AK255">
        <v>0.41625136869451501</v>
      </c>
      <c r="AL255">
        <v>92.376560326557893</v>
      </c>
      <c r="AM255">
        <v>94.036850796080202</v>
      </c>
      <c r="AN255">
        <v>1.0000000094294701</v>
      </c>
    </row>
    <row r="256" spans="1:40" x14ac:dyDescent="0.25">
      <c r="A256" t="str">
        <f>"20190305135202280"</f>
        <v>20190305135202280</v>
      </c>
      <c r="B256" t="str">
        <f>"1551765122269530"</f>
        <v>1551765122269530</v>
      </c>
      <c r="C256" t="s">
        <v>40</v>
      </c>
      <c r="D256">
        <v>4.8152520000000001</v>
      </c>
      <c r="E256">
        <v>0.58260800000000001</v>
      </c>
      <c r="F256" t="s">
        <v>41</v>
      </c>
      <c r="G256">
        <v>-410.32830000000001</v>
      </c>
      <c r="H256">
        <v>0.87365099999999996</v>
      </c>
      <c r="I256">
        <v>367.39150000000001</v>
      </c>
      <c r="J256">
        <v>-410.72039999999998</v>
      </c>
      <c r="K256">
        <v>1.0591969999999999</v>
      </c>
      <c r="L256">
        <v>367.5138</v>
      </c>
      <c r="M256">
        <v>0.9998901</v>
      </c>
      <c r="N256">
        <v>-1.4805860000000001E-2</v>
      </c>
      <c r="O256">
        <v>-8.0215119999999895E-4</v>
      </c>
      <c r="P256">
        <v>0.9959983</v>
      </c>
      <c r="Q256">
        <v>-5.6511939999999997E-2</v>
      </c>
      <c r="R256">
        <v>6.9236829999999999E-2</v>
      </c>
      <c r="S256">
        <v>3.0046689999999998</v>
      </c>
      <c r="T256">
        <v>-0.68970859999999901</v>
      </c>
      <c r="U256">
        <v>-0.45404050000000001</v>
      </c>
      <c r="V256">
        <v>-7.0000019999999996E-2</v>
      </c>
      <c r="W256">
        <v>-4.1819700000000001E-2</v>
      </c>
      <c r="X256">
        <v>0.99666999999999994</v>
      </c>
      <c r="Y256">
        <v>0.1447116</v>
      </c>
      <c r="Z256">
        <v>-1.7229310000000001E-2</v>
      </c>
      <c r="AA256">
        <v>0.98932390000000003</v>
      </c>
      <c r="AB256">
        <v>43</v>
      </c>
      <c r="AC256">
        <v>0.39209999999996997</v>
      </c>
      <c r="AD256">
        <v>-0.18554599999999899</v>
      </c>
      <c r="AE256">
        <v>-0.122299999999995</v>
      </c>
      <c r="AF256">
        <v>0.10131050526471</v>
      </c>
      <c r="AG256">
        <v>-0.18554599999999899</v>
      </c>
      <c r="AH256">
        <v>0.32572566403907</v>
      </c>
      <c r="AI256">
        <v>118.543362245201</v>
      </c>
      <c r="AJ256">
        <v>72.722730593773903</v>
      </c>
      <c r="AK256">
        <v>0.38831474966408902</v>
      </c>
      <c r="AL256">
        <v>92.396791301805393</v>
      </c>
      <c r="AM256">
        <v>94.017508795277905</v>
      </c>
      <c r="AN256">
        <v>0.99999998950404501</v>
      </c>
    </row>
    <row r="257" spans="1:40" x14ac:dyDescent="0.25">
      <c r="A257" t="str">
        <f>"20190305135202301"</f>
        <v>20190305135202301</v>
      </c>
      <c r="B257" t="str">
        <f>"1551765122290023"</f>
        <v>1551765122290023</v>
      </c>
      <c r="C257" t="s">
        <v>40</v>
      </c>
      <c r="D257">
        <v>4.8318890000000003</v>
      </c>
      <c r="E257">
        <v>0.58205010000000001</v>
      </c>
      <c r="F257" t="s">
        <v>41</v>
      </c>
      <c r="G257">
        <v>-409.9402</v>
      </c>
      <c r="H257">
        <v>0.88088599999999995</v>
      </c>
      <c r="I257">
        <v>367.3947</v>
      </c>
      <c r="J257">
        <v>-410.3014</v>
      </c>
      <c r="K257">
        <v>1.059229</v>
      </c>
      <c r="L257">
        <v>367.5138</v>
      </c>
      <c r="M257">
        <v>0.99988929999999998</v>
      </c>
      <c r="N257">
        <v>-1.488102E-2</v>
      </c>
      <c r="O257">
        <v>-4.0167330000000001E-4</v>
      </c>
      <c r="P257">
        <v>0.99601799999999996</v>
      </c>
      <c r="Q257">
        <v>-5.642233E-2</v>
      </c>
      <c r="R257">
        <v>6.9027669999999999E-2</v>
      </c>
      <c r="S257">
        <v>3.0049440000000001</v>
      </c>
      <c r="T257">
        <v>-0.68678329999999999</v>
      </c>
      <c r="U257">
        <v>-0.45785520000000002</v>
      </c>
      <c r="V257">
        <v>-6.9390240000000006E-2</v>
      </c>
      <c r="W257">
        <v>-4.165754E-2</v>
      </c>
      <c r="X257">
        <v>0.99671940000000003</v>
      </c>
      <c r="Y257">
        <v>0.14630199999999999</v>
      </c>
      <c r="Z257">
        <v>-1.7439820000000002E-2</v>
      </c>
      <c r="AA257">
        <v>0.98908620000000003</v>
      </c>
      <c r="AB257">
        <v>43</v>
      </c>
      <c r="AC257">
        <v>0.36119999999999602</v>
      </c>
      <c r="AD257">
        <v>-0.178343</v>
      </c>
      <c r="AE257">
        <v>-0.119100000000003</v>
      </c>
      <c r="AF257">
        <v>9.75133074924497E-2</v>
      </c>
      <c r="AG257">
        <v>-0.178343</v>
      </c>
      <c r="AH257">
        <v>0.29613300743340898</v>
      </c>
      <c r="AI257">
        <v>119.770628694904</v>
      </c>
      <c r="AJ257">
        <v>71.773860506023595</v>
      </c>
      <c r="AK257">
        <v>0.35917938259130699</v>
      </c>
      <c r="AL257">
        <v>92.387492186859404</v>
      </c>
      <c r="AM257">
        <v>93.982428070140799</v>
      </c>
      <c r="AN257">
        <v>0.99999995919123297</v>
      </c>
    </row>
    <row r="258" spans="1:40" x14ac:dyDescent="0.25">
      <c r="A258" t="str">
        <f>"20190305135202314"</f>
        <v>20190305135202314</v>
      </c>
      <c r="B258" t="str">
        <f>"1551765122309544"</f>
        <v>1551765122309544</v>
      </c>
      <c r="C258" t="s">
        <v>40</v>
      </c>
      <c r="D258">
        <v>4.9236319999999996</v>
      </c>
      <c r="E258">
        <v>0.58164329999999997</v>
      </c>
      <c r="F258" t="s">
        <v>41</v>
      </c>
      <c r="G258">
        <v>-409.553</v>
      </c>
      <c r="H258">
        <v>0.887308599999999</v>
      </c>
      <c r="I258">
        <v>367.40019999999998</v>
      </c>
      <c r="J258">
        <v>-410.05829999999997</v>
      </c>
      <c r="K258">
        <v>1.05925</v>
      </c>
      <c r="L258">
        <v>367.51389999999998</v>
      </c>
      <c r="M258">
        <v>0.99988880000000002</v>
      </c>
      <c r="N258">
        <v>-1.4919079999999999E-2</v>
      </c>
      <c r="O258">
        <v>-1.6919130000000001E-4</v>
      </c>
      <c r="P258">
        <v>0.9960135</v>
      </c>
      <c r="Q258">
        <v>-5.6528500000000002E-2</v>
      </c>
      <c r="R258">
        <v>6.9006120000000004E-2</v>
      </c>
      <c r="S258">
        <v>3.0043030000000002</v>
      </c>
      <c r="T258">
        <v>-0.69028059999999902</v>
      </c>
      <c r="U258">
        <v>-0.45385740000000002</v>
      </c>
      <c r="V258">
        <v>-6.9135760000000004E-2</v>
      </c>
      <c r="W258">
        <v>-4.1727180000000003E-2</v>
      </c>
      <c r="X258">
        <v>0.99673420000000001</v>
      </c>
      <c r="Y258">
        <v>0.14525829999999901</v>
      </c>
      <c r="Z258">
        <v>-1.745211E-2</v>
      </c>
      <c r="AA258">
        <v>0.9892398</v>
      </c>
      <c r="AB258">
        <v>43</v>
      </c>
      <c r="AC258">
        <v>0.50529999999992004</v>
      </c>
      <c r="AD258">
        <v>-0.17194139999999999</v>
      </c>
      <c r="AE258">
        <v>-0.113699999999994</v>
      </c>
      <c r="AF258">
        <v>0.10233625596338</v>
      </c>
      <c r="AG258">
        <v>-0.17194139999999999</v>
      </c>
      <c r="AH258">
        <v>0.45515739502353503</v>
      </c>
      <c r="AI258">
        <v>110.23195178648101</v>
      </c>
      <c r="AJ258">
        <v>77.328502092057306</v>
      </c>
      <c r="AK258">
        <v>0.49719695148218002</v>
      </c>
      <c r="AL258">
        <v>92.391485668210606</v>
      </c>
      <c r="AM258">
        <v>93.967811022950102</v>
      </c>
      <c r="AN258">
        <v>0.999999988155585</v>
      </c>
    </row>
    <row r="259" spans="1:40" x14ac:dyDescent="0.25">
      <c r="A259" t="str">
        <f>"20190305135202327"</f>
        <v>20190305135202327</v>
      </c>
      <c r="B259" t="str">
        <f>"1551765122320280"</f>
        <v>1551765122320280</v>
      </c>
      <c r="C259" t="s">
        <v>40</v>
      </c>
      <c r="D259">
        <v>4.7342459999999997</v>
      </c>
      <c r="E259">
        <v>0.58204199999999995</v>
      </c>
      <c r="F259" t="s">
        <v>41</v>
      </c>
      <c r="G259">
        <v>-409.18200000000002</v>
      </c>
      <c r="H259">
        <v>0.85727739999999997</v>
      </c>
      <c r="I259">
        <v>367.38220000000001</v>
      </c>
      <c r="J259">
        <v>-409.82029999999997</v>
      </c>
      <c r="K259">
        <v>1.0592710000000001</v>
      </c>
      <c r="L259">
        <v>367.51389999999998</v>
      </c>
      <c r="M259">
        <v>0.9998882</v>
      </c>
      <c r="N259">
        <v>-1.4954220000000001E-2</v>
      </c>
      <c r="O259" s="1">
        <v>5.8230689999999997E-5</v>
      </c>
      <c r="P259">
        <v>0.99602009999999996</v>
      </c>
      <c r="Q259">
        <v>-5.6565690000000002E-2</v>
      </c>
      <c r="R259">
        <v>6.8878320000000007E-2</v>
      </c>
      <c r="S259">
        <v>3.0039370000000001</v>
      </c>
      <c r="T259">
        <v>-0.69232309999999997</v>
      </c>
      <c r="U259">
        <v>-0.45108029999999999</v>
      </c>
      <c r="V259">
        <v>-6.8780709999999995E-2</v>
      </c>
      <c r="W259">
        <v>-4.1730339999999998E-2</v>
      </c>
      <c r="X259">
        <v>0.99675860000000005</v>
      </c>
      <c r="Y259">
        <v>0.14459520000000001</v>
      </c>
      <c r="Z259">
        <v>-1.7472939999999999E-2</v>
      </c>
      <c r="AA259">
        <v>0.98933660000000001</v>
      </c>
      <c r="AB259">
        <v>43</v>
      </c>
      <c r="AC259">
        <v>0.63830000000001497</v>
      </c>
      <c r="AD259">
        <v>-0.201993599999999</v>
      </c>
      <c r="AE259">
        <v>-0.13169999999996601</v>
      </c>
      <c r="AF259">
        <v>0.120192128666212</v>
      </c>
      <c r="AG259">
        <v>-0.201993599999999</v>
      </c>
      <c r="AH259">
        <v>0.58235433659034497</v>
      </c>
      <c r="AI259">
        <v>108.762485406287</v>
      </c>
      <c r="AJ259">
        <v>78.338463901163905</v>
      </c>
      <c r="AK259">
        <v>0.62800010794573602</v>
      </c>
      <c r="AL259">
        <v>92.391666955251296</v>
      </c>
      <c r="AM259">
        <v>93.947402400329807</v>
      </c>
      <c r="AN259">
        <v>0.99999995700928801</v>
      </c>
    </row>
    <row r="260" spans="1:40" x14ac:dyDescent="0.25">
      <c r="A260" t="str">
        <f>"20190305135202337"</f>
        <v>20190305135202337</v>
      </c>
      <c r="B260" t="str">
        <f>"1551765122330040"</f>
        <v>1551765122330040</v>
      </c>
      <c r="C260" t="s">
        <v>40</v>
      </c>
      <c r="D260">
        <v>4.9187219999999998</v>
      </c>
      <c r="E260">
        <v>0.58151219999999904</v>
      </c>
      <c r="F260" t="s">
        <v>41</v>
      </c>
      <c r="G260">
        <v>-408.81049999999999</v>
      </c>
      <c r="H260">
        <v>0.82707129999999995</v>
      </c>
      <c r="I260">
        <v>367.3605</v>
      </c>
      <c r="J260">
        <v>-409.59129999999999</v>
      </c>
      <c r="K260">
        <v>1.059288</v>
      </c>
      <c r="L260">
        <v>367.51409999999998</v>
      </c>
      <c r="M260">
        <v>0.99988759999999999</v>
      </c>
      <c r="N260">
        <v>-1.498391E-2</v>
      </c>
      <c r="O260">
        <v>2.7666509999999997E-4</v>
      </c>
      <c r="P260">
        <v>0.99606159999999999</v>
      </c>
      <c r="Q260">
        <v>-5.6357310000000001E-2</v>
      </c>
      <c r="R260">
        <v>6.8447859999999999E-2</v>
      </c>
      <c r="S260">
        <v>3.0042110000000002</v>
      </c>
      <c r="T260">
        <v>-0.69090469999999904</v>
      </c>
      <c r="U260">
        <v>-0.45492549999999998</v>
      </c>
      <c r="V260">
        <v>-6.8131650000000002E-2</v>
      </c>
      <c r="W260">
        <v>-4.1492319999999999E-2</v>
      </c>
      <c r="X260">
        <v>0.99681319999999995</v>
      </c>
      <c r="Y260">
        <v>0.146009</v>
      </c>
      <c r="Z260">
        <v>-1.765603E-2</v>
      </c>
      <c r="AA260">
        <v>0.9891257</v>
      </c>
      <c r="AB260">
        <v>43</v>
      </c>
      <c r="AC260">
        <v>0.78079999999999905</v>
      </c>
      <c r="AD260">
        <v>-0.2322167</v>
      </c>
      <c r="AE260">
        <v>-0.153599999999983</v>
      </c>
      <c r="AF260">
        <v>0.14174549756656399</v>
      </c>
      <c r="AG260">
        <v>-0.2322167</v>
      </c>
      <c r="AH260">
        <v>0.71948840367528</v>
      </c>
      <c r="AI260">
        <v>107.571210517766</v>
      </c>
      <c r="AJ260">
        <v>78.854957186289795</v>
      </c>
      <c r="AK260">
        <v>0.76920734841945204</v>
      </c>
      <c r="AL260">
        <v>92.378017381699095</v>
      </c>
      <c r="AM260">
        <v>93.910054703313904</v>
      </c>
      <c r="AN260">
        <v>1.00000004502247</v>
      </c>
    </row>
    <row r="261" spans="1:40" x14ac:dyDescent="0.25">
      <c r="A261" t="str">
        <f>"20190305135202349"</f>
        <v>20190305135202349</v>
      </c>
      <c r="B261" t="str">
        <f>"1551765122339800"</f>
        <v>1551765122339800</v>
      </c>
      <c r="C261" t="s">
        <v>40</v>
      </c>
      <c r="D261">
        <v>4.7734889999999996</v>
      </c>
      <c r="E261">
        <v>0.58149479999999998</v>
      </c>
      <c r="F261" t="s">
        <v>41</v>
      </c>
      <c r="G261">
        <v>-408.79140000000001</v>
      </c>
      <c r="H261">
        <v>0.87483619999999995</v>
      </c>
      <c r="I261">
        <v>367.39319999999998</v>
      </c>
      <c r="J261">
        <v>-409.37520000000001</v>
      </c>
      <c r="K261">
        <v>1.0593049999999999</v>
      </c>
      <c r="L261">
        <v>367.51440000000002</v>
      </c>
      <c r="M261">
        <v>0.99988730000000003</v>
      </c>
      <c r="N261">
        <v>-1.50103999999999E-2</v>
      </c>
      <c r="O261">
        <v>4.823483E-4</v>
      </c>
      <c r="P261">
        <v>0.99607319999999999</v>
      </c>
      <c r="Q261">
        <v>-5.627132E-2</v>
      </c>
      <c r="R261">
        <v>6.8350850000000005E-2</v>
      </c>
      <c r="S261">
        <v>3.0037229999999999</v>
      </c>
      <c r="T261">
        <v>-0.69275549999999997</v>
      </c>
      <c r="U261">
        <v>-0.4518433</v>
      </c>
      <c r="V261">
        <v>-6.7829189999999998E-2</v>
      </c>
      <c r="W261">
        <v>-4.1380470000000003E-2</v>
      </c>
      <c r="X261">
        <v>0.99683849999999996</v>
      </c>
      <c r="Y261">
        <v>0.14523739999999999</v>
      </c>
      <c r="Z261">
        <v>-1.765531E-2</v>
      </c>
      <c r="AA261">
        <v>0.98923930000000004</v>
      </c>
      <c r="AB261">
        <v>43</v>
      </c>
      <c r="AC261">
        <v>0.58379999999999599</v>
      </c>
      <c r="AD261">
        <v>-0.18446879999999999</v>
      </c>
      <c r="AE261">
        <v>-0.12120000000004399</v>
      </c>
      <c r="AF261">
        <v>0.110869456085654</v>
      </c>
      <c r="AG261">
        <v>-0.18446879999999999</v>
      </c>
      <c r="AH261">
        <v>0.53274810361167102</v>
      </c>
      <c r="AI261">
        <v>108.726450139234</v>
      </c>
      <c r="AJ261">
        <v>78.244052883644898</v>
      </c>
      <c r="AK261">
        <v>0.57457925159894296</v>
      </c>
      <c r="AL261">
        <v>92.371603284125996</v>
      </c>
      <c r="AM261">
        <v>93.892651606552803</v>
      </c>
      <c r="AN261">
        <v>1.0000000686978601</v>
      </c>
    </row>
    <row r="262" spans="1:40" x14ac:dyDescent="0.25">
      <c r="A262" t="str">
        <f>"20190305135202370"</f>
        <v>20190305135202370</v>
      </c>
      <c r="B262" t="str">
        <f>"1551765122360295"</f>
        <v>1551765122360295</v>
      </c>
      <c r="C262" t="s">
        <v>40</v>
      </c>
      <c r="D262">
        <v>4.857818</v>
      </c>
      <c r="E262">
        <v>0.58123549999999902</v>
      </c>
      <c r="F262" t="s">
        <v>41</v>
      </c>
      <c r="G262">
        <v>-408.42250000000001</v>
      </c>
      <c r="H262">
        <v>0.83974269999999995</v>
      </c>
      <c r="I262">
        <v>367.37090000000001</v>
      </c>
      <c r="J262">
        <v>-408.98790000000002</v>
      </c>
      <c r="K262">
        <v>1.0593300000000001</v>
      </c>
      <c r="L262">
        <v>367.51479999999998</v>
      </c>
      <c r="M262">
        <v>0.99988650000000001</v>
      </c>
      <c r="N262">
        <v>-1.505254E-2</v>
      </c>
      <c r="O262">
        <v>8.5200649999999897E-4</v>
      </c>
      <c r="P262">
        <v>0.99614119999999995</v>
      </c>
      <c r="Q262">
        <v>-5.6162950000000003E-2</v>
      </c>
      <c r="R262">
        <v>6.7444019999999993E-2</v>
      </c>
      <c r="S262">
        <v>3.0037229999999999</v>
      </c>
      <c r="T262">
        <v>-0.69224039999999998</v>
      </c>
      <c r="U262">
        <v>-0.45211790000000002</v>
      </c>
      <c r="V262">
        <v>-6.6552799999999995E-2</v>
      </c>
      <c r="W262">
        <v>-4.1229210000000002E-2</v>
      </c>
      <c r="X262">
        <v>0.99693069999999895</v>
      </c>
      <c r="Y262">
        <v>0.1456761</v>
      </c>
      <c r="Z262">
        <v>-1.777745E-2</v>
      </c>
      <c r="AA262">
        <v>0.98917259999999996</v>
      </c>
      <c r="AB262">
        <v>43</v>
      </c>
      <c r="AC262">
        <v>0.565400000000011</v>
      </c>
      <c r="AD262">
        <v>-0.21958730000000001</v>
      </c>
      <c r="AE262">
        <v>-0.14389999999997299</v>
      </c>
      <c r="AF262">
        <v>0.126466571606248</v>
      </c>
      <c r="AG262">
        <v>-0.21958730000000001</v>
      </c>
      <c r="AH262">
        <v>0.49513652601765901</v>
      </c>
      <c r="AI262">
        <v>113.25288791498799</v>
      </c>
      <c r="AJ262">
        <v>75.671985780281005</v>
      </c>
      <c r="AK262">
        <v>0.55621268904256804</v>
      </c>
      <c r="AL262">
        <v>92.362929551822404</v>
      </c>
      <c r="AM262">
        <v>93.819267515983697</v>
      </c>
      <c r="AN262">
        <v>0.99999997177377598</v>
      </c>
    </row>
    <row r="263" spans="1:40" x14ac:dyDescent="0.25">
      <c r="A263" t="str">
        <f>"20190305135202382"</f>
        <v>20190305135202382</v>
      </c>
      <c r="B263" t="str">
        <f>"1551765122370057"</f>
        <v>1551765122370057</v>
      </c>
      <c r="C263" t="s">
        <v>40</v>
      </c>
      <c r="D263">
        <v>4.8413890000000004</v>
      </c>
      <c r="E263">
        <v>0.58093450000000002</v>
      </c>
      <c r="F263" t="s">
        <v>41</v>
      </c>
      <c r="G263">
        <v>-408.03949999999998</v>
      </c>
      <c r="H263">
        <v>0.84055389999999996</v>
      </c>
      <c r="I263">
        <v>367.3716</v>
      </c>
      <c r="J263">
        <v>-408.75110000000001</v>
      </c>
      <c r="K263">
        <v>1.0593410000000001</v>
      </c>
      <c r="L263">
        <v>367.51519999999999</v>
      </c>
      <c r="M263">
        <v>0.99988589999999999</v>
      </c>
      <c r="N263">
        <v>-1.507557E-2</v>
      </c>
      <c r="O263">
        <v>1.078187E-3</v>
      </c>
      <c r="P263">
        <v>0.99612579999999995</v>
      </c>
      <c r="Q263">
        <v>-5.6621970000000001E-2</v>
      </c>
      <c r="R263">
        <v>6.7288570000000006E-2</v>
      </c>
      <c r="S263">
        <v>3.0032350000000001</v>
      </c>
      <c r="T263">
        <v>-0.69287980000000005</v>
      </c>
      <c r="U263">
        <v>-0.4526367</v>
      </c>
      <c r="V263">
        <v>-6.6171789999999994E-2</v>
      </c>
      <c r="W263">
        <v>-4.166574E-2</v>
      </c>
      <c r="X263">
        <v>0.99693790000000004</v>
      </c>
      <c r="Y263">
        <v>0.1460661</v>
      </c>
      <c r="Z263">
        <v>-1.7891649999999999E-2</v>
      </c>
      <c r="AA263">
        <v>0.98911300000000002</v>
      </c>
      <c r="AB263">
        <v>43</v>
      </c>
      <c r="AC263">
        <v>0.71160000000003198</v>
      </c>
      <c r="AD263">
        <v>-0.21878710000000001</v>
      </c>
      <c r="AE263">
        <v>-0.14359999999999201</v>
      </c>
      <c r="AF263">
        <v>0.132346050787605</v>
      </c>
      <c r="AG263">
        <v>-0.21878710000000001</v>
      </c>
      <c r="AH263">
        <v>0.65220406556086996</v>
      </c>
      <c r="AI263">
        <v>108.198677351559</v>
      </c>
      <c r="AJ263">
        <v>78.529221659621598</v>
      </c>
      <c r="AK263">
        <v>0.70053794716604201</v>
      </c>
      <c r="AL263">
        <v>92.387962423219705</v>
      </c>
      <c r="AM263">
        <v>93.797439298013899</v>
      </c>
      <c r="AN263">
        <v>0.99999995806898001</v>
      </c>
    </row>
    <row r="264" spans="1:40" x14ac:dyDescent="0.25">
      <c r="A264" t="str">
        <f>"20190305135202396"</f>
        <v>20190305135202396</v>
      </c>
      <c r="B264" t="str">
        <f>"1551765122389576"</f>
        <v>1551765122389576</v>
      </c>
      <c r="C264" t="s">
        <v>40</v>
      </c>
      <c r="D264">
        <v>4.8409199999999997</v>
      </c>
      <c r="E264">
        <v>0.58030800000000005</v>
      </c>
      <c r="F264" t="s">
        <v>41</v>
      </c>
      <c r="G264">
        <v>-408.01900000000001</v>
      </c>
      <c r="H264">
        <v>0.88981739999999998</v>
      </c>
      <c r="I264">
        <v>367.4051</v>
      </c>
      <c r="J264">
        <v>-408.49959999999999</v>
      </c>
      <c r="K264">
        <v>1.0593570000000001</v>
      </c>
      <c r="L264">
        <v>367.51569999999998</v>
      </c>
      <c r="M264">
        <v>0.99988520000000003</v>
      </c>
      <c r="N264">
        <v>-1.5097370000000001E-2</v>
      </c>
      <c r="O264">
        <v>1.319202E-3</v>
      </c>
      <c r="P264">
        <v>0.99612029999999996</v>
      </c>
      <c r="Q264">
        <v>-5.676469E-2</v>
      </c>
      <c r="R264">
        <v>6.7248840000000004E-2</v>
      </c>
      <c r="S264">
        <v>3.0025019999999998</v>
      </c>
      <c r="T264">
        <v>-0.69531069999999995</v>
      </c>
      <c r="U264">
        <v>-0.45053100000000001</v>
      </c>
      <c r="V264">
        <v>-6.5890969999999993E-2</v>
      </c>
      <c r="W264">
        <v>-4.1787020000000001E-2</v>
      </c>
      <c r="X264">
        <v>0.99695149999999999</v>
      </c>
      <c r="Y264">
        <v>0.1456382</v>
      </c>
      <c r="Z264">
        <v>-1.7954790000000002E-2</v>
      </c>
      <c r="AA264">
        <v>0.98917500000000003</v>
      </c>
      <c r="AB264">
        <v>43</v>
      </c>
      <c r="AC264">
        <v>0.48059999999998099</v>
      </c>
      <c r="AD264">
        <v>-0.16953959999999901</v>
      </c>
      <c r="AE264">
        <v>-0.110599999999976</v>
      </c>
      <c r="AF264">
        <v>9.9477244482798793E-2</v>
      </c>
      <c r="AG264">
        <v>-0.16953959999999901</v>
      </c>
      <c r="AH264">
        <v>0.42967269907396699</v>
      </c>
      <c r="AI264">
        <v>111.02728798306499</v>
      </c>
      <c r="AJ264">
        <v>76.964622241182099</v>
      </c>
      <c r="AK264">
        <v>0.47250187985610997</v>
      </c>
      <c r="AL264">
        <v>92.394917130501895</v>
      </c>
      <c r="AM264">
        <v>93.781319136173494</v>
      </c>
      <c r="AN264">
        <v>1.0000000341601301</v>
      </c>
    </row>
    <row r="265" spans="1:40" x14ac:dyDescent="0.25">
      <c r="A265" t="str">
        <f>"20190305135202415"</f>
        <v>20190305135202415</v>
      </c>
      <c r="B265" t="str">
        <f>"1551765122409655"</f>
        <v>1551765122409655</v>
      </c>
      <c r="C265" t="s">
        <v>40</v>
      </c>
      <c r="D265">
        <v>4.7913930000000002</v>
      </c>
      <c r="E265">
        <v>0.57993619999999901</v>
      </c>
      <c r="F265" t="s">
        <v>41</v>
      </c>
      <c r="G265">
        <v>-407.64920000000001</v>
      </c>
      <c r="H265">
        <v>0.86136449999999998</v>
      </c>
      <c r="I265">
        <v>367.3895</v>
      </c>
      <c r="J265">
        <v>-408.13639999999998</v>
      </c>
      <c r="K265">
        <v>1.059377</v>
      </c>
      <c r="L265">
        <v>367.51639999999998</v>
      </c>
      <c r="M265">
        <v>0.9998842</v>
      </c>
      <c r="N265">
        <v>-1.5125700000000001E-2</v>
      </c>
      <c r="O265">
        <v>1.667827E-3</v>
      </c>
      <c r="P265">
        <v>0.99615279999999995</v>
      </c>
      <c r="Q265">
        <v>-5.6437170000000002E-2</v>
      </c>
      <c r="R265">
        <v>6.7041779999999995E-2</v>
      </c>
      <c r="S265">
        <v>3.0019230000000001</v>
      </c>
      <c r="T265">
        <v>-0.6988394</v>
      </c>
      <c r="U265">
        <v>-0.44589230000000002</v>
      </c>
      <c r="V265">
        <v>-6.5336210000000006E-2</v>
      </c>
      <c r="W265">
        <v>-4.143078E-2</v>
      </c>
      <c r="X265">
        <v>0.99700279999999997</v>
      </c>
      <c r="Y265">
        <v>0.14449690000000001</v>
      </c>
      <c r="Z265">
        <v>-1.798054E-2</v>
      </c>
      <c r="AA265">
        <v>0.9893419</v>
      </c>
      <c r="AB265">
        <v>43</v>
      </c>
      <c r="AC265">
        <v>0.48719999999997199</v>
      </c>
      <c r="AD265">
        <v>-0.19801249999999901</v>
      </c>
      <c r="AE265">
        <v>-0.126899999999977</v>
      </c>
      <c r="AF265">
        <v>0.110603236427759</v>
      </c>
      <c r="AG265">
        <v>-0.19801249999999901</v>
      </c>
      <c r="AH265">
        <v>0.42174742465303899</v>
      </c>
      <c r="AI265">
        <v>114.42505962123199</v>
      </c>
      <c r="AJ265">
        <v>75.305100750391006</v>
      </c>
      <c r="AK265">
        <v>0.47886628223964101</v>
      </c>
      <c r="AL265">
        <v>92.374488575210805</v>
      </c>
      <c r="AM265">
        <v>93.749381659425396</v>
      </c>
      <c r="AN265">
        <v>0.99999995653820495</v>
      </c>
    </row>
    <row r="266" spans="1:40" x14ac:dyDescent="0.25">
      <c r="A266" t="str">
        <f>"20190305135202431"</f>
        <v>20190305135202431</v>
      </c>
      <c r="B266" t="str">
        <f>"1551765122420391"</f>
        <v>1551765122420391</v>
      </c>
      <c r="C266" t="s">
        <v>40</v>
      </c>
      <c r="D266">
        <v>4.7929339999999998</v>
      </c>
      <c r="E266">
        <v>0.57983750000000001</v>
      </c>
      <c r="F266" t="s">
        <v>41</v>
      </c>
      <c r="G266">
        <v>-407.26909999999998</v>
      </c>
      <c r="H266">
        <v>0.85725739999999995</v>
      </c>
      <c r="I266">
        <v>367.38780000000003</v>
      </c>
      <c r="J266">
        <v>-407.8365</v>
      </c>
      <c r="K266">
        <v>1.059391</v>
      </c>
      <c r="L266">
        <v>367.5172</v>
      </c>
      <c r="M266">
        <v>0.99988339999999998</v>
      </c>
      <c r="N266">
        <v>-1.514627E-2</v>
      </c>
      <c r="O266">
        <v>1.9563969999999999E-3</v>
      </c>
      <c r="P266">
        <v>0.99614780000000003</v>
      </c>
      <c r="Q266">
        <v>-5.6383929999999999E-2</v>
      </c>
      <c r="R266">
        <v>6.7159759999999999E-2</v>
      </c>
      <c r="S266">
        <v>3.0018310000000001</v>
      </c>
      <c r="T266">
        <v>-0.69965790000000005</v>
      </c>
      <c r="U266">
        <v>-0.4438782</v>
      </c>
      <c r="V266">
        <v>-6.5166219999999997E-2</v>
      </c>
      <c r="W266">
        <v>-4.1357270000000002E-2</v>
      </c>
      <c r="X266">
        <v>0.99701700000000004</v>
      </c>
      <c r="Y266">
        <v>0.14413049999999999</v>
      </c>
      <c r="Z266">
        <v>-1.801956E-2</v>
      </c>
      <c r="AA266">
        <v>0.98939460000000001</v>
      </c>
      <c r="AB266">
        <v>43</v>
      </c>
      <c r="AC266">
        <v>0.56740000000002</v>
      </c>
      <c r="AD266">
        <v>-0.202133599999999</v>
      </c>
      <c r="AE266">
        <v>-0.12939999999997501</v>
      </c>
      <c r="AF266">
        <v>0.116460557760673</v>
      </c>
      <c r="AG266">
        <v>-0.202133599999999</v>
      </c>
      <c r="AH266">
        <v>0.50609254796527203</v>
      </c>
      <c r="AI266">
        <v>111.26737265328001</v>
      </c>
      <c r="AJ266">
        <v>77.040862514110003</v>
      </c>
      <c r="AK266">
        <v>0.557270778768157</v>
      </c>
      <c r="AL266">
        <v>92.370273095606393</v>
      </c>
      <c r="AM266">
        <v>93.739601225053903</v>
      </c>
      <c r="AN266">
        <v>0.99999997914996996</v>
      </c>
    </row>
    <row r="267" spans="1:40" x14ac:dyDescent="0.25">
      <c r="A267" t="str">
        <f>"20190305135202448"</f>
        <v>20190305135202448</v>
      </c>
      <c r="B267" t="str">
        <f>"1551765122439911"</f>
        <v>1551765122439911</v>
      </c>
      <c r="C267" t="s">
        <v>40</v>
      </c>
      <c r="D267">
        <v>4.7738899999999997</v>
      </c>
      <c r="E267">
        <v>0.57988479999999998</v>
      </c>
      <c r="F267" t="s">
        <v>41</v>
      </c>
      <c r="G267">
        <v>-406.89479999999998</v>
      </c>
      <c r="H267">
        <v>0.83964319999999903</v>
      </c>
      <c r="I267">
        <v>367.37799999999999</v>
      </c>
      <c r="J267">
        <v>-407.48680000000002</v>
      </c>
      <c r="K267">
        <v>1.059396</v>
      </c>
      <c r="L267">
        <v>367.5181</v>
      </c>
      <c r="M267">
        <v>0.99988250000000001</v>
      </c>
      <c r="N267">
        <v>-1.5167140000000001E-2</v>
      </c>
      <c r="O267">
        <v>2.2935939999999999E-3</v>
      </c>
      <c r="P267">
        <v>0.99616380000000004</v>
      </c>
      <c r="Q267">
        <v>-5.5914520000000002E-2</v>
      </c>
      <c r="R267">
        <v>6.7317000000000002E-2</v>
      </c>
      <c r="S267">
        <v>3.0018009999999999</v>
      </c>
      <c r="T267">
        <v>-0.7005768</v>
      </c>
      <c r="U267">
        <v>-0.44262699999999999</v>
      </c>
      <c r="V267">
        <v>-6.4987829999999996E-2</v>
      </c>
      <c r="W267">
        <v>-4.0866899999999998E-2</v>
      </c>
      <c r="X267">
        <v>0.99704890000000002</v>
      </c>
      <c r="Y267">
        <v>0.14404549999999999</v>
      </c>
      <c r="Z267">
        <v>-1.8105240000000002E-2</v>
      </c>
      <c r="AA267">
        <v>0.98940539999999999</v>
      </c>
      <c r="AB267">
        <v>43</v>
      </c>
      <c r="AC267">
        <v>0.59200000000004105</v>
      </c>
      <c r="AD267">
        <v>-0.2197528</v>
      </c>
      <c r="AE267">
        <v>-0.14009999999996101</v>
      </c>
      <c r="AF267">
        <v>0.12513005488564699</v>
      </c>
      <c r="AG267">
        <v>-0.2197528</v>
      </c>
      <c r="AH267">
        <v>0.52338359494476705</v>
      </c>
      <c r="AI267">
        <v>112.213186522168</v>
      </c>
      <c r="AJ267">
        <v>76.554169632961504</v>
      </c>
      <c r="AK267">
        <v>0.58127378334209501</v>
      </c>
      <c r="AL267">
        <v>92.3421531044403</v>
      </c>
      <c r="AM267">
        <v>93.729274157985401</v>
      </c>
      <c r="AN267">
        <v>1.00000001527746</v>
      </c>
    </row>
    <row r="268" spans="1:40" x14ac:dyDescent="0.25">
      <c r="A268" t="str">
        <f>"20190305135202460"</f>
        <v>20190305135202460</v>
      </c>
      <c r="B268" t="str">
        <f>"1551765122449671"</f>
        <v>1551765122449671</v>
      </c>
      <c r="C268" t="s">
        <v>40</v>
      </c>
      <c r="D268">
        <v>4.651211</v>
      </c>
      <c r="E268">
        <v>0.57998530000000004</v>
      </c>
      <c r="F268" t="s">
        <v>41</v>
      </c>
      <c r="G268">
        <v>-406.5163</v>
      </c>
      <c r="H268">
        <v>0.833457</v>
      </c>
      <c r="I268">
        <v>367.37479999999999</v>
      </c>
      <c r="J268">
        <v>-407.26100000000002</v>
      </c>
      <c r="K268">
        <v>1.059402</v>
      </c>
      <c r="L268">
        <v>367.5188</v>
      </c>
      <c r="M268">
        <v>0.99988169999999998</v>
      </c>
      <c r="N268">
        <v>-1.5179130000000001E-2</v>
      </c>
      <c r="O268">
        <v>2.5117410000000001E-3</v>
      </c>
      <c r="P268">
        <v>0.99617230000000001</v>
      </c>
      <c r="Q268">
        <v>-5.560068E-2</v>
      </c>
      <c r="R268">
        <v>6.7448709999999995E-2</v>
      </c>
      <c r="S268">
        <v>3.0022280000000001</v>
      </c>
      <c r="T268">
        <v>-0.69903780000000004</v>
      </c>
      <c r="U268">
        <v>-0.4424438</v>
      </c>
      <c r="V268">
        <v>-6.490216E-2</v>
      </c>
      <c r="W268">
        <v>-4.0541000000000001E-2</v>
      </c>
      <c r="X268">
        <v>0.9970677</v>
      </c>
      <c r="Y268">
        <v>0.14419089999999901</v>
      </c>
      <c r="Z268">
        <v>-1.8131669999999999E-2</v>
      </c>
      <c r="AA268">
        <v>0.98938380000000004</v>
      </c>
      <c r="AB268">
        <v>43</v>
      </c>
      <c r="AC268">
        <v>0.74469999999996594</v>
      </c>
      <c r="AD268">
        <v>-0.22594499999999901</v>
      </c>
      <c r="AE268">
        <v>-0.14400000000000501</v>
      </c>
      <c r="AF268">
        <v>0.133981275379354</v>
      </c>
      <c r="AG268">
        <v>-0.22594499999999901</v>
      </c>
      <c r="AH268">
        <v>0.68366971655087005</v>
      </c>
      <c r="AI268">
        <v>107.96888194844099</v>
      </c>
      <c r="AJ268">
        <v>78.912056293861994</v>
      </c>
      <c r="AK268">
        <v>0.73239771060949199</v>
      </c>
      <c r="AL268">
        <v>92.323465118861506</v>
      </c>
      <c r="AM268">
        <v>93.7243018732362</v>
      </c>
      <c r="AN268">
        <v>0.99999993071847504</v>
      </c>
    </row>
    <row r="269" spans="1:40" x14ac:dyDescent="0.25">
      <c r="A269" t="str">
        <f>"20190305135202472"</f>
        <v>20190305135202472</v>
      </c>
      <c r="B269" t="str">
        <f>"1551765122460408"</f>
        <v>1551765122460408</v>
      </c>
      <c r="C269" t="s">
        <v>40</v>
      </c>
      <c r="D269">
        <v>4.6094299999999997</v>
      </c>
      <c r="E269">
        <v>0.58002319999999996</v>
      </c>
      <c r="F269" t="s">
        <v>41</v>
      </c>
      <c r="G269">
        <v>-406.49650000000003</v>
      </c>
      <c r="H269">
        <v>0.88187689999999996</v>
      </c>
      <c r="I269">
        <v>367.4058</v>
      </c>
      <c r="J269">
        <v>-407.05130000000003</v>
      </c>
      <c r="K269">
        <v>1.059409</v>
      </c>
      <c r="L269">
        <v>367.51949999999999</v>
      </c>
      <c r="M269">
        <v>0.99988100000000002</v>
      </c>
      <c r="N269">
        <v>-1.5189279999999999E-2</v>
      </c>
      <c r="O269">
        <v>2.714101E-3</v>
      </c>
      <c r="P269">
        <v>0.99620160000000002</v>
      </c>
      <c r="Q269">
        <v>-5.5022250000000002E-2</v>
      </c>
      <c r="R269">
        <v>6.7491739999999995E-2</v>
      </c>
      <c r="S269">
        <v>3.0026250000000001</v>
      </c>
      <c r="T269">
        <v>-0.69729659999999904</v>
      </c>
      <c r="U269">
        <v>-0.44284059999999997</v>
      </c>
      <c r="V269">
        <v>-6.474394E-2</v>
      </c>
      <c r="W269">
        <v>-3.995191E-2</v>
      </c>
      <c r="X269">
        <v>0.99710180000000004</v>
      </c>
      <c r="Y269">
        <v>0.1445072</v>
      </c>
      <c r="Z269">
        <v>-1.8170229999999999E-2</v>
      </c>
      <c r="AA269">
        <v>0.98933689999999996</v>
      </c>
      <c r="AB269">
        <v>43</v>
      </c>
      <c r="AC269">
        <v>0.55479999999999996</v>
      </c>
      <c r="AD269">
        <v>-0.177532099999999</v>
      </c>
      <c r="AE269">
        <v>-0.113699999999994</v>
      </c>
      <c r="AF269">
        <v>0.104897449560671</v>
      </c>
      <c r="AG269">
        <v>-0.177532099999999</v>
      </c>
      <c r="AH269">
        <v>0.50487604357623295</v>
      </c>
      <c r="AI269">
        <v>108.99769253014099</v>
      </c>
      <c r="AJ269">
        <v>78.262718824584994</v>
      </c>
      <c r="AK269">
        <v>0.54536312749573901</v>
      </c>
      <c r="AL269">
        <v>92.289685295026302</v>
      </c>
      <c r="AM269">
        <v>93.715121440316295</v>
      </c>
      <c r="AN269">
        <v>0.99999996622130505</v>
      </c>
    </row>
    <row r="270" spans="1:40" x14ac:dyDescent="0.25">
      <c r="A270" t="str">
        <f>"20190305135202492"</f>
        <v>20190305135202492</v>
      </c>
      <c r="B270" t="str">
        <f>"1551765122479926"</f>
        <v>1551765122479926</v>
      </c>
      <c r="C270" t="s">
        <v>40</v>
      </c>
      <c r="D270">
        <v>4.775398</v>
      </c>
      <c r="E270">
        <v>0.57965290000000003</v>
      </c>
      <c r="F270" t="s">
        <v>41</v>
      </c>
      <c r="G270">
        <v>-406.13060000000002</v>
      </c>
      <c r="H270">
        <v>0.84634469999999995</v>
      </c>
      <c r="I270">
        <v>367.38339999999999</v>
      </c>
      <c r="J270">
        <v>-406.66039999999998</v>
      </c>
      <c r="K270">
        <v>1.0594330000000001</v>
      </c>
      <c r="L270">
        <v>367.52089999999998</v>
      </c>
      <c r="M270">
        <v>0.99987969999999904</v>
      </c>
      <c r="N270">
        <v>-1.5205969999999999E-2</v>
      </c>
      <c r="O270">
        <v>3.091894E-3</v>
      </c>
      <c r="P270">
        <v>0.99620520000000001</v>
      </c>
      <c r="Q270">
        <v>-5.4461000000000002E-2</v>
      </c>
      <c r="R270">
        <v>6.7893910000000002E-2</v>
      </c>
      <c r="S270">
        <v>3.0030519999999998</v>
      </c>
      <c r="T270">
        <v>-0.69505660000000002</v>
      </c>
      <c r="U270">
        <v>-0.44314579999999998</v>
      </c>
      <c r="V270">
        <v>-6.4770620000000001E-2</v>
      </c>
      <c r="W270">
        <v>-3.9374050000000001E-2</v>
      </c>
      <c r="X270">
        <v>0.99712310000000004</v>
      </c>
      <c r="Y270">
        <v>0.1449636</v>
      </c>
      <c r="Z270">
        <v>-1.825096E-2</v>
      </c>
      <c r="AA270">
        <v>0.9892687</v>
      </c>
      <c r="AB270">
        <v>43</v>
      </c>
      <c r="AC270">
        <v>0.52979999999996596</v>
      </c>
      <c r="AD270">
        <v>-0.21308829999999901</v>
      </c>
      <c r="AE270">
        <v>-0.13749999999998799</v>
      </c>
      <c r="AF270">
        <v>0.120825290674677</v>
      </c>
      <c r="AG270">
        <v>-0.21308829999999901</v>
      </c>
      <c r="AH270">
        <v>0.45969998009508201</v>
      </c>
      <c r="AI270">
        <v>114.147226050577</v>
      </c>
      <c r="AJ270">
        <v>75.273735414258496</v>
      </c>
      <c r="AK270">
        <v>0.52089293157320604</v>
      </c>
      <c r="AL270">
        <v>92.256550175686698</v>
      </c>
      <c r="AM270">
        <v>93.716568925130503</v>
      </c>
      <c r="AN270">
        <v>1.00000001279109</v>
      </c>
    </row>
    <row r="271" spans="1:40" x14ac:dyDescent="0.25">
      <c r="A271" t="str">
        <f>"20190305135202505"</f>
        <v>20190305135202505</v>
      </c>
      <c r="B271" t="str">
        <f>"1551765122500423"</f>
        <v>1551765122500423</v>
      </c>
      <c r="C271" t="s">
        <v>40</v>
      </c>
      <c r="D271">
        <v>4.7536300000000002</v>
      </c>
      <c r="E271">
        <v>0.57941730000000002</v>
      </c>
      <c r="F271" t="s">
        <v>41</v>
      </c>
      <c r="G271">
        <v>-405.74959999999999</v>
      </c>
      <c r="H271">
        <v>0.84875349999999905</v>
      </c>
      <c r="I271">
        <v>367.38729999999998</v>
      </c>
      <c r="J271">
        <v>-406.41390000000001</v>
      </c>
      <c r="K271">
        <v>1.0594410000000001</v>
      </c>
      <c r="L271">
        <v>367.52179999999998</v>
      </c>
      <c r="M271">
        <v>0.99987879999999996</v>
      </c>
      <c r="N271">
        <v>-1.5215319999999999E-2</v>
      </c>
      <c r="O271">
        <v>3.3303130000000001E-3</v>
      </c>
      <c r="P271">
        <v>0.99618910000000005</v>
      </c>
      <c r="Q271">
        <v>-5.4257449999999999E-2</v>
      </c>
      <c r="R271">
        <v>6.8290649999999994E-2</v>
      </c>
      <c r="S271">
        <v>3.003387</v>
      </c>
      <c r="T271">
        <v>-0.69487919999999903</v>
      </c>
      <c r="U271">
        <v>-0.43896479999999999</v>
      </c>
      <c r="V271">
        <v>-6.4929490000000006E-2</v>
      </c>
      <c r="W271">
        <v>-3.9161550000000003E-2</v>
      </c>
      <c r="X271">
        <v>0.99712109999999998</v>
      </c>
      <c r="Y271">
        <v>0.14386209999999999</v>
      </c>
      <c r="Z271">
        <v>-1.8163990000000001E-2</v>
      </c>
      <c r="AA271">
        <v>0.98943099999999995</v>
      </c>
      <c r="AB271">
        <v>43</v>
      </c>
      <c r="AC271">
        <v>0.66430000000002498</v>
      </c>
      <c r="AD271">
        <v>-0.2106875</v>
      </c>
      <c r="AE271">
        <v>-0.13450000000000201</v>
      </c>
      <c r="AF271">
        <v>0.124665695823682</v>
      </c>
      <c r="AG271">
        <v>-0.2106875</v>
      </c>
      <c r="AH271">
        <v>0.60535442083843205</v>
      </c>
      <c r="AI271">
        <v>108.823543889772</v>
      </c>
      <c r="AJ271">
        <v>78.363287630865699</v>
      </c>
      <c r="AK271">
        <v>0.65298141872497895</v>
      </c>
      <c r="AL271">
        <v>92.244365505515702</v>
      </c>
      <c r="AM271">
        <v>93.725666769322501</v>
      </c>
      <c r="AN271">
        <v>0.99999997686763598</v>
      </c>
    </row>
    <row r="272" spans="1:40" x14ac:dyDescent="0.25">
      <c r="A272" t="str">
        <f>"20190305135202517"</f>
        <v>20190305135202517</v>
      </c>
      <c r="B272" t="str">
        <f>"1551765122509905"</f>
        <v>1551765122509905</v>
      </c>
      <c r="C272" t="s">
        <v>40</v>
      </c>
      <c r="D272">
        <v>4.7555050000000003</v>
      </c>
      <c r="E272">
        <v>0.5793005</v>
      </c>
      <c r="F272" t="s">
        <v>41</v>
      </c>
      <c r="G272">
        <v>-405.72739999999999</v>
      </c>
      <c r="H272">
        <v>0.90048159999999899</v>
      </c>
      <c r="I272">
        <v>367.42169999999999</v>
      </c>
      <c r="J272">
        <v>-406.18520000000001</v>
      </c>
      <c r="K272">
        <v>1.0594460000000001</v>
      </c>
      <c r="L272">
        <v>367.52280000000002</v>
      </c>
      <c r="M272">
        <v>0.99987789999999999</v>
      </c>
      <c r="N272">
        <v>-1.5222619999999999E-2</v>
      </c>
      <c r="O272">
        <v>3.5515740000000001E-3</v>
      </c>
      <c r="P272">
        <v>0.99616059999999995</v>
      </c>
      <c r="Q272">
        <v>-5.423472E-2</v>
      </c>
      <c r="R272">
        <v>6.8724660000000007E-2</v>
      </c>
      <c r="S272">
        <v>3.003479</v>
      </c>
      <c r="T272">
        <v>-0.69578989999999996</v>
      </c>
      <c r="U272">
        <v>-0.43588260000000001</v>
      </c>
      <c r="V272">
        <v>-6.5143530000000005E-2</v>
      </c>
      <c r="W272">
        <v>-3.913208E-2</v>
      </c>
      <c r="X272">
        <v>0.99710829999999995</v>
      </c>
      <c r="Y272">
        <v>0.14308799999999999</v>
      </c>
      <c r="Z272">
        <v>-1.813998E-2</v>
      </c>
      <c r="AA272">
        <v>0.98954370000000003</v>
      </c>
      <c r="AB272">
        <v>43</v>
      </c>
      <c r="AC272">
        <v>0.45780000000002002</v>
      </c>
      <c r="AD272">
        <v>-0.15896440000000001</v>
      </c>
      <c r="AE272">
        <v>-0.10110000000003</v>
      </c>
      <c r="AF272">
        <v>9.2133298659301102E-2</v>
      </c>
      <c r="AG272">
        <v>-0.15896440000000001</v>
      </c>
      <c r="AH272">
        <v>0.41027094944528397</v>
      </c>
      <c r="AI272">
        <v>110.708934745207</v>
      </c>
      <c r="AJ272">
        <v>77.3432346749928</v>
      </c>
      <c r="AK272">
        <v>0.44953362182148199</v>
      </c>
      <c r="AL272">
        <v>92.242675695290501</v>
      </c>
      <c r="AM272">
        <v>93.7379615126857</v>
      </c>
      <c r="AN272">
        <v>0.999999980557438</v>
      </c>
    </row>
    <row r="273" spans="1:40" x14ac:dyDescent="0.25">
      <c r="A273" t="str">
        <f>"20190305135202538"</f>
        <v>20190305135202538</v>
      </c>
      <c r="B273" t="str">
        <f>"1551765122530400"</f>
        <v>1551765122530400</v>
      </c>
      <c r="C273" t="s">
        <v>40</v>
      </c>
      <c r="D273">
        <v>4.7273110000000003</v>
      </c>
      <c r="E273">
        <v>0.57909849999999996</v>
      </c>
      <c r="F273" t="s">
        <v>41</v>
      </c>
      <c r="G273">
        <v>-405.36219999999997</v>
      </c>
      <c r="H273">
        <v>0.86869509999999905</v>
      </c>
      <c r="I273">
        <v>367.40370000000001</v>
      </c>
      <c r="J273">
        <v>-405.78379999999999</v>
      </c>
      <c r="K273">
        <v>1.0594539999999999</v>
      </c>
      <c r="L273">
        <v>367.52449999999999</v>
      </c>
      <c r="M273">
        <v>0.99987610000000005</v>
      </c>
      <c r="N273">
        <v>-1.523411E-2</v>
      </c>
      <c r="O273">
        <v>3.9403499999999996E-3</v>
      </c>
      <c r="P273">
        <v>0.99613260000000003</v>
      </c>
      <c r="Q273">
        <v>-5.4130730000000002E-2</v>
      </c>
      <c r="R273">
        <v>6.9208549999999994E-2</v>
      </c>
      <c r="S273">
        <v>3.0035400000000001</v>
      </c>
      <c r="T273">
        <v>-0.69621359999999999</v>
      </c>
      <c r="U273">
        <v>-0.4336853</v>
      </c>
      <c r="V273">
        <v>-6.523988E-2</v>
      </c>
      <c r="W273">
        <v>-3.901694E-2</v>
      </c>
      <c r="X273">
        <v>0.99710659999999895</v>
      </c>
      <c r="Y273">
        <v>0.14275579999999999</v>
      </c>
      <c r="Z273">
        <v>-1.81937E-2</v>
      </c>
      <c r="AA273">
        <v>0.98959070000000005</v>
      </c>
      <c r="AB273">
        <v>43</v>
      </c>
      <c r="AC273">
        <v>0.42160000000001202</v>
      </c>
      <c r="AD273">
        <v>-0.19075890000000001</v>
      </c>
      <c r="AE273">
        <v>-0.120799999999974</v>
      </c>
      <c r="AF273">
        <v>0.10297794580696799</v>
      </c>
      <c r="AG273">
        <v>-0.19075890000000001</v>
      </c>
      <c r="AH273">
        <v>0.35412349224539902</v>
      </c>
      <c r="AI273">
        <v>117.35038574976601</v>
      </c>
      <c r="AJ273">
        <v>73.785743136149506</v>
      </c>
      <c r="AK273">
        <v>0.41520701223836498</v>
      </c>
      <c r="AL273">
        <v>92.236073422237496</v>
      </c>
      <c r="AM273">
        <v>93.7434807693827</v>
      </c>
      <c r="AN273">
        <v>1.00000006765646</v>
      </c>
    </row>
    <row r="274" spans="1:40" x14ac:dyDescent="0.25">
      <c r="A274" t="str">
        <f>"20190305135202550"</f>
        <v>20190305135202550</v>
      </c>
      <c r="B274" t="str">
        <f>"1551765122540161"</f>
        <v>1551765122540161</v>
      </c>
      <c r="C274" t="s">
        <v>40</v>
      </c>
      <c r="D274">
        <v>4.7363460000000002</v>
      </c>
      <c r="E274">
        <v>0.57899400000000001</v>
      </c>
      <c r="F274" t="s">
        <v>41</v>
      </c>
      <c r="G274">
        <v>-404.9812</v>
      </c>
      <c r="H274">
        <v>0.87300880000000003</v>
      </c>
      <c r="I274">
        <v>367.40890000000002</v>
      </c>
      <c r="J274">
        <v>-405.5498</v>
      </c>
      <c r="K274">
        <v>1.0594589999999999</v>
      </c>
      <c r="L274">
        <v>367.5256</v>
      </c>
      <c r="M274">
        <v>0.99987530000000002</v>
      </c>
      <c r="N274">
        <v>-1.5239859999999999E-2</v>
      </c>
      <c r="O274">
        <v>4.1668030000000002E-3</v>
      </c>
      <c r="P274">
        <v>0.99613620000000003</v>
      </c>
      <c r="Q274">
        <v>-5.3836519999999999E-2</v>
      </c>
      <c r="R274">
        <v>6.938656E-2</v>
      </c>
      <c r="S274">
        <v>3.0036010000000002</v>
      </c>
      <c r="T274">
        <v>-0.6978953</v>
      </c>
      <c r="U274">
        <v>-0.43051149999999999</v>
      </c>
      <c r="V274">
        <v>-6.5192130000000001E-2</v>
      </c>
      <c r="W274">
        <v>-3.8716779999999999E-2</v>
      </c>
      <c r="X274">
        <v>0.99712129999999999</v>
      </c>
      <c r="Y274">
        <v>0.1419502</v>
      </c>
      <c r="Z274">
        <v>-1.8185469999999999E-2</v>
      </c>
      <c r="AA274">
        <v>0.9897068</v>
      </c>
      <c r="AB274">
        <v>42</v>
      </c>
      <c r="AC274">
        <v>0.56860000000000299</v>
      </c>
      <c r="AD274">
        <v>-0.18645019999999901</v>
      </c>
      <c r="AE274">
        <v>-0.11669999999998</v>
      </c>
      <c r="AF274">
        <v>0.10793214081682501</v>
      </c>
      <c r="AG274">
        <v>-0.18645019999999901</v>
      </c>
      <c r="AH274">
        <v>0.51497406619291797</v>
      </c>
      <c r="AI274">
        <v>109.51219708212901</v>
      </c>
      <c r="AJ274">
        <v>78.162857544377999</v>
      </c>
      <c r="AK274">
        <v>0.55822156260091904</v>
      </c>
      <c r="AL274">
        <v>92.218862790104296</v>
      </c>
      <c r="AM274">
        <v>93.740693653393507</v>
      </c>
      <c r="AN274">
        <v>0.99999994489059596</v>
      </c>
    </row>
    <row r="275" spans="1:40" x14ac:dyDescent="0.25">
      <c r="A275" t="str">
        <f>"20190305135202564"</f>
        <v>20190305135202564</v>
      </c>
      <c r="B275" t="str">
        <f>"1551765122549921"</f>
        <v>1551765122549921</v>
      </c>
      <c r="C275" t="s">
        <v>40</v>
      </c>
      <c r="D275">
        <v>4.7382540000000004</v>
      </c>
      <c r="E275">
        <v>0.57884899999999995</v>
      </c>
      <c r="F275" t="s">
        <v>41</v>
      </c>
      <c r="G275">
        <v>-404.6148</v>
      </c>
      <c r="H275">
        <v>0.84218649999999995</v>
      </c>
      <c r="I275">
        <v>367.39179999999999</v>
      </c>
      <c r="J275">
        <v>-405.29199999999997</v>
      </c>
      <c r="K275">
        <v>1.059466</v>
      </c>
      <c r="L275">
        <v>367.52690000000001</v>
      </c>
      <c r="M275">
        <v>0.99987420000000005</v>
      </c>
      <c r="N275">
        <v>-1.524553E-2</v>
      </c>
      <c r="O275">
        <v>4.4163830000000003E-3</v>
      </c>
      <c r="P275">
        <v>0.9961198</v>
      </c>
      <c r="Q275">
        <v>-5.3908339999999999E-2</v>
      </c>
      <c r="R275">
        <v>6.956801E-2</v>
      </c>
      <c r="S275">
        <v>3.003784</v>
      </c>
      <c r="T275">
        <v>-0.69805299999999904</v>
      </c>
      <c r="U275">
        <v>-0.42916870000000001</v>
      </c>
      <c r="V275">
        <v>-6.5124929999999998E-2</v>
      </c>
      <c r="W275">
        <v>-3.8782940000000002E-2</v>
      </c>
      <c r="X275">
        <v>0.99712319999999999</v>
      </c>
      <c r="Y275">
        <v>0.1417533</v>
      </c>
      <c r="Z275">
        <v>-1.821834E-2</v>
      </c>
      <c r="AA275">
        <v>0.98973440000000001</v>
      </c>
      <c r="AB275">
        <v>42</v>
      </c>
      <c r="AC275">
        <v>0.67719999999997005</v>
      </c>
      <c r="AD275">
        <v>-0.21727949999999999</v>
      </c>
      <c r="AE275">
        <v>-0.13510000000002201</v>
      </c>
      <c r="AF275">
        <v>0.12564992193100599</v>
      </c>
      <c r="AG275">
        <v>-0.21727949999999999</v>
      </c>
      <c r="AH275">
        <v>0.61564515703807399</v>
      </c>
      <c r="AI275">
        <v>109.07544324097501</v>
      </c>
      <c r="AJ275">
        <v>78.464659839085897</v>
      </c>
      <c r="AK275">
        <v>0.66484377366863701</v>
      </c>
      <c r="AL275">
        <v>92.222656151308399</v>
      </c>
      <c r="AM275">
        <v>93.736841579643595</v>
      </c>
      <c r="AN275">
        <v>1.0000000244603899</v>
      </c>
    </row>
    <row r="276" spans="1:40" x14ac:dyDescent="0.25">
      <c r="A276" t="str">
        <f>"20190305135202582"</f>
        <v>20190305135202582</v>
      </c>
      <c r="B276" t="str">
        <f>"1551765122569440"</f>
        <v>1551765122569440</v>
      </c>
      <c r="C276" t="s">
        <v>40</v>
      </c>
      <c r="D276">
        <v>4.7218910000000003</v>
      </c>
      <c r="E276">
        <v>0.578628699999999</v>
      </c>
      <c r="F276" t="s">
        <v>41</v>
      </c>
      <c r="G276">
        <v>-404.59179999999998</v>
      </c>
      <c r="H276">
        <v>0.89650859999999899</v>
      </c>
      <c r="I276">
        <v>367.42700000000002</v>
      </c>
      <c r="J276">
        <v>-404.95960000000002</v>
      </c>
      <c r="K276">
        <v>1.059477</v>
      </c>
      <c r="L276">
        <v>367.52859999999998</v>
      </c>
      <c r="M276">
        <v>0.9998726</v>
      </c>
      <c r="N276">
        <v>-1.5251570000000001E-2</v>
      </c>
      <c r="O276">
        <v>4.7386069999999997E-3</v>
      </c>
      <c r="P276">
        <v>0.99610359999999998</v>
      </c>
      <c r="Q276">
        <v>-5.3771010000000001E-2</v>
      </c>
      <c r="R276">
        <v>6.9904610000000006E-2</v>
      </c>
      <c r="S276">
        <v>3.0037539999999998</v>
      </c>
      <c r="T276">
        <v>-0.69915930000000004</v>
      </c>
      <c r="U276">
        <v>-0.42767329999999998</v>
      </c>
      <c r="V276">
        <v>-6.5140970000000006E-2</v>
      </c>
      <c r="W276">
        <v>-3.8639569999999998E-2</v>
      </c>
      <c r="X276">
        <v>0.99712769999999995</v>
      </c>
      <c r="Y276">
        <v>0.14157539999999999</v>
      </c>
      <c r="Z276">
        <v>-1.8293159999999999E-2</v>
      </c>
      <c r="AA276">
        <v>0.98975840000000004</v>
      </c>
      <c r="AB276">
        <v>42</v>
      </c>
      <c r="AC276">
        <v>0.36780000000004498</v>
      </c>
      <c r="AD276">
        <v>-0.16296840000000001</v>
      </c>
      <c r="AE276">
        <v>-0.10160000000001899</v>
      </c>
      <c r="AF276">
        <v>8.7399441404358902E-2</v>
      </c>
      <c r="AG276">
        <v>-0.16296840000000001</v>
      </c>
      <c r="AH276">
        <v>0.310649061831336</v>
      </c>
      <c r="AI276">
        <v>116.793781209418</v>
      </c>
      <c r="AJ276">
        <v>74.286338513910707</v>
      </c>
      <c r="AK276">
        <v>0.36152482815574799</v>
      </c>
      <c r="AL276">
        <v>92.214435534106499</v>
      </c>
      <c r="AM276">
        <v>93.737742518961298</v>
      </c>
      <c r="AN276">
        <v>1.0000000062248</v>
      </c>
    </row>
    <row r="277" spans="1:40" x14ac:dyDescent="0.25">
      <c r="A277" t="str">
        <f>"20190305135202596"</f>
        <v>20190305135202596</v>
      </c>
      <c r="B277" t="str">
        <f>"1551765122589938"</f>
        <v>1551765122589938</v>
      </c>
      <c r="C277" t="s">
        <v>40</v>
      </c>
      <c r="D277">
        <v>4.7494449999999997</v>
      </c>
      <c r="E277">
        <v>0.57841149999999997</v>
      </c>
      <c r="F277" t="s">
        <v>41</v>
      </c>
      <c r="G277">
        <v>-404.21800000000002</v>
      </c>
      <c r="H277">
        <v>0.88658609999999904</v>
      </c>
      <c r="I277">
        <v>367.42340000000002</v>
      </c>
      <c r="J277">
        <v>-404.69819999999999</v>
      </c>
      <c r="K277">
        <v>1.0594840000000001</v>
      </c>
      <c r="L277">
        <v>367.5301</v>
      </c>
      <c r="M277">
        <v>0.99987119999999996</v>
      </c>
      <c r="N277">
        <v>-1.5255579999999999E-2</v>
      </c>
      <c r="O277">
        <v>4.9923019999999997E-3</v>
      </c>
      <c r="P277">
        <v>0.99608790000000003</v>
      </c>
      <c r="Q277">
        <v>-5.3612079999999999E-2</v>
      </c>
      <c r="R277">
        <v>7.0248199999999997E-2</v>
      </c>
      <c r="S277">
        <v>3.0037229999999999</v>
      </c>
      <c r="T277">
        <v>-0.70039219999999902</v>
      </c>
      <c r="U277">
        <v>-0.42465209999999998</v>
      </c>
      <c r="V277">
        <v>-6.5231720000000007E-2</v>
      </c>
      <c r="W277">
        <v>-3.8476700000000003E-2</v>
      </c>
      <c r="X277">
        <v>0.99712809999999996</v>
      </c>
      <c r="Y277">
        <v>0.1408517</v>
      </c>
      <c r="Z277">
        <v>-1.8290230000000001E-2</v>
      </c>
      <c r="AA277">
        <v>0.98986169999999996</v>
      </c>
      <c r="AB277">
        <v>42</v>
      </c>
      <c r="AC277">
        <v>0.48019999999996799</v>
      </c>
      <c r="AD277">
        <v>-0.17289789999999999</v>
      </c>
      <c r="AE277">
        <v>-0.106699999999989</v>
      </c>
      <c r="AF277">
        <v>9.7100513567749805E-2</v>
      </c>
      <c r="AG277">
        <v>-0.17289789999999999</v>
      </c>
      <c r="AH277">
        <v>0.42691985306788899</v>
      </c>
      <c r="AI277">
        <v>111.54923964287499</v>
      </c>
      <c r="AJ277">
        <v>77.186383344255802</v>
      </c>
      <c r="AK277">
        <v>0.47072577420727502</v>
      </c>
      <c r="AL277">
        <v>92.205096749674595</v>
      </c>
      <c r="AM277">
        <v>93.742933400478705</v>
      </c>
      <c r="AN277">
        <v>1.0000000407733201</v>
      </c>
    </row>
    <row r="278" spans="1:40" x14ac:dyDescent="0.25">
      <c r="A278" t="str">
        <f>"20190305135202612"</f>
        <v>20190305135202612</v>
      </c>
      <c r="B278" t="str">
        <f>"1551765122599697"</f>
        <v>1551765122599697</v>
      </c>
      <c r="C278" t="s">
        <v>40</v>
      </c>
      <c r="D278">
        <v>4.7759609999999997</v>
      </c>
      <c r="E278">
        <v>0.57834059999999998</v>
      </c>
      <c r="F278" t="s">
        <v>41</v>
      </c>
      <c r="G278">
        <v>-403.85090000000002</v>
      </c>
      <c r="H278">
        <v>0.86157009999999901</v>
      </c>
      <c r="I278">
        <v>367.41090000000003</v>
      </c>
      <c r="J278">
        <v>-404.39769999999999</v>
      </c>
      <c r="K278">
        <v>1.05949</v>
      </c>
      <c r="L278">
        <v>367.53179999999998</v>
      </c>
      <c r="M278">
        <v>0.99986960000000003</v>
      </c>
      <c r="N278">
        <v>-1.525956E-2</v>
      </c>
      <c r="O278">
        <v>5.284019E-3</v>
      </c>
      <c r="P278">
        <v>0.99611510000000003</v>
      </c>
      <c r="Q278">
        <v>-5.3132499999999999E-2</v>
      </c>
      <c r="R278">
        <v>7.0227579999999998E-2</v>
      </c>
      <c r="S278">
        <v>3.0037539999999998</v>
      </c>
      <c r="T278">
        <v>-0.70168299999999995</v>
      </c>
      <c r="U278">
        <v>-0.42190549999999999</v>
      </c>
      <c r="V278">
        <v>-6.4921019999999996E-2</v>
      </c>
      <c r="W278">
        <v>-3.7992159999999997E-2</v>
      </c>
      <c r="X278">
        <v>0.99716689999999997</v>
      </c>
      <c r="Y278">
        <v>0.14024679999999901</v>
      </c>
      <c r="Z278">
        <v>-1.8310839999999998E-2</v>
      </c>
      <c r="AA278">
        <v>0.98994729999999997</v>
      </c>
      <c r="AB278">
        <v>42</v>
      </c>
      <c r="AC278">
        <v>0.54679999999996198</v>
      </c>
      <c r="AD278">
        <v>-0.19791990000000001</v>
      </c>
      <c r="AE278">
        <v>-0.12089999999994901</v>
      </c>
      <c r="AF278">
        <v>0.110042651938282</v>
      </c>
      <c r="AG278">
        <v>-0.19791990000000001</v>
      </c>
      <c r="AH278">
        <v>0.48550908501022499</v>
      </c>
      <c r="AI278">
        <v>111.681296486872</v>
      </c>
      <c r="AJ278">
        <v>77.229439211945802</v>
      </c>
      <c r="AK278">
        <v>0.53572450353617995</v>
      </c>
      <c r="AL278">
        <v>92.1773144609665</v>
      </c>
      <c r="AM278">
        <v>93.725011511291797</v>
      </c>
      <c r="AN278">
        <v>0.99999998475745699</v>
      </c>
    </row>
    <row r="279" spans="1:40" x14ac:dyDescent="0.25">
      <c r="A279" t="str">
        <f>"20190305135202628"</f>
        <v>20190305135202628</v>
      </c>
      <c r="B279" t="str">
        <f>"1551765122620193"</f>
        <v>1551765122620193</v>
      </c>
      <c r="C279" t="s">
        <v>40</v>
      </c>
      <c r="D279">
        <v>4.7304000000000004</v>
      </c>
      <c r="E279">
        <v>0.57823500000000005</v>
      </c>
      <c r="F279" t="s">
        <v>41</v>
      </c>
      <c r="G279">
        <v>-403.47989999999999</v>
      </c>
      <c r="H279">
        <v>0.84521209999999902</v>
      </c>
      <c r="I279">
        <v>367.40260000000001</v>
      </c>
      <c r="J279">
        <v>-404.08640000000003</v>
      </c>
      <c r="K279">
        <v>1.0595000000000001</v>
      </c>
      <c r="L279">
        <v>367.53370000000001</v>
      </c>
      <c r="M279">
        <v>0.99986790000000003</v>
      </c>
      <c r="N279">
        <v>-1.5262939999999999E-2</v>
      </c>
      <c r="O279">
        <v>5.5862289999999998E-3</v>
      </c>
      <c r="P279">
        <v>0.99613759999999996</v>
      </c>
      <c r="Q279">
        <v>-5.2745439999999998E-2</v>
      </c>
      <c r="R279">
        <v>7.0199639999999994E-2</v>
      </c>
      <c r="S279">
        <v>3.0039669999999998</v>
      </c>
      <c r="T279">
        <v>-0.70150400000000002</v>
      </c>
      <c r="U279">
        <v>-0.4212341</v>
      </c>
      <c r="V279">
        <v>-6.4591969999999999E-2</v>
      </c>
      <c r="W279">
        <v>-3.7600740000000001E-2</v>
      </c>
      <c r="X279">
        <v>0.99720310000000001</v>
      </c>
      <c r="Y279">
        <v>0.14031270000000001</v>
      </c>
      <c r="Z279">
        <v>-1.8378660000000002E-2</v>
      </c>
      <c r="AA279">
        <v>0.98993660000000006</v>
      </c>
      <c r="AB279">
        <v>42</v>
      </c>
      <c r="AC279">
        <v>0.60650000000003901</v>
      </c>
      <c r="AD279">
        <v>-0.2142879</v>
      </c>
      <c r="AE279">
        <v>-0.13110000000000299</v>
      </c>
      <c r="AF279">
        <v>0.12015633636463</v>
      </c>
      <c r="AG279">
        <v>-0.2142879</v>
      </c>
      <c r="AH279">
        <v>0.54121216134936001</v>
      </c>
      <c r="AI279">
        <v>111.132974438529</v>
      </c>
      <c r="AJ279">
        <v>77.482595969209697</v>
      </c>
      <c r="AK279">
        <v>0.59436306484120105</v>
      </c>
      <c r="AL279">
        <v>92.154871719496199</v>
      </c>
      <c r="AM279">
        <v>93.706050005216994</v>
      </c>
      <c r="AN279">
        <v>0.99999998044331895</v>
      </c>
    </row>
    <row r="280" spans="1:40" x14ac:dyDescent="0.25">
      <c r="A280" t="str">
        <f>"20190305135202650"</f>
        <v>20190305135202650</v>
      </c>
      <c r="B280" t="str">
        <f>"1551765122639714"</f>
        <v>1551765122639714</v>
      </c>
      <c r="C280" t="s">
        <v>40</v>
      </c>
      <c r="D280">
        <v>4.7577850000000002</v>
      </c>
      <c r="E280">
        <v>0.57814709999999903</v>
      </c>
      <c r="F280" t="s">
        <v>41</v>
      </c>
      <c r="G280">
        <v>-403.10860000000002</v>
      </c>
      <c r="H280">
        <v>0.83075650000000001</v>
      </c>
      <c r="I280">
        <v>367.39679999999998</v>
      </c>
      <c r="J280">
        <v>-403.6696</v>
      </c>
      <c r="K280">
        <v>1.0595079999999999</v>
      </c>
      <c r="L280">
        <v>367.53640000000001</v>
      </c>
      <c r="M280">
        <v>0.99986549999999996</v>
      </c>
      <c r="N280">
        <v>-1.5266299999999899E-2</v>
      </c>
      <c r="O280">
        <v>5.9916650000000002E-3</v>
      </c>
      <c r="P280">
        <v>0.99617420000000001</v>
      </c>
      <c r="Q280">
        <v>-5.2272829999999999E-2</v>
      </c>
      <c r="R280">
        <v>7.0030469999999997E-2</v>
      </c>
      <c r="S280">
        <v>3.0040279999999999</v>
      </c>
      <c r="T280">
        <v>-0.70279169999999902</v>
      </c>
      <c r="U280">
        <v>-0.4201355</v>
      </c>
      <c r="V280">
        <v>-6.4019179999999995E-2</v>
      </c>
      <c r="W280">
        <v>-3.7123200000000002E-2</v>
      </c>
      <c r="X280">
        <v>0.99725790000000003</v>
      </c>
      <c r="Y280">
        <v>0.1403315</v>
      </c>
      <c r="Z280">
        <v>-1.8499450000000001E-2</v>
      </c>
      <c r="AA280">
        <v>0.98993169999999997</v>
      </c>
      <c r="AB280">
        <v>42</v>
      </c>
      <c r="AC280">
        <v>0.56099999999997796</v>
      </c>
      <c r="AD280">
        <v>-0.228751499999999</v>
      </c>
      <c r="AE280">
        <v>-0.13960000000002901</v>
      </c>
      <c r="AF280">
        <v>0.123606149945441</v>
      </c>
      <c r="AG280">
        <v>-0.228751499999999</v>
      </c>
      <c r="AH280">
        <v>0.48432279839615799</v>
      </c>
      <c r="AI280">
        <v>114.59087007042901</v>
      </c>
      <c r="AJ280">
        <v>75.682914814565905</v>
      </c>
      <c r="AK280">
        <v>0.54970383126086297</v>
      </c>
      <c r="AL280">
        <v>92.127491633156495</v>
      </c>
      <c r="AM280">
        <v>93.673074502212401</v>
      </c>
      <c r="AN280">
        <v>0.99999995324926005</v>
      </c>
    </row>
    <row r="281" spans="1:40" x14ac:dyDescent="0.25">
      <c r="A281" t="str">
        <f>"20190305135202670"</f>
        <v>20190305135202670</v>
      </c>
      <c r="B281" t="str">
        <f>"1551765122660208"</f>
        <v>1551765122660208</v>
      </c>
      <c r="C281" t="s">
        <v>40</v>
      </c>
      <c r="D281">
        <v>4.7572199999999896</v>
      </c>
      <c r="E281">
        <v>0.5780978</v>
      </c>
      <c r="F281" t="s">
        <v>41</v>
      </c>
      <c r="G281">
        <v>-402.7285</v>
      </c>
      <c r="H281">
        <v>0.83921299999999899</v>
      </c>
      <c r="I281">
        <v>367.40429999999998</v>
      </c>
      <c r="J281">
        <v>-403.28680000000003</v>
      </c>
      <c r="K281">
        <v>1.059515</v>
      </c>
      <c r="L281">
        <v>367.53899999999999</v>
      </c>
      <c r="M281">
        <v>0.99986319999999995</v>
      </c>
      <c r="N281">
        <v>-1.5268439999999999E-2</v>
      </c>
      <c r="O281">
        <v>6.3640290000000002E-3</v>
      </c>
      <c r="P281">
        <v>0.99623499999999998</v>
      </c>
      <c r="Q281">
        <v>-5.1998450000000002E-2</v>
      </c>
      <c r="R281">
        <v>6.9370600000000004E-2</v>
      </c>
      <c r="S281">
        <v>3.0041500000000001</v>
      </c>
      <c r="T281">
        <v>-0.70333669999999904</v>
      </c>
      <c r="U281">
        <v>-0.42019649999999997</v>
      </c>
      <c r="V281">
        <v>-6.2988390000000005E-2</v>
      </c>
      <c r="W281">
        <v>-3.6844269999999998E-2</v>
      </c>
      <c r="X281">
        <v>0.9973339</v>
      </c>
      <c r="Y281">
        <v>0.1406896</v>
      </c>
      <c r="Z281">
        <v>-1.8636119999999999E-2</v>
      </c>
      <c r="AA281">
        <v>0.98987840000000005</v>
      </c>
      <c r="AB281">
        <v>42</v>
      </c>
      <c r="AC281">
        <v>0.55830000000003099</v>
      </c>
      <c r="AD281">
        <v>-0.220302</v>
      </c>
      <c r="AE281">
        <v>-0.13470000000000901</v>
      </c>
      <c r="AF281">
        <v>0.120517782279481</v>
      </c>
      <c r="AG281">
        <v>-0.220302</v>
      </c>
      <c r="AH281">
        <v>0.48593156961919298</v>
      </c>
      <c r="AI281">
        <v>113.75087672126899</v>
      </c>
      <c r="AJ281">
        <v>76.0709079557477</v>
      </c>
      <c r="AK281">
        <v>0.54697988756638605</v>
      </c>
      <c r="AL281">
        <v>92.111499138326295</v>
      </c>
      <c r="AM281">
        <v>93.613816694936403</v>
      </c>
      <c r="AN281">
        <v>0.99999997279791697</v>
      </c>
    </row>
    <row r="282" spans="1:40" x14ac:dyDescent="0.25">
      <c r="A282" t="str">
        <f>"20190305135202693"</f>
        <v>20190305135202693</v>
      </c>
      <c r="B282" t="str">
        <f>"1551765122679729"</f>
        <v>1551765122679729</v>
      </c>
      <c r="C282" t="s">
        <v>40</v>
      </c>
      <c r="D282">
        <v>4.6573039999999999</v>
      </c>
      <c r="E282">
        <v>0.57810760000000005</v>
      </c>
      <c r="F282" t="s">
        <v>41</v>
      </c>
      <c r="G282">
        <v>-402.35169999999999</v>
      </c>
      <c r="H282">
        <v>0.84045329999999996</v>
      </c>
      <c r="I282">
        <v>367.40730000000002</v>
      </c>
      <c r="J282">
        <v>-402.86009999999999</v>
      </c>
      <c r="K282">
        <v>1.0595190000000001</v>
      </c>
      <c r="L282">
        <v>367.5421</v>
      </c>
      <c r="M282">
        <v>0.99986039999999998</v>
      </c>
      <c r="N282">
        <v>-1.526988E-2</v>
      </c>
      <c r="O282">
        <v>6.779668E-3</v>
      </c>
      <c r="P282">
        <v>0.99625269999999999</v>
      </c>
      <c r="Q282">
        <v>-5.2243020000000001E-2</v>
      </c>
      <c r="R282">
        <v>6.8930950000000005E-2</v>
      </c>
      <c r="S282">
        <v>3.0039669999999998</v>
      </c>
      <c r="T282">
        <v>-0.70383119999999999</v>
      </c>
      <c r="U282">
        <v>-0.42193599999999998</v>
      </c>
      <c r="V282">
        <v>-6.2133679999999997E-2</v>
      </c>
      <c r="W282">
        <v>-3.7085729999999997E-2</v>
      </c>
      <c r="X282">
        <v>0.9973786</v>
      </c>
      <c r="Y282">
        <v>0.14162920000000001</v>
      </c>
      <c r="Z282">
        <v>-1.8853539999999998E-2</v>
      </c>
      <c r="AA282">
        <v>0.98974030000000002</v>
      </c>
      <c r="AB282">
        <v>42</v>
      </c>
      <c r="AC282">
        <v>0.50839999999999397</v>
      </c>
      <c r="AD282">
        <v>-0.219065699999999</v>
      </c>
      <c r="AE282">
        <v>-0.13479999999998399</v>
      </c>
      <c r="AF282">
        <v>0.117807665932988</v>
      </c>
      <c r="AG282">
        <v>-0.219065699999999</v>
      </c>
      <c r="AH282">
        <v>0.43245512473123399</v>
      </c>
      <c r="AI282">
        <v>116.04717019444701</v>
      </c>
      <c r="AJ282">
        <v>74.761486134710594</v>
      </c>
      <c r="AK282">
        <v>0.49888461789814298</v>
      </c>
      <c r="AL282">
        <v>92.125343163028006</v>
      </c>
      <c r="AM282">
        <v>93.564747604463193</v>
      </c>
      <c r="AN282">
        <v>1.00000000864896</v>
      </c>
    </row>
    <row r="283" spans="1:40" x14ac:dyDescent="0.25">
      <c r="A283" t="str">
        <f>"20190305135202706"</f>
        <v>20190305135202706</v>
      </c>
      <c r="B283" t="str">
        <f>"1551765122700225"</f>
        <v>1551765122700225</v>
      </c>
      <c r="C283" t="s">
        <v>40</v>
      </c>
      <c r="D283">
        <v>4.494402</v>
      </c>
      <c r="E283">
        <v>0.57797969999999999</v>
      </c>
      <c r="F283" t="s">
        <v>41</v>
      </c>
      <c r="G283">
        <v>-401.97160000000002</v>
      </c>
      <c r="H283">
        <v>0.85079850000000001</v>
      </c>
      <c r="I283">
        <v>367.41660000000002</v>
      </c>
      <c r="J283">
        <v>-402.63229999999999</v>
      </c>
      <c r="K283">
        <v>1.059523</v>
      </c>
      <c r="L283">
        <v>367.54379999999998</v>
      </c>
      <c r="M283">
        <v>0.99985889999999999</v>
      </c>
      <c r="N283">
        <v>-1.527037E-2</v>
      </c>
      <c r="O283">
        <v>7.0017319999999897E-3</v>
      </c>
      <c r="P283">
        <v>0.99625969999999997</v>
      </c>
      <c r="Q283">
        <v>-5.2142760000000003E-2</v>
      </c>
      <c r="R283">
        <v>6.8904720000000003E-2</v>
      </c>
      <c r="S283">
        <v>3.0035400000000001</v>
      </c>
      <c r="T283">
        <v>-0.70576470000000002</v>
      </c>
      <c r="U283">
        <v>-0.4230042</v>
      </c>
      <c r="V283">
        <v>-6.1886139999999999E-2</v>
      </c>
      <c r="W283">
        <v>-3.6984360000000001E-2</v>
      </c>
      <c r="X283">
        <v>0.99739770000000005</v>
      </c>
      <c r="Y283">
        <v>0.14216980000000001</v>
      </c>
      <c r="Z283">
        <v>-1.901798E-2</v>
      </c>
      <c r="AA283">
        <v>0.98965950000000003</v>
      </c>
      <c r="AB283">
        <v>42</v>
      </c>
      <c r="AC283">
        <v>0.66069999999996298</v>
      </c>
      <c r="AD283">
        <v>-0.20872450000000001</v>
      </c>
      <c r="AE283">
        <v>-0.12719999999995901</v>
      </c>
      <c r="AF283">
        <v>0.120251120795568</v>
      </c>
      <c r="AG283">
        <v>-0.20872450000000001</v>
      </c>
      <c r="AH283">
        <v>0.60187203362555897</v>
      </c>
      <c r="AI283">
        <v>108.78168350427801</v>
      </c>
      <c r="AJ283">
        <v>78.701352894501099</v>
      </c>
      <c r="AK283">
        <v>0.64828712297361502</v>
      </c>
      <c r="AL283">
        <v>92.119531217282002</v>
      </c>
      <c r="AM283">
        <v>93.550514267483194</v>
      </c>
      <c r="AN283">
        <v>0.99999995458699797</v>
      </c>
    </row>
    <row r="284" spans="1:40" x14ac:dyDescent="0.25">
      <c r="A284" t="str">
        <f>"20190305135202717"</f>
        <v>20190305135202717</v>
      </c>
      <c r="B284" t="str">
        <f>"1551765122709986"</f>
        <v>1551765122709986</v>
      </c>
      <c r="C284" t="s">
        <v>40</v>
      </c>
      <c r="D284">
        <v>4.469544</v>
      </c>
      <c r="E284">
        <v>0.53640369999999904</v>
      </c>
      <c r="F284" t="s">
        <v>41</v>
      </c>
      <c r="G284">
        <v>-401.60879999999997</v>
      </c>
      <c r="H284">
        <v>0.81940939999999995</v>
      </c>
      <c r="I284">
        <v>367.39980000000003</v>
      </c>
      <c r="J284">
        <v>-402.38159999999999</v>
      </c>
      <c r="K284">
        <v>1.0595330000000001</v>
      </c>
      <c r="L284">
        <v>367.54570000000001</v>
      </c>
      <c r="M284">
        <v>0.9998572</v>
      </c>
      <c r="N284">
        <v>-1.5270499999999999E-2</v>
      </c>
      <c r="O284">
        <v>7.2453109999999999E-3</v>
      </c>
      <c r="P284">
        <v>0.99627619999999895</v>
      </c>
      <c r="Q284">
        <v>-5.2299659999999998E-2</v>
      </c>
      <c r="R284">
        <v>6.8546010000000004E-2</v>
      </c>
      <c r="S284">
        <v>3.003571</v>
      </c>
      <c r="T284">
        <v>-0.70474289999999995</v>
      </c>
      <c r="U284">
        <v>-0.42221069999999999</v>
      </c>
      <c r="V284">
        <v>-6.1284140000000001E-2</v>
      </c>
      <c r="W284">
        <v>-3.7139900000000003E-2</v>
      </c>
      <c r="X284">
        <v>0.99742909999999996</v>
      </c>
      <c r="Y284">
        <v>0.14215929999999999</v>
      </c>
      <c r="Z284">
        <v>-1.9043839999999999E-2</v>
      </c>
      <c r="AA284">
        <v>0.9896606</v>
      </c>
      <c r="AB284">
        <v>42</v>
      </c>
      <c r="AC284">
        <v>0.77280000000001703</v>
      </c>
      <c r="AD284">
        <v>-0.24012359999999999</v>
      </c>
      <c r="AE284">
        <v>-0.14589999999998299</v>
      </c>
      <c r="AF284">
        <v>0.138577336779004</v>
      </c>
      <c r="AG284">
        <v>-0.24012359999999999</v>
      </c>
      <c r="AH284">
        <v>0.70591467348346204</v>
      </c>
      <c r="AI284">
        <v>108.4584263677</v>
      </c>
      <c r="AJ284">
        <v>78.893561259076407</v>
      </c>
      <c r="AK284">
        <v>0.75840526619017101</v>
      </c>
      <c r="AL284">
        <v>92.128449110648404</v>
      </c>
      <c r="AM284">
        <v>93.515953149995795</v>
      </c>
      <c r="AN284">
        <v>0.99999996375717903</v>
      </c>
    </row>
    <row r="285" spans="1:40" x14ac:dyDescent="0.25">
      <c r="A285" t="str">
        <f>"20190305135202730"</f>
        <v>20190305135202730</v>
      </c>
      <c r="B285" t="str">
        <f>"1551765122719745"</f>
        <v>1551765122719745</v>
      </c>
      <c r="C285" t="s">
        <v>40</v>
      </c>
      <c r="D285">
        <v>4.4935470000000004</v>
      </c>
      <c r="E285">
        <v>0.53376219999999996</v>
      </c>
      <c r="F285" t="s">
        <v>41</v>
      </c>
      <c r="G285">
        <v>-401.55279999999999</v>
      </c>
      <c r="H285">
        <v>0.94644419999999996</v>
      </c>
      <c r="I285">
        <v>367.52140000000003</v>
      </c>
      <c r="J285">
        <v>-402.16390000000001</v>
      </c>
      <c r="K285">
        <v>1.0595349999999999</v>
      </c>
      <c r="L285">
        <v>367.54750000000001</v>
      </c>
      <c r="M285">
        <v>0.99985559999999996</v>
      </c>
      <c r="N285">
        <v>-1.5270479999999999E-2</v>
      </c>
      <c r="O285">
        <v>7.4552050000000003E-3</v>
      </c>
      <c r="P285">
        <v>0.99630160000000001</v>
      </c>
      <c r="Q285">
        <v>-5.2126529999999997E-2</v>
      </c>
      <c r="R285">
        <v>6.831131E-2</v>
      </c>
      <c r="S285">
        <v>2.9957889999999998</v>
      </c>
      <c r="T285">
        <v>-0.40892519999999999</v>
      </c>
      <c r="U285">
        <v>-8.7799070000000007E-2</v>
      </c>
      <c r="V285">
        <v>-6.0840789999999999E-2</v>
      </c>
      <c r="W285">
        <v>-3.6965600000000001E-2</v>
      </c>
      <c r="X285">
        <v>0.99746270000000004</v>
      </c>
      <c r="Y285">
        <v>3.6317960000000003E-2</v>
      </c>
      <c r="Z285">
        <v>-3.6449210000000002E-3</v>
      </c>
      <c r="AA285">
        <v>0.99933360000000004</v>
      </c>
      <c r="AB285">
        <v>42</v>
      </c>
      <c r="AC285">
        <v>0.61110000000002096</v>
      </c>
      <c r="AD285">
        <v>-0.11309080000000001</v>
      </c>
      <c r="AE285">
        <v>-2.6099999999985302E-2</v>
      </c>
      <c r="AF285">
        <v>2.96423510186597E-2</v>
      </c>
      <c r="AG285">
        <v>-0.11309080000000001</v>
      </c>
      <c r="AH285">
        <v>0.59069535371587401</v>
      </c>
      <c r="AI285">
        <v>100.825034369847</v>
      </c>
      <c r="AJ285">
        <v>87.127185612529601</v>
      </c>
      <c r="AK285">
        <v>0.60215380005450003</v>
      </c>
      <c r="AL285">
        <v>92.118455627708002</v>
      </c>
      <c r="AM285">
        <v>93.490463393587603</v>
      </c>
      <c r="AN285">
        <v>0.99999994760123501</v>
      </c>
    </row>
    <row r="286" spans="1:40" x14ac:dyDescent="0.25">
      <c r="A286" t="str">
        <f>"20190305135202742"</f>
        <v>20190305135202742</v>
      </c>
      <c r="B286" t="str">
        <f>"1551765122730482"</f>
        <v>1551765122730482</v>
      </c>
      <c r="C286" t="s">
        <v>40</v>
      </c>
      <c r="D286">
        <v>4.2897919999999896</v>
      </c>
      <c r="E286">
        <v>0.53376219999999996</v>
      </c>
      <c r="F286" t="s">
        <v>41</v>
      </c>
      <c r="G286">
        <v>-401.17860000000002</v>
      </c>
      <c r="H286">
        <v>0.9446852</v>
      </c>
      <c r="I286">
        <v>367.52519999999998</v>
      </c>
      <c r="J286">
        <v>-401.9425</v>
      </c>
      <c r="K286">
        <v>1.059536</v>
      </c>
      <c r="L286">
        <v>367.54930000000002</v>
      </c>
      <c r="M286">
        <v>0.99985409999999997</v>
      </c>
      <c r="N286">
        <v>-1.5270280000000001E-2</v>
      </c>
      <c r="O286">
        <v>7.6667539999999996E-3</v>
      </c>
      <c r="P286">
        <v>0.99631259999999999</v>
      </c>
      <c r="Q286">
        <v>-5.2072239999999999E-2</v>
      </c>
      <c r="R286">
        <v>6.8190459999999994E-2</v>
      </c>
      <c r="S286">
        <v>2.9973749999999999</v>
      </c>
      <c r="T286">
        <v>-0.3495452</v>
      </c>
      <c r="U286">
        <v>-6.6650390000000004E-2</v>
      </c>
      <c r="V286">
        <v>-6.0509399999999998E-2</v>
      </c>
      <c r="W286">
        <v>-3.6910489999999997E-2</v>
      </c>
      <c r="X286">
        <v>0.99748490000000001</v>
      </c>
      <c r="Y286">
        <v>2.9629450000000002E-2</v>
      </c>
      <c r="Z286">
        <v>-2.722974E-3</v>
      </c>
      <c r="AA286">
        <v>0.99955729999999998</v>
      </c>
      <c r="AB286">
        <v>42</v>
      </c>
      <c r="AC286">
        <v>0.76389999999997804</v>
      </c>
      <c r="AD286">
        <v>-0.1148508</v>
      </c>
      <c r="AE286">
        <v>-2.4100000000032599E-2</v>
      </c>
      <c r="AF286">
        <v>2.9295065283682201E-2</v>
      </c>
      <c r="AG286">
        <v>-0.1148508</v>
      </c>
      <c r="AH286">
        <v>0.74682786407204305</v>
      </c>
      <c r="AI286">
        <v>98.736115472918698</v>
      </c>
      <c r="AJ286">
        <v>87.753667754439107</v>
      </c>
      <c r="AK286">
        <v>0.756175089291511</v>
      </c>
      <c r="AL286">
        <v>92.115295898382399</v>
      </c>
      <c r="AM286">
        <v>93.471420949911604</v>
      </c>
      <c r="AN286">
        <v>0.99999994874420295</v>
      </c>
    </row>
    <row r="287" spans="1:40" x14ac:dyDescent="0.25">
      <c r="A287" t="str">
        <f>"20190305135202760"</f>
        <v>20190305135202760</v>
      </c>
      <c r="B287" t="str">
        <f>"1551765122750001"</f>
        <v>1551765122750001</v>
      </c>
      <c r="C287" t="s">
        <v>40</v>
      </c>
      <c r="D287">
        <v>4.5239010000000004</v>
      </c>
      <c r="E287">
        <v>0.53845489999999996</v>
      </c>
      <c r="F287" t="s">
        <v>41</v>
      </c>
      <c r="G287">
        <v>-401.16649999999998</v>
      </c>
      <c r="H287">
        <v>0.96913919999999998</v>
      </c>
      <c r="I287">
        <v>367.5317</v>
      </c>
      <c r="J287">
        <v>-401.6078</v>
      </c>
      <c r="K287">
        <v>1.0595250000000001</v>
      </c>
      <c r="L287">
        <v>367.5521</v>
      </c>
      <c r="M287">
        <v>0.99985170000000001</v>
      </c>
      <c r="N287">
        <v>-1.5269609999999999E-2</v>
      </c>
      <c r="O287">
        <v>7.9766209999999997E-3</v>
      </c>
      <c r="P287">
        <v>0.9963514</v>
      </c>
      <c r="Q287">
        <v>-5.2211019999999997E-2</v>
      </c>
      <c r="R287">
        <v>6.751364E-2</v>
      </c>
      <c r="S287">
        <v>2.9974669999999999</v>
      </c>
      <c r="T287">
        <v>-0.34936309999999998</v>
      </c>
      <c r="U287">
        <v>-6.6894529999999994E-2</v>
      </c>
      <c r="V287">
        <v>-5.9524010000000002E-2</v>
      </c>
      <c r="W287">
        <v>-3.7047030000000002E-2</v>
      </c>
      <c r="X287">
        <v>0.99753919999999996</v>
      </c>
      <c r="Y287">
        <v>3.001566E-2</v>
      </c>
      <c r="Z287">
        <v>-2.7781960000000001E-3</v>
      </c>
      <c r="AA287">
        <v>0.99954560000000003</v>
      </c>
      <c r="AB287">
        <v>42</v>
      </c>
      <c r="AC287">
        <v>0.44130000000001202</v>
      </c>
      <c r="AD287">
        <v>-9.0385800000000002E-2</v>
      </c>
      <c r="AE287">
        <v>-2.0399999999994999E-2</v>
      </c>
      <c r="AF287">
        <v>2.2958775568289201E-2</v>
      </c>
      <c r="AG287">
        <v>-9.0385800000000002E-2</v>
      </c>
      <c r="AH287">
        <v>0.42339945840229998</v>
      </c>
      <c r="AI287">
        <v>102.03325466955999</v>
      </c>
      <c r="AJ287">
        <v>86.896184188635303</v>
      </c>
      <c r="AK287">
        <v>0.433547920756859</v>
      </c>
      <c r="AL287">
        <v>92.1231242613825</v>
      </c>
      <c r="AM287">
        <v>93.414838623156797</v>
      </c>
      <c r="AN287">
        <v>1.0000000228674699</v>
      </c>
    </row>
    <row r="288" spans="1:40" x14ac:dyDescent="0.25">
      <c r="A288" t="str">
        <f>"20190305135202773"</f>
        <v>20190305135202773</v>
      </c>
      <c r="B288" t="str">
        <f>"1551765122770496"</f>
        <v>1551765122770496</v>
      </c>
      <c r="C288" t="s">
        <v>40</v>
      </c>
      <c r="D288">
        <v>4.5093500000000004</v>
      </c>
      <c r="E288">
        <v>0.53615669999999904</v>
      </c>
      <c r="F288" t="s">
        <v>48</v>
      </c>
      <c r="G288">
        <v>-158.19499999999999</v>
      </c>
      <c r="H288">
        <v>1.782259</v>
      </c>
      <c r="I288">
        <v>359.39350000000002</v>
      </c>
      <c r="J288">
        <v>-401.36759999999998</v>
      </c>
      <c r="K288">
        <v>1.059517</v>
      </c>
      <c r="L288">
        <v>367.55419999999998</v>
      </c>
      <c r="M288">
        <v>0.99985000000000002</v>
      </c>
      <c r="N288">
        <v>-1.526888E-2</v>
      </c>
      <c r="O288">
        <v>8.1887160000000004E-3</v>
      </c>
      <c r="P288">
        <v>0.99635739999999995</v>
      </c>
      <c r="Q288">
        <v>-5.2277850000000001E-2</v>
      </c>
      <c r="R288">
        <v>6.7374870000000003E-2</v>
      </c>
      <c r="S288">
        <v>3.0182799999999999</v>
      </c>
      <c r="T288">
        <v>8.9628699999999995E-3</v>
      </c>
      <c r="U288">
        <v>-0.1011658</v>
      </c>
      <c r="V288">
        <v>-5.9174259999999999E-2</v>
      </c>
      <c r="W288">
        <v>-3.7112689999999997E-2</v>
      </c>
      <c r="X288">
        <v>0.99755749999999999</v>
      </c>
      <c r="Y288">
        <v>4.1682230000000001E-2</v>
      </c>
      <c r="Z288">
        <v>-1.071445E-4</v>
      </c>
      <c r="AA288">
        <v>0.99913090000000004</v>
      </c>
      <c r="AB288">
        <v>42</v>
      </c>
      <c r="AC288">
        <v>243.17259999999999</v>
      </c>
      <c r="AD288">
        <v>0.722742</v>
      </c>
      <c r="AE288">
        <v>-8.1606999999999594</v>
      </c>
      <c r="AF288">
        <v>10.1518400539723</v>
      </c>
      <c r="AG288">
        <v>0.722742</v>
      </c>
      <c r="AH288">
        <v>243.09546655706799</v>
      </c>
      <c r="AI288">
        <v>89.829803971086207</v>
      </c>
      <c r="AJ288">
        <v>87.608676861208494</v>
      </c>
      <c r="AK288">
        <v>243.30842170602801</v>
      </c>
      <c r="AL288">
        <v>92.126889034856902</v>
      </c>
      <c r="AM288">
        <v>93.394758715991898</v>
      </c>
      <c r="AN288">
        <v>0.99999995530591501</v>
      </c>
    </row>
    <row r="289" spans="1:40" x14ac:dyDescent="0.25">
      <c r="A289" t="str">
        <f>"20190305135202786"</f>
        <v>20190305135202786</v>
      </c>
      <c r="B289" t="str">
        <f>"1551765122780257"</f>
        <v>1551765122780257</v>
      </c>
      <c r="C289" t="s">
        <v>40</v>
      </c>
      <c r="D289">
        <v>4.5112069999999997</v>
      </c>
      <c r="E289">
        <v>0.53557119999999903</v>
      </c>
      <c r="F289" t="s">
        <v>48</v>
      </c>
      <c r="G289">
        <v>-158.19499999999999</v>
      </c>
      <c r="H289">
        <v>1.339183</v>
      </c>
      <c r="I289">
        <v>360.83629999999999</v>
      </c>
      <c r="J289">
        <v>-401.12099999999998</v>
      </c>
      <c r="K289">
        <v>1.0595159999999999</v>
      </c>
      <c r="L289">
        <v>367.5564</v>
      </c>
      <c r="M289">
        <v>0.99984770000000001</v>
      </c>
      <c r="N289">
        <v>-1.530481E-2</v>
      </c>
      <c r="O289">
        <v>8.3977540000000003E-3</v>
      </c>
      <c r="P289">
        <v>0.99635050000000003</v>
      </c>
      <c r="Q289">
        <v>-5.2454540000000001E-2</v>
      </c>
      <c r="R289">
        <v>6.7338880000000004E-2</v>
      </c>
      <c r="S289">
        <v>3.0168149999999998</v>
      </c>
      <c r="T289">
        <v>3.4706590000000001E-3</v>
      </c>
      <c r="U289">
        <v>-8.3343509999999996E-2</v>
      </c>
      <c r="V289">
        <v>-5.8930400000000001E-2</v>
      </c>
      <c r="W289">
        <v>-3.7251489999999998E-2</v>
      </c>
      <c r="X289">
        <v>0.99756679999999998</v>
      </c>
      <c r="Y289">
        <v>3.60095E-2</v>
      </c>
      <c r="Z289">
        <v>-1.167522E-4</v>
      </c>
      <c r="AA289">
        <v>0.9993514</v>
      </c>
      <c r="AB289">
        <v>42</v>
      </c>
      <c r="AC289">
        <v>242.92599999999999</v>
      </c>
      <c r="AD289">
        <v>0.279667</v>
      </c>
      <c r="AE289">
        <v>-6.7201000000000004</v>
      </c>
      <c r="AF289">
        <v>8.7601229501117999</v>
      </c>
      <c r="AG289">
        <v>0.279667</v>
      </c>
      <c r="AH289">
        <v>242.860670012577</v>
      </c>
      <c r="AI289">
        <v>89.934063766979804</v>
      </c>
      <c r="AJ289">
        <v>87.934204153894797</v>
      </c>
      <c r="AK289">
        <v>243.01877089371001</v>
      </c>
      <c r="AL289">
        <v>92.1348471119029</v>
      </c>
      <c r="AM289">
        <v>93.380769822440399</v>
      </c>
      <c r="AN289">
        <v>0.99999999300680997</v>
      </c>
    </row>
    <row r="290" spans="1:40" x14ac:dyDescent="0.25">
      <c r="A290" t="str">
        <f>"20190305135202797"</f>
        <v>20190305135202797</v>
      </c>
      <c r="B290" t="str">
        <f>"1551765122790017"</f>
        <v>1551765122790017</v>
      </c>
      <c r="C290" t="s">
        <v>40</v>
      </c>
      <c r="D290">
        <v>4.5058619999999996</v>
      </c>
      <c r="E290">
        <v>0.53537360000000001</v>
      </c>
      <c r="F290" t="s">
        <v>48</v>
      </c>
      <c r="G290">
        <v>-158.19499999999999</v>
      </c>
      <c r="H290">
        <v>0.78793570000000002</v>
      </c>
      <c r="I290">
        <v>361.22460000000001</v>
      </c>
      <c r="J290">
        <v>-400.89249999999998</v>
      </c>
      <c r="K290">
        <v>1.0596460000000001</v>
      </c>
      <c r="L290">
        <v>367.55840000000001</v>
      </c>
      <c r="M290">
        <v>0.99983789999999995</v>
      </c>
      <c r="N290">
        <v>-1.584818E-2</v>
      </c>
      <c r="O290">
        <v>8.5565420000000003E-3</v>
      </c>
      <c r="P290">
        <v>0.99630730000000001</v>
      </c>
      <c r="Q290">
        <v>-5.319604E-2</v>
      </c>
      <c r="R290">
        <v>6.7395839999999999E-2</v>
      </c>
      <c r="S290">
        <v>3.0160830000000001</v>
      </c>
      <c r="T290">
        <v>-3.3707619999999998E-3</v>
      </c>
      <c r="U290">
        <v>-7.8613279999999994E-2</v>
      </c>
      <c r="V290">
        <v>-5.8831029999999999E-2</v>
      </c>
      <c r="W290">
        <v>-3.7448429999999998E-2</v>
      </c>
      <c r="X290">
        <v>0.99756529999999999</v>
      </c>
      <c r="Y290">
        <v>3.4608350000000003E-2</v>
      </c>
      <c r="Z290">
        <v>-1.676127E-4</v>
      </c>
      <c r="AA290">
        <v>0.99940090000000004</v>
      </c>
      <c r="AB290">
        <v>42</v>
      </c>
      <c r="AC290">
        <v>242.69749999999999</v>
      </c>
      <c r="AD290">
        <v>-0.27171029999999902</v>
      </c>
      <c r="AE290">
        <v>-6.3337999999999903</v>
      </c>
      <c r="AF290">
        <v>8.4104695191204293</v>
      </c>
      <c r="AG290">
        <v>-0.27171029999999902</v>
      </c>
      <c r="AH290">
        <v>242.634106997472</v>
      </c>
      <c r="AI290">
        <v>90.064123312623295</v>
      </c>
      <c r="AJ290">
        <v>88.014740995555599</v>
      </c>
      <c r="AK290">
        <v>242.77998208765101</v>
      </c>
      <c r="AL290">
        <v>92.146138803660804</v>
      </c>
      <c r="AM290">
        <v>93.375087331622396</v>
      </c>
      <c r="AN290">
        <v>1.0000000013821999</v>
      </c>
    </row>
    <row r="291" spans="1:40" x14ac:dyDescent="0.25">
      <c r="A291" t="str">
        <f>"20190305135202817"</f>
        <v>20190305135202817</v>
      </c>
      <c r="B291" t="str">
        <f>"1551765122810513"</f>
        <v>1551765122810513</v>
      </c>
      <c r="C291" t="s">
        <v>40</v>
      </c>
      <c r="D291">
        <v>4.4992049999999999</v>
      </c>
      <c r="E291">
        <v>0.53498690000000004</v>
      </c>
      <c r="F291" t="s">
        <v>48</v>
      </c>
      <c r="G291">
        <v>-158.19499999999999</v>
      </c>
      <c r="H291">
        <v>0.17735200000000001</v>
      </c>
      <c r="I291">
        <v>361.35469999999998</v>
      </c>
      <c r="J291">
        <v>-400.54239999999999</v>
      </c>
      <c r="K291">
        <v>1.0600609999999999</v>
      </c>
      <c r="L291">
        <v>367.56169999999997</v>
      </c>
      <c r="M291">
        <v>0.99981960000000003</v>
      </c>
      <c r="N291">
        <v>-1.6845550000000001E-2</v>
      </c>
      <c r="O291">
        <v>8.7794239999999992E-3</v>
      </c>
      <c r="P291">
        <v>0.99620889999999995</v>
      </c>
      <c r="Q291">
        <v>-5.4439510000000003E-2</v>
      </c>
      <c r="R291">
        <v>6.785542E-2</v>
      </c>
      <c r="S291">
        <v>3.0157470000000002</v>
      </c>
      <c r="T291">
        <v>-1.096225E-2</v>
      </c>
      <c r="U291">
        <v>-7.7087399999999903E-2</v>
      </c>
      <c r="V291">
        <v>-5.9071650000000003E-2</v>
      </c>
      <c r="W291">
        <v>-3.7693110000000002E-2</v>
      </c>
      <c r="X291">
        <v>0.99754180000000003</v>
      </c>
      <c r="Y291">
        <v>3.4328049999999999E-2</v>
      </c>
      <c r="Z291">
        <v>-2.3562029999999999E-4</v>
      </c>
      <c r="AA291">
        <v>0.99941060000000004</v>
      </c>
      <c r="AB291">
        <v>42</v>
      </c>
      <c r="AC291">
        <v>242.34739999999999</v>
      </c>
      <c r="AD291">
        <v>-0.88270899999999997</v>
      </c>
      <c r="AE291">
        <v>-6.2069999999999901</v>
      </c>
      <c r="AF291">
        <v>8.3346226584218801</v>
      </c>
      <c r="AG291">
        <v>-0.88270899999999997</v>
      </c>
      <c r="AH291">
        <v>242.280343572346</v>
      </c>
      <c r="AI291">
        <v>90.208623517911903</v>
      </c>
      <c r="AJ291">
        <v>88.0297598478342</v>
      </c>
      <c r="AK291">
        <v>242.42526681757201</v>
      </c>
      <c r="AL291">
        <v>92.160167980027595</v>
      </c>
      <c r="AM291">
        <v>93.388939042922402</v>
      </c>
      <c r="AN291">
        <v>0.999999936561215</v>
      </c>
    </row>
    <row r="292" spans="1:40" x14ac:dyDescent="0.25">
      <c r="A292" t="str">
        <f>"20190305135202840"</f>
        <v>20190305135202840</v>
      </c>
      <c r="B292" t="str">
        <f>"1551765122830033"</f>
        <v>1551765122830033</v>
      </c>
      <c r="C292" t="s">
        <v>40</v>
      </c>
      <c r="D292">
        <v>4.4724349999999999</v>
      </c>
      <c r="E292">
        <v>0.53456179999999998</v>
      </c>
      <c r="F292" t="s">
        <v>42</v>
      </c>
      <c r="G292">
        <v>-265.61900000000003</v>
      </c>
      <c r="H292" s="1">
        <v>-2.890618E-6</v>
      </c>
      <c r="I292">
        <v>364.3032</v>
      </c>
      <c r="J292">
        <v>-400.12860000000001</v>
      </c>
      <c r="K292">
        <v>1.0608219999999999</v>
      </c>
      <c r="L292">
        <v>367.56560000000002</v>
      </c>
      <c r="M292">
        <v>0.99980519999999995</v>
      </c>
      <c r="N292">
        <v>-1.756651E-2</v>
      </c>
      <c r="O292">
        <v>8.9927269999999903E-3</v>
      </c>
      <c r="P292">
        <v>0.99611039999999995</v>
      </c>
      <c r="Q292">
        <v>-5.4903529999999999E-2</v>
      </c>
      <c r="R292">
        <v>6.8918789999999994E-2</v>
      </c>
      <c r="S292">
        <v>3.0150760000000001</v>
      </c>
      <c r="T292">
        <v>-2.3688790000000001E-2</v>
      </c>
      <c r="U292">
        <v>-7.2814939999999995E-2</v>
      </c>
      <c r="V292">
        <v>-5.9927460000000002E-2</v>
      </c>
      <c r="W292">
        <v>-3.7434540000000002E-2</v>
      </c>
      <c r="X292">
        <v>0.99750050000000001</v>
      </c>
      <c r="Y292">
        <v>3.3130029999999998E-2</v>
      </c>
      <c r="Z292">
        <v>-3.3387910000000001E-4</v>
      </c>
      <c r="AA292">
        <v>0.99945099999999998</v>
      </c>
      <c r="AB292">
        <v>41</v>
      </c>
      <c r="AC292">
        <v>134.50959999999901</v>
      </c>
      <c r="AD292">
        <v>-1.060824890618</v>
      </c>
      <c r="AE292">
        <v>-3.2624000000000102</v>
      </c>
      <c r="AF292">
        <v>4.4717849211117002</v>
      </c>
      <c r="AG292">
        <v>-1.060824890618</v>
      </c>
      <c r="AH292">
        <v>134.46645825813499</v>
      </c>
      <c r="AI292">
        <v>90.451755394681001</v>
      </c>
      <c r="AJ292">
        <v>88.09528699034</v>
      </c>
      <c r="AK292">
        <v>134.54497614670001</v>
      </c>
      <c r="AL292">
        <v>92.1453425249357</v>
      </c>
      <c r="AM292">
        <v>93.438061917011396</v>
      </c>
      <c r="AN292">
        <v>0.99999994637365497</v>
      </c>
    </row>
    <row r="293" spans="1:40" x14ac:dyDescent="0.25">
      <c r="A293" t="str">
        <f>"20190305135202862"</f>
        <v>20190305135202862</v>
      </c>
      <c r="B293" t="str">
        <f>"1551765122850529"</f>
        <v>1551765122850529</v>
      </c>
      <c r="C293" t="s">
        <v>40</v>
      </c>
      <c r="D293">
        <v>4.4932879999999997</v>
      </c>
      <c r="E293">
        <v>0.53434369999999998</v>
      </c>
      <c r="F293" t="s">
        <v>47</v>
      </c>
      <c r="G293">
        <v>-291.96480000000003</v>
      </c>
      <c r="H293">
        <v>-0.05</v>
      </c>
      <c r="I293">
        <v>365.1884</v>
      </c>
      <c r="J293">
        <v>-399.73559999999998</v>
      </c>
      <c r="K293">
        <v>1.0615289999999999</v>
      </c>
      <c r="L293">
        <v>367.5693</v>
      </c>
      <c r="M293">
        <v>0.9998203</v>
      </c>
      <c r="N293">
        <v>-1.66050999999999E-2</v>
      </c>
      <c r="O293">
        <v>9.1429619999999993E-3</v>
      </c>
      <c r="P293">
        <v>0.99612579999999995</v>
      </c>
      <c r="Q293">
        <v>-5.3571340000000002E-2</v>
      </c>
      <c r="R293">
        <v>6.9738510000000004E-2</v>
      </c>
      <c r="S293">
        <v>3.0145870000000001</v>
      </c>
      <c r="T293">
        <v>-3.0959250000000001E-2</v>
      </c>
      <c r="U293">
        <v>-6.6253660000000006E-2</v>
      </c>
      <c r="V293">
        <v>-6.0600380000000002E-2</v>
      </c>
      <c r="W293">
        <v>-3.7056680000000002E-2</v>
      </c>
      <c r="X293">
        <v>0.99747399999999997</v>
      </c>
      <c r="Y293">
        <v>3.1109009999999999E-2</v>
      </c>
      <c r="Z293">
        <v>-3.6014119999999998E-4</v>
      </c>
      <c r="AA293">
        <v>0.99951599999999996</v>
      </c>
      <c r="AB293">
        <v>41</v>
      </c>
      <c r="AC293">
        <v>107.770799999999</v>
      </c>
      <c r="AD293">
        <v>-1.111529</v>
      </c>
      <c r="AE293">
        <v>-2.3808999999999898</v>
      </c>
      <c r="AF293">
        <v>3.3659228044375902</v>
      </c>
      <c r="AG293">
        <v>-1.111529</v>
      </c>
      <c r="AH293">
        <v>107.733068190404</v>
      </c>
      <c r="AI293">
        <v>90.590836267176201</v>
      </c>
      <c r="AJ293">
        <v>88.210480212528495</v>
      </c>
      <c r="AK293">
        <v>107.79136753359001</v>
      </c>
      <c r="AL293">
        <v>92.123677610859204</v>
      </c>
      <c r="AM293">
        <v>93.476665572730994</v>
      </c>
      <c r="AN293">
        <v>0.999999992132383</v>
      </c>
    </row>
    <row r="294" spans="1:40" x14ac:dyDescent="0.25">
      <c r="A294" t="str">
        <f>"20190305135202874"</f>
        <v>20190305135202874</v>
      </c>
      <c r="B294" t="str">
        <f>"1551765122870050"</f>
        <v>1551765122870050</v>
      </c>
      <c r="C294" t="s">
        <v>40</v>
      </c>
      <c r="D294">
        <v>4.4916330000000002</v>
      </c>
      <c r="E294">
        <v>0.53431229999999996</v>
      </c>
      <c r="F294" t="s">
        <v>47</v>
      </c>
      <c r="G294">
        <v>-299.54109999999997</v>
      </c>
      <c r="H294">
        <v>-0.05</v>
      </c>
      <c r="I294">
        <v>365.49979999999999</v>
      </c>
      <c r="J294">
        <v>-399.50349999999997</v>
      </c>
      <c r="K294">
        <v>1.0619959999999999</v>
      </c>
      <c r="L294">
        <v>367.57150000000001</v>
      </c>
      <c r="M294">
        <v>0.99983840000000002</v>
      </c>
      <c r="N294">
        <v>-1.544942E-2</v>
      </c>
      <c r="O294">
        <v>9.2018859999999994E-3</v>
      </c>
      <c r="P294">
        <v>0.99615710000000002</v>
      </c>
      <c r="Q294">
        <v>-5.2109330000000002E-2</v>
      </c>
      <c r="R294">
        <v>7.0396180000000003E-2</v>
      </c>
      <c r="S294">
        <v>3.014221</v>
      </c>
      <c r="T294">
        <v>-3.3438919999999997E-2</v>
      </c>
      <c r="U294">
        <v>-6.2255860000000003E-2</v>
      </c>
      <c r="V294">
        <v>-6.1201329999999998E-2</v>
      </c>
      <c r="W294">
        <v>-3.6744449999999998E-2</v>
      </c>
      <c r="X294">
        <v>0.99744889999999997</v>
      </c>
      <c r="Y294">
        <v>2.984531E-2</v>
      </c>
      <c r="Z294">
        <v>-3.5604009999999999E-4</v>
      </c>
      <c r="AA294">
        <v>0.99955450000000001</v>
      </c>
      <c r="AB294">
        <v>41</v>
      </c>
      <c r="AC294">
        <v>99.962400000000002</v>
      </c>
      <c r="AD294">
        <v>-1.111996</v>
      </c>
      <c r="AE294">
        <v>-2.0717000000000199</v>
      </c>
      <c r="AF294">
        <v>2.9911945953942798</v>
      </c>
      <c r="AG294">
        <v>-1.111996</v>
      </c>
      <c r="AH294">
        <v>99.926740655905306</v>
      </c>
      <c r="AI294">
        <v>90.637282129949099</v>
      </c>
      <c r="AJ294">
        <v>88.285427264500001</v>
      </c>
      <c r="AK294">
        <v>99.977683901579198</v>
      </c>
      <c r="AL294">
        <v>92.105775871766198</v>
      </c>
      <c r="AM294">
        <v>93.511144597803906</v>
      </c>
      <c r="AN294">
        <v>1.00000003275539</v>
      </c>
    </row>
    <row r="295" spans="1:40" x14ac:dyDescent="0.25">
      <c r="A295" t="str">
        <f>"20190305135202886"</f>
        <v>20190305135202886</v>
      </c>
      <c r="B295" t="str">
        <f>"1551765122879810"</f>
        <v>1551765122879810</v>
      </c>
      <c r="C295" t="s">
        <v>40</v>
      </c>
      <c r="D295">
        <v>4.4732200000000004</v>
      </c>
      <c r="E295">
        <v>0.53445129999999996</v>
      </c>
      <c r="F295" t="s">
        <v>47</v>
      </c>
      <c r="G295">
        <v>-301.173</v>
      </c>
      <c r="H295">
        <v>-0.05</v>
      </c>
      <c r="I295">
        <v>365.61219999999997</v>
      </c>
      <c r="J295">
        <v>-399.28129999999999</v>
      </c>
      <c r="K295">
        <v>1.062476</v>
      </c>
      <c r="L295">
        <v>367.57369999999997</v>
      </c>
      <c r="M295">
        <v>0.99985639999999998</v>
      </c>
      <c r="N295">
        <v>-1.42086E-2</v>
      </c>
      <c r="O295">
        <v>9.2486800000000004E-3</v>
      </c>
      <c r="P295">
        <v>0.99619559999999996</v>
      </c>
      <c r="Q295">
        <v>-5.0803609999999999E-2</v>
      </c>
      <c r="R295">
        <v>7.0807780000000001E-2</v>
      </c>
      <c r="S295">
        <v>3.014008</v>
      </c>
      <c r="T295">
        <v>-3.4084679999999999E-2</v>
      </c>
      <c r="U295">
        <v>-6.0058590000000002E-2</v>
      </c>
      <c r="V295">
        <v>-6.1568190000000002E-2</v>
      </c>
      <c r="W295">
        <v>-3.6673119999999997E-2</v>
      </c>
      <c r="X295">
        <v>0.99742889999999995</v>
      </c>
      <c r="Y295">
        <v>2.9165219999999999E-2</v>
      </c>
      <c r="Z295">
        <v>-3.4530869999999998E-4</v>
      </c>
      <c r="AA295">
        <v>0.99957450000000003</v>
      </c>
      <c r="AB295">
        <v>41</v>
      </c>
      <c r="AC295">
        <v>98.1083</v>
      </c>
      <c r="AD295">
        <v>-1.112476</v>
      </c>
      <c r="AE295">
        <v>-1.9615</v>
      </c>
      <c r="AF295">
        <v>2.8685111748359402</v>
      </c>
      <c r="AG295">
        <v>-1.112476</v>
      </c>
      <c r="AH295">
        <v>98.073354822780999</v>
      </c>
      <c r="AI295">
        <v>90.649617857919097</v>
      </c>
      <c r="AJ295">
        <v>88.324654632760996</v>
      </c>
      <c r="AK295">
        <v>98.121602541977694</v>
      </c>
      <c r="AL295">
        <v>92.101686307625698</v>
      </c>
      <c r="AM295">
        <v>93.532209021281304</v>
      </c>
      <c r="AN295">
        <v>0.99999998515280997</v>
      </c>
    </row>
    <row r="296" spans="1:40" x14ac:dyDescent="0.25">
      <c r="A296" t="str">
        <f>"20190305135202898"</f>
        <v>20190305135202898</v>
      </c>
      <c r="B296" t="str">
        <f>"1551765122889568"</f>
        <v>1551765122889568</v>
      </c>
      <c r="C296" t="s">
        <v>40</v>
      </c>
      <c r="D296">
        <v>4.5121729999999998</v>
      </c>
      <c r="E296">
        <v>0.53458339999999904</v>
      </c>
      <c r="F296" t="s">
        <v>47</v>
      </c>
      <c r="G296">
        <v>-292.30329999999998</v>
      </c>
      <c r="H296">
        <v>-0.05</v>
      </c>
      <c r="I296">
        <v>365.44749999999999</v>
      </c>
      <c r="J296">
        <v>-399.04500000000002</v>
      </c>
      <c r="K296">
        <v>1.0631349999999999</v>
      </c>
      <c r="L296">
        <v>367.57600000000002</v>
      </c>
      <c r="M296">
        <v>0.99987360000000003</v>
      </c>
      <c r="N296">
        <v>-1.2895810000000001E-2</v>
      </c>
      <c r="O296">
        <v>9.2928179999999996E-3</v>
      </c>
      <c r="P296">
        <v>0.99621919999999997</v>
      </c>
      <c r="Q296">
        <v>-4.9385499999999999E-2</v>
      </c>
      <c r="R296">
        <v>7.1471670000000001E-2</v>
      </c>
      <c r="S296">
        <v>3.0141300000000002</v>
      </c>
      <c r="T296">
        <v>-3.1344289999999997E-2</v>
      </c>
      <c r="U296">
        <v>-5.9906010000000003E-2</v>
      </c>
      <c r="V296">
        <v>-6.2190530000000001E-2</v>
      </c>
      <c r="W296">
        <v>-3.6559590000000003E-2</v>
      </c>
      <c r="X296">
        <v>0.99739449999999996</v>
      </c>
      <c r="Y296">
        <v>2.9158480000000001E-2</v>
      </c>
      <c r="Z296">
        <v>-3.1643630000000001E-4</v>
      </c>
      <c r="AA296">
        <v>0.99957479999999999</v>
      </c>
      <c r="AB296">
        <v>41</v>
      </c>
      <c r="AC296">
        <v>106.74169999999999</v>
      </c>
      <c r="AD296">
        <v>-1.113135</v>
      </c>
      <c r="AE296">
        <v>-2.1284999999999701</v>
      </c>
      <c r="AF296">
        <v>3.1200826489035398</v>
      </c>
      <c r="AG296">
        <v>-1.113135</v>
      </c>
      <c r="AH296">
        <v>106.705709221077</v>
      </c>
      <c r="AI296">
        <v>90.597422392762098</v>
      </c>
      <c r="AJ296">
        <v>88.325144481353107</v>
      </c>
      <c r="AK296">
        <v>106.757118571256</v>
      </c>
      <c r="AL296">
        <v>92.095177064612301</v>
      </c>
      <c r="AM296">
        <v>93.5679440611828</v>
      </c>
      <c r="AN296">
        <v>1.00000002713644</v>
      </c>
    </row>
    <row r="297" spans="1:40" x14ac:dyDescent="0.25">
      <c r="A297" t="str">
        <f>"20190305135202916"</f>
        <v>20190305135202916</v>
      </c>
      <c r="B297" t="str">
        <f>"1551765122910065"</f>
        <v>1551765122910065</v>
      </c>
      <c r="C297" t="s">
        <v>40</v>
      </c>
      <c r="D297">
        <v>4.4935179999999999</v>
      </c>
      <c r="E297">
        <v>0.53456269999999995</v>
      </c>
      <c r="F297" t="s">
        <v>47</v>
      </c>
      <c r="G297">
        <v>-276.55439999999999</v>
      </c>
      <c r="H297">
        <v>-0.05</v>
      </c>
      <c r="I297">
        <v>365.17880000000002</v>
      </c>
      <c r="J297">
        <v>-398.72199999999998</v>
      </c>
      <c r="K297">
        <v>1.064171</v>
      </c>
      <c r="L297">
        <v>367.57909999999998</v>
      </c>
      <c r="M297">
        <v>0.99989340000000004</v>
      </c>
      <c r="N297">
        <v>-1.1216540000000001E-2</v>
      </c>
      <c r="O297">
        <v>9.3507829999999997E-3</v>
      </c>
      <c r="P297">
        <v>0.99628320000000004</v>
      </c>
      <c r="Q297">
        <v>-4.7041039999999999E-2</v>
      </c>
      <c r="R297">
        <v>7.2158739999999999E-2</v>
      </c>
      <c r="S297">
        <v>3.0142519999999999</v>
      </c>
      <c r="T297">
        <v>-2.7392030000000001E-2</v>
      </c>
      <c r="U297">
        <v>-5.8990479999999998E-2</v>
      </c>
      <c r="V297">
        <v>-6.2824130000000006E-2</v>
      </c>
      <c r="W297">
        <v>-3.5882530000000003E-2</v>
      </c>
      <c r="X297">
        <v>0.99737940000000003</v>
      </c>
      <c r="Y297">
        <v>2.8912819999999999E-2</v>
      </c>
      <c r="Z297">
        <v>-2.7362689999999999E-4</v>
      </c>
      <c r="AA297">
        <v>0.99958190000000002</v>
      </c>
      <c r="AB297">
        <v>41</v>
      </c>
      <c r="AC297">
        <v>122.16759999999999</v>
      </c>
      <c r="AD297">
        <v>-1.114171</v>
      </c>
      <c r="AE297">
        <v>-2.4002999999999499</v>
      </c>
      <c r="AF297">
        <v>3.5423350785177501</v>
      </c>
      <c r="AG297">
        <v>-1.114171</v>
      </c>
      <c r="AH297">
        <v>122.129657936174</v>
      </c>
      <c r="AI297">
        <v>90.522466802919695</v>
      </c>
      <c r="AJ297">
        <v>88.338618427388397</v>
      </c>
      <c r="AK297">
        <v>122.186099301158</v>
      </c>
      <c r="AL297">
        <v>92.056358870353293</v>
      </c>
      <c r="AM297">
        <v>93.604253526438598</v>
      </c>
      <c r="AN297">
        <v>1.0000000474069</v>
      </c>
    </row>
    <row r="298" spans="1:40" x14ac:dyDescent="0.25">
      <c r="A298" t="str">
        <f>"20190305135202929"</f>
        <v>20190305135202929</v>
      </c>
      <c r="B298" t="str">
        <f>"1551765122919825"</f>
        <v>1551765122919825</v>
      </c>
      <c r="C298" t="s">
        <v>40</v>
      </c>
      <c r="D298">
        <v>4.4964810000000002</v>
      </c>
      <c r="E298">
        <v>0.53453169999999905</v>
      </c>
      <c r="F298" t="s">
        <v>42</v>
      </c>
      <c r="G298">
        <v>-253.6934</v>
      </c>
      <c r="H298" s="1">
        <v>-3.5341620000000002E-6</v>
      </c>
      <c r="I298">
        <v>364.84500000000003</v>
      </c>
      <c r="J298">
        <v>-398.48820000000001</v>
      </c>
      <c r="K298">
        <v>1.0650250000000001</v>
      </c>
      <c r="L298">
        <v>367.5813</v>
      </c>
      <c r="M298">
        <v>0.99990400000000002</v>
      </c>
      <c r="N298">
        <v>-1.020268E-2</v>
      </c>
      <c r="O298">
        <v>9.3881750000000003E-3</v>
      </c>
      <c r="P298">
        <v>0.99632220000000005</v>
      </c>
      <c r="Q298">
        <v>-4.5851629999999997E-2</v>
      </c>
      <c r="R298">
        <v>7.2389620000000002E-2</v>
      </c>
      <c r="S298">
        <v>3.0142820000000001</v>
      </c>
      <c r="T298">
        <v>-2.2117850000000001E-2</v>
      </c>
      <c r="U298">
        <v>-5.6823730000000003E-2</v>
      </c>
      <c r="V298">
        <v>-6.3020480000000004E-2</v>
      </c>
      <c r="W298">
        <v>-3.5698680000000003E-2</v>
      </c>
      <c r="X298">
        <v>0.99737359999999997</v>
      </c>
      <c r="Y298">
        <v>2.8232460000000001E-2</v>
      </c>
      <c r="Z298">
        <v>-2.2071760000000001E-4</v>
      </c>
      <c r="AA298">
        <v>0.99960139999999997</v>
      </c>
      <c r="AB298">
        <v>41</v>
      </c>
      <c r="AC298">
        <v>144.79480000000001</v>
      </c>
      <c r="AD298">
        <v>-1.0650285341620001</v>
      </c>
      <c r="AE298">
        <v>-2.7362999999999702</v>
      </c>
      <c r="AF298">
        <v>4.0953874215531503</v>
      </c>
      <c r="AG298">
        <v>-1.0650285341620001</v>
      </c>
      <c r="AH298">
        <v>144.75489925755099</v>
      </c>
      <c r="AI298">
        <v>90.421375259347201</v>
      </c>
      <c r="AJ298">
        <v>88.379427297979703</v>
      </c>
      <c r="AK298">
        <v>144.816737095458</v>
      </c>
      <c r="AL298">
        <v>92.045818309195596</v>
      </c>
      <c r="AM298">
        <v>93.615509365938095</v>
      </c>
      <c r="AN298">
        <v>1.0000000373150599</v>
      </c>
    </row>
    <row r="299" spans="1:40" x14ac:dyDescent="0.25">
      <c r="A299" t="str">
        <f>"20190305135202940"</f>
        <v>20190305135202940</v>
      </c>
      <c r="B299" t="str">
        <f>"1551765122929585"</f>
        <v>1551765122929585</v>
      </c>
      <c r="C299" t="s">
        <v>40</v>
      </c>
      <c r="D299">
        <v>4.4874879999999999</v>
      </c>
      <c r="E299">
        <v>0.53453619999999902</v>
      </c>
      <c r="F299" t="s">
        <v>42</v>
      </c>
      <c r="G299">
        <v>-233.87559999999999</v>
      </c>
      <c r="H299" s="1">
        <v>-3.5143430000000001E-6</v>
      </c>
      <c r="I299">
        <v>364.51639999999998</v>
      </c>
      <c r="J299">
        <v>-398.27289999999999</v>
      </c>
      <c r="K299">
        <v>1.065936</v>
      </c>
      <c r="L299">
        <v>367.58339999999998</v>
      </c>
      <c r="M299">
        <v>0.99990970000000001</v>
      </c>
      <c r="N299">
        <v>-9.5921979999999997E-3</v>
      </c>
      <c r="O299">
        <v>9.4157909999999997E-3</v>
      </c>
      <c r="P299">
        <v>0.99636979999999997</v>
      </c>
      <c r="Q299">
        <v>-4.5140670000000001E-2</v>
      </c>
      <c r="R299">
        <v>7.2178740000000005E-2</v>
      </c>
      <c r="S299">
        <v>3.0142519999999999</v>
      </c>
      <c r="T299">
        <v>-1.9501919999999999E-2</v>
      </c>
      <c r="U299">
        <v>-5.6121829999999998E-2</v>
      </c>
      <c r="V299">
        <v>-6.2784350000000003E-2</v>
      </c>
      <c r="W299">
        <v>-3.5591190000000002E-2</v>
      </c>
      <c r="X299">
        <v>0.99739230000000001</v>
      </c>
      <c r="Y299">
        <v>2.802787E-2</v>
      </c>
      <c r="Z299">
        <v>-1.957049E-4</v>
      </c>
      <c r="AA299">
        <v>0.99960709999999997</v>
      </c>
      <c r="AB299">
        <v>41</v>
      </c>
      <c r="AC299">
        <v>164.3973</v>
      </c>
      <c r="AD299">
        <v>-1.0659395143429999</v>
      </c>
      <c r="AE299">
        <v>-3.0670000000000002</v>
      </c>
      <c r="AF299">
        <v>4.6146718666141204</v>
      </c>
      <c r="AG299">
        <v>-1.0659395143429999</v>
      </c>
      <c r="AH299">
        <v>164.354224859005</v>
      </c>
      <c r="AI299">
        <v>90.371447223523205</v>
      </c>
      <c r="AJ299">
        <v>88.391694679584802</v>
      </c>
      <c r="AK299">
        <v>164.42245178955599</v>
      </c>
      <c r="AL299">
        <v>92.039655738312703</v>
      </c>
      <c r="AM299">
        <v>93.6019308727316</v>
      </c>
      <c r="AN299">
        <v>1.0000000037549099</v>
      </c>
    </row>
    <row r="300" spans="1:40" x14ac:dyDescent="0.25">
      <c r="A300" t="str">
        <f>"20190305135202953"</f>
        <v>20190305135202953</v>
      </c>
      <c r="B300" t="str">
        <f>"1551765122950082"</f>
        <v>1551765122950082</v>
      </c>
      <c r="C300" t="s">
        <v>40</v>
      </c>
      <c r="D300">
        <v>4.5002550000000001</v>
      </c>
      <c r="E300">
        <v>0.53463989999999995</v>
      </c>
      <c r="F300" t="s">
        <v>42</v>
      </c>
      <c r="G300">
        <v>-222.42529999999999</v>
      </c>
      <c r="H300" s="1">
        <v>-4.1792300000000001E-6</v>
      </c>
      <c r="I300">
        <v>364.27539999999999</v>
      </c>
      <c r="J300">
        <v>-398.05869999999999</v>
      </c>
      <c r="K300">
        <v>1.0670489999999999</v>
      </c>
      <c r="L300">
        <v>367.58539999999999</v>
      </c>
      <c r="M300">
        <v>0.99991229999999998</v>
      </c>
      <c r="N300">
        <v>-9.3055959999999993E-3</v>
      </c>
      <c r="O300">
        <v>9.4340859999999995E-3</v>
      </c>
      <c r="P300">
        <v>0.99639670000000002</v>
      </c>
      <c r="Q300">
        <v>-4.4678000000000002E-2</v>
      </c>
      <c r="R300">
        <v>7.2097530000000007E-2</v>
      </c>
      <c r="S300">
        <v>3.0142519999999999</v>
      </c>
      <c r="T300">
        <v>-1.8271570000000001E-2</v>
      </c>
      <c r="U300">
        <v>-5.6701660000000001E-2</v>
      </c>
      <c r="V300">
        <v>-6.268775E-2</v>
      </c>
      <c r="W300">
        <v>-3.5409709999999997E-2</v>
      </c>
      <c r="X300">
        <v>0.99740479999999998</v>
      </c>
      <c r="Y300">
        <v>2.8238490000000002E-2</v>
      </c>
      <c r="Z300">
        <v>-1.8638260000000001E-4</v>
      </c>
      <c r="AA300">
        <v>0.99960119999999997</v>
      </c>
      <c r="AB300">
        <v>41</v>
      </c>
      <c r="AC300">
        <v>175.63339999999999</v>
      </c>
      <c r="AD300">
        <v>-1.06705317923</v>
      </c>
      <c r="AE300">
        <v>-3.31</v>
      </c>
      <c r="AF300">
        <v>4.96668160127245</v>
      </c>
      <c r="AG300">
        <v>-1.06705317923</v>
      </c>
      <c r="AH300">
        <v>175.58787626282</v>
      </c>
      <c r="AI300">
        <v>90.348044807452894</v>
      </c>
      <c r="AJ300">
        <v>88.379762647996301</v>
      </c>
      <c r="AK300">
        <v>175.66134696939699</v>
      </c>
      <c r="AL300">
        <v>92.029251213793103</v>
      </c>
      <c r="AM300">
        <v>93.596358544562904</v>
      </c>
      <c r="AN300">
        <v>0.999999968312692</v>
      </c>
    </row>
    <row r="301" spans="1:40" x14ac:dyDescent="0.25">
      <c r="A301" t="str">
        <f>"20190305135202972"</f>
        <v>20190305135202972</v>
      </c>
      <c r="B301" t="str">
        <f>"1551765122959842"</f>
        <v>1551765122959842</v>
      </c>
      <c r="C301" t="s">
        <v>40</v>
      </c>
      <c r="D301">
        <v>4.5765219999999998</v>
      </c>
      <c r="E301">
        <v>0.53463989999999995</v>
      </c>
      <c r="F301" t="s">
        <v>42</v>
      </c>
      <c r="G301">
        <v>-217.4795</v>
      </c>
      <c r="H301" s="1">
        <v>-2.307525E-6</v>
      </c>
      <c r="I301">
        <v>364.11529999999999</v>
      </c>
      <c r="J301">
        <v>-397.70710000000003</v>
      </c>
      <c r="K301">
        <v>1.06921</v>
      </c>
      <c r="L301">
        <v>367.58870000000002</v>
      </c>
      <c r="M301">
        <v>0.99991289999999999</v>
      </c>
      <c r="N301">
        <v>-9.2279800000000002E-3</v>
      </c>
      <c r="O301">
        <v>9.4457380000000004E-3</v>
      </c>
      <c r="P301">
        <v>0.99646679999999999</v>
      </c>
      <c r="Q301">
        <v>-4.3886769999999999E-2</v>
      </c>
      <c r="R301">
        <v>7.1610750000000001E-2</v>
      </c>
      <c r="S301">
        <v>3.014221</v>
      </c>
      <c r="T301">
        <v>-1.7811179999999999E-2</v>
      </c>
      <c r="U301">
        <v>-5.7922359999999999E-2</v>
      </c>
      <c r="V301">
        <v>-6.2191839999999998E-2</v>
      </c>
      <c r="W301">
        <v>-3.468914E-2</v>
      </c>
      <c r="X301">
        <v>0.99746120000000005</v>
      </c>
      <c r="Y301">
        <v>2.8655030000000001E-2</v>
      </c>
      <c r="Z301">
        <v>-1.855374E-4</v>
      </c>
      <c r="AA301">
        <v>0.99958930000000001</v>
      </c>
      <c r="AB301">
        <v>41</v>
      </c>
      <c r="AC301">
        <v>180.2276</v>
      </c>
      <c r="AD301">
        <v>-1.069212307525</v>
      </c>
      <c r="AE301">
        <v>-3.4734000000000198</v>
      </c>
      <c r="AF301">
        <v>5.1755179657341097</v>
      </c>
      <c r="AG301">
        <v>-1.069212307525</v>
      </c>
      <c r="AH301">
        <v>180.18040962836699</v>
      </c>
      <c r="AI301">
        <v>90.339855912473396</v>
      </c>
      <c r="AJ301">
        <v>88.354683382424099</v>
      </c>
      <c r="AK301">
        <v>180.25789640129</v>
      </c>
      <c r="AL301">
        <v>91.987940139559896</v>
      </c>
      <c r="AM301">
        <v>93.567781046971703</v>
      </c>
      <c r="AN301">
        <v>1.0000000034509799</v>
      </c>
    </row>
    <row r="302" spans="1:40" x14ac:dyDescent="0.25">
      <c r="A302" t="str">
        <f>"20190305135202983"</f>
        <v>20190305135202983</v>
      </c>
      <c r="B302" t="str">
        <f>"1551765122980337"</f>
        <v>1551765122980337</v>
      </c>
      <c r="C302" t="s">
        <v>40</v>
      </c>
      <c r="D302">
        <v>4.5605520000000004</v>
      </c>
      <c r="E302">
        <v>0.52010440000000002</v>
      </c>
      <c r="F302" t="s">
        <v>52</v>
      </c>
      <c r="G302">
        <v>-190.4562</v>
      </c>
      <c r="H302" s="1">
        <v>-6.3989989999999998E-6</v>
      </c>
      <c r="I302">
        <v>363.51159999999999</v>
      </c>
      <c r="J302">
        <v>-397.49160000000001</v>
      </c>
      <c r="K302">
        <v>1.0706800000000001</v>
      </c>
      <c r="L302">
        <v>367.59059999999999</v>
      </c>
      <c r="M302">
        <v>0.99991249999999998</v>
      </c>
      <c r="N302">
        <v>-9.2733190000000004E-3</v>
      </c>
      <c r="O302">
        <v>9.4407780000000004E-3</v>
      </c>
      <c r="P302">
        <v>0.99652249999999998</v>
      </c>
      <c r="Q302">
        <v>-4.3248439999999999E-2</v>
      </c>
      <c r="R302">
        <v>7.1223289999999995E-2</v>
      </c>
      <c r="S302">
        <v>3.014221</v>
      </c>
      <c r="T302">
        <v>-1.555049E-2</v>
      </c>
      <c r="U302">
        <v>-5.9295649999999998E-2</v>
      </c>
      <c r="V302">
        <v>-6.1810879999999999E-2</v>
      </c>
      <c r="W302">
        <v>-3.4002129999999998E-2</v>
      </c>
      <c r="X302">
        <v>0.99750850000000002</v>
      </c>
      <c r="Y302">
        <v>2.910548E-2</v>
      </c>
      <c r="Z302">
        <v>-1.7120189999999901E-4</v>
      </c>
      <c r="AA302">
        <v>0.99957629999999997</v>
      </c>
      <c r="AB302">
        <v>41</v>
      </c>
      <c r="AC302">
        <v>207.03540000000001</v>
      </c>
      <c r="AD302">
        <v>-1.0706863989990001</v>
      </c>
      <c r="AE302">
        <v>-4.0789999999999997</v>
      </c>
      <c r="AF302">
        <v>6.0333160762816203</v>
      </c>
      <c r="AG302">
        <v>-1.0706863989990001</v>
      </c>
      <c r="AH302">
        <v>206.98212856305199</v>
      </c>
      <c r="AI302">
        <v>90.2962536948626</v>
      </c>
      <c r="AJ302">
        <v>88.330359750690306</v>
      </c>
      <c r="AK302">
        <v>207.072810423612</v>
      </c>
      <c r="AL302">
        <v>91.948554196099394</v>
      </c>
      <c r="AM302">
        <v>93.545814600839606</v>
      </c>
      <c r="AN302">
        <v>0.99999996865158003</v>
      </c>
    </row>
    <row r="303" spans="1:40" x14ac:dyDescent="0.25">
      <c r="A303" t="str">
        <f>"20190305135202995"</f>
        <v>20190305135202995</v>
      </c>
      <c r="B303" t="str">
        <f>"1551765122990097"</f>
        <v>1551765122990097</v>
      </c>
      <c r="C303" t="s">
        <v>40</v>
      </c>
      <c r="D303">
        <v>4.5738079999999997</v>
      </c>
      <c r="E303">
        <v>0.52021279999999903</v>
      </c>
      <c r="F303" t="s">
        <v>42</v>
      </c>
      <c r="G303">
        <v>-375.77760000000001</v>
      </c>
      <c r="H303" s="1">
        <v>-2.0845110000000002E-6</v>
      </c>
      <c r="I303">
        <v>367.97710000000001</v>
      </c>
      <c r="J303">
        <v>-397.28289999999998</v>
      </c>
      <c r="K303">
        <v>1.072184</v>
      </c>
      <c r="L303">
        <v>367.5926</v>
      </c>
      <c r="M303">
        <v>0.99991359999999996</v>
      </c>
      <c r="N303">
        <v>-9.1773099999999993E-3</v>
      </c>
      <c r="O303">
        <v>9.4152019999999993E-3</v>
      </c>
      <c r="P303">
        <v>0.99654920000000002</v>
      </c>
      <c r="Q303">
        <v>-4.3416650000000001E-2</v>
      </c>
      <c r="R303">
        <v>7.0743959999999995E-2</v>
      </c>
      <c r="S303">
        <v>3.0002749999999998</v>
      </c>
      <c r="T303">
        <v>-0.14793799999999999</v>
      </c>
      <c r="U303">
        <v>5.3405759999999997E-2</v>
      </c>
      <c r="V303">
        <v>-6.1357500000000002E-2</v>
      </c>
      <c r="W303">
        <v>-3.4263849999999998E-2</v>
      </c>
      <c r="X303">
        <v>0.99752750000000001</v>
      </c>
      <c r="Y303">
        <v>-8.3780790000000001E-3</v>
      </c>
      <c r="Z303">
        <v>-1.326639E-4</v>
      </c>
      <c r="AA303">
        <v>0.99996490000000005</v>
      </c>
      <c r="AB303">
        <v>41</v>
      </c>
      <c r="AC303">
        <v>21.505299999999899</v>
      </c>
      <c r="AD303">
        <v>-1.0721860845110001</v>
      </c>
      <c r="AE303">
        <v>0.38450000000000201</v>
      </c>
      <c r="AF303">
        <v>-0.18154656630369201</v>
      </c>
      <c r="AG303">
        <v>-1.0721860845110001</v>
      </c>
      <c r="AH303">
        <v>21.454654150249201</v>
      </c>
      <c r="AI303">
        <v>92.860846828172996</v>
      </c>
      <c r="AJ303">
        <v>90.484818058736096</v>
      </c>
      <c r="AK303">
        <v>21.4821955782541</v>
      </c>
      <c r="AL303">
        <v>91.963558459553994</v>
      </c>
      <c r="AM303">
        <v>93.519804966185703</v>
      </c>
      <c r="AN303">
        <v>0.99999993373965901</v>
      </c>
    </row>
    <row r="304" spans="1:40" x14ac:dyDescent="0.25">
      <c r="A304" t="str">
        <f>"20190305135203008"</f>
        <v>20190305135203008</v>
      </c>
      <c r="B304" t="str">
        <f>"1551765122999857"</f>
        <v>1551765122999857</v>
      </c>
      <c r="C304" t="s">
        <v>40</v>
      </c>
      <c r="D304">
        <v>4.5898459999999996</v>
      </c>
      <c r="E304">
        <v>0.51954160000000005</v>
      </c>
      <c r="F304" t="s">
        <v>42</v>
      </c>
      <c r="G304">
        <v>-376.08819999999997</v>
      </c>
      <c r="H304" s="1">
        <v>-1.955503E-6</v>
      </c>
      <c r="I304">
        <v>367.9529</v>
      </c>
      <c r="J304">
        <v>-397.04599999999999</v>
      </c>
      <c r="K304">
        <v>1.0739110000000001</v>
      </c>
      <c r="L304">
        <v>367.59480000000002</v>
      </c>
      <c r="M304">
        <v>0.9999152</v>
      </c>
      <c r="N304">
        <v>-9.0293070000000003E-3</v>
      </c>
      <c r="O304">
        <v>9.3786600000000005E-3</v>
      </c>
      <c r="P304">
        <v>0.99659500000000001</v>
      </c>
      <c r="Q304">
        <v>-4.3328230000000002E-2</v>
      </c>
      <c r="R304">
        <v>7.0150260000000006E-2</v>
      </c>
      <c r="S304">
        <v>3.0001530000000001</v>
      </c>
      <c r="T304">
        <v>-0.15176999999999999</v>
      </c>
      <c r="U304">
        <v>5.1025389999999997E-2</v>
      </c>
      <c r="V304">
        <v>-6.0801330000000001E-2</v>
      </c>
      <c r="W304">
        <v>-3.4320719999999999E-2</v>
      </c>
      <c r="X304">
        <v>0.99755970000000005</v>
      </c>
      <c r="Y304">
        <v>-7.623309E-3</v>
      </c>
      <c r="Z304">
        <v>-1.6232329999999999E-4</v>
      </c>
      <c r="AA304">
        <v>0.9999709</v>
      </c>
      <c r="AB304">
        <v>41</v>
      </c>
      <c r="AC304">
        <v>20.957799999999999</v>
      </c>
      <c r="AD304">
        <v>-1.073912955503</v>
      </c>
      <c r="AE304">
        <v>0.35809999999997899</v>
      </c>
      <c r="AF304">
        <v>-0.16109727415222899</v>
      </c>
      <c r="AG304">
        <v>-1.073912955503</v>
      </c>
      <c r="AH304">
        <v>20.905361425257901</v>
      </c>
      <c r="AI304">
        <v>92.940624547714293</v>
      </c>
      <c r="AJ304">
        <v>90.441514069700503</v>
      </c>
      <c r="AK304">
        <v>20.933546705907201</v>
      </c>
      <c r="AL304">
        <v>91.966818590448298</v>
      </c>
      <c r="AM304">
        <v>93.487866800998304</v>
      </c>
      <c r="AN304">
        <v>1.0000000343075801</v>
      </c>
    </row>
    <row r="305" spans="1:40" x14ac:dyDescent="0.25">
      <c r="A305" t="str">
        <f>"20190305135203031"</f>
        <v>20190305135203031</v>
      </c>
      <c r="B305" t="str">
        <f>"1551765123020353"</f>
        <v>1551765123020353</v>
      </c>
      <c r="C305" t="s">
        <v>40</v>
      </c>
      <c r="D305">
        <v>4.5373419999999998</v>
      </c>
      <c r="E305">
        <v>0.51913390000000004</v>
      </c>
      <c r="F305" t="s">
        <v>42</v>
      </c>
      <c r="G305">
        <v>-376.61590000000001</v>
      </c>
      <c r="H305" s="1">
        <v>-1.7268370000000001E-6</v>
      </c>
      <c r="I305">
        <v>367.96589999999998</v>
      </c>
      <c r="J305">
        <v>-396.63929999999999</v>
      </c>
      <c r="K305">
        <v>1.0770029999999999</v>
      </c>
      <c r="L305">
        <v>367.59840000000003</v>
      </c>
      <c r="M305">
        <v>0.999919</v>
      </c>
      <c r="N305">
        <v>-8.7029220000000001E-3</v>
      </c>
      <c r="O305">
        <v>9.2886540000000004E-3</v>
      </c>
      <c r="P305">
        <v>0.99665890000000001</v>
      </c>
      <c r="Q305">
        <v>-4.38406E-2</v>
      </c>
      <c r="R305">
        <v>6.8915390000000007E-2</v>
      </c>
      <c r="S305">
        <v>2.9995419999999999</v>
      </c>
      <c r="T305">
        <v>-0.15767129999999999</v>
      </c>
      <c r="U305">
        <v>5.450439E-2</v>
      </c>
      <c r="V305">
        <v>-5.9656519999999998E-2</v>
      </c>
      <c r="W305">
        <v>-3.5156149999999997E-2</v>
      </c>
      <c r="X305">
        <v>0.99759969999999998</v>
      </c>
      <c r="Y305">
        <v>-8.8742960000000003E-3</v>
      </c>
      <c r="Z305">
        <v>-1.3536709999999999E-4</v>
      </c>
      <c r="AA305">
        <v>0.99996059999999998</v>
      </c>
      <c r="AB305">
        <v>41</v>
      </c>
      <c r="AC305">
        <v>20.023399999999899</v>
      </c>
      <c r="AD305">
        <v>-1.077004726837</v>
      </c>
      <c r="AE305">
        <v>0.36749999999994998</v>
      </c>
      <c r="AF305">
        <v>-0.180963304726699</v>
      </c>
      <c r="AG305">
        <v>-1.077004726837</v>
      </c>
      <c r="AH305">
        <v>19.968199794701899</v>
      </c>
      <c r="AI305">
        <v>93.087186916492797</v>
      </c>
      <c r="AJ305">
        <v>90.519233074293396</v>
      </c>
      <c r="AK305">
        <v>19.9980421526813</v>
      </c>
      <c r="AL305">
        <v>92.014714163494702</v>
      </c>
      <c r="AM305">
        <v>93.422215491002902</v>
      </c>
      <c r="AN305">
        <v>1.0000000083507099</v>
      </c>
    </row>
    <row r="306" spans="1:40" x14ac:dyDescent="0.25">
      <c r="A306" t="str">
        <f>"20190305135203050"</f>
        <v>20190305135203050</v>
      </c>
      <c r="B306" t="str">
        <f>"1551765123039873"</f>
        <v>1551765123039873</v>
      </c>
      <c r="C306" t="s">
        <v>40</v>
      </c>
      <c r="D306">
        <v>4.5803699999999896</v>
      </c>
      <c r="E306">
        <v>0.51887429999999901</v>
      </c>
      <c r="F306" t="s">
        <v>42</v>
      </c>
      <c r="G306">
        <v>-377.56139999999999</v>
      </c>
      <c r="H306" s="1">
        <v>-1.325244E-6</v>
      </c>
      <c r="I306">
        <v>367.94319999999999</v>
      </c>
      <c r="J306">
        <v>-396.26710000000003</v>
      </c>
      <c r="K306">
        <v>1.079898</v>
      </c>
      <c r="L306">
        <v>367.60180000000003</v>
      </c>
      <c r="M306">
        <v>0.99992159999999997</v>
      </c>
      <c r="N306">
        <v>-8.5115169999999997E-3</v>
      </c>
      <c r="O306">
        <v>9.1942629999999994E-3</v>
      </c>
      <c r="P306">
        <v>0.99670959999999997</v>
      </c>
      <c r="Q306">
        <v>-4.4320909999999998E-2</v>
      </c>
      <c r="R306">
        <v>6.7867559999999993E-2</v>
      </c>
      <c r="S306">
        <v>2.9988709999999998</v>
      </c>
      <c r="T306">
        <v>-0.16929530000000001</v>
      </c>
      <c r="U306">
        <v>5.4199219999999999E-2</v>
      </c>
      <c r="V306">
        <v>-5.8703230000000002E-2</v>
      </c>
      <c r="W306">
        <v>-3.582577E-2</v>
      </c>
      <c r="X306">
        <v>0.99763239999999997</v>
      </c>
      <c r="Y306">
        <v>-8.8707019999999994E-3</v>
      </c>
      <c r="Z306">
        <v>-1.5241150000000001E-4</v>
      </c>
      <c r="AA306">
        <v>0.99996070000000004</v>
      </c>
      <c r="AB306">
        <v>41</v>
      </c>
      <c r="AC306">
        <v>18.7057</v>
      </c>
      <c r="AD306">
        <v>-1.0798993252439999</v>
      </c>
      <c r="AE306">
        <v>0.34139999999996401</v>
      </c>
      <c r="AF306">
        <v>-0.16883172199891899</v>
      </c>
      <c r="AG306">
        <v>-1.0798993252439999</v>
      </c>
      <c r="AH306">
        <v>18.645924540116901</v>
      </c>
      <c r="AI306">
        <v>93.314510052853706</v>
      </c>
      <c r="AJ306">
        <v>90.518777213256001</v>
      </c>
      <c r="AK306">
        <v>18.6779332009393</v>
      </c>
      <c r="AL306">
        <v>92.053104807619206</v>
      </c>
      <c r="AM306">
        <v>93.367546453115196</v>
      </c>
      <c r="AN306">
        <v>0.99999998026914205</v>
      </c>
    </row>
    <row r="307" spans="1:40" x14ac:dyDescent="0.25">
      <c r="A307" t="str">
        <f>"20190305135203063"</f>
        <v>20190305135203063</v>
      </c>
      <c r="B307" t="str">
        <f>"1551765123060370"</f>
        <v>1551765123060370</v>
      </c>
      <c r="C307" t="s">
        <v>40</v>
      </c>
      <c r="D307">
        <v>4.5929190000000002</v>
      </c>
      <c r="E307">
        <v>0.51860499999999998</v>
      </c>
      <c r="F307" t="s">
        <v>42</v>
      </c>
      <c r="G307">
        <v>-377.71510000000001</v>
      </c>
      <c r="H307" s="1">
        <v>-1.261725E-6</v>
      </c>
      <c r="I307">
        <v>367.92950000000002</v>
      </c>
      <c r="J307">
        <v>-396.03620000000001</v>
      </c>
      <c r="K307">
        <v>1.0817019999999999</v>
      </c>
      <c r="L307">
        <v>367.60390000000001</v>
      </c>
      <c r="M307">
        <v>0.99992250000000005</v>
      </c>
      <c r="N307">
        <v>-8.4683620000000001E-3</v>
      </c>
      <c r="O307">
        <v>9.1333019999999994E-3</v>
      </c>
      <c r="P307">
        <v>0.99675559999999996</v>
      </c>
      <c r="Q307">
        <v>-4.4348499999999999E-2</v>
      </c>
      <c r="R307">
        <v>6.7169290000000006E-2</v>
      </c>
      <c r="S307">
        <v>2.998535</v>
      </c>
      <c r="T307">
        <v>-0.17454220000000001</v>
      </c>
      <c r="U307">
        <v>5.2978520000000001E-2</v>
      </c>
      <c r="V307">
        <v>-5.8066100000000002E-2</v>
      </c>
      <c r="W307">
        <v>-3.5895410000000003E-2</v>
      </c>
      <c r="X307">
        <v>0.99766719999999998</v>
      </c>
      <c r="Y307">
        <v>-8.5271870000000003E-3</v>
      </c>
      <c r="Z307">
        <v>-1.69753499999999E-4</v>
      </c>
      <c r="AA307">
        <v>0.99996359999999995</v>
      </c>
      <c r="AB307">
        <v>41</v>
      </c>
      <c r="AC307">
        <v>18.321100000000001</v>
      </c>
      <c r="AD307">
        <v>-1.081703261725</v>
      </c>
      <c r="AE307">
        <v>0.32560000000000799</v>
      </c>
      <c r="AF307">
        <v>-0.15769874399540601</v>
      </c>
      <c r="AG307">
        <v>-1.081703261725</v>
      </c>
      <c r="AH307">
        <v>18.259678629339799</v>
      </c>
      <c r="AI307">
        <v>93.390113358183399</v>
      </c>
      <c r="AJ307">
        <v>90.494819652214503</v>
      </c>
      <c r="AK307">
        <v>18.292370390057499</v>
      </c>
      <c r="AL307">
        <v>92.057097419018405</v>
      </c>
      <c r="AM307">
        <v>93.330963926234404</v>
      </c>
      <c r="AN307">
        <v>0.99999999719205901</v>
      </c>
    </row>
    <row r="308" spans="1:40" x14ac:dyDescent="0.25">
      <c r="A308" t="str">
        <f>"20190305135203075"</f>
        <v>20190305135203075</v>
      </c>
      <c r="B308" t="str">
        <f>"1551765123070130"</f>
        <v>1551765123070130</v>
      </c>
      <c r="C308" t="s">
        <v>40</v>
      </c>
      <c r="D308">
        <v>4.5994619999999999</v>
      </c>
      <c r="E308">
        <v>0.51855289999999998</v>
      </c>
      <c r="F308" t="s">
        <v>42</v>
      </c>
      <c r="G308">
        <v>-377.94470000000001</v>
      </c>
      <c r="H308" s="1">
        <v>-1.164352E-6</v>
      </c>
      <c r="I308">
        <v>367.92340000000002</v>
      </c>
      <c r="J308">
        <v>-395.79829999999998</v>
      </c>
      <c r="K308">
        <v>1.083526</v>
      </c>
      <c r="L308">
        <v>367.60599999999999</v>
      </c>
      <c r="M308">
        <v>0.99992270000000005</v>
      </c>
      <c r="N308">
        <v>-8.5166489999999994E-3</v>
      </c>
      <c r="O308">
        <v>9.0699720000000008E-3</v>
      </c>
      <c r="P308">
        <v>0.99679329999999999</v>
      </c>
      <c r="Q308">
        <v>-4.4378319999999999E-2</v>
      </c>
      <c r="R308">
        <v>6.6586000000000006E-2</v>
      </c>
      <c r="S308">
        <v>2.99823</v>
      </c>
      <c r="T308">
        <v>-0.17926529999999999</v>
      </c>
      <c r="U308">
        <v>5.2948000000000002E-2</v>
      </c>
      <c r="V308">
        <v>-5.7546640000000003E-2</v>
      </c>
      <c r="W308">
        <v>-3.5876070000000003E-2</v>
      </c>
      <c r="X308">
        <v>0.99769799999999997</v>
      </c>
      <c r="Y308">
        <v>-8.5817849999999998E-3</v>
      </c>
      <c r="Z308">
        <v>-1.7168009999999999E-4</v>
      </c>
      <c r="AA308">
        <v>0.99996320000000005</v>
      </c>
      <c r="AB308">
        <v>41</v>
      </c>
      <c r="AC308">
        <v>17.853599999999901</v>
      </c>
      <c r="AD308">
        <v>-1.0835271643519999</v>
      </c>
      <c r="AE308">
        <v>0.31740000000002</v>
      </c>
      <c r="AF308">
        <v>-0.15487916054395801</v>
      </c>
      <c r="AG308">
        <v>-1.0835271643519999</v>
      </c>
      <c r="AH308">
        <v>17.7902397711172</v>
      </c>
      <c r="AI308">
        <v>93.485202952245999</v>
      </c>
      <c r="AJ308">
        <v>90.498795866036701</v>
      </c>
      <c r="AK308">
        <v>17.823878640298801</v>
      </c>
      <c r="AL308">
        <v>92.055988591087996</v>
      </c>
      <c r="AM308">
        <v>93.301129600033093</v>
      </c>
      <c r="AN308">
        <v>1.00000000368896</v>
      </c>
    </row>
    <row r="309" spans="1:40" x14ac:dyDescent="0.25">
      <c r="A309" t="str">
        <f>"20190305135203088"</f>
        <v>20190305135203088</v>
      </c>
      <c r="B309" t="str">
        <f>"1551765123079888"</f>
        <v>1551765123079888</v>
      </c>
      <c r="C309" t="s">
        <v>40</v>
      </c>
      <c r="D309">
        <v>4.5841949999999896</v>
      </c>
      <c r="E309">
        <v>0.51850339999999995</v>
      </c>
      <c r="F309" t="s">
        <v>42</v>
      </c>
      <c r="G309">
        <v>-377.84660000000002</v>
      </c>
      <c r="H309" s="1">
        <v>-1.208234E-6</v>
      </c>
      <c r="I309">
        <v>367.91309999999999</v>
      </c>
      <c r="J309">
        <v>-395.57150000000001</v>
      </c>
      <c r="K309">
        <v>1.0852360000000001</v>
      </c>
      <c r="L309">
        <v>367.60809999999998</v>
      </c>
      <c r="M309">
        <v>0.99992250000000005</v>
      </c>
      <c r="N309">
        <v>-8.599532E-3</v>
      </c>
      <c r="O309">
        <v>9.0096489999999998E-3</v>
      </c>
      <c r="P309">
        <v>0.99681900000000001</v>
      </c>
      <c r="Q309">
        <v>-4.403754E-2</v>
      </c>
      <c r="R309">
        <v>6.6427890000000003E-2</v>
      </c>
      <c r="S309">
        <v>2.9981990000000001</v>
      </c>
      <c r="T309">
        <v>-0.18096480000000001</v>
      </c>
      <c r="U309">
        <v>5.130005E-2</v>
      </c>
      <c r="V309">
        <v>-5.7448560000000003E-2</v>
      </c>
      <c r="W309">
        <v>-3.5451660000000003E-2</v>
      </c>
      <c r="X309">
        <v>0.99771880000000002</v>
      </c>
      <c r="Y309">
        <v>-8.0936500000000008E-3</v>
      </c>
      <c r="Z309">
        <v>-1.8697869999999999E-4</v>
      </c>
      <c r="AA309">
        <v>0.99996719999999895</v>
      </c>
      <c r="AB309">
        <v>41</v>
      </c>
      <c r="AC309">
        <v>17.724899999999899</v>
      </c>
      <c r="AD309">
        <v>-1.0852372082340001</v>
      </c>
      <c r="AE309">
        <v>0.30500000000000599</v>
      </c>
      <c r="AF309">
        <v>-0.14474415444028299</v>
      </c>
      <c r="AG309">
        <v>-1.0852372082340001</v>
      </c>
      <c r="AH309">
        <v>17.6607431831372</v>
      </c>
      <c r="AI309">
        <v>93.516236233115507</v>
      </c>
      <c r="AJ309">
        <v>90.469574999814796</v>
      </c>
      <c r="AK309">
        <v>17.694647225901601</v>
      </c>
      <c r="AL309">
        <v>92.031656256986395</v>
      </c>
      <c r="AM309">
        <v>93.295447156974404</v>
      </c>
      <c r="AN309">
        <v>0.99999998055813399</v>
      </c>
    </row>
    <row r="310" spans="1:40" x14ac:dyDescent="0.25">
      <c r="A310" t="str">
        <f>"20190305135203107"</f>
        <v>20190305135203107</v>
      </c>
      <c r="B310" t="str">
        <f>"1551765123100385"</f>
        <v>1551765123100385</v>
      </c>
      <c r="C310" t="s">
        <v>40</v>
      </c>
      <c r="D310">
        <v>4.5803589999999996</v>
      </c>
      <c r="E310">
        <v>0.51845459999999999</v>
      </c>
      <c r="F310" t="s">
        <v>42</v>
      </c>
      <c r="G310">
        <v>-377.61160000000001</v>
      </c>
      <c r="H310" s="1">
        <v>-1.3086419999999999E-6</v>
      </c>
      <c r="I310">
        <v>367.91550000000001</v>
      </c>
      <c r="J310">
        <v>-395.24439999999998</v>
      </c>
      <c r="K310">
        <v>1.0876170000000001</v>
      </c>
      <c r="L310">
        <v>367.61099999999999</v>
      </c>
      <c r="M310">
        <v>0.99992139999999996</v>
      </c>
      <c r="N310">
        <v>-8.8059699999999998E-3</v>
      </c>
      <c r="O310">
        <v>8.9231640000000008E-3</v>
      </c>
      <c r="P310">
        <v>0.99684609999999996</v>
      </c>
      <c r="Q310">
        <v>-4.4314159999999998E-2</v>
      </c>
      <c r="R310">
        <v>6.5833359999999994E-2</v>
      </c>
      <c r="S310">
        <v>2.998138</v>
      </c>
      <c r="T310">
        <v>-0.18116309999999999</v>
      </c>
      <c r="U310">
        <v>5.1330569999999999E-2</v>
      </c>
      <c r="V310">
        <v>-5.6940789999999998E-2</v>
      </c>
      <c r="W310">
        <v>-3.5521030000000002E-2</v>
      </c>
      <c r="X310">
        <v>0.99774549999999995</v>
      </c>
      <c r="Y310">
        <v>-8.1901760000000004E-3</v>
      </c>
      <c r="Z310">
        <v>-1.768184E-4</v>
      </c>
      <c r="AA310">
        <v>0.99996640000000003</v>
      </c>
      <c r="AB310">
        <v>41</v>
      </c>
      <c r="AC310">
        <v>17.6327999999999</v>
      </c>
      <c r="AD310">
        <v>-1.0876183086419999</v>
      </c>
      <c r="AE310">
        <v>0.30450000000001798</v>
      </c>
      <c r="AF310">
        <v>-0.14658387855643601</v>
      </c>
      <c r="AG310">
        <v>-1.0876183086419999</v>
      </c>
      <c r="AH310">
        <v>17.567995660254802</v>
      </c>
      <c r="AI310">
        <v>93.542484205006701</v>
      </c>
      <c r="AJ310">
        <v>90.478053550036293</v>
      </c>
      <c r="AK310">
        <v>17.602240537428099</v>
      </c>
      <c r="AL310">
        <v>92.035633249269793</v>
      </c>
      <c r="AM310">
        <v>93.266295851118102</v>
      </c>
      <c r="AN310">
        <v>1.00000003995416</v>
      </c>
    </row>
    <row r="311" spans="1:40" x14ac:dyDescent="0.25">
      <c r="A311" t="str">
        <f>"20190305135203118"</f>
        <v>20190305135203118</v>
      </c>
      <c r="B311" t="str">
        <f>"1551765123110145"</f>
        <v>1551765123110145</v>
      </c>
      <c r="C311" t="s">
        <v>40</v>
      </c>
      <c r="D311">
        <v>4.6122909999999999</v>
      </c>
      <c r="E311">
        <v>0.51844570000000001</v>
      </c>
      <c r="F311" t="s">
        <v>41</v>
      </c>
      <c r="G311">
        <v>-394.17110000000002</v>
      </c>
      <c r="H311">
        <v>1.022222</v>
      </c>
      <c r="I311">
        <v>367.62860000000001</v>
      </c>
      <c r="J311">
        <v>-395.01609999999999</v>
      </c>
      <c r="K311">
        <v>1.0891820000000001</v>
      </c>
      <c r="L311">
        <v>367.61290000000002</v>
      </c>
      <c r="M311">
        <v>0.99992020000000004</v>
      </c>
      <c r="N311">
        <v>-8.9980800000000003E-3</v>
      </c>
      <c r="O311">
        <v>8.8639789999999993E-3</v>
      </c>
      <c r="P311">
        <v>0.99682530000000003</v>
      </c>
      <c r="Q311">
        <v>-4.471004E-2</v>
      </c>
      <c r="R311">
        <v>6.5878549999999994E-2</v>
      </c>
      <c r="S311">
        <v>2.9981080000000002</v>
      </c>
      <c r="T311">
        <v>-0.18283089999999999</v>
      </c>
      <c r="U311">
        <v>4.9896240000000001E-2</v>
      </c>
      <c r="V311">
        <v>-5.7045510000000001E-2</v>
      </c>
      <c r="W311">
        <v>-3.572446E-2</v>
      </c>
      <c r="X311">
        <v>0.99773219999999996</v>
      </c>
      <c r="Y311">
        <v>-7.7719009999999899E-3</v>
      </c>
      <c r="Z311">
        <v>-1.8855219999999999E-4</v>
      </c>
      <c r="AA311">
        <v>0.99996980000000002</v>
      </c>
      <c r="AB311">
        <v>41</v>
      </c>
      <c r="AC311">
        <v>0.84499999999997</v>
      </c>
      <c r="AD311">
        <v>-6.6959999999999895E-2</v>
      </c>
      <c r="AE311">
        <v>1.5699999999981101E-2</v>
      </c>
      <c r="AF311">
        <v>-8.1578090647283896E-3</v>
      </c>
      <c r="AG311">
        <v>-6.6959999999999895E-2</v>
      </c>
      <c r="AH311">
        <v>0.83983414447576199</v>
      </c>
      <c r="AI311">
        <v>94.558336914273596</v>
      </c>
      <c r="AJ311">
        <v>90.556530515928003</v>
      </c>
      <c r="AK311">
        <v>0.84253877161592505</v>
      </c>
      <c r="AL311">
        <v>92.047296444089099</v>
      </c>
      <c r="AM311">
        <v>93.272333390366498</v>
      </c>
      <c r="AN311">
        <v>0.99999998508514498</v>
      </c>
    </row>
    <row r="312" spans="1:40" x14ac:dyDescent="0.25">
      <c r="A312" t="str">
        <f>"20190305135203131"</f>
        <v>20190305135203131</v>
      </c>
      <c r="B312" t="str">
        <f>"1551765123119905"</f>
        <v>1551765123119905</v>
      </c>
      <c r="C312" t="s">
        <v>40</v>
      </c>
      <c r="D312">
        <v>4.6163239999999996</v>
      </c>
      <c r="E312">
        <v>0.51841939999999997</v>
      </c>
      <c r="F312" t="s">
        <v>42</v>
      </c>
      <c r="G312">
        <v>-377.38249999999999</v>
      </c>
      <c r="H312" s="1">
        <v>-1.4083309999999999E-6</v>
      </c>
      <c r="I312">
        <v>367.9076</v>
      </c>
      <c r="J312">
        <v>-394.78980000000001</v>
      </c>
      <c r="K312">
        <v>1.090676</v>
      </c>
      <c r="L312">
        <v>367.61489999999998</v>
      </c>
      <c r="M312">
        <v>0.99991890000000005</v>
      </c>
      <c r="N312">
        <v>-9.2040449999999992E-3</v>
      </c>
      <c r="O312">
        <v>8.8058990000000007E-3</v>
      </c>
      <c r="P312">
        <v>0.99684399999999995</v>
      </c>
      <c r="Q312">
        <v>-4.4676889999999997E-2</v>
      </c>
      <c r="R312">
        <v>6.5620390000000001E-2</v>
      </c>
      <c r="S312">
        <v>2.997925</v>
      </c>
      <c r="T312">
        <v>-0.1851729</v>
      </c>
      <c r="U312">
        <v>5.0109859999999999E-2</v>
      </c>
      <c r="V312">
        <v>-5.6845710000000001E-2</v>
      </c>
      <c r="W312">
        <v>-3.548478E-2</v>
      </c>
      <c r="X312">
        <v>0.99775219999999998</v>
      </c>
      <c r="Y312">
        <v>-7.9016739999999992E-3</v>
      </c>
      <c r="Z312">
        <v>-1.8217179999999999E-4</v>
      </c>
      <c r="AA312">
        <v>0.99996879999999999</v>
      </c>
      <c r="AB312">
        <v>41</v>
      </c>
      <c r="AC312">
        <v>17.407299999999999</v>
      </c>
      <c r="AD312">
        <v>-1.090677408331</v>
      </c>
      <c r="AE312">
        <v>0.292700000000024</v>
      </c>
      <c r="AF312">
        <v>-0.13885028992002299</v>
      </c>
      <c r="AG312">
        <v>-1.090677408331</v>
      </c>
      <c r="AH312">
        <v>17.341143735128998</v>
      </c>
      <c r="AI312">
        <v>93.598782849359395</v>
      </c>
      <c r="AJ312">
        <v>90.458756683527497</v>
      </c>
      <c r="AK312">
        <v>17.3759639345407</v>
      </c>
      <c r="AL312">
        <v>92.033554990481804</v>
      </c>
      <c r="AM312">
        <v>93.260831704720502</v>
      </c>
      <c r="AN312">
        <v>1.0000000284809401</v>
      </c>
    </row>
    <row r="313" spans="1:40" x14ac:dyDescent="0.25">
      <c r="A313" t="str">
        <f>"20190305135203143"</f>
        <v>20190305135203143</v>
      </c>
      <c r="B313" t="str">
        <f>"1551765123140401"</f>
        <v>1551765123140401</v>
      </c>
      <c r="C313" t="s">
        <v>40</v>
      </c>
      <c r="D313">
        <v>4.6139679999999998</v>
      </c>
      <c r="E313">
        <v>0.51841579999999998</v>
      </c>
      <c r="F313" t="s">
        <v>42</v>
      </c>
      <c r="G313">
        <v>-377.15190000000001</v>
      </c>
      <c r="H313" s="1">
        <v>-1.507242E-6</v>
      </c>
      <c r="I313">
        <v>367.90750000000003</v>
      </c>
      <c r="J313">
        <v>-394.56670000000003</v>
      </c>
      <c r="K313">
        <v>1.0920879999999999</v>
      </c>
      <c r="L313">
        <v>367.61689999999999</v>
      </c>
      <c r="M313">
        <v>0.99991739999999996</v>
      </c>
      <c r="N313">
        <v>-9.4220599999999995E-3</v>
      </c>
      <c r="O313">
        <v>8.749227E-3</v>
      </c>
      <c r="P313">
        <v>0.99683219999999995</v>
      </c>
      <c r="Q313">
        <v>-4.4904760000000002E-2</v>
      </c>
      <c r="R313">
        <v>6.5644359999999999E-2</v>
      </c>
      <c r="S313">
        <v>2.997986</v>
      </c>
      <c r="T313">
        <v>-0.1853871</v>
      </c>
      <c r="U313">
        <v>4.974365E-2</v>
      </c>
      <c r="V313">
        <v>-5.6927039999999998E-2</v>
      </c>
      <c r="W313">
        <v>-3.5494310000000001E-2</v>
      </c>
      <c r="X313">
        <v>0.99774719999999995</v>
      </c>
      <c r="Y313">
        <v>-7.8357830000000007E-3</v>
      </c>
      <c r="Z313">
        <v>-1.7910969999999999E-4</v>
      </c>
      <c r="AA313">
        <v>0.99996929999999995</v>
      </c>
      <c r="AB313">
        <v>41</v>
      </c>
      <c r="AC313">
        <v>17.4148</v>
      </c>
      <c r="AD313">
        <v>-1.092089507242</v>
      </c>
      <c r="AE313">
        <v>0.29060000000003999</v>
      </c>
      <c r="AF313">
        <v>-0.13767481534301901</v>
      </c>
      <c r="AG313">
        <v>-1.092089507242</v>
      </c>
      <c r="AH313">
        <v>17.348470466173499</v>
      </c>
      <c r="AI313">
        <v>93.6019141389053</v>
      </c>
      <c r="AJ313">
        <v>90.454681021755405</v>
      </c>
      <c r="AK313">
        <v>17.383355296441</v>
      </c>
      <c r="AL313">
        <v>92.034101412200101</v>
      </c>
      <c r="AM313">
        <v>93.2655032648359</v>
      </c>
      <c r="AN313">
        <v>1.0000000045166799</v>
      </c>
    </row>
    <row r="314" spans="1:40" x14ac:dyDescent="0.25">
      <c r="A314" t="str">
        <f>"20190305135203161"</f>
        <v>20190305135203161</v>
      </c>
      <c r="B314" t="str">
        <f>"1551765123150161"</f>
        <v>1551765123150161</v>
      </c>
      <c r="C314" t="s">
        <v>40</v>
      </c>
      <c r="D314">
        <v>4.6204359999999998</v>
      </c>
      <c r="E314">
        <v>0.51848450000000001</v>
      </c>
      <c r="F314" t="s">
        <v>42</v>
      </c>
      <c r="G314">
        <v>-377.0607</v>
      </c>
      <c r="H314" s="1">
        <v>-1.5464909999999999E-6</v>
      </c>
      <c r="I314">
        <v>367.90690000000001</v>
      </c>
      <c r="J314">
        <v>-394.23790000000002</v>
      </c>
      <c r="K314">
        <v>1.0939970000000001</v>
      </c>
      <c r="L314">
        <v>367.61970000000002</v>
      </c>
      <c r="M314">
        <v>0.99991479999999999</v>
      </c>
      <c r="N314">
        <v>-9.7644499999999992E-3</v>
      </c>
      <c r="O314">
        <v>8.6668390000000008E-3</v>
      </c>
      <c r="P314">
        <v>0.99679269999999998</v>
      </c>
      <c r="Q314">
        <v>-4.591576E-2</v>
      </c>
      <c r="R314">
        <v>6.5545210000000007E-2</v>
      </c>
      <c r="S314">
        <v>2.997833</v>
      </c>
      <c r="T314">
        <v>-0.1870153</v>
      </c>
      <c r="U314">
        <v>4.9682619999999997E-2</v>
      </c>
      <c r="V314">
        <v>-5.6911410000000003E-2</v>
      </c>
      <c r="W314">
        <v>-3.6162760000000002E-2</v>
      </c>
      <c r="X314">
        <v>0.9977241</v>
      </c>
      <c r="Y314">
        <v>-7.8981090000000004E-3</v>
      </c>
      <c r="Z314">
        <v>-1.708279E-4</v>
      </c>
      <c r="AA314">
        <v>0.99996879999999999</v>
      </c>
      <c r="AB314">
        <v>41</v>
      </c>
      <c r="AC314">
        <v>17.177199999999999</v>
      </c>
      <c r="AD314">
        <v>-1.09399854649099</v>
      </c>
      <c r="AE314">
        <v>0.28719999999998402</v>
      </c>
      <c r="AF314">
        <v>-0.137751489339277</v>
      </c>
      <c r="AG314">
        <v>-1.09399854649099</v>
      </c>
      <c r="AH314">
        <v>17.1096617226912</v>
      </c>
      <c r="AI314">
        <v>93.658416192168403</v>
      </c>
      <c r="AJ314">
        <v>90.461283721602499</v>
      </c>
      <c r="AK314">
        <v>17.145154783712599</v>
      </c>
      <c r="AL314">
        <v>92.072425357006097</v>
      </c>
      <c r="AM314">
        <v>93.264684042349799</v>
      </c>
      <c r="AN314">
        <v>1.0000000167598999</v>
      </c>
    </row>
    <row r="315" spans="1:40" x14ac:dyDescent="0.25">
      <c r="A315" t="str">
        <f>"20190305135203174"</f>
        <v>20190305135203174</v>
      </c>
      <c r="B315" t="str">
        <f>"1551765123169681"</f>
        <v>1551765123169681</v>
      </c>
      <c r="C315" t="s">
        <v>40</v>
      </c>
      <c r="D315">
        <v>4.6532519999999904</v>
      </c>
      <c r="E315">
        <v>0.51847489999999996</v>
      </c>
      <c r="F315" t="s">
        <v>42</v>
      </c>
      <c r="G315">
        <v>-377.00689999999997</v>
      </c>
      <c r="H315" s="1">
        <v>-1.5704039999999999E-6</v>
      </c>
      <c r="I315">
        <v>367.90219999999999</v>
      </c>
      <c r="J315">
        <v>-394.00639999999999</v>
      </c>
      <c r="K315">
        <v>1.095235</v>
      </c>
      <c r="L315">
        <v>367.6216</v>
      </c>
      <c r="M315">
        <v>0.99991280000000005</v>
      </c>
      <c r="N315">
        <v>-1.0010969999999999E-2</v>
      </c>
      <c r="O315">
        <v>8.6087669999999998E-3</v>
      </c>
      <c r="P315">
        <v>0.99677499999999997</v>
      </c>
      <c r="Q315">
        <v>-4.6466689999999998E-2</v>
      </c>
      <c r="R315">
        <v>6.5423389999999998E-2</v>
      </c>
      <c r="S315">
        <v>2.99762</v>
      </c>
      <c r="T315">
        <v>-0.19031919999999999</v>
      </c>
      <c r="U315">
        <v>4.9163819999999997E-2</v>
      </c>
      <c r="V315">
        <v>-5.6847979999999999E-2</v>
      </c>
      <c r="W315">
        <v>-3.6467109999999997E-2</v>
      </c>
      <c r="X315">
        <v>0.99771659999999995</v>
      </c>
      <c r="Y315">
        <v>-7.7842469999999898E-3</v>
      </c>
      <c r="Z315">
        <v>-1.74003499999999E-4</v>
      </c>
      <c r="AA315">
        <v>0.99996969999999996</v>
      </c>
      <c r="AB315">
        <v>41</v>
      </c>
      <c r="AC315">
        <v>16.999500000000001</v>
      </c>
      <c r="AD315">
        <v>-1.0952365704039999</v>
      </c>
      <c r="AE315">
        <v>0.28059999999999202</v>
      </c>
      <c r="AF315">
        <v>-0.13368277365796799</v>
      </c>
      <c r="AG315">
        <v>-1.0952365704039999</v>
      </c>
      <c r="AH315">
        <v>16.931025679546099</v>
      </c>
      <c r="AI315">
        <v>93.701085520252903</v>
      </c>
      <c r="AJ315">
        <v>90.452382490295406</v>
      </c>
      <c r="AK315">
        <v>16.966939759148499</v>
      </c>
      <c r="AL315">
        <v>92.0898749171795</v>
      </c>
      <c r="AM315">
        <v>93.261077742170102</v>
      </c>
      <c r="AN315">
        <v>0.99999997842869504</v>
      </c>
    </row>
    <row r="316" spans="1:40" x14ac:dyDescent="0.25">
      <c r="A316" t="str">
        <f>"20190305135203188"</f>
        <v>20190305135203188</v>
      </c>
      <c r="B316" t="str">
        <f>"1551765123180417"</f>
        <v>1551765123180417</v>
      </c>
      <c r="C316" t="s">
        <v>40</v>
      </c>
      <c r="D316">
        <v>4.6519550000000001</v>
      </c>
      <c r="E316">
        <v>0.51847480000000001</v>
      </c>
      <c r="F316" t="s">
        <v>42</v>
      </c>
      <c r="G316">
        <v>-376.9905</v>
      </c>
      <c r="H316" s="1">
        <v>-1.5783809999999999E-6</v>
      </c>
      <c r="I316">
        <v>367.89690000000002</v>
      </c>
      <c r="J316">
        <v>-393.75290000000001</v>
      </c>
      <c r="K316">
        <v>1.096525</v>
      </c>
      <c r="L316">
        <v>367.62369999999999</v>
      </c>
      <c r="M316">
        <v>0.99991070000000004</v>
      </c>
      <c r="N316">
        <v>-1.028246E-2</v>
      </c>
      <c r="O316">
        <v>8.5449840000000003E-3</v>
      </c>
      <c r="P316">
        <v>0.99676589999999998</v>
      </c>
      <c r="Q316">
        <v>-4.6752929999999998E-2</v>
      </c>
      <c r="R316">
        <v>6.5360600000000005E-2</v>
      </c>
      <c r="S316">
        <v>2.9974980000000002</v>
      </c>
      <c r="T316">
        <v>-0.19293440000000001</v>
      </c>
      <c r="U316">
        <v>4.8522950000000002E-2</v>
      </c>
      <c r="V316">
        <v>-5.6849379999999998E-2</v>
      </c>
      <c r="W316">
        <v>-3.6481769999999997E-2</v>
      </c>
      <c r="X316">
        <v>0.99771600000000005</v>
      </c>
      <c r="Y316">
        <v>-7.6349479999999999E-3</v>
      </c>
      <c r="Z316">
        <v>-1.7684840000000001E-4</v>
      </c>
      <c r="AA316">
        <v>0.9999709</v>
      </c>
      <c r="AB316">
        <v>41</v>
      </c>
      <c r="AC316">
        <v>16.7624</v>
      </c>
      <c r="AD316">
        <v>-1.0965265783810001</v>
      </c>
      <c r="AE316">
        <v>0.27320000000003097</v>
      </c>
      <c r="AF316">
        <v>-0.12939446127706</v>
      </c>
      <c r="AG316">
        <v>-1.0965265783810001</v>
      </c>
      <c r="AH316">
        <v>16.6927095468468</v>
      </c>
      <c r="AI316">
        <v>93.758187536022703</v>
      </c>
      <c r="AJ316">
        <v>90.444122508627302</v>
      </c>
      <c r="AK316">
        <v>16.729186037554101</v>
      </c>
      <c r="AL316">
        <v>92.090715399832106</v>
      </c>
      <c r="AM316">
        <v>93.261159836609593</v>
      </c>
      <c r="AN316">
        <v>0.99999999410235796</v>
      </c>
    </row>
    <row r="317" spans="1:40" x14ac:dyDescent="0.25">
      <c r="A317" t="str">
        <f>"20190305135203199"</f>
        <v>20190305135203199</v>
      </c>
      <c r="B317" t="str">
        <f>"1551765123190177"</f>
        <v>1551765123190177</v>
      </c>
      <c r="C317" t="s">
        <v>40</v>
      </c>
      <c r="D317">
        <v>4.6415730000000002</v>
      </c>
      <c r="E317">
        <v>0.51846309999999995</v>
      </c>
      <c r="F317" t="s">
        <v>41</v>
      </c>
      <c r="G317">
        <v>-392.70960000000002</v>
      </c>
      <c r="H317">
        <v>1.0290729999999999</v>
      </c>
      <c r="I317">
        <v>367.6404</v>
      </c>
      <c r="J317">
        <v>-393.53559999999999</v>
      </c>
      <c r="K317">
        <v>1.097539</v>
      </c>
      <c r="L317">
        <v>367.62560000000002</v>
      </c>
      <c r="M317">
        <v>0.99990880000000004</v>
      </c>
      <c r="N317">
        <v>-1.0513730000000001E-2</v>
      </c>
      <c r="O317">
        <v>8.4898059999999904E-3</v>
      </c>
      <c r="P317">
        <v>0.99674050000000003</v>
      </c>
      <c r="Q317">
        <v>-4.7336669999999997E-2</v>
      </c>
      <c r="R317">
        <v>6.5328549999999999E-2</v>
      </c>
      <c r="S317">
        <v>2.9974370000000001</v>
      </c>
      <c r="T317">
        <v>-0.19389129999999999</v>
      </c>
      <c r="U317">
        <v>4.8248289999999999E-2</v>
      </c>
      <c r="V317">
        <v>-5.6873380000000001E-2</v>
      </c>
      <c r="W317">
        <v>-3.683442E-2</v>
      </c>
      <c r="X317">
        <v>0.99770170000000002</v>
      </c>
      <c r="Y317">
        <v>-7.5986569999999896E-3</v>
      </c>
      <c r="Z317">
        <v>-1.7387840000000001E-4</v>
      </c>
      <c r="AA317">
        <v>0.9999711</v>
      </c>
      <c r="AB317">
        <v>41</v>
      </c>
      <c r="AC317">
        <v>0.82599999999996498</v>
      </c>
      <c r="AD317">
        <v>-6.8466000000000096E-2</v>
      </c>
      <c r="AE317">
        <v>1.4799999999979699E-2</v>
      </c>
      <c r="AF317">
        <v>-7.7333846322185998E-3</v>
      </c>
      <c r="AG317">
        <v>-6.8466000000000096E-2</v>
      </c>
      <c r="AH317">
        <v>0.82046069930311605</v>
      </c>
      <c r="AI317">
        <v>94.769968890665197</v>
      </c>
      <c r="AJ317">
        <v>90.540034617155996</v>
      </c>
      <c r="AK317">
        <v>0.82334874597270602</v>
      </c>
      <c r="AL317">
        <v>92.110934293925297</v>
      </c>
      <c r="AM317">
        <v>93.262580281817606</v>
      </c>
      <c r="AN317">
        <v>1.00000001901612</v>
      </c>
    </row>
    <row r="318" spans="1:40" x14ac:dyDescent="0.25">
      <c r="A318" t="str">
        <f>"20190305135203211"</f>
        <v>20190305135203211</v>
      </c>
      <c r="B318" t="str">
        <f>"1551765123199938"</f>
        <v>1551765123199938</v>
      </c>
      <c r="C318" t="s">
        <v>40</v>
      </c>
      <c r="D318">
        <v>4.6747779999999999</v>
      </c>
      <c r="E318">
        <v>0.51840569999999997</v>
      </c>
      <c r="F318" t="s">
        <v>42</v>
      </c>
      <c r="G318">
        <v>-376.7287</v>
      </c>
      <c r="H318" s="1">
        <v>-1.6907660000000001E-6</v>
      </c>
      <c r="I318">
        <v>367.89659999999998</v>
      </c>
      <c r="J318">
        <v>-393.33100000000002</v>
      </c>
      <c r="K318">
        <v>1.0984290000000001</v>
      </c>
      <c r="L318">
        <v>367.62729999999999</v>
      </c>
      <c r="M318">
        <v>0.99990690000000004</v>
      </c>
      <c r="N318">
        <v>-1.072824E-2</v>
      </c>
      <c r="O318">
        <v>8.4379180000000008E-3</v>
      </c>
      <c r="P318">
        <v>0.99675139999999995</v>
      </c>
      <c r="Q318">
        <v>-4.6999310000000002E-2</v>
      </c>
      <c r="R318">
        <v>6.540783E-2</v>
      </c>
      <c r="S318">
        <v>2.9973450000000001</v>
      </c>
      <c r="T318">
        <v>-0.19573389999999999</v>
      </c>
      <c r="U318">
        <v>4.8339840000000002E-2</v>
      </c>
      <c r="V318">
        <v>-5.7004890000000003E-2</v>
      </c>
      <c r="W318">
        <v>-3.6282410000000001E-2</v>
      </c>
      <c r="X318">
        <v>0.9977144</v>
      </c>
      <c r="Y318">
        <v>-7.6810769999999997E-3</v>
      </c>
      <c r="Z318">
        <v>-1.6816729999999901E-4</v>
      </c>
      <c r="AA318">
        <v>0.99997049999999998</v>
      </c>
      <c r="AB318">
        <v>41</v>
      </c>
      <c r="AC318">
        <v>16.6022999999999</v>
      </c>
      <c r="AD318">
        <v>-1.098430690766</v>
      </c>
      <c r="AE318">
        <v>0.26929999999998699</v>
      </c>
      <c r="AF318">
        <v>-0.12863060068736001</v>
      </c>
      <c r="AG318">
        <v>-1.098430690766</v>
      </c>
      <c r="AH318">
        <v>16.5316360435836</v>
      </c>
      <c r="AI318">
        <v>93.801267705656201</v>
      </c>
      <c r="AJ318">
        <v>90.445802326533993</v>
      </c>
      <c r="AK318">
        <v>16.568587329382101</v>
      </c>
      <c r="AL318">
        <v>92.0792853391211</v>
      </c>
      <c r="AM318">
        <v>93.270066553891297</v>
      </c>
      <c r="AN318">
        <v>0.99999999736334</v>
      </c>
    </row>
    <row r="319" spans="1:40" x14ac:dyDescent="0.25">
      <c r="A319" t="str">
        <f>"20190305135203231"</f>
        <v>20190305135203231</v>
      </c>
      <c r="B319" t="str">
        <f>"1551765123220433"</f>
        <v>1551765123220433</v>
      </c>
      <c r="C319" t="s">
        <v>40</v>
      </c>
      <c r="D319">
        <v>4.7715310000000004</v>
      </c>
      <c r="E319">
        <v>0.51845959999999902</v>
      </c>
      <c r="F319" t="s">
        <v>42</v>
      </c>
      <c r="G319">
        <v>-376.46179999999998</v>
      </c>
      <c r="H319" s="1">
        <v>-1.8042630000000001E-6</v>
      </c>
      <c r="I319">
        <v>367.90210000000002</v>
      </c>
      <c r="J319">
        <v>-392.97489999999999</v>
      </c>
      <c r="K319">
        <v>1.0998520000000001</v>
      </c>
      <c r="L319">
        <v>367.6302</v>
      </c>
      <c r="M319">
        <v>0.99990380000000001</v>
      </c>
      <c r="N319">
        <v>-1.109196E-2</v>
      </c>
      <c r="O319">
        <v>8.3466289999999995E-3</v>
      </c>
      <c r="P319">
        <v>0.99669189999999996</v>
      </c>
      <c r="Q319">
        <v>-4.7936859999999998E-2</v>
      </c>
      <c r="R319">
        <v>6.5630170000000002E-2</v>
      </c>
      <c r="S319">
        <v>2.9974370000000001</v>
      </c>
      <c r="T319">
        <v>-0.19517609999999999</v>
      </c>
      <c r="U319">
        <v>4.8858640000000002E-2</v>
      </c>
      <c r="V319">
        <v>-5.7318620000000001E-2</v>
      </c>
      <c r="W319">
        <v>-3.685687E-2</v>
      </c>
      <c r="X319">
        <v>0.99767539999999999</v>
      </c>
      <c r="Y319">
        <v>-7.9438489999999994E-3</v>
      </c>
      <c r="Z319">
        <v>-1.479083E-4</v>
      </c>
      <c r="AA319">
        <v>0.99996839999999998</v>
      </c>
      <c r="AB319">
        <v>41</v>
      </c>
      <c r="AC319">
        <v>16.513100000000001</v>
      </c>
      <c r="AD319">
        <v>-1.0998538042629999</v>
      </c>
      <c r="AE319">
        <v>0.27190000000001602</v>
      </c>
      <c r="AF319">
        <v>-0.13346144659846601</v>
      </c>
      <c r="AG319">
        <v>-1.0998538042629999</v>
      </c>
      <c r="AH319">
        <v>16.441874365538801</v>
      </c>
      <c r="AI319">
        <v>93.826885534878897</v>
      </c>
      <c r="AJ319">
        <v>90.465069219589907</v>
      </c>
      <c r="AK319">
        <v>16.479160263819299</v>
      </c>
      <c r="AL319">
        <v>92.112221438314194</v>
      </c>
      <c r="AM319">
        <v>93.2881524419427</v>
      </c>
      <c r="AN319">
        <v>1.0000000284150301</v>
      </c>
    </row>
    <row r="320" spans="1:40" x14ac:dyDescent="0.25">
      <c r="A320" t="str">
        <f>"20190305135203252"</f>
        <v>20190305135203252</v>
      </c>
      <c r="B320" t="str">
        <f>"1551765123239953"</f>
        <v>1551765123239953</v>
      </c>
      <c r="C320" t="s">
        <v>40</v>
      </c>
      <c r="D320">
        <v>4.7018060000000004</v>
      </c>
      <c r="E320">
        <v>0.55269880000000005</v>
      </c>
      <c r="F320" t="s">
        <v>42</v>
      </c>
      <c r="G320">
        <v>-376.29070000000002</v>
      </c>
      <c r="H320" s="1">
        <v>-1.8771669999999999E-6</v>
      </c>
      <c r="I320">
        <v>367.90499999999997</v>
      </c>
      <c r="J320">
        <v>-392.58960000000002</v>
      </c>
      <c r="K320">
        <v>1.101208</v>
      </c>
      <c r="L320">
        <v>367.63330000000002</v>
      </c>
      <c r="M320">
        <v>0.99990029999999996</v>
      </c>
      <c r="N320">
        <v>-1.146616E-2</v>
      </c>
      <c r="O320">
        <v>8.2458700000000006E-3</v>
      </c>
      <c r="P320">
        <v>0.99664680000000005</v>
      </c>
      <c r="Q320">
        <v>-4.858341E-2</v>
      </c>
      <c r="R320">
        <v>6.5840549999999998E-2</v>
      </c>
      <c r="S320">
        <v>2.9971920000000001</v>
      </c>
      <c r="T320">
        <v>-0.19758010000000001</v>
      </c>
      <c r="U320">
        <v>4.9377440000000002E-2</v>
      </c>
      <c r="V320">
        <v>-5.7630580000000001E-2</v>
      </c>
      <c r="W320">
        <v>-3.7129950000000002E-2</v>
      </c>
      <c r="X320">
        <v>0.99764730000000001</v>
      </c>
      <c r="Y320">
        <v>-8.2177459999999997E-3</v>
      </c>
      <c r="Z320">
        <v>-1.3074939999999999E-4</v>
      </c>
      <c r="AA320">
        <v>0.99996620000000003</v>
      </c>
      <c r="AB320">
        <v>41</v>
      </c>
      <c r="AC320">
        <v>16.2989</v>
      </c>
      <c r="AD320">
        <v>-1.101209877167</v>
      </c>
      <c r="AE320">
        <v>0.27169999999995298</v>
      </c>
      <c r="AF320">
        <v>-0.136659667076625</v>
      </c>
      <c r="AG320">
        <v>-1.101209877167</v>
      </c>
      <c r="AH320">
        <v>16.226535722508601</v>
      </c>
      <c r="AI320">
        <v>93.882273791629402</v>
      </c>
      <c r="AJ320">
        <v>90.482532881169107</v>
      </c>
      <c r="AK320">
        <v>16.2644336087066</v>
      </c>
      <c r="AL320">
        <v>92.127878491484495</v>
      </c>
      <c r="AM320">
        <v>93.306101730545606</v>
      </c>
      <c r="AN320">
        <v>1.00000002606771</v>
      </c>
    </row>
    <row r="321" spans="1:40" x14ac:dyDescent="0.25">
      <c r="A321" t="str">
        <f>"20190305135203264"</f>
        <v>20190305135203264</v>
      </c>
      <c r="B321" t="str">
        <f>"1551765123260450"</f>
        <v>1551765123260450</v>
      </c>
      <c r="C321" t="s">
        <v>40</v>
      </c>
      <c r="D321">
        <v>4.7030370000000001</v>
      </c>
      <c r="E321">
        <v>0.56296709999999905</v>
      </c>
      <c r="F321" t="s">
        <v>42</v>
      </c>
      <c r="G321">
        <v>-343.29570000000001</v>
      </c>
      <c r="H321" s="1">
        <v>-4.1407409999999997E-6</v>
      </c>
      <c r="I321">
        <v>364.02910000000003</v>
      </c>
      <c r="J321">
        <v>-392.36509999999998</v>
      </c>
      <c r="K321">
        <v>1.101926</v>
      </c>
      <c r="L321">
        <v>367.6352</v>
      </c>
      <c r="M321">
        <v>0.99989830000000002</v>
      </c>
      <c r="N321">
        <v>-1.167583E-2</v>
      </c>
      <c r="O321">
        <v>8.1866560000000005E-3</v>
      </c>
      <c r="P321">
        <v>0.99662240000000002</v>
      </c>
      <c r="Q321">
        <v>-4.93515E-2</v>
      </c>
      <c r="R321">
        <v>6.5637390000000004E-2</v>
      </c>
      <c r="S321">
        <v>3.021423</v>
      </c>
      <c r="T321">
        <v>-6.7497730000000006E-2</v>
      </c>
      <c r="U321">
        <v>-0.22091669999999999</v>
      </c>
      <c r="V321">
        <v>-5.7486669999999997E-2</v>
      </c>
      <c r="W321">
        <v>-3.7688930000000002E-2</v>
      </c>
      <c r="X321">
        <v>0.99763460000000004</v>
      </c>
      <c r="Y321">
        <v>8.1053959999999994E-2</v>
      </c>
      <c r="Z321">
        <v>-1.4651480000000001E-3</v>
      </c>
      <c r="AA321">
        <v>0.99670859999999994</v>
      </c>
      <c r="AB321">
        <v>41</v>
      </c>
      <c r="AC321">
        <v>49.069399999999902</v>
      </c>
      <c r="AD321">
        <v>-1.101930140741</v>
      </c>
      <c r="AE321">
        <v>-3.6060999999999601</v>
      </c>
      <c r="AF321">
        <v>4.0057116117496401</v>
      </c>
      <c r="AG321">
        <v>-1.101930140741</v>
      </c>
      <c r="AH321">
        <v>49.013646813138401</v>
      </c>
      <c r="AI321">
        <v>91.283634726939994</v>
      </c>
      <c r="AJ321">
        <v>85.327802778799906</v>
      </c>
      <c r="AK321">
        <v>49.189404849770803</v>
      </c>
      <c r="AL321">
        <v>92.159928211071403</v>
      </c>
      <c r="AM321">
        <v>93.2979061591993</v>
      </c>
      <c r="AN321">
        <v>0.99999998389469602</v>
      </c>
    </row>
    <row r="322" spans="1:40" x14ac:dyDescent="0.25">
      <c r="A322" t="str">
        <f>"20190305135203276"</f>
        <v>20190305135203276</v>
      </c>
      <c r="B322" t="str">
        <f>"1551765123270210"</f>
        <v>1551765123270210</v>
      </c>
      <c r="C322" t="s">
        <v>40</v>
      </c>
      <c r="D322">
        <v>4.6595230000000001</v>
      </c>
      <c r="E322">
        <v>0.56528480000000003</v>
      </c>
      <c r="F322" t="s">
        <v>42</v>
      </c>
      <c r="G322">
        <v>-323.56450000000001</v>
      </c>
      <c r="H322" s="1">
        <v>-4.5344229999999997E-6</v>
      </c>
      <c r="I322">
        <v>360.75299999999999</v>
      </c>
      <c r="J322">
        <v>-392.16050000000001</v>
      </c>
      <c r="K322">
        <v>1.1025069999999999</v>
      </c>
      <c r="L322">
        <v>367.63679999999999</v>
      </c>
      <c r="M322">
        <v>0.99989669999999997</v>
      </c>
      <c r="N322">
        <v>-1.18555E-2</v>
      </c>
      <c r="O322">
        <v>8.1326750000000007E-3</v>
      </c>
      <c r="P322">
        <v>0.99660119999999996</v>
      </c>
      <c r="Q322">
        <v>-4.9747529999999998E-2</v>
      </c>
      <c r="R322">
        <v>6.5662639999999994E-2</v>
      </c>
      <c r="S322">
        <v>3.027679</v>
      </c>
      <c r="T322">
        <v>-4.8492189999999998E-2</v>
      </c>
      <c r="U322">
        <v>-0.30285640000000003</v>
      </c>
      <c r="V322">
        <v>-5.7566109999999997E-2</v>
      </c>
      <c r="W322">
        <v>-3.7905729999999999E-2</v>
      </c>
      <c r="X322">
        <v>0.9976218</v>
      </c>
      <c r="Y322">
        <v>0.1075981</v>
      </c>
      <c r="Z322">
        <v>-1.5327229999999999E-3</v>
      </c>
      <c r="AA322">
        <v>0.99419329999999995</v>
      </c>
      <c r="AB322">
        <v>41</v>
      </c>
      <c r="AC322">
        <v>68.596000000000004</v>
      </c>
      <c r="AD322">
        <v>-1.1025115344230001</v>
      </c>
      <c r="AE322">
        <v>-6.8837999999999502</v>
      </c>
      <c r="AF322">
        <v>7.4395777924012201</v>
      </c>
      <c r="AG322">
        <v>-1.1025115344230001</v>
      </c>
      <c r="AH322">
        <v>68.520219422045599</v>
      </c>
      <c r="AI322">
        <v>90.916442281751102</v>
      </c>
      <c r="AJ322">
        <v>83.803388485322998</v>
      </c>
      <c r="AK322">
        <v>68.931729407131499</v>
      </c>
      <c r="AL322">
        <v>92.172358830371493</v>
      </c>
      <c r="AM322">
        <v>93.302495686546905</v>
      </c>
      <c r="AN322">
        <v>0.99999997861130197</v>
      </c>
    </row>
    <row r="323" spans="1:40" x14ac:dyDescent="0.25">
      <c r="A323" t="str">
        <f>"20190305135203289"</f>
        <v>20190305135203289</v>
      </c>
      <c r="B323" t="str">
        <f>"1551765123279969"</f>
        <v>1551765123279969</v>
      </c>
      <c r="C323" t="s">
        <v>40</v>
      </c>
      <c r="D323">
        <v>4.6700460000000001</v>
      </c>
      <c r="E323">
        <v>0.56678689999999998</v>
      </c>
      <c r="F323" t="s">
        <v>42</v>
      </c>
      <c r="G323">
        <v>-328.65989999999999</v>
      </c>
      <c r="H323" s="1">
        <v>-2.762858E-6</v>
      </c>
      <c r="I323">
        <v>360.89429999999999</v>
      </c>
      <c r="J323">
        <v>-391.90859999999998</v>
      </c>
      <c r="K323">
        <v>1.1031839999999999</v>
      </c>
      <c r="L323">
        <v>367.6388</v>
      </c>
      <c r="M323">
        <v>0.99989459999999997</v>
      </c>
      <c r="N323">
        <v>-1.2070920000000001E-2</v>
      </c>
      <c r="O323">
        <v>8.0661719999999999E-3</v>
      </c>
      <c r="P323">
        <v>0.99657209999999996</v>
      </c>
      <c r="Q323">
        <v>-5.0448899999999998E-2</v>
      </c>
      <c r="R323">
        <v>6.5566180000000002E-2</v>
      </c>
      <c r="S323">
        <v>3.0288089999999999</v>
      </c>
      <c r="T323">
        <v>-5.2586670000000002E-2</v>
      </c>
      <c r="U323">
        <v>-0.3215942</v>
      </c>
      <c r="V323">
        <v>-5.7536980000000001E-2</v>
      </c>
      <c r="W323">
        <v>-3.8392299999999997E-2</v>
      </c>
      <c r="X323">
        <v>0.99760490000000002</v>
      </c>
      <c r="Y323">
        <v>0.1135743</v>
      </c>
      <c r="Z323">
        <v>-1.7131889999999999E-3</v>
      </c>
      <c r="AA323">
        <v>0.99352799999999997</v>
      </c>
      <c r="AB323">
        <v>41</v>
      </c>
      <c r="AC323">
        <v>63.2486999999999</v>
      </c>
      <c r="AD323">
        <v>-1.1031867628580001</v>
      </c>
      <c r="AE323">
        <v>-6.7445000000000102</v>
      </c>
      <c r="AF323">
        <v>7.2523110969556299</v>
      </c>
      <c r="AG323">
        <v>-1.1031867628580001</v>
      </c>
      <c r="AH323">
        <v>63.1732330298329</v>
      </c>
      <c r="AI323">
        <v>90.993921047848005</v>
      </c>
      <c r="AJ323">
        <v>83.451092007778598</v>
      </c>
      <c r="AK323">
        <v>63.597723298262302</v>
      </c>
      <c r="AL323">
        <v>92.200257489948498</v>
      </c>
      <c r="AM323">
        <v>93.300884025305606</v>
      </c>
      <c r="AN323">
        <v>1.0000000046354101</v>
      </c>
    </row>
    <row r="324" spans="1:40" x14ac:dyDescent="0.25">
      <c r="A324" t="str">
        <f>"20190305135203308"</f>
        <v>20190305135203308</v>
      </c>
      <c r="B324" t="str">
        <f>"1551765123300468"</f>
        <v>1551765123300468</v>
      </c>
      <c r="C324" t="s">
        <v>40</v>
      </c>
      <c r="D324">
        <v>4.720542</v>
      </c>
      <c r="E324">
        <v>0.56827689999999997</v>
      </c>
      <c r="F324" t="s">
        <v>42</v>
      </c>
      <c r="G324">
        <v>-327.51510000000002</v>
      </c>
      <c r="H324" s="1">
        <v>-3.2439040000000001E-6</v>
      </c>
      <c r="I324">
        <v>360.55040000000002</v>
      </c>
      <c r="J324">
        <v>-391.5754</v>
      </c>
      <c r="K324">
        <v>1.1039699999999999</v>
      </c>
      <c r="L324">
        <v>367.64139999999998</v>
      </c>
      <c r="M324">
        <v>0.99989220000000001</v>
      </c>
      <c r="N324">
        <v>-1.2338709999999999E-2</v>
      </c>
      <c r="O324">
        <v>7.9781490000000004E-3</v>
      </c>
      <c r="P324">
        <v>0.99652229999999997</v>
      </c>
      <c r="Q324">
        <v>-5.1151080000000002E-2</v>
      </c>
      <c r="R324">
        <v>6.5780889999999995E-2</v>
      </c>
      <c r="S324">
        <v>3.029633</v>
      </c>
      <c r="T324">
        <v>-5.1903610000000003E-2</v>
      </c>
      <c r="U324">
        <v>-0.33349610000000002</v>
      </c>
      <c r="V324">
        <v>-5.7839969999999997E-2</v>
      </c>
      <c r="W324">
        <v>-3.8827550000000002E-2</v>
      </c>
      <c r="X324">
        <v>0.99757050000000003</v>
      </c>
      <c r="Y324">
        <v>0.117315</v>
      </c>
      <c r="Z324">
        <v>-1.766014E-3</v>
      </c>
      <c r="AA324">
        <v>0.99309320000000001</v>
      </c>
      <c r="AB324">
        <v>41</v>
      </c>
      <c r="AC324">
        <v>64.060299999999899</v>
      </c>
      <c r="AD324">
        <v>-1.103973243904</v>
      </c>
      <c r="AE324">
        <v>-7.0909999999999496</v>
      </c>
      <c r="AF324">
        <v>7.5996660462104497</v>
      </c>
      <c r="AG324">
        <v>-1.103973243904</v>
      </c>
      <c r="AH324">
        <v>63.982911402462101</v>
      </c>
      <c r="AI324">
        <v>90.981595630201696</v>
      </c>
      <c r="AJ324">
        <v>83.226343016669205</v>
      </c>
      <c r="AK324">
        <v>64.442118466671303</v>
      </c>
      <c r="AL324">
        <v>92.225214160233804</v>
      </c>
      <c r="AM324">
        <v>93.318341924891101</v>
      </c>
      <c r="AN324">
        <v>0.999999971619426</v>
      </c>
    </row>
    <row r="325" spans="1:40" x14ac:dyDescent="0.25">
      <c r="A325" t="str">
        <f>"20190305135203319"</f>
        <v>20190305135203319</v>
      </c>
      <c r="B325" t="str">
        <f>"1551765123310226"</f>
        <v>1551765123310226</v>
      </c>
      <c r="C325" t="s">
        <v>40</v>
      </c>
      <c r="D325">
        <v>4.7048690000000004</v>
      </c>
      <c r="E325">
        <v>0.56881000000000004</v>
      </c>
      <c r="F325" t="s">
        <v>42</v>
      </c>
      <c r="G325">
        <v>-324.22320000000002</v>
      </c>
      <c r="H325" s="1">
        <v>-4.5153650000000001E-6</v>
      </c>
      <c r="I325">
        <v>359.98219999999998</v>
      </c>
      <c r="J325">
        <v>-391.33859999999999</v>
      </c>
      <c r="K325">
        <v>1.1044689999999999</v>
      </c>
      <c r="L325">
        <v>367.64319999999998</v>
      </c>
      <c r="M325">
        <v>0.99989030000000001</v>
      </c>
      <c r="N325">
        <v>-1.251642E-2</v>
      </c>
      <c r="O325">
        <v>7.9153650000000006E-3</v>
      </c>
      <c r="P325">
        <v>0.99650070000000002</v>
      </c>
      <c r="Q325">
        <v>-5.1702669999999999E-2</v>
      </c>
      <c r="R325">
        <v>6.5673339999999997E-2</v>
      </c>
      <c r="S325">
        <v>3.03064</v>
      </c>
      <c r="T325">
        <v>-4.967535E-2</v>
      </c>
      <c r="U325">
        <v>-0.34463500000000002</v>
      </c>
      <c r="V325">
        <v>-5.779488E-2</v>
      </c>
      <c r="W325">
        <v>-3.9202000000000001E-2</v>
      </c>
      <c r="X325">
        <v>0.99755850000000001</v>
      </c>
      <c r="Y325">
        <v>0.120822</v>
      </c>
      <c r="Z325">
        <v>-1.7762139999999999E-3</v>
      </c>
      <c r="AA325">
        <v>0.99267260000000002</v>
      </c>
      <c r="AB325">
        <v>41</v>
      </c>
      <c r="AC325">
        <v>67.115399999999894</v>
      </c>
      <c r="AD325">
        <v>-1.104473515365</v>
      </c>
      <c r="AE325">
        <v>-7.6609999999999996</v>
      </c>
      <c r="AF325">
        <v>8.18985511529484</v>
      </c>
      <c r="AG325">
        <v>-1.104473515365</v>
      </c>
      <c r="AH325">
        <v>67.034732533355907</v>
      </c>
      <c r="AI325">
        <v>90.936962230952105</v>
      </c>
      <c r="AJ325">
        <v>83.034504527426904</v>
      </c>
      <c r="AK325">
        <v>67.542201284635595</v>
      </c>
      <c r="AL325">
        <v>92.246684842308994</v>
      </c>
      <c r="AM325">
        <v>93.315800634171893</v>
      </c>
      <c r="AN325">
        <v>1.0000000029402301</v>
      </c>
    </row>
    <row r="326" spans="1:40" x14ac:dyDescent="0.25">
      <c r="A326" t="str">
        <f>"20190305135203332"</f>
        <v>20190305135203332</v>
      </c>
      <c r="B326" t="str">
        <f>"1551765123329745"</f>
        <v>1551765123329745</v>
      </c>
      <c r="C326" t="s">
        <v>40</v>
      </c>
      <c r="D326">
        <v>4.7203369999999998</v>
      </c>
      <c r="E326">
        <v>0.56953069999999995</v>
      </c>
      <c r="F326" t="s">
        <v>42</v>
      </c>
      <c r="G326">
        <v>-326.5564</v>
      </c>
      <c r="H326" s="1">
        <v>-3.6702329999999999E-6</v>
      </c>
      <c r="I326">
        <v>360.17439999999999</v>
      </c>
      <c r="J326">
        <v>-391.13290000000001</v>
      </c>
      <c r="K326">
        <v>1.104867</v>
      </c>
      <c r="L326">
        <v>367.64479999999998</v>
      </c>
      <c r="M326">
        <v>0.99988889999999997</v>
      </c>
      <c r="N326">
        <v>-1.2663239999999999E-2</v>
      </c>
      <c r="O326">
        <v>7.8608159999999996E-3</v>
      </c>
      <c r="P326">
        <v>0.99647739999999996</v>
      </c>
      <c r="Q326">
        <v>-5.230398E-2</v>
      </c>
      <c r="R326">
        <v>6.5551090000000006E-2</v>
      </c>
      <c r="S326">
        <v>3.030853</v>
      </c>
      <c r="T326">
        <v>-5.1672940000000001E-2</v>
      </c>
      <c r="U326">
        <v>-0.34942630000000002</v>
      </c>
      <c r="V326">
        <v>-5.7727250000000001E-2</v>
      </c>
      <c r="W326">
        <v>-3.9657039999999998E-2</v>
      </c>
      <c r="X326">
        <v>0.9975444</v>
      </c>
      <c r="Y326">
        <v>0.1223065</v>
      </c>
      <c r="Z326">
        <v>-1.850541E-3</v>
      </c>
      <c r="AA326">
        <v>0.9924906</v>
      </c>
      <c r="AB326">
        <v>41</v>
      </c>
      <c r="AC326">
        <v>64.576499999999996</v>
      </c>
      <c r="AD326">
        <v>-1.104870670233</v>
      </c>
      <c r="AE326">
        <v>-7.4703999999999802</v>
      </c>
      <c r="AF326">
        <v>7.9755299710266403</v>
      </c>
      <c r="AG326">
        <v>-1.104870670233</v>
      </c>
      <c r="AH326">
        <v>64.497145124323396</v>
      </c>
      <c r="AI326">
        <v>90.973994408793502</v>
      </c>
      <c r="AJ326">
        <v>82.950754861071303</v>
      </c>
      <c r="AK326">
        <v>64.997781090624301</v>
      </c>
      <c r="AL326">
        <v>92.2727770723031</v>
      </c>
      <c r="AM326">
        <v>93.311975925464793</v>
      </c>
      <c r="AN326">
        <v>0.99999997309274102</v>
      </c>
    </row>
    <row r="327" spans="1:40" x14ac:dyDescent="0.25">
      <c r="A327" t="str">
        <f>"20190305135203344"</f>
        <v>20190305135203344</v>
      </c>
      <c r="B327" t="str">
        <f>"1551765123340481"</f>
        <v>1551765123340481</v>
      </c>
      <c r="C327" t="s">
        <v>40</v>
      </c>
      <c r="D327">
        <v>4.7193529999999999</v>
      </c>
      <c r="E327">
        <v>0.56992790000000004</v>
      </c>
      <c r="F327" t="s">
        <v>42</v>
      </c>
      <c r="G327">
        <v>-330.35469999999998</v>
      </c>
      <c r="H327" s="1">
        <v>-5.7336159999999899E-6</v>
      </c>
      <c r="I327">
        <v>360.52019999999999</v>
      </c>
      <c r="J327">
        <v>-390.90679999999998</v>
      </c>
      <c r="K327">
        <v>1.105283</v>
      </c>
      <c r="L327">
        <v>367.6465</v>
      </c>
      <c r="M327">
        <v>0.99988750000000004</v>
      </c>
      <c r="N327">
        <v>-1.281963E-2</v>
      </c>
      <c r="O327">
        <v>7.8010060000000001E-3</v>
      </c>
      <c r="P327">
        <v>0.99645550000000005</v>
      </c>
      <c r="Q327">
        <v>-5.2866360000000001E-2</v>
      </c>
      <c r="R327">
        <v>6.5433989999999997E-2</v>
      </c>
      <c r="S327">
        <v>3.0311279999999998</v>
      </c>
      <c r="T327">
        <v>-5.5102110000000003E-2</v>
      </c>
      <c r="U327">
        <v>-0.35531620000000003</v>
      </c>
      <c r="V327">
        <v>-5.7670659999999999E-2</v>
      </c>
      <c r="W327">
        <v>-4.0063590000000003E-2</v>
      </c>
      <c r="X327">
        <v>0.99753150000000002</v>
      </c>
      <c r="Y327">
        <v>0.1241355</v>
      </c>
      <c r="Z327">
        <v>-1.9645930000000002E-3</v>
      </c>
      <c r="AA327">
        <v>0.99226329999999996</v>
      </c>
      <c r="AB327">
        <v>41</v>
      </c>
      <c r="AC327">
        <v>60.552100000000003</v>
      </c>
      <c r="AD327">
        <v>-1.105288733616</v>
      </c>
      <c r="AE327">
        <v>-7.1263000000000103</v>
      </c>
      <c r="AF327">
        <v>7.59599284910629</v>
      </c>
      <c r="AG327">
        <v>-1.105288733616</v>
      </c>
      <c r="AH327">
        <v>60.474785954957397</v>
      </c>
      <c r="AI327">
        <v>91.038908452148604</v>
      </c>
      <c r="AJ327">
        <v>82.840802041297493</v>
      </c>
      <c r="AK327">
        <v>60.959991033843203</v>
      </c>
      <c r="AL327">
        <v>92.296089034371093</v>
      </c>
      <c r="AM327">
        <v>93.308779107045098</v>
      </c>
      <c r="AN327">
        <v>1.0000000448803801</v>
      </c>
    </row>
    <row r="328" spans="1:40" x14ac:dyDescent="0.25">
      <c r="A328" t="str">
        <f>"20190305135203356"</f>
        <v>20190305135203356</v>
      </c>
      <c r="B328" t="str">
        <f>"1551765123350242"</f>
        <v>1551765123350242</v>
      </c>
      <c r="C328" t="s">
        <v>40</v>
      </c>
      <c r="D328">
        <v>4.7139939999999996</v>
      </c>
      <c r="E328">
        <v>0.57013400000000003</v>
      </c>
      <c r="F328" t="s">
        <v>42</v>
      </c>
      <c r="G328">
        <v>-330.37860000000001</v>
      </c>
      <c r="H328" s="1">
        <v>-5.7308710000000003E-6</v>
      </c>
      <c r="I328">
        <v>360.47789999999998</v>
      </c>
      <c r="J328">
        <v>-390.69479999999999</v>
      </c>
      <c r="K328">
        <v>1.1056159999999999</v>
      </c>
      <c r="L328">
        <v>367.6481</v>
      </c>
      <c r="M328">
        <v>0.99988630000000001</v>
      </c>
      <c r="N328">
        <v>-1.295426E-2</v>
      </c>
      <c r="O328">
        <v>7.74473E-3</v>
      </c>
      <c r="P328">
        <v>0.99644820000000001</v>
      </c>
      <c r="Q328">
        <v>-5.3268719999999999E-2</v>
      </c>
      <c r="R328">
        <v>6.5221000000000001E-2</v>
      </c>
      <c r="S328">
        <v>3.0313110000000001</v>
      </c>
      <c r="T328">
        <v>-5.5353880000000001E-2</v>
      </c>
      <c r="U328">
        <v>-0.35900880000000002</v>
      </c>
      <c r="V328">
        <v>-5.7514030000000001E-2</v>
      </c>
      <c r="W328">
        <v>-4.0331730000000003E-2</v>
      </c>
      <c r="X328">
        <v>0.99752969999999996</v>
      </c>
      <c r="Y328">
        <v>0.12526409999999999</v>
      </c>
      <c r="Z328">
        <v>-1.9949210000000002E-3</v>
      </c>
      <c r="AA328">
        <v>0.99212140000000004</v>
      </c>
      <c r="AB328">
        <v>41</v>
      </c>
      <c r="AC328">
        <v>60.316199999999903</v>
      </c>
      <c r="AD328">
        <v>-1.1056217308709999</v>
      </c>
      <c r="AE328">
        <v>-7.1702000000000199</v>
      </c>
      <c r="AF328">
        <v>7.6346271892823196</v>
      </c>
      <c r="AG328">
        <v>-1.1056217308709999</v>
      </c>
      <c r="AH328">
        <v>60.238896352984298</v>
      </c>
      <c r="AI328">
        <v>91.043143183502593</v>
      </c>
      <c r="AJ328">
        <v>82.776891177341795</v>
      </c>
      <c r="AK328">
        <v>60.730837023349899</v>
      </c>
      <c r="AL328">
        <v>92.311464838567304</v>
      </c>
      <c r="AM328">
        <v>93.299818490960803</v>
      </c>
      <c r="AN328">
        <v>1.00000000723686</v>
      </c>
    </row>
    <row r="329" spans="1:40" x14ac:dyDescent="0.25">
      <c r="A329" t="str">
        <f>"20190305135203369"</f>
        <v>20190305135203369</v>
      </c>
      <c r="B329" t="str">
        <f>"1551765123360001"</f>
        <v>1551765123360001</v>
      </c>
      <c r="C329" t="s">
        <v>40</v>
      </c>
      <c r="D329">
        <v>4.743042</v>
      </c>
      <c r="E329">
        <v>0.57035760000000002</v>
      </c>
      <c r="F329" t="s">
        <v>42</v>
      </c>
      <c r="G329">
        <v>-331.5829</v>
      </c>
      <c r="H329" s="1">
        <v>-5.249598E-6</v>
      </c>
      <c r="I329">
        <v>360.59960000000001</v>
      </c>
      <c r="J329">
        <v>-390.45080000000002</v>
      </c>
      <c r="K329">
        <v>1.10598</v>
      </c>
      <c r="L329">
        <v>367.65</v>
      </c>
      <c r="M329">
        <v>0.99988449999999995</v>
      </c>
      <c r="N329">
        <v>-1.310384E-2</v>
      </c>
      <c r="O329">
        <v>7.6803560000000002E-3</v>
      </c>
      <c r="P329">
        <v>0.9964189</v>
      </c>
      <c r="Q329">
        <v>-5.3826510000000001E-2</v>
      </c>
      <c r="R329">
        <v>6.5207479999999998E-2</v>
      </c>
      <c r="S329">
        <v>3.0313110000000001</v>
      </c>
      <c r="T329">
        <v>-5.6697129999999998E-2</v>
      </c>
      <c r="U329">
        <v>-0.3614502</v>
      </c>
      <c r="V329">
        <v>-5.756493E-2</v>
      </c>
      <c r="W329">
        <v>-4.0740569999999997E-2</v>
      </c>
      <c r="X329">
        <v>0.99751009999999996</v>
      </c>
      <c r="Y329">
        <v>0.1259864</v>
      </c>
      <c r="Z329">
        <v>-2.0453479999999998E-3</v>
      </c>
      <c r="AA329">
        <v>0.99202979999999996</v>
      </c>
      <c r="AB329">
        <v>40</v>
      </c>
      <c r="AC329">
        <v>58.867899999999999</v>
      </c>
      <c r="AD329">
        <v>-1.105985249598</v>
      </c>
      <c r="AE329">
        <v>-7.0503999999999598</v>
      </c>
      <c r="AF329">
        <v>7.49974755934723</v>
      </c>
      <c r="AG329">
        <v>-1.105985249598</v>
      </c>
      <c r="AH329">
        <v>58.7915508107763</v>
      </c>
      <c r="AI329">
        <v>91.06905854131</v>
      </c>
      <c r="AJ329">
        <v>82.730323689301898</v>
      </c>
      <c r="AK329">
        <v>59.278291672098199</v>
      </c>
      <c r="AL329">
        <v>92.3349090308039</v>
      </c>
      <c r="AM329">
        <v>93.302797124626196</v>
      </c>
      <c r="AN329">
        <v>0.99999995740591896</v>
      </c>
    </row>
    <row r="330" spans="1:40" x14ac:dyDescent="0.25">
      <c r="A330" t="str">
        <f>"20190305135203385"</f>
        <v>20190305135203385</v>
      </c>
      <c r="B330" t="str">
        <f>"1551765123379522"</f>
        <v>1551765123379522</v>
      </c>
      <c r="C330" t="s">
        <v>40</v>
      </c>
      <c r="D330">
        <v>4.7657290000000003</v>
      </c>
      <c r="E330">
        <v>0.57067559999999995</v>
      </c>
      <c r="F330" t="s">
        <v>42</v>
      </c>
      <c r="G330">
        <v>-331.13440000000003</v>
      </c>
      <c r="H330" s="1">
        <v>-5.4160089999999999E-6</v>
      </c>
      <c r="I330">
        <v>360.54770000000002</v>
      </c>
      <c r="J330">
        <v>-390.16930000000002</v>
      </c>
      <c r="K330">
        <v>1.1063609999999999</v>
      </c>
      <c r="L330">
        <v>367.65210000000002</v>
      </c>
      <c r="M330">
        <v>0.99988319999999997</v>
      </c>
      <c r="N330">
        <v>-1.326598E-2</v>
      </c>
      <c r="O330">
        <v>7.6060479999999998E-3</v>
      </c>
      <c r="P330">
        <v>0.99646009999999996</v>
      </c>
      <c r="Q330">
        <v>-5.3243569999999997E-2</v>
      </c>
      <c r="R330">
        <v>6.5057770000000001E-2</v>
      </c>
      <c r="S330">
        <v>3.0315249999999998</v>
      </c>
      <c r="T330">
        <v>-5.6524280000000003E-2</v>
      </c>
      <c r="U330">
        <v>-0.36297610000000002</v>
      </c>
      <c r="V330">
        <v>-5.7489119999999998E-2</v>
      </c>
      <c r="W330">
        <v>-3.9995360000000001E-2</v>
      </c>
      <c r="X330">
        <v>0.9975446</v>
      </c>
      <c r="Y330">
        <v>0.1263966</v>
      </c>
      <c r="Z330">
        <v>-2.0563840000000001E-3</v>
      </c>
      <c r="AA330">
        <v>0.99197760000000001</v>
      </c>
      <c r="AB330">
        <v>40</v>
      </c>
      <c r="AC330">
        <v>59.034899999999901</v>
      </c>
      <c r="AD330">
        <v>-1.1063664160089901</v>
      </c>
      <c r="AE330">
        <v>-7.1043999999999903</v>
      </c>
      <c r="AF330">
        <v>7.5506421166542603</v>
      </c>
      <c r="AG330">
        <v>-1.1063664160089901</v>
      </c>
      <c r="AH330">
        <v>58.958738948837599</v>
      </c>
      <c r="AI330">
        <v>91.066327806496901</v>
      </c>
      <c r="AJ330">
        <v>82.702052319764107</v>
      </c>
      <c r="AK330">
        <v>59.450560480599698</v>
      </c>
      <c r="AL330">
        <v>92.292176874915</v>
      </c>
      <c r="AM330">
        <v>93.298343298877597</v>
      </c>
      <c r="AN330">
        <v>0.999999928364529</v>
      </c>
    </row>
    <row r="331" spans="1:40" x14ac:dyDescent="0.25">
      <c r="A331" t="str">
        <f>"20190305135203398"</f>
        <v>20190305135203398</v>
      </c>
      <c r="B331" t="str">
        <f>"1551765123390257"</f>
        <v>1551765123390257</v>
      </c>
      <c r="C331" t="s">
        <v>40</v>
      </c>
      <c r="D331">
        <v>4.7727250000000003</v>
      </c>
      <c r="E331">
        <v>0.57075580000000004</v>
      </c>
      <c r="F331" t="s">
        <v>42</v>
      </c>
      <c r="G331">
        <v>-329.35820000000001</v>
      </c>
      <c r="H331" s="1">
        <v>-2.6811640000000001E-6</v>
      </c>
      <c r="I331">
        <v>360.30810000000002</v>
      </c>
      <c r="J331">
        <v>-389.94299999999998</v>
      </c>
      <c r="K331">
        <v>1.106625</v>
      </c>
      <c r="L331">
        <v>367.65370000000001</v>
      </c>
      <c r="M331">
        <v>0.99988200000000005</v>
      </c>
      <c r="N331">
        <v>-1.3384790000000001E-2</v>
      </c>
      <c r="O331">
        <v>7.545805E-3</v>
      </c>
      <c r="P331">
        <v>0.99647410000000003</v>
      </c>
      <c r="Q331">
        <v>-5.307916E-2</v>
      </c>
      <c r="R331">
        <v>6.4978019999999997E-2</v>
      </c>
      <c r="S331">
        <v>3.031647</v>
      </c>
      <c r="T331">
        <v>-5.5156110000000001E-2</v>
      </c>
      <c r="U331">
        <v>-0.36611939999999998</v>
      </c>
      <c r="V331">
        <v>-5.7468850000000002E-2</v>
      </c>
      <c r="W331">
        <v>-3.9712280000000003E-2</v>
      </c>
      <c r="X331">
        <v>0.99755720000000003</v>
      </c>
      <c r="Y331">
        <v>0.12734699999999999</v>
      </c>
      <c r="Z331">
        <v>-2.0458199999999998E-3</v>
      </c>
      <c r="AA331">
        <v>0.99185610000000002</v>
      </c>
      <c r="AB331">
        <v>40</v>
      </c>
      <c r="AC331">
        <v>60.584800000000001</v>
      </c>
      <c r="AD331">
        <v>-1.1066276811639999</v>
      </c>
      <c r="AE331">
        <v>-7.3455999999999904</v>
      </c>
      <c r="AF331">
        <v>7.8000281670526004</v>
      </c>
      <c r="AG331">
        <v>-1.1066276811639999</v>
      </c>
      <c r="AH331">
        <v>60.507746188411602</v>
      </c>
      <c r="AI331">
        <v>91.039170315570004</v>
      </c>
      <c r="AJ331">
        <v>82.6545345547095</v>
      </c>
      <c r="AK331">
        <v>61.018459608816499</v>
      </c>
      <c r="AL331">
        <v>92.275944409980397</v>
      </c>
      <c r="AM331">
        <v>93.297141353022397</v>
      </c>
      <c r="AN331">
        <v>1.00000005058747</v>
      </c>
    </row>
    <row r="332" spans="1:40" x14ac:dyDescent="0.25">
      <c r="A332" t="str">
        <f>"20190305135203410"</f>
        <v>20190305135203410</v>
      </c>
      <c r="B332" t="str">
        <f>"1551765123400018"</f>
        <v>1551765123400018</v>
      </c>
      <c r="C332" t="s">
        <v>40</v>
      </c>
      <c r="D332">
        <v>4.8124370000000001</v>
      </c>
      <c r="E332">
        <v>0.57090280000000004</v>
      </c>
      <c r="F332" t="s">
        <v>42</v>
      </c>
      <c r="G332">
        <v>-328.79759999999999</v>
      </c>
      <c r="H332" s="1">
        <v>-2.88669E-6</v>
      </c>
      <c r="I332">
        <v>360.25259999999997</v>
      </c>
      <c r="J332">
        <v>-389.73020000000002</v>
      </c>
      <c r="K332">
        <v>1.1068549999999999</v>
      </c>
      <c r="L332">
        <v>367.65530000000001</v>
      </c>
      <c r="M332">
        <v>0.99988100000000002</v>
      </c>
      <c r="N332">
        <v>-1.349233E-2</v>
      </c>
      <c r="O332">
        <v>7.488911E-3</v>
      </c>
      <c r="P332">
        <v>0.99648479999999995</v>
      </c>
      <c r="Q332">
        <v>-5.3060830000000003E-2</v>
      </c>
      <c r="R332">
        <v>6.4831250000000007E-2</v>
      </c>
      <c r="S332">
        <v>3.0315859999999999</v>
      </c>
      <c r="T332">
        <v>-5.486655E-2</v>
      </c>
      <c r="U332">
        <v>-0.36694339999999998</v>
      </c>
      <c r="V332">
        <v>-5.7379230000000003E-2</v>
      </c>
      <c r="W332">
        <v>-3.9586570000000001E-2</v>
      </c>
      <c r="X332">
        <v>0.99756730000000005</v>
      </c>
      <c r="Y332">
        <v>0.1275588</v>
      </c>
      <c r="Z332">
        <v>-2.0482109999999999E-3</v>
      </c>
      <c r="AA332">
        <v>0.99182890000000001</v>
      </c>
      <c r="AB332">
        <v>40</v>
      </c>
      <c r="AC332">
        <v>60.932600000000001</v>
      </c>
      <c r="AD332">
        <v>-1.1068578866899901</v>
      </c>
      <c r="AE332">
        <v>-7.4027000000000296</v>
      </c>
      <c r="AF332">
        <v>7.8562980056796201</v>
      </c>
      <c r="AG332">
        <v>-1.1068578866899901</v>
      </c>
      <c r="AH332">
        <v>60.855658878819703</v>
      </c>
      <c r="AI332">
        <v>91.033420941739706</v>
      </c>
      <c r="AJ332">
        <v>82.643958077084605</v>
      </c>
      <c r="AK332">
        <v>61.370658871407301</v>
      </c>
      <c r="AL332">
        <v>92.268736215163102</v>
      </c>
      <c r="AM332">
        <v>93.291977674680794</v>
      </c>
      <c r="AN332">
        <v>0.99999999529452399</v>
      </c>
    </row>
    <row r="333" spans="1:40" x14ac:dyDescent="0.25">
      <c r="A333" t="str">
        <f>"20190305135203423"</f>
        <v>20190305135203423</v>
      </c>
      <c r="B333" t="str">
        <f>"1551765123420513"</f>
        <v>1551765123420513</v>
      </c>
      <c r="C333" t="s">
        <v>40</v>
      </c>
      <c r="D333">
        <v>4.9880469999999999</v>
      </c>
      <c r="E333">
        <v>0.57128869999999998</v>
      </c>
      <c r="F333" t="s">
        <v>42</v>
      </c>
      <c r="G333">
        <v>-328.11759999999998</v>
      </c>
      <c r="H333" s="1">
        <v>-3.1411139999999998E-6</v>
      </c>
      <c r="I333">
        <v>360.16609999999997</v>
      </c>
      <c r="J333">
        <v>-389.48200000000003</v>
      </c>
      <c r="K333">
        <v>1.107097</v>
      </c>
      <c r="L333">
        <v>367.65710000000001</v>
      </c>
      <c r="M333">
        <v>0.99987990000000004</v>
      </c>
      <c r="N333">
        <v>-1.3610560000000001E-2</v>
      </c>
      <c r="O333">
        <v>7.4229350000000003E-3</v>
      </c>
      <c r="P333">
        <v>0.99652890000000005</v>
      </c>
      <c r="Q333">
        <v>-5.257738E-2</v>
      </c>
      <c r="R333">
        <v>6.4544359999999995E-2</v>
      </c>
      <c r="S333">
        <v>3.031647</v>
      </c>
      <c r="T333">
        <v>-5.4462910000000003E-2</v>
      </c>
      <c r="U333">
        <v>-0.36849979999999999</v>
      </c>
      <c r="V333">
        <v>-5.7157010000000001E-2</v>
      </c>
      <c r="W333">
        <v>-3.8984749999999999E-2</v>
      </c>
      <c r="X333">
        <v>0.99760380000000004</v>
      </c>
      <c r="Y333">
        <v>0.12799289999999999</v>
      </c>
      <c r="Z333">
        <v>-2.0519750000000002E-3</v>
      </c>
      <c r="AA333">
        <v>0.99177289999999996</v>
      </c>
      <c r="AB333">
        <v>40</v>
      </c>
      <c r="AC333">
        <v>61.364399999999897</v>
      </c>
      <c r="AD333">
        <v>-1.107100141114</v>
      </c>
      <c r="AE333">
        <v>-7.4910000000000396</v>
      </c>
      <c r="AF333">
        <v>7.94379201591385</v>
      </c>
      <c r="AG333">
        <v>-1.107100141114</v>
      </c>
      <c r="AH333">
        <v>61.287443037582001</v>
      </c>
      <c r="AI333">
        <v>91.026298720366299</v>
      </c>
      <c r="AJ333">
        <v>82.6147627457418</v>
      </c>
      <c r="AK333">
        <v>61.810032975233099</v>
      </c>
      <c r="AL333">
        <v>92.234227732886495</v>
      </c>
      <c r="AM333">
        <v>93.279136564054298</v>
      </c>
      <c r="AN333">
        <v>1.0000000381495699</v>
      </c>
    </row>
    <row r="334" spans="1:40" x14ac:dyDescent="0.25">
      <c r="A334" t="str">
        <f>"20190305135203442"</f>
        <v>20190305135203442</v>
      </c>
      <c r="B334" t="str">
        <f>"1551765123440033"</f>
        <v>1551765123440033</v>
      </c>
      <c r="C334" t="s">
        <v>40</v>
      </c>
      <c r="D334">
        <v>4.7761959999999997</v>
      </c>
      <c r="E334">
        <v>0.57146649999999999</v>
      </c>
      <c r="F334" t="s">
        <v>42</v>
      </c>
      <c r="G334">
        <v>-324.07769999999999</v>
      </c>
      <c r="H334">
        <v>3.640902E-2</v>
      </c>
      <c r="I334">
        <v>359.6164</v>
      </c>
      <c r="J334">
        <v>-389.15359999999998</v>
      </c>
      <c r="K334">
        <v>1.107375</v>
      </c>
      <c r="L334">
        <v>367.65949999999998</v>
      </c>
      <c r="M334">
        <v>0.9998785</v>
      </c>
      <c r="N334">
        <v>-1.3753349999999999E-2</v>
      </c>
      <c r="O334">
        <v>7.3354409999999998E-3</v>
      </c>
      <c r="P334">
        <v>0.99656860000000003</v>
      </c>
      <c r="Q334">
        <v>-5.2696989999999999E-2</v>
      </c>
      <c r="R334">
        <v>6.3829079999999996E-2</v>
      </c>
      <c r="S334">
        <v>3.0319820000000002</v>
      </c>
      <c r="T334">
        <v>-4.9634459999999998E-2</v>
      </c>
      <c r="U334">
        <v>-0.37274170000000001</v>
      </c>
      <c r="V334">
        <v>-5.6529129999999997E-2</v>
      </c>
      <c r="W334">
        <v>-3.8961620000000002E-2</v>
      </c>
      <c r="X334">
        <v>0.99764039999999998</v>
      </c>
      <c r="Y334">
        <v>0.1292645</v>
      </c>
      <c r="Z334">
        <v>-1.9655409999999999E-3</v>
      </c>
      <c r="AA334">
        <v>0.99160820000000005</v>
      </c>
      <c r="AB334">
        <v>40</v>
      </c>
      <c r="AC334">
        <v>65.075899999999905</v>
      </c>
      <c r="AD334">
        <v>-1.07096598</v>
      </c>
      <c r="AE334">
        <v>-8.0430999999999795</v>
      </c>
      <c r="AF334">
        <v>8.5180168472400997</v>
      </c>
      <c r="AG334">
        <v>-1.07096598</v>
      </c>
      <c r="AH334">
        <v>64.997804491627903</v>
      </c>
      <c r="AI334">
        <v>90.935972938393206</v>
      </c>
      <c r="AJ334">
        <v>82.533887790668103</v>
      </c>
      <c r="AK334">
        <v>65.562322776668495</v>
      </c>
      <c r="AL334">
        <v>92.232901650669902</v>
      </c>
      <c r="AM334">
        <v>93.243073253922205</v>
      </c>
      <c r="AN334">
        <v>0.999999959041869</v>
      </c>
    </row>
    <row r="335" spans="1:40" x14ac:dyDescent="0.25">
      <c r="A335" t="str">
        <f>"20190305135203456"</f>
        <v>20190305135203456</v>
      </c>
      <c r="B335" t="str">
        <f>"1551765123449793"</f>
        <v>1551765123449793</v>
      </c>
      <c r="C335" t="s">
        <v>40</v>
      </c>
      <c r="D335">
        <v>4.7966089999999904</v>
      </c>
      <c r="E335">
        <v>0.57161070000000003</v>
      </c>
      <c r="F335" t="s">
        <v>42</v>
      </c>
      <c r="G335">
        <v>-321.31729999999999</v>
      </c>
      <c r="H335">
        <v>7.9986450000000001E-2</v>
      </c>
      <c r="I335">
        <v>359.25020000000001</v>
      </c>
      <c r="J335">
        <v>-388.90980000000002</v>
      </c>
      <c r="K335">
        <v>1.1075549999999901</v>
      </c>
      <c r="L335">
        <v>367.66120000000001</v>
      </c>
      <c r="M335">
        <v>0.99987769999999998</v>
      </c>
      <c r="N335">
        <v>-1.3850650000000001E-2</v>
      </c>
      <c r="O335">
        <v>7.2705519999999996E-3</v>
      </c>
      <c r="P335">
        <v>0.99658069999999999</v>
      </c>
      <c r="Q335">
        <v>-5.2757940000000003E-2</v>
      </c>
      <c r="R335">
        <v>6.3589209999999993E-2</v>
      </c>
      <c r="S335">
        <v>3.0319820000000002</v>
      </c>
      <c r="T335">
        <v>-4.5919660000000001E-2</v>
      </c>
      <c r="U335">
        <v>-0.37585449999999998</v>
      </c>
      <c r="V335">
        <v>-5.6353670000000002E-2</v>
      </c>
      <c r="W335">
        <v>-3.8925420000000002E-2</v>
      </c>
      <c r="X335">
        <v>0.99765179999999998</v>
      </c>
      <c r="Y335">
        <v>0.13020609999999999</v>
      </c>
      <c r="Z335">
        <v>-1.896862E-3</v>
      </c>
      <c r="AA335">
        <v>0.99148510000000001</v>
      </c>
      <c r="AB335">
        <v>40</v>
      </c>
      <c r="AC335">
        <v>67.592500000000001</v>
      </c>
      <c r="AD335">
        <v>-1.02756854999999</v>
      </c>
      <c r="AE335">
        <v>-8.4109999999999996</v>
      </c>
      <c r="AF335">
        <v>8.9002339552201093</v>
      </c>
      <c r="AG335">
        <v>-1.02756854999999</v>
      </c>
      <c r="AH335">
        <v>67.514189169799494</v>
      </c>
      <c r="AI335">
        <v>90.864498292129198</v>
      </c>
      <c r="AJ335">
        <v>82.490138161572801</v>
      </c>
      <c r="AK335">
        <v>68.106062878704606</v>
      </c>
      <c r="AL335">
        <v>92.230825834413594</v>
      </c>
      <c r="AM335">
        <v>93.232991644525995</v>
      </c>
      <c r="AN335">
        <v>1.00000001924394</v>
      </c>
    </row>
    <row r="336" spans="1:40" x14ac:dyDescent="0.25">
      <c r="A336" t="str">
        <f>"20190305135203475"</f>
        <v>20190305135203475</v>
      </c>
      <c r="B336" t="str">
        <f>"1551765123470289"</f>
        <v>1551765123470289</v>
      </c>
      <c r="C336" t="s">
        <v>40</v>
      </c>
      <c r="D336">
        <v>4.8500930000000002</v>
      </c>
      <c r="E336">
        <v>0.57196099999999905</v>
      </c>
      <c r="F336" t="s">
        <v>47</v>
      </c>
      <c r="G336">
        <v>-309.10649999999998</v>
      </c>
      <c r="H336">
        <v>-0.05</v>
      </c>
      <c r="I336">
        <v>357.71359999999999</v>
      </c>
      <c r="J336">
        <v>-388.56180000000001</v>
      </c>
      <c r="K336">
        <v>1.1077840000000001</v>
      </c>
      <c r="L336">
        <v>367.66359999999997</v>
      </c>
      <c r="M336">
        <v>0.9998766</v>
      </c>
      <c r="N336">
        <v>-1.3979490000000001E-2</v>
      </c>
      <c r="O336">
        <v>7.1781340000000001E-3</v>
      </c>
      <c r="P336">
        <v>0.99657770000000001</v>
      </c>
      <c r="Q336">
        <v>-5.2958150000000002E-2</v>
      </c>
      <c r="R336">
        <v>6.3469269999999994E-2</v>
      </c>
      <c r="S336">
        <v>3.0321349999999998</v>
      </c>
      <c r="T336">
        <v>-4.3981430000000002E-2</v>
      </c>
      <c r="U336">
        <v>-0.37796020000000002</v>
      </c>
      <c r="V336">
        <v>-5.6325920000000002E-2</v>
      </c>
      <c r="W336">
        <v>-3.8997129999999998E-2</v>
      </c>
      <c r="X336">
        <v>0.99765060000000005</v>
      </c>
      <c r="Y336">
        <v>0.13078799999999999</v>
      </c>
      <c r="Z336">
        <v>-1.8664479999999999E-3</v>
      </c>
      <c r="AA336">
        <v>0.99140859999999997</v>
      </c>
      <c r="AB336">
        <v>40</v>
      </c>
      <c r="AC336">
        <v>79.455299999999994</v>
      </c>
      <c r="AD336">
        <v>-1.1577839999999999</v>
      </c>
      <c r="AE336">
        <v>-9.9499999999999797</v>
      </c>
      <c r="AF336">
        <v>10.517941304556601</v>
      </c>
      <c r="AG336">
        <v>-1.1577839999999999</v>
      </c>
      <c r="AH336">
        <v>79.365231818869901</v>
      </c>
      <c r="AI336">
        <v>90.828531340930397</v>
      </c>
      <c r="AJ336">
        <v>82.450821174049395</v>
      </c>
      <c r="AK336">
        <v>80.067518849654107</v>
      </c>
      <c r="AL336">
        <v>92.234937562221901</v>
      </c>
      <c r="AM336">
        <v>93.231406889259802</v>
      </c>
      <c r="AN336">
        <v>1.00000005254622</v>
      </c>
    </row>
    <row r="337" spans="1:40" x14ac:dyDescent="0.25">
      <c r="A337" t="str">
        <f>"20190305135203498"</f>
        <v>20190305135203498</v>
      </c>
      <c r="B337" t="str">
        <f>"1551765123489813"</f>
        <v>1551765123489813</v>
      </c>
      <c r="C337" t="s">
        <v>40</v>
      </c>
      <c r="D337">
        <v>4.7941500000000001</v>
      </c>
      <c r="E337">
        <v>0.57258609999999999</v>
      </c>
      <c r="F337" t="s">
        <v>47</v>
      </c>
      <c r="G337">
        <v>-304.03750000000002</v>
      </c>
      <c r="H337">
        <v>-0.05</v>
      </c>
      <c r="I337">
        <v>357.04480000000001</v>
      </c>
      <c r="J337">
        <v>-388.1354</v>
      </c>
      <c r="K337">
        <v>1.1080139999999901</v>
      </c>
      <c r="L337">
        <v>367.66660000000002</v>
      </c>
      <c r="M337">
        <v>0.99987539999999997</v>
      </c>
      <c r="N337">
        <v>-1.412072E-2</v>
      </c>
      <c r="O337">
        <v>7.0640470000000004E-3</v>
      </c>
      <c r="P337">
        <v>0.99655479999999996</v>
      </c>
      <c r="Q337">
        <v>-5.3583499999999999E-2</v>
      </c>
      <c r="R337">
        <v>6.3305429999999996E-2</v>
      </c>
      <c r="S337">
        <v>3.0323180000000001</v>
      </c>
      <c r="T337">
        <v>-4.1535620000000002E-2</v>
      </c>
      <c r="U337">
        <v>-0.38095089999999998</v>
      </c>
      <c r="V337">
        <v>-5.6276329999999999E-2</v>
      </c>
      <c r="W337">
        <v>-3.9481950000000002E-2</v>
      </c>
      <c r="X337">
        <v>0.99763429999999997</v>
      </c>
      <c r="Y337">
        <v>0.1316321</v>
      </c>
      <c r="Z337">
        <v>-1.828131E-3</v>
      </c>
      <c r="AA337">
        <v>0.99129690000000004</v>
      </c>
      <c r="AB337">
        <v>40</v>
      </c>
      <c r="AC337">
        <v>84.097899999999896</v>
      </c>
      <c r="AD337">
        <v>-1.1580140000000001</v>
      </c>
      <c r="AE337">
        <v>-10.6218</v>
      </c>
      <c r="AF337">
        <v>11.213572846203499</v>
      </c>
      <c r="AG337">
        <v>-1.1580140000000001</v>
      </c>
      <c r="AH337">
        <v>84.005082950095996</v>
      </c>
      <c r="AI337">
        <v>90.782832110310693</v>
      </c>
      <c r="AJ337">
        <v>82.396715298466603</v>
      </c>
      <c r="AK337">
        <v>84.758121580494105</v>
      </c>
      <c r="AL337">
        <v>92.262737177790797</v>
      </c>
      <c r="AM337">
        <v>93.228620580720303</v>
      </c>
      <c r="AN337">
        <v>1.0000000231152799</v>
      </c>
    </row>
    <row r="338" spans="1:40" x14ac:dyDescent="0.25">
      <c r="A338" t="str">
        <f>"20190305135203510"</f>
        <v>20190305135203510</v>
      </c>
      <c r="B338" t="str">
        <f>"1551765123499571"</f>
        <v>1551765123499571</v>
      </c>
      <c r="C338" t="s">
        <v>40</v>
      </c>
      <c r="D338">
        <v>4.8097479999999999</v>
      </c>
      <c r="E338">
        <v>0.57298640000000001</v>
      </c>
      <c r="F338" t="s">
        <v>47</v>
      </c>
      <c r="G338">
        <v>-299.26749999999998</v>
      </c>
      <c r="H338">
        <v>-0.05</v>
      </c>
      <c r="I338">
        <v>356.34730000000002</v>
      </c>
      <c r="J338">
        <v>-387.93040000000002</v>
      </c>
      <c r="K338">
        <v>1.1081049999999999</v>
      </c>
      <c r="L338">
        <v>367.66800000000001</v>
      </c>
      <c r="M338">
        <v>0.99987490000000001</v>
      </c>
      <c r="N338">
        <v>-1.418254E-2</v>
      </c>
      <c r="O338">
        <v>7.0091809999999997E-3</v>
      </c>
      <c r="P338">
        <v>0.99651849999999997</v>
      </c>
      <c r="Q338">
        <v>-5.4027760000000001E-2</v>
      </c>
      <c r="R338">
        <v>6.3497949999999997E-2</v>
      </c>
      <c r="S338">
        <v>3.0327760000000001</v>
      </c>
      <c r="T338">
        <v>-3.9519310000000002E-2</v>
      </c>
      <c r="U338">
        <v>-0.38629150000000001</v>
      </c>
      <c r="V338">
        <v>-5.6523780000000003E-2</v>
      </c>
      <c r="W338">
        <v>-3.9864940000000001E-2</v>
      </c>
      <c r="X338">
        <v>0.99760510000000002</v>
      </c>
      <c r="Y338">
        <v>0.1332786</v>
      </c>
      <c r="Z338">
        <v>-1.8058480000000001E-3</v>
      </c>
      <c r="AA338">
        <v>0.99107690000000004</v>
      </c>
      <c r="AB338">
        <v>40</v>
      </c>
      <c r="AC338">
        <v>88.662899999999993</v>
      </c>
      <c r="AD338">
        <v>-1.1581049999999999</v>
      </c>
      <c r="AE338">
        <v>-11.320699999999899</v>
      </c>
      <c r="AF338">
        <v>11.9399342228434</v>
      </c>
      <c r="AG338">
        <v>-1.1581049999999999</v>
      </c>
      <c r="AH338">
        <v>88.566496580766199</v>
      </c>
      <c r="AI338">
        <v>90.742447355067895</v>
      </c>
      <c r="AJ338">
        <v>82.322062880446694</v>
      </c>
      <c r="AK338">
        <v>89.375206590126098</v>
      </c>
      <c r="AL338">
        <v>92.284698131685303</v>
      </c>
      <c r="AM338">
        <v>93.2428814793371</v>
      </c>
      <c r="AN338">
        <v>1.0000000433463501</v>
      </c>
    </row>
    <row r="339" spans="1:40" x14ac:dyDescent="0.25">
      <c r="A339" t="str">
        <f>"20190305135203521"</f>
        <v>20190305135203521</v>
      </c>
      <c r="B339" t="str">
        <f>"1551765123510307"</f>
        <v>1551765123510307</v>
      </c>
      <c r="C339" t="s">
        <v>40</v>
      </c>
      <c r="D339">
        <v>4.8320679999999996</v>
      </c>
      <c r="E339">
        <v>0.57344989999999996</v>
      </c>
      <c r="F339" t="s">
        <v>47</v>
      </c>
      <c r="G339">
        <v>-295.80549999999999</v>
      </c>
      <c r="H339">
        <v>-0.05</v>
      </c>
      <c r="I339">
        <v>355.8587</v>
      </c>
      <c r="J339">
        <v>-387.73129999999998</v>
      </c>
      <c r="K339">
        <v>1.108187</v>
      </c>
      <c r="L339">
        <v>367.66930000000002</v>
      </c>
      <c r="M339">
        <v>0.99987459999999995</v>
      </c>
      <c r="N339">
        <v>-1.4238839999999999E-2</v>
      </c>
      <c r="O339">
        <v>6.9558419999999899E-3</v>
      </c>
      <c r="P339">
        <v>0.99650700000000003</v>
      </c>
      <c r="Q339">
        <v>-5.4228989999999998E-2</v>
      </c>
      <c r="R339">
        <v>6.3508759999999997E-2</v>
      </c>
      <c r="S339">
        <v>3.0332340000000002</v>
      </c>
      <c r="T339">
        <v>-3.8130879999999999E-2</v>
      </c>
      <c r="U339">
        <v>-0.38882450000000002</v>
      </c>
      <c r="V339">
        <v>-5.6588149999999997E-2</v>
      </c>
      <c r="W339">
        <v>-4.0010179999999999E-2</v>
      </c>
      <c r="X339">
        <v>0.99759560000000003</v>
      </c>
      <c r="Y339">
        <v>0.13402229999999901</v>
      </c>
      <c r="Z339">
        <v>-1.785568E-3</v>
      </c>
      <c r="AA339">
        <v>0.99097670000000004</v>
      </c>
      <c r="AB339">
        <v>40</v>
      </c>
      <c r="AC339">
        <v>91.925799999999896</v>
      </c>
      <c r="AD339">
        <v>-1.1581870000000001</v>
      </c>
      <c r="AE339">
        <v>-11.810600000000001</v>
      </c>
      <c r="AF339">
        <v>12.447856410412999</v>
      </c>
      <c r="AG339">
        <v>-1.1581870000000001</v>
      </c>
      <c r="AH339">
        <v>91.827074889828097</v>
      </c>
      <c r="AI339">
        <v>90.7160674097087</v>
      </c>
      <c r="AJ339">
        <v>82.280179163713299</v>
      </c>
      <c r="AK339">
        <v>92.674172287446495</v>
      </c>
      <c r="AL339">
        <v>92.293026497811198</v>
      </c>
      <c r="AM339">
        <v>93.246597469287494</v>
      </c>
      <c r="AN339">
        <v>1.0000000071816999</v>
      </c>
    </row>
    <row r="340" spans="1:40" x14ac:dyDescent="0.25">
      <c r="A340" t="str">
        <f>"20190305135203533"</f>
        <v>20190305135203533</v>
      </c>
      <c r="B340" t="str">
        <f>"1551765123529826"</f>
        <v>1551765123529826</v>
      </c>
      <c r="C340" t="s">
        <v>40</v>
      </c>
      <c r="D340">
        <v>4.8195819999999996</v>
      </c>
      <c r="E340">
        <v>0.57405469999999903</v>
      </c>
      <c r="F340" t="s">
        <v>47</v>
      </c>
      <c r="G340">
        <v>-289.31779999999998</v>
      </c>
      <c r="H340">
        <v>-0.05</v>
      </c>
      <c r="I340">
        <v>354.93849999999998</v>
      </c>
      <c r="J340">
        <v>-387.52800000000002</v>
      </c>
      <c r="K340">
        <v>1.10826</v>
      </c>
      <c r="L340">
        <v>367.67070000000001</v>
      </c>
      <c r="M340">
        <v>0.99987409999999999</v>
      </c>
      <c r="N340">
        <v>-1.4292539999999999E-2</v>
      </c>
      <c r="O340">
        <v>6.9015070000000003E-3</v>
      </c>
      <c r="P340">
        <v>0.99647549999999996</v>
      </c>
      <c r="Q340">
        <v>-5.4613750000000003E-2</v>
      </c>
      <c r="R340">
        <v>6.3672969999999995E-2</v>
      </c>
      <c r="S340">
        <v>3.033569</v>
      </c>
      <c r="T340">
        <v>-3.5700799999999998E-2</v>
      </c>
      <c r="U340">
        <v>-0.39242549999999998</v>
      </c>
      <c r="V340">
        <v>-5.6806679999999998E-2</v>
      </c>
      <c r="W340">
        <v>-4.0341719999999998E-2</v>
      </c>
      <c r="X340">
        <v>0.99756979999999995</v>
      </c>
      <c r="Y340">
        <v>0.1351136</v>
      </c>
      <c r="Z340">
        <v>-1.7440719999999999E-3</v>
      </c>
      <c r="AA340">
        <v>0.99082859999999995</v>
      </c>
      <c r="AB340">
        <v>40</v>
      </c>
      <c r="AC340">
        <v>98.2102</v>
      </c>
      <c r="AD340">
        <v>-1.1582600000000001</v>
      </c>
      <c r="AE340">
        <v>-12.732200000000001</v>
      </c>
      <c r="AF340">
        <v>13.4079301967425</v>
      </c>
      <c r="AG340">
        <v>-1.1582600000000001</v>
      </c>
      <c r="AH340">
        <v>98.1065600595078</v>
      </c>
      <c r="AI340">
        <v>90.670181445165298</v>
      </c>
      <c r="AJ340">
        <v>82.217769981162704</v>
      </c>
      <c r="AK340">
        <v>99.025306286313196</v>
      </c>
      <c r="AL340">
        <v>92.312037753623997</v>
      </c>
      <c r="AM340">
        <v>93.259192191067996</v>
      </c>
      <c r="AN340">
        <v>0.99999997956860998</v>
      </c>
    </row>
    <row r="341" spans="1:40" x14ac:dyDescent="0.25">
      <c r="A341" t="str">
        <f>"20190305135203545"</f>
        <v>20190305135203545</v>
      </c>
      <c r="B341" t="str">
        <f>"1551765123539586"</f>
        <v>1551765123539586</v>
      </c>
      <c r="C341" t="s">
        <v>40</v>
      </c>
      <c r="D341">
        <v>4.8389530000000001</v>
      </c>
      <c r="E341">
        <v>0.57435269999999905</v>
      </c>
      <c r="F341" t="s">
        <v>47</v>
      </c>
      <c r="G341">
        <v>-278.33749999999998</v>
      </c>
      <c r="H341">
        <v>-0.05</v>
      </c>
      <c r="I341">
        <v>353.40249999999997</v>
      </c>
      <c r="J341">
        <v>-387.29390000000001</v>
      </c>
      <c r="K341">
        <v>1.1083350000000001</v>
      </c>
      <c r="L341">
        <v>367.67230000000001</v>
      </c>
      <c r="M341">
        <v>0.99987369999999998</v>
      </c>
      <c r="N341">
        <v>-1.435176E-2</v>
      </c>
      <c r="O341">
        <v>6.8389059999999996E-3</v>
      </c>
      <c r="P341">
        <v>0.99643210000000004</v>
      </c>
      <c r="Q341">
        <v>-5.5268640000000001E-2</v>
      </c>
      <c r="R341">
        <v>6.37852E-2</v>
      </c>
      <c r="S341">
        <v>3.0341800000000001</v>
      </c>
      <c r="T341">
        <v>-3.218567E-2</v>
      </c>
      <c r="U341">
        <v>-0.39648440000000001</v>
      </c>
      <c r="V341">
        <v>-5.6981780000000003E-2</v>
      </c>
      <c r="W341">
        <v>-4.093807E-2</v>
      </c>
      <c r="X341">
        <v>0.99753550000000002</v>
      </c>
      <c r="Y341">
        <v>0.13633210000000001</v>
      </c>
      <c r="Z341">
        <v>-1.677076E-3</v>
      </c>
      <c r="AA341">
        <v>0.99066180000000004</v>
      </c>
      <c r="AB341">
        <v>40</v>
      </c>
      <c r="AC341">
        <v>108.9564</v>
      </c>
      <c r="AD341">
        <v>-1.1583349999999999</v>
      </c>
      <c r="AE341">
        <v>-14.2698</v>
      </c>
      <c r="AF341">
        <v>15.0130173062967</v>
      </c>
      <c r="AG341">
        <v>-1.1583349999999999</v>
      </c>
      <c r="AH341">
        <v>108.84415726908099</v>
      </c>
      <c r="AI341">
        <v>90.604008669927097</v>
      </c>
      <c r="AJ341">
        <v>82.146671150809297</v>
      </c>
      <c r="AK341">
        <v>109.880767198941</v>
      </c>
      <c r="AL341">
        <v>92.346234387079093</v>
      </c>
      <c r="AM341">
        <v>93.269328683156104</v>
      </c>
      <c r="AN341">
        <v>0.99999996129377</v>
      </c>
    </row>
    <row r="342" spans="1:40" x14ac:dyDescent="0.25">
      <c r="A342" t="str">
        <f>"20190305135203557"</f>
        <v>20190305135203557</v>
      </c>
      <c r="B342" t="str">
        <f>"1551765123550322"</f>
        <v>1551765123550322</v>
      </c>
      <c r="C342" t="s">
        <v>40</v>
      </c>
      <c r="D342">
        <v>4.8304819999999999</v>
      </c>
      <c r="E342">
        <v>0.57467139999999906</v>
      </c>
      <c r="F342" t="s">
        <v>47</v>
      </c>
      <c r="G342">
        <v>-277.23250000000002</v>
      </c>
      <c r="H342">
        <v>-0.05</v>
      </c>
      <c r="I342">
        <v>353.21300000000002</v>
      </c>
      <c r="J342">
        <v>-387.07619999999997</v>
      </c>
      <c r="K342">
        <v>1.1083970000000001</v>
      </c>
      <c r="L342">
        <v>367.6737</v>
      </c>
      <c r="M342">
        <v>0.99987349999999997</v>
      </c>
      <c r="N342">
        <v>-1.440105E-2</v>
      </c>
      <c r="O342">
        <v>6.7807839999999998E-3</v>
      </c>
      <c r="P342">
        <v>0.99639560000000005</v>
      </c>
      <c r="Q342">
        <v>-5.5482139999999999E-2</v>
      </c>
      <c r="R342">
        <v>6.4167740000000001E-2</v>
      </c>
      <c r="S342">
        <v>3.0344540000000002</v>
      </c>
      <c r="T342">
        <v>-3.1935930000000001E-2</v>
      </c>
      <c r="U342">
        <v>-0.39865109999999998</v>
      </c>
      <c r="V342">
        <v>-5.7422330000000001E-2</v>
      </c>
      <c r="W342">
        <v>-4.1102729999999997E-2</v>
      </c>
      <c r="X342">
        <v>0.99750349999999999</v>
      </c>
      <c r="Y342">
        <v>0.13695850000000001</v>
      </c>
      <c r="Z342">
        <v>-1.6819459999999999E-3</v>
      </c>
      <c r="AA342">
        <v>0.99057539999999999</v>
      </c>
      <c r="AB342">
        <v>40</v>
      </c>
      <c r="AC342">
        <v>109.843699999999</v>
      </c>
      <c r="AD342">
        <v>-1.1583969999999999</v>
      </c>
      <c r="AE342">
        <v>-14.4606999999999</v>
      </c>
      <c r="AF342">
        <v>15.203608921342999</v>
      </c>
      <c r="AG342">
        <v>-1.1583969999999999</v>
      </c>
      <c r="AH342">
        <v>109.73111328493</v>
      </c>
      <c r="AI342">
        <v>90.599108346669496</v>
      </c>
      <c r="AJ342">
        <v>82.111701553657696</v>
      </c>
      <c r="AK342">
        <v>110.785417951068</v>
      </c>
      <c r="AL342">
        <v>92.355676577466795</v>
      </c>
      <c r="AM342">
        <v>93.294655223237996</v>
      </c>
      <c r="AN342">
        <v>0.99999999545416596</v>
      </c>
    </row>
    <row r="343" spans="1:40" x14ac:dyDescent="0.25">
      <c r="A343" t="str">
        <f>"20190305135203576"</f>
        <v>20190305135203576</v>
      </c>
      <c r="B343" t="str">
        <f>"1551765123569842"</f>
        <v>1551765123569842</v>
      </c>
      <c r="C343" t="s">
        <v>40</v>
      </c>
      <c r="D343">
        <v>4.8344699999999996</v>
      </c>
      <c r="E343">
        <v>0.57521389999999994</v>
      </c>
      <c r="F343" t="s">
        <v>47</v>
      </c>
      <c r="G343">
        <v>-270.91449999999998</v>
      </c>
      <c r="H343">
        <v>-0.05</v>
      </c>
      <c r="I343">
        <v>352.35809999999998</v>
      </c>
      <c r="J343">
        <v>-386.74700000000001</v>
      </c>
      <c r="K343">
        <v>1.1084849999999999</v>
      </c>
      <c r="L343">
        <v>367.67590000000001</v>
      </c>
      <c r="M343">
        <v>0.99987300000000001</v>
      </c>
      <c r="N343">
        <v>-1.4470739999999999E-2</v>
      </c>
      <c r="O343">
        <v>6.6922350000000004E-3</v>
      </c>
      <c r="P343">
        <v>0.99634219999999896</v>
      </c>
      <c r="Q343">
        <v>-5.6344850000000002E-2</v>
      </c>
      <c r="R343">
        <v>6.4250230000000005E-2</v>
      </c>
      <c r="S343">
        <v>3.0349119999999998</v>
      </c>
      <c r="T343">
        <v>-3.0264969999999999E-2</v>
      </c>
      <c r="U343">
        <v>-0.40014650000000002</v>
      </c>
      <c r="V343">
        <v>-5.7594029999999997E-2</v>
      </c>
      <c r="W343">
        <v>-4.1896610000000001E-2</v>
      </c>
      <c r="X343">
        <v>0.99746060000000003</v>
      </c>
      <c r="Y343">
        <v>0.13733239999999999</v>
      </c>
      <c r="Z343">
        <v>-1.6498699999999999E-3</v>
      </c>
      <c r="AA343">
        <v>0.99052359999999995</v>
      </c>
      <c r="AB343">
        <v>40</v>
      </c>
      <c r="AC343">
        <v>115.832499999999</v>
      </c>
      <c r="AD343">
        <v>-1.158485</v>
      </c>
      <c r="AE343">
        <v>-15.3178</v>
      </c>
      <c r="AF343">
        <v>16.091134424639801</v>
      </c>
      <c r="AG343">
        <v>-1.158485</v>
      </c>
      <c r="AH343">
        <v>115.716008688475</v>
      </c>
      <c r="AI343">
        <v>90.568128399305195</v>
      </c>
      <c r="AJ343">
        <v>82.083381232470103</v>
      </c>
      <c r="AK343">
        <v>116.83518888313699</v>
      </c>
      <c r="AL343">
        <v>92.401201704358002</v>
      </c>
      <c r="AM343">
        <v>93.304626666735402</v>
      </c>
      <c r="AN343">
        <v>1.0000000233867401</v>
      </c>
    </row>
    <row r="344" spans="1:40" x14ac:dyDescent="0.25">
      <c r="A344" t="str">
        <f>"20190305135203589"</f>
        <v>20190305135203589</v>
      </c>
      <c r="B344" t="str">
        <f>"1551765123579601"</f>
        <v>1551765123579601</v>
      </c>
      <c r="C344" t="s">
        <v>40</v>
      </c>
      <c r="D344">
        <v>4.8277599999999996</v>
      </c>
      <c r="E344">
        <v>0.5755169</v>
      </c>
      <c r="F344" t="s">
        <v>47</v>
      </c>
      <c r="G344">
        <v>-261.91059999999999</v>
      </c>
      <c r="H344">
        <v>-0.05</v>
      </c>
      <c r="I344">
        <v>351.05500000000001</v>
      </c>
      <c r="J344">
        <v>-386.51589999999999</v>
      </c>
      <c r="K344">
        <v>1.108536</v>
      </c>
      <c r="L344">
        <v>367.67739999999998</v>
      </c>
      <c r="M344">
        <v>0.99987269999999995</v>
      </c>
      <c r="N344">
        <v>-1.4515800000000001E-2</v>
      </c>
      <c r="O344">
        <v>6.6302139999999997E-3</v>
      </c>
      <c r="P344">
        <v>0.99631619999999999</v>
      </c>
      <c r="Q344">
        <v>-5.6581220000000002E-2</v>
      </c>
      <c r="R344">
        <v>6.4442659999999999E-2</v>
      </c>
      <c r="S344">
        <v>3.0354610000000002</v>
      </c>
      <c r="T344">
        <v>-2.8169159999999999E-2</v>
      </c>
      <c r="U344">
        <v>-0.40414430000000001</v>
      </c>
      <c r="V344">
        <v>-5.7848509999999999E-2</v>
      </c>
      <c r="W344">
        <v>-4.2088349999999997E-2</v>
      </c>
      <c r="X344">
        <v>0.99743780000000004</v>
      </c>
      <c r="Y344">
        <v>0.13853109999999999</v>
      </c>
      <c r="Z344">
        <v>-1.615366E-3</v>
      </c>
      <c r="AA344">
        <v>0.99035669999999998</v>
      </c>
      <c r="AB344">
        <v>40</v>
      </c>
      <c r="AC344">
        <v>124.6053</v>
      </c>
      <c r="AD344">
        <v>-1.158536</v>
      </c>
      <c r="AE344">
        <v>-16.622399999999899</v>
      </c>
      <c r="AF344">
        <v>17.446799544049298</v>
      </c>
      <c r="AG344">
        <v>-1.158536</v>
      </c>
      <c r="AH344">
        <v>124.481766079029</v>
      </c>
      <c r="AI344">
        <v>90.528068106617198</v>
      </c>
      <c r="AJ344">
        <v>82.021653654044499</v>
      </c>
      <c r="AK344">
        <v>125.703791136734</v>
      </c>
      <c r="AL344">
        <v>92.412197298923402</v>
      </c>
      <c r="AM344">
        <v>93.319271331824098</v>
      </c>
      <c r="AN344">
        <v>1.0000000220918901</v>
      </c>
    </row>
    <row r="345" spans="1:40" x14ac:dyDescent="0.25">
      <c r="A345" t="str">
        <f>"20190305135203602"</f>
        <v>20190305135203602</v>
      </c>
      <c r="B345" t="str">
        <f>"1551765123590338"</f>
        <v>1551765123590338</v>
      </c>
      <c r="C345" t="s">
        <v>40</v>
      </c>
      <c r="D345">
        <v>5.0715199999999996</v>
      </c>
      <c r="E345">
        <v>0.57516599999999996</v>
      </c>
      <c r="F345" t="s">
        <v>47</v>
      </c>
      <c r="G345">
        <v>-252.84229999999999</v>
      </c>
      <c r="H345">
        <v>-0.05</v>
      </c>
      <c r="I345">
        <v>349.8005</v>
      </c>
      <c r="J345">
        <v>-386.28469999999999</v>
      </c>
      <c r="K345">
        <v>1.1085849999999999</v>
      </c>
      <c r="L345">
        <v>367.6789</v>
      </c>
      <c r="M345">
        <v>0.99987250000000005</v>
      </c>
      <c r="N345">
        <v>-1.455734E-2</v>
      </c>
      <c r="O345">
        <v>6.5680969999999898E-3</v>
      </c>
      <c r="P345">
        <v>0.99627920000000003</v>
      </c>
      <c r="Q345">
        <v>-5.7119740000000002E-2</v>
      </c>
      <c r="R345">
        <v>6.4540819999999999E-2</v>
      </c>
      <c r="S345">
        <v>3.0358890000000001</v>
      </c>
      <c r="T345">
        <v>-2.631176E-2</v>
      </c>
      <c r="U345">
        <v>-0.40600589999999998</v>
      </c>
      <c r="V345">
        <v>-5.8008980000000002E-2</v>
      </c>
      <c r="W345">
        <v>-4.2585890000000001E-2</v>
      </c>
      <c r="X345">
        <v>0.9974073</v>
      </c>
      <c r="Y345">
        <v>0.13904920000000001</v>
      </c>
      <c r="Z345">
        <v>-1.578056E-3</v>
      </c>
      <c r="AA345">
        <v>0.99028419999999895</v>
      </c>
      <c r="AB345">
        <v>40</v>
      </c>
      <c r="AC345">
        <v>133.44239999999999</v>
      </c>
      <c r="AD345">
        <v>-1.158585</v>
      </c>
      <c r="AE345">
        <v>-17.878399999999999</v>
      </c>
      <c r="AF345">
        <v>18.753181030561301</v>
      </c>
      <c r="AG345">
        <v>-1.158585</v>
      </c>
      <c r="AH345">
        <v>133.31220936331599</v>
      </c>
      <c r="AI345">
        <v>90.493077129265899</v>
      </c>
      <c r="AJ345">
        <v>81.992678559425897</v>
      </c>
      <c r="AK345">
        <v>134.629748879272</v>
      </c>
      <c r="AL345">
        <v>92.440729972842107</v>
      </c>
      <c r="AM345">
        <v>93.328559769212603</v>
      </c>
      <c r="AN345">
        <v>0.99999996094051002</v>
      </c>
    </row>
    <row r="346" spans="1:40" x14ac:dyDescent="0.25">
      <c r="A346" t="str">
        <f>"20190305135203622"</f>
        <v>20190305135203622</v>
      </c>
      <c r="B346" t="str">
        <f>"1551765123609859"</f>
        <v>1551765123609859</v>
      </c>
      <c r="C346" t="s">
        <v>40</v>
      </c>
      <c r="D346">
        <v>5.0433909999999997</v>
      </c>
      <c r="E346">
        <v>0.57451909999999995</v>
      </c>
      <c r="F346" t="s">
        <v>47</v>
      </c>
      <c r="G346">
        <v>-280.72609999999997</v>
      </c>
      <c r="H346">
        <v>-0.05</v>
      </c>
      <c r="I346">
        <v>353.67219999999998</v>
      </c>
      <c r="J346">
        <v>-385.94540000000001</v>
      </c>
      <c r="K346">
        <v>1.1086400000000001</v>
      </c>
      <c r="L346">
        <v>367.68099999999998</v>
      </c>
      <c r="M346">
        <v>0.99987230000000005</v>
      </c>
      <c r="N346">
        <v>-1.4612470000000001E-2</v>
      </c>
      <c r="O346">
        <v>6.4772639999999999E-3</v>
      </c>
      <c r="P346">
        <v>0.99628510000000003</v>
      </c>
      <c r="Q346">
        <v>-5.6933280000000003E-2</v>
      </c>
      <c r="R346">
        <v>6.4612580000000003E-2</v>
      </c>
      <c r="S346">
        <v>3.0354000000000001</v>
      </c>
      <c r="T346">
        <v>-3.3315780000000003E-2</v>
      </c>
      <c r="U346">
        <v>-0.40277099999999999</v>
      </c>
      <c r="V346">
        <v>-5.8170819999999998E-2</v>
      </c>
      <c r="W346">
        <v>-4.2344380000000001E-2</v>
      </c>
      <c r="X346">
        <v>0.99740819999999997</v>
      </c>
      <c r="Y346">
        <v>0.1379379</v>
      </c>
      <c r="Z346">
        <v>-1.7425450000000001E-3</v>
      </c>
      <c r="AA346">
        <v>0.99043939999999997</v>
      </c>
      <c r="AB346">
        <v>40</v>
      </c>
      <c r="AC346">
        <v>105.2193</v>
      </c>
      <c r="AD346">
        <v>-1.1586399999999999</v>
      </c>
      <c r="AE346">
        <v>-14.008800000000001</v>
      </c>
      <c r="AF346">
        <v>14.6883619470041</v>
      </c>
      <c r="AG346">
        <v>-1.1586399999999999</v>
      </c>
      <c r="AH346">
        <v>105.113820117552</v>
      </c>
      <c r="AI346">
        <v>90.625453164275996</v>
      </c>
      <c r="AJ346">
        <v>82.045130729140595</v>
      </c>
      <c r="AK346">
        <v>106.141441496905</v>
      </c>
      <c r="AL346">
        <v>92.426879870297199</v>
      </c>
      <c r="AM346">
        <v>93.337822188716501</v>
      </c>
      <c r="AN346">
        <v>1.00000000412214</v>
      </c>
    </row>
    <row r="347" spans="1:40" x14ac:dyDescent="0.25">
      <c r="A347" t="str">
        <f>"20190305135203642"</f>
        <v>20190305135203642</v>
      </c>
      <c r="B347" t="str">
        <f>"1551765123640621"</f>
        <v>1551765123640621</v>
      </c>
      <c r="C347" t="s">
        <v>40</v>
      </c>
      <c r="D347">
        <v>4.9288740000000004</v>
      </c>
      <c r="E347">
        <v>0.57419379999999998</v>
      </c>
      <c r="F347" t="s">
        <v>47</v>
      </c>
      <c r="G347">
        <v>-304.33879999999999</v>
      </c>
      <c r="H347">
        <v>-0.05</v>
      </c>
      <c r="I347">
        <v>356.98899999999998</v>
      </c>
      <c r="J347">
        <v>-385.56599999999997</v>
      </c>
      <c r="K347">
        <v>1.1087089999999999</v>
      </c>
      <c r="L347">
        <v>367.68340000000001</v>
      </c>
      <c r="M347">
        <v>0.99987210000000004</v>
      </c>
      <c r="N347">
        <v>-1.466753E-2</v>
      </c>
      <c r="O347">
        <v>6.3755269999999998E-3</v>
      </c>
      <c r="P347">
        <v>0.99632390000000004</v>
      </c>
      <c r="Q347">
        <v>-5.6760140000000001E-2</v>
      </c>
      <c r="R347">
        <v>6.4164070000000004E-2</v>
      </c>
      <c r="S347">
        <v>3.0345149999999999</v>
      </c>
      <c r="T347">
        <v>-4.3083669999999998E-2</v>
      </c>
      <c r="U347">
        <v>-0.39758300000000002</v>
      </c>
      <c r="V347">
        <v>-5.7823699999999999E-2</v>
      </c>
      <c r="W347">
        <v>-4.2116019999999997E-2</v>
      </c>
      <c r="X347">
        <v>0.99743809999999999</v>
      </c>
      <c r="Y347">
        <v>0.13620179999999901</v>
      </c>
      <c r="Z347">
        <v>-1.9630310000000001E-3</v>
      </c>
      <c r="AA347">
        <v>0.99067910000000003</v>
      </c>
      <c r="AB347">
        <v>40</v>
      </c>
      <c r="AC347">
        <v>81.227199999999897</v>
      </c>
      <c r="AD347">
        <v>-1.158709</v>
      </c>
      <c r="AE347">
        <v>-10.6943999999999</v>
      </c>
      <c r="AF347">
        <v>11.209862281995701</v>
      </c>
      <c r="AG347">
        <v>-1.158709</v>
      </c>
      <c r="AH347">
        <v>81.141128850731306</v>
      </c>
      <c r="AI347">
        <v>90.810441274562194</v>
      </c>
      <c r="AJ347">
        <v>82.134226287270494</v>
      </c>
      <c r="AK347">
        <v>81.9200000616393</v>
      </c>
      <c r="AL347">
        <v>92.413784009360896</v>
      </c>
      <c r="AM347">
        <v>93.317849951954898</v>
      </c>
      <c r="AN347">
        <v>1.00000005137696</v>
      </c>
    </row>
    <row r="348" spans="1:40" x14ac:dyDescent="0.25">
      <c r="A348" t="str">
        <f>"20190305135203657"</f>
        <v>20190305135203657</v>
      </c>
      <c r="B348" t="str">
        <f>"1551765123650382"</f>
        <v>1551765123650382</v>
      </c>
      <c r="C348" t="s">
        <v>40</v>
      </c>
      <c r="D348">
        <v>4.9236459999999997</v>
      </c>
      <c r="E348">
        <v>0.55414300000000005</v>
      </c>
      <c r="F348" t="s">
        <v>47</v>
      </c>
      <c r="G348">
        <v>-304.70100000000002</v>
      </c>
      <c r="H348">
        <v>-0.05</v>
      </c>
      <c r="I348">
        <v>357.11970000000002</v>
      </c>
      <c r="J348">
        <v>-385.30500000000001</v>
      </c>
      <c r="K348">
        <v>1.108744</v>
      </c>
      <c r="L348">
        <v>367.685</v>
      </c>
      <c r="M348">
        <v>0.99987199999999998</v>
      </c>
      <c r="N348">
        <v>-1.4701000000000001E-2</v>
      </c>
      <c r="O348">
        <v>6.3058970000000004E-3</v>
      </c>
      <c r="P348">
        <v>0.99634080000000003</v>
      </c>
      <c r="Q348">
        <v>-5.677492E-2</v>
      </c>
      <c r="R348">
        <v>6.3889580000000001E-2</v>
      </c>
      <c r="S348">
        <v>3.0341490000000002</v>
      </c>
      <c r="T348">
        <v>-4.3476099999999997E-2</v>
      </c>
      <c r="U348">
        <v>-0.3963623</v>
      </c>
      <c r="V348">
        <v>-5.7618759999999998E-2</v>
      </c>
      <c r="W348">
        <v>-4.2097309999999999E-2</v>
      </c>
      <c r="X348">
        <v>0.99745070000000002</v>
      </c>
      <c r="Y348">
        <v>0.13575609999999999</v>
      </c>
      <c r="Z348">
        <v>-1.968381E-3</v>
      </c>
      <c r="AA348">
        <v>0.99074039999999997</v>
      </c>
      <c r="AB348">
        <v>40</v>
      </c>
      <c r="AC348">
        <v>80.603999999999999</v>
      </c>
      <c r="AD348">
        <v>-1.158744</v>
      </c>
      <c r="AE348">
        <v>-10.565299999999899</v>
      </c>
      <c r="AF348">
        <v>11.0711760208223</v>
      </c>
      <c r="AG348">
        <v>-1.158744</v>
      </c>
      <c r="AH348">
        <v>80.5194068809393</v>
      </c>
      <c r="AI348">
        <v>90.816795253747699</v>
      </c>
      <c r="AJ348">
        <v>82.171092793453298</v>
      </c>
      <c r="AK348">
        <v>81.285229350724194</v>
      </c>
      <c r="AL348">
        <v>92.412711173070605</v>
      </c>
      <c r="AM348">
        <v>93.306075217034206</v>
      </c>
      <c r="AN348">
        <v>1.00000000197183</v>
      </c>
    </row>
    <row r="349" spans="1:40" x14ac:dyDescent="0.25">
      <c r="A349" t="str">
        <f>"20190305135203676"</f>
        <v>20190305135203676</v>
      </c>
      <c r="B349" t="str">
        <f>"1551765123669901"</f>
        <v>1551765123669901</v>
      </c>
      <c r="C349" t="s">
        <v>40</v>
      </c>
      <c r="D349">
        <v>5.0321860000000003</v>
      </c>
      <c r="E349">
        <v>0.55366389999999999</v>
      </c>
      <c r="F349" t="s">
        <v>42</v>
      </c>
      <c r="G349">
        <v>-341.91199999999998</v>
      </c>
      <c r="H349" s="1">
        <v>-4.7530019999999997E-6</v>
      </c>
      <c r="I349">
        <v>364.2647</v>
      </c>
      <c r="J349">
        <v>-384.96300000000002</v>
      </c>
      <c r="K349">
        <v>1.108789</v>
      </c>
      <c r="L349">
        <v>367.68709999999999</v>
      </c>
      <c r="M349">
        <v>0.99987210000000004</v>
      </c>
      <c r="N349">
        <v>-1.474086E-2</v>
      </c>
      <c r="O349">
        <v>6.2138119999999896E-3</v>
      </c>
      <c r="P349">
        <v>0.99635379999999996</v>
      </c>
      <c r="Q349">
        <v>-5.6666229999999998E-2</v>
      </c>
      <c r="R349">
        <v>6.3783530000000005E-2</v>
      </c>
      <c r="S349">
        <v>3.0218509999999998</v>
      </c>
      <c r="T349">
        <v>-7.7212329999999996E-2</v>
      </c>
      <c r="U349">
        <v>-0.2381897</v>
      </c>
      <c r="V349">
        <v>-5.76039E-2</v>
      </c>
      <c r="W349">
        <v>-4.1948770000000003E-2</v>
      </c>
      <c r="X349">
        <v>0.99745779999999995</v>
      </c>
      <c r="Y349">
        <v>8.4728699999999907E-2</v>
      </c>
      <c r="Z349">
        <v>-1.7733229999999901E-3</v>
      </c>
      <c r="AA349">
        <v>0.99640249999999997</v>
      </c>
      <c r="AB349">
        <v>40</v>
      </c>
      <c r="AC349">
        <v>43.051000000000002</v>
      </c>
      <c r="AD349">
        <v>-1.108793753002</v>
      </c>
      <c r="AE349">
        <v>-3.4223999999999801</v>
      </c>
      <c r="AF349">
        <v>3.6874431250375301</v>
      </c>
      <c r="AG349">
        <v>-1.108793753002</v>
      </c>
      <c r="AH349">
        <v>43.0005554366208</v>
      </c>
      <c r="AI349">
        <v>91.471678120695401</v>
      </c>
      <c r="AJ349">
        <v>85.098683748375507</v>
      </c>
      <c r="AK349">
        <v>43.172612015547301</v>
      </c>
      <c r="AL349">
        <v>92.404192972501505</v>
      </c>
      <c r="AM349">
        <v>93.305200989103895</v>
      </c>
      <c r="AN349">
        <v>0.99999998569028103</v>
      </c>
    </row>
    <row r="350" spans="1:40" x14ac:dyDescent="0.25">
      <c r="A350" t="str">
        <f>"20190305135203699"</f>
        <v>20190305135203699</v>
      </c>
      <c r="B350" t="str">
        <f>"1551765123690396"</f>
        <v>1551765123690396</v>
      </c>
      <c r="C350" t="s">
        <v>40</v>
      </c>
      <c r="D350">
        <v>4.9451910000000003</v>
      </c>
      <c r="E350">
        <v>0.55409399999999998</v>
      </c>
      <c r="F350" t="s">
        <v>42</v>
      </c>
      <c r="G350">
        <v>-342.3125</v>
      </c>
      <c r="H350" s="1">
        <v>-4.5439130000000004E-6</v>
      </c>
      <c r="I350">
        <v>364.37619999999998</v>
      </c>
      <c r="J350">
        <v>-384.56920000000002</v>
      </c>
      <c r="K350">
        <v>1.108827</v>
      </c>
      <c r="L350">
        <v>367.68950000000001</v>
      </c>
      <c r="M350">
        <v>0.99987219999999999</v>
      </c>
      <c r="N350">
        <v>-1.4781209999999999E-2</v>
      </c>
      <c r="O350">
        <v>6.1074809999999997E-3</v>
      </c>
      <c r="P350">
        <v>0.99634900000000004</v>
      </c>
      <c r="Q350">
        <v>-5.6965910000000002E-2</v>
      </c>
      <c r="R350">
        <v>6.3591610000000007E-2</v>
      </c>
      <c r="S350">
        <v>3.021576</v>
      </c>
      <c r="T350">
        <v>-7.8552479999999994E-2</v>
      </c>
      <c r="U350">
        <v>-0.23455809999999999</v>
      </c>
      <c r="V350">
        <v>-5.7518600000000003E-2</v>
      </c>
      <c r="W350">
        <v>-4.2208410000000002E-2</v>
      </c>
      <c r="X350">
        <v>0.9974518</v>
      </c>
      <c r="Y350">
        <v>8.3438869999999998E-2</v>
      </c>
      <c r="Z350">
        <v>-1.76895E-3</v>
      </c>
      <c r="AA350">
        <v>0.99651129999999999</v>
      </c>
      <c r="AB350">
        <v>40</v>
      </c>
      <c r="AC350">
        <v>42.256700000000002</v>
      </c>
      <c r="AD350">
        <v>-1.1088315439129901</v>
      </c>
      <c r="AE350">
        <v>-3.3133000000000199</v>
      </c>
      <c r="AF350">
        <v>3.5689059749786902</v>
      </c>
      <c r="AG350">
        <v>-1.1088315439129901</v>
      </c>
      <c r="AH350">
        <v>42.206789371785703</v>
      </c>
      <c r="AI350">
        <v>91.499545454404398</v>
      </c>
      <c r="AJ350">
        <v>85.166702282455105</v>
      </c>
      <c r="AK350">
        <v>42.371920729715598</v>
      </c>
      <c r="AL350">
        <v>92.419082362466199</v>
      </c>
      <c r="AM350">
        <v>93.300337274634799</v>
      </c>
      <c r="AN350">
        <v>1.00000001627196</v>
      </c>
    </row>
    <row r="351" spans="1:40" x14ac:dyDescent="0.25">
      <c r="A351" t="str">
        <f>"20190305135203710"</f>
        <v>20190305135203710</v>
      </c>
      <c r="B351" t="str">
        <f>"1551765123700156"</f>
        <v>1551765123700156</v>
      </c>
      <c r="C351" t="s">
        <v>40</v>
      </c>
      <c r="D351">
        <v>4.9267260000000004</v>
      </c>
      <c r="E351">
        <v>0.55435380000000001</v>
      </c>
      <c r="F351" t="s">
        <v>42</v>
      </c>
      <c r="G351">
        <v>-344.3922</v>
      </c>
      <c r="H351" s="1">
        <v>-3.5357249999999999E-6</v>
      </c>
      <c r="I351">
        <v>364.51769999999999</v>
      </c>
      <c r="J351">
        <v>-384.36630000000002</v>
      </c>
      <c r="K351">
        <v>1.108841</v>
      </c>
      <c r="L351">
        <v>367.69060000000002</v>
      </c>
      <c r="M351">
        <v>0.99987219999999999</v>
      </c>
      <c r="N351">
        <v>-1.479987E-2</v>
      </c>
      <c r="O351">
        <v>6.0528659999999996E-3</v>
      </c>
      <c r="P351">
        <v>0.99635700000000005</v>
      </c>
      <c r="Q351">
        <v>-5.7082029999999999E-2</v>
      </c>
      <c r="R351">
        <v>6.3359929999999995E-2</v>
      </c>
      <c r="S351">
        <v>3.0214539999999999</v>
      </c>
      <c r="T351">
        <v>-8.3387970000000006E-2</v>
      </c>
      <c r="U351">
        <v>-0.2385254</v>
      </c>
      <c r="V351">
        <v>-5.7340960000000003E-2</v>
      </c>
      <c r="W351">
        <v>-4.2305929999999999E-2</v>
      </c>
      <c r="X351">
        <v>0.99745790000000001</v>
      </c>
      <c r="Y351">
        <v>8.4682549999999995E-2</v>
      </c>
      <c r="Z351">
        <v>-1.871695E-3</v>
      </c>
      <c r="AA351">
        <v>0.99640620000000002</v>
      </c>
      <c r="AB351">
        <v>40</v>
      </c>
      <c r="AC351">
        <v>39.9741</v>
      </c>
      <c r="AD351">
        <v>-1.1088445357250001</v>
      </c>
      <c r="AE351">
        <v>-3.1729000000000198</v>
      </c>
      <c r="AF351">
        <v>3.4122171128978702</v>
      </c>
      <c r="AG351">
        <v>-1.1088445357250001</v>
      </c>
      <c r="AH351">
        <v>39.923633160903101</v>
      </c>
      <c r="AI351">
        <v>91.5851557554236</v>
      </c>
      <c r="AJ351">
        <v>85.114881812238295</v>
      </c>
      <c r="AK351">
        <v>40.084526273816998</v>
      </c>
      <c r="AL351">
        <v>92.424674833528002</v>
      </c>
      <c r="AM351">
        <v>93.290146888642695</v>
      </c>
      <c r="AN351">
        <v>1.0000000198396399</v>
      </c>
    </row>
    <row r="352" spans="1:40" x14ac:dyDescent="0.25">
      <c r="A352" t="str">
        <f>"20190305135203721"</f>
        <v>20190305135203721</v>
      </c>
      <c r="B352" t="str">
        <f>"1551765123709917"</f>
        <v>1551765123709917</v>
      </c>
      <c r="C352" t="s">
        <v>40</v>
      </c>
      <c r="D352">
        <v>4.9398660000000003</v>
      </c>
      <c r="E352">
        <v>0.55453850000000005</v>
      </c>
      <c r="F352" t="s">
        <v>42</v>
      </c>
      <c r="G352">
        <v>-345.1515</v>
      </c>
      <c r="H352" s="1">
        <v>-3.1921190000000002E-6</v>
      </c>
      <c r="I352">
        <v>364.55759999999998</v>
      </c>
      <c r="J352">
        <v>-384.16629999999998</v>
      </c>
      <c r="K352">
        <v>1.108857</v>
      </c>
      <c r="L352">
        <v>367.6918</v>
      </c>
      <c r="M352">
        <v>0.99987230000000005</v>
      </c>
      <c r="N352">
        <v>-1.4816869999999999E-2</v>
      </c>
      <c r="O352">
        <v>5.9989780000000003E-3</v>
      </c>
      <c r="P352">
        <v>0.99634279999999997</v>
      </c>
      <c r="Q352">
        <v>-5.7127089999999998E-2</v>
      </c>
      <c r="R352">
        <v>6.3542599999999894E-2</v>
      </c>
      <c r="S352">
        <v>3.021423</v>
      </c>
      <c r="T352">
        <v>-8.5434319999999994E-2</v>
      </c>
      <c r="U352">
        <v>-0.241394</v>
      </c>
      <c r="V352">
        <v>-5.7577749999999997E-2</v>
      </c>
      <c r="W352">
        <v>-4.233423E-2</v>
      </c>
      <c r="X352">
        <v>0.99744299999999997</v>
      </c>
      <c r="Y352">
        <v>8.5567080000000004E-2</v>
      </c>
      <c r="Z352">
        <v>-1.923342E-3</v>
      </c>
      <c r="AA352">
        <v>0.99633059999999996</v>
      </c>
      <c r="AB352">
        <v>40</v>
      </c>
      <c r="AC352">
        <v>39.014799999999902</v>
      </c>
      <c r="AD352">
        <v>-1.108860192119</v>
      </c>
      <c r="AE352">
        <v>-3.1342000000000199</v>
      </c>
      <c r="AF352">
        <v>3.3655170204396798</v>
      </c>
      <c r="AG352">
        <v>-1.108860192119</v>
      </c>
      <c r="AH352">
        <v>38.964021088985596</v>
      </c>
      <c r="AI352">
        <v>91.624071991745495</v>
      </c>
      <c r="AJ352">
        <v>85.063330061961196</v>
      </c>
      <c r="AK352">
        <v>39.124815848300798</v>
      </c>
      <c r="AL352">
        <v>92.426297900178895</v>
      </c>
      <c r="AM352">
        <v>93.303752788222496</v>
      </c>
      <c r="AN352">
        <v>0.99999996128687696</v>
      </c>
    </row>
    <row r="353" spans="1:40" x14ac:dyDescent="0.25">
      <c r="A353" t="str">
        <f>"20190305135203733"</f>
        <v>20190305135203733</v>
      </c>
      <c r="B353" t="str">
        <f>"1551765123730412"</f>
        <v>1551765123730412</v>
      </c>
      <c r="C353" t="s">
        <v>40</v>
      </c>
      <c r="D353">
        <v>4.9431459999999996</v>
      </c>
      <c r="E353">
        <v>0.55500450000000001</v>
      </c>
      <c r="F353" t="s">
        <v>42</v>
      </c>
      <c r="G353">
        <v>-344.97809999999998</v>
      </c>
      <c r="H353" s="1">
        <v>-3.260985E-6</v>
      </c>
      <c r="I353">
        <v>364.54910000000001</v>
      </c>
      <c r="J353">
        <v>-383.96170000000001</v>
      </c>
      <c r="K353">
        <v>1.1088739999999999</v>
      </c>
      <c r="L353">
        <v>367.69299999999998</v>
      </c>
      <c r="M353">
        <v>0.99987239999999999</v>
      </c>
      <c r="N353">
        <v>-1.483281E-2</v>
      </c>
      <c r="O353">
        <v>5.9437250000000004E-3</v>
      </c>
      <c r="P353">
        <v>0.9963436</v>
      </c>
      <c r="Q353">
        <v>-5.7232760000000001E-2</v>
      </c>
      <c r="R353">
        <v>6.3436359999999997E-2</v>
      </c>
      <c r="S353">
        <v>3.0215450000000001</v>
      </c>
      <c r="T353">
        <v>-8.5496899999999904E-2</v>
      </c>
      <c r="U353">
        <v>-0.24230960000000001</v>
      </c>
      <c r="V353">
        <v>-5.752616E-2</v>
      </c>
      <c r="W353">
        <v>-4.2424049999999998E-2</v>
      </c>
      <c r="X353">
        <v>0.99744219999999895</v>
      </c>
      <c r="Y353">
        <v>8.5808570000000001E-2</v>
      </c>
      <c r="Z353">
        <v>-1.9293369999999999E-3</v>
      </c>
      <c r="AA353">
        <v>0.99630980000000002</v>
      </c>
      <c r="AB353">
        <v>40</v>
      </c>
      <c r="AC353">
        <v>38.983600000000003</v>
      </c>
      <c r="AD353">
        <v>-1.1088772609849999</v>
      </c>
      <c r="AE353">
        <v>-3.1439000000000301</v>
      </c>
      <c r="AF353">
        <v>3.3728663696637402</v>
      </c>
      <c r="AG353">
        <v>-1.1088772609849999</v>
      </c>
      <c r="AH353">
        <v>38.932925567396197</v>
      </c>
      <c r="AI353">
        <v>91.625357487612405</v>
      </c>
      <c r="AJ353">
        <v>85.048671377442503</v>
      </c>
      <c r="AK353">
        <v>39.094482085889702</v>
      </c>
      <c r="AL353">
        <v>92.431448738950706</v>
      </c>
      <c r="AM353">
        <v>93.300801796260004</v>
      </c>
      <c r="AN353">
        <v>1.00000000072179</v>
      </c>
    </row>
    <row r="354" spans="1:40" x14ac:dyDescent="0.25">
      <c r="A354" t="str">
        <f>"20190305135203747"</f>
        <v>20190305135203747</v>
      </c>
      <c r="B354" t="str">
        <f>"1551765123740173"</f>
        <v>1551765123740173</v>
      </c>
      <c r="C354" t="s">
        <v>40</v>
      </c>
      <c r="D354">
        <v>4.9265840000000001</v>
      </c>
      <c r="E354">
        <v>0.55510139999999997</v>
      </c>
      <c r="F354" t="s">
        <v>42</v>
      </c>
      <c r="G354">
        <v>-343.42090000000002</v>
      </c>
      <c r="H354" s="1">
        <v>-4.0171979999999998E-6</v>
      </c>
      <c r="I354">
        <v>364.392</v>
      </c>
      <c r="J354">
        <v>-383.71010000000001</v>
      </c>
      <c r="K354">
        <v>1.1088849999999999</v>
      </c>
      <c r="L354">
        <v>367.69450000000001</v>
      </c>
      <c r="M354">
        <v>0.9998726</v>
      </c>
      <c r="N354">
        <v>-1.48512E-2</v>
      </c>
      <c r="O354">
        <v>5.8761739999999996E-3</v>
      </c>
      <c r="P354">
        <v>0.99636259999999999</v>
      </c>
      <c r="Q354">
        <v>-5.7184899999999997E-2</v>
      </c>
      <c r="R354">
        <v>6.3180239999999999E-2</v>
      </c>
      <c r="S354">
        <v>3.021973</v>
      </c>
      <c r="T354">
        <v>-8.2657460000000002E-2</v>
      </c>
      <c r="U354">
        <v>-0.24606320000000001</v>
      </c>
      <c r="V354">
        <v>-5.73375E-2</v>
      </c>
      <c r="W354">
        <v>-4.2357680000000002E-2</v>
      </c>
      <c r="X354">
        <v>0.99745589999999995</v>
      </c>
      <c r="Y354">
        <v>8.6961720000000006E-2</v>
      </c>
      <c r="Z354">
        <v>-1.9074630000000001E-3</v>
      </c>
      <c r="AA354">
        <v>0.99620980000000003</v>
      </c>
      <c r="AB354">
        <v>40</v>
      </c>
      <c r="AC354">
        <v>40.289200000000001</v>
      </c>
      <c r="AD354">
        <v>-1.1088890171979999</v>
      </c>
      <c r="AE354">
        <v>-3.3025000000000002</v>
      </c>
      <c r="AF354">
        <v>3.53655423675225</v>
      </c>
      <c r="AG354">
        <v>-1.1088890171979999</v>
      </c>
      <c r="AH354">
        <v>40.238817456930597</v>
      </c>
      <c r="AI354">
        <v>91.572481473229104</v>
      </c>
      <c r="AJ354">
        <v>84.977230643406998</v>
      </c>
      <c r="AK354">
        <v>40.409148482170998</v>
      </c>
      <c r="AL354">
        <v>92.427642556703205</v>
      </c>
      <c r="AM354">
        <v>93.289955376811406</v>
      </c>
      <c r="AN354">
        <v>1.0000000172030199</v>
      </c>
    </row>
    <row r="355" spans="1:40" x14ac:dyDescent="0.25">
      <c r="A355" t="str">
        <f>"20190305135203758"</f>
        <v>20190305135203758</v>
      </c>
      <c r="B355" t="str">
        <f>"1551765123749934"</f>
        <v>1551765123749934</v>
      </c>
      <c r="C355" t="s">
        <v>40</v>
      </c>
      <c r="D355">
        <v>4.9309010000000004</v>
      </c>
      <c r="E355">
        <v>0.55533900000000003</v>
      </c>
      <c r="F355" t="s">
        <v>42</v>
      </c>
      <c r="G355">
        <v>-342.64080000000001</v>
      </c>
      <c r="H355" s="1">
        <v>-4.3973689999999998E-6</v>
      </c>
      <c r="I355">
        <v>364.32760000000002</v>
      </c>
      <c r="J355">
        <v>-383.49669999999998</v>
      </c>
      <c r="K355">
        <v>1.108895</v>
      </c>
      <c r="L355">
        <v>367.69560000000001</v>
      </c>
      <c r="M355">
        <v>0.99987269999999995</v>
      </c>
      <c r="N355">
        <v>-1.486504E-2</v>
      </c>
      <c r="O355">
        <v>5.8192670000000004E-3</v>
      </c>
      <c r="P355">
        <v>0.99636570000000002</v>
      </c>
      <c r="Q355">
        <v>-5.7122680000000002E-2</v>
      </c>
      <c r="R355">
        <v>6.3187640000000003E-2</v>
      </c>
      <c r="S355">
        <v>3.021973</v>
      </c>
      <c r="T355">
        <v>-8.1594589999999995E-2</v>
      </c>
      <c r="U355">
        <v>-0.24774170000000001</v>
      </c>
      <c r="V355">
        <v>-5.7401420000000002E-2</v>
      </c>
      <c r="W355">
        <v>-4.2281609999999997E-2</v>
      </c>
      <c r="X355">
        <v>0.99745539999999999</v>
      </c>
      <c r="Y355">
        <v>8.7455469999999993E-2</v>
      </c>
      <c r="Z355">
        <v>-1.9002870000000001E-3</v>
      </c>
      <c r="AA355">
        <v>0.99616660000000001</v>
      </c>
      <c r="AB355">
        <v>40</v>
      </c>
      <c r="AC355">
        <v>40.855899999999899</v>
      </c>
      <c r="AD355">
        <v>-1.108899397369</v>
      </c>
      <c r="AE355">
        <v>-3.3679999999999901</v>
      </c>
      <c r="AF355">
        <v>3.60308421470604</v>
      </c>
      <c r="AG355">
        <v>-1.108899397369</v>
      </c>
      <c r="AH355">
        <v>40.805749028755699</v>
      </c>
      <c r="AI355">
        <v>91.550604114556606</v>
      </c>
      <c r="AJ355">
        <v>84.953958584446198</v>
      </c>
      <c r="AK355">
        <v>40.979519610770801</v>
      </c>
      <c r="AL355">
        <v>92.423280282140396</v>
      </c>
      <c r="AM355">
        <v>93.293616605415494</v>
      </c>
      <c r="AN355">
        <v>0.99999996627568299</v>
      </c>
    </row>
    <row r="356" spans="1:40" x14ac:dyDescent="0.25">
      <c r="A356" t="str">
        <f>"20190305135203777"</f>
        <v>20190305135203777</v>
      </c>
      <c r="B356" t="str">
        <f>"1551765123770429"</f>
        <v>1551765123770429</v>
      </c>
      <c r="C356" t="s">
        <v>40</v>
      </c>
      <c r="D356">
        <v>4.9469779999999997</v>
      </c>
      <c r="E356">
        <v>0.55568739999999905</v>
      </c>
      <c r="F356" t="s">
        <v>42</v>
      </c>
      <c r="G356">
        <v>-341.50080000000003</v>
      </c>
      <c r="H356" s="1">
        <v>-4.9541109999999998E-6</v>
      </c>
      <c r="I356">
        <v>364.22680000000003</v>
      </c>
      <c r="J356">
        <v>-383.17950000000002</v>
      </c>
      <c r="K356">
        <v>1.108911</v>
      </c>
      <c r="L356">
        <v>367.69740000000002</v>
      </c>
      <c r="M356">
        <v>0.99987280000000001</v>
      </c>
      <c r="N356">
        <v>-1.4883769999999999E-2</v>
      </c>
      <c r="O356">
        <v>5.733719E-3</v>
      </c>
      <c r="P356">
        <v>0.9963457</v>
      </c>
      <c r="Q356">
        <v>-5.7400050000000001E-2</v>
      </c>
      <c r="R356">
        <v>6.3248719999999994E-2</v>
      </c>
      <c r="S356">
        <v>3.0222169999999999</v>
      </c>
      <c r="T356">
        <v>-7.9801559999999994E-2</v>
      </c>
      <c r="U356">
        <v>-0.24963379999999999</v>
      </c>
      <c r="V356">
        <v>-5.7547750000000002E-2</v>
      </c>
      <c r="W356">
        <v>-4.2540639999999998E-2</v>
      </c>
      <c r="X356">
        <v>0.99743599999999999</v>
      </c>
      <c r="Y356">
        <v>8.7984660000000006E-2</v>
      </c>
      <c r="Z356">
        <v>-1.8814750000000001E-3</v>
      </c>
      <c r="AA356">
        <v>0.99612000000000001</v>
      </c>
      <c r="AB356">
        <v>40</v>
      </c>
      <c r="AC356">
        <v>41.6786999999999</v>
      </c>
      <c r="AD356">
        <v>-1.1089159541110001</v>
      </c>
      <c r="AE356">
        <v>-3.4705999999999899</v>
      </c>
      <c r="AF356">
        <v>3.7069373111286401</v>
      </c>
      <c r="AG356">
        <v>-1.1089159541110001</v>
      </c>
      <c r="AH356">
        <v>41.628847158036599</v>
      </c>
      <c r="AI356">
        <v>91.519882216132103</v>
      </c>
      <c r="AJ356">
        <v>84.911385942018796</v>
      </c>
      <c r="AK356">
        <v>41.808276627111702</v>
      </c>
      <c r="AL356">
        <v>92.438134862900895</v>
      </c>
      <c r="AM356">
        <v>93.302058351094303</v>
      </c>
      <c r="AN356">
        <v>1.0000000118388299</v>
      </c>
    </row>
    <row r="357" spans="1:40" x14ac:dyDescent="0.25">
      <c r="A357" t="str">
        <f>"20190305135203788"</f>
        <v>20190305135203788</v>
      </c>
      <c r="B357" t="str">
        <f>"1551765123780189"</f>
        <v>1551765123780189</v>
      </c>
      <c r="C357" t="s">
        <v>40</v>
      </c>
      <c r="D357">
        <v>4.9555280000000002</v>
      </c>
      <c r="E357">
        <v>0.55581809999999998</v>
      </c>
      <c r="F357" t="s">
        <v>42</v>
      </c>
      <c r="G357">
        <v>-340.32859999999999</v>
      </c>
      <c r="H357" s="1">
        <v>-5.5261739999999901E-6</v>
      </c>
      <c r="I357">
        <v>364.12580000000003</v>
      </c>
      <c r="J357">
        <v>-382.96850000000001</v>
      </c>
      <c r="K357">
        <v>1.1089150000000001</v>
      </c>
      <c r="L357">
        <v>367.6986</v>
      </c>
      <c r="M357">
        <v>0.99987309999999996</v>
      </c>
      <c r="N357">
        <v>-1.489508E-2</v>
      </c>
      <c r="O357">
        <v>5.6765380000000001E-3</v>
      </c>
      <c r="P357">
        <v>0.99631930000000002</v>
      </c>
      <c r="Q357">
        <v>-5.773553E-2</v>
      </c>
      <c r="R357">
        <v>6.3362089999999996E-2</v>
      </c>
      <c r="S357">
        <v>3.022491</v>
      </c>
      <c r="T357">
        <v>-7.8217389999999998E-2</v>
      </c>
      <c r="U357">
        <v>-0.2519226</v>
      </c>
      <c r="V357">
        <v>-5.7718650000000003E-2</v>
      </c>
      <c r="W357">
        <v>-4.2865180000000003E-2</v>
      </c>
      <c r="X357">
        <v>0.99741219999999997</v>
      </c>
      <c r="Y357">
        <v>8.8670600000000002E-2</v>
      </c>
      <c r="Z357">
        <v>-1.869112E-3</v>
      </c>
      <c r="AA357">
        <v>0.99605920000000003</v>
      </c>
      <c r="AB357">
        <v>40</v>
      </c>
      <c r="AC357">
        <v>42.639899999999997</v>
      </c>
      <c r="AD357">
        <v>-1.1089205261739901</v>
      </c>
      <c r="AE357">
        <v>-3.5727999999999698</v>
      </c>
      <c r="AF357">
        <v>3.8122558294297502</v>
      </c>
      <c r="AG357">
        <v>-1.1089205261739901</v>
      </c>
      <c r="AH357">
        <v>42.590324527724597</v>
      </c>
      <c r="AI357">
        <v>91.485531683016703</v>
      </c>
      <c r="AJ357">
        <v>84.885091507687093</v>
      </c>
      <c r="AK357">
        <v>42.774977996713098</v>
      </c>
      <c r="AL357">
        <v>92.4567466870852</v>
      </c>
      <c r="AM357">
        <v>93.311921554207203</v>
      </c>
      <c r="AN357">
        <v>0.99999998146154701</v>
      </c>
    </row>
    <row r="358" spans="1:40" x14ac:dyDescent="0.25">
      <c r="A358" t="str">
        <f>"20190305135203801"</f>
        <v>20190305135203801</v>
      </c>
      <c r="B358" t="str">
        <f>"1551765123789949"</f>
        <v>1551765123789949</v>
      </c>
      <c r="C358" t="s">
        <v>40</v>
      </c>
      <c r="D358">
        <v>4.9388350000000001</v>
      </c>
      <c r="E358">
        <v>0.55607299999999904</v>
      </c>
      <c r="F358" t="s">
        <v>42</v>
      </c>
      <c r="G358">
        <v>-340.0684</v>
      </c>
      <c r="H358" s="1">
        <v>-5.6521880000000004E-6</v>
      </c>
      <c r="I358">
        <v>364.10879999999997</v>
      </c>
      <c r="J358">
        <v>-382.75220000000002</v>
      </c>
      <c r="K358">
        <v>1.1089209999999901</v>
      </c>
      <c r="L358">
        <v>367.69979999999998</v>
      </c>
      <c r="M358">
        <v>0.99987329999999996</v>
      </c>
      <c r="N358">
        <v>-1.490559E-2</v>
      </c>
      <c r="O358">
        <v>5.6182899999999997E-3</v>
      </c>
      <c r="P358">
        <v>0.99629579999999995</v>
      </c>
      <c r="Q358">
        <v>-5.8267920000000001E-2</v>
      </c>
      <c r="R358">
        <v>6.3243469999999996E-2</v>
      </c>
      <c r="S358">
        <v>3.022675</v>
      </c>
      <c r="T358">
        <v>-7.8132750000000001E-2</v>
      </c>
      <c r="U358">
        <v>-0.25292969999999998</v>
      </c>
      <c r="V358">
        <v>-5.7658380000000002E-2</v>
      </c>
      <c r="W358">
        <v>-4.3387519999999999E-2</v>
      </c>
      <c r="X358">
        <v>0.99739310000000003</v>
      </c>
      <c r="Y358">
        <v>8.8937100000000005E-2</v>
      </c>
      <c r="Z358">
        <v>-1.872828E-3</v>
      </c>
      <c r="AA358">
        <v>0.99603549999999996</v>
      </c>
      <c r="AB358">
        <v>39</v>
      </c>
      <c r="AC358">
        <v>42.683799999999998</v>
      </c>
      <c r="AD358">
        <v>-1.1089266521879999</v>
      </c>
      <c r="AE358">
        <v>-3.5910000000000002</v>
      </c>
      <c r="AF358">
        <v>3.8282141399880101</v>
      </c>
      <c r="AG358">
        <v>-1.1089266521879999</v>
      </c>
      <c r="AH358">
        <v>42.634374319682799</v>
      </c>
      <c r="AI358">
        <v>91.483968535723093</v>
      </c>
      <c r="AJ358">
        <v>84.869072890285295</v>
      </c>
      <c r="AK358">
        <v>42.8202617396527</v>
      </c>
      <c r="AL358">
        <v>92.486702437140707</v>
      </c>
      <c r="AM358">
        <v>93.308534137622203</v>
      </c>
      <c r="AN358">
        <v>0.99999998080179198</v>
      </c>
    </row>
    <row r="359" spans="1:40" x14ac:dyDescent="0.25">
      <c r="A359" t="str">
        <f>"20190305135203814"</f>
        <v>20190305135203814</v>
      </c>
      <c r="B359" t="str">
        <f>"1551765123810445"</f>
        <v>1551765123810445</v>
      </c>
      <c r="C359" t="s">
        <v>40</v>
      </c>
      <c r="D359">
        <v>4.9800339999999998</v>
      </c>
      <c r="E359">
        <v>0.55623049999999996</v>
      </c>
      <c r="F359" t="s">
        <v>42</v>
      </c>
      <c r="G359">
        <v>-340.31549999999999</v>
      </c>
      <c r="H359" s="1">
        <v>-5.5332190000000001E-6</v>
      </c>
      <c r="I359">
        <v>364.12090000000001</v>
      </c>
      <c r="J359">
        <v>-382.53480000000002</v>
      </c>
      <c r="K359">
        <v>1.10893</v>
      </c>
      <c r="L359">
        <v>367.70089999999999</v>
      </c>
      <c r="M359">
        <v>0.99987349999999997</v>
      </c>
      <c r="N359">
        <v>-1.4915100000000001E-2</v>
      </c>
      <c r="O359">
        <v>5.559395E-3</v>
      </c>
      <c r="P359">
        <v>0.9962664</v>
      </c>
      <c r="Q359">
        <v>-5.8742629999999997E-2</v>
      </c>
      <c r="R359">
        <v>6.3269790000000006E-2</v>
      </c>
      <c r="S359">
        <v>3.022675</v>
      </c>
      <c r="T359">
        <v>-7.8986410000000007E-2</v>
      </c>
      <c r="U359">
        <v>-0.25491329999999901</v>
      </c>
      <c r="V359">
        <v>-5.7743759999999998E-2</v>
      </c>
      <c r="W359">
        <v>-4.3853160000000002E-2</v>
      </c>
      <c r="X359">
        <v>0.99736780000000003</v>
      </c>
      <c r="Y359">
        <v>8.9526309999999998E-2</v>
      </c>
      <c r="Z359">
        <v>-1.8987279999999999E-3</v>
      </c>
      <c r="AA359">
        <v>0.99598260000000005</v>
      </c>
      <c r="AB359">
        <v>39</v>
      </c>
      <c r="AC359">
        <v>42.219299999999997</v>
      </c>
      <c r="AD359">
        <v>-1.1089355332189901</v>
      </c>
      <c r="AE359">
        <v>-3.5799999999999801</v>
      </c>
      <c r="AF359">
        <v>3.81207329511582</v>
      </c>
      <c r="AG359">
        <v>-1.1089355332189901</v>
      </c>
      <c r="AH359">
        <v>42.169856987989199</v>
      </c>
      <c r="AI359">
        <v>91.500238344801204</v>
      </c>
      <c r="AJ359">
        <v>84.834612298522103</v>
      </c>
      <c r="AK359">
        <v>42.356327499107302</v>
      </c>
      <c r="AL359">
        <v>92.513407052185897</v>
      </c>
      <c r="AM359">
        <v>93.313506340394099</v>
      </c>
      <c r="AN359">
        <v>0.99999998496888098</v>
      </c>
    </row>
    <row r="360" spans="1:40" x14ac:dyDescent="0.25">
      <c r="A360" t="str">
        <f>"20190305135203827"</f>
        <v>20190305135203827</v>
      </c>
      <c r="B360" t="str">
        <f>"1551765123820205"</f>
        <v>1551765123820205</v>
      </c>
      <c r="C360" t="s">
        <v>40</v>
      </c>
      <c r="D360">
        <v>4.9369209999999999</v>
      </c>
      <c r="E360">
        <v>0.55670209999999998</v>
      </c>
      <c r="F360" t="s">
        <v>42</v>
      </c>
      <c r="G360">
        <v>-340.49509999999998</v>
      </c>
      <c r="H360" s="1">
        <v>-5.4455650000000001E-6</v>
      </c>
      <c r="I360">
        <v>364.13630000000001</v>
      </c>
      <c r="J360">
        <v>-382.3109</v>
      </c>
      <c r="K360">
        <v>1.1089340000000001</v>
      </c>
      <c r="L360">
        <v>367.7022</v>
      </c>
      <c r="M360">
        <v>0.99987349999999997</v>
      </c>
      <c r="N360">
        <v>-1.49243E-2</v>
      </c>
      <c r="O360">
        <v>5.4987760000000004E-3</v>
      </c>
      <c r="P360">
        <v>0.99623030000000001</v>
      </c>
      <c r="Q360">
        <v>-5.9413140000000003E-2</v>
      </c>
      <c r="R360">
        <v>6.3210859999999994E-2</v>
      </c>
      <c r="S360">
        <v>3.0228579999999998</v>
      </c>
      <c r="T360">
        <v>-7.9737899999999903E-2</v>
      </c>
      <c r="U360">
        <v>-0.25631710000000002</v>
      </c>
      <c r="V360">
        <v>-5.7745869999999998E-2</v>
      </c>
      <c r="W360">
        <v>-4.451505E-2</v>
      </c>
      <c r="X360">
        <v>0.99733839999999996</v>
      </c>
      <c r="Y360">
        <v>8.991913E-2</v>
      </c>
      <c r="Z360">
        <v>-1.918899E-3</v>
      </c>
      <c r="AA360">
        <v>0.99594720000000003</v>
      </c>
      <c r="AB360">
        <v>39</v>
      </c>
      <c r="AC360">
        <v>41.815800000000003</v>
      </c>
      <c r="AD360">
        <v>-1.1089394455649999</v>
      </c>
      <c r="AE360">
        <v>-3.5658999999999899</v>
      </c>
      <c r="AF360">
        <v>3.7931589742140801</v>
      </c>
      <c r="AG360">
        <v>-1.1089394455649999</v>
      </c>
      <c r="AH360">
        <v>41.766395553586896</v>
      </c>
      <c r="AI360">
        <v>91.514672000983097</v>
      </c>
      <c r="AJ360">
        <v>84.810722359299703</v>
      </c>
      <c r="AK360">
        <v>41.952945060344398</v>
      </c>
      <c r="AL360">
        <v>92.5513675149802</v>
      </c>
      <c r="AM360">
        <v>93.313724611536898</v>
      </c>
      <c r="AN360">
        <v>1.0000000296465501</v>
      </c>
    </row>
    <row r="361" spans="1:40" x14ac:dyDescent="0.25">
      <c r="A361" t="str">
        <f>"20190305135203843"</f>
        <v>20190305135203843</v>
      </c>
      <c r="B361" t="str">
        <f>"1551765123839725"</f>
        <v>1551765123839725</v>
      </c>
      <c r="C361" t="s">
        <v>40</v>
      </c>
      <c r="D361">
        <v>5.1353249999999999</v>
      </c>
      <c r="E361">
        <v>0.557029199999999</v>
      </c>
      <c r="F361" t="s">
        <v>42</v>
      </c>
      <c r="G361">
        <v>-340.72969999999998</v>
      </c>
      <c r="H361" s="1">
        <v>-5.3366779999999999E-6</v>
      </c>
      <c r="I361">
        <v>364.125</v>
      </c>
      <c r="J361">
        <v>-382.01420000000002</v>
      </c>
      <c r="K361">
        <v>1.1089439999999999</v>
      </c>
      <c r="L361">
        <v>367.70370000000003</v>
      </c>
      <c r="M361">
        <v>0.99987380000000003</v>
      </c>
      <c r="N361">
        <v>-1.4934889999999999E-2</v>
      </c>
      <c r="O361">
        <v>5.4191889999999996E-3</v>
      </c>
      <c r="P361">
        <v>0.99616159999999998</v>
      </c>
      <c r="Q361">
        <v>-6.0305579999999998E-2</v>
      </c>
      <c r="R361">
        <v>6.3447630000000005E-2</v>
      </c>
      <c r="S361">
        <v>3.0230410000000001</v>
      </c>
      <c r="T361">
        <v>-8.0622199999999894E-2</v>
      </c>
      <c r="U361">
        <v>-0.26007079999999999</v>
      </c>
      <c r="V361">
        <v>-5.806219E-2</v>
      </c>
      <c r="W361">
        <v>-4.5397840000000002E-2</v>
      </c>
      <c r="X361">
        <v>0.99728019999999995</v>
      </c>
      <c r="Y361">
        <v>9.1060879999999997E-2</v>
      </c>
      <c r="Z361">
        <v>-1.9567429999999999E-3</v>
      </c>
      <c r="AA361">
        <v>0.99584340000000005</v>
      </c>
      <c r="AB361">
        <v>39</v>
      </c>
      <c r="AC361">
        <v>41.284500000000001</v>
      </c>
      <c r="AD361">
        <v>-1.1089493366779899</v>
      </c>
      <c r="AE361">
        <v>-3.57870000000002</v>
      </c>
      <c r="AF361">
        <v>3.7996797944620502</v>
      </c>
      <c r="AG361">
        <v>-1.1089493366779899</v>
      </c>
      <c r="AH361">
        <v>41.234967802554301</v>
      </c>
      <c r="AI361">
        <v>91.534012364998702</v>
      </c>
      <c r="AJ361">
        <v>84.735231704680402</v>
      </c>
      <c r="AK361">
        <v>41.4245085046214</v>
      </c>
      <c r="AL361">
        <v>92.601998951651595</v>
      </c>
      <c r="AM361">
        <v>93.332029734104594</v>
      </c>
      <c r="AN361">
        <v>0.99999998954814995</v>
      </c>
    </row>
    <row r="362" spans="1:40" x14ac:dyDescent="0.25">
      <c r="A362" t="str">
        <f>"20190305135203858"</f>
        <v>20190305135203858</v>
      </c>
      <c r="B362" t="str">
        <f>"1551765123850462"</f>
        <v>1551765123850462</v>
      </c>
      <c r="C362" t="s">
        <v>40</v>
      </c>
      <c r="D362">
        <v>4.9334300000000004</v>
      </c>
      <c r="E362">
        <v>0.55709770000000003</v>
      </c>
      <c r="F362" t="s">
        <v>42</v>
      </c>
      <c r="G362">
        <v>-339.76260000000002</v>
      </c>
      <c r="H362" s="1">
        <v>-1.549764E-6</v>
      </c>
      <c r="I362">
        <v>364.04320000000001</v>
      </c>
      <c r="J362">
        <v>-381.76650000000001</v>
      </c>
      <c r="K362">
        <v>1.108949</v>
      </c>
      <c r="L362">
        <v>367.70499999999998</v>
      </c>
      <c r="M362">
        <v>0.99987409999999999</v>
      </c>
      <c r="N362">
        <v>-1.4942570000000001E-2</v>
      </c>
      <c r="O362">
        <v>5.3525609999999996E-3</v>
      </c>
      <c r="P362">
        <v>0.99615770000000003</v>
      </c>
      <c r="Q362">
        <v>-6.0468059999999997E-2</v>
      </c>
      <c r="R362">
        <v>6.335288E-2</v>
      </c>
      <c r="S362">
        <v>3.0234380000000001</v>
      </c>
      <c r="T362">
        <v>-7.9353569999999998E-2</v>
      </c>
      <c r="U362">
        <v>-0.26193240000000001</v>
      </c>
      <c r="V362">
        <v>-5.8033719999999997E-2</v>
      </c>
      <c r="W362">
        <v>-4.5552830000000002E-2</v>
      </c>
      <c r="X362">
        <v>0.99727480000000002</v>
      </c>
      <c r="Y362">
        <v>9.1593010000000002E-2</v>
      </c>
      <c r="Z362">
        <v>-1.9457280000000001E-3</v>
      </c>
      <c r="AA362">
        <v>0.99579470000000003</v>
      </c>
      <c r="AB362">
        <v>39</v>
      </c>
      <c r="AC362">
        <v>42.003899999999902</v>
      </c>
      <c r="AD362">
        <v>-1.108950549764</v>
      </c>
      <c r="AE362">
        <v>-3.6617999999999702</v>
      </c>
      <c r="AF362">
        <v>3.8839143112827998</v>
      </c>
      <c r="AG362">
        <v>-1.108950549764</v>
      </c>
      <c r="AH362">
        <v>41.954673293996599</v>
      </c>
      <c r="AI362">
        <v>91.507652334676195</v>
      </c>
      <c r="AJ362">
        <v>84.7109717876628</v>
      </c>
      <c r="AK362">
        <v>42.148655647662103</v>
      </c>
      <c r="AL362">
        <v>92.610888394209297</v>
      </c>
      <c r="AM362">
        <v>93.330417590158106</v>
      </c>
      <c r="AN362">
        <v>0.99999999984654298</v>
      </c>
    </row>
    <row r="363" spans="1:40" x14ac:dyDescent="0.25">
      <c r="A363" t="str">
        <f>"20190305135203877"</f>
        <v>20190305135203877</v>
      </c>
      <c r="B363" t="str">
        <f>"1551765123869981"</f>
        <v>1551765123869981</v>
      </c>
      <c r="C363" t="s">
        <v>40</v>
      </c>
      <c r="D363">
        <v>4.9197790000000001</v>
      </c>
      <c r="E363">
        <v>0.55731419999999998</v>
      </c>
      <c r="F363" t="s">
        <v>42</v>
      </c>
      <c r="G363">
        <v>-339.09230000000002</v>
      </c>
      <c r="H363" s="1">
        <v>-1.790107E-6</v>
      </c>
      <c r="I363">
        <v>363.99720000000002</v>
      </c>
      <c r="J363">
        <v>-381.41210000000001</v>
      </c>
      <c r="K363">
        <v>1.108959</v>
      </c>
      <c r="L363">
        <v>367.70679999999999</v>
      </c>
      <c r="M363">
        <v>0.9998745</v>
      </c>
      <c r="N363">
        <v>-1.495224E-2</v>
      </c>
      <c r="O363">
        <v>5.2582039999999998E-3</v>
      </c>
      <c r="P363">
        <v>0.9961721</v>
      </c>
      <c r="Q363">
        <v>-6.0414229999999999E-2</v>
      </c>
      <c r="R363">
        <v>6.317673E-2</v>
      </c>
      <c r="S363">
        <v>3.0234990000000002</v>
      </c>
      <c r="T363">
        <v>-7.8569769999999997E-2</v>
      </c>
      <c r="U363">
        <v>-0.26269530000000002</v>
      </c>
      <c r="V363">
        <v>-5.7951620000000002E-2</v>
      </c>
      <c r="W363">
        <v>-4.5489309999999998E-2</v>
      </c>
      <c r="X363">
        <v>0.99728240000000001</v>
      </c>
      <c r="Y363">
        <v>9.174744E-2</v>
      </c>
      <c r="Z363">
        <v>-1.9349759999999999E-3</v>
      </c>
      <c r="AA363">
        <v>0.99578040000000001</v>
      </c>
      <c r="AB363">
        <v>39</v>
      </c>
      <c r="AC363">
        <v>42.319800000000001</v>
      </c>
      <c r="AD363">
        <v>-1.108960790107</v>
      </c>
      <c r="AE363">
        <v>-3.70959999999996</v>
      </c>
      <c r="AF363">
        <v>3.9294220758550602</v>
      </c>
      <c r="AG363">
        <v>-1.108960790107</v>
      </c>
      <c r="AH363">
        <v>42.27090216749</v>
      </c>
      <c r="AI363">
        <v>91.496339708756807</v>
      </c>
      <c r="AJ363">
        <v>84.689156385368193</v>
      </c>
      <c r="AK363">
        <v>42.467626751888602</v>
      </c>
      <c r="AL363">
        <v>92.607245381120194</v>
      </c>
      <c r="AM363">
        <v>93.325691361395499</v>
      </c>
      <c r="AN363">
        <v>0.99999992646732705</v>
      </c>
    </row>
    <row r="364" spans="1:40" x14ac:dyDescent="0.25">
      <c r="A364" t="str">
        <f>"20190305135203890"</f>
        <v>20190305135203890</v>
      </c>
      <c r="B364" t="str">
        <f>"1551765123879741"</f>
        <v>1551765123879741</v>
      </c>
      <c r="C364" t="s">
        <v>40</v>
      </c>
      <c r="D364">
        <v>4.9305289999999999</v>
      </c>
      <c r="E364">
        <v>0.55747829999999998</v>
      </c>
      <c r="F364" t="s">
        <v>42</v>
      </c>
      <c r="G364">
        <v>-337.36559999999997</v>
      </c>
      <c r="H364" s="1">
        <v>-2.418237E-6</v>
      </c>
      <c r="I364">
        <v>363.84480000000002</v>
      </c>
      <c r="J364">
        <v>-381.20100000000002</v>
      </c>
      <c r="K364">
        <v>1.1089629999999999</v>
      </c>
      <c r="L364">
        <v>367.7079</v>
      </c>
      <c r="M364">
        <v>0.99987459999999995</v>
      </c>
      <c r="N364">
        <v>-1.495733E-2</v>
      </c>
      <c r="O364">
        <v>5.2019659999999997E-3</v>
      </c>
      <c r="P364">
        <v>0.99618260000000003</v>
      </c>
      <c r="Q364">
        <v>-6.0192309999999999E-2</v>
      </c>
      <c r="R364">
        <v>6.3225359999999994E-2</v>
      </c>
      <c r="S364">
        <v>3.023682</v>
      </c>
      <c r="T364">
        <v>-7.6127169999999994E-2</v>
      </c>
      <c r="U364">
        <v>-0.26510620000000001</v>
      </c>
      <c r="V364">
        <v>-5.8056370000000003E-2</v>
      </c>
      <c r="W364">
        <v>-4.5262209999999997E-2</v>
      </c>
      <c r="X364">
        <v>0.99728669999999997</v>
      </c>
      <c r="Y364">
        <v>9.2476290000000003E-2</v>
      </c>
      <c r="Z364">
        <v>-1.907913E-3</v>
      </c>
      <c r="AA364">
        <v>0.99571310000000002</v>
      </c>
      <c r="AB364">
        <v>39</v>
      </c>
      <c r="AC364">
        <v>43.8353999999999</v>
      </c>
      <c r="AD364">
        <v>-1.1089654182369999</v>
      </c>
      <c r="AE364">
        <v>-3.86309999999997</v>
      </c>
      <c r="AF364">
        <v>4.0885069764668502</v>
      </c>
      <c r="AG364">
        <v>-1.1089654182369999</v>
      </c>
      <c r="AH364">
        <v>43.786900757570599</v>
      </c>
      <c r="AI364">
        <v>91.444506201897497</v>
      </c>
      <c r="AJ364">
        <v>84.665597501007397</v>
      </c>
      <c r="AK364">
        <v>43.991344279855703</v>
      </c>
      <c r="AL364">
        <v>92.594219938204702</v>
      </c>
      <c r="AM364">
        <v>93.331674826668205</v>
      </c>
      <c r="AN364">
        <v>0.99999998587427497</v>
      </c>
    </row>
    <row r="365" spans="1:40" x14ac:dyDescent="0.25">
      <c r="A365" t="str">
        <f>"20190305135203902"</f>
        <v>20190305135203902</v>
      </c>
      <c r="B365" t="str">
        <f>"1551765123890477"</f>
        <v>1551765123890477</v>
      </c>
      <c r="C365" t="s">
        <v>40</v>
      </c>
      <c r="D365">
        <v>5.0707509999999996</v>
      </c>
      <c r="E365">
        <v>0.55747829999999998</v>
      </c>
      <c r="F365" t="s">
        <v>42</v>
      </c>
      <c r="G365">
        <v>-336.10660000000001</v>
      </c>
      <c r="H365" s="1">
        <v>-2.8748739999999999E-6</v>
      </c>
      <c r="I365">
        <v>363.7389</v>
      </c>
      <c r="J365">
        <v>-380.98070000000001</v>
      </c>
      <c r="K365">
        <v>1.1089690000000001</v>
      </c>
      <c r="L365">
        <v>367.709</v>
      </c>
      <c r="M365">
        <v>0.99987479999999995</v>
      </c>
      <c r="N365">
        <v>-1.496217E-2</v>
      </c>
      <c r="O365">
        <v>5.14329E-3</v>
      </c>
      <c r="P365">
        <v>0.99622080000000002</v>
      </c>
      <c r="Q365">
        <v>-5.9813949999999998E-2</v>
      </c>
      <c r="R365">
        <v>6.2979499999999994E-2</v>
      </c>
      <c r="S365">
        <v>3.0239259999999999</v>
      </c>
      <c r="T365">
        <v>-7.4364420000000001E-2</v>
      </c>
      <c r="U365">
        <v>-0.26614379999999999</v>
      </c>
      <c r="V365">
        <v>-5.7868570000000001E-2</v>
      </c>
      <c r="W365">
        <v>-4.4878710000000002E-2</v>
      </c>
      <c r="X365">
        <v>0.99731499999999995</v>
      </c>
      <c r="Y365">
        <v>9.2751529999999999E-2</v>
      </c>
      <c r="Z365">
        <v>-1.882955E-3</v>
      </c>
      <c r="AA365">
        <v>0.99568749999999995</v>
      </c>
      <c r="AB365">
        <v>39</v>
      </c>
      <c r="AC365">
        <v>44.874099999999999</v>
      </c>
      <c r="AD365">
        <v>-1.1089718748740001</v>
      </c>
      <c r="AE365">
        <v>-3.9701</v>
      </c>
      <c r="AF365">
        <v>4.1983296982798803</v>
      </c>
      <c r="AG365">
        <v>-1.1089718748740001</v>
      </c>
      <c r="AH365">
        <v>44.825920729907203</v>
      </c>
      <c r="AI365">
        <v>91.411008546717298</v>
      </c>
      <c r="AJ365">
        <v>84.649370366865696</v>
      </c>
      <c r="AK365">
        <v>45.035752021684402</v>
      </c>
      <c r="AL365">
        <v>92.572224516612494</v>
      </c>
      <c r="AM365">
        <v>93.320827703636198</v>
      </c>
      <c r="AN365">
        <v>1.0000000396150499</v>
      </c>
    </row>
    <row r="366" spans="1:40" x14ac:dyDescent="0.25">
      <c r="A366" t="str">
        <f>"20190305135203914"</f>
        <v>20190305135203914</v>
      </c>
      <c r="B366" t="str">
        <f>"1551765123909997"</f>
        <v>1551765123909997</v>
      </c>
      <c r="C366" t="s">
        <v>40</v>
      </c>
      <c r="D366">
        <v>4.9445009999999998</v>
      </c>
      <c r="E366">
        <v>0.56242380000000003</v>
      </c>
      <c r="F366" t="s">
        <v>42</v>
      </c>
      <c r="G366">
        <v>-335.23680000000002</v>
      </c>
      <c r="H366" s="1">
        <v>-3.1891270000000002E-6</v>
      </c>
      <c r="I366">
        <v>363.6703</v>
      </c>
      <c r="J366">
        <v>-380.75990000000002</v>
      </c>
      <c r="K366">
        <v>1.1089690000000001</v>
      </c>
      <c r="L366">
        <v>367.71010000000001</v>
      </c>
      <c r="M366">
        <v>0.99987510000000002</v>
      </c>
      <c r="N366">
        <v>-1.4966299999999899E-2</v>
      </c>
      <c r="O366">
        <v>5.0845580000000003E-3</v>
      </c>
      <c r="P366">
        <v>0.99626380000000003</v>
      </c>
      <c r="Q366">
        <v>-5.9480039999999998E-2</v>
      </c>
      <c r="R366">
        <v>6.2616840000000007E-2</v>
      </c>
      <c r="S366">
        <v>3.0238649999999998</v>
      </c>
      <c r="T366">
        <v>-7.3307510000000006E-2</v>
      </c>
      <c r="U366">
        <v>-0.26696779999999998</v>
      </c>
      <c r="V366">
        <v>-5.756414E-2</v>
      </c>
      <c r="W366">
        <v>-4.4540299999999998E-2</v>
      </c>
      <c r="X366">
        <v>0.99734780000000001</v>
      </c>
      <c r="Y366">
        <v>9.2964980000000003E-2</v>
      </c>
      <c r="Z366">
        <v>-1.8688159999999999E-3</v>
      </c>
      <c r="AA366">
        <v>0.99566759999999999</v>
      </c>
      <c r="AB366">
        <v>39</v>
      </c>
      <c r="AC366">
        <v>45.523099999999999</v>
      </c>
      <c r="AD366">
        <v>-1.1089721891269999</v>
      </c>
      <c r="AE366">
        <v>-4.0398000000000103</v>
      </c>
      <c r="AF366">
        <v>4.2687250873562599</v>
      </c>
      <c r="AG366">
        <v>-1.1089721891269999</v>
      </c>
      <c r="AH366">
        <v>45.475192531867002</v>
      </c>
      <c r="AI366">
        <v>91.390844006127907</v>
      </c>
      <c r="AJ366">
        <v>84.6373984533829</v>
      </c>
      <c r="AK366">
        <v>45.688564969782703</v>
      </c>
      <c r="AL366">
        <v>92.552815614275204</v>
      </c>
      <c r="AM366">
        <v>93.303288170589298</v>
      </c>
      <c r="AN366">
        <v>1.00000005135143</v>
      </c>
    </row>
    <row r="367" spans="1:40" x14ac:dyDescent="0.25">
      <c r="A367" t="str">
        <f>"20190305135203932"</f>
        <v>20190305135203932</v>
      </c>
      <c r="B367" t="str">
        <f>"1551765123929517"</f>
        <v>1551765123929517</v>
      </c>
      <c r="C367" t="s">
        <v>40</v>
      </c>
      <c r="D367">
        <v>4.9341910000000002</v>
      </c>
      <c r="E367">
        <v>0.56136149999999996</v>
      </c>
      <c r="F367" t="s">
        <v>47</v>
      </c>
      <c r="G367">
        <v>-312.11430000000001</v>
      </c>
      <c r="H367">
        <v>-0.05</v>
      </c>
      <c r="I367">
        <v>360.75369999999998</v>
      </c>
      <c r="J367">
        <v>-380.46019999999999</v>
      </c>
      <c r="K367">
        <v>1.108976</v>
      </c>
      <c r="L367">
        <v>367.7115</v>
      </c>
      <c r="M367">
        <v>0.99987550000000003</v>
      </c>
      <c r="N367">
        <v>-1.4971099999999999E-2</v>
      </c>
      <c r="O367">
        <v>5.0046639999999998E-3</v>
      </c>
      <c r="P367">
        <v>0.99631789999999998</v>
      </c>
      <c r="Q367">
        <v>-5.897558E-2</v>
      </c>
      <c r="R367">
        <v>6.2231019999999998E-2</v>
      </c>
      <c r="S367">
        <v>3.027466</v>
      </c>
      <c r="T367">
        <v>-5.1113840000000001E-2</v>
      </c>
      <c r="U367">
        <v>-0.30679319999999999</v>
      </c>
      <c r="V367">
        <v>-5.7257250000000003E-2</v>
      </c>
      <c r="W367">
        <v>-4.4030550000000002E-2</v>
      </c>
      <c r="X367">
        <v>0.9973881</v>
      </c>
      <c r="Y367">
        <v>0.1057705</v>
      </c>
      <c r="Z367">
        <v>-1.6940060000000001E-3</v>
      </c>
      <c r="AA367">
        <v>0.99438910000000003</v>
      </c>
      <c r="AB367">
        <v>39</v>
      </c>
      <c r="AC367">
        <v>68.345899999999901</v>
      </c>
      <c r="AD367">
        <v>-1.158976</v>
      </c>
      <c r="AE367">
        <v>-6.9578000000000104</v>
      </c>
      <c r="AF367">
        <v>7.2977224298462096</v>
      </c>
      <c r="AG367">
        <v>-1.158976</v>
      </c>
      <c r="AH367">
        <v>68.290782472382801</v>
      </c>
      <c r="AI367">
        <v>90.966780954400804</v>
      </c>
      <c r="AJ367">
        <v>83.900378967314197</v>
      </c>
      <c r="AK367">
        <v>68.689380174245002</v>
      </c>
      <c r="AL367">
        <v>92.523580408078999</v>
      </c>
      <c r="AM367">
        <v>93.285583665370893</v>
      </c>
      <c r="AN367">
        <v>1.00000005201623</v>
      </c>
    </row>
    <row r="368" spans="1:40" x14ac:dyDescent="0.25">
      <c r="A368" t="str">
        <f>"20190305135203946"</f>
        <v>20190305135203946</v>
      </c>
      <c r="B368" t="str">
        <f>"1551765123940253"</f>
        <v>1551765123940253</v>
      </c>
      <c r="C368" t="s">
        <v>40</v>
      </c>
      <c r="D368">
        <v>4.9311790000000002</v>
      </c>
      <c r="E368">
        <v>0.56110090000000001</v>
      </c>
      <c r="F368" t="s">
        <v>47</v>
      </c>
      <c r="G368">
        <v>-313.3535</v>
      </c>
      <c r="H368">
        <v>-0.05</v>
      </c>
      <c r="I368">
        <v>361.06709999999998</v>
      </c>
      <c r="J368">
        <v>-380.22710000000001</v>
      </c>
      <c r="K368">
        <v>1.108984</v>
      </c>
      <c r="L368">
        <v>367.71260000000001</v>
      </c>
      <c r="M368">
        <v>0.99987579999999998</v>
      </c>
      <c r="N368">
        <v>-1.497423E-2</v>
      </c>
      <c r="O368">
        <v>4.9426019999999999E-3</v>
      </c>
      <c r="P368">
        <v>0.99632889999999996</v>
      </c>
      <c r="Q368">
        <v>-5.9007829999999997E-2</v>
      </c>
      <c r="R368">
        <v>6.2023109999999999E-2</v>
      </c>
      <c r="S368">
        <v>3.0267029999999999</v>
      </c>
      <c r="T368">
        <v>-5.2273149999999997E-2</v>
      </c>
      <c r="U368">
        <v>-0.29968260000000002</v>
      </c>
      <c r="V368">
        <v>-5.7111179999999998E-2</v>
      </c>
      <c r="W368">
        <v>-4.4059670000000002E-2</v>
      </c>
      <c r="X368">
        <v>0.99739520000000004</v>
      </c>
      <c r="Y368">
        <v>0.1034204</v>
      </c>
      <c r="Z368">
        <v>-1.678506E-3</v>
      </c>
      <c r="AA368">
        <v>0.99463630000000003</v>
      </c>
      <c r="AB368">
        <v>39</v>
      </c>
      <c r="AC368">
        <v>66.873599999999996</v>
      </c>
      <c r="AD368">
        <v>-1.158984</v>
      </c>
      <c r="AE368">
        <v>-6.6455000000000197</v>
      </c>
      <c r="AF368">
        <v>6.9739111991040597</v>
      </c>
      <c r="AG368">
        <v>-1.158984</v>
      </c>
      <c r="AH368">
        <v>66.820059263975097</v>
      </c>
      <c r="AI368">
        <v>90.988320014165495</v>
      </c>
      <c r="AJ368">
        <v>84.041695554635496</v>
      </c>
      <c r="AK368">
        <v>67.192998157296103</v>
      </c>
      <c r="AL368">
        <v>92.525250453585301</v>
      </c>
      <c r="AM368">
        <v>93.277196768697607</v>
      </c>
      <c r="AN368">
        <v>1.0000000631922601</v>
      </c>
    </row>
    <row r="369" spans="1:40" x14ac:dyDescent="0.25">
      <c r="A369" t="str">
        <f>"20190305135203957"</f>
        <v>20190305135203957</v>
      </c>
      <c r="B369" t="str">
        <f>"1551765123950016"</f>
        <v>1551765123950016</v>
      </c>
      <c r="C369" t="s">
        <v>40</v>
      </c>
      <c r="D369">
        <v>4.9237299999999999</v>
      </c>
      <c r="E369">
        <v>0.56092189999999997</v>
      </c>
      <c r="F369" t="s">
        <v>47</v>
      </c>
      <c r="G369">
        <v>-315.55040000000002</v>
      </c>
      <c r="H369">
        <v>-0.05</v>
      </c>
      <c r="I369">
        <v>361.33819999999997</v>
      </c>
      <c r="J369">
        <v>-380.00920000000002</v>
      </c>
      <c r="K369">
        <v>1.1089850000000001</v>
      </c>
      <c r="L369">
        <v>367.71370000000002</v>
      </c>
      <c r="M369">
        <v>0.99987590000000004</v>
      </c>
      <c r="N369">
        <v>-1.497656E-2</v>
      </c>
      <c r="O369">
        <v>4.8845989999999999E-3</v>
      </c>
      <c r="P369">
        <v>0.99633470000000002</v>
      </c>
      <c r="Q369">
        <v>-5.8834999999999998E-2</v>
      </c>
      <c r="R369">
        <v>6.2094440000000001E-2</v>
      </c>
      <c r="S369">
        <v>3.0264280000000001</v>
      </c>
      <c r="T369">
        <v>-5.423248E-2</v>
      </c>
      <c r="U369">
        <v>-0.29827880000000001</v>
      </c>
      <c r="V369">
        <v>-5.7240029999999997E-2</v>
      </c>
      <c r="W369">
        <v>-4.3884510000000002E-2</v>
      </c>
      <c r="X369">
        <v>0.99739549999999999</v>
      </c>
      <c r="Y369">
        <v>0.102913</v>
      </c>
      <c r="Z369">
        <v>-1.7067810000000001E-3</v>
      </c>
      <c r="AA369">
        <v>0.99468889999999999</v>
      </c>
      <c r="AB369">
        <v>39</v>
      </c>
      <c r="AC369">
        <v>64.458799999999997</v>
      </c>
      <c r="AD369">
        <v>-1.1589849999999999</v>
      </c>
      <c r="AE369">
        <v>-6.3755000000000397</v>
      </c>
      <c r="AF369">
        <v>6.6881733693515599</v>
      </c>
      <c r="AG369">
        <v>-1.1589849999999999</v>
      </c>
      <c r="AH369">
        <v>64.406265470140596</v>
      </c>
      <c r="AI369">
        <v>91.025408450369198</v>
      </c>
      <c r="AJ369">
        <v>84.0714537055199</v>
      </c>
      <c r="AK369">
        <v>64.762967358351901</v>
      </c>
      <c r="AL369">
        <v>92.515204899160693</v>
      </c>
      <c r="AM369">
        <v>93.284573380541701</v>
      </c>
      <c r="AN369">
        <v>1.0000000273362899</v>
      </c>
    </row>
    <row r="370" spans="1:40" x14ac:dyDescent="0.25">
      <c r="A370" t="str">
        <f>"20190305135203978"</f>
        <v>20190305135203978</v>
      </c>
      <c r="B370" t="str">
        <f>"1551765123970521"</f>
        <v>1551765123970521</v>
      </c>
      <c r="C370" t="s">
        <v>40</v>
      </c>
      <c r="D370">
        <v>4.9427830000000004</v>
      </c>
      <c r="E370">
        <v>0.56064930000000002</v>
      </c>
      <c r="F370" t="s">
        <v>47</v>
      </c>
      <c r="G370">
        <v>-314.97649999999999</v>
      </c>
      <c r="H370">
        <v>-0.05</v>
      </c>
      <c r="I370">
        <v>361.34199999999998</v>
      </c>
      <c r="J370">
        <v>-379.6506</v>
      </c>
      <c r="K370">
        <v>1.1089850000000001</v>
      </c>
      <c r="L370">
        <v>367.71530000000001</v>
      </c>
      <c r="M370">
        <v>0.99987630000000005</v>
      </c>
      <c r="N370">
        <v>-1.497979E-2</v>
      </c>
      <c r="O370">
        <v>4.7895749999999999E-3</v>
      </c>
      <c r="P370">
        <v>0.99629719999999999</v>
      </c>
      <c r="Q370">
        <v>-5.9426020000000003E-2</v>
      </c>
      <c r="R370">
        <v>6.2133590000000002E-2</v>
      </c>
      <c r="S370">
        <v>3.0263369999999998</v>
      </c>
      <c r="T370">
        <v>-5.3934099999999999E-2</v>
      </c>
      <c r="U370">
        <v>-0.29650880000000002</v>
      </c>
      <c r="V370">
        <v>-5.7374559999999998E-2</v>
      </c>
      <c r="W370">
        <v>-4.4472879999999999E-2</v>
      </c>
      <c r="X370">
        <v>0.99736170000000002</v>
      </c>
      <c r="Y370">
        <v>0.10224569999999999</v>
      </c>
      <c r="Z370">
        <v>-1.690212E-3</v>
      </c>
      <c r="AA370">
        <v>0.99475780000000003</v>
      </c>
      <c r="AB370">
        <v>39</v>
      </c>
      <c r="AC370">
        <v>64.674099999999996</v>
      </c>
      <c r="AD370">
        <v>-1.1589849999999999</v>
      </c>
      <c r="AE370">
        <v>-6.3733000000000199</v>
      </c>
      <c r="AF370">
        <v>6.6808982308222902</v>
      </c>
      <c r="AG370">
        <v>-1.1589849999999999</v>
      </c>
      <c r="AH370">
        <v>64.622275967276707</v>
      </c>
      <c r="AI370">
        <v>91.022029734947793</v>
      </c>
      <c r="AJ370">
        <v>84.097512431530305</v>
      </c>
      <c r="AK370">
        <v>64.977043627666703</v>
      </c>
      <c r="AL370">
        <v>92.548948984206305</v>
      </c>
      <c r="AM370">
        <v>93.292387408587004</v>
      </c>
      <c r="AN370">
        <v>1.0000000189087801</v>
      </c>
    </row>
    <row r="371" spans="1:40" x14ac:dyDescent="0.25">
      <c r="A371" t="str">
        <f>"20190305135203991"</f>
        <v>20190305135203991</v>
      </c>
      <c r="B371" t="str">
        <f>"1551765123980269"</f>
        <v>1551765123980269</v>
      </c>
      <c r="C371" t="s">
        <v>40</v>
      </c>
      <c r="D371">
        <v>4.8996360000000001</v>
      </c>
      <c r="E371">
        <v>0.56060500000000002</v>
      </c>
      <c r="F371" t="s">
        <v>47</v>
      </c>
      <c r="G371">
        <v>-315.92930000000001</v>
      </c>
      <c r="H371">
        <v>-0.05</v>
      </c>
      <c r="I371">
        <v>361.517</v>
      </c>
      <c r="J371">
        <v>-379.43990000000002</v>
      </c>
      <c r="K371">
        <v>1.1089819999999999</v>
      </c>
      <c r="L371">
        <v>367.71629999999999</v>
      </c>
      <c r="M371">
        <v>0.9998766</v>
      </c>
      <c r="N371">
        <v>-1.498126E-2</v>
      </c>
      <c r="O371">
        <v>4.7338969999999999E-3</v>
      </c>
      <c r="P371">
        <v>0.99628340000000004</v>
      </c>
      <c r="Q371">
        <v>-5.9860419999999998E-2</v>
      </c>
      <c r="R371">
        <v>6.193705E-2</v>
      </c>
      <c r="S371">
        <v>3.0262449999999999</v>
      </c>
      <c r="T371">
        <v>-5.5042389999999997E-2</v>
      </c>
      <c r="U371">
        <v>-0.29437259999999998</v>
      </c>
      <c r="V371">
        <v>-5.7233150000000003E-2</v>
      </c>
      <c r="W371">
        <v>-4.4906080000000001E-2</v>
      </c>
      <c r="X371">
        <v>0.99735039999999997</v>
      </c>
      <c r="Y371">
        <v>0.1014969</v>
      </c>
      <c r="Z371">
        <v>-1.6981489999999999E-3</v>
      </c>
      <c r="AA371">
        <v>0.99483440000000001</v>
      </c>
      <c r="AB371">
        <v>39</v>
      </c>
      <c r="AC371">
        <v>63.510599999999997</v>
      </c>
      <c r="AD371">
        <v>-1.158982</v>
      </c>
      <c r="AE371">
        <v>-6.1992999999999903</v>
      </c>
      <c r="AF371">
        <v>6.4977734757241796</v>
      </c>
      <c r="AG371">
        <v>-1.158982</v>
      </c>
      <c r="AH371">
        <v>63.459604654091997</v>
      </c>
      <c r="AI371">
        <v>91.040853061686903</v>
      </c>
      <c r="AJ371">
        <v>84.153728928381796</v>
      </c>
      <c r="AK371">
        <v>63.8019256940714</v>
      </c>
      <c r="AL371">
        <v>92.573794373963594</v>
      </c>
      <c r="AM371">
        <v>93.284327638366705</v>
      </c>
      <c r="AN371">
        <v>1.0000000049300199</v>
      </c>
    </row>
    <row r="372" spans="1:40" x14ac:dyDescent="0.25">
      <c r="A372" t="str">
        <f>"20190305135204002"</f>
        <v>20190305135204002</v>
      </c>
      <c r="B372" t="str">
        <f>"1551765123999790"</f>
        <v>1551765123999790</v>
      </c>
      <c r="C372" t="s">
        <v>40</v>
      </c>
      <c r="D372">
        <v>4.9274310000000003</v>
      </c>
      <c r="E372">
        <v>0.56071210000000005</v>
      </c>
      <c r="F372" t="s">
        <v>42</v>
      </c>
      <c r="G372">
        <v>-320.14370000000002</v>
      </c>
      <c r="H372" s="1">
        <v>-5.5724509999999997E-6</v>
      </c>
      <c r="I372">
        <v>361.9391</v>
      </c>
      <c r="J372">
        <v>-379.2235</v>
      </c>
      <c r="K372">
        <v>1.108981</v>
      </c>
      <c r="L372">
        <v>367.71730000000002</v>
      </c>
      <c r="M372">
        <v>0.99987689999999996</v>
      </c>
      <c r="N372">
        <v>-1.4982499999999999E-2</v>
      </c>
      <c r="O372">
        <v>4.6765540000000003E-3</v>
      </c>
      <c r="P372">
        <v>0.99623240000000002</v>
      </c>
      <c r="Q372">
        <v>-6.0517559999999998E-2</v>
      </c>
      <c r="R372">
        <v>6.2118369999999999E-2</v>
      </c>
      <c r="S372">
        <v>3.0261230000000001</v>
      </c>
      <c r="T372">
        <v>-5.659604E-2</v>
      </c>
      <c r="U372">
        <v>-0.29483029999999999</v>
      </c>
      <c r="V372">
        <v>-5.7472090000000003E-2</v>
      </c>
      <c r="W372">
        <v>-4.556267E-2</v>
      </c>
      <c r="X372">
        <v>0.9973069</v>
      </c>
      <c r="Y372">
        <v>0.1015914</v>
      </c>
      <c r="Z372">
        <v>-1.7280399999999999E-3</v>
      </c>
      <c r="AA372">
        <v>0.99482470000000001</v>
      </c>
      <c r="AB372">
        <v>39</v>
      </c>
      <c r="AC372">
        <v>59.079799999999899</v>
      </c>
      <c r="AD372">
        <v>-1.108986572451</v>
      </c>
      <c r="AE372">
        <v>-5.7782000000000204</v>
      </c>
      <c r="AF372">
        <v>6.0523453289400102</v>
      </c>
      <c r="AG372">
        <v>-1.108986572451</v>
      </c>
      <c r="AH372">
        <v>59.031526017562001</v>
      </c>
      <c r="AI372">
        <v>91.070640458972093</v>
      </c>
      <c r="AJ372">
        <v>84.146070844745793</v>
      </c>
      <c r="AK372">
        <v>59.351342016509797</v>
      </c>
      <c r="AL372">
        <v>92.611452703871805</v>
      </c>
      <c r="AM372">
        <v>93.298152553250205</v>
      </c>
      <c r="AN372">
        <v>1.00000002540705</v>
      </c>
    </row>
    <row r="373" spans="1:40" x14ac:dyDescent="0.25">
      <c r="A373" t="str">
        <f>"20190305135204014"</f>
        <v>20190305135204014</v>
      </c>
      <c r="B373" t="str">
        <f>"1551765124010525"</f>
        <v>1551765124010525</v>
      </c>
      <c r="C373" t="s">
        <v>40</v>
      </c>
      <c r="D373">
        <v>4.9330600000000002</v>
      </c>
      <c r="E373">
        <v>0.56084529999999999</v>
      </c>
      <c r="F373" t="s">
        <v>47</v>
      </c>
      <c r="G373">
        <v>-310.8999</v>
      </c>
      <c r="H373">
        <v>-0.05</v>
      </c>
      <c r="I373">
        <v>361.0609</v>
      </c>
      <c r="J373">
        <v>-379.02300000000002</v>
      </c>
      <c r="K373">
        <v>1.108984</v>
      </c>
      <c r="L373">
        <v>367.71820000000002</v>
      </c>
      <c r="M373">
        <v>0.99987720000000002</v>
      </c>
      <c r="N373">
        <v>-1.498334E-2</v>
      </c>
      <c r="O373">
        <v>4.6236810000000001E-3</v>
      </c>
      <c r="P373">
        <v>0.99618660000000003</v>
      </c>
      <c r="Q373">
        <v>-6.106868E-2</v>
      </c>
      <c r="R373">
        <v>6.2317230000000001E-2</v>
      </c>
      <c r="S373">
        <v>3.0265810000000002</v>
      </c>
      <c r="T373">
        <v>-5.1340219999999999E-2</v>
      </c>
      <c r="U373">
        <v>-0.29486079999999998</v>
      </c>
      <c r="V373">
        <v>-5.7724570000000003E-2</v>
      </c>
      <c r="W373">
        <v>-4.6113510000000003E-2</v>
      </c>
      <c r="X373">
        <v>0.99726689999999996</v>
      </c>
      <c r="Y373">
        <v>0.1015387</v>
      </c>
      <c r="Z373">
        <v>-1.6308780000000001E-3</v>
      </c>
      <c r="AA373">
        <v>0.99483029999999995</v>
      </c>
      <c r="AB373">
        <v>39</v>
      </c>
      <c r="AC373">
        <v>68.123099999999994</v>
      </c>
      <c r="AD373">
        <v>-1.158984</v>
      </c>
      <c r="AE373">
        <v>-6.6573000000000198</v>
      </c>
      <c r="AF373">
        <v>6.9702452039902596</v>
      </c>
      <c r="AG373">
        <v>-1.158984</v>
      </c>
      <c r="AH373">
        <v>68.072070232822199</v>
      </c>
      <c r="AI373">
        <v>90.970341728233507</v>
      </c>
      <c r="AJ373">
        <v>84.153569940612101</v>
      </c>
      <c r="AK373">
        <v>68.437813435981994</v>
      </c>
      <c r="AL373">
        <v>92.643046983110096</v>
      </c>
      <c r="AM373">
        <v>93.312742005825697</v>
      </c>
      <c r="AN373">
        <v>0.99999992581090402</v>
      </c>
    </row>
    <row r="374" spans="1:40" x14ac:dyDescent="0.25">
      <c r="A374" t="str">
        <f>"20190305135204033"</f>
        <v>20190305135204033</v>
      </c>
      <c r="B374" t="str">
        <f>"1551765124030045"</f>
        <v>1551765124030045</v>
      </c>
      <c r="C374" t="s">
        <v>40</v>
      </c>
      <c r="D374">
        <v>4.9059809999999997</v>
      </c>
      <c r="E374">
        <v>0.56092600000000004</v>
      </c>
      <c r="F374" t="s">
        <v>47</v>
      </c>
      <c r="G374">
        <v>-309.39949999999999</v>
      </c>
      <c r="H374">
        <v>-0.05</v>
      </c>
      <c r="I374">
        <v>360.92950000000002</v>
      </c>
      <c r="J374">
        <v>-378.6909</v>
      </c>
      <c r="K374">
        <v>1.1089880000000001</v>
      </c>
      <c r="L374">
        <v>367.71960000000001</v>
      </c>
      <c r="M374">
        <v>0.99987749999999997</v>
      </c>
      <c r="N374">
        <v>-1.498435E-2</v>
      </c>
      <c r="O374">
        <v>4.5362429999999997E-3</v>
      </c>
      <c r="P374">
        <v>0.9961409</v>
      </c>
      <c r="Q374">
        <v>-6.145134E-2</v>
      </c>
      <c r="R374">
        <v>6.266584E-2</v>
      </c>
      <c r="S374">
        <v>3.0268860000000002</v>
      </c>
      <c r="T374">
        <v>-5.038691E-2</v>
      </c>
      <c r="U374">
        <v>-0.2951355</v>
      </c>
      <c r="V374">
        <v>-5.816006E-2</v>
      </c>
      <c r="W374">
        <v>-4.6495769999999999E-2</v>
      </c>
      <c r="X374">
        <v>0.99722390000000005</v>
      </c>
      <c r="Y374">
        <v>0.1015322</v>
      </c>
      <c r="Z374">
        <v>-1.6131779999999901E-3</v>
      </c>
      <c r="AA374">
        <v>0.99483100000000002</v>
      </c>
      <c r="AB374">
        <v>39</v>
      </c>
      <c r="AC374">
        <v>69.291399999999996</v>
      </c>
      <c r="AD374">
        <v>-1.1589879999999999</v>
      </c>
      <c r="AE374">
        <v>-6.79009999999999</v>
      </c>
      <c r="AF374">
        <v>7.1024198889174404</v>
      </c>
      <c r="AG374">
        <v>-1.1589879999999999</v>
      </c>
      <c r="AH374">
        <v>69.240694779793003</v>
      </c>
      <c r="AI374">
        <v>90.9539534419809</v>
      </c>
      <c r="AJ374">
        <v>84.143322990713898</v>
      </c>
      <c r="AK374">
        <v>69.613658394391905</v>
      </c>
      <c r="AL374">
        <v>92.664972248407693</v>
      </c>
      <c r="AM374">
        <v>93.337821544003901</v>
      </c>
      <c r="AN374">
        <v>0.99999997796915296</v>
      </c>
    </row>
    <row r="375" spans="1:40" x14ac:dyDescent="0.25">
      <c r="A375" t="str">
        <f>"20190305135204056"</f>
        <v>20190305135204056</v>
      </c>
      <c r="B375" t="str">
        <f>"1551765124050541"</f>
        <v>1551765124050541</v>
      </c>
      <c r="C375" t="s">
        <v>40</v>
      </c>
      <c r="D375">
        <v>4.9560890000000004</v>
      </c>
      <c r="E375">
        <v>0.56102529999999995</v>
      </c>
      <c r="F375" t="s">
        <v>47</v>
      </c>
      <c r="G375">
        <v>-304.4785</v>
      </c>
      <c r="H375">
        <v>-0.05</v>
      </c>
      <c r="I375">
        <v>360.49400000000003</v>
      </c>
      <c r="J375">
        <v>-378.30410000000001</v>
      </c>
      <c r="K375">
        <v>1.1089910000000001</v>
      </c>
      <c r="L375">
        <v>367.72129999999999</v>
      </c>
      <c r="M375">
        <v>0.99987789999999999</v>
      </c>
      <c r="N375">
        <v>-1.4984910000000001E-2</v>
      </c>
      <c r="O375">
        <v>4.433495E-3</v>
      </c>
      <c r="P375">
        <v>0.99612730000000005</v>
      </c>
      <c r="Q375">
        <v>-6.135239E-2</v>
      </c>
      <c r="R375">
        <v>6.2980800000000003E-2</v>
      </c>
      <c r="S375">
        <v>3.0272220000000001</v>
      </c>
      <c r="T375">
        <v>-4.7276619999999998E-2</v>
      </c>
      <c r="U375">
        <v>-0.29473880000000002</v>
      </c>
      <c r="V375">
        <v>-5.8577829999999997E-2</v>
      </c>
      <c r="W375">
        <v>-4.6396489999999999E-2</v>
      </c>
      <c r="X375">
        <v>0.99720410000000004</v>
      </c>
      <c r="Y375">
        <v>0.1012927</v>
      </c>
      <c r="Z375">
        <v>-1.552688E-3</v>
      </c>
      <c r="AA375">
        <v>0.9948555</v>
      </c>
      <c r="AB375">
        <v>39</v>
      </c>
      <c r="AC375">
        <v>73.825599999999994</v>
      </c>
      <c r="AD375">
        <v>-1.1589909999999899</v>
      </c>
      <c r="AE375">
        <v>-7.2272999999999499</v>
      </c>
      <c r="AF375">
        <v>7.5527273601352496</v>
      </c>
      <c r="AG375">
        <v>-1.1589909999999899</v>
      </c>
      <c r="AH375">
        <v>73.774818557744595</v>
      </c>
      <c r="AI375">
        <v>90.89535481918</v>
      </c>
      <c r="AJ375">
        <v>84.154685314468907</v>
      </c>
      <c r="AK375">
        <v>74.169473531519301</v>
      </c>
      <c r="AL375">
        <v>92.659277701192494</v>
      </c>
      <c r="AM375">
        <v>93.361809280366103</v>
      </c>
      <c r="AN375">
        <v>1.00000000675431</v>
      </c>
    </row>
    <row r="376" spans="1:40" x14ac:dyDescent="0.25">
      <c r="A376" t="str">
        <f>"20190305135204070"</f>
        <v>20190305135204070</v>
      </c>
      <c r="B376" t="str">
        <f>"1551765124060301"</f>
        <v>1551765124060301</v>
      </c>
      <c r="C376" t="s">
        <v>40</v>
      </c>
      <c r="D376">
        <v>4.9218650000000004</v>
      </c>
      <c r="E376">
        <v>0.56104449999999995</v>
      </c>
      <c r="F376" t="s">
        <v>47</v>
      </c>
      <c r="G376">
        <v>-297.93</v>
      </c>
      <c r="H376">
        <v>-0.05</v>
      </c>
      <c r="I376">
        <v>359.90649999999999</v>
      </c>
      <c r="J376">
        <v>-378.05880000000002</v>
      </c>
      <c r="K376">
        <v>1.108995</v>
      </c>
      <c r="L376">
        <v>367.72230000000002</v>
      </c>
      <c r="M376">
        <v>0.99987820000000005</v>
      </c>
      <c r="N376">
        <v>-1.4985E-2</v>
      </c>
      <c r="O376">
        <v>4.3680580000000002E-3</v>
      </c>
      <c r="P376">
        <v>0.99612000000000001</v>
      </c>
      <c r="Q376">
        <v>-6.14052E-2</v>
      </c>
      <c r="R376">
        <v>6.3043970000000005E-2</v>
      </c>
      <c r="S376">
        <v>3.0276179999999999</v>
      </c>
      <c r="T376">
        <v>-4.3658139999999998E-2</v>
      </c>
      <c r="U376">
        <v>-0.29437259999999998</v>
      </c>
      <c r="V376">
        <v>-5.8706069999999999E-2</v>
      </c>
      <c r="W376">
        <v>-4.6449369999999997E-2</v>
      </c>
      <c r="X376">
        <v>0.99719409999999997</v>
      </c>
      <c r="Y376">
        <v>0.10109849999999999</v>
      </c>
      <c r="Z376">
        <v>-1.4840879999999999E-3</v>
      </c>
      <c r="AA376">
        <v>0.99487530000000002</v>
      </c>
      <c r="AB376">
        <v>39</v>
      </c>
      <c r="AC376">
        <v>80.128799999999998</v>
      </c>
      <c r="AD376">
        <v>-1.158995</v>
      </c>
      <c r="AE376">
        <v>-7.8158000000000198</v>
      </c>
      <c r="AF376">
        <v>8.1640800387677501</v>
      </c>
      <c r="AG376">
        <v>-1.158995</v>
      </c>
      <c r="AH376">
        <v>80.077296484627993</v>
      </c>
      <c r="AI376">
        <v>90.824934250584803</v>
      </c>
      <c r="AJ376">
        <v>84.178666398932904</v>
      </c>
      <c r="AK376">
        <v>80.500738410131703</v>
      </c>
      <c r="AL376">
        <v>92.662310763771998</v>
      </c>
      <c r="AM376">
        <v>93.369185807541598</v>
      </c>
      <c r="AN376">
        <v>1.00000000985152</v>
      </c>
    </row>
    <row r="377" spans="1:40" x14ac:dyDescent="0.25">
      <c r="A377" t="str">
        <f>"20190305135204088"</f>
        <v>20190305135204088</v>
      </c>
      <c r="B377" t="str">
        <f>"1551765124079821"</f>
        <v>1551765124079821</v>
      </c>
      <c r="C377" t="s">
        <v>40</v>
      </c>
      <c r="D377">
        <v>4.9889239999999999</v>
      </c>
      <c r="E377">
        <v>0.56108459999999905</v>
      </c>
      <c r="F377" t="s">
        <v>47</v>
      </c>
      <c r="G377">
        <v>-296.07580000000002</v>
      </c>
      <c r="H377">
        <v>-0.05</v>
      </c>
      <c r="I377">
        <v>359.74799999999999</v>
      </c>
      <c r="J377">
        <v>-377.73079999999999</v>
      </c>
      <c r="K377">
        <v>1.1089960000000001</v>
      </c>
      <c r="L377">
        <v>367.72359999999998</v>
      </c>
      <c r="M377">
        <v>0.99987870000000001</v>
      </c>
      <c r="N377">
        <v>-1.498469E-2</v>
      </c>
      <c r="O377">
        <v>4.2807569999999996E-3</v>
      </c>
      <c r="P377">
        <v>0.99612730000000005</v>
      </c>
      <c r="Q377">
        <v>-6.1222770000000003E-2</v>
      </c>
      <c r="R377">
        <v>6.3106289999999995E-2</v>
      </c>
      <c r="S377">
        <v>3.027679</v>
      </c>
      <c r="T377">
        <v>-4.280233E-2</v>
      </c>
      <c r="U377">
        <v>-0.2944946</v>
      </c>
      <c r="V377">
        <v>-5.885493E-2</v>
      </c>
      <c r="W377">
        <v>-4.6267280000000001E-2</v>
      </c>
      <c r="X377">
        <v>0.99719380000000002</v>
      </c>
      <c r="Y377">
        <v>0.1010501</v>
      </c>
      <c r="Z377">
        <v>-1.46794E-3</v>
      </c>
      <c r="AA377">
        <v>0.99488030000000005</v>
      </c>
      <c r="AB377">
        <v>39</v>
      </c>
      <c r="AC377">
        <v>81.654999999999902</v>
      </c>
      <c r="AD377">
        <v>-1.1589959999999999</v>
      </c>
      <c r="AE377">
        <v>-7.9755999999999201</v>
      </c>
      <c r="AF377">
        <v>8.3234502891406095</v>
      </c>
      <c r="AG377">
        <v>-1.1589959999999999</v>
      </c>
      <c r="AH377">
        <v>81.603821333111</v>
      </c>
      <c r="AI377">
        <v>90.809501618363996</v>
      </c>
      <c r="AJ377">
        <v>84.1760694121066</v>
      </c>
      <c r="AK377">
        <v>82.035399387155493</v>
      </c>
      <c r="AL377">
        <v>92.651866521266001</v>
      </c>
      <c r="AM377">
        <v>93.377710254395694</v>
      </c>
      <c r="AN377">
        <v>1.00000001937117</v>
      </c>
    </row>
    <row r="378" spans="1:40" x14ac:dyDescent="0.25">
      <c r="A378" t="str">
        <f>"20190305135204101"</f>
        <v>20190305135204101</v>
      </c>
      <c r="B378" t="str">
        <f>"1551765124090557"</f>
        <v>1551765124090557</v>
      </c>
      <c r="C378" t="s">
        <v>40</v>
      </c>
      <c r="D378">
        <v>5.0131649999999999</v>
      </c>
      <c r="E378">
        <v>0.56109319999999996</v>
      </c>
      <c r="F378" t="s">
        <v>47</v>
      </c>
      <c r="G378">
        <v>-290.61529999999999</v>
      </c>
      <c r="H378">
        <v>-0.05</v>
      </c>
      <c r="I378">
        <v>359.25060000000002</v>
      </c>
      <c r="J378">
        <v>-377.51549999999997</v>
      </c>
      <c r="K378">
        <v>1.108997</v>
      </c>
      <c r="L378">
        <v>367.72449999999998</v>
      </c>
      <c r="M378">
        <v>0.99987890000000001</v>
      </c>
      <c r="N378">
        <v>-1.4984280000000001E-2</v>
      </c>
      <c r="O378">
        <v>4.2246280000000002E-3</v>
      </c>
      <c r="P378">
        <v>0.99612330000000004</v>
      </c>
      <c r="Q378">
        <v>-6.1336960000000003E-2</v>
      </c>
      <c r="R378">
        <v>6.3059690000000002E-2</v>
      </c>
      <c r="S378">
        <v>3.027863</v>
      </c>
      <c r="T378">
        <v>-4.0283079999999999E-2</v>
      </c>
      <c r="U378">
        <v>-0.2944946</v>
      </c>
      <c r="V378">
        <v>-5.8865069999999999E-2</v>
      </c>
      <c r="W378">
        <v>-4.6382069999999997E-2</v>
      </c>
      <c r="X378">
        <v>0.99718790000000002</v>
      </c>
      <c r="Y378">
        <v>0.1009902</v>
      </c>
      <c r="Z378">
        <v>-1.4216280000000001E-3</v>
      </c>
      <c r="AA378">
        <v>0.99488639999999995</v>
      </c>
      <c r="AB378">
        <v>39</v>
      </c>
      <c r="AC378">
        <v>86.900199999999899</v>
      </c>
      <c r="AD378">
        <v>-1.1589969999999901</v>
      </c>
      <c r="AE378">
        <v>-8.4738999999999507</v>
      </c>
      <c r="AF378">
        <v>8.8394290357023202</v>
      </c>
      <c r="AG378">
        <v>-1.1589969999999901</v>
      </c>
      <c r="AH378">
        <v>86.848318333633699</v>
      </c>
      <c r="AI378">
        <v>90.760641678996393</v>
      </c>
      <c r="AJ378">
        <v>84.188443340924707</v>
      </c>
      <c r="AK378">
        <v>87.304691609920994</v>
      </c>
      <c r="AL378">
        <v>92.658450489537799</v>
      </c>
      <c r="AM378">
        <v>93.378310787566306</v>
      </c>
      <c r="AN378">
        <v>1.00000005039499</v>
      </c>
    </row>
    <row r="379" spans="1:40" x14ac:dyDescent="0.25">
      <c r="A379" t="str">
        <f>"20190305135204113"</f>
        <v>20190305135204113</v>
      </c>
      <c r="B379" t="str">
        <f>"1551765124110077"</f>
        <v>1551765124110077</v>
      </c>
      <c r="C379" t="s">
        <v>40</v>
      </c>
      <c r="D379">
        <v>4.9898860000000003</v>
      </c>
      <c r="E379">
        <v>0.56118290000000004</v>
      </c>
      <c r="F379" t="s">
        <v>47</v>
      </c>
      <c r="G379">
        <v>-289.32260000000002</v>
      </c>
      <c r="H379">
        <v>-0.05</v>
      </c>
      <c r="I379">
        <v>359.14580000000001</v>
      </c>
      <c r="J379">
        <v>-377.31760000000003</v>
      </c>
      <c r="K379">
        <v>1.1089960000000001</v>
      </c>
      <c r="L379">
        <v>367.7253</v>
      </c>
      <c r="M379">
        <v>0.99987919999999997</v>
      </c>
      <c r="N379">
        <v>-1.4983740000000001E-2</v>
      </c>
      <c r="O379">
        <v>4.1738089999999997E-3</v>
      </c>
      <c r="P379">
        <v>0.99613399999999996</v>
      </c>
      <c r="Q379">
        <v>-6.1140159999999999E-2</v>
      </c>
      <c r="R379">
        <v>6.3079280000000001E-2</v>
      </c>
      <c r="S379">
        <v>3.027863</v>
      </c>
      <c r="T379">
        <v>-3.9790989999999998E-2</v>
      </c>
      <c r="U379">
        <v>-0.29452509999999998</v>
      </c>
      <c r="V379">
        <v>-5.8934550000000002E-2</v>
      </c>
      <c r="W379">
        <v>-4.6185839999999999E-2</v>
      </c>
      <c r="X379">
        <v>0.99719290000000005</v>
      </c>
      <c r="Y379">
        <v>0.1009499</v>
      </c>
      <c r="Z379">
        <v>-1.4122570000000001E-3</v>
      </c>
      <c r="AA379">
        <v>0.99489050000000001</v>
      </c>
      <c r="AB379">
        <v>39</v>
      </c>
      <c r="AC379">
        <v>87.995000000000005</v>
      </c>
      <c r="AD379">
        <v>-1.1589959999999999</v>
      </c>
      <c r="AE379">
        <v>-8.5794999999999906</v>
      </c>
      <c r="AF379">
        <v>8.9452035518799899</v>
      </c>
      <c r="AG379">
        <v>-1.1589959999999999</v>
      </c>
      <c r="AH379">
        <v>87.943307463146397</v>
      </c>
      <c r="AI379">
        <v>90.751176192573794</v>
      </c>
      <c r="AJ379">
        <v>84.192101841612498</v>
      </c>
      <c r="AK379">
        <v>88.404667670152406</v>
      </c>
      <c r="AL379">
        <v>92.647195287896196</v>
      </c>
      <c r="AM379">
        <v>93.382272125661601</v>
      </c>
      <c r="AN379">
        <v>1.0000000464053</v>
      </c>
    </row>
    <row r="380" spans="1:40" x14ac:dyDescent="0.25">
      <c r="A380" t="str">
        <f>"20190305135204124"</f>
        <v>20190305135204124</v>
      </c>
      <c r="B380" t="str">
        <f>"1551765124120577"</f>
        <v>1551765124120577</v>
      </c>
      <c r="C380" t="s">
        <v>40</v>
      </c>
      <c r="D380">
        <v>4.9292949999999998</v>
      </c>
      <c r="E380">
        <v>0.56118290000000004</v>
      </c>
      <c r="F380" t="s">
        <v>47</v>
      </c>
      <c r="G380">
        <v>-280.09629999999999</v>
      </c>
      <c r="H380">
        <v>-0.05</v>
      </c>
      <c r="I380">
        <v>358.2457</v>
      </c>
      <c r="J380">
        <v>-377.11470000000003</v>
      </c>
      <c r="K380">
        <v>1.1089960000000001</v>
      </c>
      <c r="L380">
        <v>367.726</v>
      </c>
      <c r="M380">
        <v>0.99987930000000003</v>
      </c>
      <c r="N380">
        <v>-1.4983099999999999E-2</v>
      </c>
      <c r="O380">
        <v>4.1222200000000002E-3</v>
      </c>
      <c r="P380">
        <v>0.99611959999999999</v>
      </c>
      <c r="Q380">
        <v>-6.1203250000000001E-2</v>
      </c>
      <c r="R380">
        <v>6.3244449999999994E-2</v>
      </c>
      <c r="S380">
        <v>3.0281069999999999</v>
      </c>
      <c r="T380">
        <v>-3.6098720000000001E-2</v>
      </c>
      <c r="U380">
        <v>-0.29525759999999901</v>
      </c>
      <c r="V380">
        <v>-5.9151200000000001E-2</v>
      </c>
      <c r="W380">
        <v>-4.6249899999999997E-2</v>
      </c>
      <c r="X380">
        <v>0.99717710000000004</v>
      </c>
      <c r="Y380">
        <v>0.1011317</v>
      </c>
      <c r="Z380">
        <v>-1.348295E-3</v>
      </c>
      <c r="AA380">
        <v>0.99487219999999998</v>
      </c>
      <c r="AB380">
        <v>39</v>
      </c>
      <c r="AC380">
        <v>97.0184</v>
      </c>
      <c r="AD380">
        <v>-1.1589959999999999</v>
      </c>
      <c r="AE380">
        <v>-9.4802999999999997</v>
      </c>
      <c r="AF380">
        <v>9.8787990276462203</v>
      </c>
      <c r="AG380">
        <v>-1.1589959999999999</v>
      </c>
      <c r="AH380">
        <v>96.9647842389967</v>
      </c>
      <c r="AI380">
        <v>90.681283362085907</v>
      </c>
      <c r="AJ380">
        <v>84.1827615849989</v>
      </c>
      <c r="AK380">
        <v>97.473603218880896</v>
      </c>
      <c r="AL380">
        <v>92.650869590176001</v>
      </c>
      <c r="AM380">
        <v>93.394730374222604</v>
      </c>
      <c r="AN380">
        <v>1.0000000432379199</v>
      </c>
    </row>
    <row r="381" spans="1:40" x14ac:dyDescent="0.25">
      <c r="A381" t="str">
        <f>"20190305135204136"</f>
        <v>20190305135204136</v>
      </c>
      <c r="B381" t="str">
        <f>"1551765124130338"</f>
        <v>1551765124130338</v>
      </c>
      <c r="C381" t="s">
        <v>40</v>
      </c>
      <c r="D381">
        <v>4.8882050000000001</v>
      </c>
      <c r="E381">
        <v>0.56280949999999996</v>
      </c>
      <c r="F381" t="s">
        <v>47</v>
      </c>
      <c r="G381">
        <v>-280.27010000000001</v>
      </c>
      <c r="H381">
        <v>-0.05</v>
      </c>
      <c r="I381">
        <v>358.30180000000001</v>
      </c>
      <c r="J381">
        <v>-376.9117</v>
      </c>
      <c r="K381">
        <v>1.108997</v>
      </c>
      <c r="L381">
        <v>367.72680000000003</v>
      </c>
      <c r="M381">
        <v>0.99987959999999998</v>
      </c>
      <c r="N381">
        <v>-1.4982290000000001E-2</v>
      </c>
      <c r="O381">
        <v>4.0729670000000003E-3</v>
      </c>
      <c r="P381">
        <v>0.9961158</v>
      </c>
      <c r="Q381">
        <v>-6.1435539999999997E-2</v>
      </c>
      <c r="R381">
        <v>6.3083539999999994E-2</v>
      </c>
      <c r="S381">
        <v>3.028168</v>
      </c>
      <c r="T381">
        <v>-3.6239859999999999E-2</v>
      </c>
      <c r="U381">
        <v>-0.29467769999999999</v>
      </c>
      <c r="V381">
        <v>-5.9039300000000003E-2</v>
      </c>
      <c r="W381">
        <v>-4.6483339999999998E-2</v>
      </c>
      <c r="X381">
        <v>0.99717279999999997</v>
      </c>
      <c r="Y381">
        <v>0.100892</v>
      </c>
      <c r="Z381">
        <v>-1.34770299999999E-3</v>
      </c>
      <c r="AA381">
        <v>0.99489649999999996</v>
      </c>
      <c r="AB381">
        <v>39</v>
      </c>
      <c r="AC381">
        <v>96.641599999999897</v>
      </c>
      <c r="AD381">
        <v>-1.1589969999999901</v>
      </c>
      <c r="AE381">
        <v>-9.4250000000000096</v>
      </c>
      <c r="AF381">
        <v>9.8171853248031304</v>
      </c>
      <c r="AG381">
        <v>-1.1589969999999901</v>
      </c>
      <c r="AH381">
        <v>96.588645159711206</v>
      </c>
      <c r="AI381">
        <v>90.683953389630403</v>
      </c>
      <c r="AJ381">
        <v>84.196436970304504</v>
      </c>
      <c r="AK381">
        <v>97.093186040711103</v>
      </c>
      <c r="AL381">
        <v>92.664259321695695</v>
      </c>
      <c r="AM381">
        <v>93.388337905446704</v>
      </c>
      <c r="AN381">
        <v>0.99999996645094202</v>
      </c>
    </row>
    <row r="382" spans="1:40" x14ac:dyDescent="0.25">
      <c r="A382" t="str">
        <f>"20190305135204146"</f>
        <v>20190305135204146</v>
      </c>
      <c r="B382" t="str">
        <f>"1551765124140099"</f>
        <v>1551765124140099</v>
      </c>
      <c r="C382" t="s">
        <v>40</v>
      </c>
      <c r="D382">
        <v>4.9092539999999998</v>
      </c>
      <c r="E382">
        <v>0.5627354</v>
      </c>
      <c r="F382" t="s">
        <v>49</v>
      </c>
      <c r="G382">
        <v>0</v>
      </c>
      <c r="H382">
        <v>0</v>
      </c>
      <c r="I382">
        <v>0</v>
      </c>
      <c r="J382">
        <v>-376.71690000000001</v>
      </c>
      <c r="K382">
        <v>1.108992</v>
      </c>
      <c r="L382">
        <v>367.7276</v>
      </c>
      <c r="M382">
        <v>0.99987969999999904</v>
      </c>
      <c r="N382">
        <v>-1.498147E-2</v>
      </c>
      <c r="O382">
        <v>4.0267569999999997E-3</v>
      </c>
      <c r="P382">
        <v>0.99610500000000002</v>
      </c>
      <c r="Q382">
        <v>-6.1602410000000003E-2</v>
      </c>
      <c r="R382">
        <v>6.3088290000000005E-2</v>
      </c>
      <c r="S382">
        <v>3.0311889999999999</v>
      </c>
      <c r="T382">
        <v>2.2101400000000001E-4</v>
      </c>
      <c r="U382">
        <v>-0.3075562</v>
      </c>
      <c r="V382">
        <v>-5.9089709999999997E-2</v>
      </c>
      <c r="W382">
        <v>-4.6651440000000002E-2</v>
      </c>
      <c r="X382">
        <v>0.99716199999999999</v>
      </c>
      <c r="Y382">
        <v>0.104951</v>
      </c>
      <c r="Z382">
        <v>-7.2393550000000005E-4</v>
      </c>
      <c r="AA382">
        <v>0.99447719999999995</v>
      </c>
      <c r="AB382">
        <v>39</v>
      </c>
      <c r="AC382">
        <v>3.0311889999999999</v>
      </c>
      <c r="AD382">
        <v>2.2101400000000001E-4</v>
      </c>
      <c r="AE382">
        <v>-0.3075562</v>
      </c>
      <c r="AF382">
        <v>0.31976093534457101</v>
      </c>
      <c r="AG382">
        <v>2.2101400000000001E-4</v>
      </c>
      <c r="AH382">
        <v>3.0299258103809401</v>
      </c>
      <c r="AI382">
        <v>89.995843715018395</v>
      </c>
      <c r="AJ382">
        <v>83.975632497212899</v>
      </c>
      <c r="AK382">
        <v>3.04675196250568</v>
      </c>
      <c r="AL382">
        <v>92.673901106192702</v>
      </c>
      <c r="AM382">
        <v>93.391260891807903</v>
      </c>
      <c r="AN382">
        <v>1.0000000024629701</v>
      </c>
    </row>
    <row r="383" spans="1:40" x14ac:dyDescent="0.25">
      <c r="A383" t="str">
        <f>"20190305135204159"</f>
        <v>20190305135204159</v>
      </c>
      <c r="B383" t="str">
        <f>"1551765124149857"</f>
        <v>1551765124149857</v>
      </c>
      <c r="C383" t="s">
        <v>40</v>
      </c>
      <c r="D383">
        <v>4.9099870000000001</v>
      </c>
      <c r="E383">
        <v>0.56283549999999904</v>
      </c>
      <c r="F383" t="s">
        <v>53</v>
      </c>
      <c r="G383">
        <v>221.7388</v>
      </c>
      <c r="H383">
        <v>-0.1</v>
      </c>
      <c r="I383">
        <v>307.06490000000002</v>
      </c>
      <c r="J383">
        <v>-376.50650000000002</v>
      </c>
      <c r="K383">
        <v>1.1089960000000001</v>
      </c>
      <c r="L383">
        <v>367.72840000000002</v>
      </c>
      <c r="M383">
        <v>0.99987990000000004</v>
      </c>
      <c r="N383">
        <v>-1.4980429999999999E-2</v>
      </c>
      <c r="O383">
        <v>3.9793770000000001E-3</v>
      </c>
      <c r="P383">
        <v>0.99608620000000003</v>
      </c>
      <c r="Q383">
        <v>-6.2012009999999999E-2</v>
      </c>
      <c r="R383">
        <v>6.2982170000000004E-2</v>
      </c>
      <c r="S383">
        <v>3.0308229999999998</v>
      </c>
      <c r="T383">
        <v>-6.1228280000000003E-3</v>
      </c>
      <c r="U383">
        <v>-0.30722050000000001</v>
      </c>
      <c r="V383">
        <v>-5.903104E-2</v>
      </c>
      <c r="W383">
        <v>-4.706283E-2</v>
      </c>
      <c r="X383">
        <v>0.99714610000000004</v>
      </c>
      <c r="Y383">
        <v>0.1048052</v>
      </c>
      <c r="Z383">
        <v>-8.4122050000000001E-4</v>
      </c>
      <c r="AA383">
        <v>0.99449240000000005</v>
      </c>
      <c r="AB383">
        <v>39</v>
      </c>
      <c r="AC383">
        <v>598.24530000000004</v>
      </c>
      <c r="AD383">
        <v>-1.208996</v>
      </c>
      <c r="AE383">
        <v>-60.663499999999999</v>
      </c>
      <c r="AF383">
        <v>63.043675401581197</v>
      </c>
      <c r="AG383">
        <v>-1.208996</v>
      </c>
      <c r="AH383">
        <v>597.99671476628498</v>
      </c>
      <c r="AI383">
        <v>90.1151988035258</v>
      </c>
      <c r="AJ383">
        <v>83.981835101198996</v>
      </c>
      <c r="AK383">
        <v>601.31193032463398</v>
      </c>
      <c r="AL383">
        <v>92.697498052558302</v>
      </c>
      <c r="AM383">
        <v>93.387955461738898</v>
      </c>
      <c r="AN383">
        <v>0.99999995919814899</v>
      </c>
    </row>
    <row r="384" spans="1:40" x14ac:dyDescent="0.25">
      <c r="A384" t="str">
        <f>"20190305135204179"</f>
        <v>20190305135204179</v>
      </c>
      <c r="B384" t="str">
        <f>"1551765124170357"</f>
        <v>1551765124170357</v>
      </c>
      <c r="C384" t="s">
        <v>40</v>
      </c>
      <c r="D384">
        <v>4.8929269999999896</v>
      </c>
      <c r="E384">
        <v>0.56343909999999997</v>
      </c>
      <c r="F384" t="s">
        <v>53</v>
      </c>
      <c r="G384">
        <v>203.5873</v>
      </c>
      <c r="H384">
        <v>-0.1</v>
      </c>
      <c r="I384">
        <v>308.76459999999997</v>
      </c>
      <c r="J384">
        <v>-376.17599999999999</v>
      </c>
      <c r="K384">
        <v>1.1089979999999999</v>
      </c>
      <c r="L384">
        <v>367.7296</v>
      </c>
      <c r="M384">
        <v>0.99988010000000005</v>
      </c>
      <c r="N384">
        <v>-1.497863E-2</v>
      </c>
      <c r="O384">
        <v>3.9091559999999996E-3</v>
      </c>
      <c r="P384">
        <v>0.99606930000000005</v>
      </c>
      <c r="Q384">
        <v>-6.2617190000000003E-2</v>
      </c>
      <c r="R384">
        <v>6.2651120000000005E-2</v>
      </c>
      <c r="S384">
        <v>3.0308839999999999</v>
      </c>
      <c r="T384">
        <v>-6.3167809999999996E-3</v>
      </c>
      <c r="U384">
        <v>-0.30807499999999999</v>
      </c>
      <c r="V384">
        <v>-5.8769259999999997E-2</v>
      </c>
      <c r="W384">
        <v>-4.7670879999999999E-2</v>
      </c>
      <c r="X384">
        <v>0.99713269999999998</v>
      </c>
      <c r="Y384">
        <v>0.1050108</v>
      </c>
      <c r="Z384">
        <v>-8.4740089999999998E-4</v>
      </c>
      <c r="AA384">
        <v>0.99447070000000004</v>
      </c>
      <c r="AB384">
        <v>39</v>
      </c>
      <c r="AC384">
        <v>579.76329999999996</v>
      </c>
      <c r="AD384">
        <v>-1.208998</v>
      </c>
      <c r="AE384">
        <v>-58.965000000000003</v>
      </c>
      <c r="AF384">
        <v>61.230925449409803</v>
      </c>
      <c r="AG384">
        <v>-1.208998</v>
      </c>
      <c r="AH384">
        <v>579.52584557295097</v>
      </c>
      <c r="AI384">
        <v>90.118867769709198</v>
      </c>
      <c r="AJ384">
        <v>83.968680361041805</v>
      </c>
      <c r="AK384">
        <v>582.75285807501496</v>
      </c>
      <c r="AL384">
        <v>92.732375844470099</v>
      </c>
      <c r="AM384">
        <v>93.373011168017598</v>
      </c>
      <c r="AN384">
        <v>0.99999998006510504</v>
      </c>
    </row>
    <row r="385" spans="1:40" x14ac:dyDescent="0.25">
      <c r="A385" t="str">
        <f>"20190305135204190"</f>
        <v>20190305135204190</v>
      </c>
      <c r="B385" t="str">
        <f>"1551765124180114"</f>
        <v>1551765124180114</v>
      </c>
      <c r="C385" t="s">
        <v>40</v>
      </c>
      <c r="D385">
        <v>4.8993830000000003</v>
      </c>
      <c r="E385">
        <v>0.56360410000000005</v>
      </c>
      <c r="F385" t="s">
        <v>53</v>
      </c>
      <c r="G385">
        <v>124.5491</v>
      </c>
      <c r="H385">
        <v>-0.1</v>
      </c>
      <c r="I385">
        <v>315.86340000000001</v>
      </c>
      <c r="J385">
        <v>-375.98</v>
      </c>
      <c r="K385">
        <v>1.109002</v>
      </c>
      <c r="L385">
        <v>367.73039999999997</v>
      </c>
      <c r="M385">
        <v>0.9998804</v>
      </c>
      <c r="N385">
        <v>-1.497749E-2</v>
      </c>
      <c r="O385">
        <v>3.8703689999999998E-3</v>
      </c>
      <c r="P385">
        <v>0.99606689999999998</v>
      </c>
      <c r="Q385">
        <v>-6.2876840000000003E-2</v>
      </c>
      <c r="R385">
        <v>6.2430619999999999E-2</v>
      </c>
      <c r="S385">
        <v>3.0310670000000002</v>
      </c>
      <c r="T385">
        <v>-7.3184969999999898E-3</v>
      </c>
      <c r="U385">
        <v>-0.31396479999999999</v>
      </c>
      <c r="V385">
        <v>-5.858737E-2</v>
      </c>
      <c r="W385">
        <v>-4.7932259999999997E-2</v>
      </c>
      <c r="X385">
        <v>0.99713090000000004</v>
      </c>
      <c r="Y385">
        <v>0.1068779</v>
      </c>
      <c r="Z385">
        <v>-8.8275959999999998E-4</v>
      </c>
      <c r="AA385">
        <v>0.99427180000000004</v>
      </c>
      <c r="AB385">
        <v>39</v>
      </c>
      <c r="AC385">
        <v>500.52910000000003</v>
      </c>
      <c r="AD385">
        <v>-1.2090019999999999</v>
      </c>
      <c r="AE385">
        <v>-51.866999999999898</v>
      </c>
      <c r="AF385">
        <v>53.803750375149903</v>
      </c>
      <c r="AG385">
        <v>-1.2090019999999999</v>
      </c>
      <c r="AH385">
        <v>500.32169524718603</v>
      </c>
      <c r="AI385">
        <v>90.137658392322905</v>
      </c>
      <c r="AJ385">
        <v>83.862096651614706</v>
      </c>
      <c r="AK385">
        <v>503.20781390523501</v>
      </c>
      <c r="AL385">
        <v>92.747368882045706</v>
      </c>
      <c r="AM385">
        <v>93.362601795660794</v>
      </c>
      <c r="AN385">
        <v>1.00000000660351</v>
      </c>
    </row>
    <row r="386" spans="1:40" x14ac:dyDescent="0.25">
      <c r="A386" t="str">
        <f>"20190305135204202"</f>
        <v>20190305135204202</v>
      </c>
      <c r="B386" t="str">
        <f>"1551765124189874"</f>
        <v>1551765124189874</v>
      </c>
      <c r="C386" t="s">
        <v>40</v>
      </c>
      <c r="D386">
        <v>4.8971710000000002</v>
      </c>
      <c r="E386">
        <v>0.56369859999999905</v>
      </c>
      <c r="F386" t="s">
        <v>53</v>
      </c>
      <c r="G386">
        <v>2.840668</v>
      </c>
      <c r="H386">
        <v>-0.1</v>
      </c>
      <c r="I386">
        <v>328.22089999999997</v>
      </c>
      <c r="J386">
        <v>-375.77140000000003</v>
      </c>
      <c r="K386">
        <v>1.1090059999999999</v>
      </c>
      <c r="L386">
        <v>367.73110000000003</v>
      </c>
      <c r="M386">
        <v>0.99988060000000001</v>
      </c>
      <c r="N386">
        <v>-1.497619E-2</v>
      </c>
      <c r="O386">
        <v>3.8322500000000002E-3</v>
      </c>
      <c r="P386">
        <v>0.99607250000000003</v>
      </c>
      <c r="Q386">
        <v>-6.3048290000000007E-2</v>
      </c>
      <c r="R386">
        <v>6.2167060000000003E-2</v>
      </c>
      <c r="S386">
        <v>3.0310969999999999</v>
      </c>
      <c r="T386">
        <v>-9.6737149999999994E-3</v>
      </c>
      <c r="U386">
        <v>-0.31613160000000001</v>
      </c>
      <c r="V386">
        <v>-5.8361509999999998E-2</v>
      </c>
      <c r="W386">
        <v>-4.8105589999999997E-2</v>
      </c>
      <c r="X386">
        <v>0.99713580000000002</v>
      </c>
      <c r="Y386">
        <v>0.10754130000000001</v>
      </c>
      <c r="Z386">
        <v>-9.3361759999999996E-4</v>
      </c>
      <c r="AA386">
        <v>0.99420019999999998</v>
      </c>
      <c r="AB386">
        <v>39</v>
      </c>
      <c r="AC386">
        <v>378.61206800000002</v>
      </c>
      <c r="AD386">
        <v>-1.209006</v>
      </c>
      <c r="AE386">
        <v>-39.510199999999998</v>
      </c>
      <c r="AF386">
        <v>40.960595338270103</v>
      </c>
      <c r="AG386">
        <v>-1.209006</v>
      </c>
      <c r="AH386">
        <v>378.45403977501201</v>
      </c>
      <c r="AI386">
        <v>90.181973269100894</v>
      </c>
      <c r="AJ386">
        <v>83.822844776809802</v>
      </c>
      <c r="AK386">
        <v>380.66611654834799</v>
      </c>
      <c r="AL386">
        <v>92.757311423298404</v>
      </c>
      <c r="AM386">
        <v>93.349651790702097</v>
      </c>
      <c r="AN386">
        <v>1.0000000086401799</v>
      </c>
    </row>
    <row r="387" spans="1:40" x14ac:dyDescent="0.25">
      <c r="A387" t="str">
        <f>"20190305135204215"</f>
        <v>20190305135204215</v>
      </c>
      <c r="B387" t="str">
        <f>"1551765124210369"</f>
        <v>1551765124210369</v>
      </c>
      <c r="C387" t="s">
        <v>40</v>
      </c>
      <c r="D387">
        <v>4.8874409999999999</v>
      </c>
      <c r="E387">
        <v>0.56389840000000002</v>
      </c>
      <c r="F387" t="s">
        <v>53</v>
      </c>
      <c r="G387">
        <v>17.047149999999998</v>
      </c>
      <c r="H387">
        <v>-0.1</v>
      </c>
      <c r="I387">
        <v>326.5908</v>
      </c>
      <c r="J387">
        <v>-375.56299999999999</v>
      </c>
      <c r="K387">
        <v>1.1090169999999999</v>
      </c>
      <c r="L387">
        <v>367.7319</v>
      </c>
      <c r="M387">
        <v>0.99988069999999896</v>
      </c>
      <c r="N387">
        <v>-1.4974799999999899E-2</v>
      </c>
      <c r="O387">
        <v>3.7974810000000001E-3</v>
      </c>
      <c r="P387">
        <v>0.99609820000000004</v>
      </c>
      <c r="Q387">
        <v>-6.3003539999999997E-2</v>
      </c>
      <c r="R387">
        <v>6.1798739999999998E-2</v>
      </c>
      <c r="S387">
        <v>3.0310359999999998</v>
      </c>
      <c r="T387">
        <v>-9.3288420000000004E-3</v>
      </c>
      <c r="U387">
        <v>-0.3174438</v>
      </c>
      <c r="V387">
        <v>-5.8026889999999998E-2</v>
      </c>
      <c r="W387">
        <v>-4.8062639999999997E-2</v>
      </c>
      <c r="X387">
        <v>0.99715739999999997</v>
      </c>
      <c r="Y387">
        <v>0.10793460000000001</v>
      </c>
      <c r="Z387">
        <v>-9.3100029999999996E-4</v>
      </c>
      <c r="AA387">
        <v>0.99415759999999997</v>
      </c>
      <c r="AB387">
        <v>39</v>
      </c>
      <c r="AC387">
        <v>392.61014999999998</v>
      </c>
      <c r="AD387">
        <v>-1.209017</v>
      </c>
      <c r="AE387">
        <v>-41.141100000000002</v>
      </c>
      <c r="AF387">
        <v>42.631500127671401</v>
      </c>
      <c r="AG387">
        <v>-1.209017</v>
      </c>
      <c r="AH387">
        <v>392.44738728397198</v>
      </c>
      <c r="AI387">
        <v>90.175478861114897</v>
      </c>
      <c r="AJ387">
        <v>83.800278386791504</v>
      </c>
      <c r="AK387">
        <v>394.75797434790098</v>
      </c>
      <c r="AL387">
        <v>92.754847719218205</v>
      </c>
      <c r="AM387">
        <v>93.330417691900394</v>
      </c>
      <c r="AN387">
        <v>1.0000000088508001</v>
      </c>
    </row>
    <row r="388" spans="1:40" x14ac:dyDescent="0.25">
      <c r="A388" t="str">
        <f>"20190305135204226"</f>
        <v>20190305135204226</v>
      </c>
      <c r="B388" t="str">
        <f>"1551765124219731"</f>
        <v>1551765124219731</v>
      </c>
      <c r="C388" t="s">
        <v>40</v>
      </c>
      <c r="D388">
        <v>4.9694289999999999</v>
      </c>
      <c r="E388">
        <v>0.56407269999999998</v>
      </c>
      <c r="F388" t="s">
        <v>47</v>
      </c>
      <c r="G388">
        <v>-64.185119999999998</v>
      </c>
      <c r="H388">
        <v>-0.05</v>
      </c>
      <c r="I388">
        <v>334.84710000000001</v>
      </c>
      <c r="J388">
        <v>-375.35640000000001</v>
      </c>
      <c r="K388">
        <v>1.1090249999999999</v>
      </c>
      <c r="L388">
        <v>367.73270000000002</v>
      </c>
      <c r="M388">
        <v>0.99988089999999996</v>
      </c>
      <c r="N388">
        <v>-1.497338E-2</v>
      </c>
      <c r="O388">
        <v>3.764444E-3</v>
      </c>
      <c r="P388">
        <v>0.99612100000000003</v>
      </c>
      <c r="Q388">
        <v>-6.2881790000000007E-2</v>
      </c>
      <c r="R388">
        <v>6.1554629999999999E-2</v>
      </c>
      <c r="S388">
        <v>3.030945</v>
      </c>
      <c r="T388">
        <v>-1.128185E-2</v>
      </c>
      <c r="U388">
        <v>-0.32009890000000002</v>
      </c>
      <c r="V388">
        <v>-5.7815159999999997E-2</v>
      </c>
      <c r="W388">
        <v>-4.7942760000000001E-2</v>
      </c>
      <c r="X388">
        <v>0.99717549999999999</v>
      </c>
      <c r="Y388">
        <v>0.1087654</v>
      </c>
      <c r="Z388">
        <v>-9.7623619999999997E-4</v>
      </c>
      <c r="AA388">
        <v>0.99406700000000003</v>
      </c>
      <c r="AB388">
        <v>39</v>
      </c>
      <c r="AC388">
        <v>311.171279999999</v>
      </c>
      <c r="AD388">
        <v>-1.159025</v>
      </c>
      <c r="AE388">
        <v>-32.885599999999997</v>
      </c>
      <c r="AF388">
        <v>34.056417755936799</v>
      </c>
      <c r="AG388">
        <v>-1.159025</v>
      </c>
      <c r="AH388">
        <v>311.04099725152298</v>
      </c>
      <c r="AI388">
        <v>90.212230617914997</v>
      </c>
      <c r="AJ388">
        <v>83.751476505645002</v>
      </c>
      <c r="AK388">
        <v>312.90203722657299</v>
      </c>
      <c r="AL388">
        <v>92.747971090025203</v>
      </c>
      <c r="AM388">
        <v>93.318232686800002</v>
      </c>
      <c r="AN388">
        <v>1.00000003938124</v>
      </c>
    </row>
    <row r="389" spans="1:40" x14ac:dyDescent="0.25">
      <c r="A389" t="str">
        <f>"20190305135204240"</f>
        <v>20190305135204240</v>
      </c>
      <c r="B389" t="str">
        <f>"1551765124230466"</f>
        <v>1551765124230466</v>
      </c>
      <c r="C389" t="s">
        <v>40</v>
      </c>
      <c r="D389">
        <v>4.9353689999999997</v>
      </c>
      <c r="E389">
        <v>0.56388749999999999</v>
      </c>
      <c r="F389" t="s">
        <v>53</v>
      </c>
      <c r="G389">
        <v>-35.090519999999998</v>
      </c>
      <c r="H389">
        <v>-0.1</v>
      </c>
      <c r="I389">
        <v>331.5607</v>
      </c>
      <c r="J389">
        <v>-375.1189</v>
      </c>
      <c r="K389">
        <v>1.1090340000000001</v>
      </c>
      <c r="L389">
        <v>367.73349999999999</v>
      </c>
      <c r="M389">
        <v>0.99988100000000002</v>
      </c>
      <c r="N389">
        <v>-1.497162E-2</v>
      </c>
      <c r="O389">
        <v>3.7332839999999999E-3</v>
      </c>
      <c r="P389">
        <v>0.99614579999999997</v>
      </c>
      <c r="Q389">
        <v>-6.2778639999999997E-2</v>
      </c>
      <c r="R389">
        <v>6.1257989999999998E-2</v>
      </c>
      <c r="S389">
        <v>3.030945</v>
      </c>
      <c r="T389">
        <v>-1.076949E-2</v>
      </c>
      <c r="U389">
        <v>-0.32220460000000001</v>
      </c>
      <c r="V389">
        <v>-5.7548210000000002E-2</v>
      </c>
      <c r="W389">
        <v>-4.7842000000000003E-2</v>
      </c>
      <c r="X389">
        <v>0.99719570000000002</v>
      </c>
      <c r="Y389">
        <v>0.1094176</v>
      </c>
      <c r="Z389">
        <v>-9.7277419999999999E-4</v>
      </c>
      <c r="AA389">
        <v>0.99399539999999997</v>
      </c>
      <c r="AB389">
        <v>39</v>
      </c>
      <c r="AC389">
        <v>340.02838000000003</v>
      </c>
      <c r="AD389">
        <v>-1.2090339999999999</v>
      </c>
      <c r="AE389">
        <v>-36.172800000000002</v>
      </c>
      <c r="AF389">
        <v>37.441644531892003</v>
      </c>
      <c r="AG389">
        <v>-1.2090339999999999</v>
      </c>
      <c r="AH389">
        <v>339.88670237066702</v>
      </c>
      <c r="AI389">
        <v>90.202584368144997</v>
      </c>
      <c r="AJ389">
        <v>83.713689677150796</v>
      </c>
      <c r="AK389">
        <v>341.94489169582903</v>
      </c>
      <c r="AL389">
        <v>92.742191556472505</v>
      </c>
      <c r="AM389">
        <v>93.302878648183196</v>
      </c>
      <c r="AN389">
        <v>0.99999995876834602</v>
      </c>
    </row>
    <row r="390" spans="1:40" x14ac:dyDescent="0.25">
      <c r="A390" t="str">
        <f>"20190305135204257"</f>
        <v>20190305135204257</v>
      </c>
      <c r="B390" t="str">
        <f>"1551765124249986"</f>
        <v>1551765124249986</v>
      </c>
      <c r="C390" t="s">
        <v>40</v>
      </c>
      <c r="D390">
        <v>4.9328609999999999</v>
      </c>
      <c r="E390">
        <v>0.5499579</v>
      </c>
      <c r="F390" t="s">
        <v>53</v>
      </c>
      <c r="G390">
        <v>-34.550510000000003</v>
      </c>
      <c r="H390">
        <v>-0.1</v>
      </c>
      <c r="I390">
        <v>331.55770000000001</v>
      </c>
      <c r="J390">
        <v>-374.81459999999998</v>
      </c>
      <c r="K390">
        <v>1.109046</v>
      </c>
      <c r="L390">
        <v>367.7346</v>
      </c>
      <c r="M390">
        <v>0.99988109999999997</v>
      </c>
      <c r="N390">
        <v>-1.496929E-2</v>
      </c>
      <c r="O390">
        <v>3.6998449999999998E-3</v>
      </c>
      <c r="P390">
        <v>0.99619849999999999</v>
      </c>
      <c r="Q390">
        <v>-6.2713820000000003E-2</v>
      </c>
      <c r="R390">
        <v>6.0464320000000002E-2</v>
      </c>
      <c r="S390">
        <v>3.0307309999999998</v>
      </c>
      <c r="T390">
        <v>-1.075923E-2</v>
      </c>
      <c r="U390">
        <v>-0.32192989999999999</v>
      </c>
      <c r="V390">
        <v>-5.6787560000000001E-2</v>
      </c>
      <c r="W390">
        <v>-4.778015E-2</v>
      </c>
      <c r="X390">
        <v>0.99724230000000003</v>
      </c>
      <c r="Y390">
        <v>0.1093026</v>
      </c>
      <c r="Z390">
        <v>-9.7178420000000002E-4</v>
      </c>
      <c r="AA390">
        <v>0.99400809999999995</v>
      </c>
      <c r="AB390">
        <v>39</v>
      </c>
      <c r="AC390">
        <v>340.26409000000001</v>
      </c>
      <c r="AD390">
        <v>-1.2090459999999901</v>
      </c>
      <c r="AE390">
        <v>-36.176899999999897</v>
      </c>
      <c r="AF390">
        <v>37.435250448912697</v>
      </c>
      <c r="AG390">
        <v>-1.2090459999999901</v>
      </c>
      <c r="AH390">
        <v>340.12365035565102</v>
      </c>
      <c r="AI390">
        <v>90.2024473519634</v>
      </c>
      <c r="AJ390">
        <v>83.7190982520506</v>
      </c>
      <c r="AK390">
        <v>342.17971491550497</v>
      </c>
      <c r="AL390">
        <v>92.738643676868094</v>
      </c>
      <c r="AM390">
        <v>93.259165246789195</v>
      </c>
      <c r="AN390">
        <v>0.99999998730703299</v>
      </c>
    </row>
    <row r="391" spans="1:40" x14ac:dyDescent="0.25">
      <c r="A391" t="str">
        <f>"20190305135204271"</f>
        <v>20190305135204271</v>
      </c>
      <c r="B391" t="str">
        <f>"1551765124259747"</f>
        <v>1551765124259747</v>
      </c>
      <c r="C391" t="s">
        <v>40</v>
      </c>
      <c r="D391">
        <v>4.8578799999999998</v>
      </c>
      <c r="E391">
        <v>0.5507843</v>
      </c>
      <c r="F391" t="s">
        <v>47</v>
      </c>
      <c r="G391">
        <v>-287.5917</v>
      </c>
      <c r="H391">
        <v>-0.05</v>
      </c>
      <c r="I391">
        <v>361.5591</v>
      </c>
      <c r="J391">
        <v>-374.57960000000003</v>
      </c>
      <c r="K391">
        <v>1.1090530000000001</v>
      </c>
      <c r="L391">
        <v>367.7355</v>
      </c>
      <c r="M391">
        <v>0.99988129999999997</v>
      </c>
      <c r="N391">
        <v>-1.496741E-2</v>
      </c>
      <c r="O391">
        <v>3.678948E-3</v>
      </c>
      <c r="P391">
        <v>0.99621190000000004</v>
      </c>
      <c r="Q391">
        <v>-6.2785489999999999E-2</v>
      </c>
      <c r="R391">
        <v>6.0166240000000003E-2</v>
      </c>
      <c r="S391">
        <v>3.0219119999999999</v>
      </c>
      <c r="T391">
        <v>-4.0156129999999998E-2</v>
      </c>
      <c r="U391">
        <v>-0.2139587</v>
      </c>
      <c r="V391">
        <v>-5.650869E-2</v>
      </c>
      <c r="W391">
        <v>-4.7854529999999999E-2</v>
      </c>
      <c r="X391">
        <v>0.99725459999999999</v>
      </c>
      <c r="Y391">
        <v>7.4281440000000004E-2</v>
      </c>
      <c r="Z391">
        <v>-1.043406E-3</v>
      </c>
      <c r="AA391">
        <v>0.99723680000000003</v>
      </c>
      <c r="AB391">
        <v>38</v>
      </c>
      <c r="AC391">
        <v>86.987899999999996</v>
      </c>
      <c r="AD391">
        <v>-1.1590530000000001</v>
      </c>
      <c r="AE391">
        <v>-6.1764000000000001</v>
      </c>
      <c r="AF391">
        <v>6.4952706118402901</v>
      </c>
      <c r="AG391">
        <v>-1.1590530000000001</v>
      </c>
      <c r="AH391">
        <v>86.949226719334902</v>
      </c>
      <c r="AI391">
        <v>90.761598764725207</v>
      </c>
      <c r="AJ391">
        <v>85.727832580926005</v>
      </c>
      <c r="AK391">
        <v>87.199197079263001</v>
      </c>
      <c r="AL391">
        <v>92.742910147935305</v>
      </c>
      <c r="AM391">
        <v>93.243154606607007</v>
      </c>
      <c r="AN391">
        <v>1.00000001265409</v>
      </c>
    </row>
    <row r="392" spans="1:40" x14ac:dyDescent="0.25">
      <c r="A392" t="str">
        <f>"20190305135204285"</f>
        <v>20190305135204285</v>
      </c>
      <c r="B392" t="str">
        <f>"1551765124280242"</f>
        <v>1551765124280242</v>
      </c>
      <c r="C392" t="s">
        <v>40</v>
      </c>
      <c r="D392">
        <v>4.919289</v>
      </c>
      <c r="E392">
        <v>0.5484831</v>
      </c>
      <c r="F392" t="s">
        <v>50</v>
      </c>
      <c r="G392">
        <v>-249.5479</v>
      </c>
      <c r="H392">
        <v>0.1045299</v>
      </c>
      <c r="I392">
        <v>358.58269999999999</v>
      </c>
      <c r="J392">
        <v>-374.35210000000001</v>
      </c>
      <c r="K392">
        <v>1.1090580000000001</v>
      </c>
      <c r="L392">
        <v>367.73630000000003</v>
      </c>
      <c r="M392">
        <v>0.99988140000000003</v>
      </c>
      <c r="N392">
        <v>-1.4965549999999999E-2</v>
      </c>
      <c r="O392">
        <v>3.6622209999999998E-3</v>
      </c>
      <c r="P392">
        <v>0.99621590000000004</v>
      </c>
      <c r="Q392">
        <v>-6.3028050000000002E-2</v>
      </c>
      <c r="R392">
        <v>5.9845780000000001E-2</v>
      </c>
      <c r="S392">
        <v>3.0232540000000001</v>
      </c>
      <c r="T392">
        <v>-2.4287220000000002E-2</v>
      </c>
      <c r="U392">
        <v>-0.2213135</v>
      </c>
      <c r="V392">
        <v>-5.6204650000000002E-2</v>
      </c>
      <c r="W392">
        <v>-4.8099879999999998E-2</v>
      </c>
      <c r="X392">
        <v>0.99726000000000004</v>
      </c>
      <c r="Y392">
        <v>7.6653559999999996E-2</v>
      </c>
      <c r="Z392">
        <v>-8.5653259999999903E-4</v>
      </c>
      <c r="AA392">
        <v>0.99705739999999998</v>
      </c>
      <c r="AB392">
        <v>38</v>
      </c>
      <c r="AC392">
        <v>124.80419999999999</v>
      </c>
      <c r="AD392">
        <v>-1.0045280999999999</v>
      </c>
      <c r="AE392">
        <v>-9.1536000000000399</v>
      </c>
      <c r="AF392">
        <v>9.6100310701810692</v>
      </c>
      <c r="AG392">
        <v>-1.0045280999999999</v>
      </c>
      <c r="AH392">
        <v>124.76179733825499</v>
      </c>
      <c r="AI392">
        <v>90.459948500544002</v>
      </c>
      <c r="AJ392">
        <v>85.595373489174193</v>
      </c>
      <c r="AK392">
        <v>125.135398065237</v>
      </c>
      <c r="AL392">
        <v>92.756983814251797</v>
      </c>
      <c r="AM392">
        <v>93.225724619344703</v>
      </c>
      <c r="AN392">
        <v>1.00000003436881</v>
      </c>
    </row>
    <row r="393" spans="1:40" x14ac:dyDescent="0.25">
      <c r="A393" t="str">
        <f>"20190305135204301"</f>
        <v>20190305135204301</v>
      </c>
      <c r="B393" t="str">
        <f>"1551765124290002"</f>
        <v>1551765124290002</v>
      </c>
      <c r="C393" t="s">
        <v>40</v>
      </c>
      <c r="D393">
        <v>4.9210180000000001</v>
      </c>
      <c r="E393">
        <v>0.54800890000000002</v>
      </c>
      <c r="F393" t="s">
        <v>42</v>
      </c>
      <c r="G393">
        <v>-277.82310000000001</v>
      </c>
      <c r="H393" s="1">
        <v>-2.9607779999999999E-6</v>
      </c>
      <c r="I393">
        <v>361.22050000000002</v>
      </c>
      <c r="J393">
        <v>-374.07459999999998</v>
      </c>
      <c r="K393">
        <v>1.1090660000000001</v>
      </c>
      <c r="L393">
        <v>367.7373</v>
      </c>
      <c r="M393">
        <v>0.99988160000000004</v>
      </c>
      <c r="N393">
        <v>-1.496318E-2</v>
      </c>
      <c r="O393">
        <v>3.6487920000000001E-3</v>
      </c>
      <c r="P393">
        <v>0.99621040000000005</v>
      </c>
      <c r="Q393">
        <v>-6.3436939999999997E-2</v>
      </c>
      <c r="R393">
        <v>5.950722E-2</v>
      </c>
      <c r="S393">
        <v>3.021423</v>
      </c>
      <c r="T393">
        <v>-3.4714340000000003E-2</v>
      </c>
      <c r="U393">
        <v>-0.20394899999999999</v>
      </c>
      <c r="V393">
        <v>-5.5878259999999999E-2</v>
      </c>
      <c r="W393">
        <v>-4.851229E-2</v>
      </c>
      <c r="X393">
        <v>0.99725830000000004</v>
      </c>
      <c r="Y393">
        <v>7.0977369999999998E-2</v>
      </c>
      <c r="Z393">
        <v>-9.2630119999999999E-4</v>
      </c>
      <c r="AA393">
        <v>0.99747750000000002</v>
      </c>
      <c r="AB393">
        <v>38</v>
      </c>
      <c r="AC393">
        <v>96.251499999999893</v>
      </c>
      <c r="AD393">
        <v>-1.109068960778</v>
      </c>
      <c r="AE393">
        <v>-6.5167999999999804</v>
      </c>
      <c r="AF393">
        <v>6.8670899729995396</v>
      </c>
      <c r="AG393">
        <v>-1.109068960778</v>
      </c>
      <c r="AH393">
        <v>96.214361867077002</v>
      </c>
      <c r="AI393">
        <v>90.658747205008893</v>
      </c>
      <c r="AJ393">
        <v>85.9175615514242</v>
      </c>
      <c r="AK393">
        <v>96.465488067732593</v>
      </c>
      <c r="AL393">
        <v>92.780640963986599</v>
      </c>
      <c r="AM393">
        <v>93.207036956166107</v>
      </c>
      <c r="AN393">
        <v>0.99999996957028003</v>
      </c>
    </row>
    <row r="394" spans="1:40" x14ac:dyDescent="0.25">
      <c r="A394" t="str">
        <f>"20190305135204312"</f>
        <v>20190305135204312</v>
      </c>
      <c r="B394" t="str">
        <f>"1551765124310498"</f>
        <v>1551765124310498</v>
      </c>
      <c r="C394" t="s">
        <v>40</v>
      </c>
      <c r="D394">
        <v>4.8894000000000002</v>
      </c>
      <c r="E394">
        <v>0.54770850000000004</v>
      </c>
      <c r="F394" t="s">
        <v>47</v>
      </c>
      <c r="G394">
        <v>-281.56180000000001</v>
      </c>
      <c r="H394">
        <v>-0.05</v>
      </c>
      <c r="I394">
        <v>361.57319999999999</v>
      </c>
      <c r="J394">
        <v>-373.87580000000003</v>
      </c>
      <c r="K394">
        <v>1.1090719999999901</v>
      </c>
      <c r="L394">
        <v>367.73809999999997</v>
      </c>
      <c r="M394">
        <v>0.99988160000000004</v>
      </c>
      <c r="N394">
        <v>-1.4961439999999999E-2</v>
      </c>
      <c r="O394">
        <v>3.6413299999999999E-3</v>
      </c>
      <c r="P394">
        <v>0.99620160000000002</v>
      </c>
      <c r="Q394">
        <v>-6.3608300000000007E-2</v>
      </c>
      <c r="R394">
        <v>5.9469429999999997E-2</v>
      </c>
      <c r="S394">
        <v>3.0210569999999999</v>
      </c>
      <c r="T394">
        <v>-3.7849899999999999E-2</v>
      </c>
      <c r="U394">
        <v>-0.2012939</v>
      </c>
      <c r="V394">
        <v>-5.5847359999999999E-2</v>
      </c>
      <c r="W394">
        <v>-4.8686220000000002E-2</v>
      </c>
      <c r="X394">
        <v>0.99725160000000002</v>
      </c>
      <c r="Y394">
        <v>7.0104079999999999E-2</v>
      </c>
      <c r="Z394">
        <v>-9.5488590000000003E-4</v>
      </c>
      <c r="AA394">
        <v>0.99753919999999996</v>
      </c>
      <c r="AB394">
        <v>38</v>
      </c>
      <c r="AC394">
        <v>92.313999999999993</v>
      </c>
      <c r="AD394">
        <v>-1.1590720000000001</v>
      </c>
      <c r="AE394">
        <v>-6.1648999999999798</v>
      </c>
      <c r="AF394">
        <v>6.5000222730981703</v>
      </c>
      <c r="AG394">
        <v>-1.1590720000000001</v>
      </c>
      <c r="AH394">
        <v>92.276454391545698</v>
      </c>
      <c r="AI394">
        <v>90.7178680484528</v>
      </c>
      <c r="AJ394">
        <v>85.970698090252299</v>
      </c>
      <c r="AK394">
        <v>92.512365511465404</v>
      </c>
      <c r="AL394">
        <v>92.7906180828099</v>
      </c>
      <c r="AM394">
        <v>93.205288691991498</v>
      </c>
      <c r="AN394">
        <v>1.0000000146696999</v>
      </c>
    </row>
    <row r="395" spans="1:40" x14ac:dyDescent="0.25">
      <c r="A395" t="str">
        <f>"20190305135204325"</f>
        <v>20190305135204325</v>
      </c>
      <c r="B395" t="str">
        <f>"1551765124319919"</f>
        <v>1551765124319919</v>
      </c>
      <c r="C395" t="s">
        <v>40</v>
      </c>
      <c r="D395">
        <v>4.8770179999999996</v>
      </c>
      <c r="E395">
        <v>0.5475042</v>
      </c>
      <c r="F395" t="s">
        <v>47</v>
      </c>
      <c r="G395">
        <v>-282.9622</v>
      </c>
      <c r="H395">
        <v>-0.05</v>
      </c>
      <c r="I395">
        <v>361.75720000000001</v>
      </c>
      <c r="J395">
        <v>-373.6558</v>
      </c>
      <c r="K395">
        <v>1.109078</v>
      </c>
      <c r="L395">
        <v>367.73880000000003</v>
      </c>
      <c r="M395">
        <v>0.99988160000000004</v>
      </c>
      <c r="N395">
        <v>-1.4959480000000001E-2</v>
      </c>
      <c r="O395">
        <v>3.6347079999999999E-3</v>
      </c>
      <c r="P395">
        <v>0.99619000000000002</v>
      </c>
      <c r="Q395">
        <v>-6.378644E-2</v>
      </c>
      <c r="R395">
        <v>5.9473209999999999E-2</v>
      </c>
      <c r="S395">
        <v>3.0208439999999999</v>
      </c>
      <c r="T395">
        <v>-3.8513180000000001E-2</v>
      </c>
      <c r="U395">
        <v>-0.1987305</v>
      </c>
      <c r="V395">
        <v>-5.585685E-2</v>
      </c>
      <c r="W395">
        <v>-4.88672E-2</v>
      </c>
      <c r="X395">
        <v>0.99724219999999997</v>
      </c>
      <c r="Y395">
        <v>6.925916E-2</v>
      </c>
      <c r="Z395">
        <v>-9.5164999999999996E-4</v>
      </c>
      <c r="AA395">
        <v>0.99759819999999999</v>
      </c>
      <c r="AB395">
        <v>38</v>
      </c>
      <c r="AC395">
        <v>90.693600000000004</v>
      </c>
      <c r="AD395">
        <v>-1.1590780000000001</v>
      </c>
      <c r="AE395">
        <v>-5.98160000000001</v>
      </c>
      <c r="AF395">
        <v>6.3102158909497001</v>
      </c>
      <c r="AG395">
        <v>-1.1590780000000001</v>
      </c>
      <c r="AH395">
        <v>90.656513977806895</v>
      </c>
      <c r="AI395">
        <v>90.730740540211798</v>
      </c>
      <c r="AJ395">
        <v>86.018305608965804</v>
      </c>
      <c r="AK395">
        <v>90.883253754521604</v>
      </c>
      <c r="AL395">
        <v>92.800999876344406</v>
      </c>
      <c r="AM395">
        <v>93.2058623777137</v>
      </c>
      <c r="AN395">
        <v>0.99999999819430097</v>
      </c>
    </row>
    <row r="396" spans="1:40" x14ac:dyDescent="0.25">
      <c r="A396" t="str">
        <f>"20190305135204337"</f>
        <v>20190305135204337</v>
      </c>
      <c r="B396" t="str">
        <f>"1551765124329680"</f>
        <v>1551765124329680</v>
      </c>
      <c r="C396" t="s">
        <v>40</v>
      </c>
      <c r="D396">
        <v>4.8758809999999997</v>
      </c>
      <c r="E396">
        <v>0.54752909999999999</v>
      </c>
      <c r="F396" t="s">
        <v>47</v>
      </c>
      <c r="G396">
        <v>-287.52289999999999</v>
      </c>
      <c r="H396">
        <v>-0.05</v>
      </c>
      <c r="I396">
        <v>362.11470000000003</v>
      </c>
      <c r="J396">
        <v>-373.43529999999998</v>
      </c>
      <c r="K396">
        <v>1.1090819999999999</v>
      </c>
      <c r="L396">
        <v>367.73970000000003</v>
      </c>
      <c r="M396">
        <v>0.99988160000000004</v>
      </c>
      <c r="N396">
        <v>-1.495747E-2</v>
      </c>
      <c r="O396">
        <v>3.6314030000000001E-3</v>
      </c>
      <c r="P396">
        <v>0.99618450000000003</v>
      </c>
      <c r="Q396">
        <v>-6.3878660000000004E-2</v>
      </c>
      <c r="R396">
        <v>5.9465780000000003E-2</v>
      </c>
      <c r="S396">
        <v>3.0206300000000001</v>
      </c>
      <c r="T396">
        <v>-4.0648219999999999E-2</v>
      </c>
      <c r="U396">
        <v>-0.1972351</v>
      </c>
      <c r="V396">
        <v>-5.5852779999999998E-2</v>
      </c>
      <c r="W396">
        <v>-4.896205E-2</v>
      </c>
      <c r="X396">
        <v>0.99723779999999995</v>
      </c>
      <c r="Y396">
        <v>6.8767819999999993E-2</v>
      </c>
      <c r="Z396">
        <v>-9.7166180000000002E-4</v>
      </c>
      <c r="AA396">
        <v>0.99763219999999997</v>
      </c>
      <c r="AB396">
        <v>38</v>
      </c>
      <c r="AC396">
        <v>85.912399999999906</v>
      </c>
      <c r="AD396">
        <v>-1.1590819999999999</v>
      </c>
      <c r="AE396">
        <v>-5.625</v>
      </c>
      <c r="AF396">
        <v>5.9359045000714401</v>
      </c>
      <c r="AG396">
        <v>-1.1590819999999999</v>
      </c>
      <c r="AH396">
        <v>85.875840168607795</v>
      </c>
      <c r="AI396">
        <v>90.771444212632403</v>
      </c>
      <c r="AJ396">
        <v>86.045894042194604</v>
      </c>
      <c r="AK396">
        <v>86.088549517232394</v>
      </c>
      <c r="AL396">
        <v>92.806440825701699</v>
      </c>
      <c r="AM396">
        <v>93.205643384617005</v>
      </c>
      <c r="AN396">
        <v>1.0000000225613801</v>
      </c>
    </row>
    <row r="397" spans="1:40" x14ac:dyDescent="0.25">
      <c r="A397" t="str">
        <f>"20190305135204350"</f>
        <v>20190305135204350</v>
      </c>
      <c r="B397" t="str">
        <f>"1551765124340414"</f>
        <v>1551765124340414</v>
      </c>
      <c r="C397" t="s">
        <v>40</v>
      </c>
      <c r="D397">
        <v>4.8907489999999996</v>
      </c>
      <c r="E397">
        <v>0.54760339999999996</v>
      </c>
      <c r="F397" t="s">
        <v>47</v>
      </c>
      <c r="G397">
        <v>-292.36219999999997</v>
      </c>
      <c r="H397">
        <v>-0.05</v>
      </c>
      <c r="I397">
        <v>362.4359</v>
      </c>
      <c r="J397">
        <v>-373.23899999999998</v>
      </c>
      <c r="K397">
        <v>1.1090869999999999</v>
      </c>
      <c r="L397">
        <v>367.74040000000002</v>
      </c>
      <c r="M397">
        <v>0.99988160000000004</v>
      </c>
      <c r="N397">
        <v>-1.4955670000000001E-2</v>
      </c>
      <c r="O397">
        <v>3.6291560000000001E-3</v>
      </c>
      <c r="P397">
        <v>0.99616380000000004</v>
      </c>
      <c r="Q397">
        <v>-6.4286430000000006E-2</v>
      </c>
      <c r="R397">
        <v>5.937013E-2</v>
      </c>
      <c r="S397">
        <v>3.020508</v>
      </c>
      <c r="T397">
        <v>-4.3183449999999998E-2</v>
      </c>
      <c r="U397">
        <v>-0.19760130000000001</v>
      </c>
      <c r="V397">
        <v>-5.5758929999999998E-2</v>
      </c>
      <c r="W397">
        <v>-4.9372390000000002E-2</v>
      </c>
      <c r="X397">
        <v>0.99722279999999996</v>
      </c>
      <c r="Y397">
        <v>6.8887390000000007E-2</v>
      </c>
      <c r="Z397">
        <v>-1.005251E-3</v>
      </c>
      <c r="AA397">
        <v>0.99762390000000001</v>
      </c>
      <c r="AB397">
        <v>38</v>
      </c>
      <c r="AC397">
        <v>80.876800000000003</v>
      </c>
      <c r="AD397">
        <v>-1.159087</v>
      </c>
      <c r="AE397">
        <v>-5.3045000000000098</v>
      </c>
      <c r="AF397">
        <v>5.5968677768668202</v>
      </c>
      <c r="AG397">
        <v>-1.159087</v>
      </c>
      <c r="AH397">
        <v>80.840481370929496</v>
      </c>
      <c r="AI397">
        <v>90.819486495192805</v>
      </c>
      <c r="AJ397">
        <v>86.039533646511799</v>
      </c>
      <c r="AK397">
        <v>81.042284271045204</v>
      </c>
      <c r="AL397">
        <v>92.829980102977601</v>
      </c>
      <c r="AM397">
        <v>93.200316152328497</v>
      </c>
      <c r="AN397">
        <v>1.0000000020044399</v>
      </c>
    </row>
    <row r="398" spans="1:40" x14ac:dyDescent="0.25">
      <c r="A398" t="str">
        <f>"20190305135204361"</f>
        <v>20190305135204361</v>
      </c>
      <c r="B398" t="str">
        <f>"1551765124350174"</f>
        <v>1551765124350174</v>
      </c>
      <c r="C398" t="s">
        <v>40</v>
      </c>
      <c r="D398">
        <v>4.9002179999999997</v>
      </c>
      <c r="E398">
        <v>0.54760779999999998</v>
      </c>
      <c r="F398" t="s">
        <v>47</v>
      </c>
      <c r="G398">
        <v>-298.54020000000003</v>
      </c>
      <c r="H398">
        <v>-0.05</v>
      </c>
      <c r="I398">
        <v>362.839</v>
      </c>
      <c r="J398">
        <v>-373.02730000000003</v>
      </c>
      <c r="K398">
        <v>1.1090869999999999</v>
      </c>
      <c r="L398">
        <v>367.74110000000002</v>
      </c>
      <c r="M398">
        <v>0.99988169999999998</v>
      </c>
      <c r="N398">
        <v>-1.49537E-2</v>
      </c>
      <c r="O398">
        <v>3.6276809999999998E-3</v>
      </c>
      <c r="P398">
        <v>0.99614219999999998</v>
      </c>
      <c r="Q398">
        <v>-6.4519699999999999E-2</v>
      </c>
      <c r="R398">
        <v>5.9482109999999998E-2</v>
      </c>
      <c r="S398">
        <v>3.0203549999999999</v>
      </c>
      <c r="T398">
        <v>-4.68663E-2</v>
      </c>
      <c r="U398">
        <v>-0.1981812</v>
      </c>
      <c r="V398">
        <v>-5.5871919999999999E-2</v>
      </c>
      <c r="W398">
        <v>-4.9608350000000002E-2</v>
      </c>
      <c r="X398">
        <v>0.9972048</v>
      </c>
      <c r="Y398">
        <v>6.9077959999999994E-2</v>
      </c>
      <c r="Z398">
        <v>-1.0544949999999999E-3</v>
      </c>
      <c r="AA398">
        <v>0.99761069999999996</v>
      </c>
      <c r="AB398">
        <v>38</v>
      </c>
      <c r="AC398">
        <v>74.487099999999998</v>
      </c>
      <c r="AD398">
        <v>-1.159087</v>
      </c>
      <c r="AE398">
        <v>-4.9021000000000097</v>
      </c>
      <c r="AF398">
        <v>5.1710666336358599</v>
      </c>
      <c r="AG398">
        <v>-1.159087</v>
      </c>
      <c r="AH398">
        <v>74.450874586956303</v>
      </c>
      <c r="AI398">
        <v>90.889792858976506</v>
      </c>
      <c r="AJ398">
        <v>86.026840030333602</v>
      </c>
      <c r="AK398">
        <v>74.639239944989797</v>
      </c>
      <c r="AL398">
        <v>92.843516104103898</v>
      </c>
      <c r="AM398">
        <v>93.206845521019005</v>
      </c>
      <c r="AN398">
        <v>1.0000000364886199</v>
      </c>
    </row>
    <row r="399" spans="1:40" x14ac:dyDescent="0.25">
      <c r="A399" t="str">
        <f>"20190305135204379"</f>
        <v>20190305135204379</v>
      </c>
      <c r="B399" t="str">
        <f>"1551765124369697"</f>
        <v>1551765124369697</v>
      </c>
      <c r="C399" t="s">
        <v>40</v>
      </c>
      <c r="D399">
        <v>4.8640080000000001</v>
      </c>
      <c r="E399">
        <v>0.54746589999999995</v>
      </c>
      <c r="F399" t="s">
        <v>47</v>
      </c>
      <c r="G399">
        <v>-303.71260000000001</v>
      </c>
      <c r="H399">
        <v>-0.05</v>
      </c>
      <c r="I399">
        <v>363.19200000000001</v>
      </c>
      <c r="J399">
        <v>-372.72919999999999</v>
      </c>
      <c r="K399">
        <v>1.109084</v>
      </c>
      <c r="L399">
        <v>367.74220000000003</v>
      </c>
      <c r="M399">
        <v>0.99988169999999998</v>
      </c>
      <c r="N399">
        <v>-1.495085E-2</v>
      </c>
      <c r="O399">
        <v>3.6269340000000001E-3</v>
      </c>
      <c r="P399">
        <v>0.99605730000000003</v>
      </c>
      <c r="Q399">
        <v>-6.5412020000000001E-2</v>
      </c>
      <c r="R399">
        <v>5.9928809999999999E-2</v>
      </c>
      <c r="S399">
        <v>3.0201720000000001</v>
      </c>
      <c r="T399">
        <v>-5.0503609999999997E-2</v>
      </c>
      <c r="U399">
        <v>-0.19821169999999999</v>
      </c>
      <c r="V399">
        <v>-5.6319210000000001E-2</v>
      </c>
      <c r="W399">
        <v>-5.0505120000000001E-2</v>
      </c>
      <c r="X399">
        <v>0.99713459999999998</v>
      </c>
      <c r="Y399">
        <v>6.9089250000000005E-2</v>
      </c>
      <c r="Z399">
        <v>-1.1005349999999999E-3</v>
      </c>
      <c r="AA399">
        <v>0.99760990000000005</v>
      </c>
      <c r="AB399">
        <v>38</v>
      </c>
      <c r="AC399">
        <v>69.016599999999897</v>
      </c>
      <c r="AD399">
        <v>-1.159084</v>
      </c>
      <c r="AE399">
        <v>-4.5502000000000704</v>
      </c>
      <c r="AF399">
        <v>4.7991689505127502</v>
      </c>
      <c r="AG399">
        <v>-1.159084</v>
      </c>
      <c r="AH399">
        <v>68.9802693019966</v>
      </c>
      <c r="AI399">
        <v>90.960336508689196</v>
      </c>
      <c r="AJ399">
        <v>86.020169920563703</v>
      </c>
      <c r="AK399">
        <v>69.156728170949407</v>
      </c>
      <c r="AL399">
        <v>92.894961794340105</v>
      </c>
      <c r="AM399">
        <v>93.232691207024601</v>
      </c>
      <c r="AN399">
        <v>1.0000000155391899</v>
      </c>
    </row>
    <row r="400" spans="1:40" x14ac:dyDescent="0.25">
      <c r="A400" t="str">
        <f>"20190305135204392"</f>
        <v>20190305135204392</v>
      </c>
      <c r="B400" t="str">
        <f>"1551765124380430"</f>
        <v>1551765124380430</v>
      </c>
      <c r="C400" t="s">
        <v>40</v>
      </c>
      <c r="D400">
        <v>4.8670869999999997</v>
      </c>
      <c r="E400">
        <v>0.54739309999999997</v>
      </c>
      <c r="F400" t="s">
        <v>47</v>
      </c>
      <c r="G400">
        <v>-309.7765</v>
      </c>
      <c r="H400">
        <v>-0.05</v>
      </c>
      <c r="I400">
        <v>363.66699999999997</v>
      </c>
      <c r="J400">
        <v>-372.52440000000001</v>
      </c>
      <c r="K400">
        <v>1.109084</v>
      </c>
      <c r="L400">
        <v>367.74299999999999</v>
      </c>
      <c r="M400">
        <v>0.99988169999999998</v>
      </c>
      <c r="N400">
        <v>-1.494885E-2</v>
      </c>
      <c r="O400">
        <v>3.6269879999999998E-3</v>
      </c>
      <c r="P400">
        <v>0.996008</v>
      </c>
      <c r="Q400">
        <v>-6.5941710000000001E-2</v>
      </c>
      <c r="R400">
        <v>6.0165000000000003E-2</v>
      </c>
      <c r="S400">
        <v>3.0199889999999998</v>
      </c>
      <c r="T400">
        <v>-5.5603979999999997E-2</v>
      </c>
      <c r="U400">
        <v>-0.19549559999999999</v>
      </c>
      <c r="V400">
        <v>-5.6555880000000003E-2</v>
      </c>
      <c r="W400">
        <v>-5.1037720000000002E-2</v>
      </c>
      <c r="X400">
        <v>0.99709409999999998</v>
      </c>
      <c r="Y400">
        <v>6.8197149999999998E-2</v>
      </c>
      <c r="Z400">
        <v>-1.15003E-3</v>
      </c>
      <c r="AA400">
        <v>0.99767119999999998</v>
      </c>
      <c r="AB400">
        <v>38</v>
      </c>
      <c r="AC400">
        <v>62.747900000000001</v>
      </c>
      <c r="AD400">
        <v>-1.159084</v>
      </c>
      <c r="AE400">
        <v>-4.0760000000000698</v>
      </c>
      <c r="AF400">
        <v>4.3021227015513803</v>
      </c>
      <c r="AG400">
        <v>-1.159084</v>
      </c>
      <c r="AH400">
        <v>62.711393606637401</v>
      </c>
      <c r="AI400">
        <v>91.056385252801903</v>
      </c>
      <c r="AJ400">
        <v>86.075547627768302</v>
      </c>
      <c r="AK400">
        <v>62.869472906529602</v>
      </c>
      <c r="AL400">
        <v>92.925516890029002</v>
      </c>
      <c r="AM400">
        <v>93.2463785140921</v>
      </c>
      <c r="AN400">
        <v>1.00000003034009</v>
      </c>
    </row>
    <row r="401" spans="1:40" x14ac:dyDescent="0.25">
      <c r="A401" t="str">
        <f>"20190305135204404"</f>
        <v>20190305135204404</v>
      </c>
      <c r="B401" t="str">
        <f>"1551765124399949"</f>
        <v>1551765124399949</v>
      </c>
      <c r="C401" t="s">
        <v>40</v>
      </c>
      <c r="D401">
        <v>4.8128449999999896</v>
      </c>
      <c r="E401">
        <v>0.54736580000000001</v>
      </c>
      <c r="F401" t="s">
        <v>47</v>
      </c>
      <c r="G401">
        <v>-312.1909</v>
      </c>
      <c r="H401">
        <v>-0.05</v>
      </c>
      <c r="I401">
        <v>363.86099999999999</v>
      </c>
      <c r="J401">
        <v>-372.31330000000003</v>
      </c>
      <c r="K401">
        <v>1.109083</v>
      </c>
      <c r="L401">
        <v>367.74369999999999</v>
      </c>
      <c r="M401">
        <v>0.99988169999999998</v>
      </c>
      <c r="N401">
        <v>-1.494677E-2</v>
      </c>
      <c r="O401">
        <v>3.6273960000000002E-3</v>
      </c>
      <c r="P401">
        <v>0.9959713</v>
      </c>
      <c r="Q401">
        <v>-6.6287280000000004E-2</v>
      </c>
      <c r="R401">
        <v>6.0394990000000003E-2</v>
      </c>
      <c r="S401">
        <v>3.0199280000000002</v>
      </c>
      <c r="T401">
        <v>-5.8016779999999997E-2</v>
      </c>
      <c r="U401">
        <v>-0.19430539999999999</v>
      </c>
      <c r="V401">
        <v>-5.678499E-2</v>
      </c>
      <c r="W401">
        <v>-5.138612E-2</v>
      </c>
      <c r="X401">
        <v>0.99706320000000004</v>
      </c>
      <c r="Y401">
        <v>6.7805989999999997E-2</v>
      </c>
      <c r="Z401">
        <v>-1.1734110000000001E-3</v>
      </c>
      <c r="AA401">
        <v>0.99769779999999997</v>
      </c>
      <c r="AB401">
        <v>38</v>
      </c>
      <c r="AC401">
        <v>60.122399999999999</v>
      </c>
      <c r="AD401">
        <v>-1.1590830000000001</v>
      </c>
      <c r="AE401">
        <v>-3.8826999999999998</v>
      </c>
      <c r="AF401">
        <v>4.09926932675919</v>
      </c>
      <c r="AG401">
        <v>-1.1590830000000001</v>
      </c>
      <c r="AH401">
        <v>60.085679460751898</v>
      </c>
      <c r="AI401">
        <v>91.102565039597707</v>
      </c>
      <c r="AJ401">
        <v>86.097115859350893</v>
      </c>
      <c r="AK401">
        <v>60.236503539584803</v>
      </c>
      <c r="AL401">
        <v>92.945504919333402</v>
      </c>
      <c r="AM401">
        <v>93.259602213832395</v>
      </c>
      <c r="AN401">
        <v>1.0000000466060901</v>
      </c>
    </row>
    <row r="402" spans="1:40" x14ac:dyDescent="0.25">
      <c r="A402" t="str">
        <f>"20190305135204416"</f>
        <v>20190305135204416</v>
      </c>
      <c r="B402" t="str">
        <f>"1551765124410160"</f>
        <v>1551765124410160</v>
      </c>
      <c r="C402" t="s">
        <v>40</v>
      </c>
      <c r="D402">
        <v>4.8256040000000002</v>
      </c>
      <c r="E402">
        <v>0.54740349999999904</v>
      </c>
      <c r="F402" t="s">
        <v>47</v>
      </c>
      <c r="G402">
        <v>-313.72480000000002</v>
      </c>
      <c r="H402">
        <v>-0.05</v>
      </c>
      <c r="I402">
        <v>363.98759999999999</v>
      </c>
      <c r="J402">
        <v>-372.0985</v>
      </c>
      <c r="K402">
        <v>1.1090819999999999</v>
      </c>
      <c r="L402">
        <v>367.74450000000002</v>
      </c>
      <c r="M402">
        <v>0.99988169999999998</v>
      </c>
      <c r="N402">
        <v>-1.494463E-2</v>
      </c>
      <c r="O402">
        <v>3.6276239999999999E-3</v>
      </c>
      <c r="P402">
        <v>0.99593039999999999</v>
      </c>
      <c r="Q402">
        <v>-6.6532220000000003E-2</v>
      </c>
      <c r="R402">
        <v>6.0797669999999998E-2</v>
      </c>
      <c r="S402">
        <v>3.0198969999999998</v>
      </c>
      <c r="T402">
        <v>-5.9743999999999998E-2</v>
      </c>
      <c r="U402">
        <v>-0.19360350000000001</v>
      </c>
      <c r="V402">
        <v>-5.7187429999999997E-2</v>
      </c>
      <c r="W402">
        <v>-5.1633980000000003E-2</v>
      </c>
      <c r="X402">
        <v>0.99702729999999995</v>
      </c>
      <c r="Y402">
        <v>6.757494E-2</v>
      </c>
      <c r="Z402">
        <v>-1.1907860000000001E-3</v>
      </c>
      <c r="AA402">
        <v>0.99771350000000003</v>
      </c>
      <c r="AB402">
        <v>38</v>
      </c>
      <c r="AC402">
        <v>58.3736999999999</v>
      </c>
      <c r="AD402">
        <v>-1.1590819999999999</v>
      </c>
      <c r="AE402">
        <v>-3.7569000000000199</v>
      </c>
      <c r="AF402">
        <v>3.9670991131702</v>
      </c>
      <c r="AG402">
        <v>-1.1590819999999999</v>
      </c>
      <c r="AH402">
        <v>58.336780108687101</v>
      </c>
      <c r="AI402">
        <v>91.1356266848628</v>
      </c>
      <c r="AJ402">
        <v>86.109681959994504</v>
      </c>
      <c r="AK402">
        <v>58.482999751258902</v>
      </c>
      <c r="AL402">
        <v>92.959725404116895</v>
      </c>
      <c r="AM402">
        <v>93.282770886449995</v>
      </c>
      <c r="AN402">
        <v>0.999999953492966</v>
      </c>
    </row>
    <row r="403" spans="1:40" x14ac:dyDescent="0.25">
      <c r="A403" t="str">
        <f>"20190305135204436"</f>
        <v>20190305135204436</v>
      </c>
      <c r="B403" t="str">
        <f>"1551765124430389"</f>
        <v>1551765124430389</v>
      </c>
      <c r="C403" t="s">
        <v>40</v>
      </c>
      <c r="D403">
        <v>4.8551729999999997</v>
      </c>
      <c r="E403">
        <v>0.54758469999999904</v>
      </c>
      <c r="F403" t="s">
        <v>47</v>
      </c>
      <c r="G403">
        <v>-314.84879999999998</v>
      </c>
      <c r="H403">
        <v>-0.05</v>
      </c>
      <c r="I403">
        <v>364.09280000000001</v>
      </c>
      <c r="J403">
        <v>-371.7808</v>
      </c>
      <c r="K403">
        <v>1.109086</v>
      </c>
      <c r="L403">
        <v>367.7457</v>
      </c>
      <c r="M403">
        <v>0.99988189999999999</v>
      </c>
      <c r="N403">
        <v>-1.494143E-2</v>
      </c>
      <c r="O403">
        <v>3.6278690000000001E-3</v>
      </c>
      <c r="P403">
        <v>0.99586169999999996</v>
      </c>
      <c r="Q403">
        <v>-6.6972260000000006E-2</v>
      </c>
      <c r="R403">
        <v>6.1437949999999998E-2</v>
      </c>
      <c r="S403">
        <v>3.0199579999999999</v>
      </c>
      <c r="T403">
        <v>-6.1142330000000002E-2</v>
      </c>
      <c r="U403">
        <v>-0.19262699999999999</v>
      </c>
      <c r="V403">
        <v>-5.782789E-2</v>
      </c>
      <c r="W403">
        <v>-5.2078439999999997E-2</v>
      </c>
      <c r="X403">
        <v>0.9969673</v>
      </c>
      <c r="Y403">
        <v>6.7251839999999993E-2</v>
      </c>
      <c r="Z403">
        <v>-1.202299E-3</v>
      </c>
      <c r="AA403">
        <v>0.99773529999999999</v>
      </c>
      <c r="AB403">
        <v>38</v>
      </c>
      <c r="AC403">
        <v>56.932000000000002</v>
      </c>
      <c r="AD403">
        <v>-1.1590860000000001</v>
      </c>
      <c r="AE403">
        <v>-3.6528999999999798</v>
      </c>
      <c r="AF403">
        <v>3.8578483299351598</v>
      </c>
      <c r="AG403">
        <v>-1.1590860000000001</v>
      </c>
      <c r="AH403">
        <v>56.894885629485202</v>
      </c>
      <c r="AI403">
        <v>91.164418696296593</v>
      </c>
      <c r="AJ403">
        <v>86.120906164244502</v>
      </c>
      <c r="AK403">
        <v>57.037307833420599</v>
      </c>
      <c r="AL403">
        <v>92.985225218477893</v>
      </c>
      <c r="AM403">
        <v>93.319653236826298</v>
      </c>
      <c r="AN403">
        <v>1.0000000130219799</v>
      </c>
    </row>
    <row r="404" spans="1:40" x14ac:dyDescent="0.25">
      <c r="A404" t="str">
        <f>"20190305135204448"</f>
        <v>20190305135204448</v>
      </c>
      <c r="B404" t="str">
        <f>"1551765124440148"</f>
        <v>1551765124440148</v>
      </c>
      <c r="C404" t="s">
        <v>40</v>
      </c>
      <c r="D404">
        <v>4.8358249999999998</v>
      </c>
      <c r="E404">
        <v>0.5476415</v>
      </c>
      <c r="F404" t="s">
        <v>47</v>
      </c>
      <c r="G404">
        <v>-316.44670000000002</v>
      </c>
      <c r="H404">
        <v>-0.05</v>
      </c>
      <c r="I404">
        <v>364.22750000000002</v>
      </c>
      <c r="J404">
        <v>-371.56389999999999</v>
      </c>
      <c r="K404">
        <v>1.1090930000000001</v>
      </c>
      <c r="L404">
        <v>367.74650000000003</v>
      </c>
      <c r="M404">
        <v>0.99988189999999999</v>
      </c>
      <c r="N404">
        <v>-1.49392E-2</v>
      </c>
      <c r="O404">
        <v>3.6279099999999998E-3</v>
      </c>
      <c r="P404">
        <v>0.99584289999999998</v>
      </c>
      <c r="Q404">
        <v>-6.6953310000000002E-2</v>
      </c>
      <c r="R404">
        <v>6.1758680000000003E-2</v>
      </c>
      <c r="S404">
        <v>3.0200499999999999</v>
      </c>
      <c r="T404">
        <v>-6.3261150000000002E-2</v>
      </c>
      <c r="U404">
        <v>-0.19201660000000001</v>
      </c>
      <c r="V404">
        <v>-5.8147869999999997E-2</v>
      </c>
      <c r="W404">
        <v>-5.2062160000000003E-2</v>
      </c>
      <c r="X404">
        <v>0.99694959999999999</v>
      </c>
      <c r="Y404">
        <v>6.7047860000000001E-2</v>
      </c>
      <c r="Z404">
        <v>-1.224658E-3</v>
      </c>
      <c r="AA404">
        <v>0.997749</v>
      </c>
      <c r="AB404">
        <v>38</v>
      </c>
      <c r="AC404">
        <v>55.117199999999897</v>
      </c>
      <c r="AD404">
        <v>-1.1590929999999999</v>
      </c>
      <c r="AE404">
        <v>-3.5190000000000001</v>
      </c>
      <c r="AF404">
        <v>3.7173220889198499</v>
      </c>
      <c r="AG404">
        <v>-1.1590929999999999</v>
      </c>
      <c r="AH404">
        <v>55.079809316526202</v>
      </c>
      <c r="AI404">
        <v>91.202812274051695</v>
      </c>
      <c r="AJ404">
        <v>86.1389776974613</v>
      </c>
      <c r="AK404">
        <v>55.2172742395014</v>
      </c>
      <c r="AL404">
        <v>92.984290993614295</v>
      </c>
      <c r="AM404">
        <v>93.338039635697001</v>
      </c>
      <c r="AN404">
        <v>1.0000000741147701</v>
      </c>
    </row>
    <row r="405" spans="1:40" x14ac:dyDescent="0.25">
      <c r="A405" t="str">
        <f>"20190305135204470"</f>
        <v>20190305135204470</v>
      </c>
      <c r="B405" t="str">
        <f>"1551765124459669"</f>
        <v>1551765124459669</v>
      </c>
      <c r="C405" t="s">
        <v>40</v>
      </c>
      <c r="D405">
        <v>4.8418190000000001</v>
      </c>
      <c r="E405">
        <v>0.54785169999999905</v>
      </c>
      <c r="F405" t="s">
        <v>47</v>
      </c>
      <c r="G405">
        <v>-316.99239999999998</v>
      </c>
      <c r="H405">
        <v>-0.05</v>
      </c>
      <c r="I405">
        <v>364.28620000000001</v>
      </c>
      <c r="J405">
        <v>-371.19260000000003</v>
      </c>
      <c r="K405">
        <v>1.1090960000000001</v>
      </c>
      <c r="L405">
        <v>367.74779999999998</v>
      </c>
      <c r="M405">
        <v>0.99988189999999999</v>
      </c>
      <c r="N405">
        <v>-1.493542E-2</v>
      </c>
      <c r="O405">
        <v>3.6277929999999998E-3</v>
      </c>
      <c r="P405">
        <v>0.99587579999999998</v>
      </c>
      <c r="Q405">
        <v>-6.6262509999999997E-2</v>
      </c>
      <c r="R405">
        <v>6.1970650000000002E-2</v>
      </c>
      <c r="S405">
        <v>3.0200809999999998</v>
      </c>
      <c r="T405">
        <v>-6.4146159999999994E-2</v>
      </c>
      <c r="U405">
        <v>-0.1914978</v>
      </c>
      <c r="V405">
        <v>-5.8359599999999998E-2</v>
      </c>
      <c r="W405">
        <v>-5.1374959999999997E-2</v>
      </c>
      <c r="X405">
        <v>0.99697279999999999</v>
      </c>
      <c r="Y405">
        <v>6.6875899999999905E-2</v>
      </c>
      <c r="Z405">
        <v>-1.2323029999999999E-3</v>
      </c>
      <c r="AA405">
        <v>0.99776050000000005</v>
      </c>
      <c r="AB405">
        <v>38</v>
      </c>
      <c r="AC405">
        <v>54.200200000000002</v>
      </c>
      <c r="AD405">
        <v>-1.1590959999999999</v>
      </c>
      <c r="AE405">
        <v>-3.46159999999997</v>
      </c>
      <c r="AF405">
        <v>3.6565607625035201</v>
      </c>
      <c r="AG405">
        <v>-1.1590959999999999</v>
      </c>
      <c r="AH405">
        <v>54.162613910498699</v>
      </c>
      <c r="AI405">
        <v>91.223176122647402</v>
      </c>
      <c r="AJ405">
        <v>86.137777269195695</v>
      </c>
      <c r="AK405">
        <v>54.298275163810203</v>
      </c>
      <c r="AL405">
        <v>92.944864799911201</v>
      </c>
      <c r="AM405">
        <v>93.350088802103798</v>
      </c>
      <c r="AN405">
        <v>0.99999999668350004</v>
      </c>
    </row>
    <row r="406" spans="1:40" x14ac:dyDescent="0.25">
      <c r="A406" t="str">
        <f>"20190305135204485"</f>
        <v>20190305135204485</v>
      </c>
      <c r="B406" t="str">
        <f>"1551765124480165"</f>
        <v>1551765124480165</v>
      </c>
      <c r="C406" t="s">
        <v>40</v>
      </c>
      <c r="D406">
        <v>4.9082369999999997</v>
      </c>
      <c r="E406">
        <v>0.54767349999999904</v>
      </c>
      <c r="F406" t="s">
        <v>47</v>
      </c>
      <c r="G406">
        <v>-315.35770000000002</v>
      </c>
      <c r="H406">
        <v>-0.05</v>
      </c>
      <c r="I406">
        <v>364.18610000000001</v>
      </c>
      <c r="J406">
        <v>-370.94110000000001</v>
      </c>
      <c r="K406">
        <v>1.1091009999999999</v>
      </c>
      <c r="L406">
        <v>367.74869999999999</v>
      </c>
      <c r="M406">
        <v>0.99988200000000005</v>
      </c>
      <c r="N406">
        <v>-1.493304E-2</v>
      </c>
      <c r="O406">
        <v>3.6276519999999999E-3</v>
      </c>
      <c r="P406">
        <v>0.99588569999999998</v>
      </c>
      <c r="Q406">
        <v>-6.6034060000000006E-2</v>
      </c>
      <c r="R406">
        <v>6.206163E-2</v>
      </c>
      <c r="S406">
        <v>3.020203</v>
      </c>
      <c r="T406">
        <v>-6.2697409999999995E-2</v>
      </c>
      <c r="U406">
        <v>-0.19265750000000001</v>
      </c>
      <c r="V406">
        <v>-5.8450599999999998E-2</v>
      </c>
      <c r="W406">
        <v>-5.1148880000000001E-2</v>
      </c>
      <c r="X406">
        <v>0.99697910000000001</v>
      </c>
      <c r="Y406">
        <v>6.7255570000000001E-2</v>
      </c>
      <c r="Z406">
        <v>-1.221211E-3</v>
      </c>
      <c r="AA406">
        <v>0.99773500000000004</v>
      </c>
      <c r="AB406">
        <v>38</v>
      </c>
      <c r="AC406">
        <v>55.583399999999898</v>
      </c>
      <c r="AD406">
        <v>-1.1591009999999999</v>
      </c>
      <c r="AE406">
        <v>-3.56259999999997</v>
      </c>
      <c r="AF406">
        <v>3.7626067302745398</v>
      </c>
      <c r="AG406">
        <v>-1.1591009999999999</v>
      </c>
      <c r="AH406">
        <v>55.546052777970303</v>
      </c>
      <c r="AI406">
        <v>91.192707280599294</v>
      </c>
      <c r="AJ406">
        <v>86.124789298319499</v>
      </c>
      <c r="AK406">
        <v>55.685408355762</v>
      </c>
      <c r="AL406">
        <v>92.931894297855095</v>
      </c>
      <c r="AM406">
        <v>93.355279508925904</v>
      </c>
      <c r="AN406">
        <v>1.00000000320121</v>
      </c>
    </row>
    <row r="407" spans="1:40" x14ac:dyDescent="0.25">
      <c r="A407" t="str">
        <f>"20190305135204498"</f>
        <v>20190305135204498</v>
      </c>
      <c r="B407" t="str">
        <f>"1551765124489925"</f>
        <v>1551765124489925</v>
      </c>
      <c r="C407" t="s">
        <v>40</v>
      </c>
      <c r="D407">
        <v>4.8136530000000004</v>
      </c>
      <c r="E407">
        <v>0.52526830000000002</v>
      </c>
      <c r="F407" t="s">
        <v>47</v>
      </c>
      <c r="G407">
        <v>-315.28969999999998</v>
      </c>
      <c r="H407">
        <v>-0.05</v>
      </c>
      <c r="I407">
        <v>364.23009999999999</v>
      </c>
      <c r="J407">
        <v>-370.7029</v>
      </c>
      <c r="K407">
        <v>1.109102</v>
      </c>
      <c r="L407">
        <v>367.74950000000001</v>
      </c>
      <c r="M407">
        <v>0.99988200000000005</v>
      </c>
      <c r="N407">
        <v>-1.4930580000000001E-2</v>
      </c>
      <c r="O407">
        <v>3.6275050000000001E-3</v>
      </c>
      <c r="P407">
        <v>0.99589050000000001</v>
      </c>
      <c r="Q407">
        <v>-6.5787150000000003E-2</v>
      </c>
      <c r="R407">
        <v>6.2244910000000001E-2</v>
      </c>
      <c r="S407">
        <v>3.0201419999999999</v>
      </c>
      <c r="T407">
        <v>-6.2903169999999994E-2</v>
      </c>
      <c r="U407">
        <v>-0.19094849999999999</v>
      </c>
      <c r="V407">
        <v>-5.8634360000000003E-2</v>
      </c>
      <c r="W407">
        <v>-5.0904459999999999E-2</v>
      </c>
      <c r="X407">
        <v>0.9969808</v>
      </c>
      <c r="Y407">
        <v>6.6694450000000002E-2</v>
      </c>
      <c r="Z407">
        <v>-1.2136600000000001E-3</v>
      </c>
      <c r="AA407">
        <v>0.99777269999999896</v>
      </c>
      <c r="AB407">
        <v>38</v>
      </c>
      <c r="AC407">
        <v>55.413200000000003</v>
      </c>
      <c r="AD407">
        <v>-1.1591020000000001</v>
      </c>
      <c r="AE407">
        <v>-3.5194000000000099</v>
      </c>
      <c r="AF407">
        <v>3.7187903194290799</v>
      </c>
      <c r="AG407">
        <v>-1.1591020000000001</v>
      </c>
      <c r="AH407">
        <v>55.375935474594002</v>
      </c>
      <c r="AI407">
        <v>91.196418128393702</v>
      </c>
      <c r="AJ407">
        <v>86.158050480271896</v>
      </c>
      <c r="AK407">
        <v>55.512765636137097</v>
      </c>
      <c r="AL407">
        <v>92.917871852579495</v>
      </c>
      <c r="AM407">
        <v>93.365798069799993</v>
      </c>
      <c r="AN407">
        <v>0.99999998389457001</v>
      </c>
    </row>
    <row r="408" spans="1:40" x14ac:dyDescent="0.25">
      <c r="A408" t="str">
        <f>"20190305135204514"</f>
        <v>20190305135204514</v>
      </c>
      <c r="B408" t="str">
        <f>"1551765124510421"</f>
        <v>1551765124510421</v>
      </c>
      <c r="C408" t="s">
        <v>40</v>
      </c>
      <c r="D408">
        <v>4.7766890000000002</v>
      </c>
      <c r="E408">
        <v>0.51855589999999996</v>
      </c>
      <c r="F408" t="s">
        <v>42</v>
      </c>
      <c r="G408">
        <v>-340.8569</v>
      </c>
      <c r="H408" s="1">
        <v>-4.6562509999999999E-6</v>
      </c>
      <c r="I408">
        <v>367.62200000000001</v>
      </c>
      <c r="J408">
        <v>-370.4495</v>
      </c>
      <c r="K408">
        <v>1.1090979999999999</v>
      </c>
      <c r="L408">
        <v>367.75049999999999</v>
      </c>
      <c r="M408">
        <v>0.9998821</v>
      </c>
      <c r="N408">
        <v>-1.4927859999999999E-2</v>
      </c>
      <c r="O408">
        <v>3.6273590000000001E-3</v>
      </c>
      <c r="P408">
        <v>0.99591929999999995</v>
      </c>
      <c r="Q408">
        <v>-6.5651570000000006E-2</v>
      </c>
      <c r="R408">
        <v>6.192901E-2</v>
      </c>
      <c r="S408">
        <v>3.005798</v>
      </c>
      <c r="T408">
        <v>-0.1116986</v>
      </c>
      <c r="U408">
        <v>-1.2847900000000001E-2</v>
      </c>
      <c r="V408">
        <v>-5.8318139999999997E-2</v>
      </c>
      <c r="W408">
        <v>-5.0771280000000002E-2</v>
      </c>
      <c r="X408">
        <v>0.99700619999999995</v>
      </c>
      <c r="Y408">
        <v>7.8934999999999995E-3</v>
      </c>
      <c r="Z408">
        <v>-2.861718E-4</v>
      </c>
      <c r="AA408">
        <v>0.99996879999999999</v>
      </c>
      <c r="AB408">
        <v>38</v>
      </c>
      <c r="AC408">
        <v>29.592600000000001</v>
      </c>
      <c r="AD408">
        <v>-1.109102656251</v>
      </c>
      <c r="AE408">
        <v>-0.12850000000003001</v>
      </c>
      <c r="AF408">
        <v>0.23552326070291801</v>
      </c>
      <c r="AG408">
        <v>-1.109102656251</v>
      </c>
      <c r="AH408">
        <v>29.5504310008481</v>
      </c>
      <c r="AI408">
        <v>92.149378859089495</v>
      </c>
      <c r="AJ408">
        <v>89.543350041722405</v>
      </c>
      <c r="AK408">
        <v>29.572175304571701</v>
      </c>
      <c r="AL408">
        <v>92.910231141032199</v>
      </c>
      <c r="AM408">
        <v>93.347602342641906</v>
      </c>
      <c r="AN408">
        <v>1.00000004558216</v>
      </c>
    </row>
    <row r="409" spans="1:40" x14ac:dyDescent="0.25">
      <c r="A409" t="str">
        <f>"20190305135204526"</f>
        <v>20190305135204526</v>
      </c>
      <c r="B409" t="str">
        <f>"1551765124519715"</f>
        <v>1551765124519715</v>
      </c>
      <c r="C409" t="s">
        <v>40</v>
      </c>
      <c r="D409">
        <v>4.7708760000000003</v>
      </c>
      <c r="E409">
        <v>0.51734820000000004</v>
      </c>
      <c r="F409" t="s">
        <v>42</v>
      </c>
      <c r="G409">
        <v>-341.32229999999998</v>
      </c>
      <c r="H409" s="1">
        <v>-4.3455059999999999E-6</v>
      </c>
      <c r="I409">
        <v>368.1336</v>
      </c>
      <c r="J409">
        <v>-370.23489999999998</v>
      </c>
      <c r="K409">
        <v>1.1090979999999999</v>
      </c>
      <c r="L409">
        <v>367.75130000000001</v>
      </c>
      <c r="M409">
        <v>0.9998821</v>
      </c>
      <c r="N409">
        <v>-1.492549E-2</v>
      </c>
      <c r="O409">
        <v>3.6275639999999998E-3</v>
      </c>
      <c r="P409">
        <v>0.99591779999999996</v>
      </c>
      <c r="Q409">
        <v>-6.5660120000000002E-2</v>
      </c>
      <c r="R409">
        <v>6.1939519999999998E-2</v>
      </c>
      <c r="S409">
        <v>3.002319</v>
      </c>
      <c r="T409">
        <v>-0.1143222</v>
      </c>
      <c r="U409">
        <v>3.9489749999999997E-2</v>
      </c>
      <c r="V409">
        <v>-5.8328089999999999E-2</v>
      </c>
      <c r="W409">
        <v>-5.0782300000000002E-2</v>
      </c>
      <c r="X409">
        <v>0.99700500000000003</v>
      </c>
      <c r="Y409">
        <v>-9.5155740000000006E-3</v>
      </c>
      <c r="Z409">
        <v>1.6820769999999999E-4</v>
      </c>
      <c r="AA409">
        <v>0.99995469999999997</v>
      </c>
      <c r="AB409">
        <v>38</v>
      </c>
      <c r="AC409">
        <v>28.912600000000001</v>
      </c>
      <c r="AD409">
        <v>-1.1091023455059901</v>
      </c>
      <c r="AE409">
        <v>0.38229999999998598</v>
      </c>
      <c r="AF409">
        <v>-0.27699596392034997</v>
      </c>
      <c r="AG409">
        <v>-1.1091023455059901</v>
      </c>
      <c r="AH409">
        <v>28.871319126428599</v>
      </c>
      <c r="AI409">
        <v>92.199855541117103</v>
      </c>
      <c r="AJ409">
        <v>90.549687829559105</v>
      </c>
      <c r="AK409">
        <v>28.893942321478399</v>
      </c>
      <c r="AL409">
        <v>92.910863520731198</v>
      </c>
      <c r="AM409">
        <v>93.348176218156894</v>
      </c>
      <c r="AN409">
        <v>0.999999989050668</v>
      </c>
    </row>
    <row r="410" spans="1:40" x14ac:dyDescent="0.25">
      <c r="A410" t="str">
        <f>"20190305135204538"</f>
        <v>20190305135204538</v>
      </c>
      <c r="B410" t="str">
        <f>"1551765124530450"</f>
        <v>1551765124530450</v>
      </c>
      <c r="C410" t="s">
        <v>40</v>
      </c>
      <c r="D410">
        <v>4.7411190000000003</v>
      </c>
      <c r="E410">
        <v>0.51675109999999902</v>
      </c>
      <c r="F410" t="s">
        <v>42</v>
      </c>
      <c r="G410">
        <v>-341.185</v>
      </c>
      <c r="H410" s="1">
        <v>-4.3937739999999999E-6</v>
      </c>
      <c r="I410">
        <v>368.22739999999999</v>
      </c>
      <c r="J410">
        <v>-370.03489999999999</v>
      </c>
      <c r="K410">
        <v>1.1090990000000001</v>
      </c>
      <c r="L410">
        <v>367.75200000000001</v>
      </c>
      <c r="M410">
        <v>0.9998821</v>
      </c>
      <c r="N410">
        <v>-1.4923250000000001E-2</v>
      </c>
      <c r="O410">
        <v>3.6275869999999998E-3</v>
      </c>
      <c r="P410">
        <v>0.99591019999999997</v>
      </c>
      <c r="Q410">
        <v>-6.5711270000000002E-2</v>
      </c>
      <c r="R410">
        <v>6.2007130000000001E-2</v>
      </c>
      <c r="S410">
        <v>3.001709</v>
      </c>
      <c r="T410">
        <v>-0.11460289999999999</v>
      </c>
      <c r="U410">
        <v>4.9194340000000003E-2</v>
      </c>
      <c r="V410">
        <v>-5.8395919999999997E-2</v>
      </c>
      <c r="W410">
        <v>-5.0835850000000002E-2</v>
      </c>
      <c r="X410">
        <v>0.9969983</v>
      </c>
      <c r="Y410">
        <v>-1.2747029999999999E-2</v>
      </c>
      <c r="Z410">
        <v>2.5409E-4</v>
      </c>
      <c r="AA410">
        <v>0.99991870000000005</v>
      </c>
      <c r="AB410">
        <v>38</v>
      </c>
      <c r="AC410">
        <v>28.849899999999899</v>
      </c>
      <c r="AD410">
        <v>-1.109103393774</v>
      </c>
      <c r="AE410">
        <v>0.47540000000003502</v>
      </c>
      <c r="AF410">
        <v>-0.37018273996567602</v>
      </c>
      <c r="AG410">
        <v>-1.109103393774</v>
      </c>
      <c r="AH410">
        <v>28.8088687924567</v>
      </c>
      <c r="AI410">
        <v>92.204541203556602</v>
      </c>
      <c r="AJ410">
        <v>90.736187927987899</v>
      </c>
      <c r="AK410">
        <v>28.832586888797099</v>
      </c>
      <c r="AL410">
        <v>92.913935678941201</v>
      </c>
      <c r="AM410">
        <v>93.352083429083194</v>
      </c>
      <c r="AN410">
        <v>0.99999998866037898</v>
      </c>
    </row>
    <row r="411" spans="1:40" x14ac:dyDescent="0.25">
      <c r="A411" t="str">
        <f>"20190305135204549"</f>
        <v>20190305135204549</v>
      </c>
      <c r="B411" t="str">
        <f>"1551765124540210"</f>
        <v>1551765124540210</v>
      </c>
      <c r="C411" t="s">
        <v>40</v>
      </c>
      <c r="D411">
        <v>4.7472430000000001</v>
      </c>
      <c r="E411">
        <v>0.51646080000000005</v>
      </c>
      <c r="F411" t="s">
        <v>42</v>
      </c>
      <c r="G411">
        <v>-340.95049999999998</v>
      </c>
      <c r="H411" s="1">
        <v>-4.4959539999999998E-6</v>
      </c>
      <c r="I411">
        <v>368.27629999999999</v>
      </c>
      <c r="J411">
        <v>-369.84120000000001</v>
      </c>
      <c r="K411">
        <v>1.109097</v>
      </c>
      <c r="L411">
        <v>367.7527</v>
      </c>
      <c r="M411">
        <v>0.99988220000000005</v>
      </c>
      <c r="N411">
        <v>-1.492106E-2</v>
      </c>
      <c r="O411">
        <v>3.627431E-3</v>
      </c>
      <c r="P411">
        <v>0.99589530000000004</v>
      </c>
      <c r="Q411">
        <v>-6.6002669999999999E-2</v>
      </c>
      <c r="R411">
        <v>6.193941E-2</v>
      </c>
      <c r="S411">
        <v>3.0014340000000002</v>
      </c>
      <c r="T411">
        <v>-0.1144565</v>
      </c>
      <c r="U411">
        <v>5.4107669999999997E-2</v>
      </c>
      <c r="V411">
        <v>-5.8328480000000002E-2</v>
      </c>
      <c r="W411">
        <v>-5.1129670000000002E-2</v>
      </c>
      <c r="X411">
        <v>0.99698719999999996</v>
      </c>
      <c r="Y411">
        <v>-1.4383409999999999E-2</v>
      </c>
      <c r="Z411">
        <v>2.9734990000000001E-4</v>
      </c>
      <c r="AA411">
        <v>0.99989649999999997</v>
      </c>
      <c r="AB411">
        <v>38</v>
      </c>
      <c r="AC411">
        <v>28.890699999999999</v>
      </c>
      <c r="AD411">
        <v>-1.109101495954</v>
      </c>
      <c r="AE411">
        <v>0.52359999999998696</v>
      </c>
      <c r="AF411">
        <v>-0.41816979742297</v>
      </c>
      <c r="AG411">
        <v>-1.109101495954</v>
      </c>
      <c r="AH411">
        <v>28.849905570165198</v>
      </c>
      <c r="AI411">
        <v>92.201355282755898</v>
      </c>
      <c r="AJ411">
        <v>90.830425137718706</v>
      </c>
      <c r="AK411">
        <v>28.874244986064198</v>
      </c>
      <c r="AL411">
        <v>92.930792313446801</v>
      </c>
      <c r="AM411">
        <v>93.348258196220002</v>
      </c>
      <c r="AN411">
        <v>0.99999996584862905</v>
      </c>
    </row>
    <row r="412" spans="1:40" x14ac:dyDescent="0.25">
      <c r="A412" t="str">
        <f>"20190305135204562"</f>
        <v>20190305135204562</v>
      </c>
      <c r="B412" t="str">
        <f>"1551765124549970"</f>
        <v>1551765124549970</v>
      </c>
      <c r="C412" t="s">
        <v>40</v>
      </c>
      <c r="D412">
        <v>4.7673040000000002</v>
      </c>
      <c r="E412">
        <v>0.51648050000000001</v>
      </c>
      <c r="F412" t="s">
        <v>42</v>
      </c>
      <c r="G412">
        <v>-340.9742</v>
      </c>
      <c r="H412" s="1">
        <v>-4.4814820000000001E-6</v>
      </c>
      <c r="I412">
        <v>368.29480000000001</v>
      </c>
      <c r="J412">
        <v>-369.6232</v>
      </c>
      <c r="K412">
        <v>1.109097</v>
      </c>
      <c r="L412">
        <v>367.7534</v>
      </c>
      <c r="M412">
        <v>0.9998821</v>
      </c>
      <c r="N412">
        <v>-1.4918600000000001E-2</v>
      </c>
      <c r="O412">
        <v>3.6276329999999999E-3</v>
      </c>
      <c r="P412">
        <v>0.99589930000000004</v>
      </c>
      <c r="Q412">
        <v>-6.6076079999999995E-2</v>
      </c>
      <c r="R412">
        <v>6.1796360000000002E-2</v>
      </c>
      <c r="S412">
        <v>3.0012210000000001</v>
      </c>
      <c r="T412">
        <v>-0.11531</v>
      </c>
      <c r="U412">
        <v>5.6365970000000001E-2</v>
      </c>
      <c r="V412">
        <v>-5.818516E-2</v>
      </c>
      <c r="W412">
        <v>-5.1205519999999997E-2</v>
      </c>
      <c r="X412">
        <v>0.99699170000000004</v>
      </c>
      <c r="Y412">
        <v>-1.513568E-2</v>
      </c>
      <c r="Z412">
        <v>3.184005E-4</v>
      </c>
      <c r="AA412">
        <v>0.99988540000000004</v>
      </c>
      <c r="AB412">
        <v>38</v>
      </c>
      <c r="AC412">
        <v>28.649000000000001</v>
      </c>
      <c r="AD412">
        <v>-1.1091014814819999</v>
      </c>
      <c r="AE412">
        <v>0.54140000000000998</v>
      </c>
      <c r="AF412">
        <v>-0.43680239304742902</v>
      </c>
      <c r="AG412">
        <v>-1.1091014814819999</v>
      </c>
      <c r="AH412">
        <v>28.607915412216599</v>
      </c>
      <c r="AI412">
        <v>92.219932106414007</v>
      </c>
      <c r="AJ412">
        <v>90.874757516365193</v>
      </c>
      <c r="AK412">
        <v>28.6327387209002</v>
      </c>
      <c r="AL412">
        <v>92.935143845387302</v>
      </c>
      <c r="AM412">
        <v>93.340034735729901</v>
      </c>
      <c r="AN412">
        <v>0.99999998399579204</v>
      </c>
    </row>
    <row r="413" spans="1:40" x14ac:dyDescent="0.25">
      <c r="A413" t="str">
        <f>"20190305135204575"</f>
        <v>20190305135204575</v>
      </c>
      <c r="B413" t="str">
        <f>"1551765124570465"</f>
        <v>1551765124570465</v>
      </c>
      <c r="C413" t="s">
        <v>40</v>
      </c>
      <c r="D413">
        <v>4.7139739999999897</v>
      </c>
      <c r="E413">
        <v>0.51644049999999997</v>
      </c>
      <c r="F413" t="s">
        <v>42</v>
      </c>
      <c r="G413">
        <v>-340.9119</v>
      </c>
      <c r="H413" s="1">
        <v>-4.5124780000000002E-6</v>
      </c>
      <c r="I413">
        <v>368.28590000000003</v>
      </c>
      <c r="J413">
        <v>-369.41489999999999</v>
      </c>
      <c r="K413">
        <v>1.109097</v>
      </c>
      <c r="L413">
        <v>367.75420000000003</v>
      </c>
      <c r="M413">
        <v>0.99988220000000005</v>
      </c>
      <c r="N413">
        <v>-1.4916250000000001E-2</v>
      </c>
      <c r="O413">
        <v>3.627477E-3</v>
      </c>
      <c r="P413">
        <v>0.99589139999999998</v>
      </c>
      <c r="Q413">
        <v>-6.6275539999999994E-2</v>
      </c>
      <c r="R413">
        <v>6.1710250000000001E-2</v>
      </c>
      <c r="S413">
        <v>3.0012210000000001</v>
      </c>
      <c r="T413">
        <v>-0.1159357</v>
      </c>
      <c r="U413">
        <v>5.5664060000000001E-2</v>
      </c>
      <c r="V413">
        <v>-5.8098990000000003E-2</v>
      </c>
      <c r="W413">
        <v>-5.1407469999999997E-2</v>
      </c>
      <c r="X413">
        <v>0.99698629999999999</v>
      </c>
      <c r="Y413">
        <v>-1.4902189999999999E-2</v>
      </c>
      <c r="Z413">
        <v>3.129486E-4</v>
      </c>
      <c r="AA413">
        <v>0.99988889999999997</v>
      </c>
      <c r="AB413">
        <v>38</v>
      </c>
      <c r="AC413">
        <v>28.502999999999901</v>
      </c>
      <c r="AD413">
        <v>-1.1091015124779999</v>
      </c>
      <c r="AE413">
        <v>0.53169999999999995</v>
      </c>
      <c r="AF413">
        <v>-0.42764374289193902</v>
      </c>
      <c r="AG413">
        <v>-1.1091015124779999</v>
      </c>
      <c r="AH413">
        <v>28.461661876884499</v>
      </c>
      <c r="AI413">
        <v>92.231336258957796</v>
      </c>
      <c r="AJ413">
        <v>90.860818953636496</v>
      </c>
      <c r="AK413">
        <v>28.4864736696194</v>
      </c>
      <c r="AL413">
        <v>92.946730083585393</v>
      </c>
      <c r="AM413">
        <v>93.335117468873307</v>
      </c>
      <c r="AN413">
        <v>0.99999995149925403</v>
      </c>
    </row>
    <row r="414" spans="1:40" x14ac:dyDescent="0.25">
      <c r="A414" t="str">
        <f>"20190305135204591"</f>
        <v>20190305135204591</v>
      </c>
      <c r="B414" t="str">
        <f>"1551765124580226"</f>
        <v>1551765124580226</v>
      </c>
      <c r="C414" t="s">
        <v>40</v>
      </c>
      <c r="D414">
        <v>4.7350009999999996</v>
      </c>
      <c r="E414">
        <v>0.51648679999999902</v>
      </c>
      <c r="F414" t="s">
        <v>42</v>
      </c>
      <c r="G414">
        <v>-340.64150000000001</v>
      </c>
      <c r="H414" s="1">
        <v>-4.6394750000000002E-6</v>
      </c>
      <c r="I414">
        <v>368.29050000000001</v>
      </c>
      <c r="J414">
        <v>-369.1345</v>
      </c>
      <c r="K414">
        <v>1.109102</v>
      </c>
      <c r="L414">
        <v>367.7552</v>
      </c>
      <c r="M414">
        <v>0.99988220000000005</v>
      </c>
      <c r="N414">
        <v>-1.491309E-2</v>
      </c>
      <c r="O414">
        <v>3.6275050000000001E-3</v>
      </c>
      <c r="P414">
        <v>0.9958475</v>
      </c>
      <c r="Q414">
        <v>-6.6771179999999999E-2</v>
      </c>
      <c r="R414">
        <v>6.1882470000000002E-2</v>
      </c>
      <c r="S414">
        <v>3.0012210000000001</v>
      </c>
      <c r="T414">
        <v>-0.1156856</v>
      </c>
      <c r="U414">
        <v>5.5938719999999997E-2</v>
      </c>
      <c r="V414">
        <v>-5.827148E-2</v>
      </c>
      <c r="W414">
        <v>-5.1906889999999997E-2</v>
      </c>
      <c r="X414">
        <v>0.99695040000000001</v>
      </c>
      <c r="Y414">
        <v>-1.4993589999999999E-2</v>
      </c>
      <c r="Z414">
        <v>3.1503720000000001E-4</v>
      </c>
      <c r="AA414">
        <v>0.99988750000000004</v>
      </c>
      <c r="AB414">
        <v>38</v>
      </c>
      <c r="AC414">
        <v>28.492999999999899</v>
      </c>
      <c r="AD414">
        <v>-1.109106639475</v>
      </c>
      <c r="AE414">
        <v>0.53530000000000599</v>
      </c>
      <c r="AF414">
        <v>-0.43127324539401402</v>
      </c>
      <c r="AG414">
        <v>-1.109106639475</v>
      </c>
      <c r="AH414">
        <v>28.451659736968299</v>
      </c>
      <c r="AI414">
        <v>92.232125726886593</v>
      </c>
      <c r="AJ414">
        <v>90.868428932904493</v>
      </c>
      <c r="AK414">
        <v>28.476535181411101</v>
      </c>
      <c r="AL414">
        <v>92.975382868112305</v>
      </c>
      <c r="AM414">
        <v>93.345116822651704</v>
      </c>
      <c r="AN414">
        <v>0.99999999533551098</v>
      </c>
    </row>
    <row r="415" spans="1:40" x14ac:dyDescent="0.25">
      <c r="A415" t="str">
        <f>"20190305135204605"</f>
        <v>20190305135204605</v>
      </c>
      <c r="B415" t="str">
        <f>"1551765124599746"</f>
        <v>1551765124599746</v>
      </c>
      <c r="C415" t="s">
        <v>40</v>
      </c>
      <c r="D415">
        <v>4.6953529999999999</v>
      </c>
      <c r="E415">
        <v>0.51666009999999996</v>
      </c>
      <c r="F415" t="s">
        <v>42</v>
      </c>
      <c r="G415">
        <v>-340.81920000000002</v>
      </c>
      <c r="H415" s="1">
        <v>-4.5569329999999998E-6</v>
      </c>
      <c r="I415">
        <v>368.2824</v>
      </c>
      <c r="J415">
        <v>-368.90699999999998</v>
      </c>
      <c r="K415">
        <v>1.1091</v>
      </c>
      <c r="L415">
        <v>367.75599999999997</v>
      </c>
      <c r="M415">
        <v>0.9998823</v>
      </c>
      <c r="N415">
        <v>-1.491053E-2</v>
      </c>
      <c r="O415">
        <v>3.6275280000000001E-3</v>
      </c>
      <c r="P415">
        <v>0.9958555</v>
      </c>
      <c r="Q415">
        <v>-6.6723870000000005E-2</v>
      </c>
      <c r="R415">
        <v>6.1805609999999997E-2</v>
      </c>
      <c r="S415">
        <v>3.0011899999999998</v>
      </c>
      <c r="T415">
        <v>-0.1175562</v>
      </c>
      <c r="U415">
        <v>5.5877690000000001E-2</v>
      </c>
      <c r="V415">
        <v>-5.8194120000000002E-2</v>
      </c>
      <c r="W415">
        <v>-5.1862030000000003E-2</v>
      </c>
      <c r="X415">
        <v>0.99695719999999999</v>
      </c>
      <c r="Y415">
        <v>-1.497307E-2</v>
      </c>
      <c r="Z415">
        <v>3.1686479999999998E-4</v>
      </c>
      <c r="AA415">
        <v>0.99988779999999999</v>
      </c>
      <c r="AB415">
        <v>38</v>
      </c>
      <c r="AC415">
        <v>28.087799999999898</v>
      </c>
      <c r="AD415">
        <v>-1.109104556933</v>
      </c>
      <c r="AE415">
        <v>0.52640000000002296</v>
      </c>
      <c r="AF415">
        <v>-0.42383530794750401</v>
      </c>
      <c r="AG415">
        <v>-1.109104556933</v>
      </c>
      <c r="AH415">
        <v>28.045810448663399</v>
      </c>
      <c r="AI415">
        <v>92.264390625946803</v>
      </c>
      <c r="AJ415">
        <v>90.865802255664306</v>
      </c>
      <c r="AK415">
        <v>28.070932172067799</v>
      </c>
      <c r="AL415">
        <v>92.972809270943799</v>
      </c>
      <c r="AM415">
        <v>93.340663245671394</v>
      </c>
      <c r="AN415">
        <v>0.99999994219506505</v>
      </c>
    </row>
    <row r="416" spans="1:40" x14ac:dyDescent="0.25">
      <c r="A416" t="str">
        <f>"20190305135204618"</f>
        <v>20190305135204618</v>
      </c>
      <c r="B416" t="str">
        <f>"1551765124610482"</f>
        <v>1551765124610482</v>
      </c>
      <c r="C416" t="s">
        <v>40</v>
      </c>
      <c r="D416">
        <v>4.7128189999999996</v>
      </c>
      <c r="E416">
        <v>0.51667759999999996</v>
      </c>
      <c r="F416" t="s">
        <v>42</v>
      </c>
      <c r="G416">
        <v>-339.97309999999999</v>
      </c>
      <c r="H416" s="1">
        <v>-4.9573379999999997E-6</v>
      </c>
      <c r="I416">
        <v>368.28</v>
      </c>
      <c r="J416">
        <v>-368.68169999999998</v>
      </c>
      <c r="K416">
        <v>1.1091009999999999</v>
      </c>
      <c r="L416">
        <v>367.75689999999997</v>
      </c>
      <c r="M416">
        <v>0.99988239999999995</v>
      </c>
      <c r="N416">
        <v>-1.4907979999999999E-2</v>
      </c>
      <c r="O416">
        <v>3.6275499999999998E-3</v>
      </c>
      <c r="P416">
        <v>0.9958186</v>
      </c>
      <c r="Q416">
        <v>-6.7181959999999999E-2</v>
      </c>
      <c r="R416">
        <v>6.1903970000000003E-2</v>
      </c>
      <c r="S416">
        <v>3.0014340000000002</v>
      </c>
      <c r="T416">
        <v>-0.1150521</v>
      </c>
      <c r="U416">
        <v>5.435181E-2</v>
      </c>
      <c r="V416">
        <v>-5.8293030000000003E-2</v>
      </c>
      <c r="W416">
        <v>-5.2323210000000002E-2</v>
      </c>
      <c r="X416">
        <v>0.99692740000000002</v>
      </c>
      <c r="Y416">
        <v>-1.446441E-2</v>
      </c>
      <c r="Z416">
        <v>3.0006800000000001E-4</v>
      </c>
      <c r="AA416">
        <v>0.99989530000000004</v>
      </c>
      <c r="AB416">
        <v>38</v>
      </c>
      <c r="AC416">
        <v>28.708599999999901</v>
      </c>
      <c r="AD416">
        <v>-1.109105957338</v>
      </c>
      <c r="AE416">
        <v>0.52309999999999901</v>
      </c>
      <c r="AF416">
        <v>-0.41831896752363401</v>
      </c>
      <c r="AG416">
        <v>-1.109105957338</v>
      </c>
      <c r="AH416">
        <v>28.667535993577498</v>
      </c>
      <c r="AI416">
        <v>92.2153511434352</v>
      </c>
      <c r="AJ416">
        <v>90.836005242978601</v>
      </c>
      <c r="AK416">
        <v>28.692032460706798</v>
      </c>
      <c r="AL416">
        <v>92.999268637266994</v>
      </c>
      <c r="AM416">
        <v>93.346428133143206</v>
      </c>
      <c r="AN416">
        <v>1.00000001826102</v>
      </c>
    </row>
    <row r="417" spans="1:40" x14ac:dyDescent="0.25">
      <c r="A417" t="str">
        <f>"20190305135204636"</f>
        <v>20190305135204636</v>
      </c>
      <c r="B417" t="str">
        <f>"1551765124630001"</f>
        <v>1551765124630001</v>
      </c>
      <c r="C417" t="s">
        <v>40</v>
      </c>
      <c r="D417">
        <v>4.6808649999999998</v>
      </c>
      <c r="E417">
        <v>0.5167233</v>
      </c>
      <c r="F417" t="s">
        <v>42</v>
      </c>
      <c r="G417">
        <v>-339.76119999999997</v>
      </c>
      <c r="H417" s="1">
        <v>-4.2223219999999998E-7</v>
      </c>
      <c r="I417">
        <v>368.2826</v>
      </c>
      <c r="J417">
        <v>-368.3725</v>
      </c>
      <c r="K417">
        <v>1.1091</v>
      </c>
      <c r="L417">
        <v>367.75799999999998</v>
      </c>
      <c r="M417">
        <v>0.99988239999999995</v>
      </c>
      <c r="N417">
        <v>-1.4904550000000001E-2</v>
      </c>
      <c r="O417">
        <v>3.6275790000000001E-3</v>
      </c>
      <c r="P417">
        <v>0.99580290000000005</v>
      </c>
      <c r="Q417">
        <v>-6.7133609999999996E-2</v>
      </c>
      <c r="R417">
        <v>6.2208699999999999E-2</v>
      </c>
      <c r="S417">
        <v>3.001465</v>
      </c>
      <c r="T417">
        <v>-0.115106</v>
      </c>
      <c r="U417">
        <v>5.4565429999999998E-2</v>
      </c>
      <c r="V417">
        <v>-5.8597400000000001E-2</v>
      </c>
      <c r="W417">
        <v>-5.2278489999999997E-2</v>
      </c>
      <c r="X417">
        <v>0.99691189999999996</v>
      </c>
      <c r="Y417">
        <v>-1.453525E-2</v>
      </c>
      <c r="Z417">
        <v>3.0197950000000002E-4</v>
      </c>
      <c r="AA417">
        <v>0.99989430000000001</v>
      </c>
      <c r="AB417">
        <v>38</v>
      </c>
      <c r="AC417">
        <v>28.6113</v>
      </c>
      <c r="AD417">
        <v>-1.1091004222321901</v>
      </c>
      <c r="AE417">
        <v>0.52459999999996398</v>
      </c>
      <c r="AF417">
        <v>-0.42016411241576901</v>
      </c>
      <c r="AG417">
        <v>-1.1091004222321901</v>
      </c>
      <c r="AH417">
        <v>28.570097652740099</v>
      </c>
      <c r="AI417">
        <v>92.222884232199306</v>
      </c>
      <c r="AJ417">
        <v>90.842555574061606</v>
      </c>
      <c r="AK417">
        <v>28.594704431328999</v>
      </c>
      <c r="AL417">
        <v>92.996702864996493</v>
      </c>
      <c r="AM417">
        <v>93.363913263401201</v>
      </c>
      <c r="AN417">
        <v>1.00000001608252</v>
      </c>
    </row>
    <row r="418" spans="1:40" x14ac:dyDescent="0.25">
      <c r="A418" t="str">
        <f>"20190305135204649"</f>
        <v>20190305135204649</v>
      </c>
      <c r="B418" t="str">
        <f>"1551765124639762"</f>
        <v>1551765124639762</v>
      </c>
      <c r="C418" t="s">
        <v>40</v>
      </c>
      <c r="D418">
        <v>4.666887</v>
      </c>
      <c r="E418">
        <v>0.51670490000000002</v>
      </c>
      <c r="F418" t="s">
        <v>42</v>
      </c>
      <c r="G418">
        <v>-339.00409999999999</v>
      </c>
      <c r="H418" s="1">
        <v>-6.7585589999999997E-7</v>
      </c>
      <c r="I418">
        <v>368.2978</v>
      </c>
      <c r="J418">
        <v>-368.16250000000002</v>
      </c>
      <c r="K418">
        <v>1.1091040000000001</v>
      </c>
      <c r="L418">
        <v>367.75880000000001</v>
      </c>
      <c r="M418">
        <v>0.99988250000000001</v>
      </c>
      <c r="N418">
        <v>-1.4902250000000001E-2</v>
      </c>
      <c r="O418">
        <v>3.6274190000000002E-3</v>
      </c>
      <c r="P418">
        <v>0.99579859999999998</v>
      </c>
      <c r="Q418">
        <v>-6.7027429999999999E-2</v>
      </c>
      <c r="R418">
        <v>6.2390660000000001E-2</v>
      </c>
      <c r="S418">
        <v>3.0015869999999998</v>
      </c>
      <c r="T418">
        <v>-0.1133547</v>
      </c>
      <c r="U418">
        <v>5.5175780000000001E-2</v>
      </c>
      <c r="V418">
        <v>-5.8780249999999999E-2</v>
      </c>
      <c r="W418">
        <v>-5.2174680000000001E-2</v>
      </c>
      <c r="X418">
        <v>0.99690659999999998</v>
      </c>
      <c r="Y418">
        <v>-1.4738070000000001E-2</v>
      </c>
      <c r="Z418">
        <v>3.0517000000000001E-4</v>
      </c>
      <c r="AA418">
        <v>0.99989130000000004</v>
      </c>
      <c r="AB418">
        <v>38</v>
      </c>
      <c r="AC418">
        <v>29.1584</v>
      </c>
      <c r="AD418">
        <v>-1.1091046758559</v>
      </c>
      <c r="AE418">
        <v>0.53899999999998705</v>
      </c>
      <c r="AF418">
        <v>-0.43258931593011501</v>
      </c>
      <c r="AG418">
        <v>-1.1091046758559</v>
      </c>
      <c r="AH418">
        <v>29.118049022517202</v>
      </c>
      <c r="AI418">
        <v>92.181097706448099</v>
      </c>
      <c r="AJ418">
        <v>90.851146269934105</v>
      </c>
      <c r="AK418">
        <v>29.142375084676502</v>
      </c>
      <c r="AL418">
        <v>92.990746784023898</v>
      </c>
      <c r="AM418">
        <v>93.374403852012406</v>
      </c>
      <c r="AN418">
        <v>1.0000000420733599</v>
      </c>
    </row>
    <row r="419" spans="1:40" x14ac:dyDescent="0.25">
      <c r="A419" t="str">
        <f>"20190305135204670"</f>
        <v>20190305135204670</v>
      </c>
      <c r="B419" t="str">
        <f>"1551765124660258"</f>
        <v>1551765124660258</v>
      </c>
      <c r="C419" t="s">
        <v>40</v>
      </c>
      <c r="D419">
        <v>4.6348289999999999</v>
      </c>
      <c r="E419">
        <v>0.51667589999999997</v>
      </c>
      <c r="F419" t="s">
        <v>42</v>
      </c>
      <c r="G419">
        <v>-338.76240000000001</v>
      </c>
      <c r="H419" s="1">
        <v>-7.5597880000000001E-7</v>
      </c>
      <c r="I419">
        <v>368.3057</v>
      </c>
      <c r="J419">
        <v>-367.80340000000001</v>
      </c>
      <c r="K419">
        <v>1.10911</v>
      </c>
      <c r="L419">
        <v>367.76</v>
      </c>
      <c r="M419">
        <v>0.99988250000000001</v>
      </c>
      <c r="N419">
        <v>-1.489831E-2</v>
      </c>
      <c r="O419">
        <v>3.6276300000000002E-3</v>
      </c>
      <c r="P419">
        <v>0.99582850000000001</v>
      </c>
      <c r="Q419">
        <v>-6.6634739999999998E-2</v>
      </c>
      <c r="R419">
        <v>6.2333960000000001E-2</v>
      </c>
      <c r="S419">
        <v>3.0015260000000001</v>
      </c>
      <c r="T419">
        <v>-0.1132307</v>
      </c>
      <c r="U419">
        <v>5.5847170000000002E-2</v>
      </c>
      <c r="V419">
        <v>-5.8722980000000001E-2</v>
      </c>
      <c r="W419">
        <v>-5.1785539999999998E-2</v>
      </c>
      <c r="X419">
        <v>0.99693019999999999</v>
      </c>
      <c r="Y419">
        <v>-1.496161E-2</v>
      </c>
      <c r="Z419">
        <v>3.1085100000000001E-4</v>
      </c>
      <c r="AA419">
        <v>0.999888</v>
      </c>
      <c r="AB419">
        <v>38</v>
      </c>
      <c r="AC419">
        <v>29.041</v>
      </c>
      <c r="AD419">
        <v>-1.1091107559788</v>
      </c>
      <c r="AE419">
        <v>0.54570000000000995</v>
      </c>
      <c r="AF419">
        <v>-0.43969362237099702</v>
      </c>
      <c r="AG419">
        <v>-1.1091107559788</v>
      </c>
      <c r="AH419">
        <v>29.000504409395202</v>
      </c>
      <c r="AI419">
        <v>92.189931498691806</v>
      </c>
      <c r="AJ419">
        <v>90.868628296263907</v>
      </c>
      <c r="AK419">
        <v>29.0250359715528</v>
      </c>
      <c r="AL419">
        <v>92.968420715796299</v>
      </c>
      <c r="AM419">
        <v>93.371044113833094</v>
      </c>
      <c r="AN419">
        <v>0.99999997710260502</v>
      </c>
    </row>
    <row r="420" spans="1:40" x14ac:dyDescent="0.25">
      <c r="A420" t="str">
        <f>"20190305135204685"</f>
        <v>20190305135204685</v>
      </c>
      <c r="B420" t="str">
        <f>"1551765124679778"</f>
        <v>1551765124679778</v>
      </c>
      <c r="C420" t="s">
        <v>40</v>
      </c>
      <c r="D420">
        <v>4.6425729999999996</v>
      </c>
      <c r="E420">
        <v>0.51676670000000002</v>
      </c>
      <c r="F420" t="s">
        <v>42</v>
      </c>
      <c r="G420">
        <v>-337.61430000000001</v>
      </c>
      <c r="H420" s="1">
        <v>-1.2353479999999999E-6</v>
      </c>
      <c r="I420">
        <v>368.32229999999998</v>
      </c>
      <c r="J420">
        <v>-367.56509999999997</v>
      </c>
      <c r="K420">
        <v>1.109111</v>
      </c>
      <c r="L420">
        <v>367.76089999999999</v>
      </c>
      <c r="M420">
        <v>0.99988250000000001</v>
      </c>
      <c r="N420">
        <v>-1.489565E-2</v>
      </c>
      <c r="O420">
        <v>3.6276519999999999E-3</v>
      </c>
      <c r="P420">
        <v>0.99584989999999995</v>
      </c>
      <c r="Q420">
        <v>-6.6410650000000002E-2</v>
      </c>
      <c r="R420">
        <v>6.2230830000000001E-2</v>
      </c>
      <c r="S420">
        <v>3.001709</v>
      </c>
      <c r="T420">
        <v>-0.1102788</v>
      </c>
      <c r="U420">
        <v>5.5908199999999998E-2</v>
      </c>
      <c r="V420">
        <v>-5.8619539999999998E-2</v>
      </c>
      <c r="W420">
        <v>-5.1563829999999998E-2</v>
      </c>
      <c r="X420">
        <v>0.99694780000000005</v>
      </c>
      <c r="Y420">
        <v>-1.4981339999999999E-2</v>
      </c>
      <c r="Z420">
        <v>3.0753490000000002E-4</v>
      </c>
      <c r="AA420">
        <v>0.99988770000000005</v>
      </c>
      <c r="AB420">
        <v>38</v>
      </c>
      <c r="AC420">
        <v>29.950799999999902</v>
      </c>
      <c r="AD420">
        <v>-1.1091122353480001</v>
      </c>
      <c r="AE420">
        <v>0.56139999999999102</v>
      </c>
      <c r="AF420">
        <v>-0.45211340509731601</v>
      </c>
      <c r="AG420">
        <v>-1.1091122353480001</v>
      </c>
      <c r="AH420">
        <v>29.911636093846599</v>
      </c>
      <c r="AI420">
        <v>92.123290823666295</v>
      </c>
      <c r="AJ420">
        <v>90.865957898548501</v>
      </c>
      <c r="AK420">
        <v>29.9356060618851</v>
      </c>
      <c r="AL420">
        <v>92.955700613575999</v>
      </c>
      <c r="AM420">
        <v>93.365060437232202</v>
      </c>
      <c r="AN420">
        <v>0.99999999747946</v>
      </c>
    </row>
    <row r="421" spans="1:40" x14ac:dyDescent="0.25">
      <c r="A421" t="str">
        <f>"20190305135204703"</f>
        <v>20190305135204703</v>
      </c>
      <c r="B421" t="str">
        <f>"1551765124700273"</f>
        <v>1551765124700273</v>
      </c>
      <c r="C421" t="s">
        <v>40</v>
      </c>
      <c r="D421">
        <v>4.6291079999999996</v>
      </c>
      <c r="E421">
        <v>0.5171268</v>
      </c>
      <c r="F421" t="s">
        <v>42</v>
      </c>
      <c r="G421">
        <v>-336.84800000000001</v>
      </c>
      <c r="H421" s="1">
        <v>-1.5638519999999999E-6</v>
      </c>
      <c r="I421">
        <v>368.3236</v>
      </c>
      <c r="J421">
        <v>-367.26979999999998</v>
      </c>
      <c r="K421">
        <v>1.1091139999999999</v>
      </c>
      <c r="L421">
        <v>367.762</v>
      </c>
      <c r="M421">
        <v>0.99988259999999995</v>
      </c>
      <c r="N421">
        <v>-1.489237E-2</v>
      </c>
      <c r="O421">
        <v>3.6276770000000002E-3</v>
      </c>
      <c r="P421">
        <v>0.99584439999999996</v>
      </c>
      <c r="Q421">
        <v>-6.6592600000000002E-2</v>
      </c>
      <c r="R421">
        <v>6.2124440000000003E-2</v>
      </c>
      <c r="S421">
        <v>3.0018009999999999</v>
      </c>
      <c r="T421">
        <v>-0.10838680000000001</v>
      </c>
      <c r="U421">
        <v>5.4992680000000002E-2</v>
      </c>
      <c r="V421">
        <v>-5.8512960000000003E-2</v>
      </c>
      <c r="W421">
        <v>-5.1749129999999997E-2</v>
      </c>
      <c r="X421">
        <v>0.99694450000000001</v>
      </c>
      <c r="Y421">
        <v>-1.467654E-2</v>
      </c>
      <c r="Z421">
        <v>2.9728890000000003E-4</v>
      </c>
      <c r="AA421">
        <v>0.99989220000000001</v>
      </c>
      <c r="AB421">
        <v>38</v>
      </c>
      <c r="AC421">
        <v>30.421799999999902</v>
      </c>
      <c r="AD421">
        <v>-1.1091155638519901</v>
      </c>
      <c r="AE421">
        <v>0.56160000000005506</v>
      </c>
      <c r="AF421">
        <v>-0.45062485078097297</v>
      </c>
      <c r="AG421">
        <v>-1.1091155638519901</v>
      </c>
      <c r="AH421">
        <v>30.3832662374144</v>
      </c>
      <c r="AI421">
        <v>92.090376234427495</v>
      </c>
      <c r="AJ421">
        <v>90.849711450464895</v>
      </c>
      <c r="AK421">
        <v>30.4068424428405</v>
      </c>
      <c r="AL421">
        <v>92.966331596153395</v>
      </c>
      <c r="AM421">
        <v>93.358967316435198</v>
      </c>
      <c r="AN421">
        <v>1.00000003751198</v>
      </c>
    </row>
    <row r="422" spans="1:40" x14ac:dyDescent="0.25">
      <c r="A422" t="str">
        <f>"20190305135204714"</f>
        <v>20190305135204714</v>
      </c>
      <c r="B422" t="str">
        <f>"1551765124710034"</f>
        <v>1551765124710034</v>
      </c>
      <c r="C422" t="s">
        <v>40</v>
      </c>
      <c r="D422">
        <v>4.747484</v>
      </c>
      <c r="E422">
        <v>0.51706430000000003</v>
      </c>
      <c r="F422" t="s">
        <v>42</v>
      </c>
      <c r="G422">
        <v>-336.36279999999999</v>
      </c>
      <c r="H422" s="1">
        <v>-1.7767760000000001E-6</v>
      </c>
      <c r="I422">
        <v>368.29669999999999</v>
      </c>
      <c r="J422">
        <v>-367.07130000000001</v>
      </c>
      <c r="K422">
        <v>1.1091150000000001</v>
      </c>
      <c r="L422">
        <v>367.7627</v>
      </c>
      <c r="M422">
        <v>0.99988259999999995</v>
      </c>
      <c r="N422">
        <v>-1.4890169999999999E-2</v>
      </c>
      <c r="O422">
        <v>3.6276939999999999E-3</v>
      </c>
      <c r="P422">
        <v>0.99584859999999997</v>
      </c>
      <c r="Q422">
        <v>-6.6511970000000004E-2</v>
      </c>
      <c r="R422">
        <v>6.2142549999999998E-2</v>
      </c>
      <c r="S422">
        <v>3.002075</v>
      </c>
      <c r="T422">
        <v>-0.10773099999999999</v>
      </c>
      <c r="U422">
        <v>5.1940920000000002E-2</v>
      </c>
      <c r="V422">
        <v>-5.8531270000000003E-2</v>
      </c>
      <c r="W422">
        <v>-5.1670649999999999E-2</v>
      </c>
      <c r="X422">
        <v>0.99694749999999999</v>
      </c>
      <c r="Y422">
        <v>-1.365977E-2</v>
      </c>
      <c r="Z422">
        <v>2.706319E-4</v>
      </c>
      <c r="AA422">
        <v>0.99990670000000004</v>
      </c>
      <c r="AB422">
        <v>38</v>
      </c>
      <c r="AC422">
        <v>30.708500000000001</v>
      </c>
      <c r="AD422">
        <v>-1.109116776776</v>
      </c>
      <c r="AE422">
        <v>0.53399999999999104</v>
      </c>
      <c r="AF422">
        <v>-0.42203273078015002</v>
      </c>
      <c r="AG422">
        <v>-1.109116776776</v>
      </c>
      <c r="AH422">
        <v>30.670238682533999</v>
      </c>
      <c r="AI422">
        <v>92.070868240763204</v>
      </c>
      <c r="AJ422">
        <v>90.788359312581207</v>
      </c>
      <c r="AK422">
        <v>30.693188047089201</v>
      </c>
      <c r="AL422">
        <v>92.961828987332197</v>
      </c>
      <c r="AM422">
        <v>93.360005916083907</v>
      </c>
      <c r="AN422">
        <v>1.0000000416977399</v>
      </c>
    </row>
    <row r="423" spans="1:40" x14ac:dyDescent="0.25">
      <c r="A423" t="str">
        <f>"20190305135204862"</f>
        <v>20190305135204862</v>
      </c>
      <c r="B423" t="str">
        <f>"1551765124860338"</f>
        <v>1551765124860338</v>
      </c>
      <c r="C423" t="s">
        <v>40</v>
      </c>
      <c r="D423">
        <v>4.3628609999999997</v>
      </c>
      <c r="E423">
        <v>0.58648429999999996</v>
      </c>
      <c r="F423" t="s">
        <v>42</v>
      </c>
      <c r="G423">
        <v>-336.16079999999999</v>
      </c>
      <c r="H423" s="1">
        <v>-1.8626200000000001E-6</v>
      </c>
      <c r="I423">
        <v>368.30119999999999</v>
      </c>
      <c r="J423">
        <v>-364.60399999999998</v>
      </c>
      <c r="K423">
        <v>1.1091009999999999</v>
      </c>
      <c r="L423">
        <v>367.77179999999998</v>
      </c>
      <c r="M423">
        <v>0.99988310000000002</v>
      </c>
      <c r="N423">
        <v>-1.486298E-2</v>
      </c>
      <c r="O423">
        <v>3.6276020000000002E-3</v>
      </c>
      <c r="P423">
        <v>0.99573420000000001</v>
      </c>
      <c r="Q423">
        <v>-6.849951E-2</v>
      </c>
      <c r="R423">
        <v>6.1819810000000003E-2</v>
      </c>
      <c r="S423">
        <v>3.0020449999999999</v>
      </c>
      <c r="T423">
        <v>-0.1077178</v>
      </c>
      <c r="U423">
        <v>5.230713E-2</v>
      </c>
      <c r="V423">
        <v>-5.8209419999999998E-2</v>
      </c>
      <c r="W423">
        <v>-5.3686810000000001E-2</v>
      </c>
      <c r="X423">
        <v>0.99685979999999996</v>
      </c>
      <c r="Y423">
        <v>-1.378188E-2</v>
      </c>
      <c r="Z423">
        <v>2.7343419999999998E-4</v>
      </c>
      <c r="AA423">
        <v>0.99990500000000004</v>
      </c>
      <c r="AB423">
        <v>37</v>
      </c>
      <c r="AC423">
        <v>28.443200000000001</v>
      </c>
      <c r="AD423">
        <v>-1.1091028626199999</v>
      </c>
      <c r="AE423">
        <v>0.52940000000000897</v>
      </c>
      <c r="AF423">
        <v>-0.42555768575191399</v>
      </c>
      <c r="AG423">
        <v>-1.1091028626199999</v>
      </c>
      <c r="AH423">
        <v>28.4017635155632</v>
      </c>
      <c r="AI423">
        <v>92.236041418803893</v>
      </c>
      <c r="AJ423">
        <v>90.858426797617199</v>
      </c>
      <c r="AK423">
        <v>28.4265963368419</v>
      </c>
      <c r="AL423">
        <v>93.077507097869798</v>
      </c>
      <c r="AM423">
        <v>93.341865311280998</v>
      </c>
      <c r="AN423">
        <v>1.00000003550037</v>
      </c>
    </row>
    <row r="424" spans="1:40" x14ac:dyDescent="0.25">
      <c r="A424" t="str">
        <f>"20190305135204876"</f>
        <v>20190305135204876</v>
      </c>
      <c r="B424" t="str">
        <f>"1551765124870098"</f>
        <v>1551765124870098</v>
      </c>
      <c r="C424" t="s">
        <v>40</v>
      </c>
      <c r="D424">
        <v>4.5747249999999999</v>
      </c>
      <c r="E424">
        <v>0.58648429999999996</v>
      </c>
      <c r="F424" t="s">
        <v>41</v>
      </c>
      <c r="G424">
        <v>-363.92360000000002</v>
      </c>
      <c r="H424">
        <v>0.84103059999999996</v>
      </c>
      <c r="I424">
        <v>367.65159999999997</v>
      </c>
      <c r="J424">
        <v>-364.3691</v>
      </c>
      <c r="K424">
        <v>1.1090990000000001</v>
      </c>
      <c r="L424">
        <v>367.77260000000001</v>
      </c>
      <c r="M424">
        <v>0.99988310000000002</v>
      </c>
      <c r="N424">
        <v>-1.4860369999999999E-2</v>
      </c>
      <c r="O424">
        <v>3.6276220000000001E-3</v>
      </c>
      <c r="P424">
        <v>0.995695</v>
      </c>
      <c r="Q424">
        <v>-6.8856479999999998E-2</v>
      </c>
      <c r="R424">
        <v>6.20514E-2</v>
      </c>
      <c r="S424">
        <v>2.9649350000000001</v>
      </c>
      <c r="T424">
        <v>-1.1680619999999999</v>
      </c>
      <c r="U424">
        <v>-0.52188109999999999</v>
      </c>
      <c r="V424">
        <v>-5.844071E-2</v>
      </c>
      <c r="W424">
        <v>-5.404689E-2</v>
      </c>
      <c r="X424">
        <v>0.99682680000000001</v>
      </c>
      <c r="Y424">
        <v>0.16425409999999999</v>
      </c>
      <c r="Z424">
        <v>-3.3565379999999999E-2</v>
      </c>
      <c r="AA424">
        <v>0.98584680000000002</v>
      </c>
      <c r="AB424">
        <v>37</v>
      </c>
      <c r="AC424">
        <v>0.44549999999998102</v>
      </c>
      <c r="AD424">
        <v>-0.26806839999999998</v>
      </c>
      <c r="AE424">
        <v>-0.12100000000003699</v>
      </c>
      <c r="AF424">
        <v>9.1695841799781699E-2</v>
      </c>
      <c r="AG424">
        <v>-0.26806839999999998</v>
      </c>
      <c r="AH424">
        <v>0.33282887716558102</v>
      </c>
      <c r="AI424">
        <v>127.82912578287301</v>
      </c>
      <c r="AJ424">
        <v>74.596880654746002</v>
      </c>
      <c r="AK424">
        <v>0.43708563915694199</v>
      </c>
      <c r="AL424">
        <v>93.098168188070005</v>
      </c>
      <c r="AM424">
        <v>93.355224461611002</v>
      </c>
      <c r="AN424">
        <v>1.0000000260510999</v>
      </c>
    </row>
    <row r="425" spans="1:40" x14ac:dyDescent="0.25">
      <c r="A425" t="str">
        <f>"20190305135204894"</f>
        <v>20190305135204894</v>
      </c>
      <c r="B425" t="str">
        <f>"1551765124889618"</f>
        <v>1551765124889618</v>
      </c>
      <c r="C425" t="s">
        <v>40</v>
      </c>
      <c r="D425">
        <v>4.7445719999999998</v>
      </c>
      <c r="E425">
        <v>0.60120390000000001</v>
      </c>
      <c r="F425" t="s">
        <v>41</v>
      </c>
      <c r="G425">
        <v>-363.60509999999999</v>
      </c>
      <c r="H425">
        <v>0.80785499999999999</v>
      </c>
      <c r="I425">
        <v>367.63819999999998</v>
      </c>
      <c r="J425">
        <v>-364.07830000000001</v>
      </c>
      <c r="K425">
        <v>1.1090979999999999</v>
      </c>
      <c r="L425">
        <v>367.77359999999999</v>
      </c>
      <c r="M425">
        <v>0.99988319999999997</v>
      </c>
      <c r="N425">
        <v>-1.485714E-2</v>
      </c>
      <c r="O425">
        <v>3.627646E-3</v>
      </c>
      <c r="P425">
        <v>0.99563659999999998</v>
      </c>
      <c r="Q425">
        <v>-6.9233929999999999E-2</v>
      </c>
      <c r="R425">
        <v>6.2568739999999998E-2</v>
      </c>
      <c r="S425">
        <v>2.9646300000000001</v>
      </c>
      <c r="T425">
        <v>-1.1689449999999999</v>
      </c>
      <c r="U425">
        <v>-0.52124020000000004</v>
      </c>
      <c r="V425">
        <v>-5.895806E-2</v>
      </c>
      <c r="W425">
        <v>-5.4428360000000002E-2</v>
      </c>
      <c r="X425">
        <v>0.99677559999999998</v>
      </c>
      <c r="Y425">
        <v>0.16405839999999999</v>
      </c>
      <c r="Z425">
        <v>-3.3553109999999997E-2</v>
      </c>
      <c r="AA425">
        <v>0.98587979999999997</v>
      </c>
      <c r="AB425">
        <v>37</v>
      </c>
      <c r="AC425">
        <v>0.47320000000001899</v>
      </c>
      <c r="AD425">
        <v>-0.30124299999999898</v>
      </c>
      <c r="AE425">
        <v>-0.13540000000000399</v>
      </c>
      <c r="AF425">
        <v>9.9749681575747096E-2</v>
      </c>
      <c r="AG425">
        <v>-0.30124299999999898</v>
      </c>
      <c r="AH425">
        <v>0.343885995926413</v>
      </c>
      <c r="AI425">
        <v>130.07450166040201</v>
      </c>
      <c r="AJ425">
        <v>73.824345766552398</v>
      </c>
      <c r="AK425">
        <v>0.46792619313067302</v>
      </c>
      <c r="AL425">
        <v>93.120056959277207</v>
      </c>
      <c r="AM425">
        <v>93.385031495799097</v>
      </c>
      <c r="AN425">
        <v>1.0000000479833</v>
      </c>
    </row>
    <row r="426" spans="1:40" x14ac:dyDescent="0.25">
      <c r="A426" t="str">
        <f>"20190305135204908"</f>
        <v>20190305135204908</v>
      </c>
      <c r="B426" t="str">
        <f>"1551765124900355"</f>
        <v>1551765124900355</v>
      </c>
      <c r="C426" t="s">
        <v>40</v>
      </c>
      <c r="D426">
        <v>4.768046</v>
      </c>
      <c r="E426">
        <v>0.59741460000000002</v>
      </c>
      <c r="F426" t="s">
        <v>41</v>
      </c>
      <c r="G426">
        <v>-363.22539999999998</v>
      </c>
      <c r="H426">
        <v>0.91508460000000003</v>
      </c>
      <c r="I426">
        <v>367.59519999999998</v>
      </c>
      <c r="J426">
        <v>-363.84359999999998</v>
      </c>
      <c r="K426">
        <v>1.1090979999999999</v>
      </c>
      <c r="L426">
        <v>367.77449999999999</v>
      </c>
      <c r="M426">
        <v>0.99988319999999997</v>
      </c>
      <c r="N426">
        <v>-1.4854529999999999E-2</v>
      </c>
      <c r="O426">
        <v>3.6276659999999999E-3</v>
      </c>
      <c r="P426">
        <v>0.995614</v>
      </c>
      <c r="Q426">
        <v>-6.9133769999999997E-2</v>
      </c>
      <c r="R426">
        <v>6.3035289999999994E-2</v>
      </c>
      <c r="S426">
        <v>3.0050349999999999</v>
      </c>
      <c r="T426">
        <v>-0.68366930000000004</v>
      </c>
      <c r="U426">
        <v>-0.62768550000000001</v>
      </c>
      <c r="V426">
        <v>-5.9425119999999998E-2</v>
      </c>
      <c r="W426">
        <v>-5.4331089999999999E-2</v>
      </c>
      <c r="X426">
        <v>0.99675309999999995</v>
      </c>
      <c r="Y426">
        <v>0.20262930000000001</v>
      </c>
      <c r="Z426">
        <v>-2.481947E-2</v>
      </c>
      <c r="AA426">
        <v>0.97894099999999995</v>
      </c>
      <c r="AB426">
        <v>37</v>
      </c>
      <c r="AC426">
        <v>0.61820000000000097</v>
      </c>
      <c r="AD426">
        <v>-0.1940134</v>
      </c>
      <c r="AE426">
        <v>-0.17930000000001201</v>
      </c>
      <c r="AF426">
        <v>0.16642213786363999</v>
      </c>
      <c r="AG426">
        <v>-0.1940134</v>
      </c>
      <c r="AH426">
        <v>0.56611364984409496</v>
      </c>
      <c r="AI426">
        <v>108.200762748633</v>
      </c>
      <c r="AJ426">
        <v>73.618086864359398</v>
      </c>
      <c r="AK426">
        <v>0.62114587005828803</v>
      </c>
      <c r="AL426">
        <v>93.114475760779399</v>
      </c>
      <c r="AM426">
        <v>93.411861121598804</v>
      </c>
      <c r="AN426">
        <v>0.99999997729360601</v>
      </c>
    </row>
    <row r="427" spans="1:40" x14ac:dyDescent="0.25">
      <c r="A427" t="str">
        <f>"20190305135204921"</f>
        <v>20190305135204921</v>
      </c>
      <c r="B427" t="str">
        <f>"1551765124910115"</f>
        <v>1551765124910115</v>
      </c>
      <c r="C427" t="s">
        <v>40</v>
      </c>
      <c r="D427">
        <v>4.617019</v>
      </c>
      <c r="E427">
        <v>0.59684250000000005</v>
      </c>
      <c r="F427" t="s">
        <v>41</v>
      </c>
      <c r="G427">
        <v>-362.90550000000002</v>
      </c>
      <c r="H427">
        <v>0.88860269999999997</v>
      </c>
      <c r="I427">
        <v>367.58780000000002</v>
      </c>
      <c r="J427">
        <v>-363.62450000000001</v>
      </c>
      <c r="K427">
        <v>1.1090990000000001</v>
      </c>
      <c r="L427">
        <v>367.77530000000002</v>
      </c>
      <c r="M427">
        <v>0.99988319999999997</v>
      </c>
      <c r="N427">
        <v>-1.485209E-2</v>
      </c>
      <c r="O427">
        <v>3.6276839999999999E-3</v>
      </c>
      <c r="P427">
        <v>0.99559059999999999</v>
      </c>
      <c r="Q427">
        <v>-6.9109760000000006E-2</v>
      </c>
      <c r="R427">
        <v>6.3432039999999995E-2</v>
      </c>
      <c r="S427">
        <v>3.002014</v>
      </c>
      <c r="T427">
        <v>-0.70568599999999904</v>
      </c>
      <c r="U427">
        <v>-0.59658809999999995</v>
      </c>
      <c r="V427">
        <v>-5.9822050000000002E-2</v>
      </c>
      <c r="W427">
        <v>-5.4309830000000003E-2</v>
      </c>
      <c r="X427">
        <v>0.99673060000000002</v>
      </c>
      <c r="Y427">
        <v>0.19298879999999999</v>
      </c>
      <c r="Z427">
        <v>-2.441749E-2</v>
      </c>
      <c r="AA427">
        <v>0.98089709999999997</v>
      </c>
      <c r="AB427">
        <v>37</v>
      </c>
      <c r="AC427">
        <v>0.71899999999999398</v>
      </c>
      <c r="AD427">
        <v>-0.22049630000000001</v>
      </c>
      <c r="AE427">
        <v>-0.1875</v>
      </c>
      <c r="AF427">
        <v>0.17472163290672699</v>
      </c>
      <c r="AG427">
        <v>-0.22049630000000001</v>
      </c>
      <c r="AH427">
        <v>0.66018049619661501</v>
      </c>
      <c r="AI427">
        <v>107.894105096958</v>
      </c>
      <c r="AJ427">
        <v>75.176117682370901</v>
      </c>
      <c r="AK427">
        <v>0.71762424351306098</v>
      </c>
      <c r="AL427">
        <v>93.113255586944206</v>
      </c>
      <c r="AM427">
        <v>93.434673614018195</v>
      </c>
      <c r="AN427">
        <v>1.0000000621385901</v>
      </c>
    </row>
    <row r="428" spans="1:40" x14ac:dyDescent="0.25">
      <c r="A428" t="str">
        <f>"20190305135204938"</f>
        <v>20190305135204938</v>
      </c>
      <c r="B428" t="str">
        <f>"1551765124930610"</f>
        <v>1551765124930610</v>
      </c>
      <c r="C428" t="s">
        <v>40</v>
      </c>
      <c r="D428">
        <v>4.639805</v>
      </c>
      <c r="E428">
        <v>0.59604360000000001</v>
      </c>
      <c r="F428" t="s">
        <v>41</v>
      </c>
      <c r="G428">
        <v>-362.88639999999998</v>
      </c>
      <c r="H428">
        <v>0.93790580000000001</v>
      </c>
      <c r="I428">
        <v>367.62979999999999</v>
      </c>
      <c r="J428">
        <v>-363.34699999999998</v>
      </c>
      <c r="K428">
        <v>1.1091040000000001</v>
      </c>
      <c r="L428">
        <v>367.77629999999999</v>
      </c>
      <c r="M428">
        <v>0.99988319999999997</v>
      </c>
      <c r="N428">
        <v>-1.4848999999999999E-2</v>
      </c>
      <c r="O428">
        <v>3.627707E-3</v>
      </c>
      <c r="P428">
        <v>0.99553190000000003</v>
      </c>
      <c r="Q428">
        <v>-6.8988770000000005E-2</v>
      </c>
      <c r="R428">
        <v>6.4474840000000005E-2</v>
      </c>
      <c r="S428">
        <v>3.0025940000000002</v>
      </c>
      <c r="T428">
        <v>-0.6964264</v>
      </c>
      <c r="U428">
        <v>-0.59066770000000002</v>
      </c>
      <c r="V428">
        <v>-6.0864679999999997E-2</v>
      </c>
      <c r="W428">
        <v>-5.4192709999999998E-2</v>
      </c>
      <c r="X428">
        <v>0.99667380000000005</v>
      </c>
      <c r="Y428">
        <v>0.19127459999999999</v>
      </c>
      <c r="Z428">
        <v>-2.3914749999999999E-2</v>
      </c>
      <c r="AA428">
        <v>0.98124520000000004</v>
      </c>
      <c r="AB428">
        <v>37</v>
      </c>
      <c r="AC428">
        <v>0.46059999999999901</v>
      </c>
      <c r="AD428">
        <v>-0.171198199999999</v>
      </c>
      <c r="AE428">
        <v>-0.14650000000000299</v>
      </c>
      <c r="AF428">
        <v>0.13165319428455</v>
      </c>
      <c r="AG428">
        <v>-0.171198199999999</v>
      </c>
      <c r="AH428">
        <v>0.40878064526404301</v>
      </c>
      <c r="AI428">
        <v>111.734095449522</v>
      </c>
      <c r="AJ428">
        <v>72.148161666010594</v>
      </c>
      <c r="AK428">
        <v>0.46232348327881101</v>
      </c>
      <c r="AL428">
        <v>93.106535366603694</v>
      </c>
      <c r="AM428">
        <v>93.494587634769104</v>
      </c>
      <c r="AN428">
        <v>1.00000001134754</v>
      </c>
    </row>
    <row r="429" spans="1:40" x14ac:dyDescent="0.25">
      <c r="A429" t="str">
        <f>"20190305135204952"</f>
        <v>20190305135204952</v>
      </c>
      <c r="B429" t="str">
        <f>"1551765124940370"</f>
        <v>1551765124940370</v>
      </c>
      <c r="C429" t="s">
        <v>40</v>
      </c>
      <c r="D429">
        <v>4.7939470000000002</v>
      </c>
      <c r="E429">
        <v>0.5927424</v>
      </c>
      <c r="F429" t="s">
        <v>41</v>
      </c>
      <c r="G429">
        <v>-362.55869999999999</v>
      </c>
      <c r="H429">
        <v>0.93046709999999999</v>
      </c>
      <c r="I429">
        <v>367.6234</v>
      </c>
      <c r="J429">
        <v>-363.14089999999999</v>
      </c>
      <c r="K429">
        <v>1.1091009999999999</v>
      </c>
      <c r="L429">
        <v>367.77699999999999</v>
      </c>
      <c r="M429">
        <v>0.99988319999999997</v>
      </c>
      <c r="N429">
        <v>-1.4846710000000001E-2</v>
      </c>
      <c r="O429">
        <v>3.6277240000000001E-3</v>
      </c>
      <c r="P429">
        <v>0.99550240000000001</v>
      </c>
      <c r="Q429">
        <v>-6.9052920000000004E-2</v>
      </c>
      <c r="R429">
        <v>6.4859550000000002E-2</v>
      </c>
      <c r="S429">
        <v>3.003876</v>
      </c>
      <c r="T429">
        <v>-0.68089869999999997</v>
      </c>
      <c r="U429">
        <v>-0.58111569999999901</v>
      </c>
      <c r="V429">
        <v>-6.1249419999999999E-2</v>
      </c>
      <c r="W429">
        <v>-5.4259549999999997E-2</v>
      </c>
      <c r="X429">
        <v>0.99664660000000005</v>
      </c>
      <c r="Y429">
        <v>0.1884866</v>
      </c>
      <c r="Z429">
        <v>-2.309048E-2</v>
      </c>
      <c r="AA429">
        <v>0.98180429999999996</v>
      </c>
      <c r="AB429">
        <v>37</v>
      </c>
      <c r="AC429">
        <v>0.58220000000000005</v>
      </c>
      <c r="AD429">
        <v>-0.17863390000000001</v>
      </c>
      <c r="AE429">
        <v>-0.153599999999983</v>
      </c>
      <c r="AF429">
        <v>0.14311492420866401</v>
      </c>
      <c r="AG429">
        <v>-0.17863390000000001</v>
      </c>
      <c r="AH429">
        <v>0.53458685800522299</v>
      </c>
      <c r="AI429">
        <v>107.889372741095</v>
      </c>
      <c r="AJ429">
        <v>75.012719787283203</v>
      </c>
      <c r="AK429">
        <v>0.58152821127814402</v>
      </c>
      <c r="AL429">
        <v>93.110370639456406</v>
      </c>
      <c r="AM429">
        <v>93.5167182188856</v>
      </c>
      <c r="AN429">
        <v>1.00000001775404</v>
      </c>
    </row>
    <row r="430" spans="1:40" x14ac:dyDescent="0.25">
      <c r="A430" t="str">
        <f>"20190305135204964"</f>
        <v>20190305135204964</v>
      </c>
      <c r="B430" t="str">
        <f>"1551765124959890"</f>
        <v>1551765124959890</v>
      </c>
      <c r="C430" t="s">
        <v>40</v>
      </c>
      <c r="D430">
        <v>4.6928859999999997</v>
      </c>
      <c r="E430">
        <v>0.5889856</v>
      </c>
      <c r="F430" t="s">
        <v>41</v>
      </c>
      <c r="G430">
        <v>-362.23970000000003</v>
      </c>
      <c r="H430">
        <v>0.90302000000000004</v>
      </c>
      <c r="I430">
        <v>367.61059999999998</v>
      </c>
      <c r="J430">
        <v>-362.90730000000002</v>
      </c>
      <c r="K430">
        <v>1.1090990000000001</v>
      </c>
      <c r="L430">
        <v>367.77789999999999</v>
      </c>
      <c r="M430">
        <v>0.99988339999999998</v>
      </c>
      <c r="N430">
        <v>-1.4844110000000001E-2</v>
      </c>
      <c r="O430">
        <v>3.627744E-3</v>
      </c>
      <c r="P430">
        <v>0.99547059999999998</v>
      </c>
      <c r="Q430">
        <v>-6.9118250000000006E-2</v>
      </c>
      <c r="R430">
        <v>6.5277730000000006E-2</v>
      </c>
      <c r="S430">
        <v>3.0020449999999999</v>
      </c>
      <c r="T430">
        <v>-0.68655040000000001</v>
      </c>
      <c r="U430">
        <v>-0.55386349999999995</v>
      </c>
      <c r="V430">
        <v>-6.1667859999999998E-2</v>
      </c>
      <c r="W430">
        <v>-5.4327889999999997E-2</v>
      </c>
      <c r="X430">
        <v>0.99661710000000003</v>
      </c>
      <c r="Y430">
        <v>0.180114</v>
      </c>
      <c r="Z430">
        <v>-2.2294640000000001E-2</v>
      </c>
      <c r="AA430">
        <v>0.98339310000000002</v>
      </c>
      <c r="AB430">
        <v>37</v>
      </c>
      <c r="AC430">
        <v>0.66759999999999298</v>
      </c>
      <c r="AD430">
        <v>-0.20607899999999901</v>
      </c>
      <c r="AE430">
        <v>-0.167300000000011</v>
      </c>
      <c r="AF430">
        <v>0.155756422711533</v>
      </c>
      <c r="AG430">
        <v>-0.20607899999999901</v>
      </c>
      <c r="AH430">
        <v>0.61210888549942399</v>
      </c>
      <c r="AI430">
        <v>108.070116215642</v>
      </c>
      <c r="AJ430">
        <v>75.723573313339998</v>
      </c>
      <c r="AK430">
        <v>0.66438385378050901</v>
      </c>
      <c r="AL430">
        <v>93.114291934203806</v>
      </c>
      <c r="AM430">
        <v>93.540787142755406</v>
      </c>
      <c r="AN430">
        <v>1.0000000443006101</v>
      </c>
    </row>
    <row r="431" spans="1:40" x14ac:dyDescent="0.25">
      <c r="A431" t="str">
        <f>"20190305135204982"</f>
        <v>20190305135204982</v>
      </c>
      <c r="B431" t="str">
        <f>"1551765124969651"</f>
        <v>1551765124969651</v>
      </c>
      <c r="C431" t="s">
        <v>40</v>
      </c>
      <c r="D431">
        <v>4.859178</v>
      </c>
      <c r="E431">
        <v>0.58724909999999997</v>
      </c>
      <c r="F431" t="s">
        <v>41</v>
      </c>
      <c r="G431">
        <v>-362.21980000000002</v>
      </c>
      <c r="H431">
        <v>0.95243529999999998</v>
      </c>
      <c r="I431">
        <v>367.65800000000002</v>
      </c>
      <c r="J431">
        <v>-362.62720000000002</v>
      </c>
      <c r="K431">
        <v>1.109097</v>
      </c>
      <c r="L431">
        <v>367.77890000000002</v>
      </c>
      <c r="M431">
        <v>0.99988339999999998</v>
      </c>
      <c r="N431">
        <v>-1.484102E-2</v>
      </c>
      <c r="O431">
        <v>3.6277670000000001E-3</v>
      </c>
      <c r="P431">
        <v>0.99541930000000001</v>
      </c>
      <c r="Q431">
        <v>-6.9235130000000006E-2</v>
      </c>
      <c r="R431">
        <v>6.5933859999999997E-2</v>
      </c>
      <c r="S431">
        <v>3.0004580000000001</v>
      </c>
      <c r="T431">
        <v>-0.68371569999999904</v>
      </c>
      <c r="U431">
        <v>-0.52230829999999995</v>
      </c>
      <c r="V431">
        <v>-6.2324209999999998E-2</v>
      </c>
      <c r="W431">
        <v>-5.4448539999999997E-2</v>
      </c>
      <c r="X431">
        <v>0.99656960000000006</v>
      </c>
      <c r="Y431">
        <v>0.17045839999999901</v>
      </c>
      <c r="Z431">
        <v>-2.108618E-2</v>
      </c>
      <c r="AA431">
        <v>0.98513930000000005</v>
      </c>
      <c r="AB431">
        <v>37</v>
      </c>
      <c r="AC431">
        <v>0.40739999999999499</v>
      </c>
      <c r="AD431">
        <v>-0.15666169999999899</v>
      </c>
      <c r="AE431">
        <v>-0.120900000000006</v>
      </c>
      <c r="AF431">
        <v>0.107735737756709</v>
      </c>
      <c r="AG431">
        <v>-0.15666169999999899</v>
      </c>
      <c r="AH431">
        <v>0.35826894399186698</v>
      </c>
      <c r="AI431">
        <v>112.72151804684501</v>
      </c>
      <c r="AJ431">
        <v>73.263341699518406</v>
      </c>
      <c r="AK431">
        <v>0.40559402567828901</v>
      </c>
      <c r="AL431">
        <v>93.121215182673097</v>
      </c>
      <c r="AM431">
        <v>93.578545537155506</v>
      </c>
      <c r="AN431">
        <v>0.99999995915220696</v>
      </c>
    </row>
    <row r="432" spans="1:40" x14ac:dyDescent="0.25">
      <c r="A432" t="str">
        <f>"20190305135204994"</f>
        <v>20190305135204994</v>
      </c>
      <c r="B432" t="str">
        <f>"1551765124980386"</f>
        <v>1551765124980386</v>
      </c>
      <c r="C432" t="s">
        <v>40</v>
      </c>
      <c r="D432">
        <v>4.8548150000000003</v>
      </c>
      <c r="E432">
        <v>0.58580790000000005</v>
      </c>
      <c r="F432" t="s">
        <v>41</v>
      </c>
      <c r="G432">
        <v>-361.89519999999999</v>
      </c>
      <c r="H432">
        <v>0.94113910000000001</v>
      </c>
      <c r="I432">
        <v>367.6549</v>
      </c>
      <c r="J432">
        <v>-362.43540000000002</v>
      </c>
      <c r="K432">
        <v>1.109094</v>
      </c>
      <c r="L432">
        <v>367.77960000000002</v>
      </c>
      <c r="M432">
        <v>0.99988339999999998</v>
      </c>
      <c r="N432">
        <v>-1.48389E-2</v>
      </c>
      <c r="O432">
        <v>3.6277829999999999E-3</v>
      </c>
      <c r="P432">
        <v>0.99541259999999998</v>
      </c>
      <c r="Q432">
        <v>-6.9077040000000006E-2</v>
      </c>
      <c r="R432">
        <v>6.6197950000000005E-2</v>
      </c>
      <c r="S432">
        <v>2.9994510000000001</v>
      </c>
      <c r="T432">
        <v>-0.68836549999999996</v>
      </c>
      <c r="U432">
        <v>-0.50619510000000001</v>
      </c>
      <c r="V432">
        <v>-6.2588000000000005E-2</v>
      </c>
      <c r="W432">
        <v>-5.4292649999999998E-2</v>
      </c>
      <c r="X432">
        <v>0.99656160000000005</v>
      </c>
      <c r="Y432">
        <v>0.16543829999999901</v>
      </c>
      <c r="Z432">
        <v>-2.0629640000000001E-2</v>
      </c>
      <c r="AA432">
        <v>0.9860044</v>
      </c>
      <c r="AB432">
        <v>37</v>
      </c>
      <c r="AC432">
        <v>0.54020000000002699</v>
      </c>
      <c r="AD432">
        <v>-0.16795489999999999</v>
      </c>
      <c r="AE432">
        <v>-0.124700000000018</v>
      </c>
      <c r="AF432">
        <v>0.11601200042832401</v>
      </c>
      <c r="AG432">
        <v>-0.16795489999999999</v>
      </c>
      <c r="AH432">
        <v>0.49437245996766099</v>
      </c>
      <c r="AI432">
        <v>108.30156946547601</v>
      </c>
      <c r="AJ432">
        <v>76.793630162821799</v>
      </c>
      <c r="AK432">
        <v>0.53485676760406398</v>
      </c>
      <c r="AL432">
        <v>93.112270027982305</v>
      </c>
      <c r="AM432">
        <v>93.593681055030601</v>
      </c>
      <c r="AN432">
        <v>0.99999998609129104</v>
      </c>
    </row>
    <row r="433" spans="1:40" x14ac:dyDescent="0.25">
      <c r="A433" t="str">
        <f>"20190305135205006"</f>
        <v>20190305135205006</v>
      </c>
      <c r="B433" t="str">
        <f>"1551765124999907"</f>
        <v>1551765124999907</v>
      </c>
      <c r="C433" t="s">
        <v>40</v>
      </c>
      <c r="D433">
        <v>4.8293369999999998</v>
      </c>
      <c r="E433">
        <v>0.58361019999999997</v>
      </c>
      <c r="F433" t="s">
        <v>41</v>
      </c>
      <c r="G433">
        <v>-361.57850000000002</v>
      </c>
      <c r="H433">
        <v>0.91121580000000002</v>
      </c>
      <c r="I433">
        <v>367.63819999999998</v>
      </c>
      <c r="J433">
        <v>-362.2355</v>
      </c>
      <c r="K433">
        <v>1.109089</v>
      </c>
      <c r="L433">
        <v>367.78030000000001</v>
      </c>
      <c r="M433">
        <v>0.99988339999999998</v>
      </c>
      <c r="N433">
        <v>-1.483669E-2</v>
      </c>
      <c r="O433">
        <v>3.6277990000000001E-3</v>
      </c>
      <c r="P433">
        <v>0.99540609999999996</v>
      </c>
      <c r="Q433">
        <v>-6.8971309999999994E-2</v>
      </c>
      <c r="R433">
        <v>6.6407759999999996E-2</v>
      </c>
      <c r="S433">
        <v>2.998596</v>
      </c>
      <c r="T433">
        <v>-0.69251490000000004</v>
      </c>
      <c r="U433">
        <v>-0.4941101</v>
      </c>
      <c r="V433">
        <v>-6.2798380000000001E-2</v>
      </c>
      <c r="W433">
        <v>-5.4189229999999998E-2</v>
      </c>
      <c r="X433">
        <v>0.99655400000000005</v>
      </c>
      <c r="Y433">
        <v>0.16166169999999999</v>
      </c>
      <c r="Z433">
        <v>-2.0298759999999999E-2</v>
      </c>
      <c r="AA433">
        <v>0.98663749999999995</v>
      </c>
      <c r="AB433">
        <v>37</v>
      </c>
      <c r="AC433">
        <v>0.65699999999998204</v>
      </c>
      <c r="AD433">
        <v>-0.197873199999999</v>
      </c>
      <c r="AE433">
        <v>-0.14210000000002701</v>
      </c>
      <c r="AF433">
        <v>0.132961190247467</v>
      </c>
      <c r="AG433">
        <v>-0.197873199999999</v>
      </c>
      <c r="AH433">
        <v>0.60412991804161098</v>
      </c>
      <c r="AI433">
        <v>107.73836192922001</v>
      </c>
      <c r="AJ433">
        <v>77.587822519457404</v>
      </c>
      <c r="AK433">
        <v>0.64946550275070603</v>
      </c>
      <c r="AL433">
        <v>93.106335743889204</v>
      </c>
      <c r="AM433">
        <v>93.605756275502401</v>
      </c>
      <c r="AN433">
        <v>0.99999999204730805</v>
      </c>
    </row>
    <row r="434" spans="1:40" x14ac:dyDescent="0.25">
      <c r="A434" t="str">
        <f>"20190305135205029"</f>
        <v>20190305135205029</v>
      </c>
      <c r="B434" t="str">
        <f>"1551765125020406"</f>
        <v>1551765125020406</v>
      </c>
      <c r="C434" t="s">
        <v>40</v>
      </c>
      <c r="D434">
        <v>4.8724879999999997</v>
      </c>
      <c r="E434">
        <v>0.58180359999999998</v>
      </c>
      <c r="F434" t="s">
        <v>41</v>
      </c>
      <c r="G434">
        <v>-361.26100000000002</v>
      </c>
      <c r="H434">
        <v>0.88279269999999999</v>
      </c>
      <c r="I434">
        <v>367.62529999999998</v>
      </c>
      <c r="J434">
        <v>-361.85559999999998</v>
      </c>
      <c r="K434">
        <v>1.109092</v>
      </c>
      <c r="L434">
        <v>367.7817</v>
      </c>
      <c r="M434">
        <v>0.99988339999999998</v>
      </c>
      <c r="N434">
        <v>-1.48324999999999E-2</v>
      </c>
      <c r="O434">
        <v>3.6276519999999999E-3</v>
      </c>
      <c r="P434">
        <v>0.99540519999999999</v>
      </c>
      <c r="Q434">
        <v>-6.9109359999999995E-2</v>
      </c>
      <c r="R434">
        <v>6.627566E-2</v>
      </c>
      <c r="S434">
        <v>2.9973450000000001</v>
      </c>
      <c r="T434">
        <v>-0.69605839999999997</v>
      </c>
      <c r="U434">
        <v>-0.47583009999999898</v>
      </c>
      <c r="V434">
        <v>-6.2666269999999996E-2</v>
      </c>
      <c r="W434">
        <v>-5.4331450000000003E-2</v>
      </c>
      <c r="X434">
        <v>0.99655459999999996</v>
      </c>
      <c r="Y434">
        <v>0.15596589999999999</v>
      </c>
      <c r="Z434">
        <v>-1.9718240000000001E-2</v>
      </c>
      <c r="AA434">
        <v>0.98756560000000004</v>
      </c>
      <c r="AB434">
        <v>37</v>
      </c>
      <c r="AC434">
        <v>0.59460000000001401</v>
      </c>
      <c r="AD434">
        <v>-0.22629930000000001</v>
      </c>
      <c r="AE434">
        <v>-0.156400000000019</v>
      </c>
      <c r="AF434">
        <v>0.13963851502816499</v>
      </c>
      <c r="AG434">
        <v>-0.22629930000000001</v>
      </c>
      <c r="AH434">
        <v>0.52315377591385503</v>
      </c>
      <c r="AI434">
        <v>112.681794199713</v>
      </c>
      <c r="AJ434">
        <v>75.055205257563003</v>
      </c>
      <c r="AK434">
        <v>0.58685616748287195</v>
      </c>
      <c r="AL434">
        <v>93.114496286757699</v>
      </c>
      <c r="AM434">
        <v>93.598188574503595</v>
      </c>
      <c r="AN434">
        <v>1.0000000193179801</v>
      </c>
    </row>
    <row r="435" spans="1:40" x14ac:dyDescent="0.25">
      <c r="A435" t="str">
        <f>"20190305135205049"</f>
        <v>20190305135205049</v>
      </c>
      <c r="B435" t="str">
        <f>"1551765125039922"</f>
        <v>1551765125039922</v>
      </c>
      <c r="C435" t="s">
        <v>40</v>
      </c>
      <c r="D435">
        <v>4.8420740000000002</v>
      </c>
      <c r="E435">
        <v>0.58018000000000003</v>
      </c>
      <c r="F435" t="s">
        <v>41</v>
      </c>
      <c r="G435">
        <v>-360.92860000000002</v>
      </c>
      <c r="H435">
        <v>0.89289130000000005</v>
      </c>
      <c r="I435">
        <v>367.63869999999997</v>
      </c>
      <c r="J435">
        <v>-361.51909999999998</v>
      </c>
      <c r="K435">
        <v>1.1091</v>
      </c>
      <c r="L435">
        <v>367.78289999999998</v>
      </c>
      <c r="M435">
        <v>0.99988370000000004</v>
      </c>
      <c r="N435">
        <v>-1.482879E-2</v>
      </c>
      <c r="O435">
        <v>3.6276799999999999E-3</v>
      </c>
      <c r="P435">
        <v>0.99543519999999996</v>
      </c>
      <c r="Q435">
        <v>-6.9122089999999997E-2</v>
      </c>
      <c r="R435">
        <v>6.5813670000000005E-2</v>
      </c>
      <c r="S435">
        <v>2.9960939999999998</v>
      </c>
      <c r="T435">
        <v>-0.69875109999999996</v>
      </c>
      <c r="U435">
        <v>-0.46185300000000001</v>
      </c>
      <c r="V435">
        <v>-6.220432E-2</v>
      </c>
      <c r="W435">
        <v>-5.4347479999999997E-2</v>
      </c>
      <c r="X435">
        <v>0.99658259999999999</v>
      </c>
      <c r="Y435">
        <v>0.1516132</v>
      </c>
      <c r="Z435">
        <v>-1.927077E-2</v>
      </c>
      <c r="AA435">
        <v>0.98825200000000002</v>
      </c>
      <c r="AB435">
        <v>37</v>
      </c>
      <c r="AC435">
        <v>0.59049999999996305</v>
      </c>
      <c r="AD435">
        <v>-0.216208699999999</v>
      </c>
      <c r="AE435">
        <v>-0.14420000000001201</v>
      </c>
      <c r="AF435">
        <v>0.12990603576471099</v>
      </c>
      <c r="AG435">
        <v>-0.216208699999999</v>
      </c>
      <c r="AH435">
        <v>0.52371393332842597</v>
      </c>
      <c r="AI435">
        <v>111.835704566093</v>
      </c>
      <c r="AJ435">
        <v>76.069083520714898</v>
      </c>
      <c r="AK435">
        <v>0.58128999995365804</v>
      </c>
      <c r="AL435">
        <v>93.1154163060325</v>
      </c>
      <c r="AM435">
        <v>93.571633032598598</v>
      </c>
      <c r="AN435">
        <v>0.99999995231588501</v>
      </c>
    </row>
    <row r="436" spans="1:40" x14ac:dyDescent="0.25">
      <c r="A436" t="str">
        <f>"20190305135205062"</f>
        <v>20190305135205062</v>
      </c>
      <c r="B436" t="str">
        <f>"1551765125049683"</f>
        <v>1551765125049683</v>
      </c>
      <c r="C436" t="s">
        <v>40</v>
      </c>
      <c r="D436">
        <v>4.8836250000000003</v>
      </c>
      <c r="E436">
        <v>0.57962419999999903</v>
      </c>
      <c r="F436" t="s">
        <v>41</v>
      </c>
      <c r="G436">
        <v>-360.6003</v>
      </c>
      <c r="H436">
        <v>0.89368930000000002</v>
      </c>
      <c r="I436">
        <v>367.64420000000001</v>
      </c>
      <c r="J436">
        <v>-361.30369999999999</v>
      </c>
      <c r="K436">
        <v>1.109102</v>
      </c>
      <c r="L436">
        <v>367.78370000000001</v>
      </c>
      <c r="M436">
        <v>0.99988350000000004</v>
      </c>
      <c r="N436">
        <v>-1.482641E-2</v>
      </c>
      <c r="O436">
        <v>3.6278769999999998E-3</v>
      </c>
      <c r="P436">
        <v>0.99546049999999997</v>
      </c>
      <c r="Q436">
        <v>-6.9239300000000004E-2</v>
      </c>
      <c r="R436">
        <v>6.5303699999999895E-2</v>
      </c>
      <c r="S436">
        <v>2.9947509999999999</v>
      </c>
      <c r="T436">
        <v>-0.70212289999999999</v>
      </c>
      <c r="U436">
        <v>-0.45043949999999999</v>
      </c>
      <c r="V436">
        <v>-6.1693530000000003E-2</v>
      </c>
      <c r="W436">
        <v>-5.4466720000000003E-2</v>
      </c>
      <c r="X436">
        <v>0.99660789999999999</v>
      </c>
      <c r="Y436">
        <v>0.14805209999999999</v>
      </c>
      <c r="Z436">
        <v>-1.8932259999999999E-2</v>
      </c>
      <c r="AA436">
        <v>0.98879830000000002</v>
      </c>
      <c r="AB436">
        <v>37</v>
      </c>
      <c r="AC436">
        <v>0.70339999999998704</v>
      </c>
      <c r="AD436">
        <v>-0.21541269999999901</v>
      </c>
      <c r="AE436">
        <v>-0.13949999999999799</v>
      </c>
      <c r="AF436">
        <v>0.13029390625284701</v>
      </c>
      <c r="AG436">
        <v>-0.21541269999999901</v>
      </c>
      <c r="AH436">
        <v>0.64471244016864704</v>
      </c>
      <c r="AI436">
        <v>108.13367475956299</v>
      </c>
      <c r="AJ436">
        <v>78.574632556389702</v>
      </c>
      <c r="AK436">
        <v>0.692122289654167</v>
      </c>
      <c r="AL436">
        <v>93.122258206611804</v>
      </c>
      <c r="AM436">
        <v>93.542289903032099</v>
      </c>
      <c r="AN436">
        <v>1.00000001078691</v>
      </c>
    </row>
    <row r="437" spans="1:40" x14ac:dyDescent="0.25">
      <c r="A437" t="str">
        <f>"20190305135205083"</f>
        <v>20190305135205083</v>
      </c>
      <c r="B437" t="str">
        <f>"1551765125070179"</f>
        <v>1551765125070179</v>
      </c>
      <c r="C437" t="s">
        <v>40</v>
      </c>
      <c r="D437">
        <v>4.9694450000000003</v>
      </c>
      <c r="E437">
        <v>0.57946319999999996</v>
      </c>
      <c r="F437" t="s">
        <v>41</v>
      </c>
      <c r="G437">
        <v>-360.5813</v>
      </c>
      <c r="H437">
        <v>0.93936799999999998</v>
      </c>
      <c r="I437">
        <v>367.67529999999999</v>
      </c>
      <c r="J437">
        <v>-360.9599</v>
      </c>
      <c r="K437">
        <v>1.10911</v>
      </c>
      <c r="L437">
        <v>367.78489999999999</v>
      </c>
      <c r="M437">
        <v>0.99988370000000004</v>
      </c>
      <c r="N437">
        <v>-1.4822790000000001E-2</v>
      </c>
      <c r="O437">
        <v>3.627725E-3</v>
      </c>
      <c r="P437">
        <v>0.99551219999999996</v>
      </c>
      <c r="Q437">
        <v>-6.9309549999999998E-2</v>
      </c>
      <c r="R437">
        <v>6.4433950000000004E-2</v>
      </c>
      <c r="S437">
        <v>2.9940799999999999</v>
      </c>
      <c r="T437">
        <v>-0.70349289999999998</v>
      </c>
      <c r="U437">
        <v>-0.44757079999999999</v>
      </c>
      <c r="V437">
        <v>-6.0824099999999999E-2</v>
      </c>
      <c r="W437">
        <v>-5.4539900000000002E-2</v>
      </c>
      <c r="X437">
        <v>0.99665729999999997</v>
      </c>
      <c r="Y437">
        <v>0.14716479999999901</v>
      </c>
      <c r="Z437">
        <v>-1.886198E-2</v>
      </c>
      <c r="AA437">
        <v>0.98893209999999998</v>
      </c>
      <c r="AB437">
        <v>37</v>
      </c>
      <c r="AC437">
        <v>0.37860000000000499</v>
      </c>
      <c r="AD437">
        <v>-0.169742</v>
      </c>
      <c r="AE437">
        <v>-0.1096</v>
      </c>
      <c r="AF437">
        <v>9.3611100489877003E-2</v>
      </c>
      <c r="AG437">
        <v>-0.169742</v>
      </c>
      <c r="AH437">
        <v>0.31903023263581398</v>
      </c>
      <c r="AI437">
        <v>117.045770270669</v>
      </c>
      <c r="AJ437">
        <v>73.647049704636203</v>
      </c>
      <c r="AK437">
        <v>0.37330372893206798</v>
      </c>
      <c r="AL437">
        <v>93.126457472442695</v>
      </c>
      <c r="AM437">
        <v>93.492321146780398</v>
      </c>
      <c r="AN437">
        <v>0.99999997273805397</v>
      </c>
    </row>
    <row r="438" spans="1:40" x14ac:dyDescent="0.25">
      <c r="A438" t="str">
        <f>"20190305135205098"</f>
        <v>20190305135205098</v>
      </c>
      <c r="B438" t="str">
        <f>"1551765125089698"</f>
        <v>1551765125089698</v>
      </c>
      <c r="C438" t="s">
        <v>40</v>
      </c>
      <c r="D438">
        <v>4.9623589999999904</v>
      </c>
      <c r="E438">
        <v>0.57912799999999998</v>
      </c>
      <c r="F438" t="s">
        <v>41</v>
      </c>
      <c r="G438">
        <v>-360.25199999999899</v>
      </c>
      <c r="H438">
        <v>0.94226739999999998</v>
      </c>
      <c r="I438">
        <v>367.67849999999999</v>
      </c>
      <c r="J438">
        <v>-360.73</v>
      </c>
      <c r="K438">
        <v>1.109111</v>
      </c>
      <c r="L438">
        <v>367.78570000000002</v>
      </c>
      <c r="M438">
        <v>0.99988370000000004</v>
      </c>
      <c r="N438">
        <v>-1.482029E-2</v>
      </c>
      <c r="O438">
        <v>3.6277430000000001E-3</v>
      </c>
      <c r="P438">
        <v>0.99553670000000005</v>
      </c>
      <c r="Q438">
        <v>-6.9259550000000003E-2</v>
      </c>
      <c r="R438">
        <v>6.4106799999999894E-2</v>
      </c>
      <c r="S438">
        <v>2.9934690000000002</v>
      </c>
      <c r="T438">
        <v>-0.70564269999999996</v>
      </c>
      <c r="U438">
        <v>-0.44927980000000001</v>
      </c>
      <c r="V438">
        <v>-6.0496800000000003E-2</v>
      </c>
      <c r="W438">
        <v>-5.4492069999999997E-2</v>
      </c>
      <c r="X438">
        <v>0.9966798</v>
      </c>
      <c r="Y438">
        <v>0.14770469999999999</v>
      </c>
      <c r="Z438">
        <v>-1.8984239999999999E-2</v>
      </c>
      <c r="AA438">
        <v>0.98884930000000004</v>
      </c>
      <c r="AB438">
        <v>37</v>
      </c>
      <c r="AC438">
        <v>0.47800000000006498</v>
      </c>
      <c r="AD438">
        <v>-0.16684359999999901</v>
      </c>
      <c r="AE438">
        <v>-0.107200000000034</v>
      </c>
      <c r="AF438">
        <v>9.7610853832958602E-2</v>
      </c>
      <c r="AG438">
        <v>-0.16684359999999901</v>
      </c>
      <c r="AH438">
        <v>0.42796473962779802</v>
      </c>
      <c r="AI438">
        <v>110.81142289124099</v>
      </c>
      <c r="AJ438">
        <v>77.151676584282001</v>
      </c>
      <c r="AK438">
        <v>0.46959395653228803</v>
      </c>
      <c r="AL438">
        <v>93.123713048336</v>
      </c>
      <c r="AM438">
        <v>93.473496563210801</v>
      </c>
      <c r="AN438">
        <v>0.99999993611558002</v>
      </c>
    </row>
    <row r="439" spans="1:40" x14ac:dyDescent="0.25">
      <c r="A439" t="str">
        <f>"20190305135205118"</f>
        <v>20190305135205118</v>
      </c>
      <c r="B439" t="str">
        <f>"1551765125110194"</f>
        <v>1551765125110194</v>
      </c>
      <c r="C439" t="s">
        <v>40</v>
      </c>
      <c r="D439">
        <v>4.832389</v>
      </c>
      <c r="E439">
        <v>0.57895569999999996</v>
      </c>
      <c r="F439" t="s">
        <v>41</v>
      </c>
      <c r="G439">
        <v>-359.9341</v>
      </c>
      <c r="H439">
        <v>0.92109669999999999</v>
      </c>
      <c r="I439">
        <v>367.66640000000001</v>
      </c>
      <c r="J439">
        <v>-360.4051</v>
      </c>
      <c r="K439">
        <v>1.109113</v>
      </c>
      <c r="L439">
        <v>367.7869</v>
      </c>
      <c r="M439">
        <v>0.99988359999999998</v>
      </c>
      <c r="N439">
        <v>-1.4816630000000001E-2</v>
      </c>
      <c r="O439">
        <v>3.6279490000000001E-3</v>
      </c>
      <c r="P439">
        <v>0.99559310000000001</v>
      </c>
      <c r="Q439">
        <v>-6.9210060000000004E-2</v>
      </c>
      <c r="R439">
        <v>6.3280779999999995E-2</v>
      </c>
      <c r="S439">
        <v>2.9930729999999999</v>
      </c>
      <c r="T439">
        <v>-0.70704719999999999</v>
      </c>
      <c r="U439">
        <v>-0.44750980000000001</v>
      </c>
      <c r="V439">
        <v>-5.9669989999999999E-2</v>
      </c>
      <c r="W439">
        <v>-5.4445460000000001E-2</v>
      </c>
      <c r="X439">
        <v>0.99673219999999996</v>
      </c>
      <c r="Y439">
        <v>0.14715020000000001</v>
      </c>
      <c r="Z439">
        <v>-1.8953370000000001E-2</v>
      </c>
      <c r="AA439">
        <v>0.98893249999999999</v>
      </c>
      <c r="AB439">
        <v>37</v>
      </c>
      <c r="AC439">
        <v>0.47100000000000303</v>
      </c>
      <c r="AD439">
        <v>-0.1880163</v>
      </c>
      <c r="AE439">
        <v>-0.120499999999992</v>
      </c>
      <c r="AF439">
        <v>0.10630866176562399</v>
      </c>
      <c r="AG439">
        <v>-0.1880163</v>
      </c>
      <c r="AH439">
        <v>0.40933903998305798</v>
      </c>
      <c r="AI439">
        <v>113.968435103174</v>
      </c>
      <c r="AJ439">
        <v>75.441450892258601</v>
      </c>
      <c r="AK439">
        <v>0.46282838102944801</v>
      </c>
      <c r="AL439">
        <v>93.121038486946901</v>
      </c>
      <c r="AM439">
        <v>93.425958447898296</v>
      </c>
      <c r="AN439">
        <v>0.99999994716902396</v>
      </c>
    </row>
    <row r="440" spans="1:40" x14ac:dyDescent="0.25">
      <c r="A440" t="str">
        <f>"20190305135205129"</f>
        <v>20190305135205129</v>
      </c>
      <c r="B440" t="str">
        <f>"1551765125119955"</f>
        <v>1551765125119955</v>
      </c>
      <c r="C440" t="s">
        <v>40</v>
      </c>
      <c r="D440">
        <v>4.851178</v>
      </c>
      <c r="E440">
        <v>0.57900850000000004</v>
      </c>
      <c r="F440" t="s">
        <v>41</v>
      </c>
      <c r="G440">
        <v>-359.6071</v>
      </c>
      <c r="H440">
        <v>0.92057009999999995</v>
      </c>
      <c r="I440">
        <v>367.6671</v>
      </c>
      <c r="J440">
        <v>-360.20909999999998</v>
      </c>
      <c r="K440">
        <v>1.109113</v>
      </c>
      <c r="L440">
        <v>367.7876</v>
      </c>
      <c r="M440">
        <v>0.99988370000000004</v>
      </c>
      <c r="N440">
        <v>-1.481436E-2</v>
      </c>
      <c r="O440">
        <v>3.6277869999999999E-3</v>
      </c>
      <c r="P440">
        <v>0.99563089999999999</v>
      </c>
      <c r="Q440">
        <v>-6.9109130000000005E-2</v>
      </c>
      <c r="R440">
        <v>6.2797229999999996E-2</v>
      </c>
      <c r="S440">
        <v>2.9926149999999998</v>
      </c>
      <c r="T440">
        <v>-0.70715220000000001</v>
      </c>
      <c r="U440">
        <v>-0.44839479999999998</v>
      </c>
      <c r="V440">
        <v>-5.918694E-2</v>
      </c>
      <c r="W440">
        <v>-5.4346270000000002E-2</v>
      </c>
      <c r="X440">
        <v>0.99676640000000005</v>
      </c>
      <c r="Y440">
        <v>0.14744740000000001</v>
      </c>
      <c r="Z440">
        <v>-1.8994759999999999E-2</v>
      </c>
      <c r="AA440">
        <v>0.98888750000000003</v>
      </c>
      <c r="AB440">
        <v>37</v>
      </c>
      <c r="AC440">
        <v>0.601999999999975</v>
      </c>
      <c r="AD440">
        <v>-0.18854290000000001</v>
      </c>
      <c r="AE440">
        <v>-0.120499999999992</v>
      </c>
      <c r="AF440">
        <v>0.112110066030883</v>
      </c>
      <c r="AG440">
        <v>-0.18854290000000001</v>
      </c>
      <c r="AH440">
        <v>0.54971426907124799</v>
      </c>
      <c r="AI440">
        <v>108.57573321558201</v>
      </c>
      <c r="AJ440">
        <v>78.473036159008601</v>
      </c>
      <c r="AK440">
        <v>0.59186389454535504</v>
      </c>
      <c r="AL440">
        <v>93.115346934048105</v>
      </c>
      <c r="AM440">
        <v>93.398173020278804</v>
      </c>
      <c r="AN440">
        <v>0.99999993354921601</v>
      </c>
    </row>
    <row r="441" spans="1:40" x14ac:dyDescent="0.25">
      <c r="A441" t="str">
        <f>"20190305135205141"</f>
        <v>20190305135205141</v>
      </c>
      <c r="B441" t="str">
        <f>"1551765125129715"</f>
        <v>1551765125129715</v>
      </c>
      <c r="C441" t="s">
        <v>40</v>
      </c>
      <c r="D441">
        <v>4.9316979999999999</v>
      </c>
      <c r="E441">
        <v>0.57889650000000004</v>
      </c>
      <c r="F441" t="s">
        <v>41</v>
      </c>
      <c r="G441">
        <v>-359.29129999999998</v>
      </c>
      <c r="H441">
        <v>0.89263079999999995</v>
      </c>
      <c r="I441">
        <v>367.64909999999998</v>
      </c>
      <c r="J441">
        <v>-360.01490000000001</v>
      </c>
      <c r="K441">
        <v>1.1091169999999999</v>
      </c>
      <c r="L441">
        <v>367.78829999999999</v>
      </c>
      <c r="M441">
        <v>0.99988379999999999</v>
      </c>
      <c r="N441">
        <v>-1.48121E-2</v>
      </c>
      <c r="O441">
        <v>3.6278040000000001E-3</v>
      </c>
      <c r="P441">
        <v>0.99565250000000005</v>
      </c>
      <c r="Q441">
        <v>-6.9001090000000001E-2</v>
      </c>
      <c r="R441">
        <v>6.2570429999999996E-2</v>
      </c>
      <c r="S441">
        <v>2.9925540000000002</v>
      </c>
      <c r="T441">
        <v>-0.70595980000000003</v>
      </c>
      <c r="U441">
        <v>-0.45037840000000001</v>
      </c>
      <c r="V441">
        <v>-5.8960100000000001E-2</v>
      </c>
      <c r="W441">
        <v>-5.4240209999999997E-2</v>
      </c>
      <c r="X441">
        <v>0.9967857</v>
      </c>
      <c r="Y441">
        <v>0.14808740000000001</v>
      </c>
      <c r="Z441">
        <v>-1.9043560000000001E-2</v>
      </c>
      <c r="AA441">
        <v>0.98879090000000003</v>
      </c>
      <c r="AB441">
        <v>37</v>
      </c>
      <c r="AC441">
        <v>0.72360000000003299</v>
      </c>
      <c r="AD441">
        <v>-0.21648619999999899</v>
      </c>
      <c r="AE441">
        <v>-0.13920000000001601</v>
      </c>
      <c r="AF441">
        <v>0.130555657184699</v>
      </c>
      <c r="AG441">
        <v>-0.21648619999999899</v>
      </c>
      <c r="AH441">
        <v>0.66563638921629698</v>
      </c>
      <c r="AI441">
        <v>107.700537595643</v>
      </c>
      <c r="AJ441">
        <v>78.903067684381497</v>
      </c>
      <c r="AK441">
        <v>0.71202728673996596</v>
      </c>
      <c r="AL441">
        <v>93.109260920473503</v>
      </c>
      <c r="AM441">
        <v>93.385114127969203</v>
      </c>
      <c r="AN441">
        <v>1.0000000127486699</v>
      </c>
    </row>
    <row r="442" spans="1:40" x14ac:dyDescent="0.25">
      <c r="A442" t="str">
        <f>"20190305135205154"</f>
        <v>20190305135205154</v>
      </c>
      <c r="B442" t="str">
        <f>"1551765125140451"</f>
        <v>1551765125140451</v>
      </c>
      <c r="C442" t="s">
        <v>40</v>
      </c>
      <c r="D442">
        <v>4.9457700000000004</v>
      </c>
      <c r="E442">
        <v>0.578804599999999</v>
      </c>
      <c r="F442" t="s">
        <v>41</v>
      </c>
      <c r="G442">
        <v>-359.274</v>
      </c>
      <c r="H442">
        <v>0.93446359999999995</v>
      </c>
      <c r="I442">
        <v>367.67649999999998</v>
      </c>
      <c r="J442">
        <v>-359.8186</v>
      </c>
      <c r="K442">
        <v>1.1091169999999999</v>
      </c>
      <c r="L442">
        <v>367.78899999999999</v>
      </c>
      <c r="M442">
        <v>0.99988379999999999</v>
      </c>
      <c r="N442">
        <v>-1.480981E-2</v>
      </c>
      <c r="O442">
        <v>3.6278209999999998E-3</v>
      </c>
      <c r="P442">
        <v>0.99570040000000004</v>
      </c>
      <c r="Q442">
        <v>-6.8885269999999998E-2</v>
      </c>
      <c r="R442">
        <v>6.1934419999999997E-2</v>
      </c>
      <c r="S442">
        <v>2.9924620000000002</v>
      </c>
      <c r="T442">
        <v>-0.70558449999999995</v>
      </c>
      <c r="U442">
        <v>-0.44998169999999998</v>
      </c>
      <c r="V442">
        <v>-5.832354E-2</v>
      </c>
      <c r="W442">
        <v>-5.4126029999999999E-2</v>
      </c>
      <c r="X442">
        <v>0.99682930000000003</v>
      </c>
      <c r="Y442">
        <v>0.14797109999999999</v>
      </c>
      <c r="Z442">
        <v>-1.902044E-2</v>
      </c>
      <c r="AA442">
        <v>0.98880880000000004</v>
      </c>
      <c r="AB442">
        <v>37</v>
      </c>
      <c r="AC442">
        <v>0.54460000000000197</v>
      </c>
      <c r="AD442">
        <v>-0.17465339999999899</v>
      </c>
      <c r="AE442">
        <v>-0.11250000000001099</v>
      </c>
      <c r="AF442">
        <v>0.104197226003463</v>
      </c>
      <c r="AG442">
        <v>-0.17465339999999899</v>
      </c>
      <c r="AH442">
        <v>0.495329218381587</v>
      </c>
      <c r="AI442">
        <v>109.036936946887</v>
      </c>
      <c r="AJ442">
        <v>78.120492334286496</v>
      </c>
      <c r="AK442">
        <v>0.53545485955483696</v>
      </c>
      <c r="AL442">
        <v>93.102709434545901</v>
      </c>
      <c r="AM442">
        <v>93.348504388233394</v>
      </c>
      <c r="AN442">
        <v>0.99999995789009</v>
      </c>
    </row>
    <row r="443" spans="1:40" x14ac:dyDescent="0.25">
      <c r="A443" t="str">
        <f>"20190305135205166"</f>
        <v>20190305135205166</v>
      </c>
      <c r="B443" t="str">
        <f>"1551765125159971"</f>
        <v>1551765125159971</v>
      </c>
      <c r="C443" t="s">
        <v>40</v>
      </c>
      <c r="D443">
        <v>4.861167</v>
      </c>
      <c r="E443">
        <v>0.57884190000000002</v>
      </c>
      <c r="F443" t="s">
        <v>41</v>
      </c>
      <c r="G443">
        <v>-358.95929999999998</v>
      </c>
      <c r="H443">
        <v>0.90657679999999996</v>
      </c>
      <c r="I443">
        <v>367.65940000000001</v>
      </c>
      <c r="J443">
        <v>-359.60570000000001</v>
      </c>
      <c r="K443">
        <v>1.1091200000000001</v>
      </c>
      <c r="L443">
        <v>367.78980000000001</v>
      </c>
      <c r="M443">
        <v>0.99988379999999999</v>
      </c>
      <c r="N443">
        <v>-1.480733E-2</v>
      </c>
      <c r="O443">
        <v>3.6278399999999998E-3</v>
      </c>
      <c r="P443">
        <v>0.99570539999999996</v>
      </c>
      <c r="Q443">
        <v>-6.8954639999999998E-2</v>
      </c>
      <c r="R443">
        <v>6.1776499999999998E-2</v>
      </c>
      <c r="S443">
        <v>2.9922179999999998</v>
      </c>
      <c r="T443">
        <v>-0.70527740000000005</v>
      </c>
      <c r="U443">
        <v>-0.45114140000000003</v>
      </c>
      <c r="V443">
        <v>-5.8165979999999999E-2</v>
      </c>
      <c r="W443">
        <v>-5.4197809999999999E-2</v>
      </c>
      <c r="X443">
        <v>0.99683460000000002</v>
      </c>
      <c r="Y443">
        <v>0.14835019999999999</v>
      </c>
      <c r="Z443">
        <v>-1.9060279999999999E-2</v>
      </c>
      <c r="AA443">
        <v>0.98875119999999905</v>
      </c>
      <c r="AB443">
        <v>37</v>
      </c>
      <c r="AC443">
        <v>0.64640000000002795</v>
      </c>
      <c r="AD443">
        <v>-0.20254320000000001</v>
      </c>
      <c r="AE443">
        <v>-0.13040000000000801</v>
      </c>
      <c r="AF443">
        <v>0.121300597545258</v>
      </c>
      <c r="AG443">
        <v>-0.20254320000000001</v>
      </c>
      <c r="AH443">
        <v>0.59023792910627704</v>
      </c>
      <c r="AI443">
        <v>108.57905974814</v>
      </c>
      <c r="AJ443">
        <v>78.386759644258802</v>
      </c>
      <c r="AK443">
        <v>0.63570307202871301</v>
      </c>
      <c r="AL443">
        <v>93.106828190342895</v>
      </c>
      <c r="AM443">
        <v>93.339461248771102</v>
      </c>
      <c r="AN443">
        <v>0.99999995179765699</v>
      </c>
    </row>
    <row r="444" spans="1:40" x14ac:dyDescent="0.25">
      <c r="A444" t="str">
        <f>"20190305135205183"</f>
        <v>20190305135205183</v>
      </c>
      <c r="B444" t="str">
        <f>"1551765125169731"</f>
        <v>1551765125169731</v>
      </c>
      <c r="C444" t="s">
        <v>40</v>
      </c>
      <c r="D444">
        <v>4.8677479999999997</v>
      </c>
      <c r="E444">
        <v>0.57887619999999995</v>
      </c>
      <c r="F444" t="s">
        <v>41</v>
      </c>
      <c r="G444">
        <v>-358.64280000000002</v>
      </c>
      <c r="H444">
        <v>0.88260019999999995</v>
      </c>
      <c r="I444">
        <v>367.64389999999997</v>
      </c>
      <c r="J444">
        <v>-359.33150000000001</v>
      </c>
      <c r="K444">
        <v>1.1091219999999999</v>
      </c>
      <c r="L444">
        <v>367.79079999999999</v>
      </c>
      <c r="M444">
        <v>0.99988390000000005</v>
      </c>
      <c r="N444">
        <v>-1.480416E-2</v>
      </c>
      <c r="O444">
        <v>3.6278629999999998E-3</v>
      </c>
      <c r="P444">
        <v>0.99569609999999997</v>
      </c>
      <c r="Q444">
        <v>-6.9325880000000006E-2</v>
      </c>
      <c r="R444">
        <v>6.1508519999999997E-2</v>
      </c>
      <c r="S444">
        <v>2.9922179999999998</v>
      </c>
      <c r="T444">
        <v>-0.70398519999999998</v>
      </c>
      <c r="U444">
        <v>-0.45208739999999997</v>
      </c>
      <c r="V444">
        <v>-5.7897650000000002E-2</v>
      </c>
      <c r="W444">
        <v>-5.4572339999999997E-2</v>
      </c>
      <c r="X444">
        <v>0.99682979999999999</v>
      </c>
      <c r="Y444">
        <v>0.1486624</v>
      </c>
      <c r="Z444">
        <v>-1.9065909999999998E-2</v>
      </c>
      <c r="AA444">
        <v>0.98870420000000003</v>
      </c>
      <c r="AB444">
        <v>37</v>
      </c>
      <c r="AC444">
        <v>0.68869999999998199</v>
      </c>
      <c r="AD444">
        <v>-0.226521799999999</v>
      </c>
      <c r="AE444">
        <v>-0.14690000000001599</v>
      </c>
      <c r="AF444">
        <v>0.13538844540956799</v>
      </c>
      <c r="AG444">
        <v>-0.226521799999999</v>
      </c>
      <c r="AH444">
        <v>0.623631926060075</v>
      </c>
      <c r="AI444">
        <v>109.542899442379</v>
      </c>
      <c r="AJ444">
        <v>77.751344054452503</v>
      </c>
      <c r="AK444">
        <v>0.67716979866726001</v>
      </c>
      <c r="AL444">
        <v>93.128318946659206</v>
      </c>
      <c r="AM444">
        <v>93.324106316608706</v>
      </c>
      <c r="AN444">
        <v>0.99999996416831805</v>
      </c>
    </row>
    <row r="445" spans="1:40" x14ac:dyDescent="0.25">
      <c r="A445" t="str">
        <f>"20190305135205195"</f>
        <v>20190305135205195</v>
      </c>
      <c r="B445" t="str">
        <f>"1551765125190226"</f>
        <v>1551765125190226</v>
      </c>
      <c r="C445" t="s">
        <v>40</v>
      </c>
      <c r="D445">
        <v>4.8736430000000004</v>
      </c>
      <c r="E445">
        <v>0.578906699999999</v>
      </c>
      <c r="F445" t="s">
        <v>41</v>
      </c>
      <c r="G445">
        <v>-358.61849999999998</v>
      </c>
      <c r="H445">
        <v>0.94115539999999998</v>
      </c>
      <c r="I445">
        <v>367.68239999999997</v>
      </c>
      <c r="J445">
        <v>-359.14319999999998</v>
      </c>
      <c r="K445">
        <v>1.109121</v>
      </c>
      <c r="L445">
        <v>367.79149999999998</v>
      </c>
      <c r="M445">
        <v>0.99988390000000005</v>
      </c>
      <c r="N445">
        <v>-1.4801979999999999E-2</v>
      </c>
      <c r="O445">
        <v>3.6277010000000001E-3</v>
      </c>
      <c r="P445">
        <v>0.99568880000000004</v>
      </c>
      <c r="Q445">
        <v>-6.948037E-2</v>
      </c>
      <c r="R445">
        <v>6.1454689999999999E-2</v>
      </c>
      <c r="S445">
        <v>2.9918819999999999</v>
      </c>
      <c r="T445">
        <v>-0.70495050000000004</v>
      </c>
      <c r="U445">
        <v>-0.45339970000000002</v>
      </c>
      <c r="V445">
        <v>-5.7843930000000002E-2</v>
      </c>
      <c r="W445">
        <v>-5.4729100000000003E-2</v>
      </c>
      <c r="X445">
        <v>0.99682440000000005</v>
      </c>
      <c r="Y445">
        <v>0.14907879999999901</v>
      </c>
      <c r="Z445">
        <v>-1.914248E-2</v>
      </c>
      <c r="AA445">
        <v>0.98863999999999996</v>
      </c>
      <c r="AB445">
        <v>37</v>
      </c>
      <c r="AC445">
        <v>0.52469999999999495</v>
      </c>
      <c r="AD445">
        <v>-0.16796559999999999</v>
      </c>
      <c r="AE445">
        <v>-0.10910000000001201</v>
      </c>
      <c r="AF445">
        <v>0.101074560162455</v>
      </c>
      <c r="AG445">
        <v>-0.16796559999999999</v>
      </c>
      <c r="AH445">
        <v>0.47740593465410203</v>
      </c>
      <c r="AI445">
        <v>108.993469140409</v>
      </c>
      <c r="AJ445">
        <v>78.0460768532988</v>
      </c>
      <c r="AK445">
        <v>0.51608617103963395</v>
      </c>
      <c r="AL445">
        <v>93.137313839645103</v>
      </c>
      <c r="AM445">
        <v>93.321046920846001</v>
      </c>
      <c r="AN445">
        <v>1.0000000395299999</v>
      </c>
    </row>
    <row r="446" spans="1:40" x14ac:dyDescent="0.25">
      <c r="A446" t="str">
        <f>"20190305135205207"</f>
        <v>20190305135205207</v>
      </c>
      <c r="B446" t="str">
        <f>"1551765125199987"</f>
        <v>1551765125199987</v>
      </c>
      <c r="C446" t="s">
        <v>40</v>
      </c>
      <c r="D446">
        <v>4.8604370000000001</v>
      </c>
      <c r="E446">
        <v>0.57898349999999998</v>
      </c>
      <c r="F446" t="s">
        <v>41</v>
      </c>
      <c r="G446">
        <v>-358.30549999999999</v>
      </c>
      <c r="H446">
        <v>0.91179869999999996</v>
      </c>
      <c r="I446">
        <v>367.66430000000003</v>
      </c>
      <c r="J446">
        <v>-358.93699999999899</v>
      </c>
      <c r="K446">
        <v>1.1091089999999999</v>
      </c>
      <c r="L446">
        <v>367.79230000000001</v>
      </c>
      <c r="M446">
        <v>0.99988410000000005</v>
      </c>
      <c r="N446">
        <v>-1.479961E-2</v>
      </c>
      <c r="O446">
        <v>3.6277179999999998E-3</v>
      </c>
      <c r="P446">
        <v>0.99566209999999999</v>
      </c>
      <c r="Q446">
        <v>-6.9881399999999996E-2</v>
      </c>
      <c r="R446">
        <v>6.1433399999999999E-2</v>
      </c>
      <c r="S446">
        <v>2.9917600000000002</v>
      </c>
      <c r="T446">
        <v>-0.70483799999999996</v>
      </c>
      <c r="U446">
        <v>-0.45358280000000001</v>
      </c>
      <c r="V446">
        <v>-5.7823149999999997E-2</v>
      </c>
      <c r="W446">
        <v>-5.5132849999999997E-2</v>
      </c>
      <c r="X446">
        <v>0.99680329999999995</v>
      </c>
      <c r="Y446">
        <v>0.1491431</v>
      </c>
      <c r="Z446">
        <v>-1.914807E-2</v>
      </c>
      <c r="AA446">
        <v>0.98863020000000001</v>
      </c>
      <c r="AB446">
        <v>36</v>
      </c>
      <c r="AC446">
        <v>0.63149999999995998</v>
      </c>
      <c r="AD446">
        <v>-0.19731029999999999</v>
      </c>
      <c r="AE446">
        <v>-0.12799999999998499</v>
      </c>
      <c r="AF446">
        <v>0.119120319911517</v>
      </c>
      <c r="AG446">
        <v>-0.19731029999999999</v>
      </c>
      <c r="AH446">
        <v>0.576932133245877</v>
      </c>
      <c r="AI446">
        <v>108.51747100661299</v>
      </c>
      <c r="AJ446">
        <v>78.333960387456003</v>
      </c>
      <c r="AK446">
        <v>0.62126620016990397</v>
      </c>
      <c r="AL446">
        <v>93.160482167911695</v>
      </c>
      <c r="AM446">
        <v>93.319926644978395</v>
      </c>
      <c r="AN446">
        <v>0.99999998335796703</v>
      </c>
    </row>
    <row r="447" spans="1:40" x14ac:dyDescent="0.25">
      <c r="A447" t="str">
        <f>"20190305135205219"</f>
        <v>20190305135205219</v>
      </c>
      <c r="B447" t="str">
        <f>"1551765125209747"</f>
        <v>1551765125209747</v>
      </c>
      <c r="C447" t="s">
        <v>40</v>
      </c>
      <c r="D447">
        <v>4.8857949999999999</v>
      </c>
      <c r="E447">
        <v>0.57898909999999904</v>
      </c>
      <c r="F447" t="s">
        <v>41</v>
      </c>
      <c r="G447">
        <v>-357.9905</v>
      </c>
      <c r="H447">
        <v>0.88576699999999997</v>
      </c>
      <c r="I447">
        <v>367.64819999999997</v>
      </c>
      <c r="J447">
        <v>-358.73039999999997</v>
      </c>
      <c r="K447">
        <v>1.1091070000000001</v>
      </c>
      <c r="L447">
        <v>367.79300000000001</v>
      </c>
      <c r="M447">
        <v>0.99988410000000005</v>
      </c>
      <c r="N447">
        <v>-1.4797279999999999E-2</v>
      </c>
      <c r="O447">
        <v>3.6279139999999999E-3</v>
      </c>
      <c r="P447">
        <v>0.99566270000000001</v>
      </c>
      <c r="Q447">
        <v>-6.9861099999999995E-2</v>
      </c>
      <c r="R447">
        <v>6.1445180000000002E-2</v>
      </c>
      <c r="S447">
        <v>2.9915159999999998</v>
      </c>
      <c r="T447">
        <v>-0.70599160000000005</v>
      </c>
      <c r="U447">
        <v>-0.45428469999999999</v>
      </c>
      <c r="V447">
        <v>-5.7834610000000002E-2</v>
      </c>
      <c r="W447">
        <v>-5.511485E-2</v>
      </c>
      <c r="X447">
        <v>0.99680360000000001</v>
      </c>
      <c r="Y447">
        <v>0.14936169999999999</v>
      </c>
      <c r="Z447">
        <v>-1.9204880000000001E-2</v>
      </c>
      <c r="AA447">
        <v>0.98859609999999998</v>
      </c>
      <c r="AB447">
        <v>36</v>
      </c>
      <c r="AC447">
        <v>0.73989999999997702</v>
      </c>
      <c r="AD447">
        <v>-0.22334000000000001</v>
      </c>
      <c r="AE447">
        <v>-0.14480000000003199</v>
      </c>
      <c r="AF447">
        <v>0.13558553039205501</v>
      </c>
      <c r="AG447">
        <v>-0.22334000000000001</v>
      </c>
      <c r="AH447">
        <v>0.67972179076160899</v>
      </c>
      <c r="AI447">
        <v>107.860371226761</v>
      </c>
      <c r="AJ447">
        <v>78.719153806546899</v>
      </c>
      <c r="AK447">
        <v>0.72820732246240405</v>
      </c>
      <c r="AL447">
        <v>93.159449369736507</v>
      </c>
      <c r="AM447">
        <v>93.320582153616698</v>
      </c>
      <c r="AN447">
        <v>0.99999995288866605</v>
      </c>
    </row>
    <row r="448" spans="1:40" x14ac:dyDescent="0.25">
      <c r="A448" t="str">
        <f>"20190305135205232"</f>
        <v>20190305135205232</v>
      </c>
      <c r="B448" t="str">
        <f>"1551765125220483"</f>
        <v>1551765125220483</v>
      </c>
      <c r="C448" t="s">
        <v>40</v>
      </c>
      <c r="D448">
        <v>4.8905029999999998</v>
      </c>
      <c r="E448">
        <v>0.57902500000000001</v>
      </c>
      <c r="F448" t="s">
        <v>41</v>
      </c>
      <c r="G448">
        <v>-357.97239999999999</v>
      </c>
      <c r="H448">
        <v>0.93024130000000005</v>
      </c>
      <c r="I448">
        <v>367.67750000000001</v>
      </c>
      <c r="J448">
        <v>-358.5421</v>
      </c>
      <c r="K448">
        <v>1.1091070000000001</v>
      </c>
      <c r="L448">
        <v>367.7937</v>
      </c>
      <c r="M448">
        <v>0.99988410000000005</v>
      </c>
      <c r="N448">
        <v>-1.479521E-2</v>
      </c>
      <c r="O448">
        <v>3.6277509999999998E-3</v>
      </c>
      <c r="P448">
        <v>0.99565930000000002</v>
      </c>
      <c r="Q448">
        <v>-7.0042880000000002E-2</v>
      </c>
      <c r="R448">
        <v>6.1293210000000001E-2</v>
      </c>
      <c r="S448">
        <v>2.9915769999999999</v>
      </c>
      <c r="T448">
        <v>-0.70606230000000003</v>
      </c>
      <c r="U448">
        <v>-0.45446779999999998</v>
      </c>
      <c r="V448">
        <v>-5.7682879999999999E-2</v>
      </c>
      <c r="W448">
        <v>-5.5298739999999999E-2</v>
      </c>
      <c r="X448">
        <v>0.99680230000000003</v>
      </c>
      <c r="Y448">
        <v>0.14941550000000001</v>
      </c>
      <c r="Z448">
        <v>-1.9212679999999999E-2</v>
      </c>
      <c r="AA448">
        <v>0.98858780000000002</v>
      </c>
      <c r="AB448">
        <v>36</v>
      </c>
      <c r="AC448">
        <v>0.56970000000001098</v>
      </c>
      <c r="AD448">
        <v>-0.17886569999999999</v>
      </c>
      <c r="AE448">
        <v>-0.116199999999992</v>
      </c>
      <c r="AF448">
        <v>0.10804149823275599</v>
      </c>
      <c r="AG448">
        <v>-0.17886569999999999</v>
      </c>
      <c r="AH448">
        <v>0.52005807122132597</v>
      </c>
      <c r="AI448">
        <v>108.61064272847</v>
      </c>
      <c r="AJ448">
        <v>78.263806829411294</v>
      </c>
      <c r="AK448">
        <v>0.56046971498852105</v>
      </c>
      <c r="AL448">
        <v>93.170001290677604</v>
      </c>
      <c r="AM448">
        <v>93.311894281707097</v>
      </c>
      <c r="AN448">
        <v>1.00000004528798</v>
      </c>
    </row>
    <row r="449" spans="1:40" x14ac:dyDescent="0.25">
      <c r="A449" t="str">
        <f>"20190305135205242"</f>
        <v>20190305135205242</v>
      </c>
      <c r="B449" t="str">
        <f>"1551765125230242"</f>
        <v>1551765125230242</v>
      </c>
      <c r="C449" t="s">
        <v>40</v>
      </c>
      <c r="D449">
        <v>4.8825989999999999</v>
      </c>
      <c r="E449">
        <v>0.57898780000000005</v>
      </c>
      <c r="F449" t="s">
        <v>41</v>
      </c>
      <c r="G449">
        <v>-357.65969999999999</v>
      </c>
      <c r="H449">
        <v>0.90065219999999901</v>
      </c>
      <c r="I449">
        <v>367.65940000000001</v>
      </c>
      <c r="J449">
        <v>-358.35070000000002</v>
      </c>
      <c r="K449">
        <v>1.10911</v>
      </c>
      <c r="L449">
        <v>367.7944</v>
      </c>
      <c r="M449">
        <v>0.99988390000000005</v>
      </c>
      <c r="N449">
        <v>-1.479315E-2</v>
      </c>
      <c r="O449">
        <v>3.627945E-3</v>
      </c>
      <c r="P449">
        <v>0.99565179999999998</v>
      </c>
      <c r="Q449">
        <v>-7.0097229999999996E-2</v>
      </c>
      <c r="R449">
        <v>6.1351570000000001E-2</v>
      </c>
      <c r="S449">
        <v>2.991425</v>
      </c>
      <c r="T449">
        <v>-0.70671209999999995</v>
      </c>
      <c r="U449">
        <v>-0.45480350000000003</v>
      </c>
      <c r="V449">
        <v>-5.7741149999999998E-2</v>
      </c>
      <c r="W449">
        <v>-5.535524E-2</v>
      </c>
      <c r="X449">
        <v>0.99679580000000001</v>
      </c>
      <c r="Y449">
        <v>0.1495206</v>
      </c>
      <c r="Z449">
        <v>-1.9242579999999999E-2</v>
      </c>
      <c r="AA449">
        <v>0.98857130000000004</v>
      </c>
      <c r="AB449">
        <v>36</v>
      </c>
      <c r="AC449">
        <v>0.69100000000003003</v>
      </c>
      <c r="AD449">
        <v>-0.2084578</v>
      </c>
      <c r="AE449">
        <v>-0.13499999999998999</v>
      </c>
      <c r="AF449">
        <v>0.126423720618975</v>
      </c>
      <c r="AG449">
        <v>-0.2084578</v>
      </c>
      <c r="AH449">
        <v>0.63485304188153302</v>
      </c>
      <c r="AI449">
        <v>107.850260140858</v>
      </c>
      <c r="AJ449">
        <v>78.737533909298904</v>
      </c>
      <c r="AK449">
        <v>0.68005587733819395</v>
      </c>
      <c r="AL449">
        <v>93.173243437466596</v>
      </c>
      <c r="AM449">
        <v>93.315253997276102</v>
      </c>
      <c r="AN449">
        <v>1.0000000549482</v>
      </c>
    </row>
    <row r="450" spans="1:40" x14ac:dyDescent="0.25">
      <c r="A450" t="str">
        <f>"20190305135205255"</f>
        <v>20190305135205255</v>
      </c>
      <c r="B450" t="str">
        <f>"1551765125249762"</f>
        <v>1551765125249762</v>
      </c>
      <c r="C450" t="s">
        <v>40</v>
      </c>
      <c r="D450">
        <v>4.9190420000000001</v>
      </c>
      <c r="E450">
        <v>0.57897129999999997</v>
      </c>
      <c r="F450" t="s">
        <v>41</v>
      </c>
      <c r="G450">
        <v>-357.64240000000001</v>
      </c>
      <c r="H450">
        <v>0.94171939999999998</v>
      </c>
      <c r="I450">
        <v>367.68669999999997</v>
      </c>
      <c r="J450">
        <v>-358.15960000000001</v>
      </c>
      <c r="K450">
        <v>1.1091089999999999</v>
      </c>
      <c r="L450">
        <v>367.79509999999999</v>
      </c>
      <c r="M450">
        <v>0.99988410000000005</v>
      </c>
      <c r="N450">
        <v>-1.47911E-2</v>
      </c>
      <c r="O450">
        <v>3.627782E-3</v>
      </c>
      <c r="P450">
        <v>0.99563330000000005</v>
      </c>
      <c r="Q450">
        <v>-7.0213709999999999E-2</v>
      </c>
      <c r="R450">
        <v>6.1521310000000003E-2</v>
      </c>
      <c r="S450">
        <v>2.991333</v>
      </c>
      <c r="T450">
        <v>-0.70691079999999995</v>
      </c>
      <c r="U450">
        <v>-0.4542542</v>
      </c>
      <c r="V450">
        <v>-5.7910940000000001E-2</v>
      </c>
      <c r="W450">
        <v>-5.5474000000000002E-2</v>
      </c>
      <c r="X450">
        <v>0.99677930000000003</v>
      </c>
      <c r="Y450">
        <v>0.1493497</v>
      </c>
      <c r="Z450">
        <v>-1.9227040000000001E-2</v>
      </c>
      <c r="AA450">
        <v>0.98859750000000002</v>
      </c>
      <c r="AB450">
        <v>36</v>
      </c>
      <c r="AC450">
        <v>0.51720000000000199</v>
      </c>
      <c r="AD450">
        <v>-0.1673896</v>
      </c>
      <c r="AE450">
        <v>-0.108400000000017</v>
      </c>
      <c r="AF450">
        <v>0.10021983222131201</v>
      </c>
      <c r="AG450">
        <v>-0.1673896</v>
      </c>
      <c r="AH450">
        <v>0.46967647752428499</v>
      </c>
      <c r="AI450">
        <v>109.21583894972601</v>
      </c>
      <c r="AJ450">
        <v>77.954836497408706</v>
      </c>
      <c r="AK450">
        <v>0.50858557441029395</v>
      </c>
      <c r="AL450">
        <v>93.180058507222796</v>
      </c>
      <c r="AM450">
        <v>93.325035700702699</v>
      </c>
      <c r="AN450">
        <v>1.0000000072780799</v>
      </c>
    </row>
    <row r="451" spans="1:40" x14ac:dyDescent="0.25">
      <c r="A451" t="str">
        <f>"20190305135205274"</f>
        <v>20190305135205274</v>
      </c>
      <c r="B451" t="str">
        <f>"1551765125260498"</f>
        <v>1551765125260498</v>
      </c>
      <c r="C451" t="s">
        <v>40</v>
      </c>
      <c r="D451">
        <v>4.9346540000000001</v>
      </c>
      <c r="E451">
        <v>0.57897500000000002</v>
      </c>
      <c r="F451" t="s">
        <v>41</v>
      </c>
      <c r="G451">
        <v>-357.33019999999999</v>
      </c>
      <c r="H451">
        <v>0.91300870000000001</v>
      </c>
      <c r="I451">
        <v>367.66890000000001</v>
      </c>
      <c r="J451">
        <v>-357.86450000000002</v>
      </c>
      <c r="K451">
        <v>1.109108</v>
      </c>
      <c r="L451">
        <v>367.7962</v>
      </c>
      <c r="M451">
        <v>0.9998842</v>
      </c>
      <c r="N451">
        <v>-1.47879E-2</v>
      </c>
      <c r="O451">
        <v>3.627805E-3</v>
      </c>
      <c r="P451">
        <v>0.99560040000000005</v>
      </c>
      <c r="Q451">
        <v>-7.0704879999999998E-2</v>
      </c>
      <c r="R451">
        <v>6.1489750000000003E-2</v>
      </c>
      <c r="S451">
        <v>2.9913020000000001</v>
      </c>
      <c r="T451">
        <v>-0.70738469999999998</v>
      </c>
      <c r="U451">
        <v>-0.45373540000000001</v>
      </c>
      <c r="V451">
        <v>-5.7879399999999998E-2</v>
      </c>
      <c r="W451">
        <v>-5.5968789999999997E-2</v>
      </c>
      <c r="X451">
        <v>0.99675349999999996</v>
      </c>
      <c r="Y451">
        <v>0.1491826</v>
      </c>
      <c r="Z451">
        <v>-1.9218430000000002E-2</v>
      </c>
      <c r="AA451">
        <v>0.98862289999999997</v>
      </c>
      <c r="AB451">
        <v>36</v>
      </c>
      <c r="AC451">
        <v>0.53430000000002997</v>
      </c>
      <c r="AD451">
        <v>-0.1960993</v>
      </c>
      <c r="AE451">
        <v>-0.127299999999991</v>
      </c>
      <c r="AF451">
        <v>0.114626444722363</v>
      </c>
      <c r="AG451">
        <v>-0.1960993</v>
      </c>
      <c r="AH451">
        <v>0.473480718280132</v>
      </c>
      <c r="AI451">
        <v>111.92661545904301</v>
      </c>
      <c r="AJ451">
        <v>76.3909230053372</v>
      </c>
      <c r="AK451">
        <v>0.52514583486232502</v>
      </c>
      <c r="AL451">
        <v>93.208451910132396</v>
      </c>
      <c r="AM451">
        <v>93.323314674121903</v>
      </c>
      <c r="AN451">
        <v>1.00000003508033</v>
      </c>
    </row>
    <row r="452" spans="1:40" x14ac:dyDescent="0.25">
      <c r="A452" t="str">
        <f>"20190305135205286"</f>
        <v>20190305135205286</v>
      </c>
      <c r="B452" t="str">
        <f>"1551765125280019"</f>
        <v>1551765125280019</v>
      </c>
      <c r="C452" t="s">
        <v>40</v>
      </c>
      <c r="D452">
        <v>4.9037129999999998</v>
      </c>
      <c r="E452">
        <v>0.57897330000000002</v>
      </c>
      <c r="F452" t="s">
        <v>41</v>
      </c>
      <c r="G452">
        <v>-357.00869999999998</v>
      </c>
      <c r="H452">
        <v>0.90624190000000004</v>
      </c>
      <c r="I452">
        <v>367.6662</v>
      </c>
      <c r="J452">
        <v>-357.65249999999997</v>
      </c>
      <c r="K452">
        <v>1.1091070000000001</v>
      </c>
      <c r="L452">
        <v>367.79700000000003</v>
      </c>
      <c r="M452">
        <v>0.9998842</v>
      </c>
      <c r="N452">
        <v>-1.4785589999999999E-2</v>
      </c>
      <c r="O452">
        <v>3.6278230000000001E-3</v>
      </c>
      <c r="P452">
        <v>0.9956026</v>
      </c>
      <c r="Q452">
        <v>-7.0786920000000003E-2</v>
      </c>
      <c r="R452">
        <v>6.135811E-2</v>
      </c>
      <c r="S452">
        <v>2.9909669999999999</v>
      </c>
      <c r="T452">
        <v>-0.7090187</v>
      </c>
      <c r="U452">
        <v>-0.45364379999999999</v>
      </c>
      <c r="V452">
        <v>-5.7747930000000003E-2</v>
      </c>
      <c r="W452">
        <v>-5.605313E-2</v>
      </c>
      <c r="X452">
        <v>0.99675639999999999</v>
      </c>
      <c r="Y452">
        <v>0.14915010000000001</v>
      </c>
      <c r="Z452">
        <v>-1.9257130000000001E-2</v>
      </c>
      <c r="AA452">
        <v>0.98862700000000003</v>
      </c>
      <c r="AB452">
        <v>36</v>
      </c>
      <c r="AC452">
        <v>0.64379999999999804</v>
      </c>
      <c r="AD452">
        <v>-0.20286509999999999</v>
      </c>
      <c r="AE452">
        <v>-0.130799999999965</v>
      </c>
      <c r="AF452">
        <v>0.121544990101421</v>
      </c>
      <c r="AG452">
        <v>-0.20286509999999999</v>
      </c>
      <c r="AH452">
        <v>0.58731720201808302</v>
      </c>
      <c r="AI452">
        <v>108.687725297244</v>
      </c>
      <c r="AJ452">
        <v>78.307722720873898</v>
      </c>
      <c r="AK452">
        <v>0.633142108221459</v>
      </c>
      <c r="AL452">
        <v>93.213291789581504</v>
      </c>
      <c r="AM452">
        <v>93.3157731769153</v>
      </c>
      <c r="AN452">
        <v>1.00000004887151</v>
      </c>
    </row>
    <row r="453" spans="1:40" x14ac:dyDescent="0.25">
      <c r="A453" t="str">
        <f>"20190305135205299"</f>
        <v>20190305135205299</v>
      </c>
      <c r="B453" t="str">
        <f>"1551765125289779"</f>
        <v>1551765125289779</v>
      </c>
      <c r="C453" t="s">
        <v>40</v>
      </c>
      <c r="D453">
        <v>4.9253609999999997</v>
      </c>
      <c r="E453">
        <v>0.57897200000000004</v>
      </c>
      <c r="F453" t="s">
        <v>41</v>
      </c>
      <c r="G453">
        <v>-356.69450000000001</v>
      </c>
      <c r="H453">
        <v>0.88206849999999903</v>
      </c>
      <c r="I453">
        <v>367.65120000000002</v>
      </c>
      <c r="J453">
        <v>-357.4314</v>
      </c>
      <c r="K453">
        <v>1.109108</v>
      </c>
      <c r="L453">
        <v>367.7978</v>
      </c>
      <c r="M453">
        <v>0.9998842</v>
      </c>
      <c r="N453">
        <v>-1.478319E-2</v>
      </c>
      <c r="O453">
        <v>3.6278399999999998E-3</v>
      </c>
      <c r="P453">
        <v>0.99558460000000004</v>
      </c>
      <c r="Q453">
        <v>-7.1033810000000003E-2</v>
      </c>
      <c r="R453">
        <v>6.1366610000000002E-2</v>
      </c>
      <c r="S453">
        <v>2.9907840000000001</v>
      </c>
      <c r="T453">
        <v>-0.70882000000000001</v>
      </c>
      <c r="U453">
        <v>-0.45382689999999998</v>
      </c>
      <c r="V453">
        <v>-5.7756630000000003E-2</v>
      </c>
      <c r="W453">
        <v>-5.6302640000000001E-2</v>
      </c>
      <c r="X453">
        <v>0.99674180000000001</v>
      </c>
      <c r="Y453">
        <v>0.1492182</v>
      </c>
      <c r="Z453">
        <v>-1.926141E-2</v>
      </c>
      <c r="AA453">
        <v>0.98861659999999996</v>
      </c>
      <c r="AB453">
        <v>36</v>
      </c>
      <c r="AC453">
        <v>0.73689999999999101</v>
      </c>
      <c r="AD453">
        <v>-0.22703950000000001</v>
      </c>
      <c r="AE453">
        <v>-0.146599999999978</v>
      </c>
      <c r="AF453">
        <v>0.13678274976583399</v>
      </c>
      <c r="AG453">
        <v>-0.22703950000000001</v>
      </c>
      <c r="AH453">
        <v>0.67475031995160495</v>
      </c>
      <c r="AI453">
        <v>108.251093347444</v>
      </c>
      <c r="AJ453">
        <v>78.540510633534097</v>
      </c>
      <c r="AK453">
        <v>0.72494444578087902</v>
      </c>
      <c r="AL453">
        <v>93.227610378061001</v>
      </c>
      <c r="AM453">
        <v>93.316320066486</v>
      </c>
      <c r="AN453">
        <v>1.00000001572358</v>
      </c>
    </row>
    <row r="454" spans="1:40" x14ac:dyDescent="0.25">
      <c r="A454" t="str">
        <f>"20190305135205319"</f>
        <v>20190305135205319</v>
      </c>
      <c r="B454" t="str">
        <f>"1551765125310278"</f>
        <v>1551765125310278</v>
      </c>
      <c r="C454" t="s">
        <v>40</v>
      </c>
      <c r="D454">
        <v>4.8567809999999998</v>
      </c>
      <c r="E454">
        <v>0.57890280000000005</v>
      </c>
      <c r="F454" t="s">
        <v>41</v>
      </c>
      <c r="G454">
        <v>-356.67509999999999</v>
      </c>
      <c r="H454">
        <v>0.9297472</v>
      </c>
      <c r="I454">
        <v>367.68259999999998</v>
      </c>
      <c r="J454">
        <v>-357.13619999999997</v>
      </c>
      <c r="K454">
        <v>1.10911</v>
      </c>
      <c r="L454">
        <v>367.79880000000003</v>
      </c>
      <c r="M454">
        <v>0.9998842</v>
      </c>
      <c r="N454">
        <v>-1.477999E-2</v>
      </c>
      <c r="O454">
        <v>3.6278640000000002E-3</v>
      </c>
      <c r="P454">
        <v>0.995556</v>
      </c>
      <c r="Q454">
        <v>-7.1558389999999999E-2</v>
      </c>
      <c r="R454">
        <v>6.1219200000000001E-2</v>
      </c>
      <c r="S454">
        <v>2.9906920000000001</v>
      </c>
      <c r="T454">
        <v>-0.70932030000000001</v>
      </c>
      <c r="U454">
        <v>-0.45385740000000002</v>
      </c>
      <c r="V454">
        <v>-5.7609E-2</v>
      </c>
      <c r="W454">
        <v>-5.6830800000000001E-2</v>
      </c>
      <c r="X454">
        <v>0.99672039999999995</v>
      </c>
      <c r="Y454">
        <v>0.1492262</v>
      </c>
      <c r="Z454">
        <v>-1.9275219999999999E-2</v>
      </c>
      <c r="AA454">
        <v>0.98861520000000003</v>
      </c>
      <c r="AB454">
        <v>36</v>
      </c>
      <c r="AC454">
        <v>0.46109999999998702</v>
      </c>
      <c r="AD454">
        <v>-0.17936279999999999</v>
      </c>
      <c r="AE454">
        <v>-0.116200000000048</v>
      </c>
      <c r="AF454">
        <v>0.10319059674192101</v>
      </c>
      <c r="AG454">
        <v>-0.17936279999999999</v>
      </c>
      <c r="AH454">
        <v>0.40329573001004299</v>
      </c>
      <c r="AI454">
        <v>113.309384861848</v>
      </c>
      <c r="AJ454">
        <v>75.647744903774196</v>
      </c>
      <c r="AK454">
        <v>0.45328441306107897</v>
      </c>
      <c r="AL454">
        <v>93.257920148832298</v>
      </c>
      <c r="AM454">
        <v>93.307933030522406</v>
      </c>
      <c r="AN454">
        <v>1.00000004624289</v>
      </c>
    </row>
    <row r="455" spans="1:40" x14ac:dyDescent="0.25">
      <c r="A455" t="str">
        <f>"20190305135205332"</f>
        <v>20190305135205332</v>
      </c>
      <c r="B455" t="str">
        <f>"1551765125320034"</f>
        <v>1551765125320034</v>
      </c>
      <c r="C455" t="s">
        <v>40</v>
      </c>
      <c r="D455">
        <v>4.937856</v>
      </c>
      <c r="E455">
        <v>0.57886349999999998</v>
      </c>
      <c r="F455" t="s">
        <v>41</v>
      </c>
      <c r="G455">
        <v>-356.3546</v>
      </c>
      <c r="H455">
        <v>0.92328929999999998</v>
      </c>
      <c r="I455">
        <v>367.68009999999998</v>
      </c>
      <c r="J455">
        <v>-356.92090000000002</v>
      </c>
      <c r="K455">
        <v>1.1091120000000001</v>
      </c>
      <c r="L455">
        <v>367.7996</v>
      </c>
      <c r="M455">
        <v>0.9998842</v>
      </c>
      <c r="N455">
        <v>-1.477768E-2</v>
      </c>
      <c r="O455">
        <v>3.6278819999999998E-3</v>
      </c>
      <c r="P455">
        <v>0.99554339999999997</v>
      </c>
      <c r="Q455">
        <v>-7.1733080000000005E-2</v>
      </c>
      <c r="R455">
        <v>6.1221499999999998E-2</v>
      </c>
      <c r="S455">
        <v>2.9902340000000001</v>
      </c>
      <c r="T455">
        <v>-0.7108951</v>
      </c>
      <c r="U455">
        <v>-0.4537659</v>
      </c>
      <c r="V455">
        <v>-5.7611259999999997E-2</v>
      </c>
      <c r="W455">
        <v>-5.7007950000000002E-2</v>
      </c>
      <c r="X455">
        <v>0.99671010000000004</v>
      </c>
      <c r="Y455">
        <v>0.14919979999999999</v>
      </c>
      <c r="Z455">
        <v>-1.9313919999999998E-2</v>
      </c>
      <c r="AA455">
        <v>0.98861840000000001</v>
      </c>
      <c r="AB455">
        <v>36</v>
      </c>
      <c r="AC455">
        <v>0.56630000000001202</v>
      </c>
      <c r="AD455">
        <v>-0.18582270000000001</v>
      </c>
      <c r="AE455">
        <v>-0.119500000000016</v>
      </c>
      <c r="AF455">
        <v>0.110194780736661</v>
      </c>
      <c r="AG455">
        <v>-0.18582270000000001</v>
      </c>
      <c r="AH455">
        <v>0.51298322477429203</v>
      </c>
      <c r="AI455">
        <v>109.502123586718</v>
      </c>
      <c r="AJ455">
        <v>77.876434251550705</v>
      </c>
      <c r="AK455">
        <v>0.55661903887373698</v>
      </c>
      <c r="AL455">
        <v>93.268086750169999</v>
      </c>
      <c r="AM455">
        <v>93.308096622066302</v>
      </c>
      <c r="AN455">
        <v>0.99999999354199998</v>
      </c>
    </row>
    <row r="456" spans="1:40" x14ac:dyDescent="0.25">
      <c r="A456" t="str">
        <f>"20190305135205342"</f>
        <v>20190305135205342</v>
      </c>
      <c r="B456" t="str">
        <f>"1551765125330302"</f>
        <v>1551765125330302</v>
      </c>
      <c r="C456" t="s">
        <v>40</v>
      </c>
      <c r="D456">
        <v>4.9232490000000002</v>
      </c>
      <c r="E456">
        <v>0.57884259999999998</v>
      </c>
      <c r="F456" t="s">
        <v>41</v>
      </c>
      <c r="G456">
        <v>-356.04090000000002</v>
      </c>
      <c r="H456">
        <v>0.89978089999999999</v>
      </c>
      <c r="I456">
        <v>367.66570000000002</v>
      </c>
      <c r="J456">
        <v>-356.73090000000002</v>
      </c>
      <c r="K456">
        <v>1.1091070000000001</v>
      </c>
      <c r="L456">
        <v>367.80029999999999</v>
      </c>
      <c r="M456">
        <v>0.99988429999999995</v>
      </c>
      <c r="N456">
        <v>-1.477564E-2</v>
      </c>
      <c r="O456">
        <v>3.6278970000000002E-3</v>
      </c>
      <c r="P456">
        <v>0.99555329999999997</v>
      </c>
      <c r="Q456">
        <v>-7.1773749999999997E-2</v>
      </c>
      <c r="R456">
        <v>6.1011309999999999E-2</v>
      </c>
      <c r="S456">
        <v>2.9900509999999998</v>
      </c>
      <c r="T456">
        <v>-0.71131519999999904</v>
      </c>
      <c r="U456">
        <v>-0.45358280000000001</v>
      </c>
      <c r="V456">
        <v>-5.7401050000000002E-2</v>
      </c>
      <c r="W456">
        <v>-5.7050530000000002E-2</v>
      </c>
      <c r="X456">
        <v>0.99671980000000004</v>
      </c>
      <c r="Y456">
        <v>0.14914569999999999</v>
      </c>
      <c r="Z456">
        <v>-1.9318720000000001E-2</v>
      </c>
      <c r="AA456">
        <v>0.98862649999999996</v>
      </c>
      <c r="AB456">
        <v>36</v>
      </c>
      <c r="AC456">
        <v>0.68999999999999695</v>
      </c>
      <c r="AD456">
        <v>-0.20932609999999999</v>
      </c>
      <c r="AE456">
        <v>-0.13459999999997699</v>
      </c>
      <c r="AF456">
        <v>0.12593702796131601</v>
      </c>
      <c r="AG456">
        <v>-0.20932609999999999</v>
      </c>
      <c r="AH456">
        <v>0.63335378604322601</v>
      </c>
      <c r="AI456">
        <v>107.96052021834301</v>
      </c>
      <c r="AJ456">
        <v>78.753904947716606</v>
      </c>
      <c r="AK456">
        <v>0.678833241266386</v>
      </c>
      <c r="AL456">
        <v>93.270530355040904</v>
      </c>
      <c r="AM456">
        <v>93.296020806994605</v>
      </c>
      <c r="AN456">
        <v>1.00000000161321</v>
      </c>
    </row>
    <row r="457" spans="1:40" x14ac:dyDescent="0.25">
      <c r="A457" t="str">
        <f>"20190305135205355"</f>
        <v>20190305135205355</v>
      </c>
      <c r="B457" t="str">
        <f>"1551765125350799"</f>
        <v>1551765125350799</v>
      </c>
      <c r="C457" t="s">
        <v>40</v>
      </c>
      <c r="D457">
        <v>5.050745</v>
      </c>
      <c r="E457">
        <v>0.57871790000000001</v>
      </c>
      <c r="F457" t="s">
        <v>41</v>
      </c>
      <c r="G457">
        <v>-356.02359999999999</v>
      </c>
      <c r="H457">
        <v>0.9408898</v>
      </c>
      <c r="I457">
        <v>367.69240000000002</v>
      </c>
      <c r="J457">
        <v>-356.53660000000002</v>
      </c>
      <c r="K457">
        <v>1.1091070000000001</v>
      </c>
      <c r="L457">
        <v>367.80099999999999</v>
      </c>
      <c r="M457">
        <v>0.99988429999999995</v>
      </c>
      <c r="N457">
        <v>-1.477357E-2</v>
      </c>
      <c r="O457">
        <v>3.6279120000000001E-3</v>
      </c>
      <c r="P457">
        <v>0.99555780000000005</v>
      </c>
      <c r="Q457">
        <v>-7.1682789999999996E-2</v>
      </c>
      <c r="R457">
        <v>6.1044290000000001E-2</v>
      </c>
      <c r="S457">
        <v>2.98996</v>
      </c>
      <c r="T457">
        <v>-0.71118609999999904</v>
      </c>
      <c r="U457">
        <v>-0.45428469999999999</v>
      </c>
      <c r="V457">
        <v>-5.743413E-2</v>
      </c>
      <c r="W457">
        <v>-5.6961579999999998E-2</v>
      </c>
      <c r="X457">
        <v>0.99672300000000003</v>
      </c>
      <c r="Y457">
        <v>0.149372</v>
      </c>
      <c r="Z457">
        <v>-1.934369E-2</v>
      </c>
      <c r="AA457">
        <v>0.98859180000000002</v>
      </c>
      <c r="AB457">
        <v>36</v>
      </c>
      <c r="AC457">
        <v>0.51300000000003299</v>
      </c>
      <c r="AD457">
        <v>-0.16821719999999901</v>
      </c>
      <c r="AE457">
        <v>-0.108599999999967</v>
      </c>
      <c r="AF457">
        <v>0.10015358722359</v>
      </c>
      <c r="AG457">
        <v>-0.16821719999999901</v>
      </c>
      <c r="AH457">
        <v>0.46477191688331398</v>
      </c>
      <c r="AI457">
        <v>109.484459334013</v>
      </c>
      <c r="AJ457">
        <v>77.839301355598906</v>
      </c>
      <c r="AK457">
        <v>0.50432202225659695</v>
      </c>
      <c r="AL457">
        <v>93.2654255347895</v>
      </c>
      <c r="AM457">
        <v>93.297905534736103</v>
      </c>
      <c r="AN457">
        <v>1.0000000198069701</v>
      </c>
    </row>
    <row r="458" spans="1:40" x14ac:dyDescent="0.25">
      <c r="A458" t="str">
        <f>"20190305135205368"</f>
        <v>20190305135205368</v>
      </c>
      <c r="B458" t="str">
        <f>"1551765125360559"</f>
        <v>1551765125360559</v>
      </c>
      <c r="C458" t="s">
        <v>40</v>
      </c>
      <c r="D458">
        <v>4.9325429999999999</v>
      </c>
      <c r="E458">
        <v>0.57873609999999998</v>
      </c>
      <c r="F458" t="s">
        <v>41</v>
      </c>
      <c r="G458">
        <v>-355.71289999999999</v>
      </c>
      <c r="H458">
        <v>0.91319810000000001</v>
      </c>
      <c r="I458">
        <v>367.67619999999999</v>
      </c>
      <c r="J458">
        <v>-356.33210000000003</v>
      </c>
      <c r="K458">
        <v>1.1091070000000001</v>
      </c>
      <c r="L458">
        <v>367.80169999999998</v>
      </c>
      <c r="M458">
        <v>0.99988440000000001</v>
      </c>
      <c r="N458">
        <v>-1.4771390000000001E-2</v>
      </c>
      <c r="O458">
        <v>3.6279279999999999E-3</v>
      </c>
      <c r="P458">
        <v>0.99556420000000001</v>
      </c>
      <c r="Q458">
        <v>-7.1657230000000002E-2</v>
      </c>
      <c r="R458">
        <v>6.0970480000000001E-2</v>
      </c>
      <c r="S458">
        <v>2.98996</v>
      </c>
      <c r="T458">
        <v>-0.71111679999999999</v>
      </c>
      <c r="U458">
        <v>-0.45300289999999999</v>
      </c>
      <c r="V458">
        <v>-5.7360069999999999E-2</v>
      </c>
      <c r="W458">
        <v>-5.6938089999999997E-2</v>
      </c>
      <c r="X458">
        <v>0.99672859999999996</v>
      </c>
      <c r="Y458">
        <v>0.14896999999999999</v>
      </c>
      <c r="Z458">
        <v>-1.9292400000000001E-2</v>
      </c>
      <c r="AA458">
        <v>0.98865349999999996</v>
      </c>
      <c r="AB458">
        <v>36</v>
      </c>
      <c r="AC458">
        <v>0.61920000000003395</v>
      </c>
      <c r="AD458">
        <v>-0.1959089</v>
      </c>
      <c r="AE458">
        <v>-0.12549999999998801</v>
      </c>
      <c r="AF458">
        <v>0.11654015445648599</v>
      </c>
      <c r="AG458">
        <v>-0.1959089</v>
      </c>
      <c r="AH458">
        <v>0.56446555242007002</v>
      </c>
      <c r="AI458">
        <v>108.772947352843</v>
      </c>
      <c r="AJ458">
        <v>78.334560657939406</v>
      </c>
      <c r="AK458">
        <v>0.60875550475445095</v>
      </c>
      <c r="AL458">
        <v>93.264077491700405</v>
      </c>
      <c r="AM458">
        <v>93.293643864907196</v>
      </c>
      <c r="AN458">
        <v>1.0000000128905999</v>
      </c>
    </row>
    <row r="459" spans="1:40" x14ac:dyDescent="0.25">
      <c r="A459" t="str">
        <f>"20190305135205383"</f>
        <v>20190305135205383</v>
      </c>
      <c r="B459" t="str">
        <f>"1551765125380078"</f>
        <v>1551765125380078</v>
      </c>
      <c r="C459" t="s">
        <v>40</v>
      </c>
      <c r="D459">
        <v>4.9423069999999996</v>
      </c>
      <c r="E459">
        <v>0.5787892</v>
      </c>
      <c r="F459" t="s">
        <v>41</v>
      </c>
      <c r="G459">
        <v>-355.40069999999997</v>
      </c>
      <c r="H459">
        <v>0.88765039999999995</v>
      </c>
      <c r="I459">
        <v>367.6601</v>
      </c>
      <c r="J459">
        <v>-356.0727</v>
      </c>
      <c r="K459">
        <v>1.109113</v>
      </c>
      <c r="L459">
        <v>367.80270000000002</v>
      </c>
      <c r="M459">
        <v>0.99988449999999995</v>
      </c>
      <c r="N459">
        <v>-1.476864E-2</v>
      </c>
      <c r="O459">
        <v>3.6279480000000002E-3</v>
      </c>
      <c r="P459">
        <v>0.99557359999999995</v>
      </c>
      <c r="Q459">
        <v>-7.1581240000000004E-2</v>
      </c>
      <c r="R459">
        <v>6.0904949999999999E-2</v>
      </c>
      <c r="S459">
        <v>2.9899290000000001</v>
      </c>
      <c r="T459">
        <v>-0.71099559999999995</v>
      </c>
      <c r="U459">
        <v>-0.45339970000000002</v>
      </c>
      <c r="V459">
        <v>-5.7294249999999998E-2</v>
      </c>
      <c r="W459">
        <v>-5.6864730000000002E-2</v>
      </c>
      <c r="X459">
        <v>0.99673659999999997</v>
      </c>
      <c r="Y459">
        <v>0.14909749999999999</v>
      </c>
      <c r="Z459">
        <v>-1.9305030000000001E-2</v>
      </c>
      <c r="AA459">
        <v>0.98863400000000001</v>
      </c>
      <c r="AB459">
        <v>36</v>
      </c>
      <c r="AC459">
        <v>0.67200000000002502</v>
      </c>
      <c r="AD459">
        <v>-0.22146259999999901</v>
      </c>
      <c r="AE459">
        <v>-0.14260000000001499</v>
      </c>
      <c r="AF459">
        <v>0.131382913792053</v>
      </c>
      <c r="AG459">
        <v>-0.22146259999999901</v>
      </c>
      <c r="AH459">
        <v>0.60826252497355704</v>
      </c>
      <c r="AI459">
        <v>109.589795168826</v>
      </c>
      <c r="AJ459">
        <v>77.811528036833494</v>
      </c>
      <c r="AK459">
        <v>0.66052286298239304</v>
      </c>
      <c r="AL459">
        <v>93.259867366446201</v>
      </c>
      <c r="AM459">
        <v>93.289846406802894</v>
      </c>
      <c r="AN459">
        <v>1.0000000391902899</v>
      </c>
    </row>
    <row r="460" spans="1:40" x14ac:dyDescent="0.25">
      <c r="A460" t="str">
        <f>"20190305135205396"</f>
        <v>20190305135205396</v>
      </c>
      <c r="B460" t="str">
        <f>"1551765125389839"</f>
        <v>1551765125389839</v>
      </c>
      <c r="C460" t="s">
        <v>40</v>
      </c>
      <c r="D460">
        <v>4.9050039999999999</v>
      </c>
      <c r="E460">
        <v>0.57883509999999905</v>
      </c>
      <c r="F460" t="s">
        <v>41</v>
      </c>
      <c r="G460">
        <v>-355.37720000000002</v>
      </c>
      <c r="H460">
        <v>0.94379369999999996</v>
      </c>
      <c r="I460">
        <v>367.69670000000002</v>
      </c>
      <c r="J460">
        <v>-355.88729999999998</v>
      </c>
      <c r="K460">
        <v>1.1091139999999999</v>
      </c>
      <c r="L460">
        <v>367.80329999999998</v>
      </c>
      <c r="M460">
        <v>0.99988440000000001</v>
      </c>
      <c r="N460">
        <v>-1.4766680000000001E-2</v>
      </c>
      <c r="O460">
        <v>3.6279630000000001E-3</v>
      </c>
      <c r="P460">
        <v>0.99559370000000003</v>
      </c>
      <c r="Q460">
        <v>-7.1483439999999995E-2</v>
      </c>
      <c r="R460">
        <v>6.0692179999999998E-2</v>
      </c>
      <c r="S460">
        <v>2.9899900000000001</v>
      </c>
      <c r="T460">
        <v>-0.71083569999999996</v>
      </c>
      <c r="U460">
        <v>-0.45385740000000002</v>
      </c>
      <c r="V460">
        <v>-5.7082109999999998E-2</v>
      </c>
      <c r="W460">
        <v>-5.6768619999999999E-2</v>
      </c>
      <c r="X460">
        <v>0.99675420000000003</v>
      </c>
      <c r="Y460">
        <v>0.1492406</v>
      </c>
      <c r="Z460">
        <v>-1.9318109999999999E-2</v>
      </c>
      <c r="AA460">
        <v>0.98861220000000005</v>
      </c>
      <c r="AB460">
        <v>36</v>
      </c>
      <c r="AC460">
        <v>0.51009999999996503</v>
      </c>
      <c r="AD460">
        <v>-0.165320299999999</v>
      </c>
      <c r="AE460">
        <v>-0.10659999999995701</v>
      </c>
      <c r="AF460">
        <v>9.8533547211744094E-2</v>
      </c>
      <c r="AG460">
        <v>-0.165320299999999</v>
      </c>
      <c r="AH460">
        <v>0.46310247167283303</v>
      </c>
      <c r="AI460">
        <v>109.24758100210801</v>
      </c>
      <c r="AJ460">
        <v>77.988390652882003</v>
      </c>
      <c r="AK460">
        <v>0.50150130686540195</v>
      </c>
      <c r="AL460">
        <v>93.254351921880399</v>
      </c>
      <c r="AM460">
        <v>93.277634147434199</v>
      </c>
      <c r="AN460">
        <v>0.999999989358198</v>
      </c>
    </row>
    <row r="461" spans="1:40" x14ac:dyDescent="0.25">
      <c r="A461" t="str">
        <f>"20190305135205408"</f>
        <v>20190305135205408</v>
      </c>
      <c r="B461" t="str">
        <f>"1551765125399599"</f>
        <v>1551765125399599</v>
      </c>
      <c r="C461" t="s">
        <v>40</v>
      </c>
      <c r="D461">
        <v>4.94536</v>
      </c>
      <c r="E461">
        <v>0.57885310000000001</v>
      </c>
      <c r="F461" t="s">
        <v>41</v>
      </c>
      <c r="G461">
        <v>-355.06790000000001</v>
      </c>
      <c r="H461">
        <v>0.91463970000000006</v>
      </c>
      <c r="I461">
        <v>367.67849999999999</v>
      </c>
      <c r="J461">
        <v>-355.6893</v>
      </c>
      <c r="K461">
        <v>1.109111</v>
      </c>
      <c r="L461">
        <v>367.80399999999997</v>
      </c>
      <c r="M461">
        <v>0.99988440000000001</v>
      </c>
      <c r="N461">
        <v>-1.4764579999999999E-2</v>
      </c>
      <c r="O461">
        <v>3.6278E-3</v>
      </c>
      <c r="P461">
        <v>0.99561409999999995</v>
      </c>
      <c r="Q461">
        <v>-7.1375679999999997E-2</v>
      </c>
      <c r="R461">
        <v>6.048133E-2</v>
      </c>
      <c r="S461">
        <v>2.990021</v>
      </c>
      <c r="T461">
        <v>-0.70969640000000001</v>
      </c>
      <c r="U461">
        <v>-0.45489499999999999</v>
      </c>
      <c r="V461">
        <v>-5.6870950000000003E-2</v>
      </c>
      <c r="W461">
        <v>-5.666268E-2</v>
      </c>
      <c r="X461">
        <v>0.99677229999999994</v>
      </c>
      <c r="Y461">
        <v>0.1495784</v>
      </c>
      <c r="Z461">
        <v>-1.9330670000000001E-2</v>
      </c>
      <c r="AA461">
        <v>0.98856089999999996</v>
      </c>
      <c r="AB461">
        <v>36</v>
      </c>
      <c r="AC461">
        <v>0.62139999999999396</v>
      </c>
      <c r="AD461">
        <v>-0.19447129999999899</v>
      </c>
      <c r="AE461">
        <v>-0.12550000000004499</v>
      </c>
      <c r="AF461">
        <v>0.116765676068022</v>
      </c>
      <c r="AG461">
        <v>-0.19447129999999899</v>
      </c>
      <c r="AH461">
        <v>0.56753366785212001</v>
      </c>
      <c r="AI461">
        <v>108.553318114508</v>
      </c>
      <c r="AJ461">
        <v>78.374064940477894</v>
      </c>
      <c r="AK461">
        <v>0.61118554774879397</v>
      </c>
      <c r="AL461">
        <v>93.248272215038298</v>
      </c>
      <c r="AM461">
        <v>93.265476535658706</v>
      </c>
      <c r="AN461">
        <v>0.99999999115298699</v>
      </c>
    </row>
    <row r="462" spans="1:40" x14ac:dyDescent="0.25">
      <c r="A462" t="str">
        <f>"20190305135205420"</f>
        <v>20190305135205420</v>
      </c>
      <c r="B462" t="str">
        <f>"1551765125410335"</f>
        <v>1551765125410335</v>
      </c>
      <c r="C462" t="s">
        <v>40</v>
      </c>
      <c r="D462">
        <v>4.9404070000000004</v>
      </c>
      <c r="E462">
        <v>0.57888309999999998</v>
      </c>
      <c r="F462" t="s">
        <v>41</v>
      </c>
      <c r="G462">
        <v>-354.75689999999997</v>
      </c>
      <c r="H462">
        <v>0.88787209999999905</v>
      </c>
      <c r="I462">
        <v>367.6617</v>
      </c>
      <c r="J462">
        <v>-355.49369999999999</v>
      </c>
      <c r="K462">
        <v>1.109113</v>
      </c>
      <c r="L462">
        <v>367.80470000000003</v>
      </c>
      <c r="M462">
        <v>0.99988460000000001</v>
      </c>
      <c r="N462">
        <v>-1.4762519999999999E-2</v>
      </c>
      <c r="O462">
        <v>3.6278149999999999E-3</v>
      </c>
      <c r="P462">
        <v>0.99560079999999995</v>
      </c>
      <c r="Q462">
        <v>-7.1645730000000005E-2</v>
      </c>
      <c r="R462">
        <v>6.0384989999999999E-2</v>
      </c>
      <c r="S462">
        <v>2.990021</v>
      </c>
      <c r="T462">
        <v>-0.70959899999999998</v>
      </c>
      <c r="U462">
        <v>-0.45544430000000002</v>
      </c>
      <c r="V462">
        <v>-5.6774529999999997E-2</v>
      </c>
      <c r="W462">
        <v>-5.693496E-2</v>
      </c>
      <c r="X462">
        <v>0.99676229999999999</v>
      </c>
      <c r="Y462">
        <v>0.1497522</v>
      </c>
      <c r="Z462">
        <v>-1.9349390000000001E-2</v>
      </c>
      <c r="AA462">
        <v>0.98853420000000003</v>
      </c>
      <c r="AB462">
        <v>36</v>
      </c>
      <c r="AC462">
        <v>0.736800000000016</v>
      </c>
      <c r="AD462">
        <v>-0.22124089999999999</v>
      </c>
      <c r="AE462">
        <v>-0.14300000000002899</v>
      </c>
      <c r="AF462">
        <v>0.13402665723080101</v>
      </c>
      <c r="AG462">
        <v>-0.22124089999999999</v>
      </c>
      <c r="AH462">
        <v>0.67741524903567896</v>
      </c>
      <c r="AI462">
        <v>107.764689590066</v>
      </c>
      <c r="AJ462">
        <v>78.808560269995098</v>
      </c>
      <c r="AK462">
        <v>0.72512212785664099</v>
      </c>
      <c r="AL462">
        <v>93.2638978745739</v>
      </c>
      <c r="AM462">
        <v>93.259984775442803</v>
      </c>
      <c r="AN462">
        <v>1.0000000098141</v>
      </c>
    </row>
    <row r="463" spans="1:40" x14ac:dyDescent="0.25">
      <c r="A463" t="str">
        <f>"20190305135205432"</f>
        <v>20190305135205432</v>
      </c>
      <c r="B463" t="str">
        <f>"1551765125420094"</f>
        <v>1551765125420094</v>
      </c>
      <c r="C463" t="s">
        <v>40</v>
      </c>
      <c r="D463">
        <v>4.9593809999999996</v>
      </c>
      <c r="E463">
        <v>0.57886549999999903</v>
      </c>
      <c r="F463" t="s">
        <v>41</v>
      </c>
      <c r="G463">
        <v>-354.7398</v>
      </c>
      <c r="H463">
        <v>0.92994169999999998</v>
      </c>
      <c r="I463">
        <v>367.68939999999998</v>
      </c>
      <c r="J463">
        <v>-355.30419999999998</v>
      </c>
      <c r="K463">
        <v>1.109113</v>
      </c>
      <c r="L463">
        <v>367.80540000000002</v>
      </c>
      <c r="M463">
        <v>0.99988440000000001</v>
      </c>
      <c r="N463">
        <v>-1.4760499999999999E-2</v>
      </c>
      <c r="O463">
        <v>3.6280090000000002E-3</v>
      </c>
      <c r="P463">
        <v>0.99561949999999999</v>
      </c>
      <c r="Q463">
        <v>-7.1486930000000004E-2</v>
      </c>
      <c r="R463">
        <v>6.0264039999999998E-2</v>
      </c>
      <c r="S463">
        <v>2.9897770000000001</v>
      </c>
      <c r="T463">
        <v>-0.71069740000000003</v>
      </c>
      <c r="U463">
        <v>-0.45602419999999999</v>
      </c>
      <c r="V463">
        <v>-5.6653370000000002E-2</v>
      </c>
      <c r="W463">
        <v>-5.6777920000000003E-2</v>
      </c>
      <c r="X463">
        <v>0.9967781</v>
      </c>
      <c r="Y463">
        <v>0.14993290000000001</v>
      </c>
      <c r="Z463">
        <v>-1.9400500000000001E-2</v>
      </c>
      <c r="AA463">
        <v>0.98850579999999999</v>
      </c>
      <c r="AB463">
        <v>36</v>
      </c>
      <c r="AC463">
        <v>0.56439999999997703</v>
      </c>
      <c r="AD463">
        <v>-0.17917130000000001</v>
      </c>
      <c r="AE463">
        <v>-0.116000000000042</v>
      </c>
      <c r="AF463">
        <v>0.107639168759327</v>
      </c>
      <c r="AG463">
        <v>-0.17917130000000001</v>
      </c>
      <c r="AH463">
        <v>0.51425099027767296</v>
      </c>
      <c r="AI463">
        <v>108.83049840007</v>
      </c>
      <c r="AJ463">
        <v>78.177952283112106</v>
      </c>
      <c r="AK463">
        <v>0.55510595961172704</v>
      </c>
      <c r="AL463">
        <v>93.254885733729196</v>
      </c>
      <c r="AM463">
        <v>93.252991290498798</v>
      </c>
      <c r="AN463">
        <v>0.99999995858574497</v>
      </c>
    </row>
    <row r="464" spans="1:40" x14ac:dyDescent="0.25">
      <c r="A464" t="str">
        <f>"20190305135205444"</f>
        <v>20190305135205444</v>
      </c>
      <c r="B464" t="str">
        <f>"1551765125439616"</f>
        <v>1551765125439616</v>
      </c>
      <c r="C464" t="s">
        <v>40</v>
      </c>
      <c r="D464">
        <v>4.964709</v>
      </c>
      <c r="E464">
        <v>0.57891210000000004</v>
      </c>
      <c r="F464" t="s">
        <v>41</v>
      </c>
      <c r="G464">
        <v>-354.43020000000001</v>
      </c>
      <c r="H464">
        <v>0.90156820000000004</v>
      </c>
      <c r="I464">
        <v>367.67189999999999</v>
      </c>
      <c r="J464">
        <v>-355.09930000000003</v>
      </c>
      <c r="K464">
        <v>1.109113</v>
      </c>
      <c r="L464">
        <v>367.80619999999999</v>
      </c>
      <c r="M464">
        <v>0.99988449999999995</v>
      </c>
      <c r="N464">
        <v>-1.475833E-2</v>
      </c>
      <c r="O464">
        <v>3.628025E-3</v>
      </c>
      <c r="P464">
        <v>0.99561739999999999</v>
      </c>
      <c r="Q464">
        <v>-7.1510019999999994E-2</v>
      </c>
      <c r="R464">
        <v>6.0269299999999998E-2</v>
      </c>
      <c r="S464">
        <v>2.989868</v>
      </c>
      <c r="T464">
        <v>-0.71009469999999997</v>
      </c>
      <c r="U464">
        <v>-0.4561462</v>
      </c>
      <c r="V464">
        <v>-5.6658510000000002E-2</v>
      </c>
      <c r="W464">
        <v>-5.680321E-2</v>
      </c>
      <c r="X464">
        <v>0.99677640000000001</v>
      </c>
      <c r="Y464">
        <v>0.1499742</v>
      </c>
      <c r="Z464">
        <v>-1.9389719999999999E-2</v>
      </c>
      <c r="AA464">
        <v>0.98849980000000004</v>
      </c>
      <c r="AB464">
        <v>36</v>
      </c>
      <c r="AC464">
        <v>0.66910000000001402</v>
      </c>
      <c r="AD464">
        <v>-0.2075448</v>
      </c>
      <c r="AE464">
        <v>-0.13429999999999601</v>
      </c>
      <c r="AF464">
        <v>0.125151777070452</v>
      </c>
      <c r="AG464">
        <v>-0.2075448</v>
      </c>
      <c r="AH464">
        <v>0.61200481910845805</v>
      </c>
      <c r="AI464">
        <v>108.37891234289999</v>
      </c>
      <c r="AJ464">
        <v>78.4426573105372</v>
      </c>
      <c r="AK464">
        <v>0.65824593422436595</v>
      </c>
      <c r="AL464">
        <v>93.256336979045798</v>
      </c>
      <c r="AM464">
        <v>93.253291327839193</v>
      </c>
      <c r="AN464">
        <v>0.99999999150934205</v>
      </c>
    </row>
    <row r="465" spans="1:40" x14ac:dyDescent="0.25">
      <c r="A465" t="str">
        <f>"20190305135205463"</f>
        <v>20190305135205463</v>
      </c>
      <c r="B465" t="str">
        <f>"1551765125450351"</f>
        <v>1551765125450351</v>
      </c>
      <c r="C465" t="s">
        <v>40</v>
      </c>
      <c r="D465">
        <v>4.9428260000000002</v>
      </c>
      <c r="E465">
        <v>0.57891400000000004</v>
      </c>
      <c r="F465" t="s">
        <v>41</v>
      </c>
      <c r="G465">
        <v>-354.41140000000001</v>
      </c>
      <c r="H465">
        <v>0.94574210000000003</v>
      </c>
      <c r="I465">
        <v>367.70100000000002</v>
      </c>
      <c r="J465">
        <v>-354.81689999999998</v>
      </c>
      <c r="K465">
        <v>1.1091169999999999</v>
      </c>
      <c r="L465">
        <v>367.80720000000002</v>
      </c>
      <c r="M465">
        <v>0.99988469999999996</v>
      </c>
      <c r="N465">
        <v>-1.4755330000000001E-2</v>
      </c>
      <c r="O465">
        <v>3.6278690000000001E-3</v>
      </c>
      <c r="P465">
        <v>0.99566330000000003</v>
      </c>
      <c r="Q465">
        <v>-7.1234729999999996E-2</v>
      </c>
      <c r="R465">
        <v>5.9837460000000002E-2</v>
      </c>
      <c r="S465">
        <v>2.9898380000000002</v>
      </c>
      <c r="T465">
        <v>-0.71021080000000003</v>
      </c>
      <c r="U465">
        <v>-0.4562988</v>
      </c>
      <c r="V465">
        <v>-5.6226850000000002E-2</v>
      </c>
      <c r="W465">
        <v>-5.6530299999999999E-2</v>
      </c>
      <c r="X465">
        <v>0.99681629999999999</v>
      </c>
      <c r="Y465">
        <v>0.15002209999999999</v>
      </c>
      <c r="Z465">
        <v>-1.9398450000000001E-2</v>
      </c>
      <c r="AA465">
        <v>0.98849229999999999</v>
      </c>
      <c r="AB465">
        <v>36</v>
      </c>
      <c r="AC465">
        <v>0.40549999999996</v>
      </c>
      <c r="AD465">
        <v>-0.16337489999999899</v>
      </c>
      <c r="AE465">
        <v>-0.106200000000058</v>
      </c>
      <c r="AF465">
        <v>9.3471585398315807E-2</v>
      </c>
      <c r="AG465">
        <v>-0.16337489999999899</v>
      </c>
      <c r="AH465">
        <v>0.35168816009311998</v>
      </c>
      <c r="AI465">
        <v>114.17809579308501</v>
      </c>
      <c r="AJ465">
        <v>75.1160370490514</v>
      </c>
      <c r="AK465">
        <v>0.39888953004130001</v>
      </c>
      <c r="AL465">
        <v>93.2406754058144</v>
      </c>
      <c r="AM465">
        <v>93.228429393814693</v>
      </c>
      <c r="AN465">
        <v>0.99999993471234905</v>
      </c>
    </row>
    <row r="466" spans="1:40" x14ac:dyDescent="0.25">
      <c r="A466" t="str">
        <f>"20190305135205474"</f>
        <v>20190305135205474</v>
      </c>
      <c r="B466" t="str">
        <f>"1551765125469870"</f>
        <v>1551765125469870</v>
      </c>
      <c r="C466" t="s">
        <v>40</v>
      </c>
      <c r="D466">
        <v>4.9805910000000004</v>
      </c>
      <c r="E466">
        <v>0.57895989999999997</v>
      </c>
      <c r="F466" t="s">
        <v>41</v>
      </c>
      <c r="G466">
        <v>-354.09410000000003</v>
      </c>
      <c r="H466">
        <v>0.93769590000000003</v>
      </c>
      <c r="I466">
        <v>367.69600000000003</v>
      </c>
      <c r="J466">
        <v>-354.63659999999999</v>
      </c>
      <c r="K466">
        <v>1.109113</v>
      </c>
      <c r="L466">
        <v>367.80779999999999</v>
      </c>
      <c r="M466">
        <v>0.99988460000000001</v>
      </c>
      <c r="N466">
        <v>-1.475341E-2</v>
      </c>
      <c r="O466">
        <v>3.6278830000000001E-3</v>
      </c>
      <c r="P466">
        <v>0.9956699</v>
      </c>
      <c r="Q466">
        <v>-7.1278149999999998E-2</v>
      </c>
      <c r="R466">
        <v>5.96736E-2</v>
      </c>
      <c r="S466">
        <v>2.9898380000000002</v>
      </c>
      <c r="T466">
        <v>-0.70932130000000004</v>
      </c>
      <c r="U466">
        <v>-0.45788570000000001</v>
      </c>
      <c r="V466">
        <v>-5.6063200000000001E-2</v>
      </c>
      <c r="W466">
        <v>-5.6575540000000001E-2</v>
      </c>
      <c r="X466">
        <v>0.99682300000000001</v>
      </c>
      <c r="Y466">
        <v>0.1505312</v>
      </c>
      <c r="Z466">
        <v>-1.943833E-2</v>
      </c>
      <c r="AA466">
        <v>0.98841420000000002</v>
      </c>
      <c r="AB466">
        <v>36</v>
      </c>
      <c r="AC466">
        <v>0.54249999999996101</v>
      </c>
      <c r="AD466">
        <v>-0.17141709999999999</v>
      </c>
      <c r="AE466">
        <v>-0.111800000000016</v>
      </c>
      <c r="AF466">
        <v>0.10382401962611</v>
      </c>
      <c r="AG466">
        <v>-0.17141709999999999</v>
      </c>
      <c r="AH466">
        <v>0.49471063986289998</v>
      </c>
      <c r="AI466">
        <v>108.732422292137</v>
      </c>
      <c r="AJ466">
        <v>78.147455013891303</v>
      </c>
      <c r="AK466">
        <v>0.53376199416715098</v>
      </c>
      <c r="AL466">
        <v>93.243271462895606</v>
      </c>
      <c r="AM466">
        <v>93.219031148264804</v>
      </c>
      <c r="AN466">
        <v>0.99999998372476495</v>
      </c>
    </row>
    <row r="467" spans="1:40" x14ac:dyDescent="0.25">
      <c r="A467" t="str">
        <f>"20190305135205498"</f>
        <v>20190305135205498</v>
      </c>
      <c r="B467" t="str">
        <f>"1551765125490367"</f>
        <v>1551765125490367</v>
      </c>
      <c r="C467" t="s">
        <v>40</v>
      </c>
      <c r="D467">
        <v>4.9394980000000004</v>
      </c>
      <c r="E467">
        <v>0.57889789999999997</v>
      </c>
      <c r="F467" t="s">
        <v>41</v>
      </c>
      <c r="G467">
        <v>-353.78640000000001</v>
      </c>
      <c r="H467">
        <v>0.90742769999999995</v>
      </c>
      <c r="I467">
        <v>367.67720000000003</v>
      </c>
      <c r="J467">
        <v>-354.24720000000002</v>
      </c>
      <c r="K467">
        <v>1.1091169999999999</v>
      </c>
      <c r="L467">
        <v>367.80919999999998</v>
      </c>
      <c r="M467">
        <v>0.99988480000000002</v>
      </c>
      <c r="N467">
        <v>-1.474926E-2</v>
      </c>
      <c r="O467">
        <v>3.6279139999999999E-3</v>
      </c>
      <c r="P467">
        <v>0.99568679999999998</v>
      </c>
      <c r="Q467">
        <v>-7.1162719999999999E-2</v>
      </c>
      <c r="R467">
        <v>5.9532429999999997E-2</v>
      </c>
      <c r="S467">
        <v>2.9897770000000001</v>
      </c>
      <c r="T467">
        <v>-0.70927320000000005</v>
      </c>
      <c r="U467">
        <v>-0.45880130000000002</v>
      </c>
      <c r="V467">
        <v>-5.5921909999999998E-2</v>
      </c>
      <c r="W467">
        <v>-5.6464029999999998E-2</v>
      </c>
      <c r="X467">
        <v>0.99683730000000004</v>
      </c>
      <c r="Y467">
        <v>0.15082219999999999</v>
      </c>
      <c r="Z467">
        <v>-1.947285E-2</v>
      </c>
      <c r="AA467">
        <v>0.9883691</v>
      </c>
      <c r="AB467">
        <v>36</v>
      </c>
      <c r="AC467">
        <v>0.46080000000000598</v>
      </c>
      <c r="AD467">
        <v>-0.20168929999999899</v>
      </c>
      <c r="AE467">
        <v>-0.13199999999994799</v>
      </c>
      <c r="AF467">
        <v>0.11356469662155801</v>
      </c>
      <c r="AG467">
        <v>-0.20168929999999899</v>
      </c>
      <c r="AH467">
        <v>0.39107851172930203</v>
      </c>
      <c r="AI467">
        <v>116.347679362148</v>
      </c>
      <c r="AJ467">
        <v>73.807311282685703</v>
      </c>
      <c r="AK467">
        <v>0.454442423624426</v>
      </c>
      <c r="AL467">
        <v>93.236872048300597</v>
      </c>
      <c r="AM467">
        <v>93.210889604135502</v>
      </c>
      <c r="AN467">
        <v>1.0000000246865799</v>
      </c>
    </row>
    <row r="468" spans="1:40" x14ac:dyDescent="0.25">
      <c r="A468" t="str">
        <f>"20190305135205512"</f>
        <v>20190305135205512</v>
      </c>
      <c r="B468" t="str">
        <f>"1551765125500126"</f>
        <v>1551765125500126</v>
      </c>
      <c r="C468" t="s">
        <v>40</v>
      </c>
      <c r="D468">
        <v>4.816503</v>
      </c>
      <c r="E468">
        <v>0.54554290000000005</v>
      </c>
      <c r="F468" t="s">
        <v>41</v>
      </c>
      <c r="G468">
        <v>-353.46030000000002</v>
      </c>
      <c r="H468">
        <v>0.92247259999999998</v>
      </c>
      <c r="I468">
        <v>367.68810000000002</v>
      </c>
      <c r="J468">
        <v>-354.02179999999998</v>
      </c>
      <c r="K468">
        <v>1.1091230000000001</v>
      </c>
      <c r="L468">
        <v>367.81</v>
      </c>
      <c r="M468">
        <v>0.99988469999999996</v>
      </c>
      <c r="N468">
        <v>-1.474687E-2</v>
      </c>
      <c r="O468">
        <v>3.627931E-3</v>
      </c>
      <c r="P468">
        <v>0.99568840000000003</v>
      </c>
      <c r="Q468">
        <v>-7.1262339999999993E-2</v>
      </c>
      <c r="R468">
        <v>5.9385010000000002E-2</v>
      </c>
      <c r="S468">
        <v>2.9896850000000001</v>
      </c>
      <c r="T468">
        <v>-0.70923590000000003</v>
      </c>
      <c r="U468">
        <v>-0.45840449999999999</v>
      </c>
      <c r="V468">
        <v>-5.5774230000000001E-2</v>
      </c>
      <c r="W468">
        <v>-5.656601E-2</v>
      </c>
      <c r="X468">
        <v>0.99683980000000005</v>
      </c>
      <c r="Y468">
        <v>0.15070220000000001</v>
      </c>
      <c r="Z468">
        <v>-1.9457579999999999E-2</v>
      </c>
      <c r="AA468">
        <v>0.98838769999999998</v>
      </c>
      <c r="AB468">
        <v>36</v>
      </c>
      <c r="AC468">
        <v>0.56149999999996603</v>
      </c>
      <c r="AD468">
        <v>-0.18665039999999899</v>
      </c>
      <c r="AE468">
        <v>-0.12189999999998199</v>
      </c>
      <c r="AF468">
        <v>0.11210642068285</v>
      </c>
      <c r="AG468">
        <v>-0.18665039999999899</v>
      </c>
      <c r="AH468">
        <v>0.50749985517019203</v>
      </c>
      <c r="AI468">
        <v>109.754555011893</v>
      </c>
      <c r="AJ468">
        <v>77.543437159993104</v>
      </c>
      <c r="AK468">
        <v>0.55223393989888503</v>
      </c>
      <c r="AL468">
        <v>93.2427243998211</v>
      </c>
      <c r="AM468">
        <v>93.202419862714507</v>
      </c>
      <c r="AN468">
        <v>1.00000003254172</v>
      </c>
    </row>
    <row r="469" spans="1:40" x14ac:dyDescent="0.25">
      <c r="A469" t="str">
        <f>"20190305135205530"</f>
        <v>20190305135205530</v>
      </c>
      <c r="B469" t="str">
        <f>"1551765125520622"</f>
        <v>1551765125520622</v>
      </c>
      <c r="C469" t="s">
        <v>40</v>
      </c>
      <c r="D469">
        <v>4.9151639999999999</v>
      </c>
      <c r="E469">
        <v>0.53396449999999995</v>
      </c>
      <c r="F469" t="s">
        <v>41</v>
      </c>
      <c r="G469">
        <v>-353.14089999999999</v>
      </c>
      <c r="H469">
        <v>0.92558459999999998</v>
      </c>
      <c r="I469">
        <v>367.75310000000002</v>
      </c>
      <c r="J469">
        <v>-353.73309999999998</v>
      </c>
      <c r="K469">
        <v>1.1091260000000001</v>
      </c>
      <c r="L469">
        <v>367.81110000000001</v>
      </c>
      <c r="M469">
        <v>0.99988469999999996</v>
      </c>
      <c r="N469">
        <v>-1.474377E-2</v>
      </c>
      <c r="O469">
        <v>3.6279540000000001E-3</v>
      </c>
      <c r="P469">
        <v>0.99571869999999996</v>
      </c>
      <c r="Q469">
        <v>-7.1005020000000002E-2</v>
      </c>
      <c r="R469">
        <v>5.9184580000000001E-2</v>
      </c>
      <c r="S469">
        <v>2.9800110000000002</v>
      </c>
      <c r="T469">
        <v>-0.62099979999999999</v>
      </c>
      <c r="U469">
        <v>-0.1919556</v>
      </c>
      <c r="V469">
        <v>-5.557397E-2</v>
      </c>
      <c r="W469">
        <v>-5.6311399999999998E-2</v>
      </c>
      <c r="X469">
        <v>0.99686540000000001</v>
      </c>
      <c r="Y469">
        <v>6.6312830000000003E-2</v>
      </c>
      <c r="Z469">
        <v>-8.0184139999999998E-3</v>
      </c>
      <c r="AA469">
        <v>0.99776670000000001</v>
      </c>
      <c r="AB469">
        <v>36</v>
      </c>
      <c r="AC469">
        <v>0.59219999999999096</v>
      </c>
      <c r="AD469">
        <v>-0.18354139999999999</v>
      </c>
      <c r="AE469">
        <v>-5.7999999999992703E-2</v>
      </c>
      <c r="AF469">
        <v>5.4922712980379498E-2</v>
      </c>
      <c r="AG469">
        <v>-0.18354139999999999</v>
      </c>
      <c r="AH469">
        <v>0.54055466592207102</v>
      </c>
      <c r="AI469">
        <v>108.66515073704301</v>
      </c>
      <c r="AJ469">
        <v>84.198408245580694</v>
      </c>
      <c r="AK469">
        <v>0.57350091261061398</v>
      </c>
      <c r="AL469">
        <v>93.228113031398806</v>
      </c>
      <c r="AM469">
        <v>93.190863451670197</v>
      </c>
      <c r="AN469">
        <v>1.0000000328143399</v>
      </c>
    </row>
    <row r="470" spans="1:40" x14ac:dyDescent="0.25">
      <c r="A470" t="str">
        <f>"20190305135205551"</f>
        <v>20190305135205551</v>
      </c>
      <c r="B470" t="str">
        <f>"1551765125540142"</f>
        <v>1551765125540142</v>
      </c>
      <c r="C470" t="s">
        <v>40</v>
      </c>
      <c r="D470">
        <v>4.8683930000000002</v>
      </c>
      <c r="E470">
        <v>0.53061829999999999</v>
      </c>
      <c r="F470" t="s">
        <v>41</v>
      </c>
      <c r="G470">
        <v>-352.81869999999998</v>
      </c>
      <c r="H470">
        <v>0.92976110000000001</v>
      </c>
      <c r="I470">
        <v>367.78030000000001</v>
      </c>
      <c r="J470">
        <v>-353.3938</v>
      </c>
      <c r="K470">
        <v>1.109132</v>
      </c>
      <c r="L470">
        <v>367.81229999999999</v>
      </c>
      <c r="M470">
        <v>0.99988489999999997</v>
      </c>
      <c r="N470">
        <v>-1.4740120000000001E-2</v>
      </c>
      <c r="O470">
        <v>3.6279810000000002E-3</v>
      </c>
      <c r="P470">
        <v>0.99574490000000004</v>
      </c>
      <c r="Q470">
        <v>-7.0656449999999996E-2</v>
      </c>
      <c r="R470">
        <v>5.9161810000000002E-2</v>
      </c>
      <c r="S470">
        <v>2.9771420000000002</v>
      </c>
      <c r="T470">
        <v>-0.58414670000000002</v>
      </c>
      <c r="U470">
        <v>-9.9395750000000005E-2</v>
      </c>
      <c r="V470">
        <v>-5.5550330000000002E-2</v>
      </c>
      <c r="W470">
        <v>-5.5966109999999999E-2</v>
      </c>
      <c r="X470">
        <v>0.9968861</v>
      </c>
      <c r="Y470">
        <v>3.6192509999999997E-2</v>
      </c>
      <c r="Z470">
        <v>-4.4376779999999996E-3</v>
      </c>
      <c r="AA470">
        <v>0.99933499999999997</v>
      </c>
      <c r="AB470">
        <v>36</v>
      </c>
      <c r="AC470">
        <v>0.57510000000002004</v>
      </c>
      <c r="AD470">
        <v>-0.1793709</v>
      </c>
      <c r="AE470">
        <v>-3.1999999999982202E-2</v>
      </c>
      <c r="AF470">
        <v>3.10730547080879E-2</v>
      </c>
      <c r="AG470">
        <v>-0.1793709</v>
      </c>
      <c r="AH470">
        <v>0.52414901046961604</v>
      </c>
      <c r="AI470">
        <v>108.860874855587</v>
      </c>
      <c r="AJ470">
        <v>86.607312840497201</v>
      </c>
      <c r="AK470">
        <v>0.55486182034086595</v>
      </c>
      <c r="AL470">
        <v>93.2082983237935</v>
      </c>
      <c r="AM470">
        <v>93.1894428359914</v>
      </c>
      <c r="AN470">
        <v>0.99999997050242495</v>
      </c>
    </row>
    <row r="471" spans="1:40" x14ac:dyDescent="0.25">
      <c r="A471" t="str">
        <f>"20190305135205566"</f>
        <v>20190305135205566</v>
      </c>
      <c r="B471" t="str">
        <f>"1551765125559663"</f>
        <v>1551765125559663</v>
      </c>
      <c r="C471" t="s">
        <v>40</v>
      </c>
      <c r="D471">
        <v>4.8648099999999896</v>
      </c>
      <c r="E471">
        <v>0.52961380000000002</v>
      </c>
      <c r="F471" t="s">
        <v>41</v>
      </c>
      <c r="G471">
        <v>-352.49489999999997</v>
      </c>
      <c r="H471">
        <v>0.93919039999999998</v>
      </c>
      <c r="I471">
        <v>367.7903</v>
      </c>
      <c r="J471">
        <v>-353.1721</v>
      </c>
      <c r="K471">
        <v>1.1091329999999999</v>
      </c>
      <c r="L471">
        <v>367.81310000000002</v>
      </c>
      <c r="M471">
        <v>0.99988489999999997</v>
      </c>
      <c r="N471">
        <v>-1.4737729999999999E-2</v>
      </c>
      <c r="O471">
        <v>3.6279989999999998E-3</v>
      </c>
      <c r="P471">
        <v>0.99576319999999996</v>
      </c>
      <c r="Q471">
        <v>-7.0321049999999996E-2</v>
      </c>
      <c r="R471">
        <v>5.9250890000000001E-2</v>
      </c>
      <c r="S471">
        <v>2.9772029999999998</v>
      </c>
      <c r="T471">
        <v>-0.56289719999999999</v>
      </c>
      <c r="U471">
        <v>-7.2631840000000003E-2</v>
      </c>
      <c r="V471">
        <v>-5.563978E-2</v>
      </c>
      <c r="W471">
        <v>-5.5632840000000003E-2</v>
      </c>
      <c r="X471">
        <v>0.9968998</v>
      </c>
      <c r="Y471">
        <v>2.743688E-2</v>
      </c>
      <c r="Z471">
        <v>-3.4015180000000001E-3</v>
      </c>
      <c r="AA471">
        <v>0.9996178</v>
      </c>
      <c r="AB471">
        <v>36</v>
      </c>
      <c r="AC471">
        <v>0.677200000000027</v>
      </c>
      <c r="AD471">
        <v>-0.169942599999999</v>
      </c>
      <c r="AE471">
        <v>-2.28000000000179E-2</v>
      </c>
      <c r="AF471">
        <v>2.37622553834482E-2</v>
      </c>
      <c r="AG471">
        <v>-0.169942599999999</v>
      </c>
      <c r="AH471">
        <v>0.637040394096826</v>
      </c>
      <c r="AI471">
        <v>104.926971630075</v>
      </c>
      <c r="AJ471">
        <v>87.863799459428193</v>
      </c>
      <c r="AK471">
        <v>0.65974661483535302</v>
      </c>
      <c r="AL471">
        <v>93.1891734533109</v>
      </c>
      <c r="AM471">
        <v>93.194524201564505</v>
      </c>
      <c r="AN471">
        <v>1.00000000462247</v>
      </c>
    </row>
    <row r="472" spans="1:40" x14ac:dyDescent="0.25">
      <c r="A472" t="str">
        <f>"20190305135205578"</f>
        <v>20190305135205578</v>
      </c>
      <c r="B472" t="str">
        <f>"1551765125570399"</f>
        <v>1551765125570399</v>
      </c>
      <c r="C472" t="s">
        <v>40</v>
      </c>
      <c r="D472">
        <v>4.8670650000000002</v>
      </c>
      <c r="E472">
        <v>0.52933850000000005</v>
      </c>
      <c r="F472" t="s">
        <v>41</v>
      </c>
      <c r="G472">
        <v>-352.18290000000002</v>
      </c>
      <c r="H472">
        <v>0.92483769999999998</v>
      </c>
      <c r="I472">
        <v>367.79149999999998</v>
      </c>
      <c r="J472">
        <v>-352.96420000000001</v>
      </c>
      <c r="K472">
        <v>1.109137</v>
      </c>
      <c r="L472">
        <v>367.81389999999999</v>
      </c>
      <c r="M472">
        <v>0.99988489999999997</v>
      </c>
      <c r="N472">
        <v>-1.473548E-2</v>
      </c>
      <c r="O472">
        <v>3.628016E-3</v>
      </c>
      <c r="P472">
        <v>0.99578739999999999</v>
      </c>
      <c r="Q472">
        <v>-7.0025530000000002E-2</v>
      </c>
      <c r="R472">
        <v>5.9193559999999999E-2</v>
      </c>
      <c r="S472">
        <v>2.9773860000000001</v>
      </c>
      <c r="T472">
        <v>-0.55481510000000001</v>
      </c>
      <c r="U472">
        <v>-6.3995360000000001E-2</v>
      </c>
      <c r="V472">
        <v>-5.5582230000000003E-2</v>
      </c>
      <c r="W472">
        <v>-5.5339260000000001E-2</v>
      </c>
      <c r="X472">
        <v>0.99691929999999995</v>
      </c>
      <c r="Y472">
        <v>2.4605869999999998E-2</v>
      </c>
      <c r="Z472">
        <v>-3.0729170000000001E-3</v>
      </c>
      <c r="AA472">
        <v>0.99969249999999998</v>
      </c>
      <c r="AB472">
        <v>36</v>
      </c>
      <c r="AC472">
        <v>0.781299999999987</v>
      </c>
      <c r="AD472">
        <v>-0.184299299999999</v>
      </c>
      <c r="AE472">
        <v>-2.24000000000046E-2</v>
      </c>
      <c r="AF472">
        <v>2.3905636599573898E-2</v>
      </c>
      <c r="AG472">
        <v>-0.184299299999999</v>
      </c>
      <c r="AH472">
        <v>0.74006770200230798</v>
      </c>
      <c r="AI472">
        <v>103.976937391196</v>
      </c>
      <c r="AJ472">
        <v>88.149877380707693</v>
      </c>
      <c r="AK472">
        <v>0.76304515920664695</v>
      </c>
      <c r="AL472">
        <v>93.172326764818294</v>
      </c>
      <c r="AM472">
        <v>93.191164543840799</v>
      </c>
      <c r="AN472">
        <v>0.99999995435080402</v>
      </c>
    </row>
    <row r="473" spans="1:40" x14ac:dyDescent="0.25">
      <c r="A473" t="str">
        <f>"20190305135205591"</f>
        <v>20190305135205591</v>
      </c>
      <c r="B473" t="str">
        <f>"1551765125580160"</f>
        <v>1551765125580160</v>
      </c>
      <c r="C473" t="s">
        <v>40</v>
      </c>
      <c r="D473">
        <v>4.8396509999999999</v>
      </c>
      <c r="E473">
        <v>0.52921240000000003</v>
      </c>
      <c r="F473" t="s">
        <v>41</v>
      </c>
      <c r="G473">
        <v>-352.16550000000001</v>
      </c>
      <c r="H473">
        <v>0.96130070000000001</v>
      </c>
      <c r="I473">
        <v>367.79700000000003</v>
      </c>
      <c r="J473">
        <v>-352.7654</v>
      </c>
      <c r="K473">
        <v>1.1091390000000001</v>
      </c>
      <c r="L473">
        <v>367.81459999999998</v>
      </c>
      <c r="M473">
        <v>0.99988500000000002</v>
      </c>
      <c r="N473">
        <v>-1.4733319999999999E-2</v>
      </c>
      <c r="O473">
        <v>3.6280319999999998E-3</v>
      </c>
      <c r="P473">
        <v>0.9957994</v>
      </c>
      <c r="Q473">
        <v>-6.9851679999999999E-2</v>
      </c>
      <c r="R473">
        <v>5.9196260000000001E-2</v>
      </c>
      <c r="S473">
        <v>2.9775999999999998</v>
      </c>
      <c r="T473">
        <v>-0.55128129999999997</v>
      </c>
      <c r="U473">
        <v>-6.1859129999999998E-2</v>
      </c>
      <c r="V473">
        <v>-5.5585130000000003E-2</v>
      </c>
      <c r="W473">
        <v>-5.516741E-2</v>
      </c>
      <c r="X473">
        <v>0.9969287</v>
      </c>
      <c r="Y473">
        <v>2.3906630000000002E-2</v>
      </c>
      <c r="Z473">
        <v>-2.9848819999999999E-3</v>
      </c>
      <c r="AA473">
        <v>0.99970970000000003</v>
      </c>
      <c r="AB473">
        <v>36</v>
      </c>
      <c r="AC473">
        <v>0.599899999999991</v>
      </c>
      <c r="AD473">
        <v>-0.14783829999999901</v>
      </c>
      <c r="AE473">
        <v>-1.7600000000015801E-2</v>
      </c>
      <c r="AF473">
        <v>1.86451940419913E-2</v>
      </c>
      <c r="AG473">
        <v>-0.14783829999999901</v>
      </c>
      <c r="AH473">
        <v>0.56551686637917697</v>
      </c>
      <c r="AI473">
        <v>104.64286739751</v>
      </c>
      <c r="AJ473">
        <v>88.111631759477802</v>
      </c>
      <c r="AK473">
        <v>0.58481888851770003</v>
      </c>
      <c r="AL473">
        <v>93.162465303029805</v>
      </c>
      <c r="AM473">
        <v>93.191300669815107</v>
      </c>
      <c r="AN473">
        <v>0.99999999134345696</v>
      </c>
    </row>
    <row r="474" spans="1:40" x14ac:dyDescent="0.25">
      <c r="A474" t="str">
        <f>"20190305135205605"</f>
        <v>20190305135205605</v>
      </c>
      <c r="B474" t="str">
        <f>"1551765125599679"</f>
        <v>1551765125599679</v>
      </c>
      <c r="C474" t="s">
        <v>40</v>
      </c>
      <c r="D474">
        <v>4.8746850000000004</v>
      </c>
      <c r="E474">
        <v>0.52890289999999995</v>
      </c>
      <c r="F474" t="s">
        <v>41</v>
      </c>
      <c r="G474">
        <v>-351.85669999999999</v>
      </c>
      <c r="H474">
        <v>0.94146560000000001</v>
      </c>
      <c r="I474">
        <v>367.79590000000002</v>
      </c>
      <c r="J474">
        <v>-352.53930000000003</v>
      </c>
      <c r="K474">
        <v>1.10914</v>
      </c>
      <c r="L474">
        <v>367.81549999999999</v>
      </c>
      <c r="M474">
        <v>0.99988500000000002</v>
      </c>
      <c r="N474">
        <v>-1.473086E-2</v>
      </c>
      <c r="O474">
        <v>3.6280499999999999E-3</v>
      </c>
      <c r="P474">
        <v>0.99581310000000001</v>
      </c>
      <c r="Q474">
        <v>-6.948261E-2</v>
      </c>
      <c r="R474">
        <v>5.940206E-2</v>
      </c>
      <c r="S474">
        <v>2.977722</v>
      </c>
      <c r="T474">
        <v>-0.54953160000000001</v>
      </c>
      <c r="U474">
        <v>-6.1126710000000001E-2</v>
      </c>
      <c r="V474">
        <v>-5.5790670000000001E-2</v>
      </c>
      <c r="W474">
        <v>-5.480061E-2</v>
      </c>
      <c r="X474">
        <v>0.99693750000000003</v>
      </c>
      <c r="Y474">
        <v>2.3667420000000002E-2</v>
      </c>
      <c r="Z474">
        <v>-2.952152E-3</v>
      </c>
      <c r="AA474">
        <v>0.99971549999999998</v>
      </c>
      <c r="AB474">
        <v>36</v>
      </c>
      <c r="AC474">
        <v>0.68260000000003596</v>
      </c>
      <c r="AD474">
        <v>-0.1676744</v>
      </c>
      <c r="AE474">
        <v>-1.95999999999685E-2</v>
      </c>
      <c r="AF474">
        <v>2.08213346669586E-2</v>
      </c>
      <c r="AG474">
        <v>-0.1676744</v>
      </c>
      <c r="AH474">
        <v>0.64371501197659797</v>
      </c>
      <c r="AI474">
        <v>104.59262755062799</v>
      </c>
      <c r="AJ474">
        <v>88.147380759311005</v>
      </c>
      <c r="AK474">
        <v>0.66552028446675104</v>
      </c>
      <c r="AL474">
        <v>93.141417209958206</v>
      </c>
      <c r="AM474">
        <v>93.203048565570001</v>
      </c>
      <c r="AN474">
        <v>1.00000004231083</v>
      </c>
    </row>
    <row r="475" spans="1:40" x14ac:dyDescent="0.25">
      <c r="A475" t="str">
        <f>"20190305135205620"</f>
        <v>20190305135205620</v>
      </c>
      <c r="B475" t="str">
        <f>"1551765125610414"</f>
        <v>1551765125610414</v>
      </c>
      <c r="C475" t="s">
        <v>40</v>
      </c>
      <c r="D475">
        <v>4.8345510000000003</v>
      </c>
      <c r="E475">
        <v>0.52874030000000005</v>
      </c>
      <c r="F475" t="s">
        <v>41</v>
      </c>
      <c r="G475">
        <v>-351.83800000000002</v>
      </c>
      <c r="H475">
        <v>0.97990639999999996</v>
      </c>
      <c r="I475">
        <v>367.80160000000001</v>
      </c>
      <c r="J475">
        <v>-352.3098</v>
      </c>
      <c r="K475">
        <v>1.1091420000000001</v>
      </c>
      <c r="L475">
        <v>367.81630000000001</v>
      </c>
      <c r="M475">
        <v>0.99988500000000002</v>
      </c>
      <c r="N475">
        <v>-1.4728369999999999E-2</v>
      </c>
      <c r="O475">
        <v>3.6280689999999998E-3</v>
      </c>
      <c r="P475">
        <v>0.99581330000000001</v>
      </c>
      <c r="Q475">
        <v>-6.9302030000000001E-2</v>
      </c>
      <c r="R475">
        <v>5.9611030000000002E-2</v>
      </c>
      <c r="S475">
        <v>2.9777529999999999</v>
      </c>
      <c r="T475">
        <v>-0.54880739999999995</v>
      </c>
      <c r="U475">
        <v>-5.825806E-2</v>
      </c>
      <c r="V475">
        <v>-5.5999899999999998E-2</v>
      </c>
      <c r="W475">
        <v>-5.4622499999999997E-2</v>
      </c>
      <c r="X475">
        <v>0.99693549999999997</v>
      </c>
      <c r="Y475">
        <v>2.2722949999999999E-2</v>
      </c>
      <c r="Z475">
        <v>-2.8551399999999999E-3</v>
      </c>
      <c r="AA475">
        <v>0.99973769999999995</v>
      </c>
      <c r="AB475">
        <v>36</v>
      </c>
      <c r="AC475">
        <v>0.47179999999997302</v>
      </c>
      <c r="AD475">
        <v>-0.12923560000000001</v>
      </c>
      <c r="AE475">
        <v>-1.47000000000048E-2</v>
      </c>
      <c r="AF475">
        <v>1.5267375933026101E-2</v>
      </c>
      <c r="AG475">
        <v>-0.12923560000000001</v>
      </c>
      <c r="AH475">
        <v>0.43884772161240299</v>
      </c>
      <c r="AI475">
        <v>106.399706128921</v>
      </c>
      <c r="AJ475">
        <v>88.007501222334298</v>
      </c>
      <c r="AK475">
        <v>0.45773601108022699</v>
      </c>
      <c r="AL475">
        <v>93.131197087782894</v>
      </c>
      <c r="AM475">
        <v>93.215042142133896</v>
      </c>
      <c r="AN475">
        <v>0.99999999873325496</v>
      </c>
    </row>
    <row r="476" spans="1:40" x14ac:dyDescent="0.25">
      <c r="A476" t="str">
        <f>"20190305135205633"</f>
        <v>20190305135205633</v>
      </c>
      <c r="B476" t="str">
        <f>"1551765125620175"</f>
        <v>1551765125620175</v>
      </c>
      <c r="C476" t="s">
        <v>40</v>
      </c>
      <c r="D476">
        <v>4.8457720000000002</v>
      </c>
      <c r="E476">
        <v>0.52860269999999898</v>
      </c>
      <c r="F476" t="s">
        <v>41</v>
      </c>
      <c r="G476">
        <v>-351.5274</v>
      </c>
      <c r="H476">
        <v>0.96491400000000005</v>
      </c>
      <c r="I476">
        <v>367.80119999999999</v>
      </c>
      <c r="J476">
        <v>-352.09030000000001</v>
      </c>
      <c r="K476">
        <v>1.1091420000000001</v>
      </c>
      <c r="L476">
        <v>367.81709999999998</v>
      </c>
      <c r="M476">
        <v>0.99988509999999997</v>
      </c>
      <c r="N476">
        <v>-1.472596E-2</v>
      </c>
      <c r="O476">
        <v>3.627908E-3</v>
      </c>
      <c r="P476">
        <v>0.9958186</v>
      </c>
      <c r="Q476">
        <v>-6.8997420000000004E-2</v>
      </c>
      <c r="R476">
        <v>5.9876110000000003E-2</v>
      </c>
      <c r="S476">
        <v>2.9777529999999999</v>
      </c>
      <c r="T476">
        <v>-0.54909419999999898</v>
      </c>
      <c r="U476">
        <v>-5.6060789999999999E-2</v>
      </c>
      <c r="V476">
        <v>-5.6265139999999998E-2</v>
      </c>
      <c r="W476">
        <v>-5.4320229999999997E-2</v>
      </c>
      <c r="X476">
        <v>0.99693710000000002</v>
      </c>
      <c r="Y476">
        <v>2.1998090000000001E-2</v>
      </c>
      <c r="Z476">
        <v>-2.7848669999999999E-3</v>
      </c>
      <c r="AA476">
        <v>0.99975409999999998</v>
      </c>
      <c r="AB476">
        <v>36</v>
      </c>
      <c r="AC476">
        <v>0.56290000000001295</v>
      </c>
      <c r="AD476">
        <v>-0.144228</v>
      </c>
      <c r="AE476">
        <v>-1.5899999999987799E-2</v>
      </c>
      <c r="AF476">
        <v>1.6837744400473101E-2</v>
      </c>
      <c r="AG476">
        <v>-0.144228</v>
      </c>
      <c r="AH476">
        <v>0.52819039562913195</v>
      </c>
      <c r="AI476">
        <v>105.26550213431599</v>
      </c>
      <c r="AJ476">
        <v>88.174133597974304</v>
      </c>
      <c r="AK476">
        <v>0.54778674651305204</v>
      </c>
      <c r="AL476">
        <v>93.113852483484195</v>
      </c>
      <c r="AM476">
        <v>93.230232641849994</v>
      </c>
      <c r="AN476">
        <v>1.0000000173614401</v>
      </c>
    </row>
    <row r="477" spans="1:40" x14ac:dyDescent="0.25">
      <c r="A477" t="str">
        <f>"20190305135205646"</f>
        <v>20190305135205646</v>
      </c>
      <c r="B477" t="str">
        <f>"1551765125639694"</f>
        <v>1551765125639694</v>
      </c>
      <c r="C477" t="s">
        <v>40</v>
      </c>
      <c r="D477">
        <v>4.8367630000000004</v>
      </c>
      <c r="E477">
        <v>0.52852739999999998</v>
      </c>
      <c r="F477" t="s">
        <v>41</v>
      </c>
      <c r="G477">
        <v>-351.21769999999998</v>
      </c>
      <c r="H477">
        <v>0.94841189999999997</v>
      </c>
      <c r="I477">
        <v>367.80099999999999</v>
      </c>
      <c r="J477">
        <v>-351.8811</v>
      </c>
      <c r="K477">
        <v>1.1091439999999999</v>
      </c>
      <c r="L477">
        <v>367.81779999999998</v>
      </c>
      <c r="M477">
        <v>0.99988509999999997</v>
      </c>
      <c r="N477">
        <v>-1.4723669999999999E-2</v>
      </c>
      <c r="O477">
        <v>3.6279250000000002E-3</v>
      </c>
      <c r="P477">
        <v>0.99580480000000005</v>
      </c>
      <c r="Q477">
        <v>-6.9144849999999994E-2</v>
      </c>
      <c r="R477">
        <v>5.9936150000000001E-2</v>
      </c>
      <c r="S477">
        <v>2.977875</v>
      </c>
      <c r="T477">
        <v>-0.54856159999999998</v>
      </c>
      <c r="U477">
        <v>-5.4382319999999998E-2</v>
      </c>
      <c r="V477">
        <v>-5.6325060000000003E-2</v>
      </c>
      <c r="W477">
        <v>-5.4470110000000002E-2</v>
      </c>
      <c r="X477">
        <v>0.99692550000000002</v>
      </c>
      <c r="Y477">
        <v>2.1444970000000001E-2</v>
      </c>
      <c r="Z477">
        <v>-2.7275759999999998E-3</v>
      </c>
      <c r="AA477">
        <v>0.9997663</v>
      </c>
      <c r="AB477">
        <v>36</v>
      </c>
      <c r="AC477">
        <v>0.66340000000002397</v>
      </c>
      <c r="AD477">
        <v>-0.16073209999999999</v>
      </c>
      <c r="AE477">
        <v>-1.6799999999989199E-2</v>
      </c>
      <c r="AF477">
        <v>1.8142588474418599E-2</v>
      </c>
      <c r="AG477">
        <v>-0.16073209999999999</v>
      </c>
      <c r="AH477">
        <v>0.62657681921305097</v>
      </c>
      <c r="AI477">
        <v>104.381741295797</v>
      </c>
      <c r="AJ477">
        <v>88.341458923625595</v>
      </c>
      <c r="AK477">
        <v>0.64711859180687004</v>
      </c>
      <c r="AL477">
        <v>93.122452827706994</v>
      </c>
      <c r="AM477">
        <v>93.233702953193401</v>
      </c>
      <c r="AN477">
        <v>0.99999997890883197</v>
      </c>
    </row>
    <row r="478" spans="1:40" x14ac:dyDescent="0.25">
      <c r="A478" t="str">
        <f>"20190305135205663"</f>
        <v>20190305135205663</v>
      </c>
      <c r="B478" t="str">
        <f>"1551765125650431"</f>
        <v>1551765125650431</v>
      </c>
      <c r="C478" t="s">
        <v>40</v>
      </c>
      <c r="D478">
        <v>4.8139849999999997</v>
      </c>
      <c r="E478">
        <v>0.52829099999999996</v>
      </c>
      <c r="F478" t="s">
        <v>41</v>
      </c>
      <c r="G478">
        <v>-350.90949999999998</v>
      </c>
      <c r="H478">
        <v>0.92967339999999998</v>
      </c>
      <c r="I478">
        <v>367.80009999999999</v>
      </c>
      <c r="J478">
        <v>-351.6114</v>
      </c>
      <c r="K478">
        <v>1.1091439999999999</v>
      </c>
      <c r="L478">
        <v>367.81880000000001</v>
      </c>
      <c r="M478">
        <v>0.99988509999999997</v>
      </c>
      <c r="N478">
        <v>-1.4720840000000001E-2</v>
      </c>
      <c r="O478">
        <v>3.6281239999999999E-3</v>
      </c>
      <c r="P478">
        <v>0.99577740000000003</v>
      </c>
      <c r="Q478">
        <v>-6.9386149999999994E-2</v>
      </c>
      <c r="R478">
        <v>6.0107519999999998E-2</v>
      </c>
      <c r="S478">
        <v>2.9776919999999998</v>
      </c>
      <c r="T478">
        <v>-0.55012130000000004</v>
      </c>
      <c r="U478">
        <v>-5.334473E-2</v>
      </c>
      <c r="V478">
        <v>-5.6495900000000002E-2</v>
      </c>
      <c r="W478">
        <v>-5.471459E-2</v>
      </c>
      <c r="X478">
        <v>0.99690250000000002</v>
      </c>
      <c r="Y478">
        <v>2.1101809999999999E-2</v>
      </c>
      <c r="Z478">
        <v>-2.7011159999999999E-3</v>
      </c>
      <c r="AA478">
        <v>0.99977369999999999</v>
      </c>
      <c r="AB478">
        <v>36</v>
      </c>
      <c r="AC478">
        <v>0.70190000000002295</v>
      </c>
      <c r="AD478">
        <v>-0.17947060000000001</v>
      </c>
      <c r="AE478">
        <v>-1.8700000000023899E-2</v>
      </c>
      <c r="AF478">
        <v>1.9943761079898401E-2</v>
      </c>
      <c r="AG478">
        <v>-0.17947060000000001</v>
      </c>
      <c r="AH478">
        <v>0.65878742384687905</v>
      </c>
      <c r="AI478">
        <v>105.232378743941</v>
      </c>
      <c r="AJ478">
        <v>88.265989297379207</v>
      </c>
      <c r="AK478">
        <v>0.68308734411433802</v>
      </c>
      <c r="AL478">
        <v>93.136481248385095</v>
      </c>
      <c r="AM478">
        <v>93.243564886860796</v>
      </c>
      <c r="AN478">
        <v>1.00000003379096</v>
      </c>
    </row>
    <row r="479" spans="1:40" x14ac:dyDescent="0.25">
      <c r="A479" t="str">
        <f>"20190305135205675"</f>
        <v>20190305135205675</v>
      </c>
      <c r="B479" t="str">
        <f>"1551765125669950"</f>
        <v>1551765125669950</v>
      </c>
      <c r="C479" t="s">
        <v>40</v>
      </c>
      <c r="D479">
        <v>4.7801070000000001</v>
      </c>
      <c r="E479">
        <v>0.52783380000000002</v>
      </c>
      <c r="F479" t="s">
        <v>41</v>
      </c>
      <c r="G479">
        <v>-350.88760000000002</v>
      </c>
      <c r="H479">
        <v>0.97495790000000004</v>
      </c>
      <c r="I479">
        <v>367.80619999999999</v>
      </c>
      <c r="J479">
        <v>-351.42079999999999</v>
      </c>
      <c r="K479">
        <v>1.1091420000000001</v>
      </c>
      <c r="L479">
        <v>367.81950000000001</v>
      </c>
      <c r="M479">
        <v>0.99988509999999997</v>
      </c>
      <c r="N479">
        <v>-1.4718739999999999E-2</v>
      </c>
      <c r="O479">
        <v>3.62796E-3</v>
      </c>
      <c r="P479">
        <v>0.99576430000000005</v>
      </c>
      <c r="Q479">
        <v>-6.9393860000000002E-2</v>
      </c>
      <c r="R479">
        <v>6.0315500000000001E-2</v>
      </c>
      <c r="S479">
        <v>2.9773559999999999</v>
      </c>
      <c r="T479">
        <v>-0.552145</v>
      </c>
      <c r="U479">
        <v>-5.096436E-2</v>
      </c>
      <c r="V479">
        <v>-5.6704549999999999E-2</v>
      </c>
      <c r="W479">
        <v>-5.472457E-2</v>
      </c>
      <c r="X479">
        <v>0.9968901</v>
      </c>
      <c r="Y479">
        <v>2.0315840000000002E-2</v>
      </c>
      <c r="Z479">
        <v>-2.6326919999999998E-3</v>
      </c>
      <c r="AA479">
        <v>0.99979010000000001</v>
      </c>
      <c r="AB479">
        <v>36</v>
      </c>
      <c r="AC479">
        <v>0.53319999999996504</v>
      </c>
      <c r="AD479">
        <v>-0.1341841</v>
      </c>
      <c r="AE479">
        <v>-1.33000000000151E-2</v>
      </c>
      <c r="AF479">
        <v>1.43277145486832E-2</v>
      </c>
      <c r="AG479">
        <v>-0.1341841</v>
      </c>
      <c r="AH479">
        <v>0.50141261508758395</v>
      </c>
      <c r="AI479">
        <v>104.97614206489401</v>
      </c>
      <c r="AJ479">
        <v>88.363235729742897</v>
      </c>
      <c r="AK479">
        <v>0.51925452975007202</v>
      </c>
      <c r="AL479">
        <v>93.137053936378294</v>
      </c>
      <c r="AM479">
        <v>93.255558671408707</v>
      </c>
      <c r="AN479">
        <v>1.0000000280151899</v>
      </c>
    </row>
    <row r="480" spans="1:40" x14ac:dyDescent="0.25">
      <c r="A480" t="str">
        <f>"20190305135205689"</f>
        <v>20190305135205689</v>
      </c>
      <c r="B480" t="str">
        <f>"1551765125679710"</f>
        <v>1551765125679710</v>
      </c>
      <c r="C480" t="s">
        <v>40</v>
      </c>
      <c r="D480">
        <v>4.8443079999999998</v>
      </c>
      <c r="E480">
        <v>0.50630799999999998</v>
      </c>
      <c r="F480" t="s">
        <v>41</v>
      </c>
      <c r="G480">
        <v>-350.58069999999998</v>
      </c>
      <c r="H480">
        <v>0.95419989999999999</v>
      </c>
      <c r="I480">
        <v>367.80630000000002</v>
      </c>
      <c r="J480">
        <v>-351.20280000000002</v>
      </c>
      <c r="K480">
        <v>1.109145</v>
      </c>
      <c r="L480">
        <v>367.82029999999997</v>
      </c>
      <c r="M480">
        <v>0.99988529999999998</v>
      </c>
      <c r="N480">
        <v>-1.4716369999999999E-2</v>
      </c>
      <c r="O480">
        <v>3.6276780000000001E-3</v>
      </c>
      <c r="P480">
        <v>0.99576249999999999</v>
      </c>
      <c r="Q480">
        <v>-6.9317589999999998E-2</v>
      </c>
      <c r="R480">
        <v>6.0436980000000001E-2</v>
      </c>
      <c r="S480">
        <v>2.9772949999999998</v>
      </c>
      <c r="T480">
        <v>-0.54920630000000004</v>
      </c>
      <c r="U480">
        <v>-4.6447750000000003E-2</v>
      </c>
      <c r="V480">
        <v>-5.6826460000000002E-2</v>
      </c>
      <c r="W480">
        <v>-5.4650650000000002E-2</v>
      </c>
      <c r="X480">
        <v>0.99688719999999997</v>
      </c>
      <c r="Y480">
        <v>1.8831049999999998E-2</v>
      </c>
      <c r="Z480">
        <v>-2.4726040000000002E-3</v>
      </c>
      <c r="AA480">
        <v>0.99981960000000003</v>
      </c>
      <c r="AB480">
        <v>35</v>
      </c>
      <c r="AC480">
        <v>0.62210000000004495</v>
      </c>
      <c r="AD480">
        <v>-0.1549451</v>
      </c>
      <c r="AE480">
        <v>-1.39999999999531E-2</v>
      </c>
      <c r="AF480">
        <v>1.53077952519258E-2</v>
      </c>
      <c r="AG480">
        <v>-0.1549451</v>
      </c>
      <c r="AH480">
        <v>0.58572799447838597</v>
      </c>
      <c r="AI480">
        <v>104.812452997747</v>
      </c>
      <c r="AJ480">
        <v>88.502935721411404</v>
      </c>
      <c r="AK480">
        <v>0.60606896977584701</v>
      </c>
      <c r="AL480">
        <v>93.132812326300296</v>
      </c>
      <c r="AM480">
        <v>93.262552214921698</v>
      </c>
      <c r="AN480">
        <v>1.00000001481269</v>
      </c>
    </row>
    <row r="481" spans="1:40" x14ac:dyDescent="0.25">
      <c r="A481" t="str">
        <f>"20190305135205709"</f>
        <v>20190305135205709</v>
      </c>
      <c r="B481" t="str">
        <f>"1551765125700206"</f>
        <v>1551765125700206</v>
      </c>
      <c r="C481" t="s">
        <v>40</v>
      </c>
      <c r="D481">
        <v>4.9505249999999998</v>
      </c>
      <c r="E481">
        <v>0.50434959999999995</v>
      </c>
      <c r="F481" t="s">
        <v>41</v>
      </c>
      <c r="G481">
        <v>-350.24290000000002</v>
      </c>
      <c r="H481">
        <v>0.99547490000000005</v>
      </c>
      <c r="I481">
        <v>367.8614</v>
      </c>
      <c r="J481">
        <v>-350.87970000000001</v>
      </c>
      <c r="K481">
        <v>1.1091500000000001</v>
      </c>
      <c r="L481">
        <v>367.82150000000001</v>
      </c>
      <c r="M481">
        <v>0.99988509999999997</v>
      </c>
      <c r="N481">
        <v>-1.4712950000000001E-2</v>
      </c>
      <c r="O481">
        <v>3.6273410000000001E-3</v>
      </c>
      <c r="P481">
        <v>0.99576319999999996</v>
      </c>
      <c r="Q481">
        <v>-6.8999599999999994E-2</v>
      </c>
      <c r="R481">
        <v>6.0784919999999999E-2</v>
      </c>
      <c r="S481">
        <v>2.9803769999999998</v>
      </c>
      <c r="T481">
        <v>-0.35308899999999999</v>
      </c>
      <c r="U481">
        <v>0.12820429999999999</v>
      </c>
      <c r="V481">
        <v>-5.7174460000000003E-2</v>
      </c>
      <c r="W481">
        <v>-5.4336040000000002E-2</v>
      </c>
      <c r="X481">
        <v>0.99688449999999995</v>
      </c>
      <c r="Y481">
        <v>-3.906432E-2</v>
      </c>
      <c r="Z481">
        <v>2.2186829999999999E-3</v>
      </c>
      <c r="AA481">
        <v>0.99923430000000002</v>
      </c>
      <c r="AB481">
        <v>35</v>
      </c>
      <c r="AC481">
        <v>0.63679999999999304</v>
      </c>
      <c r="AD481">
        <v>-0.1136751</v>
      </c>
      <c r="AE481">
        <v>3.9899999999988701E-2</v>
      </c>
      <c r="AF481">
        <v>-3.64331652028584E-2</v>
      </c>
      <c r="AG481">
        <v>-0.1136751</v>
      </c>
      <c r="AH481">
        <v>0.61734529483013401</v>
      </c>
      <c r="AI481">
        <v>100.41558541568099</v>
      </c>
      <c r="AJ481">
        <v>93.377442429680698</v>
      </c>
      <c r="AK481">
        <v>0.62878026124840602</v>
      </c>
      <c r="AL481">
        <v>93.114759676179006</v>
      </c>
      <c r="AM481">
        <v>93.282497098383004</v>
      </c>
      <c r="AN481">
        <v>1.0000000152297099</v>
      </c>
    </row>
    <row r="482" spans="1:40" x14ac:dyDescent="0.25">
      <c r="A482" t="str">
        <f>"20190305135205723"</f>
        <v>20190305135205723</v>
      </c>
      <c r="B482" t="str">
        <f>"1551765125719726"</f>
        <v>1551765125719726</v>
      </c>
      <c r="C482" t="s">
        <v>40</v>
      </c>
      <c r="D482">
        <v>4.9390340000000004</v>
      </c>
      <c r="E482">
        <v>0.50362989999999996</v>
      </c>
      <c r="F482" t="s">
        <v>42</v>
      </c>
      <c r="G482">
        <v>-338.55439999999999</v>
      </c>
      <c r="H482" s="1">
        <v>-8.1330190000000002E-7</v>
      </c>
      <c r="I482">
        <v>368.428</v>
      </c>
      <c r="J482">
        <v>-350.66109999999998</v>
      </c>
      <c r="K482">
        <v>1.109148</v>
      </c>
      <c r="L482">
        <v>367.82229999999998</v>
      </c>
      <c r="M482">
        <v>0.99988529999999998</v>
      </c>
      <c r="N482">
        <v>-1.4710569999999999E-2</v>
      </c>
      <c r="O482">
        <v>3.626879E-3</v>
      </c>
      <c r="P482">
        <v>0.99576149999999997</v>
      </c>
      <c r="Q482">
        <v>-6.8887069999999995E-2</v>
      </c>
      <c r="R482">
        <v>6.094231E-2</v>
      </c>
      <c r="S482">
        <v>2.9851679999999998</v>
      </c>
      <c r="T482">
        <v>-0.26863209999999998</v>
      </c>
      <c r="U482">
        <v>0.1469116</v>
      </c>
      <c r="V482">
        <v>-5.7332620000000001E-2</v>
      </c>
      <c r="W482">
        <v>-5.4225889999999999E-2</v>
      </c>
      <c r="X482">
        <v>0.99688140000000003</v>
      </c>
      <c r="Y482">
        <v>-4.5328599999999997E-2</v>
      </c>
      <c r="Z482">
        <v>2.0963240000000001E-3</v>
      </c>
      <c r="AA482">
        <v>0.99896989999999997</v>
      </c>
      <c r="AB482">
        <v>35</v>
      </c>
      <c r="AC482">
        <v>12.106699999999901</v>
      </c>
      <c r="AD482">
        <v>-1.1091488133018901</v>
      </c>
      <c r="AE482">
        <v>0.60570000000006896</v>
      </c>
      <c r="AF482">
        <v>-0.557117402938474</v>
      </c>
      <c r="AG482">
        <v>-1.1091488133018901</v>
      </c>
      <c r="AH482">
        <v>12.008281016320501</v>
      </c>
      <c r="AI482">
        <v>95.271532023544395</v>
      </c>
      <c r="AJ482">
        <v>92.656300517119305</v>
      </c>
      <c r="AK482">
        <v>12.0722576122956</v>
      </c>
      <c r="AL482">
        <v>93.108439272008297</v>
      </c>
      <c r="AM482">
        <v>93.291567647264102</v>
      </c>
      <c r="AN482">
        <v>1.0000000010641501</v>
      </c>
    </row>
    <row r="483" spans="1:40" x14ac:dyDescent="0.25">
      <c r="A483" t="str">
        <f>"20190305135205737"</f>
        <v>20190305135205737</v>
      </c>
      <c r="B483" t="str">
        <f>"1551765125730463"</f>
        <v>1551765125730463</v>
      </c>
      <c r="C483" t="s">
        <v>40</v>
      </c>
      <c r="D483">
        <v>4.9427139999999996</v>
      </c>
      <c r="E483">
        <v>0.50359409999999905</v>
      </c>
      <c r="F483" t="s">
        <v>42</v>
      </c>
      <c r="G483">
        <v>-336.48239999999998</v>
      </c>
      <c r="H483" s="1">
        <v>-1.6804719999999999E-6</v>
      </c>
      <c r="I483">
        <v>368.55029999999999</v>
      </c>
      <c r="J483">
        <v>-350.44409999999999</v>
      </c>
      <c r="K483">
        <v>1.1091470000000001</v>
      </c>
      <c r="L483">
        <v>367.82310000000001</v>
      </c>
      <c r="M483">
        <v>0.99988529999999998</v>
      </c>
      <c r="N483">
        <v>-1.470807E-2</v>
      </c>
      <c r="O483">
        <v>3.6261790000000002E-3</v>
      </c>
      <c r="P483">
        <v>0.99577380000000004</v>
      </c>
      <c r="Q483">
        <v>-6.888503E-2</v>
      </c>
      <c r="R483">
        <v>6.0741290000000003E-2</v>
      </c>
      <c r="S483">
        <v>2.987244</v>
      </c>
      <c r="T483">
        <v>-0.23368059999999999</v>
      </c>
      <c r="U483">
        <v>0.1533813</v>
      </c>
      <c r="V483">
        <v>-5.7132019999999999E-2</v>
      </c>
      <c r="W483">
        <v>-5.4226169999999997E-2</v>
      </c>
      <c r="X483">
        <v>0.99689289999999997</v>
      </c>
      <c r="Y483">
        <v>-4.7490989999999997E-2</v>
      </c>
      <c r="Z483">
        <v>1.9738030000000001E-3</v>
      </c>
      <c r="AA483">
        <v>0.99886969999999997</v>
      </c>
      <c r="AB483">
        <v>35</v>
      </c>
      <c r="AC483">
        <v>13.9617</v>
      </c>
      <c r="AD483">
        <v>-1.1091486804720001</v>
      </c>
      <c r="AE483">
        <v>0.72719999999998197</v>
      </c>
      <c r="AF483">
        <v>-0.672330475797981</v>
      </c>
      <c r="AG483">
        <v>-1.1091486804720001</v>
      </c>
      <c r="AH483">
        <v>13.8769042756396</v>
      </c>
      <c r="AI483">
        <v>94.564472177848998</v>
      </c>
      <c r="AJ483">
        <v>92.773788651746301</v>
      </c>
      <c r="AK483">
        <v>13.9373853838998</v>
      </c>
      <c r="AL483">
        <v>93.108455342877093</v>
      </c>
      <c r="AM483">
        <v>93.2800382793382</v>
      </c>
      <c r="AN483">
        <v>0.99999999964627895</v>
      </c>
    </row>
    <row r="484" spans="1:40" x14ac:dyDescent="0.25">
      <c r="A484" t="str">
        <f>"20190305135205752"</f>
        <v>20190305135205752</v>
      </c>
      <c r="B484" t="str">
        <f>"1551765125740222"</f>
        <v>1551765125740222</v>
      </c>
      <c r="C484" t="s">
        <v>40</v>
      </c>
      <c r="D484">
        <v>4.9436299999999997</v>
      </c>
      <c r="E484">
        <v>0.50360400000000005</v>
      </c>
      <c r="F484" t="s">
        <v>42</v>
      </c>
      <c r="G484">
        <v>-335.68209999999999</v>
      </c>
      <c r="H484" s="1">
        <v>-2.0183830000000002E-6</v>
      </c>
      <c r="I484">
        <v>368.58080000000001</v>
      </c>
      <c r="J484">
        <v>-350.1968</v>
      </c>
      <c r="K484">
        <v>1.10914</v>
      </c>
      <c r="L484">
        <v>367.82400000000001</v>
      </c>
      <c r="M484">
        <v>0.99988529999999998</v>
      </c>
      <c r="N484">
        <v>-1.470518E-2</v>
      </c>
      <c r="O484">
        <v>3.6251870000000002E-3</v>
      </c>
      <c r="P484">
        <v>0.99575190000000002</v>
      </c>
      <c r="Q484">
        <v>-6.9055549999999993E-2</v>
      </c>
      <c r="R484">
        <v>6.0904739999999999E-2</v>
      </c>
      <c r="S484">
        <v>2.9878849999999999</v>
      </c>
      <c r="T484">
        <v>-0.22449430000000001</v>
      </c>
      <c r="U484">
        <v>0.1533813</v>
      </c>
      <c r="V484">
        <v>-5.7296409999999999E-2</v>
      </c>
      <c r="W484">
        <v>-5.4399839999999998E-2</v>
      </c>
      <c r="X484">
        <v>0.99687400000000004</v>
      </c>
      <c r="Y484">
        <v>-4.7492600000000003E-2</v>
      </c>
      <c r="Z484">
        <v>1.9119339999999999E-3</v>
      </c>
      <c r="AA484">
        <v>0.99886980000000003</v>
      </c>
      <c r="AB484">
        <v>35</v>
      </c>
      <c r="AC484">
        <v>14.514699999999999</v>
      </c>
      <c r="AD484">
        <v>-1.1091420183830001</v>
      </c>
      <c r="AE484">
        <v>0.75679999999999803</v>
      </c>
      <c r="AF484">
        <v>-0.70009388394044203</v>
      </c>
      <c r="AG484">
        <v>-1.1091420183830001</v>
      </c>
      <c r="AH484">
        <v>14.433297096451801</v>
      </c>
      <c r="AI484">
        <v>94.389178403174995</v>
      </c>
      <c r="AJ484">
        <v>92.776982299932499</v>
      </c>
      <c r="AK484">
        <v>14.4927703541358</v>
      </c>
      <c r="AL484">
        <v>93.118420619776998</v>
      </c>
      <c r="AM484">
        <v>93.2895176984335</v>
      </c>
      <c r="AN484">
        <v>0.99999999653345595</v>
      </c>
    </row>
    <row r="485" spans="1:40" x14ac:dyDescent="0.25">
      <c r="A485" t="str">
        <f>"20190305135205764"</f>
        <v>20190305135205764</v>
      </c>
      <c r="B485" t="str">
        <f>"1551765125759743"</f>
        <v>1551765125759743</v>
      </c>
      <c r="C485" t="s">
        <v>40</v>
      </c>
      <c r="D485">
        <v>4.9314119999999999</v>
      </c>
      <c r="E485">
        <v>0.50364430000000004</v>
      </c>
      <c r="F485" t="s">
        <v>42</v>
      </c>
      <c r="G485">
        <v>-335.18369999999999</v>
      </c>
      <c r="H485" s="1">
        <v>-2.2294889999999999E-6</v>
      </c>
      <c r="I485">
        <v>368.59609999999998</v>
      </c>
      <c r="J485">
        <v>-350.017</v>
      </c>
      <c r="K485">
        <v>1.1091390000000001</v>
      </c>
      <c r="L485">
        <v>367.82459999999998</v>
      </c>
      <c r="M485">
        <v>0.99988529999999998</v>
      </c>
      <c r="N485">
        <v>-1.470306E-2</v>
      </c>
      <c r="O485">
        <v>3.6241910000000001E-3</v>
      </c>
      <c r="P485">
        <v>0.99573560000000005</v>
      </c>
      <c r="Q485">
        <v>-6.9070380000000001E-2</v>
      </c>
      <c r="R485">
        <v>6.1153939999999997E-2</v>
      </c>
      <c r="S485">
        <v>2.9880979999999999</v>
      </c>
      <c r="T485">
        <v>-0.22075429999999999</v>
      </c>
      <c r="U485">
        <v>0.1536865</v>
      </c>
      <c r="V485">
        <v>-5.7546399999999998E-2</v>
      </c>
      <c r="W485">
        <v>-5.4417029999999998E-2</v>
      </c>
      <c r="X485">
        <v>0.99685869999999999</v>
      </c>
      <c r="Y485">
        <v>-4.7595930000000002E-2</v>
      </c>
      <c r="Z485">
        <v>1.891315E-3</v>
      </c>
      <c r="AA485">
        <v>0.99886490000000006</v>
      </c>
      <c r="AB485">
        <v>35</v>
      </c>
      <c r="AC485">
        <v>14.833299999999999</v>
      </c>
      <c r="AD485">
        <v>-1.109141229489</v>
      </c>
      <c r="AE485">
        <v>0.77150000000000296</v>
      </c>
      <c r="AF485">
        <v>-0.71375051389397604</v>
      </c>
      <c r="AG485">
        <v>-1.109141229489</v>
      </c>
      <c r="AH485">
        <v>14.753731719873601</v>
      </c>
      <c r="AI485">
        <v>94.294234244992694</v>
      </c>
      <c r="AJ485">
        <v>92.769674423825805</v>
      </c>
      <c r="AK485">
        <v>14.812570125573799</v>
      </c>
      <c r="AL485">
        <v>93.119406876621397</v>
      </c>
      <c r="AM485">
        <v>93.303889065928104</v>
      </c>
      <c r="AN485">
        <v>1.00000003453633</v>
      </c>
    </row>
    <row r="486" spans="1:40" x14ac:dyDescent="0.25">
      <c r="A486" t="str">
        <f>"20190305135205775"</f>
        <v>20190305135205775</v>
      </c>
      <c r="B486" t="str">
        <f>"1551765125770479"</f>
        <v>1551765125770479</v>
      </c>
      <c r="C486" t="s">
        <v>40</v>
      </c>
      <c r="D486">
        <v>4.9222900000000003</v>
      </c>
      <c r="E486">
        <v>0.50347330000000001</v>
      </c>
      <c r="F486" t="s">
        <v>42</v>
      </c>
      <c r="G486">
        <v>-334.4658</v>
      </c>
      <c r="H486" s="1">
        <v>-2.5319540000000001E-6</v>
      </c>
      <c r="I486">
        <v>368.62709999999998</v>
      </c>
      <c r="J486">
        <v>-349.84539999999998</v>
      </c>
      <c r="K486">
        <v>1.109137</v>
      </c>
      <c r="L486">
        <v>367.8252</v>
      </c>
      <c r="M486">
        <v>0.99988560000000004</v>
      </c>
      <c r="N486">
        <v>-1.470104E-2</v>
      </c>
      <c r="O486">
        <v>3.6230749999999999E-3</v>
      </c>
      <c r="P486">
        <v>0.99571189999999998</v>
      </c>
      <c r="Q486">
        <v>-6.9404540000000001E-2</v>
      </c>
      <c r="R486">
        <v>6.1164259999999998E-2</v>
      </c>
      <c r="S486">
        <v>2.9885860000000002</v>
      </c>
      <c r="T486">
        <v>-0.21315010000000001</v>
      </c>
      <c r="U486">
        <v>0.15423580000000001</v>
      </c>
      <c r="V486">
        <v>-5.755818E-2</v>
      </c>
      <c r="W486">
        <v>-5.4753509999999998E-2</v>
      </c>
      <c r="X486">
        <v>0.99683960000000005</v>
      </c>
      <c r="Y486">
        <v>-4.7780379999999997E-2</v>
      </c>
      <c r="Z486">
        <v>1.8478730000000001E-3</v>
      </c>
      <c r="AA486">
        <v>0.99885610000000002</v>
      </c>
      <c r="AB486">
        <v>35</v>
      </c>
      <c r="AC486">
        <v>15.3795999999999</v>
      </c>
      <c r="AD486">
        <v>-1.1091395319540001</v>
      </c>
      <c r="AE486">
        <v>0.80189999999998895</v>
      </c>
      <c r="AF486">
        <v>-0.74231699938309204</v>
      </c>
      <c r="AG486">
        <v>-1.1091395319540001</v>
      </c>
      <c r="AH486">
        <v>15.3030302596318</v>
      </c>
      <c r="AI486">
        <v>94.140607512934693</v>
      </c>
      <c r="AJ486">
        <v>92.777117883946303</v>
      </c>
      <c r="AK486">
        <v>15.361118453944799</v>
      </c>
      <c r="AL486">
        <v>93.138714529787293</v>
      </c>
      <c r="AM486">
        <v>93.304627064748004</v>
      </c>
      <c r="AN486">
        <v>1.00000003953519</v>
      </c>
    </row>
    <row r="487" spans="1:40" x14ac:dyDescent="0.25">
      <c r="A487" t="str">
        <f>"20190305135205801"</f>
        <v>20190305135205801</v>
      </c>
      <c r="B487" t="str">
        <f>"1551765125789998"</f>
        <v>1551765125789998</v>
      </c>
      <c r="C487" t="s">
        <v>40</v>
      </c>
      <c r="D487">
        <v>4.9200879999999998</v>
      </c>
      <c r="E487">
        <v>0.50339480000000003</v>
      </c>
      <c r="F487" t="s">
        <v>42</v>
      </c>
      <c r="G487">
        <v>-334.37419999999997</v>
      </c>
      <c r="H487" s="1">
        <v>-2.5706270000000001E-6</v>
      </c>
      <c r="I487">
        <v>368.63060000000002</v>
      </c>
      <c r="J487">
        <v>-349.42579999999998</v>
      </c>
      <c r="K487">
        <v>1.109137</v>
      </c>
      <c r="L487">
        <v>367.82679999999999</v>
      </c>
      <c r="M487">
        <v>0.99988560000000004</v>
      </c>
      <c r="N487">
        <v>-1.469616E-2</v>
      </c>
      <c r="O487">
        <v>3.620907E-3</v>
      </c>
      <c r="P487">
        <v>0.99570619999999999</v>
      </c>
      <c r="Q487">
        <v>-6.9396849999999996E-2</v>
      </c>
      <c r="R487">
        <v>6.1266510000000003E-2</v>
      </c>
      <c r="S487">
        <v>2.9883730000000002</v>
      </c>
      <c r="T487">
        <v>-0.21423790000000001</v>
      </c>
      <c r="U487">
        <v>0.15557860000000001</v>
      </c>
      <c r="V487">
        <v>-5.766276E-2</v>
      </c>
      <c r="W487">
        <v>-5.4750760000000002E-2</v>
      </c>
      <c r="X487">
        <v>0.99683370000000004</v>
      </c>
      <c r="Y487">
        <v>-4.823115E-2</v>
      </c>
      <c r="Z487">
        <v>1.874747E-3</v>
      </c>
      <c r="AA487">
        <v>0.99883440000000001</v>
      </c>
      <c r="AB487">
        <v>35</v>
      </c>
      <c r="AC487">
        <v>15.051600000000001</v>
      </c>
      <c r="AD487">
        <v>-1.109139570627</v>
      </c>
      <c r="AE487">
        <v>0.80380000000002305</v>
      </c>
      <c r="AF487">
        <v>-0.74525312384459197</v>
      </c>
      <c r="AG487">
        <v>-1.109139570627</v>
      </c>
      <c r="AH487">
        <v>14.973336750948199</v>
      </c>
      <c r="AI487">
        <v>94.231189610130102</v>
      </c>
      <c r="AJ487">
        <v>92.849375007999797</v>
      </c>
      <c r="AK487">
        <v>15.032844250607599</v>
      </c>
      <c r="AL487">
        <v>93.138556751693201</v>
      </c>
      <c r="AM487">
        <v>93.310637595461102</v>
      </c>
      <c r="AN487">
        <v>1.0000000325335401</v>
      </c>
    </row>
    <row r="488" spans="1:40" x14ac:dyDescent="0.25">
      <c r="A488" t="str">
        <f>"20190305135205813"</f>
        <v>20190305135205813</v>
      </c>
      <c r="B488" t="str">
        <f>"1551765125810495"</f>
        <v>1551765125810495</v>
      </c>
      <c r="C488" t="s">
        <v>40</v>
      </c>
      <c r="D488">
        <v>4.9240059999999897</v>
      </c>
      <c r="E488">
        <v>0.50339670000000003</v>
      </c>
      <c r="F488" t="s">
        <v>42</v>
      </c>
      <c r="G488">
        <v>-334.00479999999999</v>
      </c>
      <c r="H488" s="1">
        <v>-2.7283720000000001E-6</v>
      </c>
      <c r="I488">
        <v>368.63470000000001</v>
      </c>
      <c r="J488">
        <v>-349.24430000000001</v>
      </c>
      <c r="K488">
        <v>1.1091359999999999</v>
      </c>
      <c r="L488">
        <v>367.82740000000001</v>
      </c>
      <c r="M488">
        <v>0.99988560000000004</v>
      </c>
      <c r="N488">
        <v>-1.469407E-2</v>
      </c>
      <c r="O488">
        <v>3.6199069999999999E-3</v>
      </c>
      <c r="P488">
        <v>0.99568719999999999</v>
      </c>
      <c r="Q488">
        <v>-6.9271589999999994E-2</v>
      </c>
      <c r="R488">
        <v>6.1715399999999997E-2</v>
      </c>
      <c r="S488">
        <v>2.9883120000000001</v>
      </c>
      <c r="T488">
        <v>-0.2149297</v>
      </c>
      <c r="U488">
        <v>0.15658569999999999</v>
      </c>
      <c r="V488">
        <v>-5.8112320000000002E-2</v>
      </c>
      <c r="W488">
        <v>-5.4627820000000001E-2</v>
      </c>
      <c r="X488">
        <v>0.99681430000000004</v>
      </c>
      <c r="Y488">
        <v>-4.8567020000000002E-2</v>
      </c>
      <c r="Z488">
        <v>1.894019E-3</v>
      </c>
      <c r="AA488">
        <v>0.99881819999999999</v>
      </c>
      <c r="AB488">
        <v>35</v>
      </c>
      <c r="AC488">
        <v>15.2395</v>
      </c>
      <c r="AD488">
        <v>-1.109138728372</v>
      </c>
      <c r="AE488">
        <v>0.80729999999999702</v>
      </c>
      <c r="AF488">
        <v>-0.74817121105358098</v>
      </c>
      <c r="AG488">
        <v>-1.109138728372</v>
      </c>
      <c r="AH488">
        <v>15.1622331397436</v>
      </c>
      <c r="AI488">
        <v>94.178748732404898</v>
      </c>
      <c r="AJ488">
        <v>92.824934243011995</v>
      </c>
      <c r="AK488">
        <v>15.2211452481002</v>
      </c>
      <c r="AL488">
        <v>93.131502370171404</v>
      </c>
      <c r="AM488">
        <v>93.336455241990507</v>
      </c>
      <c r="AN488">
        <v>0.99999999456911204</v>
      </c>
    </row>
    <row r="489" spans="1:40" x14ac:dyDescent="0.25">
      <c r="A489" t="str">
        <f>"20190305135205824"</f>
        <v>20190305135205824</v>
      </c>
      <c r="B489" t="str">
        <f>"1551765125820255"</f>
        <v>1551765125820255</v>
      </c>
      <c r="C489" t="s">
        <v>40</v>
      </c>
      <c r="D489">
        <v>4.9224209999999999</v>
      </c>
      <c r="E489">
        <v>0.50350989999999995</v>
      </c>
      <c r="F489" t="s">
        <v>42</v>
      </c>
      <c r="G489">
        <v>-333.83940000000001</v>
      </c>
      <c r="H489" s="1">
        <v>-2.7980679999999999E-6</v>
      </c>
      <c r="I489">
        <v>368.64179999999999</v>
      </c>
      <c r="J489">
        <v>-349.06880000000001</v>
      </c>
      <c r="K489">
        <v>1.109135</v>
      </c>
      <c r="L489">
        <v>367.82799999999997</v>
      </c>
      <c r="M489">
        <v>0.99988569999999999</v>
      </c>
      <c r="N489">
        <v>-1.469205E-2</v>
      </c>
      <c r="O489">
        <v>3.619087E-3</v>
      </c>
      <c r="P489">
        <v>0.99568939999999995</v>
      </c>
      <c r="Q489">
        <v>-6.9173579999999998E-2</v>
      </c>
      <c r="R489">
        <v>6.1789820000000002E-2</v>
      </c>
      <c r="S489">
        <v>2.9882200000000001</v>
      </c>
      <c r="T489">
        <v>-0.21514829999999999</v>
      </c>
      <c r="U489">
        <v>0.1579895</v>
      </c>
      <c r="V489">
        <v>-5.8188200000000002E-2</v>
      </c>
      <c r="W489">
        <v>-5.453181E-2</v>
      </c>
      <c r="X489">
        <v>0.99681509999999995</v>
      </c>
      <c r="Y489">
        <v>-4.903565E-2</v>
      </c>
      <c r="Z489">
        <v>1.915833E-3</v>
      </c>
      <c r="AA489">
        <v>0.99879519999999999</v>
      </c>
      <c r="AB489">
        <v>35</v>
      </c>
      <c r="AC489">
        <v>15.229399999999901</v>
      </c>
      <c r="AD489">
        <v>-1.1091377980679999</v>
      </c>
      <c r="AE489">
        <v>0.813799999999957</v>
      </c>
      <c r="AF489">
        <v>-0.75468075922887701</v>
      </c>
      <c r="AG489">
        <v>-1.1091377980679999</v>
      </c>
      <c r="AH489">
        <v>15.152107469924699</v>
      </c>
      <c r="AI489">
        <v>94.181432539804305</v>
      </c>
      <c r="AJ489">
        <v>92.851373639503905</v>
      </c>
      <c r="AK489">
        <v>15.211380295147499</v>
      </c>
      <c r="AL489">
        <v>93.125993285282604</v>
      </c>
      <c r="AM489">
        <v>93.340799272776707</v>
      </c>
      <c r="AN489">
        <v>0.99999996425456195</v>
      </c>
    </row>
    <row r="490" spans="1:40" x14ac:dyDescent="0.25">
      <c r="A490" t="str">
        <f>"20190305135205836"</f>
        <v>20190305135205836</v>
      </c>
      <c r="B490" t="str">
        <f>"1551765125830280"</f>
        <v>1551765125830280</v>
      </c>
      <c r="C490" t="s">
        <v>40</v>
      </c>
      <c r="D490">
        <v>4.916131</v>
      </c>
      <c r="E490">
        <v>0.50359120000000002</v>
      </c>
      <c r="F490" t="s">
        <v>42</v>
      </c>
      <c r="G490">
        <v>-333.60449999999997</v>
      </c>
      <c r="H490" s="1">
        <v>-2.898681E-6</v>
      </c>
      <c r="I490">
        <v>368.64269999999999</v>
      </c>
      <c r="J490">
        <v>-348.88740000000001</v>
      </c>
      <c r="K490">
        <v>1.1091359999999999</v>
      </c>
      <c r="L490">
        <v>367.82870000000003</v>
      </c>
      <c r="M490">
        <v>0.99988560000000004</v>
      </c>
      <c r="N490">
        <v>-1.468996E-2</v>
      </c>
      <c r="O490">
        <v>3.6184450000000001E-3</v>
      </c>
      <c r="P490">
        <v>0.99568590000000001</v>
      </c>
      <c r="Q490">
        <v>-6.9161329999999993E-2</v>
      </c>
      <c r="R490">
        <v>6.185653E-2</v>
      </c>
      <c r="S490">
        <v>2.9883120000000001</v>
      </c>
      <c r="T490">
        <v>-0.21432850000000001</v>
      </c>
      <c r="U490">
        <v>0.1574402</v>
      </c>
      <c r="V490">
        <v>-5.8254790000000001E-2</v>
      </c>
      <c r="W490">
        <v>-5.452166E-2</v>
      </c>
      <c r="X490">
        <v>0.99681180000000003</v>
      </c>
      <c r="Y490">
        <v>-4.885316E-2</v>
      </c>
      <c r="Z490">
        <v>1.902185E-3</v>
      </c>
      <c r="AA490">
        <v>0.99880420000000003</v>
      </c>
      <c r="AB490">
        <v>35</v>
      </c>
      <c r="AC490">
        <v>15.2829</v>
      </c>
      <c r="AD490">
        <v>-1.109138898681</v>
      </c>
      <c r="AE490">
        <v>0.81399999999996397</v>
      </c>
      <c r="AF490">
        <v>-0.75472451015532804</v>
      </c>
      <c r="AG490">
        <v>-1.109138898681</v>
      </c>
      <c r="AH490">
        <v>15.2058833803982</v>
      </c>
      <c r="AI490">
        <v>94.166736795289395</v>
      </c>
      <c r="AJ490">
        <v>92.841470701351994</v>
      </c>
      <c r="AK490">
        <v>15.2649496416158</v>
      </c>
      <c r="AL490">
        <v>93.125410760151595</v>
      </c>
      <c r="AM490">
        <v>93.344624823437996</v>
      </c>
      <c r="AN490">
        <v>0.99999999829316899</v>
      </c>
    </row>
    <row r="491" spans="1:40" x14ac:dyDescent="0.25">
      <c r="A491" t="str">
        <f>"20190305135205852"</f>
        <v>20190305135205852</v>
      </c>
      <c r="B491" t="str">
        <f>"1551765125849799"</f>
        <v>1551765125849799</v>
      </c>
      <c r="C491" t="s">
        <v>40</v>
      </c>
      <c r="D491">
        <v>4.8933619999999998</v>
      </c>
      <c r="E491">
        <v>0.50379969999999996</v>
      </c>
      <c r="F491" t="s">
        <v>42</v>
      </c>
      <c r="G491">
        <v>-333.40730000000002</v>
      </c>
      <c r="H491" s="1">
        <v>-2.9835669999999998E-6</v>
      </c>
      <c r="I491">
        <v>368.64120000000003</v>
      </c>
      <c r="J491">
        <v>-348.62529999999998</v>
      </c>
      <c r="K491">
        <v>1.10914</v>
      </c>
      <c r="L491">
        <v>367.82960000000003</v>
      </c>
      <c r="M491">
        <v>0.99988569999999999</v>
      </c>
      <c r="N491">
        <v>-1.468703E-2</v>
      </c>
      <c r="O491">
        <v>3.6172719999999999E-3</v>
      </c>
      <c r="P491">
        <v>0.99568619999999997</v>
      </c>
      <c r="Q491">
        <v>-6.8891830000000001E-2</v>
      </c>
      <c r="R491">
        <v>6.2154580000000001E-2</v>
      </c>
      <c r="S491">
        <v>2.9884029999999999</v>
      </c>
      <c r="T491">
        <v>-0.2141159</v>
      </c>
      <c r="U491">
        <v>0.15686040000000001</v>
      </c>
      <c r="V491">
        <v>-5.8554130000000003E-2</v>
      </c>
      <c r="W491">
        <v>-5.4255060000000001E-2</v>
      </c>
      <c r="X491">
        <v>0.99680880000000005</v>
      </c>
      <c r="Y491">
        <v>-4.866032E-2</v>
      </c>
      <c r="Z491">
        <v>1.8923410000000001E-3</v>
      </c>
      <c r="AA491">
        <v>0.99881359999999997</v>
      </c>
      <c r="AB491">
        <v>35</v>
      </c>
      <c r="AC491">
        <v>15.2179999999999</v>
      </c>
      <c r="AD491">
        <v>-1.1091429835669999</v>
      </c>
      <c r="AE491">
        <v>0.81159999999999799</v>
      </c>
      <c r="AF491">
        <v>-0.75255486088823598</v>
      </c>
      <c r="AG491">
        <v>-1.1091429835669999</v>
      </c>
      <c r="AH491">
        <v>15.140637212033599</v>
      </c>
      <c r="AI491">
        <v>94.184629809011597</v>
      </c>
      <c r="AJ491">
        <v>92.845505192953595</v>
      </c>
      <c r="AK491">
        <v>15.1998497414633</v>
      </c>
      <c r="AL491">
        <v>93.110113086080005</v>
      </c>
      <c r="AM491">
        <v>93.3617818275562</v>
      </c>
      <c r="AN491">
        <v>0.99999999071654999</v>
      </c>
    </row>
    <row r="492" spans="1:40" x14ac:dyDescent="0.25">
      <c r="A492" t="str">
        <f>"20190305135205865"</f>
        <v>20190305135205865</v>
      </c>
      <c r="B492" t="str">
        <f>"1551765125860536"</f>
        <v>1551765125860536</v>
      </c>
      <c r="C492" t="s">
        <v>40</v>
      </c>
      <c r="D492">
        <v>4.9125620000000003</v>
      </c>
      <c r="E492">
        <v>0.50393809999999895</v>
      </c>
      <c r="F492" t="s">
        <v>42</v>
      </c>
      <c r="G492">
        <v>-333.12240000000003</v>
      </c>
      <c r="H492" s="1">
        <v>-3.1059479999999998E-6</v>
      </c>
      <c r="I492">
        <v>368.64030000000002</v>
      </c>
      <c r="J492">
        <v>-348.43189999999998</v>
      </c>
      <c r="K492">
        <v>1.109143</v>
      </c>
      <c r="L492">
        <v>367.8304</v>
      </c>
      <c r="M492">
        <v>0.99988560000000004</v>
      </c>
      <c r="N492">
        <v>-1.4684920000000001E-2</v>
      </c>
      <c r="O492">
        <v>3.6166309999999999E-3</v>
      </c>
      <c r="P492">
        <v>0.99566379999999999</v>
      </c>
      <c r="Q492">
        <v>-6.8839360000000002E-2</v>
      </c>
      <c r="R492">
        <v>6.2569150000000004E-2</v>
      </c>
      <c r="S492">
        <v>2.988464</v>
      </c>
      <c r="T492">
        <v>-0.21380650000000001</v>
      </c>
      <c r="U492">
        <v>0.15628049999999999</v>
      </c>
      <c r="V492">
        <v>-5.8969710000000002E-2</v>
      </c>
      <c r="W492">
        <v>-5.4204990000000002E-2</v>
      </c>
      <c r="X492">
        <v>0.99678699999999998</v>
      </c>
      <c r="Y492">
        <v>-4.84676E-2</v>
      </c>
      <c r="Z492">
        <v>1.88186E-3</v>
      </c>
      <c r="AA492">
        <v>0.99882300000000002</v>
      </c>
      <c r="AB492">
        <v>35</v>
      </c>
      <c r="AC492">
        <v>15.3094999999999</v>
      </c>
      <c r="AD492">
        <v>-1.1091461059479999</v>
      </c>
      <c r="AE492">
        <v>0.80990000000002704</v>
      </c>
      <c r="AF492">
        <v>-0.750591249540556</v>
      </c>
      <c r="AG492">
        <v>-1.1091461059479999</v>
      </c>
      <c r="AH492">
        <v>15.232600368067899</v>
      </c>
      <c r="AI492">
        <v>94.159554503520795</v>
      </c>
      <c r="AJ492">
        <v>92.820986144573794</v>
      </c>
      <c r="AK492">
        <v>15.2913605111347</v>
      </c>
      <c r="AL492">
        <v>93.107240137044499</v>
      </c>
      <c r="AM492">
        <v>93.385660184429796</v>
      </c>
      <c r="AN492">
        <v>0.99999996550369097</v>
      </c>
    </row>
    <row r="493" spans="1:40" x14ac:dyDescent="0.25">
      <c r="A493" t="str">
        <f>"20190305135205876"</f>
        <v>20190305135205876</v>
      </c>
      <c r="B493" t="str">
        <f>"1551765125870296"</f>
        <v>1551765125870296</v>
      </c>
      <c r="C493" t="s">
        <v>40</v>
      </c>
      <c r="D493">
        <v>4.913081</v>
      </c>
      <c r="E493">
        <v>0.50402579999999997</v>
      </c>
      <c r="F493" t="s">
        <v>42</v>
      </c>
      <c r="G493">
        <v>-332.9042</v>
      </c>
      <c r="H493" s="1">
        <v>-3.1991999999999998E-6</v>
      </c>
      <c r="I493">
        <v>368.64210000000003</v>
      </c>
      <c r="J493">
        <v>-348.25670000000002</v>
      </c>
      <c r="K493">
        <v>1.1091500000000001</v>
      </c>
      <c r="L493">
        <v>367.83100000000002</v>
      </c>
      <c r="M493">
        <v>0.99988569999999999</v>
      </c>
      <c r="N493">
        <v>-1.4683E-2</v>
      </c>
      <c r="O493">
        <v>3.6159289999999999E-3</v>
      </c>
      <c r="P493">
        <v>0.99567050000000001</v>
      </c>
      <c r="Q493">
        <v>-6.8549499999999999E-2</v>
      </c>
      <c r="R493">
        <v>6.2781740000000003E-2</v>
      </c>
      <c r="S493">
        <v>2.9885250000000001</v>
      </c>
      <c r="T493">
        <v>-0.21347060000000001</v>
      </c>
      <c r="U493">
        <v>0.15625</v>
      </c>
      <c r="V493">
        <v>-5.9183100000000002E-2</v>
      </c>
      <c r="W493">
        <v>-5.3916939999999997E-2</v>
      </c>
      <c r="X493">
        <v>0.99678999999999995</v>
      </c>
      <c r="Y493">
        <v>-4.8457519999999997E-2</v>
      </c>
      <c r="Z493">
        <v>1.8790739999999999E-3</v>
      </c>
      <c r="AA493">
        <v>0.99882349999999998</v>
      </c>
      <c r="AB493">
        <v>35</v>
      </c>
      <c r="AC493">
        <v>15.352499999999999</v>
      </c>
      <c r="AD493">
        <v>-1.1091531992000001</v>
      </c>
      <c r="AE493">
        <v>0.81110000000006699</v>
      </c>
      <c r="AF493">
        <v>-0.75166281601683005</v>
      </c>
      <c r="AG493">
        <v>-1.1091531992000001</v>
      </c>
      <c r="AH493">
        <v>15.275823316509699</v>
      </c>
      <c r="AI493">
        <v>94.147866677518095</v>
      </c>
      <c r="AJ493">
        <v>92.8170264847368</v>
      </c>
      <c r="AK493">
        <v>15.334470835522801</v>
      </c>
      <c r="AL493">
        <v>93.090711841321607</v>
      </c>
      <c r="AM493">
        <v>93.397872804770998</v>
      </c>
      <c r="AN493">
        <v>0.999999989922286</v>
      </c>
    </row>
    <row r="494" spans="1:40" x14ac:dyDescent="0.25">
      <c r="A494" t="str">
        <f>"20190305135205887"</f>
        <v>20190305135205887</v>
      </c>
      <c r="B494" t="str">
        <f>"1551765125880055"</f>
        <v>1551765125880055</v>
      </c>
      <c r="C494" t="s">
        <v>40</v>
      </c>
      <c r="D494">
        <v>4.9096080000000004</v>
      </c>
      <c r="E494">
        <v>0.50416340000000004</v>
      </c>
      <c r="F494" t="s">
        <v>42</v>
      </c>
      <c r="G494">
        <v>-332.73419999999999</v>
      </c>
      <c r="H494" s="1">
        <v>-3.2722089999999998E-6</v>
      </c>
      <c r="I494">
        <v>368.64179999999999</v>
      </c>
      <c r="J494">
        <v>-348.08240000000001</v>
      </c>
      <c r="K494">
        <v>1.109154</v>
      </c>
      <c r="L494">
        <v>367.83159999999998</v>
      </c>
      <c r="M494">
        <v>0.99988569999999999</v>
      </c>
      <c r="N494">
        <v>-1.4681080000000001E-2</v>
      </c>
      <c r="O494">
        <v>3.615287E-3</v>
      </c>
      <c r="P494">
        <v>0.99568460000000003</v>
      </c>
      <c r="Q494">
        <v>-6.8339590000000006E-2</v>
      </c>
      <c r="R494">
        <v>6.278533E-2</v>
      </c>
      <c r="S494">
        <v>2.9884949999999999</v>
      </c>
      <c r="T494">
        <v>-0.21353939999999999</v>
      </c>
      <c r="U494">
        <v>0.15612789999999999</v>
      </c>
      <c r="V494">
        <v>-5.9187089999999998E-2</v>
      </c>
      <c r="W494">
        <v>-5.370875E-2</v>
      </c>
      <c r="X494">
        <v>0.99680100000000005</v>
      </c>
      <c r="Y494">
        <v>-4.8418030000000001E-2</v>
      </c>
      <c r="Z494">
        <v>1.877847E-3</v>
      </c>
      <c r="AA494">
        <v>0.99882539999999997</v>
      </c>
      <c r="AB494">
        <v>35</v>
      </c>
      <c r="AC494">
        <v>15.3482</v>
      </c>
      <c r="AD494">
        <v>-1.109157272209</v>
      </c>
      <c r="AE494">
        <v>0.81020000000000802</v>
      </c>
      <c r="AF494">
        <v>-0.75079053187914002</v>
      </c>
      <c r="AG494">
        <v>-1.109157272209</v>
      </c>
      <c r="AH494">
        <v>15.2714966292478</v>
      </c>
      <c r="AI494">
        <v>94.149061680765399</v>
      </c>
      <c r="AJ494">
        <v>92.814558566633906</v>
      </c>
      <c r="AK494">
        <v>15.330118250502199</v>
      </c>
      <c r="AL494">
        <v>93.078766131352594</v>
      </c>
      <c r="AM494">
        <v>93.3980639342156</v>
      </c>
      <c r="AN494">
        <v>0.99999998752511499</v>
      </c>
    </row>
    <row r="495" spans="1:40" x14ac:dyDescent="0.25">
      <c r="A495" t="str">
        <f>"20190305135205900"</f>
        <v>20190305135205900</v>
      </c>
      <c r="B495" t="str">
        <f>"1551765125889816"</f>
        <v>1551765125889816</v>
      </c>
      <c r="C495" t="s">
        <v>40</v>
      </c>
      <c r="D495">
        <v>4.9136329999999999</v>
      </c>
      <c r="E495">
        <v>0.50427619999999995</v>
      </c>
      <c r="F495" t="s">
        <v>42</v>
      </c>
      <c r="G495">
        <v>-332.54599999999999</v>
      </c>
      <c r="H495" s="1">
        <v>-3.3536820000000001E-6</v>
      </c>
      <c r="I495">
        <v>368.63760000000002</v>
      </c>
      <c r="J495">
        <v>-347.87549999999999</v>
      </c>
      <c r="K495">
        <v>1.1091580000000001</v>
      </c>
      <c r="L495">
        <v>367.83229999999998</v>
      </c>
      <c r="M495">
        <v>0.99988589999999999</v>
      </c>
      <c r="N495">
        <v>-1.4678800000000001E-2</v>
      </c>
      <c r="O495">
        <v>3.6144689999999999E-3</v>
      </c>
      <c r="P495">
        <v>0.99566279999999996</v>
      </c>
      <c r="Q495">
        <v>-6.8471850000000001E-2</v>
      </c>
      <c r="R495">
        <v>6.2988240000000001E-2</v>
      </c>
      <c r="S495">
        <v>2.9886170000000001</v>
      </c>
      <c r="T495">
        <v>-0.2133591</v>
      </c>
      <c r="U495">
        <v>0.1550598</v>
      </c>
      <c r="V495">
        <v>-5.9391039999999999E-2</v>
      </c>
      <c r="W495">
        <v>-5.3843559999999999E-2</v>
      </c>
      <c r="X495">
        <v>0.99678160000000005</v>
      </c>
      <c r="Y495">
        <v>-4.8062029999999999E-2</v>
      </c>
      <c r="Z495">
        <v>1.8612419999999999E-3</v>
      </c>
      <c r="AA495">
        <v>0.99884260000000002</v>
      </c>
      <c r="AB495">
        <v>35</v>
      </c>
      <c r="AC495">
        <v>15.3294999999999</v>
      </c>
      <c r="AD495">
        <v>-1.109161353682</v>
      </c>
      <c r="AE495">
        <v>0.80530000000004498</v>
      </c>
      <c r="AF495">
        <v>-0.74598613477973397</v>
      </c>
      <c r="AG495">
        <v>-1.109161353682</v>
      </c>
      <c r="AH495">
        <v>15.2526797784792</v>
      </c>
      <c r="AI495">
        <v>94.154229103330096</v>
      </c>
      <c r="AJ495">
        <v>92.800021137934294</v>
      </c>
      <c r="AK495">
        <v>15.311138907560499</v>
      </c>
      <c r="AL495">
        <v>93.086501356465007</v>
      </c>
      <c r="AM495">
        <v>93.409811789032005</v>
      </c>
      <c r="AN495">
        <v>0.999999991342157</v>
      </c>
    </row>
    <row r="496" spans="1:40" x14ac:dyDescent="0.25">
      <c r="A496" t="str">
        <f>"20190305135205922"</f>
        <v>20190305135205922</v>
      </c>
      <c r="B496" t="str">
        <f>"1551765125910311"</f>
        <v>1551765125910311</v>
      </c>
      <c r="C496" t="s">
        <v>40</v>
      </c>
      <c r="D496">
        <v>4.901643</v>
      </c>
      <c r="E496">
        <v>0.50451619999999997</v>
      </c>
      <c r="F496" t="s">
        <v>42</v>
      </c>
      <c r="G496">
        <v>-332.39400000000001</v>
      </c>
      <c r="H496" s="1">
        <v>-3.4196330000000001E-6</v>
      </c>
      <c r="I496">
        <v>368.63350000000003</v>
      </c>
      <c r="J496">
        <v>-347.55669999999998</v>
      </c>
      <c r="K496">
        <v>1.109164</v>
      </c>
      <c r="L496">
        <v>367.83350000000002</v>
      </c>
      <c r="M496">
        <v>0.99988580000000005</v>
      </c>
      <c r="N496">
        <v>-1.4675240000000001E-2</v>
      </c>
      <c r="O496">
        <v>3.6131240000000001E-3</v>
      </c>
      <c r="P496">
        <v>0.99568690000000004</v>
      </c>
      <c r="Q496">
        <v>-6.8011459999999996E-2</v>
      </c>
      <c r="R496">
        <v>6.3102850000000002E-2</v>
      </c>
      <c r="S496">
        <v>2.9885860000000002</v>
      </c>
      <c r="T496">
        <v>-0.21411369999999999</v>
      </c>
      <c r="U496">
        <v>0.1546631</v>
      </c>
      <c r="V496">
        <v>-5.9507049999999999E-2</v>
      </c>
      <c r="W496">
        <v>-5.3386410000000002E-2</v>
      </c>
      <c r="X496">
        <v>0.99679930000000005</v>
      </c>
      <c r="Y496">
        <v>-4.793116E-2</v>
      </c>
      <c r="Z496">
        <v>1.8607319999999999E-3</v>
      </c>
      <c r="AA496">
        <v>0.99884890000000004</v>
      </c>
      <c r="AB496">
        <v>35</v>
      </c>
      <c r="AC496">
        <v>15.1626999999999</v>
      </c>
      <c r="AD496">
        <v>-1.1091674196329999</v>
      </c>
      <c r="AE496">
        <v>0.80000000000001104</v>
      </c>
      <c r="AF496">
        <v>-0.74124869510848801</v>
      </c>
      <c r="AG496">
        <v>-1.1091674196329999</v>
      </c>
      <c r="AH496">
        <v>15.0849949430349</v>
      </c>
      <c r="AI496">
        <v>94.200219050018205</v>
      </c>
      <c r="AJ496">
        <v>92.813145710083901</v>
      </c>
      <c r="AK496">
        <v>15.143869202557299</v>
      </c>
      <c r="AL496">
        <v>93.060270771384495</v>
      </c>
      <c r="AM496">
        <v>93.416395976497597</v>
      </c>
      <c r="AN496">
        <v>1.0000000211264399</v>
      </c>
    </row>
    <row r="497" spans="1:40" x14ac:dyDescent="0.25">
      <c r="A497" t="str">
        <f>"20190305135205936"</f>
        <v>20190305135205936</v>
      </c>
      <c r="B497" t="str">
        <f>"1551765125930339"</f>
        <v>1551765125930339</v>
      </c>
      <c r="C497" t="s">
        <v>40</v>
      </c>
      <c r="D497">
        <v>4.9061849999999998</v>
      </c>
      <c r="E497">
        <v>0.50474419999999998</v>
      </c>
      <c r="F497" t="s">
        <v>42</v>
      </c>
      <c r="G497">
        <v>-332.03739999999999</v>
      </c>
      <c r="H497" s="1">
        <v>-3.57351E-6</v>
      </c>
      <c r="I497">
        <v>368.62830000000002</v>
      </c>
      <c r="J497">
        <v>-347.32819999999998</v>
      </c>
      <c r="K497">
        <v>1.1091660000000001</v>
      </c>
      <c r="L497">
        <v>367.83429999999998</v>
      </c>
      <c r="M497">
        <v>0.99988580000000005</v>
      </c>
      <c r="N497">
        <v>-1.467269E-2</v>
      </c>
      <c r="O497">
        <v>3.6121299999999999E-3</v>
      </c>
      <c r="P497">
        <v>0.99566880000000002</v>
      </c>
      <c r="Q497">
        <v>-6.8231879999999995E-2</v>
      </c>
      <c r="R497">
        <v>6.3151180000000001E-2</v>
      </c>
      <c r="S497">
        <v>2.9887079999999999</v>
      </c>
      <c r="T497">
        <v>-0.21360229999999999</v>
      </c>
      <c r="U497">
        <v>0.1530762</v>
      </c>
      <c r="V497">
        <v>-5.9556240000000003E-2</v>
      </c>
      <c r="W497">
        <v>-5.360964E-2</v>
      </c>
      <c r="X497">
        <v>0.99678440000000001</v>
      </c>
      <c r="Y497">
        <v>-4.740333E-2</v>
      </c>
      <c r="Z497">
        <v>1.8344990000000001E-3</v>
      </c>
      <c r="AA497">
        <v>0.99887409999999999</v>
      </c>
      <c r="AB497">
        <v>35</v>
      </c>
      <c r="AC497">
        <v>15.2907999999999</v>
      </c>
      <c r="AD497">
        <v>-1.10916957351</v>
      </c>
      <c r="AE497">
        <v>0.79400000000003901</v>
      </c>
      <c r="AF497">
        <v>-0.73490000537472899</v>
      </c>
      <c r="AG497">
        <v>-1.10916957351</v>
      </c>
      <c r="AH497">
        <v>15.2137320087362</v>
      </c>
      <c r="AI497">
        <v>94.164978933548099</v>
      </c>
      <c r="AJ497">
        <v>92.765525524830593</v>
      </c>
      <c r="AK497">
        <v>15.2718033248973</v>
      </c>
      <c r="AL497">
        <v>93.073079193325498</v>
      </c>
      <c r="AM497">
        <v>93.419264345944001</v>
      </c>
      <c r="AN497">
        <v>1.00000003965361</v>
      </c>
    </row>
    <row r="498" spans="1:40" x14ac:dyDescent="0.25">
      <c r="A498" t="str">
        <f>"20190305135205948"</f>
        <v>20190305135205948</v>
      </c>
      <c r="B498" t="str">
        <f>"1551765125940098"</f>
        <v>1551765125940098</v>
      </c>
      <c r="C498" t="s">
        <v>40</v>
      </c>
      <c r="D498">
        <v>4.9180640000000002</v>
      </c>
      <c r="E498">
        <v>0.50484680000000004</v>
      </c>
      <c r="F498" t="s">
        <v>42</v>
      </c>
      <c r="G498">
        <v>-331.91250000000002</v>
      </c>
      <c r="H498" s="1">
        <v>-3.6292689999999999E-6</v>
      </c>
      <c r="I498">
        <v>368.61610000000002</v>
      </c>
      <c r="J498">
        <v>-347.12909999999999</v>
      </c>
      <c r="K498">
        <v>1.1091660000000001</v>
      </c>
      <c r="L498">
        <v>367.83510000000001</v>
      </c>
      <c r="M498">
        <v>0.99988589999999999</v>
      </c>
      <c r="N498">
        <v>-1.467047E-2</v>
      </c>
      <c r="O498">
        <v>3.6113130000000001E-3</v>
      </c>
      <c r="P498">
        <v>0.99566949999999999</v>
      </c>
      <c r="Q498">
        <v>-6.8000379999999999E-2</v>
      </c>
      <c r="R498">
        <v>6.3390639999999998E-2</v>
      </c>
      <c r="S498">
        <v>2.9887389999999998</v>
      </c>
      <c r="T498">
        <v>-0.2150408</v>
      </c>
      <c r="U498">
        <v>0.15158079999999999</v>
      </c>
      <c r="V498">
        <v>-5.9796530000000001E-2</v>
      </c>
      <c r="W498">
        <v>-5.3380329999999997E-2</v>
      </c>
      <c r="X498">
        <v>0.99678230000000001</v>
      </c>
      <c r="Y498">
        <v>-4.6905000000000002E-2</v>
      </c>
      <c r="Z498">
        <v>1.82256E-3</v>
      </c>
      <c r="AA498">
        <v>0.9988977</v>
      </c>
      <c r="AB498">
        <v>35</v>
      </c>
      <c r="AC498">
        <v>15.2165999999999</v>
      </c>
      <c r="AD498">
        <v>-1.1091696292690001</v>
      </c>
      <c r="AE498">
        <v>0.78100000000000502</v>
      </c>
      <c r="AF498">
        <v>-0.72220988496318606</v>
      </c>
      <c r="AG498">
        <v>-1.1091696292690001</v>
      </c>
      <c r="AH498">
        <v>15.139094956889799</v>
      </c>
      <c r="AI498">
        <v>94.1855599255844</v>
      </c>
      <c r="AJ498">
        <v>92.731222124130994</v>
      </c>
      <c r="AK498">
        <v>15.196843109611899</v>
      </c>
      <c r="AL498">
        <v>93.059921921785502</v>
      </c>
      <c r="AM498">
        <v>93.433034248594197</v>
      </c>
      <c r="AN498">
        <v>1.0000000191121099</v>
      </c>
    </row>
    <row r="499" spans="1:40" x14ac:dyDescent="0.25">
      <c r="A499" t="str">
        <f>"20190305135205964"</f>
        <v>20190305135205964</v>
      </c>
      <c r="B499" t="str">
        <f>"1551765125960596"</f>
        <v>1551765125960596</v>
      </c>
      <c r="C499" t="s">
        <v>40</v>
      </c>
      <c r="D499">
        <v>4.9234540000000004</v>
      </c>
      <c r="E499">
        <v>0.50497420000000004</v>
      </c>
      <c r="F499" t="s">
        <v>42</v>
      </c>
      <c r="G499">
        <v>-331.69400000000002</v>
      </c>
      <c r="H499" s="1">
        <v>-3.7228909999999999E-6</v>
      </c>
      <c r="I499">
        <v>368.61689999999999</v>
      </c>
      <c r="J499">
        <v>-346.87099999999998</v>
      </c>
      <c r="K499">
        <v>1.1091629999999999</v>
      </c>
      <c r="L499">
        <v>367.83600000000001</v>
      </c>
      <c r="M499">
        <v>0.99988600000000005</v>
      </c>
      <c r="N499">
        <v>-1.4667609999999999E-2</v>
      </c>
      <c r="O499">
        <v>3.6106810000000001E-3</v>
      </c>
      <c r="P499">
        <v>0.99562980000000001</v>
      </c>
      <c r="Q499">
        <v>-6.8393250000000003E-2</v>
      </c>
      <c r="R499">
        <v>6.3593720000000006E-2</v>
      </c>
      <c r="S499">
        <v>2.9887389999999998</v>
      </c>
      <c r="T499">
        <v>-0.21476980000000001</v>
      </c>
      <c r="U499">
        <v>0.1513977</v>
      </c>
      <c r="V499">
        <v>-6.0000579999999998E-2</v>
      </c>
      <c r="W499">
        <v>-5.3776610000000002E-2</v>
      </c>
      <c r="X499">
        <v>0.99674870000000004</v>
      </c>
      <c r="Y499">
        <v>-4.6845089999999999E-2</v>
      </c>
      <c r="Z499">
        <v>1.8181390000000001E-3</v>
      </c>
      <c r="AA499">
        <v>0.99890049999999997</v>
      </c>
      <c r="AB499">
        <v>35</v>
      </c>
      <c r="AC499">
        <v>15.1769999999999</v>
      </c>
      <c r="AD499">
        <v>-1.1091667228909901</v>
      </c>
      <c r="AE499">
        <v>0.78089999999997395</v>
      </c>
      <c r="AF499">
        <v>-0.72224240813978502</v>
      </c>
      <c r="AG499">
        <v>-1.1091667228909901</v>
      </c>
      <c r="AH499">
        <v>15.099288711301901</v>
      </c>
      <c r="AI499">
        <v>94.196518494557694</v>
      </c>
      <c r="AJ499">
        <v>92.738534628403798</v>
      </c>
      <c r="AK499">
        <v>15.157189861664101</v>
      </c>
      <c r="AL499">
        <v>93.082659866663903</v>
      </c>
      <c r="AM499">
        <v>93.444836831849599</v>
      </c>
      <c r="AN499">
        <v>0.99999998216755903</v>
      </c>
    </row>
    <row r="500" spans="1:40" x14ac:dyDescent="0.25">
      <c r="A500" t="str">
        <f>"20190305135205977"</f>
        <v>20190305135205977</v>
      </c>
      <c r="B500" t="str">
        <f>"1551765125970354"</f>
        <v>1551765125970354</v>
      </c>
      <c r="C500" t="s">
        <v>40</v>
      </c>
      <c r="D500">
        <v>4.9118329999999997</v>
      </c>
      <c r="E500">
        <v>0.5050635</v>
      </c>
      <c r="F500" t="s">
        <v>42</v>
      </c>
      <c r="G500">
        <v>-331.55180000000001</v>
      </c>
      <c r="H500" s="1">
        <v>-3.7851349999999999E-6</v>
      </c>
      <c r="I500">
        <v>368.60969999999998</v>
      </c>
      <c r="J500">
        <v>-346.69600000000003</v>
      </c>
      <c r="K500">
        <v>1.109156</v>
      </c>
      <c r="L500">
        <v>367.83659999999998</v>
      </c>
      <c r="M500">
        <v>0.99988600000000005</v>
      </c>
      <c r="N500">
        <v>-1.466567E-2</v>
      </c>
      <c r="O500">
        <v>3.6103400000000001E-3</v>
      </c>
      <c r="P500">
        <v>0.99560230000000005</v>
      </c>
      <c r="Q500">
        <v>-6.8725480000000005E-2</v>
      </c>
      <c r="R500">
        <v>6.3663150000000002E-2</v>
      </c>
      <c r="S500">
        <v>2.9886469999999998</v>
      </c>
      <c r="T500">
        <v>-0.21638850000000001</v>
      </c>
      <c r="U500">
        <v>0.15097049999999901</v>
      </c>
      <c r="V500">
        <v>-6.0069839999999999E-2</v>
      </c>
      <c r="W500">
        <v>-5.4111140000000002E-2</v>
      </c>
      <c r="X500">
        <v>0.99672649999999996</v>
      </c>
      <c r="Y500">
        <v>-4.6703099999999997E-2</v>
      </c>
      <c r="Z500">
        <v>1.8226679999999999E-3</v>
      </c>
      <c r="AA500">
        <v>0.99890710000000005</v>
      </c>
      <c r="AB500">
        <v>35</v>
      </c>
      <c r="AC500">
        <v>15.1441999999999</v>
      </c>
      <c r="AD500">
        <v>-1.1091597851349999</v>
      </c>
      <c r="AE500">
        <v>0.77309999999999901</v>
      </c>
      <c r="AF500">
        <v>-0.71459021351280305</v>
      </c>
      <c r="AG500">
        <v>-1.1091597851349999</v>
      </c>
      <c r="AH500">
        <v>15.066285975568601</v>
      </c>
      <c r="AI500">
        <v>94.205732101600901</v>
      </c>
      <c r="AJ500">
        <v>92.715489618020001</v>
      </c>
      <c r="AK500">
        <v>15.1239494742552</v>
      </c>
      <c r="AL500">
        <v>93.101854735955101</v>
      </c>
      <c r="AM500">
        <v>93.448880320370904</v>
      </c>
      <c r="AN500">
        <v>1.0000000584759801</v>
      </c>
    </row>
    <row r="501" spans="1:40" x14ac:dyDescent="0.25">
      <c r="A501" t="str">
        <f>"20190305135205987"</f>
        <v>20190305135205987</v>
      </c>
      <c r="B501" t="str">
        <f>"1551765125980115"</f>
        <v>1551765125980115</v>
      </c>
      <c r="C501" t="s">
        <v>40</v>
      </c>
      <c r="D501">
        <v>4.9178269999999999</v>
      </c>
      <c r="E501">
        <v>0.50512219999999997</v>
      </c>
      <c r="F501" t="s">
        <v>42</v>
      </c>
      <c r="G501">
        <v>-331.43599999999998</v>
      </c>
      <c r="H501" s="1">
        <v>-3.8355620000000004E-6</v>
      </c>
      <c r="I501">
        <v>368.60550000000001</v>
      </c>
      <c r="J501">
        <v>-346.50920000000002</v>
      </c>
      <c r="K501">
        <v>1.109154</v>
      </c>
      <c r="L501">
        <v>367.83730000000003</v>
      </c>
      <c r="M501">
        <v>0.99988619999999995</v>
      </c>
      <c r="N501">
        <v>-1.4663600000000001E-2</v>
      </c>
      <c r="O501">
        <v>3.6100590000000001E-3</v>
      </c>
      <c r="P501">
        <v>0.99558519999999995</v>
      </c>
      <c r="Q501">
        <v>-6.8878159999999994E-2</v>
      </c>
      <c r="R501">
        <v>6.3765409999999995E-2</v>
      </c>
      <c r="S501">
        <v>2.9886469999999998</v>
      </c>
      <c r="T501">
        <v>-0.21722569999999999</v>
      </c>
      <c r="U501">
        <v>0.15060419999999999</v>
      </c>
      <c r="V501">
        <v>-6.0172950000000003E-2</v>
      </c>
      <c r="W501">
        <v>-5.4266130000000003E-2</v>
      </c>
      <c r="X501">
        <v>0.99671180000000004</v>
      </c>
      <c r="Y501">
        <v>-4.6580690000000001E-2</v>
      </c>
      <c r="Z501">
        <v>1.822801E-3</v>
      </c>
      <c r="AA501">
        <v>0.99891289999999999</v>
      </c>
      <c r="AB501">
        <v>35</v>
      </c>
      <c r="AC501">
        <v>15.0732</v>
      </c>
      <c r="AD501">
        <v>-1.109157835562</v>
      </c>
      <c r="AE501">
        <v>0.76819999999997801</v>
      </c>
      <c r="AF501">
        <v>-0.70993984866802595</v>
      </c>
      <c r="AG501">
        <v>-1.109157835562</v>
      </c>
      <c r="AH501">
        <v>14.994892543910099</v>
      </c>
      <c r="AI501">
        <v>94.225693382703994</v>
      </c>
      <c r="AJ501">
        <v>92.710669938288703</v>
      </c>
      <c r="AK501">
        <v>15.0526093451045</v>
      </c>
      <c r="AL501">
        <v>93.110748243160998</v>
      </c>
      <c r="AM501">
        <v>93.454836833243107</v>
      </c>
      <c r="AN501">
        <v>1.0000000045180499</v>
      </c>
    </row>
    <row r="502" spans="1:40" x14ac:dyDescent="0.25">
      <c r="A502" t="str">
        <f>"20190305135205998"</f>
        <v>20190305135205998</v>
      </c>
      <c r="B502" t="str">
        <f>"1551765125989875"</f>
        <v>1551765125989875</v>
      </c>
      <c r="C502" t="s">
        <v>40</v>
      </c>
      <c r="D502">
        <v>4.9221110000000001</v>
      </c>
      <c r="E502">
        <v>0.50519809999999998</v>
      </c>
      <c r="F502" t="s">
        <v>42</v>
      </c>
      <c r="G502">
        <v>-331.30790000000002</v>
      </c>
      <c r="H502" s="1">
        <v>-3.8911979999999996E-6</v>
      </c>
      <c r="I502">
        <v>368.60169999999999</v>
      </c>
      <c r="J502">
        <v>-346.33449999999999</v>
      </c>
      <c r="K502">
        <v>1.1091519999999999</v>
      </c>
      <c r="L502">
        <v>367.83789999999999</v>
      </c>
      <c r="M502">
        <v>0.99988619999999995</v>
      </c>
      <c r="N502">
        <v>-1.466166E-2</v>
      </c>
      <c r="O502">
        <v>3.609896E-3</v>
      </c>
      <c r="P502">
        <v>0.99559500000000001</v>
      </c>
      <c r="Q502">
        <v>-6.8853899999999996E-2</v>
      </c>
      <c r="R502">
        <v>6.3642069999999995E-2</v>
      </c>
      <c r="S502">
        <v>2.9885860000000002</v>
      </c>
      <c r="T502">
        <v>-0.21806010000000001</v>
      </c>
      <c r="U502">
        <v>0.15029909999999999</v>
      </c>
      <c r="V502">
        <v>-6.004992E-2</v>
      </c>
      <c r="W502">
        <v>-5.4243670000000001E-2</v>
      </c>
      <c r="X502">
        <v>0.99672039999999995</v>
      </c>
      <c r="Y502">
        <v>-4.6479470000000002E-2</v>
      </c>
      <c r="Z502">
        <v>1.8238340000000001E-3</v>
      </c>
      <c r="AA502">
        <v>0.99891759999999996</v>
      </c>
      <c r="AB502">
        <v>35</v>
      </c>
      <c r="AC502">
        <v>15.026599999999901</v>
      </c>
      <c r="AD502">
        <v>-1.109155891198</v>
      </c>
      <c r="AE502">
        <v>0.76380000000000303</v>
      </c>
      <c r="AF502">
        <v>-0.70570970509557096</v>
      </c>
      <c r="AG502">
        <v>-1.109155891198</v>
      </c>
      <c r="AH502">
        <v>14.9480276334282</v>
      </c>
      <c r="AI502">
        <v>94.238912924164396</v>
      </c>
      <c r="AJ502">
        <v>92.702977806774101</v>
      </c>
      <c r="AK502">
        <v>15.005725011094199</v>
      </c>
      <c r="AL502">
        <v>93.109459613476304</v>
      </c>
      <c r="AM502">
        <v>93.447760432189995</v>
      </c>
      <c r="AN502">
        <v>0.99999996220161602</v>
      </c>
    </row>
    <row r="503" spans="1:40" x14ac:dyDescent="0.25">
      <c r="A503" t="str">
        <f>"20190305135206010"</f>
        <v>20190305135206010</v>
      </c>
      <c r="B503" t="str">
        <f>"1551765126000611"</f>
        <v>1551765126000611</v>
      </c>
      <c r="C503" t="s">
        <v>40</v>
      </c>
      <c r="D503">
        <v>4.9442949999999897</v>
      </c>
      <c r="E503">
        <v>0.50527630000000001</v>
      </c>
      <c r="F503" t="s">
        <v>42</v>
      </c>
      <c r="G503">
        <v>-331.15629999999999</v>
      </c>
      <c r="H503" s="1">
        <v>-3.9572909999999998E-6</v>
      </c>
      <c r="I503">
        <v>368.59570000000002</v>
      </c>
      <c r="J503">
        <v>-346.16379999999998</v>
      </c>
      <c r="K503">
        <v>1.1091519999999999</v>
      </c>
      <c r="L503">
        <v>367.83850000000001</v>
      </c>
      <c r="M503">
        <v>0.99988600000000005</v>
      </c>
      <c r="N503">
        <v>-1.4659770000000001E-2</v>
      </c>
      <c r="O503">
        <v>3.6099119999999998E-3</v>
      </c>
      <c r="P503">
        <v>0.99559160000000002</v>
      </c>
      <c r="Q503">
        <v>-6.9042800000000001E-2</v>
      </c>
      <c r="R503">
        <v>6.3487089999999996E-2</v>
      </c>
      <c r="S503">
        <v>2.9886170000000001</v>
      </c>
      <c r="T503">
        <v>-0.218394</v>
      </c>
      <c r="U503">
        <v>0.149231</v>
      </c>
      <c r="V503">
        <v>-5.9894839999999998E-2</v>
      </c>
      <c r="W503">
        <v>-5.443452E-2</v>
      </c>
      <c r="X503">
        <v>0.99671940000000003</v>
      </c>
      <c r="Y503">
        <v>-4.6123579999999997E-2</v>
      </c>
      <c r="Z503">
        <v>1.810369E-3</v>
      </c>
      <c r="AA503">
        <v>0.99893410000000005</v>
      </c>
      <c r="AB503">
        <v>35</v>
      </c>
      <c r="AC503">
        <v>15.007499999999901</v>
      </c>
      <c r="AD503">
        <v>-1.1091559572909999</v>
      </c>
      <c r="AE503">
        <v>0.75720000000001098</v>
      </c>
      <c r="AF503">
        <v>-0.69920398484476898</v>
      </c>
      <c r="AG503">
        <v>-1.1091559572909999</v>
      </c>
      <c r="AH503">
        <v>14.9287987128062</v>
      </c>
      <c r="AI503">
        <v>94.244427536032703</v>
      </c>
      <c r="AJ503">
        <v>92.681540802387502</v>
      </c>
      <c r="AK503">
        <v>14.9862651837441</v>
      </c>
      <c r="AL503">
        <v>93.120410464009396</v>
      </c>
      <c r="AM503">
        <v>93.438881366279503</v>
      </c>
      <c r="AN503">
        <v>1.0000000355812999</v>
      </c>
    </row>
    <row r="504" spans="1:40" x14ac:dyDescent="0.25">
      <c r="A504" t="str">
        <f>"20190305135206022"</f>
        <v>20190305135206022</v>
      </c>
      <c r="B504" t="str">
        <f>"1551765126010371"</f>
        <v>1551765126010371</v>
      </c>
      <c r="C504" t="s">
        <v>40</v>
      </c>
      <c r="D504">
        <v>4.9369110000000003</v>
      </c>
      <c r="E504">
        <v>0.50534559999999995</v>
      </c>
      <c r="F504" t="s">
        <v>42</v>
      </c>
      <c r="G504">
        <v>-331.02550000000002</v>
      </c>
      <c r="H504" s="1">
        <v>-4.014637E-6</v>
      </c>
      <c r="I504">
        <v>368.58879999999999</v>
      </c>
      <c r="J504">
        <v>-345.97820000000002</v>
      </c>
      <c r="K504">
        <v>1.1091500000000001</v>
      </c>
      <c r="L504">
        <v>367.83920000000001</v>
      </c>
      <c r="M504">
        <v>0.9998861</v>
      </c>
      <c r="N504">
        <v>-1.4657730000000001E-2</v>
      </c>
      <c r="O504">
        <v>3.6097490000000002E-3</v>
      </c>
      <c r="P504">
        <v>0.99558230000000003</v>
      </c>
      <c r="Q504">
        <v>-6.9199120000000003E-2</v>
      </c>
      <c r="R504">
        <v>6.3461589999999998E-2</v>
      </c>
      <c r="S504">
        <v>2.9886469999999998</v>
      </c>
      <c r="T504">
        <v>-0.21897079999999999</v>
      </c>
      <c r="U504">
        <v>0.14813229999999999</v>
      </c>
      <c r="V504">
        <v>-5.986913E-2</v>
      </c>
      <c r="W504">
        <v>-5.4593000000000003E-2</v>
      </c>
      <c r="X504">
        <v>0.9967123</v>
      </c>
      <c r="Y504">
        <v>-4.5757430000000002E-2</v>
      </c>
      <c r="Z504">
        <v>1.7979820000000001E-3</v>
      </c>
      <c r="AA504">
        <v>0.99895100000000003</v>
      </c>
      <c r="AB504">
        <v>35</v>
      </c>
      <c r="AC504">
        <v>14.952699999999901</v>
      </c>
      <c r="AD504">
        <v>-1.109154014637</v>
      </c>
      <c r="AE504">
        <v>0.74959999999998606</v>
      </c>
      <c r="AF504">
        <v>-0.69181678186897</v>
      </c>
      <c r="AG504">
        <v>-1.109154014637</v>
      </c>
      <c r="AH504">
        <v>14.873674420700301</v>
      </c>
      <c r="AI504">
        <v>94.260156710943704</v>
      </c>
      <c r="AJ504">
        <v>92.663069846120706</v>
      </c>
      <c r="AK504">
        <v>14.9310088025175</v>
      </c>
      <c r="AL504">
        <v>93.129504148732806</v>
      </c>
      <c r="AM504">
        <v>93.437433186077001</v>
      </c>
      <c r="AN504">
        <v>1.00000005867362</v>
      </c>
    </row>
    <row r="505" spans="1:40" x14ac:dyDescent="0.25">
      <c r="A505" t="str">
        <f>"20190305135206034"</f>
        <v>20190305135206034</v>
      </c>
      <c r="B505" t="str">
        <f>"1551765126030397"</f>
        <v>1551765126030397</v>
      </c>
      <c r="C505" t="s">
        <v>40</v>
      </c>
      <c r="D505">
        <v>4.9270060000000004</v>
      </c>
      <c r="E505">
        <v>0.50545879999999999</v>
      </c>
      <c r="F505" t="s">
        <v>42</v>
      </c>
      <c r="G505">
        <v>-330.87759999999997</v>
      </c>
      <c r="H505" s="1">
        <v>-4.0789239999999998E-6</v>
      </c>
      <c r="I505">
        <v>368.584</v>
      </c>
      <c r="J505">
        <v>-345.79700000000003</v>
      </c>
      <c r="K505">
        <v>1.109151</v>
      </c>
      <c r="L505">
        <v>367.8399</v>
      </c>
      <c r="M505">
        <v>0.99988619999999995</v>
      </c>
      <c r="N505">
        <v>-1.465573E-2</v>
      </c>
      <c r="O505">
        <v>3.6136720000000001E-3</v>
      </c>
      <c r="P505">
        <v>0.995564</v>
      </c>
      <c r="Q505">
        <v>-6.9438040000000006E-2</v>
      </c>
      <c r="R505">
        <v>6.3490130000000006E-2</v>
      </c>
      <c r="S505">
        <v>2.9886780000000002</v>
      </c>
      <c r="T505">
        <v>-0.21951960000000001</v>
      </c>
      <c r="U505">
        <v>0.14743039999999999</v>
      </c>
      <c r="V505">
        <v>-5.9894000000000003E-2</v>
      </c>
      <c r="W505">
        <v>-5.4834439999999998E-2</v>
      </c>
      <c r="X505">
        <v>0.99669750000000001</v>
      </c>
      <c r="Y505">
        <v>-4.5519120000000003E-2</v>
      </c>
      <c r="Z505">
        <v>1.7907299999999999E-3</v>
      </c>
      <c r="AA505">
        <v>0.99896189999999996</v>
      </c>
      <c r="AB505">
        <v>35</v>
      </c>
      <c r="AC505">
        <v>14.9193999999999</v>
      </c>
      <c r="AD505">
        <v>-1.1091550789239999</v>
      </c>
      <c r="AE505">
        <v>0.74410000000000298</v>
      </c>
      <c r="AF505">
        <v>-0.68639133343119096</v>
      </c>
      <c r="AG505">
        <v>-1.1091550789239999</v>
      </c>
      <c r="AH505">
        <v>14.840175099011899</v>
      </c>
      <c r="AI505">
        <v>94.2697931993944</v>
      </c>
      <c r="AJ505">
        <v>92.648170810662904</v>
      </c>
      <c r="AK505">
        <v>14.8973875233561</v>
      </c>
      <c r="AL505">
        <v>93.143358556769499</v>
      </c>
      <c r="AM505">
        <v>93.438908631802306</v>
      </c>
      <c r="AN505">
        <v>1.0000000067761801</v>
      </c>
    </row>
    <row r="506" spans="1:40" x14ac:dyDescent="0.25">
      <c r="A506" t="str">
        <f>"20190305135206046"</f>
        <v>20190305135206046</v>
      </c>
      <c r="B506" t="str">
        <f>"1551765126040157"</f>
        <v>1551765126040157</v>
      </c>
      <c r="C506" t="s">
        <v>40</v>
      </c>
      <c r="D506">
        <v>4.946472</v>
      </c>
      <c r="E506">
        <v>0.50552280000000005</v>
      </c>
      <c r="F506" t="s">
        <v>42</v>
      </c>
      <c r="G506">
        <v>-330.74459999999999</v>
      </c>
      <c r="H506" s="1">
        <v>-4.1367879999999996E-6</v>
      </c>
      <c r="I506">
        <v>368.57960000000003</v>
      </c>
      <c r="J506">
        <v>-345.62169999999998</v>
      </c>
      <c r="K506">
        <v>1.1091500000000001</v>
      </c>
      <c r="L506">
        <v>367.84050000000002</v>
      </c>
      <c r="M506">
        <v>0.9998861</v>
      </c>
      <c r="N506">
        <v>-1.4653799999999899E-2</v>
      </c>
      <c r="O506">
        <v>3.6190939999999998E-3</v>
      </c>
      <c r="P506">
        <v>0.99554540000000002</v>
      </c>
      <c r="Q506">
        <v>-6.9634589999999996E-2</v>
      </c>
      <c r="R506">
        <v>6.356436E-2</v>
      </c>
      <c r="S506">
        <v>2.9886469999999998</v>
      </c>
      <c r="T506">
        <v>-0.2202209</v>
      </c>
      <c r="U506">
        <v>0.14688109999999999</v>
      </c>
      <c r="V506">
        <v>-5.9962250000000002E-2</v>
      </c>
      <c r="W506">
        <v>-5.5033529999999997E-2</v>
      </c>
      <c r="X506">
        <v>0.99668239999999997</v>
      </c>
      <c r="Y506">
        <v>-4.5330839999999997E-2</v>
      </c>
      <c r="Z506">
        <v>1.78654799999999E-3</v>
      </c>
      <c r="AA506">
        <v>0.99897040000000004</v>
      </c>
      <c r="AB506">
        <v>35</v>
      </c>
      <c r="AC506">
        <v>14.877099999999899</v>
      </c>
      <c r="AD506">
        <v>-1.109154136788</v>
      </c>
      <c r="AE506">
        <v>0.73910000000000697</v>
      </c>
      <c r="AF506">
        <v>-0.68146922443879698</v>
      </c>
      <c r="AG506">
        <v>-1.109154136788</v>
      </c>
      <c r="AH506">
        <v>14.7976295554127</v>
      </c>
      <c r="AI506">
        <v>94.282059540761296</v>
      </c>
      <c r="AJ506">
        <v>92.636756271249297</v>
      </c>
      <c r="AK506">
        <v>14.8547791522538</v>
      </c>
      <c r="AL506">
        <v>93.154782897230405</v>
      </c>
      <c r="AM506">
        <v>93.442869927055099</v>
      </c>
      <c r="AN506">
        <v>0.99999998365954101</v>
      </c>
    </row>
    <row r="507" spans="1:40" x14ac:dyDescent="0.25">
      <c r="A507" t="str">
        <f>"20190305135206057"</f>
        <v>20190305135206057</v>
      </c>
      <c r="B507" t="str">
        <f>"1551765126049918"</f>
        <v>1551765126049918</v>
      </c>
      <c r="C507" t="s">
        <v>40</v>
      </c>
      <c r="D507">
        <v>4.9560529999999998</v>
      </c>
      <c r="E507">
        <v>0.50560779999999905</v>
      </c>
      <c r="F507" t="s">
        <v>42</v>
      </c>
      <c r="G507">
        <v>-330.62979999999999</v>
      </c>
      <c r="H507" s="1">
        <v>-4.1867159999999997E-6</v>
      </c>
      <c r="I507">
        <v>368.57569999999998</v>
      </c>
      <c r="J507">
        <v>-345.42219999999998</v>
      </c>
      <c r="K507">
        <v>1.1091580000000001</v>
      </c>
      <c r="L507">
        <v>367.84120000000001</v>
      </c>
      <c r="M507">
        <v>0.99988600000000005</v>
      </c>
      <c r="N507">
        <v>-1.4651620000000001E-2</v>
      </c>
      <c r="O507">
        <v>3.6361010000000001E-3</v>
      </c>
      <c r="P507">
        <v>0.99554480000000001</v>
      </c>
      <c r="Q507">
        <v>-7.0073469999999999E-2</v>
      </c>
      <c r="R507">
        <v>6.3088930000000001E-2</v>
      </c>
      <c r="S507">
        <v>2.9885860000000002</v>
      </c>
      <c r="T507">
        <v>-0.22110440000000001</v>
      </c>
      <c r="U507">
        <v>0.14657590000000001</v>
      </c>
      <c r="V507">
        <v>-5.9469380000000002E-2</v>
      </c>
      <c r="W507">
        <v>-5.547556E-2</v>
      </c>
      <c r="X507">
        <v>0.9966874</v>
      </c>
      <c r="Y507">
        <v>-4.5212479999999999E-2</v>
      </c>
      <c r="Z507">
        <v>1.785884E-3</v>
      </c>
      <c r="AA507">
        <v>0.99897579999999997</v>
      </c>
      <c r="AB507">
        <v>35</v>
      </c>
      <c r="AC507">
        <v>14.792399999999899</v>
      </c>
      <c r="AD507">
        <v>-1.109162186716</v>
      </c>
      <c r="AE507">
        <v>0.73449999999996796</v>
      </c>
      <c r="AF507">
        <v>-0.67690630645750205</v>
      </c>
      <c r="AG507">
        <v>-1.109162186716</v>
      </c>
      <c r="AH507">
        <v>14.7124590023652</v>
      </c>
      <c r="AI507">
        <v>94.306795140748903</v>
      </c>
      <c r="AJ507">
        <v>92.634266838542601</v>
      </c>
      <c r="AK507">
        <v>14.769728934562099</v>
      </c>
      <c r="AL507">
        <v>93.180148179807304</v>
      </c>
      <c r="AM507">
        <v>93.414620814709096</v>
      </c>
      <c r="AN507">
        <v>0.99999995911682804</v>
      </c>
    </row>
    <row r="508" spans="1:40" x14ac:dyDescent="0.25">
      <c r="A508" t="str">
        <f>"20190305135206071"</f>
        <v>20190305135206071</v>
      </c>
      <c r="B508" t="str">
        <f>"1551765126059677"</f>
        <v>1551765126059677</v>
      </c>
      <c r="C508" t="s">
        <v>40</v>
      </c>
      <c r="D508">
        <v>4.9579019999999998</v>
      </c>
      <c r="E508">
        <v>0.50567359999999995</v>
      </c>
      <c r="F508" t="s">
        <v>42</v>
      </c>
      <c r="G508">
        <v>-330.53449999999998</v>
      </c>
      <c r="H508" s="1">
        <v>-4.230332E-6</v>
      </c>
      <c r="I508">
        <v>368.56020000000001</v>
      </c>
      <c r="J508">
        <v>-345.22480000000002</v>
      </c>
      <c r="K508">
        <v>1.109165</v>
      </c>
      <c r="L508">
        <v>367.84190000000001</v>
      </c>
      <c r="M508">
        <v>0.9998861</v>
      </c>
      <c r="N508">
        <v>-1.4649479999999999E-2</v>
      </c>
      <c r="O508">
        <v>3.6586209999999999E-3</v>
      </c>
      <c r="P508">
        <v>0.99551619999999996</v>
      </c>
      <c r="Q508">
        <v>-7.060719E-2</v>
      </c>
      <c r="R508">
        <v>6.2946719999999998E-2</v>
      </c>
      <c r="S508">
        <v>2.9886469999999998</v>
      </c>
      <c r="T508">
        <v>-0.2226591</v>
      </c>
      <c r="U508">
        <v>0.14434810000000001</v>
      </c>
      <c r="V508">
        <v>-5.9303620000000001E-2</v>
      </c>
      <c r="W508">
        <v>-5.6012979999999997E-2</v>
      </c>
      <c r="X508">
        <v>0.99666730000000003</v>
      </c>
      <c r="Y508">
        <v>-4.4446859999999998E-2</v>
      </c>
      <c r="Z508">
        <v>1.7602179999999901E-3</v>
      </c>
      <c r="AA508">
        <v>0.99901019999999896</v>
      </c>
      <c r="AB508">
        <v>35</v>
      </c>
      <c r="AC508">
        <v>14.690300000000001</v>
      </c>
      <c r="AD508">
        <v>-1.109169230332</v>
      </c>
      <c r="AE508">
        <v>0.71829999999999905</v>
      </c>
      <c r="AF508">
        <v>-0.66078518261057995</v>
      </c>
      <c r="AG508">
        <v>-1.109169230332</v>
      </c>
      <c r="AH508">
        <v>14.6097416540164</v>
      </c>
      <c r="AI508">
        <v>94.337140832856306</v>
      </c>
      <c r="AJ508">
        <v>92.589670520909905</v>
      </c>
      <c r="AK508">
        <v>14.666678036834901</v>
      </c>
      <c r="AL508">
        <v>93.210987772548293</v>
      </c>
      <c r="AM508">
        <v>93.405194121372901</v>
      </c>
      <c r="AN508">
        <v>1.00000004008143</v>
      </c>
    </row>
    <row r="509" spans="1:40" x14ac:dyDescent="0.25">
      <c r="A509" t="str">
        <f>"20190305135206082"</f>
        <v>20190305135206082</v>
      </c>
      <c r="B509" t="str">
        <f>"1551765126070415"</f>
        <v>1551765126070415</v>
      </c>
      <c r="C509" t="s">
        <v>40</v>
      </c>
      <c r="D509">
        <v>4.9834740000000002</v>
      </c>
      <c r="E509">
        <v>0.50577119999999998</v>
      </c>
      <c r="F509" t="s">
        <v>42</v>
      </c>
      <c r="G509">
        <v>-330.45359999999999</v>
      </c>
      <c r="H509" s="1">
        <v>-4.2667460000000002E-6</v>
      </c>
      <c r="I509">
        <v>368.55070000000001</v>
      </c>
      <c r="J509">
        <v>-345.04509999999999</v>
      </c>
      <c r="K509">
        <v>1.109167</v>
      </c>
      <c r="L509">
        <v>367.84269999999998</v>
      </c>
      <c r="M509">
        <v>0.99988600000000005</v>
      </c>
      <c r="N509">
        <v>-1.4647540000000001E-2</v>
      </c>
      <c r="O509">
        <v>3.6855690000000001E-3</v>
      </c>
      <c r="P509">
        <v>0.99549880000000002</v>
      </c>
      <c r="Q509">
        <v>-7.1068320000000004E-2</v>
      </c>
      <c r="R509">
        <v>6.2702750000000002E-2</v>
      </c>
      <c r="S509">
        <v>2.9885250000000001</v>
      </c>
      <c r="T509">
        <v>-0.224407</v>
      </c>
      <c r="U509">
        <v>0.1434021</v>
      </c>
      <c r="V509">
        <v>-5.9031180000000003E-2</v>
      </c>
      <c r="W509">
        <v>-5.6477649999999997E-2</v>
      </c>
      <c r="X509">
        <v>0.99665720000000002</v>
      </c>
      <c r="Y509">
        <v>-4.4105579999999998E-2</v>
      </c>
      <c r="Z509">
        <v>1.7541259999999999E-3</v>
      </c>
      <c r="AA509">
        <v>0.9990253</v>
      </c>
      <c r="AB509">
        <v>35</v>
      </c>
      <c r="AC509">
        <v>14.5914999999999</v>
      </c>
      <c r="AD509">
        <v>-1.1091712667460001</v>
      </c>
      <c r="AE509">
        <v>0.70800000000002605</v>
      </c>
      <c r="AF509">
        <v>-0.65046173309217703</v>
      </c>
      <c r="AG509">
        <v>-1.1091712667460001</v>
      </c>
      <c r="AH509">
        <v>14.5103627744245</v>
      </c>
      <c r="AI509">
        <v>94.366817135471095</v>
      </c>
      <c r="AJ509">
        <v>92.566702081135205</v>
      </c>
      <c r="AK509">
        <v>14.567223112542701</v>
      </c>
      <c r="AL509">
        <v>93.237653777338494</v>
      </c>
      <c r="AM509">
        <v>93.389621534777007</v>
      </c>
      <c r="AN509">
        <v>0.99999998973677695</v>
      </c>
    </row>
    <row r="510" spans="1:40" x14ac:dyDescent="0.25">
      <c r="A510" t="str">
        <f>"20190305135206099"</f>
        <v>20190305135206099</v>
      </c>
      <c r="B510" t="str">
        <f>"1551765126089933"</f>
        <v>1551765126089933</v>
      </c>
      <c r="C510" t="s">
        <v>40</v>
      </c>
      <c r="D510">
        <v>4.9893380000000001</v>
      </c>
      <c r="E510">
        <v>0.50589070000000003</v>
      </c>
      <c r="F510" t="s">
        <v>42</v>
      </c>
      <c r="G510">
        <v>-330.36939999999998</v>
      </c>
      <c r="H510" s="1">
        <v>-4.3048300000000003E-6</v>
      </c>
      <c r="I510">
        <v>368.53960000000001</v>
      </c>
      <c r="J510">
        <v>-344.7867</v>
      </c>
      <c r="K510">
        <v>1.109183</v>
      </c>
      <c r="L510">
        <v>367.84370000000001</v>
      </c>
      <c r="M510">
        <v>0.99988569999999999</v>
      </c>
      <c r="N510">
        <v>-1.464473E-2</v>
      </c>
      <c r="O510">
        <v>3.7409159999999999E-3</v>
      </c>
      <c r="P510">
        <v>0.99546129999999999</v>
      </c>
      <c r="Q510">
        <v>-7.1905860000000002E-2</v>
      </c>
      <c r="R510">
        <v>6.2341000000000001E-2</v>
      </c>
      <c r="S510">
        <v>2.9884949999999999</v>
      </c>
      <c r="T510">
        <v>-0.22586510000000001</v>
      </c>
      <c r="U510">
        <v>0.14193729999999999</v>
      </c>
      <c r="V510">
        <v>-5.8612049999999999E-2</v>
      </c>
      <c r="W510">
        <v>-5.7320940000000001E-2</v>
      </c>
      <c r="X510">
        <v>0.99663380000000001</v>
      </c>
      <c r="Y510">
        <v>-4.3562480000000001E-2</v>
      </c>
      <c r="Z510">
        <v>1.735171E-3</v>
      </c>
      <c r="AA510">
        <v>0.99904919999999997</v>
      </c>
      <c r="AB510">
        <v>35</v>
      </c>
      <c r="AC510">
        <v>14.417299999999999</v>
      </c>
      <c r="AD510">
        <v>-1.1091873048300001</v>
      </c>
      <c r="AE510">
        <v>0.69589999999999397</v>
      </c>
      <c r="AF510">
        <v>-0.63818684170900097</v>
      </c>
      <c r="AG510">
        <v>-1.1091873048300001</v>
      </c>
      <c r="AH510">
        <v>14.3351513987175</v>
      </c>
      <c r="AI510">
        <v>94.420104509279199</v>
      </c>
      <c r="AJ510">
        <v>92.5490686067985</v>
      </c>
      <c r="AK510">
        <v>14.3921556601601</v>
      </c>
      <c r="AL510">
        <v>93.2860491177385</v>
      </c>
      <c r="AM510">
        <v>93.365689087028997</v>
      </c>
      <c r="AN510">
        <v>0.99999999693506303</v>
      </c>
    </row>
    <row r="511" spans="1:40" x14ac:dyDescent="0.25">
      <c r="A511" t="str">
        <f>"20190305135206113"</f>
        <v>20190305135206113</v>
      </c>
      <c r="B511" t="str">
        <f>"1551765126110429"</f>
        <v>1551765126110429</v>
      </c>
      <c r="C511" t="s">
        <v>40</v>
      </c>
      <c r="D511">
        <v>4.9969939999999999</v>
      </c>
      <c r="E511">
        <v>0.50601719999999994</v>
      </c>
      <c r="F511" t="s">
        <v>42</v>
      </c>
      <c r="G511">
        <v>-330.30189999999999</v>
      </c>
      <c r="H511" s="1">
        <v>-4.3369470000000002E-6</v>
      </c>
      <c r="I511">
        <v>368.52170000000001</v>
      </c>
      <c r="J511">
        <v>-344.57530000000003</v>
      </c>
      <c r="K511">
        <v>1.1092010000000001</v>
      </c>
      <c r="L511">
        <v>367.84449999999998</v>
      </c>
      <c r="M511">
        <v>0.99988560000000004</v>
      </c>
      <c r="N511">
        <v>-1.464238E-2</v>
      </c>
      <c r="O511">
        <v>3.7990839999999999E-3</v>
      </c>
      <c r="P511">
        <v>0.99546210000000002</v>
      </c>
      <c r="Q511">
        <v>-7.2208759999999997E-2</v>
      </c>
      <c r="R511">
        <v>6.1978699999999901E-2</v>
      </c>
      <c r="S511">
        <v>2.9883419999999998</v>
      </c>
      <c r="T511">
        <v>-0.22883519999999999</v>
      </c>
      <c r="U511">
        <v>0.13989260000000001</v>
      </c>
      <c r="V511">
        <v>-5.8189480000000002E-2</v>
      </c>
      <c r="W511">
        <v>-5.7628289999999999E-2</v>
      </c>
      <c r="X511">
        <v>0.99664090000000005</v>
      </c>
      <c r="Y511">
        <v>-4.2824010000000003E-2</v>
      </c>
      <c r="Z511">
        <v>1.715821E-3</v>
      </c>
      <c r="AA511">
        <v>0.99908110000000006</v>
      </c>
      <c r="AB511">
        <v>35</v>
      </c>
      <c r="AC511">
        <v>14.273400000000001</v>
      </c>
      <c r="AD511">
        <v>-1.1092053369470001</v>
      </c>
      <c r="AE511">
        <v>0.677200000000027</v>
      </c>
      <c r="AF511">
        <v>-0.61923227446879503</v>
      </c>
      <c r="AG511">
        <v>-1.1092053369470001</v>
      </c>
      <c r="AH511">
        <v>14.190366050192001</v>
      </c>
      <c r="AI511">
        <v>94.465266461758503</v>
      </c>
      <c r="AJ511">
        <v>92.498660083604705</v>
      </c>
      <c r="AK511">
        <v>14.247114575509601</v>
      </c>
      <c r="AL511">
        <v>93.303687926721295</v>
      </c>
      <c r="AM511">
        <v>93.341455214330793</v>
      </c>
      <c r="AN511">
        <v>1.0000000594719001</v>
      </c>
    </row>
    <row r="512" spans="1:40" x14ac:dyDescent="0.25">
      <c r="A512" t="str">
        <f>"20190305135206127"</f>
        <v>20190305135206127</v>
      </c>
      <c r="B512" t="str">
        <f>"1551765126120190"</f>
        <v>1551765126120190</v>
      </c>
      <c r="C512" t="s">
        <v>40</v>
      </c>
      <c r="D512">
        <v>4.9934750000000001</v>
      </c>
      <c r="E512">
        <v>0.50607820000000003</v>
      </c>
      <c r="F512" t="s">
        <v>42</v>
      </c>
      <c r="G512">
        <v>-330.17219999999998</v>
      </c>
      <c r="H512" s="1">
        <v>-4.3950390000000003E-6</v>
      </c>
      <c r="I512">
        <v>368.50779999999997</v>
      </c>
      <c r="J512">
        <v>-344.35719999999998</v>
      </c>
      <c r="K512">
        <v>1.1092169999999999</v>
      </c>
      <c r="L512">
        <v>367.84539999999998</v>
      </c>
      <c r="M512">
        <v>0.99988540000000004</v>
      </c>
      <c r="N512">
        <v>-1.4639920000000001E-2</v>
      </c>
      <c r="O512">
        <v>3.8694300000000001E-3</v>
      </c>
      <c r="P512">
        <v>0.9954887</v>
      </c>
      <c r="Q512">
        <v>-7.2064879999999998E-2</v>
      </c>
      <c r="R512">
        <v>6.1714100000000001E-2</v>
      </c>
      <c r="S512">
        <v>2.9883730000000002</v>
      </c>
      <c r="T512">
        <v>-0.23013900000000001</v>
      </c>
      <c r="U512">
        <v>0.13763429999999999</v>
      </c>
      <c r="V512">
        <v>-5.7852519999999998E-2</v>
      </c>
      <c r="W512">
        <v>-5.748876E-2</v>
      </c>
      <c r="X512">
        <v>0.99666849999999996</v>
      </c>
      <c r="Y512">
        <v>-4.2001429999999999E-2</v>
      </c>
      <c r="Z512">
        <v>1.681391E-3</v>
      </c>
      <c r="AA512">
        <v>0.99911609999999995</v>
      </c>
      <c r="AB512">
        <v>35</v>
      </c>
      <c r="AC512">
        <v>14.185</v>
      </c>
      <c r="AD512">
        <v>-1.109221395039</v>
      </c>
      <c r="AE512">
        <v>0.662399999999991</v>
      </c>
      <c r="AF512">
        <v>-0.60381714626201199</v>
      </c>
      <c r="AG512">
        <v>-1.109221395039</v>
      </c>
      <c r="AH512">
        <v>14.1014183214319</v>
      </c>
      <c r="AI512">
        <v>94.493539822046102</v>
      </c>
      <c r="AJ512">
        <v>92.4518847877208</v>
      </c>
      <c r="AK512">
        <v>14.1578588044007</v>
      </c>
      <c r="AL512">
        <v>93.295680416189597</v>
      </c>
      <c r="AM512">
        <v>93.3220573975766</v>
      </c>
      <c r="AN512">
        <v>0.99999998524446798</v>
      </c>
    </row>
    <row r="513" spans="1:40" x14ac:dyDescent="0.25">
      <c r="A513" t="str">
        <f>"20190305135206144"</f>
        <v>20190305135206144</v>
      </c>
      <c r="B513" t="str">
        <f>"1551765126140217"</f>
        <v>1551765126140217</v>
      </c>
      <c r="C513" t="s">
        <v>40</v>
      </c>
      <c r="D513">
        <v>4.9957789999999997</v>
      </c>
      <c r="E513">
        <v>0.50619340000000002</v>
      </c>
      <c r="F513" t="s">
        <v>42</v>
      </c>
      <c r="G513">
        <v>-329.93560000000002</v>
      </c>
      <c r="H513" s="1">
        <v>-3.0392370000000001E-7</v>
      </c>
      <c r="I513">
        <v>368.50420000000003</v>
      </c>
      <c r="J513">
        <v>-344.09190000000001</v>
      </c>
      <c r="K513">
        <v>1.10924</v>
      </c>
      <c r="L513">
        <v>367.84649999999999</v>
      </c>
      <c r="M513">
        <v>0.99988500000000002</v>
      </c>
      <c r="N513">
        <v>-1.463709E-2</v>
      </c>
      <c r="O513">
        <v>3.97226E-3</v>
      </c>
      <c r="P513">
        <v>0.99552589999999996</v>
      </c>
      <c r="Q513">
        <v>-7.2032529999999997E-2</v>
      </c>
      <c r="R513">
        <v>6.1150719999999999E-2</v>
      </c>
      <c r="S513">
        <v>2.988464</v>
      </c>
      <c r="T513">
        <v>-0.2298511</v>
      </c>
      <c r="U513">
        <v>0.13653560000000001</v>
      </c>
      <c r="V513">
        <v>-5.7183449999999997E-2</v>
      </c>
      <c r="W513">
        <v>-5.7461350000000001E-2</v>
      </c>
      <c r="X513">
        <v>0.9967087</v>
      </c>
      <c r="Y513">
        <v>-4.1532920000000001E-2</v>
      </c>
      <c r="Z513">
        <v>1.6518380000000001E-3</v>
      </c>
      <c r="AA513">
        <v>0.99913580000000002</v>
      </c>
      <c r="AB513">
        <v>35</v>
      </c>
      <c r="AC513">
        <v>14.1562999999999</v>
      </c>
      <c r="AD513">
        <v>-1.1092403039237</v>
      </c>
      <c r="AE513">
        <v>0.65770000000003304</v>
      </c>
      <c r="AF513">
        <v>-0.59779387339196299</v>
      </c>
      <c r="AG513">
        <v>-1.1092403039237</v>
      </c>
      <c r="AH513">
        <v>14.072584857803401</v>
      </c>
      <c r="AI513">
        <v>94.502850263493301</v>
      </c>
      <c r="AJ513">
        <v>92.432423513683503</v>
      </c>
      <c r="AK513">
        <v>14.1288858777679</v>
      </c>
      <c r="AL513">
        <v>93.294107312303794</v>
      </c>
      <c r="AM513">
        <v>93.283589895334003</v>
      </c>
      <c r="AN513">
        <v>0.99999999317670696</v>
      </c>
    </row>
    <row r="514" spans="1:40" x14ac:dyDescent="0.25">
      <c r="A514" t="str">
        <f>"20190305135206158"</f>
        <v>20190305135206158</v>
      </c>
      <c r="B514" t="str">
        <f>"1551765126149976"</f>
        <v>1551765126149976</v>
      </c>
      <c r="C514" t="s">
        <v>40</v>
      </c>
      <c r="D514">
        <v>5.0171619999999999</v>
      </c>
      <c r="E514">
        <v>0.50621090000000002</v>
      </c>
      <c r="F514" t="s">
        <v>42</v>
      </c>
      <c r="G514">
        <v>-329.66219999999998</v>
      </c>
      <c r="H514" s="1">
        <v>-3.9999760000000001E-7</v>
      </c>
      <c r="I514">
        <v>368.49270000000001</v>
      </c>
      <c r="J514">
        <v>-343.87599999999998</v>
      </c>
      <c r="K514">
        <v>1.1092519999999999</v>
      </c>
      <c r="L514">
        <v>367.84750000000003</v>
      </c>
      <c r="M514">
        <v>0.99988469999999996</v>
      </c>
      <c r="N514">
        <v>-1.463476E-2</v>
      </c>
      <c r="O514">
        <v>4.0693669999999999E-3</v>
      </c>
      <c r="P514">
        <v>0.99551599999999996</v>
      </c>
      <c r="Q514">
        <v>-7.2013690000000005E-2</v>
      </c>
      <c r="R514">
        <v>6.1335050000000002E-2</v>
      </c>
      <c r="S514">
        <v>2.9886469999999998</v>
      </c>
      <c r="T514">
        <v>-0.22974169999999999</v>
      </c>
      <c r="U514">
        <v>0.1338501</v>
      </c>
      <c r="V514">
        <v>-5.726904E-2</v>
      </c>
      <c r="W514">
        <v>-5.7446799999999999E-2</v>
      </c>
      <c r="X514">
        <v>0.99670460000000005</v>
      </c>
      <c r="Y514">
        <v>-4.0540890000000003E-2</v>
      </c>
      <c r="Z514">
        <v>1.5997489999999999E-3</v>
      </c>
      <c r="AA514">
        <v>0.99917659999999997</v>
      </c>
      <c r="AB514">
        <v>35</v>
      </c>
      <c r="AC514">
        <v>14.2137999999999</v>
      </c>
      <c r="AD514">
        <v>-1.1092523999976001</v>
      </c>
      <c r="AE514">
        <v>0.64519999999998801</v>
      </c>
      <c r="AF514">
        <v>-0.583799083031457</v>
      </c>
      <c r="AG514">
        <v>-1.1092523999976001</v>
      </c>
      <c r="AH514">
        <v>14.130426215137801</v>
      </c>
      <c r="AI514">
        <v>94.484759866996797</v>
      </c>
      <c r="AJ514">
        <v>92.365831762397903</v>
      </c>
      <c r="AK514">
        <v>14.185915806802999</v>
      </c>
      <c r="AL514">
        <v>93.293272359998696</v>
      </c>
      <c r="AM514">
        <v>93.2885073664863</v>
      </c>
      <c r="AN514">
        <v>0.99999996871695995</v>
      </c>
    </row>
    <row r="515" spans="1:40" x14ac:dyDescent="0.25">
      <c r="A515" t="str">
        <f>"20190305135206170"</f>
        <v>20190305135206170</v>
      </c>
      <c r="B515" t="str">
        <f>"1551765126159737"</f>
        <v>1551765126159737</v>
      </c>
      <c r="C515" t="s">
        <v>40</v>
      </c>
      <c r="D515">
        <v>5.0464729999999998</v>
      </c>
      <c r="E515">
        <v>0.50625949999999997</v>
      </c>
      <c r="F515" t="s">
        <v>42</v>
      </c>
      <c r="G515">
        <v>-329.45859999999999</v>
      </c>
      <c r="H515" s="1">
        <v>-4.6875410000000001E-7</v>
      </c>
      <c r="I515">
        <v>368.49470000000002</v>
      </c>
      <c r="J515">
        <v>-343.6925</v>
      </c>
      <c r="K515">
        <v>1.1092610000000001</v>
      </c>
      <c r="L515">
        <v>367.84829999999999</v>
      </c>
      <c r="M515">
        <v>0.99988440000000001</v>
      </c>
      <c r="N515">
        <v>-1.463279E-2</v>
      </c>
      <c r="O515">
        <v>4.156402E-3</v>
      </c>
      <c r="P515">
        <v>0.99548630000000005</v>
      </c>
      <c r="Q515">
        <v>-7.2310159999999998E-2</v>
      </c>
      <c r="R515">
        <v>6.146952E-2</v>
      </c>
      <c r="S515">
        <v>2.9886469999999998</v>
      </c>
      <c r="T515">
        <v>-0.22994049999999999</v>
      </c>
      <c r="U515">
        <v>0.13418579999999999</v>
      </c>
      <c r="V515">
        <v>-5.731605E-2</v>
      </c>
      <c r="W515">
        <v>-5.7747020000000003E-2</v>
      </c>
      <c r="X515">
        <v>0.99668460000000003</v>
      </c>
      <c r="Y515">
        <v>-4.0565799999999999E-2</v>
      </c>
      <c r="Z515">
        <v>1.5964989999999999E-3</v>
      </c>
      <c r="AA515">
        <v>0.99917560000000005</v>
      </c>
      <c r="AB515">
        <v>35</v>
      </c>
      <c r="AC515">
        <v>14.2339</v>
      </c>
      <c r="AD515">
        <v>-1.1092614687541</v>
      </c>
      <c r="AE515">
        <v>0.64640000000002795</v>
      </c>
      <c r="AF515">
        <v>-0.58368869358585096</v>
      </c>
      <c r="AG515">
        <v>-1.1092614687541</v>
      </c>
      <c r="AH515">
        <v>14.1507003618088</v>
      </c>
      <c r="AI515">
        <v>94.478409347795605</v>
      </c>
      <c r="AJ515">
        <v>92.361999800832606</v>
      </c>
      <c r="AK515">
        <v>14.20610693423</v>
      </c>
      <c r="AL515">
        <v>93.310502133008498</v>
      </c>
      <c r="AM515">
        <v>93.291266744557802</v>
      </c>
      <c r="AN515">
        <v>1.00000001989182</v>
      </c>
    </row>
    <row r="516" spans="1:40" x14ac:dyDescent="0.25">
      <c r="A516" t="str">
        <f>"20190305135206182"</f>
        <v>20190305135206182</v>
      </c>
      <c r="B516" t="str">
        <f>"1551765126170473"</f>
        <v>1551765126170473</v>
      </c>
      <c r="C516" t="s">
        <v>40</v>
      </c>
      <c r="D516">
        <v>5.0587169999999997</v>
      </c>
      <c r="E516">
        <v>0.50625949999999997</v>
      </c>
      <c r="F516" t="s">
        <v>42</v>
      </c>
      <c r="G516">
        <v>-329.33920000000001</v>
      </c>
      <c r="H516" s="1">
        <v>-5.0973230000000003E-7</v>
      </c>
      <c r="I516">
        <v>368.49349999999998</v>
      </c>
      <c r="J516">
        <v>-343.50909999999999</v>
      </c>
      <c r="K516">
        <v>1.109273</v>
      </c>
      <c r="L516">
        <v>367.8492</v>
      </c>
      <c r="M516">
        <v>0.999884</v>
      </c>
      <c r="N516">
        <v>-1.4630799999999999E-2</v>
      </c>
      <c r="O516">
        <v>4.2480590000000002E-3</v>
      </c>
      <c r="P516">
        <v>0.99542030000000004</v>
      </c>
      <c r="Q516">
        <v>-7.2980660000000003E-2</v>
      </c>
      <c r="R516">
        <v>6.1745679999999997E-2</v>
      </c>
      <c r="S516">
        <v>2.9884949999999999</v>
      </c>
      <c r="T516">
        <v>-0.23095760000000001</v>
      </c>
      <c r="U516">
        <v>0.1343384</v>
      </c>
      <c r="V516">
        <v>-5.7499620000000001E-2</v>
      </c>
      <c r="W516">
        <v>-5.8421569999999999E-2</v>
      </c>
      <c r="X516">
        <v>0.99663469999999998</v>
      </c>
      <c r="Y516">
        <v>-4.0526640000000003E-2</v>
      </c>
      <c r="Z516">
        <v>1.5944500000000001E-3</v>
      </c>
      <c r="AA516">
        <v>0.99917719999999999</v>
      </c>
      <c r="AB516">
        <v>34</v>
      </c>
      <c r="AC516">
        <v>14.169899999999901</v>
      </c>
      <c r="AD516">
        <v>-1.1092735097323001</v>
      </c>
      <c r="AE516">
        <v>0.64429999999998699</v>
      </c>
      <c r="AF516">
        <v>-0.58054274401458705</v>
      </c>
      <c r="AG516">
        <v>-1.1092735097323001</v>
      </c>
      <c r="AH516">
        <v>14.086361361302099</v>
      </c>
      <c r="AI516">
        <v>94.498835634777507</v>
      </c>
      <c r="AJ516">
        <v>92.360001631843701</v>
      </c>
      <c r="AK516">
        <v>14.1418914575882</v>
      </c>
      <c r="AL516">
        <v>93.349216410586706</v>
      </c>
      <c r="AM516">
        <v>93.301949572706604</v>
      </c>
      <c r="AN516">
        <v>1.0000000056927401</v>
      </c>
    </row>
    <row r="517" spans="1:40" x14ac:dyDescent="0.25">
      <c r="A517" t="str">
        <f>"20190305135206200"</f>
        <v>20190305135206200</v>
      </c>
      <c r="B517" t="str">
        <f>"1551765126189992"</f>
        <v>1551765126189992</v>
      </c>
      <c r="C517" t="s">
        <v>40</v>
      </c>
      <c r="D517">
        <v>5.0261269999999998</v>
      </c>
      <c r="E517">
        <v>0.52957359999999998</v>
      </c>
      <c r="F517" t="s">
        <v>42</v>
      </c>
      <c r="G517">
        <v>-329.28160000000003</v>
      </c>
      <c r="H517" s="1">
        <v>-5.2963749999999995E-7</v>
      </c>
      <c r="I517">
        <v>368.4923</v>
      </c>
      <c r="J517">
        <v>-343.23610000000002</v>
      </c>
      <c r="K517">
        <v>1.1092879999999901</v>
      </c>
      <c r="L517">
        <v>367.85050000000001</v>
      </c>
      <c r="M517">
        <v>0.99988350000000004</v>
      </c>
      <c r="N517">
        <v>-1.462782E-2</v>
      </c>
      <c r="O517">
        <v>4.3927829999999999E-3</v>
      </c>
      <c r="P517">
        <v>0.99542180000000002</v>
      </c>
      <c r="Q517">
        <v>-7.2416419999999995E-2</v>
      </c>
      <c r="R517">
        <v>6.2383330000000001E-2</v>
      </c>
      <c r="S517">
        <v>2.9883419999999998</v>
      </c>
      <c r="T517">
        <v>-0.2329907</v>
      </c>
      <c r="U517">
        <v>0.13510129999999901</v>
      </c>
      <c r="V517">
        <v>-5.799195E-2</v>
      </c>
      <c r="W517">
        <v>-5.7861669999999997E-2</v>
      </c>
      <c r="X517">
        <v>0.99663880000000005</v>
      </c>
      <c r="Y517">
        <v>-4.063663E-2</v>
      </c>
      <c r="Z517">
        <v>1.601222E-3</v>
      </c>
      <c r="AA517">
        <v>0.99917270000000002</v>
      </c>
      <c r="AB517">
        <v>34</v>
      </c>
      <c r="AC517">
        <v>13.9544999999999</v>
      </c>
      <c r="AD517">
        <v>-1.1092885296374999</v>
      </c>
      <c r="AE517">
        <v>0.64179999999998905</v>
      </c>
      <c r="AF517">
        <v>-0.57685063891403798</v>
      </c>
      <c r="AG517">
        <v>-1.1092885296374999</v>
      </c>
      <c r="AH517">
        <v>13.8697246892657</v>
      </c>
      <c r="AI517">
        <v>94.568800103119997</v>
      </c>
      <c r="AJ517">
        <v>92.381595197933507</v>
      </c>
      <c r="AK517">
        <v>13.9259664173668</v>
      </c>
      <c r="AL517">
        <v>93.317082267172907</v>
      </c>
      <c r="AM517">
        <v>93.330144883480997</v>
      </c>
      <c r="AN517">
        <v>0.99999996839271499</v>
      </c>
    </row>
    <row r="518" spans="1:40" x14ac:dyDescent="0.25">
      <c r="A518" t="str">
        <f>"20190305135206212"</f>
        <v>20190305135206212</v>
      </c>
      <c r="B518" t="str">
        <f>"1551765126210488"</f>
        <v>1551765126210488</v>
      </c>
      <c r="C518" t="s">
        <v>40</v>
      </c>
      <c r="D518">
        <v>5.0113409999999998</v>
      </c>
      <c r="E518">
        <v>0.53938419999999998</v>
      </c>
      <c r="F518" t="s">
        <v>42</v>
      </c>
      <c r="G518">
        <v>-323.53059999999999</v>
      </c>
      <c r="H518" s="1">
        <v>-3.1259629999999998E-6</v>
      </c>
      <c r="I518">
        <v>367.54020000000003</v>
      </c>
      <c r="J518">
        <v>-343.04559999999998</v>
      </c>
      <c r="K518">
        <v>1.1093010000000001</v>
      </c>
      <c r="L518">
        <v>367.85140000000001</v>
      </c>
      <c r="M518">
        <v>0.99988290000000002</v>
      </c>
      <c r="N518">
        <v>-1.462574E-2</v>
      </c>
      <c r="O518">
        <v>4.4969529999999997E-3</v>
      </c>
      <c r="P518">
        <v>0.99547149999999995</v>
      </c>
      <c r="Q518">
        <v>-7.1451870000000001E-2</v>
      </c>
      <c r="R518">
        <v>6.2702040000000001E-2</v>
      </c>
      <c r="S518">
        <v>3.0044559999999998</v>
      </c>
      <c r="T518">
        <v>-0.1691309</v>
      </c>
      <c r="U518">
        <v>-4.7302249999999997E-2</v>
      </c>
      <c r="V518">
        <v>-5.8206180000000003E-2</v>
      </c>
      <c r="W518">
        <v>-5.6899280000000003E-2</v>
      </c>
      <c r="X518">
        <v>0.9966817</v>
      </c>
      <c r="Y518">
        <v>2.0194610000000002E-2</v>
      </c>
      <c r="Z518">
        <v>-9.0297420000000003E-4</v>
      </c>
      <c r="AA518">
        <v>0.99979569999999995</v>
      </c>
      <c r="AB518">
        <v>34</v>
      </c>
      <c r="AC518">
        <v>19.514999999999901</v>
      </c>
      <c r="AD518">
        <v>-1.1093041259630001</v>
      </c>
      <c r="AE518">
        <v>-0.31119999999998499</v>
      </c>
      <c r="AF518">
        <v>0.39767962387656303</v>
      </c>
      <c r="AG518">
        <v>-1.1093041259630001</v>
      </c>
      <c r="AH518">
        <v>19.450570284708601</v>
      </c>
      <c r="AI518">
        <v>93.263474004265206</v>
      </c>
      <c r="AJ518">
        <v>88.828713525600904</v>
      </c>
      <c r="AK518">
        <v>19.486235889147899</v>
      </c>
      <c r="AL518">
        <v>93.2618504394284</v>
      </c>
      <c r="AM518">
        <v>93.342275501996596</v>
      </c>
      <c r="AN518">
        <v>0.99999994928479896</v>
      </c>
    </row>
    <row r="519" spans="1:40" x14ac:dyDescent="0.25">
      <c r="A519" t="str">
        <f>"20190305135206224"</f>
        <v>20190305135206224</v>
      </c>
      <c r="B519" t="str">
        <f>"1551765126220248"</f>
        <v>1551765126220248</v>
      </c>
      <c r="C519" t="s">
        <v>40</v>
      </c>
      <c r="D519">
        <v>5.0169379999999997</v>
      </c>
      <c r="E519">
        <v>0.54175569999999995</v>
      </c>
      <c r="F519" t="s">
        <v>47</v>
      </c>
      <c r="G519">
        <v>-317.517</v>
      </c>
      <c r="H519">
        <v>-0.05</v>
      </c>
      <c r="I519">
        <v>366.80270000000002</v>
      </c>
      <c r="J519">
        <v>-342.86590000000001</v>
      </c>
      <c r="K519">
        <v>1.109318</v>
      </c>
      <c r="L519">
        <v>367.85230000000001</v>
      </c>
      <c r="M519">
        <v>0.99988250000000001</v>
      </c>
      <c r="N519">
        <v>-1.4623789999999999E-2</v>
      </c>
      <c r="O519">
        <v>4.596635E-3</v>
      </c>
      <c r="P519">
        <v>0.99556140000000004</v>
      </c>
      <c r="Q519">
        <v>-7.0109870000000005E-2</v>
      </c>
      <c r="R519">
        <v>6.2783690000000003E-2</v>
      </c>
      <c r="S519">
        <v>3.0116269999999998</v>
      </c>
      <c r="T519">
        <v>-0.13676350000000001</v>
      </c>
      <c r="U519">
        <v>-0.1237183</v>
      </c>
      <c r="V519">
        <v>-5.8187759999999998E-2</v>
      </c>
      <c r="W519">
        <v>-5.5558570000000002E-2</v>
      </c>
      <c r="X519">
        <v>0.99675849999999999</v>
      </c>
      <c r="Y519">
        <v>4.5574200000000002E-2</v>
      </c>
      <c r="Z519">
        <v>-1.5088339999999999E-3</v>
      </c>
      <c r="AA519">
        <v>0.99895979999999995</v>
      </c>
      <c r="AB519">
        <v>34</v>
      </c>
      <c r="AC519">
        <v>25.3489</v>
      </c>
      <c r="AD519">
        <v>-1.1593180000000001</v>
      </c>
      <c r="AE519">
        <v>-1.0495999999999901</v>
      </c>
      <c r="AF519">
        <v>1.1636911543125701</v>
      </c>
      <c r="AG519">
        <v>-1.1593180000000001</v>
      </c>
      <c r="AH519">
        <v>25.290997876924699</v>
      </c>
      <c r="AI519">
        <v>92.621782990849795</v>
      </c>
      <c r="AJ519">
        <v>87.365560690481402</v>
      </c>
      <c r="AK519">
        <v>25.344284739135201</v>
      </c>
      <c r="AL519">
        <v>93.184911395391794</v>
      </c>
      <c r="AM519">
        <v>93.340963340997206</v>
      </c>
      <c r="AN519">
        <v>1.0000000387182499</v>
      </c>
    </row>
    <row r="520" spans="1:40" x14ac:dyDescent="0.25">
      <c r="A520" t="str">
        <f>"20190305135206234"</f>
        <v>20190305135206234</v>
      </c>
      <c r="B520" t="str">
        <f>"1551765126230008"</f>
        <v>1551765126230008</v>
      </c>
      <c r="C520" t="s">
        <v>40</v>
      </c>
      <c r="D520">
        <v>4.9956860000000001</v>
      </c>
      <c r="E520">
        <v>0.54332939999999996</v>
      </c>
      <c r="F520" t="s">
        <v>47</v>
      </c>
      <c r="G520">
        <v>-314.88979999999998</v>
      </c>
      <c r="H520">
        <v>-0.05</v>
      </c>
      <c r="I520">
        <v>366.5335</v>
      </c>
      <c r="J520">
        <v>-342.70240000000001</v>
      </c>
      <c r="K520">
        <v>1.109329</v>
      </c>
      <c r="L520">
        <v>367.85309999999998</v>
      </c>
      <c r="M520">
        <v>0.99988220000000005</v>
      </c>
      <c r="N520">
        <v>-1.462201E-2</v>
      </c>
      <c r="O520">
        <v>4.6881859999999996E-3</v>
      </c>
      <c r="P520">
        <v>0.99568610000000002</v>
      </c>
      <c r="Q520">
        <v>-6.7921809999999999E-2</v>
      </c>
      <c r="R520">
        <v>6.3215389999999996E-2</v>
      </c>
      <c r="S520">
        <v>3.01355</v>
      </c>
      <c r="T520">
        <v>-0.12488009999999999</v>
      </c>
      <c r="U520">
        <v>-0.142059299999999</v>
      </c>
      <c r="V520">
        <v>-5.8528400000000001E-2</v>
      </c>
      <c r="W520">
        <v>-5.3371090000000003E-2</v>
      </c>
      <c r="X520">
        <v>0.99685809999999997</v>
      </c>
      <c r="Y520">
        <v>5.1709239999999997E-2</v>
      </c>
      <c r="Z520">
        <v>-1.5744400000000001E-3</v>
      </c>
      <c r="AA520">
        <v>0.99866089999999996</v>
      </c>
      <c r="AB520">
        <v>34</v>
      </c>
      <c r="AC520">
        <v>27.8126</v>
      </c>
      <c r="AD520">
        <v>-1.1593290000000001</v>
      </c>
      <c r="AE520">
        <v>-1.3195999999999799</v>
      </c>
      <c r="AF520">
        <v>1.44748068532658</v>
      </c>
      <c r="AG520">
        <v>-1.1593290000000001</v>
      </c>
      <c r="AH520">
        <v>27.7579853228156</v>
      </c>
      <c r="AI520">
        <v>92.388361517266205</v>
      </c>
      <c r="AJ520">
        <v>87.014931656338902</v>
      </c>
      <c r="AK520">
        <v>27.819866880455798</v>
      </c>
      <c r="AL520">
        <v>93.059391630291998</v>
      </c>
      <c r="AM520">
        <v>93.360142166440198</v>
      </c>
      <c r="AN520">
        <v>1.00000005919497</v>
      </c>
    </row>
    <row r="521" spans="1:40" x14ac:dyDescent="0.25">
      <c r="A521" t="str">
        <f>"20190305135206247"</f>
        <v>20190305135206247</v>
      </c>
      <c r="B521" t="str">
        <f>"1551765126239768"</f>
        <v>1551765126239768</v>
      </c>
      <c r="C521" t="s">
        <v>40</v>
      </c>
      <c r="D521">
        <v>5.0127329999999999</v>
      </c>
      <c r="E521">
        <v>0.54437990000000003</v>
      </c>
      <c r="F521" t="s">
        <v>47</v>
      </c>
      <c r="G521">
        <v>-311.4151</v>
      </c>
      <c r="H521">
        <v>-0.05</v>
      </c>
      <c r="I521">
        <v>366.26249999999999</v>
      </c>
      <c r="J521">
        <v>-342.51229999999998</v>
      </c>
      <c r="K521">
        <v>1.109348</v>
      </c>
      <c r="L521">
        <v>367.85410000000002</v>
      </c>
      <c r="M521">
        <v>0.99988160000000004</v>
      </c>
      <c r="N521">
        <v>-1.461994E-2</v>
      </c>
      <c r="O521">
        <v>4.794881E-3</v>
      </c>
      <c r="P521">
        <v>0.99573429999999996</v>
      </c>
      <c r="Q521">
        <v>-6.6949700000000001E-2</v>
      </c>
      <c r="R521">
        <v>6.3488970000000006E-2</v>
      </c>
      <c r="S521">
        <v>3.0151059999999998</v>
      </c>
      <c r="T521">
        <v>-0.1117225</v>
      </c>
      <c r="U521">
        <v>-0.1532898</v>
      </c>
      <c r="V521">
        <v>-5.8695410000000003E-2</v>
      </c>
      <c r="W521">
        <v>-5.2400839999999997E-2</v>
      </c>
      <c r="X521">
        <v>0.99689970000000006</v>
      </c>
      <c r="Y521">
        <v>5.5509410000000002E-2</v>
      </c>
      <c r="Z521">
        <v>-1.54112E-3</v>
      </c>
      <c r="AA521">
        <v>0.99845700000000004</v>
      </c>
      <c r="AB521">
        <v>34</v>
      </c>
      <c r="AC521">
        <v>31.097199999999901</v>
      </c>
      <c r="AD521">
        <v>-1.159348</v>
      </c>
      <c r="AE521">
        <v>-1.5916000000000201</v>
      </c>
      <c r="AF521">
        <v>1.7382952625236701</v>
      </c>
      <c r="AG521">
        <v>-1.159348</v>
      </c>
      <c r="AH521">
        <v>31.046171614475</v>
      </c>
      <c r="AI521">
        <v>92.135244416801697</v>
      </c>
      <c r="AJ521">
        <v>86.795318231809702</v>
      </c>
      <c r="AK521">
        <v>31.116402911009001</v>
      </c>
      <c r="AL521">
        <v>93.003722656957294</v>
      </c>
      <c r="AM521">
        <v>93.369567931960205</v>
      </c>
      <c r="AN521">
        <v>1.00000000552393</v>
      </c>
    </row>
    <row r="522" spans="1:40" x14ac:dyDescent="0.25">
      <c r="A522" t="str">
        <f>"20190305135206258"</f>
        <v>20190305135206258</v>
      </c>
      <c r="B522" t="str">
        <f>"1551765126250506"</f>
        <v>1551765126250506</v>
      </c>
      <c r="C522" t="s">
        <v>40</v>
      </c>
      <c r="D522">
        <v>4.9921119999999997</v>
      </c>
      <c r="E522">
        <v>0.54510150000000002</v>
      </c>
      <c r="F522" t="s">
        <v>47</v>
      </c>
      <c r="G522">
        <v>-308.40910000000002</v>
      </c>
      <c r="H522">
        <v>-0.05</v>
      </c>
      <c r="I522">
        <v>366.03989999999999</v>
      </c>
      <c r="J522">
        <v>-342.33199999999999</v>
      </c>
      <c r="K522">
        <v>1.109356</v>
      </c>
      <c r="L522">
        <v>367.85509999999999</v>
      </c>
      <c r="M522">
        <v>0.99988120000000003</v>
      </c>
      <c r="N522">
        <v>-1.4617969999999999E-2</v>
      </c>
      <c r="O522">
        <v>4.8958409999999997E-3</v>
      </c>
      <c r="P522">
        <v>0.99571779999999999</v>
      </c>
      <c r="Q522">
        <v>-6.6320989999999996E-2</v>
      </c>
      <c r="R522">
        <v>6.4402860000000006E-2</v>
      </c>
      <c r="S522">
        <v>3.0162049999999998</v>
      </c>
      <c r="T522">
        <v>-0.1025369</v>
      </c>
      <c r="U522">
        <v>-0.1604614</v>
      </c>
      <c r="V522">
        <v>-5.9508779999999997E-2</v>
      </c>
      <c r="W522">
        <v>-5.1774849999999997E-2</v>
      </c>
      <c r="X522">
        <v>0.9968842</v>
      </c>
      <c r="Y522">
        <v>5.7964759999999997E-2</v>
      </c>
      <c r="Z522">
        <v>-1.5032139999999999E-3</v>
      </c>
      <c r="AA522">
        <v>0.99831749999999997</v>
      </c>
      <c r="AB522">
        <v>34</v>
      </c>
      <c r="AC522">
        <v>33.922899999999899</v>
      </c>
      <c r="AD522">
        <v>-1.1593560000000001</v>
      </c>
      <c r="AE522">
        <v>-1.8151999999999999</v>
      </c>
      <c r="AF522">
        <v>1.9789722411899799</v>
      </c>
      <c r="AG522">
        <v>-1.1593560000000001</v>
      </c>
      <c r="AH522">
        <v>33.874152988980804</v>
      </c>
      <c r="AI522">
        <v>91.956871091237005</v>
      </c>
      <c r="AJ522">
        <v>86.656506139924701</v>
      </c>
      <c r="AK522">
        <v>33.951710975840598</v>
      </c>
      <c r="AL522">
        <v>92.967807276390602</v>
      </c>
      <c r="AM522">
        <v>93.416204785440897</v>
      </c>
      <c r="AN522">
        <v>1.0000000190996201</v>
      </c>
    </row>
    <row r="523" spans="1:40" x14ac:dyDescent="0.25">
      <c r="A523" t="str">
        <f>"20190305135206269"</f>
        <v>20190305135206269</v>
      </c>
      <c r="B523" t="str">
        <f>"1551765126260264"</f>
        <v>1551765126260264</v>
      </c>
      <c r="C523" t="s">
        <v>40</v>
      </c>
      <c r="D523">
        <v>5.0111730000000003</v>
      </c>
      <c r="E523">
        <v>0.54544399999999904</v>
      </c>
      <c r="F523" t="s">
        <v>47</v>
      </c>
      <c r="G523">
        <v>-307.12220000000002</v>
      </c>
      <c r="H523">
        <v>-0.05</v>
      </c>
      <c r="I523">
        <v>365.94459999999998</v>
      </c>
      <c r="J523">
        <v>-342.1728</v>
      </c>
      <c r="K523">
        <v>1.109362</v>
      </c>
      <c r="L523">
        <v>367.85599999999999</v>
      </c>
      <c r="M523">
        <v>0.99988069999999896</v>
      </c>
      <c r="N523">
        <v>-1.4616229999999999E-2</v>
      </c>
      <c r="O523">
        <v>4.9848119999999999E-3</v>
      </c>
      <c r="P523">
        <v>0.99569079999999999</v>
      </c>
      <c r="Q523">
        <v>-6.6004980000000005E-2</v>
      </c>
      <c r="R523">
        <v>6.5141790000000005E-2</v>
      </c>
      <c r="S523">
        <v>3.0168759999999999</v>
      </c>
      <c r="T523">
        <v>-9.9336859999999999E-2</v>
      </c>
      <c r="U523">
        <v>-0.16369629999999999</v>
      </c>
      <c r="V523">
        <v>-6.0159079999999997E-2</v>
      </c>
      <c r="W523">
        <v>-5.1461380000000001E-2</v>
      </c>
      <c r="X523">
        <v>0.99686140000000001</v>
      </c>
      <c r="Y523">
        <v>5.9110839999999998E-2</v>
      </c>
      <c r="Z523">
        <v>-1.4958720000000001E-3</v>
      </c>
      <c r="AA523">
        <v>0.99825030000000003</v>
      </c>
      <c r="AB523">
        <v>34</v>
      </c>
      <c r="AC523">
        <v>35.050599999999903</v>
      </c>
      <c r="AD523">
        <v>-1.159362</v>
      </c>
      <c r="AE523">
        <v>-1.91140000000001</v>
      </c>
      <c r="AF523">
        <v>2.0838424531344901</v>
      </c>
      <c r="AG523">
        <v>-1.159362</v>
      </c>
      <c r="AH523">
        <v>35.002453666752999</v>
      </c>
      <c r="AI523">
        <v>91.893724258151295</v>
      </c>
      <c r="AJ523">
        <v>86.592964034542305</v>
      </c>
      <c r="AK523">
        <v>35.083589929049701</v>
      </c>
      <c r="AL523">
        <v>92.949822791783902</v>
      </c>
      <c r="AM523">
        <v>93.453525316844903</v>
      </c>
      <c r="AN523">
        <v>1.00000001967395</v>
      </c>
    </row>
    <row r="524" spans="1:40" x14ac:dyDescent="0.25">
      <c r="A524" t="str">
        <f>"20190305135206280"</f>
        <v>20190305135206280</v>
      </c>
      <c r="B524" t="str">
        <f>"1551765126270025"</f>
        <v>1551765126270025</v>
      </c>
      <c r="C524" t="s">
        <v>40</v>
      </c>
      <c r="D524">
        <v>5.0310969999999999</v>
      </c>
      <c r="E524">
        <v>0.54591979999999996</v>
      </c>
      <c r="F524" t="s">
        <v>47</v>
      </c>
      <c r="G524">
        <v>-306.47469999999998</v>
      </c>
      <c r="H524">
        <v>-0.05</v>
      </c>
      <c r="I524">
        <v>365.91449999999998</v>
      </c>
      <c r="J524">
        <v>-341.98779999999999</v>
      </c>
      <c r="K524">
        <v>1.1093710000000001</v>
      </c>
      <c r="L524">
        <v>367.85700000000003</v>
      </c>
      <c r="M524">
        <v>0.99988030000000006</v>
      </c>
      <c r="N524">
        <v>-1.4614230000000001E-2</v>
      </c>
      <c r="O524">
        <v>5.0877910000000004E-3</v>
      </c>
      <c r="P524">
        <v>0.99565170000000003</v>
      </c>
      <c r="Q524">
        <v>-6.5900310000000004E-2</v>
      </c>
      <c r="R524">
        <v>6.5839229999999999E-2</v>
      </c>
      <c r="S524">
        <v>3.0172119999999998</v>
      </c>
      <c r="T524">
        <v>-9.7989560000000003E-2</v>
      </c>
      <c r="U524">
        <v>-0.16409299999999999</v>
      </c>
      <c r="V524">
        <v>-6.0754019999999999E-2</v>
      </c>
      <c r="W524">
        <v>-5.135965E-2</v>
      </c>
      <c r="X524">
        <v>0.99683049999999995</v>
      </c>
      <c r="Y524">
        <v>5.9339429999999999E-2</v>
      </c>
      <c r="Z524">
        <v>-1.48750799999999E-3</v>
      </c>
      <c r="AA524">
        <v>0.99823680000000004</v>
      </c>
      <c r="AB524">
        <v>34</v>
      </c>
      <c r="AC524">
        <v>35.513100000000001</v>
      </c>
      <c r="AD524">
        <v>-1.1593709999999999</v>
      </c>
      <c r="AE524">
        <v>-1.9424999999999899</v>
      </c>
      <c r="AF524">
        <v>2.1209236787317298</v>
      </c>
      <c r="AG524">
        <v>-1.1593709999999999</v>
      </c>
      <c r="AH524">
        <v>35.465070945546103</v>
      </c>
      <c r="AI524">
        <v>91.869024201470296</v>
      </c>
      <c r="AJ524">
        <v>86.577606825272895</v>
      </c>
      <c r="AK524">
        <v>35.547344704482001</v>
      </c>
      <c r="AL524">
        <v>92.943986564286504</v>
      </c>
      <c r="AM524">
        <v>93.487702723997998</v>
      </c>
      <c r="AN524">
        <v>0.99999995516226503</v>
      </c>
    </row>
    <row r="525" spans="1:40" x14ac:dyDescent="0.25">
      <c r="A525" t="str">
        <f>"20190305135206293"</f>
        <v>20190305135206293</v>
      </c>
      <c r="B525" t="str">
        <f>"1551765126290521"</f>
        <v>1551765126290521</v>
      </c>
      <c r="C525" t="s">
        <v>40</v>
      </c>
      <c r="D525">
        <v>5.0410399999999997</v>
      </c>
      <c r="E525">
        <v>0.54667159999999904</v>
      </c>
      <c r="F525" t="s">
        <v>47</v>
      </c>
      <c r="G525">
        <v>-305.89019999999999</v>
      </c>
      <c r="H525">
        <v>-0.05</v>
      </c>
      <c r="I525">
        <v>365.87360000000001</v>
      </c>
      <c r="J525">
        <v>-341.8107</v>
      </c>
      <c r="K525">
        <v>1.109375</v>
      </c>
      <c r="L525">
        <v>367.858</v>
      </c>
      <c r="M525">
        <v>0.99987979999999999</v>
      </c>
      <c r="N525">
        <v>-1.4612299999999899E-2</v>
      </c>
      <c r="O525">
        <v>5.1856970000000004E-3</v>
      </c>
      <c r="P525">
        <v>0.99561319999999998</v>
      </c>
      <c r="Q525">
        <v>-6.5772319999999995E-2</v>
      </c>
      <c r="R525">
        <v>6.6546629999999996E-2</v>
      </c>
      <c r="S525">
        <v>3.017639</v>
      </c>
      <c r="T525">
        <v>-9.6919539999999998E-2</v>
      </c>
      <c r="U525">
        <v>-0.165802</v>
      </c>
      <c r="V525">
        <v>-6.136378E-2</v>
      </c>
      <c r="W525">
        <v>-5.1234450000000001E-2</v>
      </c>
      <c r="X525">
        <v>0.99679960000000001</v>
      </c>
      <c r="Y525">
        <v>5.9993520000000002E-2</v>
      </c>
      <c r="Z525">
        <v>-1.491973E-3</v>
      </c>
      <c r="AA525">
        <v>0.99819769999999997</v>
      </c>
      <c r="AB525">
        <v>34</v>
      </c>
      <c r="AC525">
        <v>35.920499999999997</v>
      </c>
      <c r="AD525">
        <v>-1.159375</v>
      </c>
      <c r="AE525">
        <v>-1.9843999999999899</v>
      </c>
      <c r="AF525">
        <v>2.1684139587198401</v>
      </c>
      <c r="AG525">
        <v>-1.159375</v>
      </c>
      <c r="AH525">
        <v>35.872468913654799</v>
      </c>
      <c r="AI525">
        <v>91.847747842057004</v>
      </c>
      <c r="AJ525">
        <v>86.540801914276003</v>
      </c>
      <c r="AK525">
        <v>35.956643272810197</v>
      </c>
      <c r="AL525">
        <v>92.936803654203004</v>
      </c>
      <c r="AM525">
        <v>93.522728399363899</v>
      </c>
      <c r="AN525">
        <v>0.99999996246142397</v>
      </c>
    </row>
    <row r="526" spans="1:40" x14ac:dyDescent="0.25">
      <c r="A526" t="str">
        <f>"20190305135206304"</f>
        <v>20190305135206304</v>
      </c>
      <c r="B526" t="str">
        <f>"1551765126300280"</f>
        <v>1551765126300280</v>
      </c>
      <c r="C526" t="s">
        <v>40</v>
      </c>
      <c r="D526">
        <v>5.0474500000000004</v>
      </c>
      <c r="E526">
        <v>0.54702930000000005</v>
      </c>
      <c r="F526" t="s">
        <v>47</v>
      </c>
      <c r="G526">
        <v>-306.15410000000003</v>
      </c>
      <c r="H526">
        <v>-0.05</v>
      </c>
      <c r="I526">
        <v>365.8537</v>
      </c>
      <c r="J526">
        <v>-341.63010000000003</v>
      </c>
      <c r="K526">
        <v>1.10938</v>
      </c>
      <c r="L526">
        <v>367.85899999999998</v>
      </c>
      <c r="M526">
        <v>0.99987939999999997</v>
      </c>
      <c r="N526">
        <v>-1.4610329999999999E-2</v>
      </c>
      <c r="O526">
        <v>5.2850909999999996E-3</v>
      </c>
      <c r="P526">
        <v>0.9955794</v>
      </c>
      <c r="Q526">
        <v>-6.5617209999999995E-2</v>
      </c>
      <c r="R526">
        <v>6.7202750000000006E-2</v>
      </c>
      <c r="S526">
        <v>3.0180660000000001</v>
      </c>
      <c r="T526">
        <v>-9.8132369999999997E-2</v>
      </c>
      <c r="U526">
        <v>-0.1696472</v>
      </c>
      <c r="V526">
        <v>-6.1920839999999998E-2</v>
      </c>
      <c r="W526">
        <v>-5.1082089999999997E-2</v>
      </c>
      <c r="X526">
        <v>0.99677300000000002</v>
      </c>
      <c r="Y526">
        <v>6.1350790000000002E-2</v>
      </c>
      <c r="Z526">
        <v>-1.5396100000000001E-3</v>
      </c>
      <c r="AA526">
        <v>0.99811510000000003</v>
      </c>
      <c r="AB526">
        <v>34</v>
      </c>
      <c r="AC526">
        <v>35.475999999999999</v>
      </c>
      <c r="AD526">
        <v>-1.1593799999999901</v>
      </c>
      <c r="AE526">
        <v>-2.0053000000000298</v>
      </c>
      <c r="AF526">
        <v>2.1904538577646799</v>
      </c>
      <c r="AG526">
        <v>-1.1593799999999901</v>
      </c>
      <c r="AH526">
        <v>35.427188415396003</v>
      </c>
      <c r="AI526">
        <v>91.870806280379</v>
      </c>
      <c r="AJ526">
        <v>86.461920841856795</v>
      </c>
      <c r="AK526">
        <v>35.5137709784157</v>
      </c>
      <c r="AL526">
        <v>92.928062536647701</v>
      </c>
      <c r="AM526">
        <v>93.554720693622798</v>
      </c>
      <c r="AN526">
        <v>0.99999999193703604</v>
      </c>
    </row>
    <row r="527" spans="1:40" x14ac:dyDescent="0.25">
      <c r="A527" t="str">
        <f>"20190305135206318"</f>
        <v>20190305135206318</v>
      </c>
      <c r="B527" t="str">
        <f>"1551765126310041"</f>
        <v>1551765126310041</v>
      </c>
      <c r="C527" t="s">
        <v>40</v>
      </c>
      <c r="D527">
        <v>5.0413019999999999</v>
      </c>
      <c r="E527">
        <v>0.54730649999999903</v>
      </c>
      <c r="F527" t="s">
        <v>47</v>
      </c>
      <c r="G527">
        <v>-305.84870000000001</v>
      </c>
      <c r="H527">
        <v>-0.05</v>
      </c>
      <c r="I527">
        <v>365.8374</v>
      </c>
      <c r="J527">
        <v>-341.42349999999999</v>
      </c>
      <c r="K527">
        <v>1.109386</v>
      </c>
      <c r="L527">
        <v>367.86009999999999</v>
      </c>
      <c r="M527">
        <v>0.99987870000000001</v>
      </c>
      <c r="N527">
        <v>-1.4608060000000001E-2</v>
      </c>
      <c r="O527">
        <v>5.3982519999999897E-3</v>
      </c>
      <c r="P527">
        <v>0.99554370000000003</v>
      </c>
      <c r="Q527">
        <v>-6.5462350000000002E-2</v>
      </c>
      <c r="R527">
        <v>6.7879729999999999E-2</v>
      </c>
      <c r="S527">
        <v>3.0183719999999998</v>
      </c>
      <c r="T527">
        <v>-9.7800369999999998E-2</v>
      </c>
      <c r="U527">
        <v>-0.17053219999999999</v>
      </c>
      <c r="V527">
        <v>-6.2485020000000002E-2</v>
      </c>
      <c r="W527">
        <v>-5.0930280000000001E-2</v>
      </c>
      <c r="X527">
        <v>0.99674560000000001</v>
      </c>
      <c r="Y527">
        <v>6.1749779999999997E-2</v>
      </c>
      <c r="Z527">
        <v>-1.546866E-3</v>
      </c>
      <c r="AA527">
        <v>0.99809040000000004</v>
      </c>
      <c r="AB527">
        <v>34</v>
      </c>
      <c r="AC527">
        <v>35.574799999999897</v>
      </c>
      <c r="AD527">
        <v>-1.159386</v>
      </c>
      <c r="AE527">
        <v>-2.02269999999998</v>
      </c>
      <c r="AF527">
        <v>2.2123905160834498</v>
      </c>
      <c r="AG527">
        <v>-1.159386</v>
      </c>
      <c r="AH527">
        <v>35.525750518813403</v>
      </c>
      <c r="AI527">
        <v>91.865577873876504</v>
      </c>
      <c r="AJ527">
        <v>86.436467989140297</v>
      </c>
      <c r="AK527">
        <v>35.613449673088702</v>
      </c>
      <c r="AL527">
        <v>92.919353013044798</v>
      </c>
      <c r="AM527">
        <v>93.5871230231661</v>
      </c>
      <c r="AN527">
        <v>1.0000000311323101</v>
      </c>
    </row>
    <row r="528" spans="1:40" x14ac:dyDescent="0.25">
      <c r="A528" t="str">
        <f>"20190305135206335"</f>
        <v>20190305135206335</v>
      </c>
      <c r="B528" t="str">
        <f>"1551765126330536"</f>
        <v>1551765126330536</v>
      </c>
      <c r="C528" t="s">
        <v>40</v>
      </c>
      <c r="D528">
        <v>5.0244359999999997</v>
      </c>
      <c r="E528">
        <v>0.54788579999999998</v>
      </c>
      <c r="F528" t="s">
        <v>47</v>
      </c>
      <c r="G528">
        <v>-305.5779</v>
      </c>
      <c r="H528">
        <v>-0.05</v>
      </c>
      <c r="I528">
        <v>365.83179999999999</v>
      </c>
      <c r="J528">
        <v>-341.17610000000002</v>
      </c>
      <c r="K528">
        <v>1.1093869999999999</v>
      </c>
      <c r="L528">
        <v>367.86160000000001</v>
      </c>
      <c r="M528">
        <v>0.99987820000000005</v>
      </c>
      <c r="N528">
        <v>-1.4605450000000001E-2</v>
      </c>
      <c r="O528">
        <v>5.5334669999999898E-3</v>
      </c>
      <c r="P528">
        <v>0.99552609999999997</v>
      </c>
      <c r="Q528">
        <v>-6.4965969999999998E-2</v>
      </c>
      <c r="R528">
        <v>6.8611569999999997E-2</v>
      </c>
      <c r="S528">
        <v>3.0186160000000002</v>
      </c>
      <c r="T528">
        <v>-9.763384E-2</v>
      </c>
      <c r="U528">
        <v>-0.17080689999999901</v>
      </c>
      <c r="V528">
        <v>-6.3082609999999997E-2</v>
      </c>
      <c r="W528">
        <v>-5.0437019999999999E-2</v>
      </c>
      <c r="X528">
        <v>0.99673299999999998</v>
      </c>
      <c r="Y528">
        <v>6.197068E-2</v>
      </c>
      <c r="Z528">
        <v>-1.5522839999999999E-3</v>
      </c>
      <c r="AA528">
        <v>0.99807670000000004</v>
      </c>
      <c r="AB528">
        <v>34</v>
      </c>
      <c r="AC528">
        <v>35.598199999999999</v>
      </c>
      <c r="AD528">
        <v>-1.1593869999999999</v>
      </c>
      <c r="AE528">
        <v>-2.0298000000000198</v>
      </c>
      <c r="AF528">
        <v>2.2244195211866402</v>
      </c>
      <c r="AG528">
        <v>-1.1593869999999999</v>
      </c>
      <c r="AH528">
        <v>35.548836692195003</v>
      </c>
      <c r="AI528">
        <v>91.864334274673695</v>
      </c>
      <c r="AJ528">
        <v>86.419463745103101</v>
      </c>
      <c r="AK528">
        <v>35.637227874658699</v>
      </c>
      <c r="AL528">
        <v>92.891055043725004</v>
      </c>
      <c r="AM528">
        <v>93.621384103348802</v>
      </c>
      <c r="AN528">
        <v>0.99999999097994596</v>
      </c>
    </row>
    <row r="529" spans="1:40" x14ac:dyDescent="0.25">
      <c r="A529" t="str">
        <f>"20190305135206349"</f>
        <v>20190305135206349</v>
      </c>
      <c r="B529" t="str">
        <f>"1551765126340297"</f>
        <v>1551765126340297</v>
      </c>
      <c r="C529" t="s">
        <v>40</v>
      </c>
      <c r="D529">
        <v>5.0540200000000004</v>
      </c>
      <c r="E529">
        <v>0.54812359999999904</v>
      </c>
      <c r="F529" t="s">
        <v>47</v>
      </c>
      <c r="G529">
        <v>-305.0204</v>
      </c>
      <c r="H529">
        <v>-0.05</v>
      </c>
      <c r="I529">
        <v>365.78500000000003</v>
      </c>
      <c r="J529">
        <v>-340.96230000000003</v>
      </c>
      <c r="K529">
        <v>1.10938799999999</v>
      </c>
      <c r="L529">
        <v>367.86290000000002</v>
      </c>
      <c r="M529">
        <v>0.99987760000000003</v>
      </c>
      <c r="N529">
        <v>-1.460323E-2</v>
      </c>
      <c r="O529">
        <v>5.6501950000000002E-3</v>
      </c>
      <c r="P529">
        <v>0.99551809999999996</v>
      </c>
      <c r="Q529">
        <v>-6.4609879999999995E-2</v>
      </c>
      <c r="R529">
        <v>6.9063020000000003E-2</v>
      </c>
      <c r="S529">
        <v>3.019104</v>
      </c>
      <c r="T529">
        <v>-9.6812129999999996E-2</v>
      </c>
      <c r="U529">
        <v>-0.1734009</v>
      </c>
      <c r="V529">
        <v>-6.3417860000000006E-2</v>
      </c>
      <c r="W529">
        <v>-5.0083379999999997E-2</v>
      </c>
      <c r="X529">
        <v>0.99672959999999999</v>
      </c>
      <c r="Y529">
        <v>6.2932799999999997E-2</v>
      </c>
      <c r="Z529">
        <v>-1.566574E-3</v>
      </c>
      <c r="AA529">
        <v>0.99801649999999997</v>
      </c>
      <c r="AB529">
        <v>34</v>
      </c>
      <c r="AC529">
        <v>35.941899999999997</v>
      </c>
      <c r="AD529">
        <v>-1.1593880000000001</v>
      </c>
      <c r="AE529">
        <v>-2.0779000000000001</v>
      </c>
      <c r="AF529">
        <v>2.2786041223847699</v>
      </c>
      <c r="AG529">
        <v>-1.1593880000000001</v>
      </c>
      <c r="AH529">
        <v>35.892361616938501</v>
      </c>
      <c r="AI529">
        <v>91.846399279355495</v>
      </c>
      <c r="AJ529">
        <v>86.367488045367494</v>
      </c>
      <c r="AK529">
        <v>35.98329945575</v>
      </c>
      <c r="AL529">
        <v>92.870767203565293</v>
      </c>
      <c r="AM529">
        <v>93.640590566120295</v>
      </c>
      <c r="AN529">
        <v>1.0000000327176799</v>
      </c>
    </row>
    <row r="530" spans="1:40" x14ac:dyDescent="0.25">
      <c r="A530" t="str">
        <f>"20190305135206368"</f>
        <v>20190305135206368</v>
      </c>
      <c r="B530" t="str">
        <f>"1551765126359816"</f>
        <v>1551765126359816</v>
      </c>
      <c r="C530" t="s">
        <v>40</v>
      </c>
      <c r="D530">
        <v>5.0647500000000001</v>
      </c>
      <c r="E530">
        <v>0.54854639999999999</v>
      </c>
      <c r="F530" t="s">
        <v>47</v>
      </c>
      <c r="G530">
        <v>-304.85109999999997</v>
      </c>
      <c r="H530">
        <v>-0.05</v>
      </c>
      <c r="I530">
        <v>365.78280000000001</v>
      </c>
      <c r="J530">
        <v>-340.6626</v>
      </c>
      <c r="K530">
        <v>1.109394</v>
      </c>
      <c r="L530">
        <v>367.8648</v>
      </c>
      <c r="M530">
        <v>0.9998766</v>
      </c>
      <c r="N530">
        <v>-1.459997E-2</v>
      </c>
      <c r="O530">
        <v>5.8138919999999898E-3</v>
      </c>
      <c r="P530">
        <v>0.99552419999999997</v>
      </c>
      <c r="Q530">
        <v>-6.422216E-2</v>
      </c>
      <c r="R530">
        <v>6.9332089999999999E-2</v>
      </c>
      <c r="S530">
        <v>3.0192570000000001</v>
      </c>
      <c r="T530">
        <v>-9.6936229999999998E-2</v>
      </c>
      <c r="U530">
        <v>-0.17391970000000001</v>
      </c>
      <c r="V530">
        <v>-6.3523640000000006E-2</v>
      </c>
      <c r="W530">
        <v>-4.9698829999999999E-2</v>
      </c>
      <c r="X530">
        <v>0.99674209999999996</v>
      </c>
      <c r="Y530">
        <v>6.3263860000000005E-2</v>
      </c>
      <c r="Z530">
        <v>-1.5785409999999999E-3</v>
      </c>
      <c r="AA530">
        <v>0.99799559999999998</v>
      </c>
      <c r="AB530">
        <v>34</v>
      </c>
      <c r="AC530">
        <v>35.811500000000002</v>
      </c>
      <c r="AD530">
        <v>-1.159394</v>
      </c>
      <c r="AE530">
        <v>-2.0819999999999901</v>
      </c>
      <c r="AF530">
        <v>2.2878013277971401</v>
      </c>
      <c r="AG530">
        <v>-1.159394</v>
      </c>
      <c r="AH530">
        <v>35.761432284414703</v>
      </c>
      <c r="AI530">
        <v>91.853106624917899</v>
      </c>
      <c r="AJ530">
        <v>86.339548903829595</v>
      </c>
      <c r="AK530">
        <v>35.853288111350203</v>
      </c>
      <c r="AL530">
        <v>92.848706674921502</v>
      </c>
      <c r="AM530">
        <v>93.646601033617003</v>
      </c>
      <c r="AN530">
        <v>1.00000002022731</v>
      </c>
    </row>
    <row r="531" spans="1:40" x14ac:dyDescent="0.25">
      <c r="A531" t="str">
        <f>"20190305135206379"</f>
        <v>20190305135206379</v>
      </c>
      <c r="B531" t="str">
        <f>"1551765126370552"</f>
        <v>1551765126370552</v>
      </c>
      <c r="C531" t="s">
        <v>40</v>
      </c>
      <c r="D531">
        <v>5.0494260000000004</v>
      </c>
      <c r="E531">
        <v>0.54875959999999901</v>
      </c>
      <c r="F531" t="s">
        <v>47</v>
      </c>
      <c r="G531">
        <v>-304.63420000000002</v>
      </c>
      <c r="H531">
        <v>-0.05</v>
      </c>
      <c r="I531">
        <v>365.75819999999999</v>
      </c>
      <c r="J531">
        <v>-340.4873</v>
      </c>
      <c r="K531">
        <v>1.1093980000000001</v>
      </c>
      <c r="L531">
        <v>367.86590000000001</v>
      </c>
      <c r="M531">
        <v>0.99987599999999999</v>
      </c>
      <c r="N531">
        <v>-1.459797E-2</v>
      </c>
      <c r="O531">
        <v>5.908908E-3</v>
      </c>
      <c r="P531">
        <v>0.99555179999999999</v>
      </c>
      <c r="Q531">
        <v>-6.3911809999999999E-2</v>
      </c>
      <c r="R531">
        <v>6.9224190000000005E-2</v>
      </c>
      <c r="S531">
        <v>3.019501</v>
      </c>
      <c r="T531">
        <v>-9.7167489999999995E-2</v>
      </c>
      <c r="U531">
        <v>-0.17654420000000001</v>
      </c>
      <c r="V531">
        <v>-6.3321180000000005E-2</v>
      </c>
      <c r="W531">
        <v>-4.9389910000000002E-2</v>
      </c>
      <c r="X531">
        <v>0.9967703</v>
      </c>
      <c r="Y531">
        <v>6.4217650000000001E-2</v>
      </c>
      <c r="Z531">
        <v>-1.605209E-3</v>
      </c>
      <c r="AA531">
        <v>0.9979346</v>
      </c>
      <c r="AB531">
        <v>34</v>
      </c>
      <c r="AC531">
        <v>35.853099999999898</v>
      </c>
      <c r="AD531">
        <v>-1.1593979999999999</v>
      </c>
      <c r="AE531">
        <v>-2.1077000000000199</v>
      </c>
      <c r="AF531">
        <v>2.3171237424107001</v>
      </c>
      <c r="AG531">
        <v>-1.1593979999999999</v>
      </c>
      <c r="AH531">
        <v>35.802708076463901</v>
      </c>
      <c r="AI531">
        <v>91.850889774010298</v>
      </c>
      <c r="AJ531">
        <v>86.297025502433698</v>
      </c>
      <c r="AK531">
        <v>35.896339253028799</v>
      </c>
      <c r="AL531">
        <v>92.830985205017797</v>
      </c>
      <c r="AM531">
        <v>93.6349073802389</v>
      </c>
      <c r="AN531">
        <v>0.99999998300424497</v>
      </c>
    </row>
    <row r="532" spans="1:40" x14ac:dyDescent="0.25">
      <c r="A532" t="str">
        <f>"20190305135206390"</f>
        <v>20190305135206390</v>
      </c>
      <c r="B532" t="str">
        <f>"1551765126380312"</f>
        <v>1551765126380312</v>
      </c>
      <c r="C532" t="s">
        <v>40</v>
      </c>
      <c r="D532">
        <v>5.033709</v>
      </c>
      <c r="E532">
        <v>0.54900890000000002</v>
      </c>
      <c r="F532" t="s">
        <v>47</v>
      </c>
      <c r="G532">
        <v>-304.14510000000001</v>
      </c>
      <c r="H532">
        <v>-0.05</v>
      </c>
      <c r="I532">
        <v>365.71800000000002</v>
      </c>
      <c r="J532">
        <v>-340.32819999999998</v>
      </c>
      <c r="K532">
        <v>1.1093999999999999</v>
      </c>
      <c r="L532">
        <v>367.86689999999999</v>
      </c>
      <c r="M532">
        <v>0.99987570000000003</v>
      </c>
      <c r="N532">
        <v>-1.4596140000000001E-2</v>
      </c>
      <c r="O532">
        <v>5.9939619999999898E-3</v>
      </c>
      <c r="P532">
        <v>0.99559560000000002</v>
      </c>
      <c r="Q532">
        <v>-6.3133629999999996E-2</v>
      </c>
      <c r="R532">
        <v>6.9310109999999994E-2</v>
      </c>
      <c r="S532">
        <v>3.0196230000000002</v>
      </c>
      <c r="T532">
        <v>-9.6332790000000001E-2</v>
      </c>
      <c r="U532">
        <v>-0.17846679999999901</v>
      </c>
      <c r="V532">
        <v>-6.3322660000000003E-2</v>
      </c>
      <c r="W532">
        <v>-4.8612809999999999E-2</v>
      </c>
      <c r="X532">
        <v>0.99680840000000004</v>
      </c>
      <c r="Y532">
        <v>6.4933560000000001E-2</v>
      </c>
      <c r="Z532">
        <v>-1.6127139999999999E-3</v>
      </c>
      <c r="AA532">
        <v>0.99788829999999995</v>
      </c>
      <c r="AB532">
        <v>34</v>
      </c>
      <c r="AC532">
        <v>36.183099999999897</v>
      </c>
      <c r="AD532">
        <v>-1.1594</v>
      </c>
      <c r="AE532">
        <v>-2.1488999999999598</v>
      </c>
      <c r="AF532">
        <v>2.3633465961203801</v>
      </c>
      <c r="AG532">
        <v>-1.1594</v>
      </c>
      <c r="AH532">
        <v>36.1326001444504</v>
      </c>
      <c r="AI532">
        <v>91.833924095817807</v>
      </c>
      <c r="AJ532">
        <v>86.257751232876601</v>
      </c>
      <c r="AK532">
        <v>36.228364698011603</v>
      </c>
      <c r="AL532">
        <v>92.786407122818702</v>
      </c>
      <c r="AM532">
        <v>93.634853546663606</v>
      </c>
      <c r="AN532">
        <v>0.99999997543806496</v>
      </c>
    </row>
    <row r="533" spans="1:40" x14ac:dyDescent="0.25">
      <c r="A533" t="str">
        <f>"20190305135206400"</f>
        <v>20190305135206400</v>
      </c>
      <c r="B533" t="str">
        <f>"1551765126390073"</f>
        <v>1551765126390073</v>
      </c>
      <c r="C533" t="s">
        <v>40</v>
      </c>
      <c r="D533">
        <v>5.0517390000000004</v>
      </c>
      <c r="E533">
        <v>0.54914589999999996</v>
      </c>
      <c r="F533" t="s">
        <v>47</v>
      </c>
      <c r="G533">
        <v>-303.16239999999999</v>
      </c>
      <c r="H533">
        <v>-0.05</v>
      </c>
      <c r="I533">
        <v>365.64690000000002</v>
      </c>
      <c r="J533">
        <v>-340.15870000000001</v>
      </c>
      <c r="K533">
        <v>1.1094029999999999</v>
      </c>
      <c r="L533">
        <v>367.86799999999999</v>
      </c>
      <c r="M533">
        <v>0.99987499999999996</v>
      </c>
      <c r="N533">
        <v>-1.459415E-2</v>
      </c>
      <c r="O533">
        <v>6.0836569999999897E-3</v>
      </c>
      <c r="P533">
        <v>0.99561489999999997</v>
      </c>
      <c r="Q533">
        <v>-6.3043859999999993E-2</v>
      </c>
      <c r="R533">
        <v>6.91108E-2</v>
      </c>
      <c r="S533">
        <v>3.0198969999999998</v>
      </c>
      <c r="T533">
        <v>-9.4206810000000002E-2</v>
      </c>
      <c r="U533">
        <v>-0.18038940000000001</v>
      </c>
      <c r="V533">
        <v>-6.3033450000000005E-2</v>
      </c>
      <c r="W533">
        <v>-4.8524409999999997E-2</v>
      </c>
      <c r="X533">
        <v>0.99683109999999997</v>
      </c>
      <c r="Y533">
        <v>6.565211E-2</v>
      </c>
      <c r="Z533">
        <v>-1.6034300000000001E-3</v>
      </c>
      <c r="AA533">
        <v>0.99784130000000004</v>
      </c>
      <c r="AB533">
        <v>34</v>
      </c>
      <c r="AC533">
        <v>36.996299999999998</v>
      </c>
      <c r="AD533">
        <v>-1.159403</v>
      </c>
      <c r="AE533">
        <v>-2.2211000000000301</v>
      </c>
      <c r="AF533">
        <v>2.4437642764358198</v>
      </c>
      <c r="AG533">
        <v>-1.159403</v>
      </c>
      <c r="AH533">
        <v>36.9459473486965</v>
      </c>
      <c r="AI533">
        <v>91.793495965589202</v>
      </c>
      <c r="AJ533">
        <v>86.215722473788702</v>
      </c>
      <c r="AK533">
        <v>37.044827231988101</v>
      </c>
      <c r="AL533">
        <v>92.781336017018504</v>
      </c>
      <c r="AM533">
        <v>93.618214311870801</v>
      </c>
      <c r="AN533">
        <v>1.0000000380559699</v>
      </c>
    </row>
    <row r="534" spans="1:40" x14ac:dyDescent="0.25">
      <c r="A534" t="str">
        <f>"20190305135206411"</f>
        <v>20190305135206411</v>
      </c>
      <c r="B534" t="str">
        <f>"1551765126399832"</f>
        <v>1551765126399832</v>
      </c>
      <c r="C534" t="s">
        <v>40</v>
      </c>
      <c r="D534">
        <v>5.0147879999999896</v>
      </c>
      <c r="E534">
        <v>0.54932349999999996</v>
      </c>
      <c r="F534" t="s">
        <v>47</v>
      </c>
      <c r="G534">
        <v>-302.95249999999999</v>
      </c>
      <c r="H534">
        <v>-0.05</v>
      </c>
      <c r="I534">
        <v>365.62630000000001</v>
      </c>
      <c r="J534">
        <v>-340.00330000000002</v>
      </c>
      <c r="K534">
        <v>1.1094010000000001</v>
      </c>
      <c r="L534">
        <v>367.86900000000003</v>
      </c>
      <c r="M534">
        <v>0.99987459999999995</v>
      </c>
      <c r="N534">
        <v>-1.4592330000000001E-2</v>
      </c>
      <c r="O534">
        <v>6.1626669999999897E-3</v>
      </c>
      <c r="P534">
        <v>0.99564620000000004</v>
      </c>
      <c r="Q534">
        <v>-6.3024689999999994E-2</v>
      </c>
      <c r="R534">
        <v>6.8677920000000003E-2</v>
      </c>
      <c r="S534">
        <v>3.0198670000000001</v>
      </c>
      <c r="T534">
        <v>-9.4103809999999996E-2</v>
      </c>
      <c r="U534">
        <v>-0.18194579999999999</v>
      </c>
      <c r="V534">
        <v>-6.2522530000000007E-2</v>
      </c>
      <c r="W534">
        <v>-4.850608E-2</v>
      </c>
      <c r="X534">
        <v>0.99686410000000003</v>
      </c>
      <c r="Y534">
        <v>6.6243629999999998E-2</v>
      </c>
      <c r="Z534">
        <v>-1.616894E-3</v>
      </c>
      <c r="AA534">
        <v>0.99780219999999997</v>
      </c>
      <c r="AB534">
        <v>34</v>
      </c>
      <c r="AC534">
        <v>37.050800000000002</v>
      </c>
      <c r="AD534">
        <v>-1.1594009999999999</v>
      </c>
      <c r="AE534">
        <v>-2.2427000000000099</v>
      </c>
      <c r="AF534">
        <v>2.4686050070137999</v>
      </c>
      <c r="AG534">
        <v>-1.1594009999999999</v>
      </c>
      <c r="AH534">
        <v>37.000175420192903</v>
      </c>
      <c r="AI534">
        <v>91.790798020252893</v>
      </c>
      <c r="AJ534">
        <v>86.182954913845094</v>
      </c>
      <c r="AK534">
        <v>37.100555285393</v>
      </c>
      <c r="AL534">
        <v>92.780284736028193</v>
      </c>
      <c r="AM534">
        <v>93.588845208059595</v>
      </c>
      <c r="AN534">
        <v>0.99999997021168796</v>
      </c>
    </row>
    <row r="535" spans="1:40" x14ac:dyDescent="0.25">
      <c r="A535" t="str">
        <f>"20190305135206422"</f>
        <v>20190305135206422</v>
      </c>
      <c r="B535" t="str">
        <f>"1551765126410568"</f>
        <v>1551765126410568</v>
      </c>
      <c r="C535" t="s">
        <v>40</v>
      </c>
      <c r="D535">
        <v>5.0132690000000002</v>
      </c>
      <c r="E535">
        <v>0.5495023</v>
      </c>
      <c r="F535" t="s">
        <v>47</v>
      </c>
      <c r="G535">
        <v>-303.09739999999999</v>
      </c>
      <c r="H535">
        <v>-0.05</v>
      </c>
      <c r="I535">
        <v>365.61070000000001</v>
      </c>
      <c r="J535">
        <v>-339.84140000000002</v>
      </c>
      <c r="K535">
        <v>1.1093980000000001</v>
      </c>
      <c r="L535">
        <v>367.87009999999998</v>
      </c>
      <c r="M535">
        <v>0.99987409999999999</v>
      </c>
      <c r="N535">
        <v>-1.459043E-2</v>
      </c>
      <c r="O535">
        <v>6.2430960000000001E-3</v>
      </c>
      <c r="P535">
        <v>0.99565219999999999</v>
      </c>
      <c r="Q535">
        <v>-6.317006E-2</v>
      </c>
      <c r="R535">
        <v>6.8457680000000007E-2</v>
      </c>
      <c r="S535">
        <v>3.0198670000000001</v>
      </c>
      <c r="T535">
        <v>-9.4869140000000005E-2</v>
      </c>
      <c r="U535">
        <v>-0.1847839</v>
      </c>
      <c r="V535">
        <v>-6.2222609999999998E-2</v>
      </c>
      <c r="W535">
        <v>-4.8652670000000002E-2</v>
      </c>
      <c r="X535">
        <v>0.99687579999999998</v>
      </c>
      <c r="Y535">
        <v>6.7256759999999999E-2</v>
      </c>
      <c r="Z535">
        <v>-1.6514139999999999E-3</v>
      </c>
      <c r="AA535">
        <v>0.99773429999999996</v>
      </c>
      <c r="AB535">
        <v>34</v>
      </c>
      <c r="AC535">
        <v>36.744</v>
      </c>
      <c r="AD535">
        <v>-1.1593979999999999</v>
      </c>
      <c r="AE535">
        <v>-2.2593999999999701</v>
      </c>
      <c r="AF535">
        <v>2.48631060247244</v>
      </c>
      <c r="AG535">
        <v>-1.1593979999999999</v>
      </c>
      <c r="AH535">
        <v>36.692782274339599</v>
      </c>
      <c r="AI535">
        <v>91.805660039862403</v>
      </c>
      <c r="AJ535">
        <v>86.123551582603696</v>
      </c>
      <c r="AK535">
        <v>36.795192826868799</v>
      </c>
      <c r="AL535">
        <v>92.788693435536601</v>
      </c>
      <c r="AM535">
        <v>93.571632411529094</v>
      </c>
      <c r="AN535">
        <v>1.00000004805948</v>
      </c>
    </row>
    <row r="536" spans="1:40" x14ac:dyDescent="0.25">
      <c r="A536" t="str">
        <f>"20190305135206433"</f>
        <v>20190305135206433</v>
      </c>
      <c r="B536" t="str">
        <f>"1551765126430088"</f>
        <v>1551765126430088</v>
      </c>
      <c r="C536" t="s">
        <v>40</v>
      </c>
      <c r="D536">
        <v>5.0358710000000002</v>
      </c>
      <c r="E536">
        <v>0.54980899999999999</v>
      </c>
      <c r="F536" t="s">
        <v>47</v>
      </c>
      <c r="G536">
        <v>-303.32190000000003</v>
      </c>
      <c r="H536">
        <v>-0.05</v>
      </c>
      <c r="I536">
        <v>365.61070000000001</v>
      </c>
      <c r="J536">
        <v>-339.666</v>
      </c>
      <c r="K536">
        <v>1.1093959999999901</v>
      </c>
      <c r="L536">
        <v>367.87119999999999</v>
      </c>
      <c r="M536">
        <v>0.99987380000000003</v>
      </c>
      <c r="N536">
        <v>-1.458837E-2</v>
      </c>
      <c r="O536">
        <v>6.3250399999999997E-3</v>
      </c>
      <c r="P536">
        <v>0.99564770000000002</v>
      </c>
      <c r="Q536">
        <v>-6.3586660000000003E-2</v>
      </c>
      <c r="R536">
        <v>6.8139389999999994E-2</v>
      </c>
      <c r="S536">
        <v>3.0198670000000001</v>
      </c>
      <c r="T536">
        <v>-9.5872639999999995E-2</v>
      </c>
      <c r="U536">
        <v>-0.18682860000000001</v>
      </c>
      <c r="V536">
        <v>-6.1823000000000003E-2</v>
      </c>
      <c r="W536">
        <v>-4.907044E-2</v>
      </c>
      <c r="X536">
        <v>0.99688010000000005</v>
      </c>
      <c r="Y536">
        <v>6.8010050000000002E-2</v>
      </c>
      <c r="Z536">
        <v>-1.6834230000000001E-3</v>
      </c>
      <c r="AA536">
        <v>0.99768319999999999</v>
      </c>
      <c r="AB536">
        <v>34</v>
      </c>
      <c r="AC536">
        <v>36.344099999999898</v>
      </c>
      <c r="AD536">
        <v>-1.1593960000000001</v>
      </c>
      <c r="AE536">
        <v>-2.2604999999999702</v>
      </c>
      <c r="AF536">
        <v>2.4878351001130001</v>
      </c>
      <c r="AG536">
        <v>-1.1593960000000001</v>
      </c>
      <c r="AH536">
        <v>36.292283281984197</v>
      </c>
      <c r="AI536">
        <v>91.825471879553305</v>
      </c>
      <c r="AJ536">
        <v>86.078510575848796</v>
      </c>
      <c r="AK536">
        <v>36.395924887134903</v>
      </c>
      <c r="AL536">
        <v>92.812658757777697</v>
      </c>
      <c r="AM536">
        <v>93.548737986057205</v>
      </c>
      <c r="AN536">
        <v>0.99999996259340096</v>
      </c>
    </row>
    <row r="537" spans="1:40" x14ac:dyDescent="0.25">
      <c r="A537" t="str">
        <f>"20190305135206445"</f>
        <v>20190305135206445</v>
      </c>
      <c r="B537" t="str">
        <f>"1551765126439849"</f>
        <v>1551765126439849</v>
      </c>
      <c r="C537" t="s">
        <v>40</v>
      </c>
      <c r="D537">
        <v>5.0243039999999999</v>
      </c>
      <c r="E537">
        <v>0.54994519999999902</v>
      </c>
      <c r="F537" t="s">
        <v>47</v>
      </c>
      <c r="G537">
        <v>-303.90269999999998</v>
      </c>
      <c r="H537">
        <v>-0.05</v>
      </c>
      <c r="I537">
        <v>365.62009999999998</v>
      </c>
      <c r="J537">
        <v>-339.49029999999999</v>
      </c>
      <c r="K537">
        <v>1.109394</v>
      </c>
      <c r="L537">
        <v>367.87240000000003</v>
      </c>
      <c r="M537">
        <v>0.99987320000000002</v>
      </c>
      <c r="N537">
        <v>-1.45863E-2</v>
      </c>
      <c r="O537">
        <v>6.405305E-3</v>
      </c>
      <c r="P537">
        <v>0.99568250000000003</v>
      </c>
      <c r="Q537">
        <v>-6.3465969999999997E-2</v>
      </c>
      <c r="R537">
        <v>6.7740010000000003E-2</v>
      </c>
      <c r="S537">
        <v>3.0198969999999998</v>
      </c>
      <c r="T537">
        <v>-9.7900870000000001E-2</v>
      </c>
      <c r="U537">
        <v>-0.19009400000000001</v>
      </c>
      <c r="V537">
        <v>-6.1343740000000001E-2</v>
      </c>
      <c r="W537">
        <v>-4.8950319999999999E-2</v>
      </c>
      <c r="X537">
        <v>0.99691560000000001</v>
      </c>
      <c r="Y537">
        <v>6.9161329999999993E-2</v>
      </c>
      <c r="Z537">
        <v>-1.7388519999999999E-3</v>
      </c>
      <c r="AA537">
        <v>0.99760400000000005</v>
      </c>
      <c r="AB537">
        <v>34</v>
      </c>
      <c r="AC537">
        <v>35.587600000000002</v>
      </c>
      <c r="AD537">
        <v>-1.159394</v>
      </c>
      <c r="AE537">
        <v>-2.2523000000000399</v>
      </c>
      <c r="AF537">
        <v>2.4776082928472101</v>
      </c>
      <c r="AG537">
        <v>-1.159394</v>
      </c>
      <c r="AH537">
        <v>35.534876590033399</v>
      </c>
      <c r="AI537">
        <v>91.864200038229797</v>
      </c>
      <c r="AJ537">
        <v>86.011604712195194</v>
      </c>
      <c r="AK537">
        <v>35.640008299226402</v>
      </c>
      <c r="AL537">
        <v>92.805768140625503</v>
      </c>
      <c r="AM537">
        <v>93.521172116661901</v>
      </c>
      <c r="AN537">
        <v>0.99999995089432303</v>
      </c>
    </row>
    <row r="538" spans="1:40" x14ac:dyDescent="0.25">
      <c r="A538" t="str">
        <f>"20190305135206457"</f>
        <v>20190305135206457</v>
      </c>
      <c r="B538" t="str">
        <f>"1551765126449608"</f>
        <v>1551765126449608</v>
      </c>
      <c r="C538" t="s">
        <v>40</v>
      </c>
      <c r="D538">
        <v>5.0341440000000004</v>
      </c>
      <c r="E538">
        <v>0.55011549999999998</v>
      </c>
      <c r="F538" t="s">
        <v>47</v>
      </c>
      <c r="G538">
        <v>-303.88959999999997</v>
      </c>
      <c r="H538">
        <v>-0.05</v>
      </c>
      <c r="I538">
        <v>365.60410000000002</v>
      </c>
      <c r="J538">
        <v>-339.30079999999998</v>
      </c>
      <c r="K538">
        <v>1.109389</v>
      </c>
      <c r="L538">
        <v>367.87369999999999</v>
      </c>
      <c r="M538">
        <v>0.99987269999999995</v>
      </c>
      <c r="N538">
        <v>-1.4584120000000001E-2</v>
      </c>
      <c r="O538">
        <v>6.4827869999999899E-3</v>
      </c>
      <c r="P538">
        <v>0.99571750000000003</v>
      </c>
      <c r="Q538">
        <v>-6.3054959999999993E-2</v>
      </c>
      <c r="R538">
        <v>6.7609649999999993E-2</v>
      </c>
      <c r="S538">
        <v>3.019806</v>
      </c>
      <c r="T538">
        <v>-9.8344799999999996E-2</v>
      </c>
      <c r="U538">
        <v>-0.19241330000000001</v>
      </c>
      <c r="V538">
        <v>-6.1137690000000001E-2</v>
      </c>
      <c r="W538">
        <v>-4.8539730000000003E-2</v>
      </c>
      <c r="X538">
        <v>0.99694839999999996</v>
      </c>
      <c r="Y538">
        <v>7.0002560000000005E-2</v>
      </c>
      <c r="Z538">
        <v>-1.7660460000000001E-3</v>
      </c>
      <c r="AA538">
        <v>0.99754520000000002</v>
      </c>
      <c r="AB538">
        <v>34</v>
      </c>
      <c r="AC538">
        <v>35.411200000000001</v>
      </c>
      <c r="AD538">
        <v>-1.159389</v>
      </c>
      <c r="AE538">
        <v>-2.2695999999999601</v>
      </c>
      <c r="AF538">
        <v>2.4964748026135402</v>
      </c>
      <c r="AG538">
        <v>-1.159389</v>
      </c>
      <c r="AH538">
        <v>35.357993669956102</v>
      </c>
      <c r="AI538">
        <v>91.873395896519099</v>
      </c>
      <c r="AJ538">
        <v>85.961295446762094</v>
      </c>
      <c r="AK538">
        <v>35.464972658357702</v>
      </c>
      <c r="AL538">
        <v>92.782214881420401</v>
      </c>
      <c r="AM538">
        <v>93.509259144589393</v>
      </c>
      <c r="AN538">
        <v>1.0000000173947801</v>
      </c>
    </row>
    <row r="539" spans="1:40" x14ac:dyDescent="0.25">
      <c r="A539" t="str">
        <f>"20190305135206469"</f>
        <v>20190305135206469</v>
      </c>
      <c r="B539" t="str">
        <f>"1551765126460345"</f>
        <v>1551765126460345</v>
      </c>
      <c r="C539" t="s">
        <v>40</v>
      </c>
      <c r="D539">
        <v>5.0420150000000001</v>
      </c>
      <c r="E539">
        <v>0.55028310000000002</v>
      </c>
      <c r="F539" t="s">
        <v>47</v>
      </c>
      <c r="G539">
        <v>-303.14859999999999</v>
      </c>
      <c r="H539">
        <v>-0.05</v>
      </c>
      <c r="I539">
        <v>365.54689999999999</v>
      </c>
      <c r="J539">
        <v>-339.13639999999998</v>
      </c>
      <c r="K539">
        <v>1.1093839999999999</v>
      </c>
      <c r="L539">
        <v>367.87479999999999</v>
      </c>
      <c r="M539">
        <v>0.99987230000000005</v>
      </c>
      <c r="N539">
        <v>-1.458223E-2</v>
      </c>
      <c r="O539">
        <v>6.5474060000000004E-3</v>
      </c>
      <c r="P539">
        <v>0.99575610000000003</v>
      </c>
      <c r="Q539">
        <v>-6.2866599999999995E-2</v>
      </c>
      <c r="R539">
        <v>6.7213099999999998E-2</v>
      </c>
      <c r="S539">
        <v>3.0199280000000002</v>
      </c>
      <c r="T539">
        <v>-9.6848130000000004E-2</v>
      </c>
      <c r="U539">
        <v>-0.1943665</v>
      </c>
      <c r="V539">
        <v>-6.0677120000000001E-2</v>
      </c>
      <c r="W539">
        <v>-4.8351520000000002E-2</v>
      </c>
      <c r="X539">
        <v>0.99698569999999997</v>
      </c>
      <c r="Y539">
        <v>7.0707880000000001E-2</v>
      </c>
      <c r="Z539">
        <v>-1.762967E-3</v>
      </c>
      <c r="AA539">
        <v>0.99749549999999998</v>
      </c>
      <c r="AB539">
        <v>34</v>
      </c>
      <c r="AC539">
        <v>35.987799999999901</v>
      </c>
      <c r="AD539">
        <v>-1.159384</v>
      </c>
      <c r="AE539">
        <v>-2.3279000000000001</v>
      </c>
      <c r="AF539">
        <v>2.5608551044341601</v>
      </c>
      <c r="AG539">
        <v>-1.159384</v>
      </c>
      <c r="AH539">
        <v>35.934644953375802</v>
      </c>
      <c r="AI539">
        <v>91.843260438197603</v>
      </c>
      <c r="AJ539">
        <v>85.923751123991906</v>
      </c>
      <c r="AK539">
        <v>36.044428946101199</v>
      </c>
      <c r="AL539">
        <v>92.771418519541399</v>
      </c>
      <c r="AM539">
        <v>93.482758098680904</v>
      </c>
      <c r="AN539">
        <v>1.0000000341911399</v>
      </c>
    </row>
    <row r="540" spans="1:40" x14ac:dyDescent="0.25">
      <c r="A540" t="str">
        <f>"20190305135206479"</f>
        <v>20190305135206479</v>
      </c>
      <c r="B540" t="str">
        <f>"1551765126470105"</f>
        <v>1551765126470105</v>
      </c>
      <c r="C540" t="s">
        <v>40</v>
      </c>
      <c r="D540">
        <v>5.039142</v>
      </c>
      <c r="E540">
        <v>0.55041229999999997</v>
      </c>
      <c r="F540" t="s">
        <v>47</v>
      </c>
      <c r="G540">
        <v>-302.7869</v>
      </c>
      <c r="H540">
        <v>-0.05</v>
      </c>
      <c r="I540">
        <v>365.50560000000002</v>
      </c>
      <c r="J540">
        <v>-338.96269999999998</v>
      </c>
      <c r="K540">
        <v>1.109372</v>
      </c>
      <c r="L540">
        <v>367.87599999999998</v>
      </c>
      <c r="M540">
        <v>0.99987199999999998</v>
      </c>
      <c r="N540">
        <v>-1.458024E-2</v>
      </c>
      <c r="O540">
        <v>6.6104550000000003E-3</v>
      </c>
      <c r="P540">
        <v>0.99575910000000001</v>
      </c>
      <c r="Q540">
        <v>-6.2942399999999996E-2</v>
      </c>
      <c r="R540">
        <v>6.7100729999999997E-2</v>
      </c>
      <c r="S540">
        <v>3.0199889999999998</v>
      </c>
      <c r="T540">
        <v>-9.6323850000000003E-2</v>
      </c>
      <c r="U540">
        <v>-0.1968384</v>
      </c>
      <c r="V540">
        <v>-6.0502899999999998E-2</v>
      </c>
      <c r="W540">
        <v>-4.8427949999999997E-2</v>
      </c>
      <c r="X540">
        <v>0.99699249999999995</v>
      </c>
      <c r="Y540">
        <v>7.1582359999999998E-2</v>
      </c>
      <c r="Z540">
        <v>-1.7770030000000001E-3</v>
      </c>
      <c r="AA540">
        <v>0.99743309999999996</v>
      </c>
      <c r="AB540">
        <v>34</v>
      </c>
      <c r="AC540">
        <v>36.175799999999903</v>
      </c>
      <c r="AD540">
        <v>-1.1593719999999901</v>
      </c>
      <c r="AE540">
        <v>-2.3703999999999601</v>
      </c>
      <c r="AF540">
        <v>2.6068460581249102</v>
      </c>
      <c r="AG540">
        <v>-1.1593719999999901</v>
      </c>
      <c r="AH540">
        <v>36.122395918804003</v>
      </c>
      <c r="AI540">
        <v>91.833549410204697</v>
      </c>
      <c r="AJ540">
        <v>85.8722896070974</v>
      </c>
      <c r="AK540">
        <v>36.2348903230018</v>
      </c>
      <c r="AL540">
        <v>92.775802988626296</v>
      </c>
      <c r="AM540">
        <v>93.4727590628695</v>
      </c>
      <c r="AN540">
        <v>0.99999995615293003</v>
      </c>
    </row>
    <row r="541" spans="1:40" x14ac:dyDescent="0.25">
      <c r="A541" t="str">
        <f>"20190305135206491"</f>
        <v>20190305135206491</v>
      </c>
      <c r="B541" t="str">
        <f>"1551765126479864"</f>
        <v>1551765126479864</v>
      </c>
      <c r="C541" t="s">
        <v>40</v>
      </c>
      <c r="D541">
        <v>5.0002969999999998</v>
      </c>
      <c r="E541">
        <v>0.55051510000000003</v>
      </c>
      <c r="F541" t="s">
        <v>47</v>
      </c>
      <c r="G541">
        <v>-302.82709999999997</v>
      </c>
      <c r="H541">
        <v>-0.05</v>
      </c>
      <c r="I541">
        <v>365.50110000000001</v>
      </c>
      <c r="J541">
        <v>-338.79899999999998</v>
      </c>
      <c r="K541">
        <v>1.109364</v>
      </c>
      <c r="L541">
        <v>367.87720000000002</v>
      </c>
      <c r="M541">
        <v>0.99987159999999997</v>
      </c>
      <c r="N541">
        <v>-1.457836E-2</v>
      </c>
      <c r="O541">
        <v>6.6654030000000003E-3</v>
      </c>
      <c r="P541">
        <v>0.99574589999999996</v>
      </c>
      <c r="Q541">
        <v>-6.3135830000000004E-2</v>
      </c>
      <c r="R541">
        <v>6.711259E-2</v>
      </c>
      <c r="S541">
        <v>3.0200499999999999</v>
      </c>
      <c r="T541">
        <v>-9.6895099999999998E-2</v>
      </c>
      <c r="U541">
        <v>-0.1984863</v>
      </c>
      <c r="V541">
        <v>-6.0460970000000003E-2</v>
      </c>
      <c r="W541">
        <v>-4.8622199999999997E-2</v>
      </c>
      <c r="X541">
        <v>0.99698560000000003</v>
      </c>
      <c r="Y541">
        <v>7.2176799999999999E-2</v>
      </c>
      <c r="Z541">
        <v>-1.7997390000000001E-3</v>
      </c>
      <c r="AA541">
        <v>0.9973902</v>
      </c>
      <c r="AB541">
        <v>34</v>
      </c>
      <c r="AC541">
        <v>35.971899999999998</v>
      </c>
      <c r="AD541">
        <v>-1.1593639999999901</v>
      </c>
      <c r="AE541">
        <v>-2.3761000000000001</v>
      </c>
      <c r="AF541">
        <v>2.6131372624381402</v>
      </c>
      <c r="AG541">
        <v>-1.1593639999999901</v>
      </c>
      <c r="AH541">
        <v>35.918113388727697</v>
      </c>
      <c r="AI541">
        <v>91.843879959803701</v>
      </c>
      <c r="AJ541">
        <v>85.838912410986197</v>
      </c>
      <c r="AK541">
        <v>36.031701051190197</v>
      </c>
      <c r="AL541">
        <v>92.786945790931796</v>
      </c>
      <c r="AM541">
        <v>93.470382198390197</v>
      </c>
      <c r="AN541">
        <v>0.99999996691676996</v>
      </c>
    </row>
    <row r="542" spans="1:40" x14ac:dyDescent="0.25">
      <c r="A542" t="str">
        <f>"20190305135206503"</f>
        <v>20190305135206503</v>
      </c>
      <c r="B542" t="str">
        <f>"1551765126500361"</f>
        <v>1551765126500361</v>
      </c>
      <c r="C542" t="s">
        <v>40</v>
      </c>
      <c r="D542">
        <v>5.0431439999999998</v>
      </c>
      <c r="E542">
        <v>0.55076590000000003</v>
      </c>
      <c r="F542" t="s">
        <v>47</v>
      </c>
      <c r="G542">
        <v>-302.66809999999998</v>
      </c>
      <c r="H542">
        <v>-0.05</v>
      </c>
      <c r="I542">
        <v>365.49489999999997</v>
      </c>
      <c r="J542">
        <v>-338.6123</v>
      </c>
      <c r="K542">
        <v>1.109354</v>
      </c>
      <c r="L542">
        <v>367.87849999999997</v>
      </c>
      <c r="M542">
        <v>0.99987130000000002</v>
      </c>
      <c r="N542">
        <v>-1.4576220000000001E-2</v>
      </c>
      <c r="O542">
        <v>6.7232480000000002E-3</v>
      </c>
      <c r="P542">
        <v>0.99572530000000004</v>
      </c>
      <c r="Q542">
        <v>-6.3331589999999993E-2</v>
      </c>
      <c r="R542">
        <v>6.7236829999999997E-2</v>
      </c>
      <c r="S542">
        <v>3.020111</v>
      </c>
      <c r="T542">
        <v>-9.6908930000000004E-2</v>
      </c>
      <c r="U542">
        <v>-0.1991272</v>
      </c>
      <c r="V542">
        <v>-6.052884E-2</v>
      </c>
      <c r="W542">
        <v>-4.8818939999999998E-2</v>
      </c>
      <c r="X542">
        <v>0.99697190000000002</v>
      </c>
      <c r="Y542">
        <v>7.2443709999999994E-2</v>
      </c>
      <c r="Z542">
        <v>-1.807075E-3</v>
      </c>
      <c r="AA542">
        <v>0.9973708</v>
      </c>
      <c r="AB542">
        <v>34</v>
      </c>
      <c r="AC542">
        <v>35.944200000000002</v>
      </c>
      <c r="AD542">
        <v>-1.159354</v>
      </c>
      <c r="AE542">
        <v>-2.3835999999999999</v>
      </c>
      <c r="AF542">
        <v>2.6225171699090999</v>
      </c>
      <c r="AG542">
        <v>-1.159354</v>
      </c>
      <c r="AH542">
        <v>35.890185757836697</v>
      </c>
      <c r="AI542">
        <v>91.845255337861801</v>
      </c>
      <c r="AJ542">
        <v>85.820790865122405</v>
      </c>
      <c r="AK542">
        <v>36.004543209653598</v>
      </c>
      <c r="AL542">
        <v>92.798231474513102</v>
      </c>
      <c r="AM542">
        <v>93.474315937592294</v>
      </c>
      <c r="AN542">
        <v>0.99999999938203898</v>
      </c>
    </row>
    <row r="543" spans="1:40" x14ac:dyDescent="0.25">
      <c r="A543" t="str">
        <f>"20190305135206514"</f>
        <v>20190305135206514</v>
      </c>
      <c r="B543" t="str">
        <f>"1551765126510122"</f>
        <v>1551765126510122</v>
      </c>
      <c r="C543" t="s">
        <v>40</v>
      </c>
      <c r="D543">
        <v>5.0226670000000002</v>
      </c>
      <c r="E543">
        <v>0.55089219999999905</v>
      </c>
      <c r="F543" t="s">
        <v>47</v>
      </c>
      <c r="G543">
        <v>-302.3535</v>
      </c>
      <c r="H543">
        <v>-0.05</v>
      </c>
      <c r="I543">
        <v>365.46929999999998</v>
      </c>
      <c r="J543">
        <v>-338.45170000000002</v>
      </c>
      <c r="K543">
        <v>1.109345</v>
      </c>
      <c r="L543">
        <v>367.87959999999998</v>
      </c>
      <c r="M543">
        <v>0.99987099999999995</v>
      </c>
      <c r="N543">
        <v>-1.4574449999999999E-2</v>
      </c>
      <c r="O543">
        <v>6.7656230000000001E-3</v>
      </c>
      <c r="P543">
        <v>0.99573809999999996</v>
      </c>
      <c r="Q543">
        <v>-6.3303139999999994E-2</v>
      </c>
      <c r="R543">
        <v>6.707043E-2</v>
      </c>
      <c r="S543">
        <v>3.0202939999999998</v>
      </c>
      <c r="T543">
        <v>-9.6572160000000004E-2</v>
      </c>
      <c r="U543">
        <v>-0.20068359999999999</v>
      </c>
      <c r="V543">
        <v>-6.032071E-2</v>
      </c>
      <c r="W543">
        <v>-4.879091E-2</v>
      </c>
      <c r="X543">
        <v>0.99698589999999998</v>
      </c>
      <c r="Y543">
        <v>7.2993639999999999E-2</v>
      </c>
      <c r="Z543">
        <v>-1.815676E-3</v>
      </c>
      <c r="AA543">
        <v>0.99733070000000001</v>
      </c>
      <c r="AB543">
        <v>34</v>
      </c>
      <c r="AC543">
        <v>36.098199999999999</v>
      </c>
      <c r="AD543">
        <v>-1.1593450000000001</v>
      </c>
      <c r="AE543">
        <v>-2.4102999999999999</v>
      </c>
      <c r="AF543">
        <v>2.6517744825223502</v>
      </c>
      <c r="AG543">
        <v>-1.1593450000000001</v>
      </c>
      <c r="AH543">
        <v>36.044051586336003</v>
      </c>
      <c r="AI543">
        <v>91.837302496614598</v>
      </c>
      <c r="AJ543">
        <v>85.792308462339307</v>
      </c>
      <c r="AK543">
        <v>36.160055911096599</v>
      </c>
      <c r="AL543">
        <v>92.796623519937398</v>
      </c>
      <c r="AM543">
        <v>93.462350022543404</v>
      </c>
      <c r="AN543">
        <v>1.0000000128761699</v>
      </c>
    </row>
    <row r="544" spans="1:40" x14ac:dyDescent="0.25">
      <c r="A544" t="str">
        <f>"20190305135206528"</f>
        <v>20190305135206528</v>
      </c>
      <c r="B544" t="str">
        <f>"1551765126519881"</f>
        <v>1551765126519881</v>
      </c>
      <c r="C544" t="s">
        <v>40</v>
      </c>
      <c r="D544">
        <v>5.0287280000000001</v>
      </c>
      <c r="E544">
        <v>0.55099770000000003</v>
      </c>
      <c r="F544" t="s">
        <v>47</v>
      </c>
      <c r="G544">
        <v>-302.10759999999999</v>
      </c>
      <c r="H544">
        <v>-0.05</v>
      </c>
      <c r="I544">
        <v>365.44560000000001</v>
      </c>
      <c r="J544">
        <v>-338.23869999999999</v>
      </c>
      <c r="K544">
        <v>1.109337</v>
      </c>
      <c r="L544">
        <v>367.8811</v>
      </c>
      <c r="M544">
        <v>0.99987060000000005</v>
      </c>
      <c r="N544">
        <v>-1.4572119999999999E-2</v>
      </c>
      <c r="O544">
        <v>6.8182140000000004E-3</v>
      </c>
      <c r="P544">
        <v>0.99578009999999995</v>
      </c>
      <c r="Q544">
        <v>-6.2746179999999999E-2</v>
      </c>
      <c r="R544">
        <v>6.6971370000000002E-2</v>
      </c>
      <c r="S544">
        <v>3.0202939999999998</v>
      </c>
      <c r="T544">
        <v>-9.634471E-2</v>
      </c>
      <c r="U544">
        <v>-0.20227049999999999</v>
      </c>
      <c r="V544">
        <v>-6.01702E-2</v>
      </c>
      <c r="W544">
        <v>-4.823417E-2</v>
      </c>
      <c r="X544">
        <v>0.99702210000000002</v>
      </c>
      <c r="Y544">
        <v>7.3567560000000004E-2</v>
      </c>
      <c r="Z544">
        <v>-1.8265810000000001E-3</v>
      </c>
      <c r="AA544">
        <v>0.99728859999999997</v>
      </c>
      <c r="AB544">
        <v>34</v>
      </c>
      <c r="AC544">
        <v>36.131100000000004</v>
      </c>
      <c r="AD544">
        <v>-1.1593370000000001</v>
      </c>
      <c r="AE544">
        <v>-2.43549999999999</v>
      </c>
      <c r="AF544">
        <v>2.6790732775159101</v>
      </c>
      <c r="AG544">
        <v>-1.1593370000000001</v>
      </c>
      <c r="AH544">
        <v>36.076676901928401</v>
      </c>
      <c r="AI544">
        <v>91.835536376779999</v>
      </c>
      <c r="AJ544">
        <v>85.752980301993304</v>
      </c>
      <c r="AK544">
        <v>36.194586780235603</v>
      </c>
      <c r="AL544">
        <v>92.764687022958896</v>
      </c>
      <c r="AM544">
        <v>93.4536067381203</v>
      </c>
      <c r="AN544">
        <v>1.00000002800601</v>
      </c>
    </row>
    <row r="545" spans="1:40" x14ac:dyDescent="0.25">
      <c r="A545" t="str">
        <f>"20190305135206541"</f>
        <v>20190305135206541</v>
      </c>
      <c r="B545" t="str">
        <f>"1551765126530616"</f>
        <v>1551765126530616</v>
      </c>
      <c r="C545" t="s">
        <v>40</v>
      </c>
      <c r="D545">
        <v>5.0905630000000004</v>
      </c>
      <c r="E545">
        <v>0.55115439999999905</v>
      </c>
      <c r="F545" t="s">
        <v>47</v>
      </c>
      <c r="G545">
        <v>-301.37299999999999</v>
      </c>
      <c r="H545">
        <v>-0.05</v>
      </c>
      <c r="I545">
        <v>365.39890000000003</v>
      </c>
      <c r="J545">
        <v>-338.0401</v>
      </c>
      <c r="K545">
        <v>1.1093329999999999</v>
      </c>
      <c r="L545">
        <v>367.88249999999999</v>
      </c>
      <c r="M545">
        <v>0.9998705</v>
      </c>
      <c r="N545">
        <v>-1.456996E-2</v>
      </c>
      <c r="O545">
        <v>6.860395E-3</v>
      </c>
      <c r="P545">
        <v>0.9958534</v>
      </c>
      <c r="Q545">
        <v>-6.1697059999999998E-2</v>
      </c>
      <c r="R545">
        <v>6.685837E-2</v>
      </c>
      <c r="S545">
        <v>3.020416</v>
      </c>
      <c r="T545">
        <v>-9.4984890000000002E-2</v>
      </c>
      <c r="U545">
        <v>-0.2033691</v>
      </c>
      <c r="V545">
        <v>-6.0016319999999998E-2</v>
      </c>
      <c r="W545">
        <v>-4.7184940000000002E-2</v>
      </c>
      <c r="X545">
        <v>0.99708160000000001</v>
      </c>
      <c r="Y545">
        <v>7.3969129999999994E-2</v>
      </c>
      <c r="Z545">
        <v>-1.8167979999999999E-3</v>
      </c>
      <c r="AA545">
        <v>0.99725889999999995</v>
      </c>
      <c r="AB545">
        <v>34</v>
      </c>
      <c r="AC545">
        <v>36.667099999999998</v>
      </c>
      <c r="AD545">
        <v>-1.1593329999999999</v>
      </c>
      <c r="AE545">
        <v>-2.4835999999999601</v>
      </c>
      <c r="AF545">
        <v>2.7323999242985102</v>
      </c>
      <c r="AG545">
        <v>-1.1593329999999999</v>
      </c>
      <c r="AH545">
        <v>36.612762572328798</v>
      </c>
      <c r="AI545">
        <v>91.808622719003694</v>
      </c>
      <c r="AJ545">
        <v>85.731944523456406</v>
      </c>
      <c r="AK545">
        <v>36.732879624784601</v>
      </c>
      <c r="AL545">
        <v>92.704501983722295</v>
      </c>
      <c r="AM545">
        <v>93.444590668337398</v>
      </c>
      <c r="AN545">
        <v>1.0000000471438499</v>
      </c>
    </row>
    <row r="546" spans="1:40" x14ac:dyDescent="0.25">
      <c r="A546" t="str">
        <f>"20190305135206558"</f>
        <v>20190305135206558</v>
      </c>
      <c r="B546" t="str">
        <f>"1551765126550136"</f>
        <v>1551765126550136</v>
      </c>
      <c r="C546" t="s">
        <v>40</v>
      </c>
      <c r="D546">
        <v>5.0303269999999998</v>
      </c>
      <c r="E546">
        <v>0.55135409999999996</v>
      </c>
      <c r="F546" t="s">
        <v>47</v>
      </c>
      <c r="G546">
        <v>-299.61180000000002</v>
      </c>
      <c r="H546">
        <v>-0.05</v>
      </c>
      <c r="I546">
        <v>365.27659999999997</v>
      </c>
      <c r="J546">
        <v>-337.78289999999998</v>
      </c>
      <c r="K546">
        <v>1.109337</v>
      </c>
      <c r="L546">
        <v>367.8843</v>
      </c>
      <c r="M546">
        <v>0.99987020000000004</v>
      </c>
      <c r="N546">
        <v>-1.4567200000000001E-2</v>
      </c>
      <c r="O546">
        <v>6.9074480000000001E-3</v>
      </c>
      <c r="P546">
        <v>0.99603960000000002</v>
      </c>
      <c r="Q546">
        <v>-5.9631400000000001E-2</v>
      </c>
      <c r="R546">
        <v>6.5951319999999994E-2</v>
      </c>
      <c r="S546">
        <v>3.0206599999999999</v>
      </c>
      <c r="T546">
        <v>-9.1129299999999996E-2</v>
      </c>
      <c r="U546">
        <v>-0.20483399999999999</v>
      </c>
      <c r="V546">
        <v>-5.906202E-2</v>
      </c>
      <c r="W546">
        <v>-4.511801E-2</v>
      </c>
      <c r="X546">
        <v>0.99723419999999896</v>
      </c>
      <c r="Y546">
        <v>7.4495420000000007E-2</v>
      </c>
      <c r="Z546">
        <v>-1.7732169999999999E-3</v>
      </c>
      <c r="AA546">
        <v>0.99721979999999999</v>
      </c>
      <c r="AB546">
        <v>34</v>
      </c>
      <c r="AC546">
        <v>38.171099999999903</v>
      </c>
      <c r="AD546">
        <v>-1.1593370000000001</v>
      </c>
      <c r="AE546">
        <v>-2.6077000000000199</v>
      </c>
      <c r="AF546">
        <v>2.8686966197683201</v>
      </c>
      <c r="AG546">
        <v>-1.1593370000000001</v>
      </c>
      <c r="AH546">
        <v>38.117176277774703</v>
      </c>
      <c r="AI546">
        <v>91.737208846234196</v>
      </c>
      <c r="AJ546">
        <v>85.696036471802699</v>
      </c>
      <c r="AK546">
        <v>38.242549731506998</v>
      </c>
      <c r="AL546">
        <v>92.585949392374602</v>
      </c>
      <c r="AM546">
        <v>93.389430579923996</v>
      </c>
      <c r="AN546">
        <v>1.00000000334124</v>
      </c>
    </row>
    <row r="547" spans="1:40" x14ac:dyDescent="0.25">
      <c r="A547" t="str">
        <f>"20190305135206579"</f>
        <v>20190305135206579</v>
      </c>
      <c r="B547" t="str">
        <f>"1551765126569657"</f>
        <v>1551765126569657</v>
      </c>
      <c r="C547" t="s">
        <v>40</v>
      </c>
      <c r="D547">
        <v>5.0267059999999999</v>
      </c>
      <c r="E547">
        <v>0.55156930000000004</v>
      </c>
      <c r="F547" t="s">
        <v>47</v>
      </c>
      <c r="G547">
        <v>-296.15980000000002</v>
      </c>
      <c r="H547">
        <v>-0.05</v>
      </c>
      <c r="I547">
        <v>365.00259999999997</v>
      </c>
      <c r="J547">
        <v>-337.46199999999999</v>
      </c>
      <c r="K547">
        <v>1.109326</v>
      </c>
      <c r="L547">
        <v>367.88659999999999</v>
      </c>
      <c r="M547">
        <v>0.99986989999999998</v>
      </c>
      <c r="N547">
        <v>-1.4563639999999999E-2</v>
      </c>
      <c r="O547">
        <v>6.9568779999999997E-3</v>
      </c>
      <c r="P547">
        <v>0.99611400000000005</v>
      </c>
      <c r="Q547">
        <v>-5.9328029999999997E-2</v>
      </c>
      <c r="R547">
        <v>6.5096070000000006E-2</v>
      </c>
      <c r="S547">
        <v>3.0207820000000001</v>
      </c>
      <c r="T547">
        <v>-8.413851E-2</v>
      </c>
      <c r="U547">
        <v>-0.20913699999999999</v>
      </c>
      <c r="V547">
        <v>-5.8158349999999998E-2</v>
      </c>
      <c r="W547">
        <v>-4.4815569999999999E-2</v>
      </c>
      <c r="X547">
        <v>0.99730090000000005</v>
      </c>
      <c r="Y547">
        <v>7.5961399999999998E-2</v>
      </c>
      <c r="Z547">
        <v>-1.702732E-3</v>
      </c>
      <c r="AA547">
        <v>0.99710929999999998</v>
      </c>
      <c r="AB547">
        <v>34</v>
      </c>
      <c r="AC547">
        <v>41.3021999999999</v>
      </c>
      <c r="AD547">
        <v>-1.1593260000000001</v>
      </c>
      <c r="AE547">
        <v>-2.8840000000000101</v>
      </c>
      <c r="AF547">
        <v>3.1688104368787502</v>
      </c>
      <c r="AG547">
        <v>-1.1593260000000001</v>
      </c>
      <c r="AH547">
        <v>41.248792780441299</v>
      </c>
      <c r="AI547">
        <v>91.605186767012597</v>
      </c>
      <c r="AJ547">
        <v>85.607057872525502</v>
      </c>
      <c r="AK547">
        <v>41.3865715202761</v>
      </c>
      <c r="AL547">
        <v>92.568603429887006</v>
      </c>
      <c r="AM547">
        <v>93.337466510791302</v>
      </c>
      <c r="AN547">
        <v>0.99999995706497702</v>
      </c>
    </row>
    <row r="548" spans="1:40" x14ac:dyDescent="0.25">
      <c r="A548" t="str">
        <f>"20190305135206593"</f>
        <v>20190305135206593</v>
      </c>
      <c r="B548" t="str">
        <f>"1551765126590153"</f>
        <v>1551765126590153</v>
      </c>
      <c r="C548" t="s">
        <v>40</v>
      </c>
      <c r="D548">
        <v>4.9909999999999997</v>
      </c>
      <c r="E548">
        <v>0.55177569999999998</v>
      </c>
      <c r="F548" t="s">
        <v>47</v>
      </c>
      <c r="G548">
        <v>-295.3451</v>
      </c>
      <c r="H548">
        <v>-0.05</v>
      </c>
      <c r="I548">
        <v>364.90390000000002</v>
      </c>
      <c r="J548">
        <v>-337.2704</v>
      </c>
      <c r="K548">
        <v>1.109316</v>
      </c>
      <c r="L548">
        <v>367.88799999999998</v>
      </c>
      <c r="M548">
        <v>0.99986960000000003</v>
      </c>
      <c r="N548">
        <v>-1.45615E-2</v>
      </c>
      <c r="O548">
        <v>6.9828479999999998E-3</v>
      </c>
      <c r="P548">
        <v>0.99612290000000003</v>
      </c>
      <c r="Q548">
        <v>-5.9627119999999999E-2</v>
      </c>
      <c r="R548">
        <v>6.468409E-2</v>
      </c>
      <c r="S548">
        <v>3.0207519999999999</v>
      </c>
      <c r="T548">
        <v>-8.3150390000000005E-2</v>
      </c>
      <c r="U548">
        <v>-0.21392820000000001</v>
      </c>
      <c r="V548">
        <v>-5.772149E-2</v>
      </c>
      <c r="W548">
        <v>-4.5115860000000001E-2</v>
      </c>
      <c r="X548">
        <v>0.9973128</v>
      </c>
      <c r="Y548">
        <v>7.7561660000000004E-2</v>
      </c>
      <c r="Z548">
        <v>-1.7219689999999901E-3</v>
      </c>
      <c r="AA548">
        <v>0.99698609999999999</v>
      </c>
      <c r="AB548">
        <v>34</v>
      </c>
      <c r="AC548">
        <v>41.925299999999901</v>
      </c>
      <c r="AD548">
        <v>-1.159316</v>
      </c>
      <c r="AE548">
        <v>-2.98410000000001</v>
      </c>
      <c r="AF548">
        <v>3.2743252416440498</v>
      </c>
      <c r="AG548">
        <v>-1.159316</v>
      </c>
      <c r="AH548">
        <v>41.871583016486802</v>
      </c>
      <c r="AI548">
        <v>91.581142380281193</v>
      </c>
      <c r="AJ548">
        <v>85.528614118874103</v>
      </c>
      <c r="AK548">
        <v>42.015410073953497</v>
      </c>
      <c r="AL548">
        <v>92.585826047770894</v>
      </c>
      <c r="AM548">
        <v>93.312413525089397</v>
      </c>
      <c r="AN548">
        <v>1.0000000161375899</v>
      </c>
    </row>
    <row r="549" spans="1:40" x14ac:dyDescent="0.25">
      <c r="A549" t="str">
        <f>"20190305135206613"</f>
        <v>20190305135206613</v>
      </c>
      <c r="B549" t="str">
        <f>"1551765126610112"</f>
        <v>1551765126610112</v>
      </c>
      <c r="C549" t="s">
        <v>40</v>
      </c>
      <c r="D549">
        <v>5.068384</v>
      </c>
      <c r="E549">
        <v>0.55200419999999994</v>
      </c>
      <c r="F549" t="s">
        <v>47</v>
      </c>
      <c r="G549">
        <v>-295.4776</v>
      </c>
      <c r="H549">
        <v>-0.05</v>
      </c>
      <c r="I549">
        <v>364.89010000000002</v>
      </c>
      <c r="J549">
        <v>-336.9588</v>
      </c>
      <c r="K549">
        <v>1.1093090000000001</v>
      </c>
      <c r="L549">
        <v>367.89010000000002</v>
      </c>
      <c r="M549">
        <v>0.99986940000000002</v>
      </c>
      <c r="N549">
        <v>-1.4558059999999999E-2</v>
      </c>
      <c r="O549">
        <v>7.0205409999999999E-3</v>
      </c>
      <c r="P549">
        <v>0.99608830000000004</v>
      </c>
      <c r="Q549">
        <v>-6.062642E-2</v>
      </c>
      <c r="R549">
        <v>6.4285239999999993E-2</v>
      </c>
      <c r="S549">
        <v>3.0206909999999998</v>
      </c>
      <c r="T549">
        <v>-8.3792809999999995E-2</v>
      </c>
      <c r="U549">
        <v>-0.2166748</v>
      </c>
      <c r="V549">
        <v>-5.7285139999999998E-2</v>
      </c>
      <c r="W549">
        <v>-4.6118020000000003E-2</v>
      </c>
      <c r="X549">
        <v>0.99729210000000001</v>
      </c>
      <c r="Y549">
        <v>7.8501420000000002E-2</v>
      </c>
      <c r="Z549">
        <v>-1.751945E-3</v>
      </c>
      <c r="AA549">
        <v>0.99691249999999998</v>
      </c>
      <c r="AB549">
        <v>34</v>
      </c>
      <c r="AC549">
        <v>41.481200000000001</v>
      </c>
      <c r="AD549">
        <v>-1.1593089999999999</v>
      </c>
      <c r="AE549">
        <v>-3</v>
      </c>
      <c r="AF549">
        <v>3.2886220626518701</v>
      </c>
      <c r="AG549">
        <v>-1.1593089999999999</v>
      </c>
      <c r="AH549">
        <v>41.426924256275299</v>
      </c>
      <c r="AI549">
        <v>91.597947143405193</v>
      </c>
      <c r="AJ549">
        <v>85.461167926210194</v>
      </c>
      <c r="AK549">
        <v>41.573418018772699</v>
      </c>
      <c r="AL549">
        <v>92.643305476962993</v>
      </c>
      <c r="AM549">
        <v>93.287496296257601</v>
      </c>
      <c r="AN549">
        <v>0.99999999587797495</v>
      </c>
    </row>
    <row r="550" spans="1:40" x14ac:dyDescent="0.25">
      <c r="A550" t="str">
        <f>"20190305135206627"</f>
        <v>20190305135206627</v>
      </c>
      <c r="B550" t="str">
        <f>"1551765126620409"</f>
        <v>1551765126620409</v>
      </c>
      <c r="C550" t="s">
        <v>40</v>
      </c>
      <c r="D550">
        <v>5.0346840000000004</v>
      </c>
      <c r="E550">
        <v>0.55207569999999995</v>
      </c>
      <c r="F550" t="s">
        <v>47</v>
      </c>
      <c r="G550">
        <v>-296.15940000000001</v>
      </c>
      <c r="H550">
        <v>-0.05</v>
      </c>
      <c r="I550">
        <v>364.92160000000001</v>
      </c>
      <c r="J550">
        <v>-336.75970000000001</v>
      </c>
      <c r="K550">
        <v>1.109305</v>
      </c>
      <c r="L550">
        <v>367.89150000000001</v>
      </c>
      <c r="M550">
        <v>0.99986929999999996</v>
      </c>
      <c r="N550">
        <v>-1.455587E-2</v>
      </c>
      <c r="O550">
        <v>7.042848E-3</v>
      </c>
      <c r="P550">
        <v>0.99608929999999996</v>
      </c>
      <c r="Q550">
        <v>-6.1173699999999998E-2</v>
      </c>
      <c r="R550">
        <v>6.3749310000000003E-2</v>
      </c>
      <c r="S550">
        <v>3.0207519999999999</v>
      </c>
      <c r="T550">
        <v>-8.5834259999999996E-2</v>
      </c>
      <c r="U550">
        <v>-0.2197876</v>
      </c>
      <c r="V550">
        <v>-5.6727779999999998E-2</v>
      </c>
      <c r="W550">
        <v>-4.6666920000000001E-2</v>
      </c>
      <c r="X550">
        <v>0.99729840000000003</v>
      </c>
      <c r="Y550">
        <v>7.9541580000000001E-2</v>
      </c>
      <c r="Z550">
        <v>-1.805692E-3</v>
      </c>
      <c r="AA550">
        <v>0.99682990000000005</v>
      </c>
      <c r="AB550">
        <v>34</v>
      </c>
      <c r="AC550">
        <v>40.600299999999997</v>
      </c>
      <c r="AD550">
        <v>-1.159305</v>
      </c>
      <c r="AE550">
        <v>-2.9698999999999902</v>
      </c>
      <c r="AF550">
        <v>3.2531600492575201</v>
      </c>
      <c r="AG550">
        <v>-1.159305</v>
      </c>
      <c r="AH550">
        <v>40.545491808666903</v>
      </c>
      <c r="AI550">
        <v>91.632551098380404</v>
      </c>
      <c r="AJ550">
        <v>85.412710617919302</v>
      </c>
      <c r="AK550">
        <v>40.692308172377999</v>
      </c>
      <c r="AL550">
        <v>92.674789097342398</v>
      </c>
      <c r="AM550">
        <v>93.2555589752467</v>
      </c>
      <c r="AN550">
        <v>0.99999997054428702</v>
      </c>
    </row>
    <row r="551" spans="1:40" x14ac:dyDescent="0.25">
      <c r="A551" t="str">
        <f>"20190305135206637"</f>
        <v>20190305135206637</v>
      </c>
      <c r="B551" t="str">
        <f>"1551765126630169"</f>
        <v>1551765126630169</v>
      </c>
      <c r="C551" t="s">
        <v>40</v>
      </c>
      <c r="D551">
        <v>5.0212469999999998</v>
      </c>
      <c r="E551">
        <v>0.55215539999999996</v>
      </c>
      <c r="F551" t="s">
        <v>47</v>
      </c>
      <c r="G551">
        <v>-296.91019999999997</v>
      </c>
      <c r="H551">
        <v>-0.05</v>
      </c>
      <c r="I551">
        <v>364.96300000000002</v>
      </c>
      <c r="J551">
        <v>-336.58339999999998</v>
      </c>
      <c r="K551">
        <v>1.109302</v>
      </c>
      <c r="L551">
        <v>367.89280000000002</v>
      </c>
      <c r="M551">
        <v>0.99986920000000001</v>
      </c>
      <c r="N551">
        <v>-1.455392E-2</v>
      </c>
      <c r="O551">
        <v>7.0621299999999998E-3</v>
      </c>
      <c r="P551">
        <v>0.99607809999999997</v>
      </c>
      <c r="Q551">
        <v>-6.1442169999999997E-2</v>
      </c>
      <c r="R551">
        <v>6.3664620000000005E-2</v>
      </c>
      <c r="S551">
        <v>3.0206599999999999</v>
      </c>
      <c r="T551">
        <v>-8.7877269999999993E-2</v>
      </c>
      <c r="U551">
        <v>-0.22198490000000001</v>
      </c>
      <c r="V551">
        <v>-5.6623859999999998E-2</v>
      </c>
      <c r="W551">
        <v>-4.6937140000000002E-2</v>
      </c>
      <c r="X551">
        <v>0.99729159999999994</v>
      </c>
      <c r="Y551">
        <v>8.0281749999999999E-2</v>
      </c>
      <c r="Z551">
        <v>-1.8536850000000001E-3</v>
      </c>
      <c r="AA551">
        <v>0.9967705</v>
      </c>
      <c r="AB551">
        <v>34</v>
      </c>
      <c r="AC551">
        <v>39.673200000000001</v>
      </c>
      <c r="AD551">
        <v>-1.1593020000000001</v>
      </c>
      <c r="AE551">
        <v>-2.9298000000000002</v>
      </c>
      <c r="AF551">
        <v>3.2072101520529999</v>
      </c>
      <c r="AG551">
        <v>-1.1593020000000001</v>
      </c>
      <c r="AH551">
        <v>39.617872069683401</v>
      </c>
      <c r="AI551">
        <v>91.670654087741994</v>
      </c>
      <c r="AJ551">
        <v>85.371791944757007</v>
      </c>
      <c r="AK551">
        <v>39.764380611502503</v>
      </c>
      <c r="AL551">
        <v>92.690288613918497</v>
      </c>
      <c r="AM551">
        <v>93.249629997805499</v>
      </c>
      <c r="AN551">
        <v>0.99999994603161801</v>
      </c>
    </row>
    <row r="552" spans="1:40" x14ac:dyDescent="0.25">
      <c r="A552" t="str">
        <f>"20190305135206649"</f>
        <v>20190305135206649</v>
      </c>
      <c r="B552" t="str">
        <f>"1551765126639929"</f>
        <v>1551765126639929</v>
      </c>
      <c r="C552" t="s">
        <v>40</v>
      </c>
      <c r="D552">
        <v>5.0066410000000001</v>
      </c>
      <c r="E552">
        <v>0.55222590000000005</v>
      </c>
      <c r="F552" t="s">
        <v>47</v>
      </c>
      <c r="G552">
        <v>-297.13630000000001</v>
      </c>
      <c r="H552">
        <v>-0.05</v>
      </c>
      <c r="I552">
        <v>364.9871</v>
      </c>
      <c r="J552">
        <v>-336.41660000000002</v>
      </c>
      <c r="K552">
        <v>1.109302</v>
      </c>
      <c r="L552">
        <v>367.89400000000001</v>
      </c>
      <c r="M552">
        <v>0.99986909999999896</v>
      </c>
      <c r="N552">
        <v>-1.455209E-2</v>
      </c>
      <c r="O552">
        <v>7.0802259999999898E-3</v>
      </c>
      <c r="P552">
        <v>0.99609340000000002</v>
      </c>
      <c r="Q552">
        <v>-6.1567839999999999E-2</v>
      </c>
      <c r="R552">
        <v>6.3305899999999998E-2</v>
      </c>
      <c r="S552">
        <v>3.0205690000000001</v>
      </c>
      <c r="T552">
        <v>-8.8770749999999995E-2</v>
      </c>
      <c r="U552">
        <v>-0.2225037</v>
      </c>
      <c r="V552">
        <v>-5.624738E-2</v>
      </c>
      <c r="W552">
        <v>-4.706407E-2</v>
      </c>
      <c r="X552">
        <v>0.99730700000000005</v>
      </c>
      <c r="Y552">
        <v>8.0471249999999994E-2</v>
      </c>
      <c r="Z552">
        <v>-1.8720290000000001E-3</v>
      </c>
      <c r="AA552">
        <v>0.99675519999999995</v>
      </c>
      <c r="AB552">
        <v>34</v>
      </c>
      <c r="AC552">
        <v>39.280299999999997</v>
      </c>
      <c r="AD552">
        <v>-1.1593020000000001</v>
      </c>
      <c r="AE552">
        <v>-2.9068999999999998</v>
      </c>
      <c r="AF552">
        <v>3.1822131883988498</v>
      </c>
      <c r="AG552">
        <v>-1.1593020000000001</v>
      </c>
      <c r="AH552">
        <v>39.224750879235003</v>
      </c>
      <c r="AI552">
        <v>91.687364574800796</v>
      </c>
      <c r="AJ552">
        <v>85.361883880367003</v>
      </c>
      <c r="AK552">
        <v>39.370693966981001</v>
      </c>
      <c r="AL552">
        <v>92.697569004972294</v>
      </c>
      <c r="AM552">
        <v>93.228020003546206</v>
      </c>
      <c r="AN552">
        <v>1.00000002334541</v>
      </c>
    </row>
    <row r="553" spans="1:40" x14ac:dyDescent="0.25">
      <c r="A553" t="str">
        <f>"20190305135206660"</f>
        <v>20190305135206660</v>
      </c>
      <c r="B553" t="str">
        <f>"1551765126649689"</f>
        <v>1551765126649689</v>
      </c>
      <c r="C553" t="s">
        <v>40</v>
      </c>
      <c r="D553">
        <v>4.9856220000000002</v>
      </c>
      <c r="E553">
        <v>0.55233569999999999</v>
      </c>
      <c r="F553" t="s">
        <v>47</v>
      </c>
      <c r="G553">
        <v>-297.17349999999999</v>
      </c>
      <c r="H553">
        <v>-0.05</v>
      </c>
      <c r="I553">
        <v>364.98099999999999</v>
      </c>
      <c r="J553">
        <v>-336.24430000000001</v>
      </c>
      <c r="K553">
        <v>1.1092979999999999</v>
      </c>
      <c r="L553">
        <v>367.89530000000002</v>
      </c>
      <c r="M553">
        <v>0.99986889999999995</v>
      </c>
      <c r="N553">
        <v>-1.4550209999999999E-2</v>
      </c>
      <c r="O553">
        <v>7.0985060000000001E-3</v>
      </c>
      <c r="P553">
        <v>0.99608240000000003</v>
      </c>
      <c r="Q553">
        <v>-6.1929049999999999E-2</v>
      </c>
      <c r="R553">
        <v>6.3126740000000001E-2</v>
      </c>
      <c r="S553">
        <v>3.0204770000000001</v>
      </c>
      <c r="T553">
        <v>-8.9229580000000003E-2</v>
      </c>
      <c r="U553">
        <v>-0.22421260000000001</v>
      </c>
      <c r="V553">
        <v>-5.6050490000000001E-2</v>
      </c>
      <c r="W553">
        <v>-4.7427049999999998E-2</v>
      </c>
      <c r="X553">
        <v>0.99730090000000005</v>
      </c>
      <c r="Y553">
        <v>8.1051739999999997E-2</v>
      </c>
      <c r="Z553">
        <v>-1.892234E-3</v>
      </c>
      <c r="AA553">
        <v>0.99670809999999999</v>
      </c>
      <c r="AB553">
        <v>34</v>
      </c>
      <c r="AC553">
        <v>39.070799999999998</v>
      </c>
      <c r="AD553">
        <v>-1.1592979999999999</v>
      </c>
      <c r="AE553">
        <v>-2.9143000000000199</v>
      </c>
      <c r="AF553">
        <v>3.1888083131882099</v>
      </c>
      <c r="AG553">
        <v>-1.1592979999999999</v>
      </c>
      <c r="AH553">
        <v>39.014966883913601</v>
      </c>
      <c r="AI553">
        <v>91.696343408825598</v>
      </c>
      <c r="AJ553">
        <v>85.3274331604445</v>
      </c>
      <c r="AK553">
        <v>39.162228119246898</v>
      </c>
      <c r="AL553">
        <v>92.718389448266905</v>
      </c>
      <c r="AM553">
        <v>93.2167639509385</v>
      </c>
      <c r="AN553">
        <v>1.0000000338208701</v>
      </c>
    </row>
    <row r="554" spans="1:40" x14ac:dyDescent="0.25">
      <c r="A554" t="str">
        <f>"20190305135206673"</f>
        <v>20190305135206673</v>
      </c>
      <c r="B554" t="str">
        <f>"1551765126660425"</f>
        <v>1551765126660425</v>
      </c>
      <c r="C554" t="s">
        <v>40</v>
      </c>
      <c r="D554">
        <v>5.0069569999999999</v>
      </c>
      <c r="E554">
        <v>0.55248280000000005</v>
      </c>
      <c r="F554" t="s">
        <v>47</v>
      </c>
      <c r="G554">
        <v>-297.28449999999998</v>
      </c>
      <c r="H554">
        <v>-0.05</v>
      </c>
      <c r="I554">
        <v>364.98509999999999</v>
      </c>
      <c r="J554">
        <v>-336.07389999999998</v>
      </c>
      <c r="K554">
        <v>1.109294</v>
      </c>
      <c r="L554">
        <v>367.8965</v>
      </c>
      <c r="M554">
        <v>0.99986889999999995</v>
      </c>
      <c r="N554">
        <v>-1.454836E-2</v>
      </c>
      <c r="O554">
        <v>7.1166729999999996E-3</v>
      </c>
      <c r="P554">
        <v>0.99605630000000001</v>
      </c>
      <c r="Q554">
        <v>-6.236324E-2</v>
      </c>
      <c r="R554">
        <v>6.311071E-2</v>
      </c>
      <c r="S554">
        <v>3.020508</v>
      </c>
      <c r="T554">
        <v>-8.9878920000000001E-2</v>
      </c>
      <c r="U554">
        <v>-0.2256165</v>
      </c>
      <c r="V554">
        <v>-5.6016499999999997E-2</v>
      </c>
      <c r="W554">
        <v>-4.7863200000000002E-2</v>
      </c>
      <c r="X554">
        <v>0.997282</v>
      </c>
      <c r="Y554">
        <v>8.1528790000000004E-2</v>
      </c>
      <c r="Z554">
        <v>-1.9132039999999999E-3</v>
      </c>
      <c r="AA554">
        <v>0.99666920000000003</v>
      </c>
      <c r="AB554">
        <v>34</v>
      </c>
      <c r="AC554">
        <v>38.789400000000001</v>
      </c>
      <c r="AD554">
        <v>-1.159294</v>
      </c>
      <c r="AE554">
        <v>-2.9114000000000102</v>
      </c>
      <c r="AF554">
        <v>3.1845783230475999</v>
      </c>
      <c r="AG554">
        <v>-1.159294</v>
      </c>
      <c r="AH554">
        <v>38.733292075948299</v>
      </c>
      <c r="AI554">
        <v>91.708598854094006</v>
      </c>
      <c r="AJ554">
        <v>85.299820683837694</v>
      </c>
      <c r="AK554">
        <v>38.881273342250203</v>
      </c>
      <c r="AL554">
        <v>92.743407339880804</v>
      </c>
      <c r="AM554">
        <v>93.214878139560895</v>
      </c>
      <c r="AN554">
        <v>1.00000006085524</v>
      </c>
    </row>
    <row r="555" spans="1:40" x14ac:dyDescent="0.25">
      <c r="A555" t="str">
        <f>"20190305135206684"</f>
        <v>20190305135206684</v>
      </c>
      <c r="B555" t="str">
        <f>"1551765126679945"</f>
        <v>1551765126679945</v>
      </c>
      <c r="C555" t="s">
        <v>40</v>
      </c>
      <c r="D555">
        <v>5.2685029999999999</v>
      </c>
      <c r="E555">
        <v>0.58231880000000003</v>
      </c>
      <c r="F555" t="s">
        <v>47</v>
      </c>
      <c r="G555">
        <v>-297.44060000000002</v>
      </c>
      <c r="H555">
        <v>-0.05</v>
      </c>
      <c r="I555">
        <v>364.99450000000002</v>
      </c>
      <c r="J555">
        <v>-335.88780000000003</v>
      </c>
      <c r="K555">
        <v>1.1092900000000001</v>
      </c>
      <c r="L555">
        <v>367.89789999999999</v>
      </c>
      <c r="M555">
        <v>0.9998688</v>
      </c>
      <c r="N555">
        <v>-1.454634E-2</v>
      </c>
      <c r="O555">
        <v>7.1364499999999999E-3</v>
      </c>
      <c r="P555">
        <v>0.99600880000000003</v>
      </c>
      <c r="Q555">
        <v>-6.3143900000000003E-2</v>
      </c>
      <c r="R555">
        <v>6.3083570000000005E-2</v>
      </c>
      <c r="S555">
        <v>3.0205690000000001</v>
      </c>
      <c r="T555">
        <v>-9.0639830000000005E-2</v>
      </c>
      <c r="U555">
        <v>-0.22689819999999999</v>
      </c>
      <c r="V555">
        <v>-5.5970150000000003E-2</v>
      </c>
      <c r="W555">
        <v>-4.8646269999999998E-2</v>
      </c>
      <c r="X555">
        <v>0.99724659999999998</v>
      </c>
      <c r="Y555">
        <v>8.1966499999999998E-2</v>
      </c>
      <c r="Z555">
        <v>-1.9351870000000001E-3</v>
      </c>
      <c r="AA555">
        <v>0.9966332</v>
      </c>
      <c r="AB555">
        <v>33</v>
      </c>
      <c r="AC555">
        <v>38.447200000000002</v>
      </c>
      <c r="AD555">
        <v>-1.1592899999999999</v>
      </c>
      <c r="AE555">
        <v>-2.9033999999999698</v>
      </c>
      <c r="AF555">
        <v>3.1748613990175798</v>
      </c>
      <c r="AG555">
        <v>-1.1592899999999999</v>
      </c>
      <c r="AH555">
        <v>38.3907919746594</v>
      </c>
      <c r="AI555">
        <v>91.723759087047</v>
      </c>
      <c r="AJ555">
        <v>85.272481898238297</v>
      </c>
      <c r="AK555">
        <v>38.539286535282997</v>
      </c>
      <c r="AL555">
        <v>92.788326583602696</v>
      </c>
      <c r="AM555">
        <v>93.212337398350599</v>
      </c>
      <c r="AN555">
        <v>0.99999994924374602</v>
      </c>
    </row>
    <row r="556" spans="1:40" x14ac:dyDescent="0.25">
      <c r="A556" t="str">
        <f>"20190305135206702"</f>
        <v>20190305135206702</v>
      </c>
      <c r="B556" t="str">
        <f>"1551765126689705"</f>
        <v>1551765126689705</v>
      </c>
      <c r="C556" t="s">
        <v>40</v>
      </c>
      <c r="D556">
        <v>5.1873620000000003</v>
      </c>
      <c r="E556">
        <v>0.59266669999999999</v>
      </c>
      <c r="F556" t="s">
        <v>47</v>
      </c>
      <c r="G556">
        <v>-307.21660000000003</v>
      </c>
      <c r="H556">
        <v>-0.05</v>
      </c>
      <c r="I556">
        <v>363.50490000000002</v>
      </c>
      <c r="J556">
        <v>-335.63229999999999</v>
      </c>
      <c r="K556">
        <v>1.1092850000000001</v>
      </c>
      <c r="L556">
        <v>367.8997</v>
      </c>
      <c r="M556">
        <v>0.9998686</v>
      </c>
      <c r="N556">
        <v>-1.454361E-2</v>
      </c>
      <c r="O556">
        <v>7.1645160000000001E-3</v>
      </c>
      <c r="P556">
        <v>0.99592270000000005</v>
      </c>
      <c r="Q556">
        <v>-6.4402669999999995E-2</v>
      </c>
      <c r="R556">
        <v>6.3168730000000006E-2</v>
      </c>
      <c r="S556">
        <v>3.0336910000000001</v>
      </c>
      <c r="T556">
        <v>-0.1226645</v>
      </c>
      <c r="U556">
        <v>-0.46481319999999998</v>
      </c>
      <c r="V556">
        <v>-5.6028469999999997E-2</v>
      </c>
      <c r="W556">
        <v>-4.9908660000000001E-2</v>
      </c>
      <c r="X556">
        <v>0.99718099999999998</v>
      </c>
      <c r="Y556">
        <v>0.1583532</v>
      </c>
      <c r="Z556">
        <v>-4.5248390000000001E-3</v>
      </c>
      <c r="AA556">
        <v>0.98737220000000003</v>
      </c>
      <c r="AB556">
        <v>33</v>
      </c>
      <c r="AC556">
        <v>28.415699999999902</v>
      </c>
      <c r="AD556">
        <v>-1.1592849999999999</v>
      </c>
      <c r="AE556">
        <v>-4.3947999999999698</v>
      </c>
      <c r="AF556">
        <v>4.5908308669218103</v>
      </c>
      <c r="AG556">
        <v>-1.1592849999999999</v>
      </c>
      <c r="AH556">
        <v>28.337416991959302</v>
      </c>
      <c r="AI556">
        <v>92.312548995660194</v>
      </c>
      <c r="AJ556">
        <v>80.7976932483773</v>
      </c>
      <c r="AK556">
        <v>28.7302779578634</v>
      </c>
      <c r="AL556">
        <v>92.860744028939706</v>
      </c>
      <c r="AM556">
        <v>93.215888682391807</v>
      </c>
      <c r="AN556">
        <v>1.00000000527726</v>
      </c>
    </row>
    <row r="557" spans="1:40" x14ac:dyDescent="0.25">
      <c r="A557" t="str">
        <f>"20190305135206713"</f>
        <v>20190305135206713</v>
      </c>
      <c r="B557" t="str">
        <f>"1551765126710201"</f>
        <v>1551765126710201</v>
      </c>
      <c r="C557" t="s">
        <v>40</v>
      </c>
      <c r="D557">
        <v>5.3210369999999996</v>
      </c>
      <c r="E557">
        <v>0.601128</v>
      </c>
      <c r="F557" t="s">
        <v>47</v>
      </c>
      <c r="G557">
        <v>-307.7867</v>
      </c>
      <c r="H557">
        <v>-0.05</v>
      </c>
      <c r="I557">
        <v>362.88900000000001</v>
      </c>
      <c r="J557">
        <v>-335.46039999999999</v>
      </c>
      <c r="K557">
        <v>1.1092820000000001</v>
      </c>
      <c r="L557">
        <v>367.90089999999998</v>
      </c>
      <c r="M557">
        <v>0.99986850000000005</v>
      </c>
      <c r="N557">
        <v>-1.4541760000000001E-2</v>
      </c>
      <c r="O557">
        <v>7.1833519999999996E-3</v>
      </c>
      <c r="P557">
        <v>0.99587610000000004</v>
      </c>
      <c r="Q557">
        <v>-6.4970559999999997E-2</v>
      </c>
      <c r="R557">
        <v>6.3323610000000002E-2</v>
      </c>
      <c r="S557">
        <v>3.0387879999999998</v>
      </c>
      <c r="T557">
        <v>-0.12651229999999999</v>
      </c>
      <c r="U557">
        <v>-0.54681400000000002</v>
      </c>
      <c r="V557">
        <v>-5.6164760000000001E-2</v>
      </c>
      <c r="W557">
        <v>-5.0478889999999998E-2</v>
      </c>
      <c r="X557">
        <v>0.99714460000000005</v>
      </c>
      <c r="Y557">
        <v>0.18395400000000001</v>
      </c>
      <c r="Z557">
        <v>-5.3391269999999999E-3</v>
      </c>
      <c r="AA557">
        <v>0.98292029999999997</v>
      </c>
      <c r="AB557">
        <v>33</v>
      </c>
      <c r="AC557">
        <v>27.6737</v>
      </c>
      <c r="AD557">
        <v>-1.1592819999999999</v>
      </c>
      <c r="AE557">
        <v>-5.0118999999999598</v>
      </c>
      <c r="AF557">
        <v>5.2017431462683197</v>
      </c>
      <c r="AG557">
        <v>-1.1592819999999999</v>
      </c>
      <c r="AH557">
        <v>27.5901005274977</v>
      </c>
      <c r="AI557">
        <v>92.364433514239707</v>
      </c>
      <c r="AJ557">
        <v>79.322981027957098</v>
      </c>
      <c r="AK557">
        <v>28.100101665878402</v>
      </c>
      <c r="AL557">
        <v>92.8934571212896</v>
      </c>
      <c r="AM557">
        <v>93.223812325917706</v>
      </c>
      <c r="AN557">
        <v>0.99999997595532397</v>
      </c>
    </row>
    <row r="558" spans="1:40" x14ac:dyDescent="0.25">
      <c r="A558" t="str">
        <f>"20190305135206723"</f>
        <v>20190305135206723</v>
      </c>
      <c r="B558" t="str">
        <f>"1551765126719961"</f>
        <v>1551765126719961</v>
      </c>
      <c r="C558" t="s">
        <v>40</v>
      </c>
      <c r="D558">
        <v>5.2565210000000002</v>
      </c>
      <c r="E558">
        <v>0.60311269999999995</v>
      </c>
      <c r="F558" t="s">
        <v>47</v>
      </c>
      <c r="G558">
        <v>-313.07799999999997</v>
      </c>
      <c r="H558">
        <v>-0.05</v>
      </c>
      <c r="I558">
        <v>363.3811</v>
      </c>
      <c r="J558">
        <v>-335.2955</v>
      </c>
      <c r="K558">
        <v>1.1092839999999999</v>
      </c>
      <c r="L558">
        <v>367.90219999999999</v>
      </c>
      <c r="M558">
        <v>0.99986839999999999</v>
      </c>
      <c r="N558">
        <v>-1.4539979999999999E-2</v>
      </c>
      <c r="O558">
        <v>7.2012949999999999E-3</v>
      </c>
      <c r="P558">
        <v>0.99587820000000005</v>
      </c>
      <c r="Q558">
        <v>-6.4783430000000003E-2</v>
      </c>
      <c r="R558">
        <v>6.3482559999999993E-2</v>
      </c>
      <c r="S558">
        <v>3.041229</v>
      </c>
      <c r="T558">
        <v>-0.15751780000000001</v>
      </c>
      <c r="U558">
        <v>-0.61413569999999995</v>
      </c>
      <c r="V558">
        <v>-5.6305550000000003E-2</v>
      </c>
      <c r="W558">
        <v>-5.0293419999999998E-2</v>
      </c>
      <c r="X558">
        <v>0.99714610000000004</v>
      </c>
      <c r="Y558">
        <v>0.20465050000000001</v>
      </c>
      <c r="Z558">
        <v>-7.0129550000000004E-3</v>
      </c>
      <c r="AA558">
        <v>0.97880999999999996</v>
      </c>
      <c r="AB558">
        <v>33</v>
      </c>
      <c r="AC558">
        <v>22.217500000000001</v>
      </c>
      <c r="AD558">
        <v>-1.159284</v>
      </c>
      <c r="AE558">
        <v>-4.5210999999999899</v>
      </c>
      <c r="AF558">
        <v>4.6687884612349899</v>
      </c>
      <c r="AG558">
        <v>-1.159284</v>
      </c>
      <c r="AH558">
        <v>22.126515564805601</v>
      </c>
      <c r="AI558">
        <v>92.934678085215296</v>
      </c>
      <c r="AJ558">
        <v>78.085123938472293</v>
      </c>
      <c r="AK558">
        <v>22.6434144096689</v>
      </c>
      <c r="AL558">
        <v>92.882816761733693</v>
      </c>
      <c r="AM558">
        <v>93.231871598664895</v>
      </c>
      <c r="AN558">
        <v>1.00000004390065</v>
      </c>
    </row>
    <row r="559" spans="1:40" x14ac:dyDescent="0.25">
      <c r="A559" t="str">
        <f>"20190305135206749"</f>
        <v>20190305135206749</v>
      </c>
      <c r="B559" t="str">
        <f>"1551765126740458"</f>
        <v>1551765126740458</v>
      </c>
      <c r="C559" t="s">
        <v>40</v>
      </c>
      <c r="D559">
        <v>5.2469289999999997</v>
      </c>
      <c r="E559">
        <v>0.60568949999999999</v>
      </c>
      <c r="F559" t="s">
        <v>47</v>
      </c>
      <c r="G559">
        <v>-313.41129999999998</v>
      </c>
      <c r="H559">
        <v>-0.05</v>
      </c>
      <c r="I559">
        <v>363.37220000000002</v>
      </c>
      <c r="J559">
        <v>-334.9384</v>
      </c>
      <c r="K559">
        <v>1.1092930000000001</v>
      </c>
      <c r="L559">
        <v>367.90480000000002</v>
      </c>
      <c r="M559">
        <v>0.99986819999999998</v>
      </c>
      <c r="N559">
        <v>-1.453612E-2</v>
      </c>
      <c r="O559">
        <v>7.2417690000000003E-3</v>
      </c>
      <c r="P559">
        <v>0.9959673</v>
      </c>
      <c r="Q559">
        <v>-6.2804059999999995E-2</v>
      </c>
      <c r="R559">
        <v>6.4065849999999994E-2</v>
      </c>
      <c r="S559">
        <v>3.042084</v>
      </c>
      <c r="T559">
        <v>-0.1611493</v>
      </c>
      <c r="U559">
        <v>-0.62969969999999997</v>
      </c>
      <c r="V559">
        <v>-5.6847910000000001E-2</v>
      </c>
      <c r="W559">
        <v>-4.8316579999999998E-2</v>
      </c>
      <c r="X559">
        <v>0.99721300000000002</v>
      </c>
      <c r="Y559">
        <v>0.2094192</v>
      </c>
      <c r="Z559">
        <v>-7.2996509999999999E-3</v>
      </c>
      <c r="AA559">
        <v>0.97779870000000002</v>
      </c>
      <c r="AB559">
        <v>33</v>
      </c>
      <c r="AC559">
        <v>21.527100000000001</v>
      </c>
      <c r="AD559">
        <v>-1.1592929999999999</v>
      </c>
      <c r="AE559">
        <v>-4.5326000000000004</v>
      </c>
      <c r="AF559">
        <v>4.6754082394278997</v>
      </c>
      <c r="AG559">
        <v>-1.1592929999999999</v>
      </c>
      <c r="AH559">
        <v>21.434185071528098</v>
      </c>
      <c r="AI559">
        <v>93.024903293862593</v>
      </c>
      <c r="AJ559">
        <v>77.694896220763397</v>
      </c>
      <c r="AK559">
        <v>21.968789045955099</v>
      </c>
      <c r="AL559">
        <v>92.769414434720602</v>
      </c>
      <c r="AM559">
        <v>93.262717044796403</v>
      </c>
      <c r="AN559">
        <v>0.99999997207163105</v>
      </c>
    </row>
    <row r="560" spans="1:40" x14ac:dyDescent="0.25">
      <c r="A560" t="str">
        <f>"20190305135206761"</f>
        <v>20190305135206761</v>
      </c>
      <c r="B560" t="str">
        <f>"1551765126750216"</f>
        <v>1551765126750216</v>
      </c>
      <c r="C560" t="s">
        <v>40</v>
      </c>
      <c r="D560">
        <v>5.2525740000000001</v>
      </c>
      <c r="E560">
        <v>0.60666249999999999</v>
      </c>
      <c r="F560" t="s">
        <v>47</v>
      </c>
      <c r="G560">
        <v>-312.66430000000003</v>
      </c>
      <c r="H560">
        <v>-0.05</v>
      </c>
      <c r="I560">
        <v>363.16079999999999</v>
      </c>
      <c r="J560">
        <v>-334.73520000000002</v>
      </c>
      <c r="K560">
        <v>1.1093029999999999</v>
      </c>
      <c r="L560">
        <v>367.90629999999999</v>
      </c>
      <c r="M560">
        <v>0.99986799999999998</v>
      </c>
      <c r="N560">
        <v>-1.4533910000000001E-2</v>
      </c>
      <c r="O560">
        <v>7.264604E-3</v>
      </c>
      <c r="P560">
        <v>0.99602900000000005</v>
      </c>
      <c r="Q560">
        <v>-6.1382730000000003E-2</v>
      </c>
      <c r="R560">
        <v>6.4487870000000003E-2</v>
      </c>
      <c r="S560">
        <v>3.0438839999999998</v>
      </c>
      <c r="T560">
        <v>-0.1584245</v>
      </c>
      <c r="U560">
        <v>-0.64828490000000005</v>
      </c>
      <c r="V560">
        <v>-5.724692E-2</v>
      </c>
      <c r="W560">
        <v>-4.689658E-2</v>
      </c>
      <c r="X560">
        <v>0.99725799999999998</v>
      </c>
      <c r="Y560">
        <v>0.21504380000000001</v>
      </c>
      <c r="Z560">
        <v>-7.3813059999999998E-3</v>
      </c>
      <c r="AA560">
        <v>0.97657649999999996</v>
      </c>
      <c r="AB560">
        <v>33</v>
      </c>
      <c r="AC560">
        <v>22.070899999999899</v>
      </c>
      <c r="AD560">
        <v>-1.159303</v>
      </c>
      <c r="AE560">
        <v>-4.7454999999999901</v>
      </c>
      <c r="AF560">
        <v>4.8928251633225903</v>
      </c>
      <c r="AG560">
        <v>-1.159303</v>
      </c>
      <c r="AH560">
        <v>21.977881778834</v>
      </c>
      <c r="AI560">
        <v>92.947449687258796</v>
      </c>
      <c r="AJ560">
        <v>77.449204606040396</v>
      </c>
      <c r="AK560">
        <v>22.5457536802178</v>
      </c>
      <c r="AL560">
        <v>92.687961966169695</v>
      </c>
      <c r="AM560">
        <v>93.285419812761305</v>
      </c>
      <c r="AN560">
        <v>1.0000000088145899</v>
      </c>
    </row>
    <row r="561" spans="1:40" x14ac:dyDescent="0.25">
      <c r="A561" t="str">
        <f>"20190305135206773"</f>
        <v>20190305135206773</v>
      </c>
      <c r="B561" t="str">
        <f>"1551765126769736"</f>
        <v>1551765126769736</v>
      </c>
      <c r="C561" t="s">
        <v>40</v>
      </c>
      <c r="D561">
        <v>5.2569629999999998</v>
      </c>
      <c r="E561">
        <v>0.60774709999999998</v>
      </c>
      <c r="F561" t="s">
        <v>47</v>
      </c>
      <c r="G561">
        <v>-311.81110000000001</v>
      </c>
      <c r="H561">
        <v>-0.05</v>
      </c>
      <c r="I561">
        <v>362.97730000000001</v>
      </c>
      <c r="J561">
        <v>-334.56439999999998</v>
      </c>
      <c r="K561">
        <v>1.1093109999999999</v>
      </c>
      <c r="L561">
        <v>367.90750000000003</v>
      </c>
      <c r="M561">
        <v>0.99986790000000003</v>
      </c>
      <c r="N561">
        <v>-1.4532059999999999E-2</v>
      </c>
      <c r="O561">
        <v>7.283983E-3</v>
      </c>
      <c r="P561">
        <v>0.99610969999999999</v>
      </c>
      <c r="Q561">
        <v>-5.953021E-2</v>
      </c>
      <c r="R561">
        <v>6.4974699999999996E-2</v>
      </c>
      <c r="S561">
        <v>3.0448909999999998</v>
      </c>
      <c r="T561">
        <v>-0.15398399999999901</v>
      </c>
      <c r="U561">
        <v>-0.65469359999999999</v>
      </c>
      <c r="V561">
        <v>-5.7714059999999998E-2</v>
      </c>
      <c r="W561">
        <v>-4.5044849999999997E-2</v>
      </c>
      <c r="X561">
        <v>0.99731639999999999</v>
      </c>
      <c r="Y561">
        <v>0.21697720000000001</v>
      </c>
      <c r="Z561">
        <v>-7.276228E-3</v>
      </c>
      <c r="AA561">
        <v>0.97614959999999995</v>
      </c>
      <c r="AB561">
        <v>33</v>
      </c>
      <c r="AC561">
        <v>22.7532999999999</v>
      </c>
      <c r="AD561">
        <v>-1.159311</v>
      </c>
      <c r="AE561">
        <v>-4.9302000000000099</v>
      </c>
      <c r="AF561">
        <v>5.0832168881535402</v>
      </c>
      <c r="AG561">
        <v>-1.159311</v>
      </c>
      <c r="AH561">
        <v>22.660591340372399</v>
      </c>
      <c r="AI561">
        <v>92.857790032435801</v>
      </c>
      <c r="AJ561">
        <v>77.356722426672206</v>
      </c>
      <c r="AK561">
        <v>23.2526449209997</v>
      </c>
      <c r="AL561">
        <v>92.581753436543806</v>
      </c>
      <c r="AM561">
        <v>93.311976166676899</v>
      </c>
      <c r="AN561">
        <v>0.99999997647108196</v>
      </c>
    </row>
    <row r="562" spans="1:40" x14ac:dyDescent="0.25">
      <c r="A562" t="str">
        <f>"20190305135206792"</f>
        <v>20190305135206792</v>
      </c>
      <c r="B562" t="str">
        <f>"1551765126780477"</f>
        <v>1551765126780477</v>
      </c>
      <c r="C562" t="s">
        <v>40</v>
      </c>
      <c r="D562">
        <v>5.2173870000000004</v>
      </c>
      <c r="E562">
        <v>0.60827849999999895</v>
      </c>
      <c r="F562" t="s">
        <v>47</v>
      </c>
      <c r="G562">
        <v>-310.96280000000002</v>
      </c>
      <c r="H562">
        <v>-0.05</v>
      </c>
      <c r="I562">
        <v>362.77809999999999</v>
      </c>
      <c r="J562">
        <v>-334.29790000000003</v>
      </c>
      <c r="K562">
        <v>1.1093280000000001</v>
      </c>
      <c r="L562">
        <v>367.90949999999998</v>
      </c>
      <c r="M562">
        <v>0.99986790000000003</v>
      </c>
      <c r="N562">
        <v>-1.4529149999999999E-2</v>
      </c>
      <c r="O562">
        <v>7.3138589999999998E-3</v>
      </c>
      <c r="P562">
        <v>0.99621309999999996</v>
      </c>
      <c r="Q562">
        <v>-5.6894750000000001E-2</v>
      </c>
      <c r="R562">
        <v>6.5746299999999994E-2</v>
      </c>
      <c r="S562">
        <v>3.0459589999999999</v>
      </c>
      <c r="T562">
        <v>-0.1496179</v>
      </c>
      <c r="U562">
        <v>-0.66198729999999995</v>
      </c>
      <c r="V562">
        <v>-5.8455529999999999E-2</v>
      </c>
      <c r="W562">
        <v>-4.2410959999999998E-2</v>
      </c>
      <c r="X562">
        <v>0.99738870000000002</v>
      </c>
      <c r="Y562">
        <v>0.21918299999999999</v>
      </c>
      <c r="Z562">
        <v>-7.179866E-3</v>
      </c>
      <c r="AA562">
        <v>0.97565729999999995</v>
      </c>
      <c r="AB562">
        <v>33</v>
      </c>
      <c r="AC562">
        <v>23.335100000000001</v>
      </c>
      <c r="AD562">
        <v>-1.1593279999999999</v>
      </c>
      <c r="AE562">
        <v>-5.1313999999999798</v>
      </c>
      <c r="AF562">
        <v>5.28949662565189</v>
      </c>
      <c r="AG562">
        <v>-1.1593279999999999</v>
      </c>
      <c r="AH562">
        <v>23.2422194337082</v>
      </c>
      <c r="AI562">
        <v>92.784479780349102</v>
      </c>
      <c r="AJ562">
        <v>77.178918556298797</v>
      </c>
      <c r="AK562">
        <v>23.864693171482699</v>
      </c>
      <c r="AL562">
        <v>92.430698115123604</v>
      </c>
      <c r="AM562">
        <v>93.354186972768005</v>
      </c>
      <c r="AN562">
        <v>0.99999997870169599</v>
      </c>
    </row>
    <row r="563" spans="1:40" x14ac:dyDescent="0.25">
      <c r="A563" t="str">
        <f>"20190305135206802"</f>
        <v>20190305135206802</v>
      </c>
      <c r="B563" t="str">
        <f>"1551765126799994"</f>
        <v>1551765126799994</v>
      </c>
      <c r="C563" t="s">
        <v>40</v>
      </c>
      <c r="D563">
        <v>5.2184530000000002</v>
      </c>
      <c r="E563">
        <v>0.60945969999999905</v>
      </c>
      <c r="F563" t="s">
        <v>47</v>
      </c>
      <c r="G563">
        <v>-309.55250000000001</v>
      </c>
      <c r="H563">
        <v>-0.05</v>
      </c>
      <c r="I563">
        <v>362.51949999999999</v>
      </c>
      <c r="J563">
        <v>-334.12670000000003</v>
      </c>
      <c r="K563">
        <v>1.109332</v>
      </c>
      <c r="L563">
        <v>367.91070000000002</v>
      </c>
      <c r="M563">
        <v>0.99986759999999997</v>
      </c>
      <c r="N563">
        <v>-1.452728E-2</v>
      </c>
      <c r="O563">
        <v>7.3331830000000001E-3</v>
      </c>
      <c r="P563">
        <v>0.99622719999999998</v>
      </c>
      <c r="Q563">
        <v>-5.6329009999999999E-2</v>
      </c>
      <c r="R563">
        <v>6.6018859999999999E-2</v>
      </c>
      <c r="S563">
        <v>3.0470579999999998</v>
      </c>
      <c r="T563">
        <v>-0.14275550000000001</v>
      </c>
      <c r="U563">
        <v>-0.66369630000000002</v>
      </c>
      <c r="V563">
        <v>-5.8708980000000001E-2</v>
      </c>
      <c r="W563">
        <v>-4.1846899999999999E-2</v>
      </c>
      <c r="X563">
        <v>0.99739770000000005</v>
      </c>
      <c r="Y563">
        <v>0.2196776</v>
      </c>
      <c r="Z563">
        <v>-6.933219E-3</v>
      </c>
      <c r="AA563">
        <v>0.97554790000000002</v>
      </c>
      <c r="AB563">
        <v>33</v>
      </c>
      <c r="AC563">
        <v>24.574200000000001</v>
      </c>
      <c r="AD563">
        <v>-1.159332</v>
      </c>
      <c r="AE563">
        <v>-5.39120000000002</v>
      </c>
      <c r="AF563">
        <v>5.55947586619817</v>
      </c>
      <c r="AG563">
        <v>-1.159332</v>
      </c>
      <c r="AH563">
        <v>24.4820139631884</v>
      </c>
      <c r="AI563">
        <v>92.643969125617502</v>
      </c>
      <c r="AJ563">
        <v>77.206011613603494</v>
      </c>
      <c r="AK563">
        <v>25.1320677678303</v>
      </c>
      <c r="AL563">
        <v>92.3983509920931</v>
      </c>
      <c r="AM563">
        <v>93.368666223990601</v>
      </c>
      <c r="AN563">
        <v>1.0000000396687601</v>
      </c>
    </row>
    <row r="564" spans="1:40" x14ac:dyDescent="0.25">
      <c r="A564" t="str">
        <f>"20190305135206814"</f>
        <v>20190305135206814</v>
      </c>
      <c r="B564" t="str">
        <f>"1551765126809753"</f>
        <v>1551765126809753</v>
      </c>
      <c r="C564" t="s">
        <v>40</v>
      </c>
      <c r="D564">
        <v>5.2472849999999998</v>
      </c>
      <c r="E564">
        <v>0.60990759999999999</v>
      </c>
      <c r="F564" t="s">
        <v>47</v>
      </c>
      <c r="G564">
        <v>-309.49930000000001</v>
      </c>
      <c r="H564">
        <v>-0.05</v>
      </c>
      <c r="I564">
        <v>362.4778</v>
      </c>
      <c r="J564">
        <v>-333.96129999999999</v>
      </c>
      <c r="K564">
        <v>1.109332</v>
      </c>
      <c r="L564">
        <v>367.91199999999998</v>
      </c>
      <c r="M564">
        <v>0.99986759999999997</v>
      </c>
      <c r="N564">
        <v>-1.452549E-2</v>
      </c>
      <c r="O564">
        <v>7.3520249999999999E-3</v>
      </c>
      <c r="P564">
        <v>0.99624889999999999</v>
      </c>
      <c r="Q564">
        <v>-5.6038009999999999E-2</v>
      </c>
      <c r="R564">
        <v>6.5938670000000005E-2</v>
      </c>
      <c r="S564">
        <v>3.0478209999999999</v>
      </c>
      <c r="T564">
        <v>-0.14347550000000001</v>
      </c>
      <c r="U564">
        <v>-0.6723633</v>
      </c>
      <c r="V564">
        <v>-5.860982E-2</v>
      </c>
      <c r="W564">
        <v>-4.1557360000000002E-2</v>
      </c>
      <c r="X564">
        <v>0.99741559999999996</v>
      </c>
      <c r="Y564">
        <v>0.22228529999999999</v>
      </c>
      <c r="Z564">
        <v>-7.038295E-3</v>
      </c>
      <c r="AA564">
        <v>0.9749563</v>
      </c>
      <c r="AB564">
        <v>33</v>
      </c>
      <c r="AC564">
        <v>24.4619999999999</v>
      </c>
      <c r="AD564">
        <v>-1.159332</v>
      </c>
      <c r="AE564">
        <v>-5.4341999999999704</v>
      </c>
      <c r="AF564">
        <v>5.6019264731841298</v>
      </c>
      <c r="AG564">
        <v>-1.159332</v>
      </c>
      <c r="AH564">
        <v>24.369220304201601</v>
      </c>
      <c r="AI564">
        <v>92.654581159462197</v>
      </c>
      <c r="AJ564">
        <v>77.0539217867465</v>
      </c>
      <c r="AK564">
        <v>25.0316705221984</v>
      </c>
      <c r="AL564">
        <v>92.381747218209497</v>
      </c>
      <c r="AM564">
        <v>93.362929371060204</v>
      </c>
      <c r="AN564">
        <v>1.0000000021469799</v>
      </c>
    </row>
    <row r="565" spans="1:40" x14ac:dyDescent="0.25">
      <c r="A565" t="str">
        <f>"20190305135206826"</f>
        <v>20190305135206826</v>
      </c>
      <c r="B565" t="str">
        <f>"1551765126820489"</f>
        <v>1551765126820489</v>
      </c>
      <c r="C565" t="s">
        <v>40</v>
      </c>
      <c r="D565">
        <v>5.2171849999999997</v>
      </c>
      <c r="E565">
        <v>0.61036519999999905</v>
      </c>
      <c r="F565" t="s">
        <v>47</v>
      </c>
      <c r="G565">
        <v>-309.70999999999998</v>
      </c>
      <c r="H565">
        <v>-0.05</v>
      </c>
      <c r="I565">
        <v>362.52940000000001</v>
      </c>
      <c r="J565">
        <v>-333.77940000000001</v>
      </c>
      <c r="K565">
        <v>1.1093329999999999</v>
      </c>
      <c r="L565">
        <v>367.91329999999999</v>
      </c>
      <c r="M565">
        <v>0.99986739999999996</v>
      </c>
      <c r="N565">
        <v>-1.452351E-2</v>
      </c>
      <c r="O565">
        <v>7.3728350000000003E-3</v>
      </c>
      <c r="P565">
        <v>0.99622940000000004</v>
      </c>
      <c r="Q565">
        <v>-5.6114070000000002E-2</v>
      </c>
      <c r="R565">
        <v>6.6170199999999998E-2</v>
      </c>
      <c r="S565">
        <v>3.047882</v>
      </c>
      <c r="T565">
        <v>-0.145703799999999</v>
      </c>
      <c r="U565">
        <v>-0.67648319999999995</v>
      </c>
      <c r="V565">
        <v>-5.8820320000000002E-2</v>
      </c>
      <c r="W565">
        <v>-4.1635579999999998E-2</v>
      </c>
      <c r="X565">
        <v>0.99739990000000001</v>
      </c>
      <c r="Y565">
        <v>0.2235472</v>
      </c>
      <c r="Z565">
        <v>-7.1626619999999898E-3</v>
      </c>
      <c r="AA565">
        <v>0.97466680000000006</v>
      </c>
      <c r="AB565">
        <v>33</v>
      </c>
      <c r="AC565">
        <v>24.069400000000002</v>
      </c>
      <c r="AD565">
        <v>-1.1593329999999999</v>
      </c>
      <c r="AE565">
        <v>-5.3838999999999801</v>
      </c>
      <c r="AF565">
        <v>5.5489719291058499</v>
      </c>
      <c r="AG565">
        <v>-1.1593329999999999</v>
      </c>
      <c r="AH565">
        <v>23.976073130080898</v>
      </c>
      <c r="AI565">
        <v>92.697127405039097</v>
      </c>
      <c r="AJ565">
        <v>76.969013932199502</v>
      </c>
      <c r="AK565">
        <v>24.637110731859</v>
      </c>
      <c r="AL565">
        <v>92.386232886437099</v>
      </c>
      <c r="AM565">
        <v>93.375032627383305</v>
      </c>
      <c r="AN565">
        <v>0.99999995604342296</v>
      </c>
    </row>
    <row r="566" spans="1:40" x14ac:dyDescent="0.25">
      <c r="A566" t="str">
        <f>"20190305135206837"</f>
        <v>20190305135206837</v>
      </c>
      <c r="B566" t="str">
        <f>"1551765126830249"</f>
        <v>1551765126830249</v>
      </c>
      <c r="C566" t="s">
        <v>40</v>
      </c>
      <c r="D566">
        <v>5.2295879999999997</v>
      </c>
      <c r="E566">
        <v>0.61075550000000001</v>
      </c>
      <c r="F566" t="s">
        <v>47</v>
      </c>
      <c r="G566">
        <v>-309.67630000000003</v>
      </c>
      <c r="H566">
        <v>-0.05</v>
      </c>
      <c r="I566">
        <v>362.5401</v>
      </c>
      <c r="J566">
        <v>-333.62060000000002</v>
      </c>
      <c r="K566">
        <v>1.109334</v>
      </c>
      <c r="L566">
        <v>367.91449999999998</v>
      </c>
      <c r="M566">
        <v>0.99986719999999896</v>
      </c>
      <c r="N566">
        <v>-1.452179E-2</v>
      </c>
      <c r="O566">
        <v>7.391023E-3</v>
      </c>
      <c r="P566">
        <v>0.99618419999999996</v>
      </c>
      <c r="Q566">
        <v>-5.6616550000000002E-2</v>
      </c>
      <c r="R566">
        <v>6.6420179999999995E-2</v>
      </c>
      <c r="S566">
        <v>3.0482480000000001</v>
      </c>
      <c r="T566">
        <v>-0.14661749999999901</v>
      </c>
      <c r="U566">
        <v>-0.67953490000000005</v>
      </c>
      <c r="V566">
        <v>-5.9053059999999997E-2</v>
      </c>
      <c r="W566">
        <v>-4.2140320000000002E-2</v>
      </c>
      <c r="X566">
        <v>0.99736499999999995</v>
      </c>
      <c r="Y566">
        <v>0.2244651</v>
      </c>
      <c r="Z566">
        <v>-7.2257830000000004E-3</v>
      </c>
      <c r="AA566">
        <v>0.97445539999999997</v>
      </c>
      <c r="AB566">
        <v>33</v>
      </c>
      <c r="AC566">
        <v>23.944299999999998</v>
      </c>
      <c r="AD566">
        <v>-1.1593340000000001</v>
      </c>
      <c r="AE566">
        <v>-5.3743999999999801</v>
      </c>
      <c r="AF566">
        <v>5.53888271553196</v>
      </c>
      <c r="AG566">
        <v>-1.1593340000000001</v>
      </c>
      <c r="AH566">
        <v>23.850687998090802</v>
      </c>
      <c r="AI566">
        <v>92.710814983712396</v>
      </c>
      <c r="AJ566">
        <v>76.925859245301695</v>
      </c>
      <c r="AK566">
        <v>24.5128251134431</v>
      </c>
      <c r="AL566">
        <v>92.415177641498502</v>
      </c>
      <c r="AM566">
        <v>93.388474179202404</v>
      </c>
      <c r="AN566">
        <v>1.0000000068450301</v>
      </c>
    </row>
    <row r="567" spans="1:40" x14ac:dyDescent="0.25">
      <c r="A567" t="str">
        <f>"20190305135206848"</f>
        <v>20190305135206848</v>
      </c>
      <c r="B567" t="str">
        <f>"1551765126840009"</f>
        <v>1551765126840009</v>
      </c>
      <c r="C567" t="s">
        <v>40</v>
      </c>
      <c r="D567">
        <v>5.2142460000000002</v>
      </c>
      <c r="E567">
        <v>0.61111340000000003</v>
      </c>
      <c r="F567" t="s">
        <v>47</v>
      </c>
      <c r="G567">
        <v>-310.10520000000002</v>
      </c>
      <c r="H567">
        <v>-0.05</v>
      </c>
      <c r="I567">
        <v>362.65460000000002</v>
      </c>
      <c r="J567">
        <v>-333.45060000000001</v>
      </c>
      <c r="K567">
        <v>1.109332</v>
      </c>
      <c r="L567">
        <v>367.91579999999999</v>
      </c>
      <c r="M567">
        <v>0.99986710000000001</v>
      </c>
      <c r="N567">
        <v>-1.451994E-2</v>
      </c>
      <c r="O567">
        <v>7.4103459999999999E-3</v>
      </c>
      <c r="P567">
        <v>0.99616119999999997</v>
      </c>
      <c r="Q567">
        <v>-5.6973059999999999E-2</v>
      </c>
      <c r="R567">
        <v>6.6459160000000003E-2</v>
      </c>
      <c r="S567">
        <v>3.0483699999999998</v>
      </c>
      <c r="T567">
        <v>-0.15028759999999999</v>
      </c>
      <c r="U567">
        <v>-0.68185419999999997</v>
      </c>
      <c r="V567">
        <v>-5.9072609999999998E-2</v>
      </c>
      <c r="W567">
        <v>-4.2498950000000001E-2</v>
      </c>
      <c r="X567">
        <v>0.99734860000000003</v>
      </c>
      <c r="Y567">
        <v>0.22516600000000001</v>
      </c>
      <c r="Z567">
        <v>-7.3899909999999899E-3</v>
      </c>
      <c r="AA567">
        <v>0.97429239999999995</v>
      </c>
      <c r="AB567">
        <v>33</v>
      </c>
      <c r="AC567">
        <v>23.345399999999898</v>
      </c>
      <c r="AD567">
        <v>-1.159332</v>
      </c>
      <c r="AE567">
        <v>-5.2611999999999703</v>
      </c>
      <c r="AF567">
        <v>5.4213477970709096</v>
      </c>
      <c r="AG567">
        <v>-1.159332</v>
      </c>
      <c r="AH567">
        <v>23.251198826919499</v>
      </c>
      <c r="AI567">
        <v>92.780023720569602</v>
      </c>
      <c r="AJ567">
        <v>76.875166847352403</v>
      </c>
      <c r="AK567">
        <v>23.902997918921699</v>
      </c>
      <c r="AL567">
        <v>92.435744112494106</v>
      </c>
      <c r="AM567">
        <v>93.389648953411694</v>
      </c>
      <c r="AN567">
        <v>0.99999998196263695</v>
      </c>
    </row>
    <row r="568" spans="1:40" x14ac:dyDescent="0.25">
      <c r="A568" t="str">
        <f>"20190305135206859"</f>
        <v>20190305135206859</v>
      </c>
      <c r="B568" t="str">
        <f>"1551765126849769"</f>
        <v>1551765126849769</v>
      </c>
      <c r="C568" t="s">
        <v>40</v>
      </c>
      <c r="D568">
        <v>5.1954789999999997</v>
      </c>
      <c r="E568">
        <v>0.61147169999999995</v>
      </c>
      <c r="F568" t="s">
        <v>47</v>
      </c>
      <c r="G568">
        <v>-310.51069999999999</v>
      </c>
      <c r="H568">
        <v>-0.05</v>
      </c>
      <c r="I568">
        <v>362.7627</v>
      </c>
      <c r="J568">
        <v>-333.27760000000001</v>
      </c>
      <c r="K568">
        <v>1.1093309999999901</v>
      </c>
      <c r="L568">
        <v>367.9171</v>
      </c>
      <c r="M568">
        <v>0.99986699999999995</v>
      </c>
      <c r="N568">
        <v>-1.4518059999999999E-2</v>
      </c>
      <c r="O568">
        <v>7.4296709999999997E-3</v>
      </c>
      <c r="P568">
        <v>0.99611400000000005</v>
      </c>
      <c r="Q568">
        <v>-5.7598749999999997E-2</v>
      </c>
      <c r="R568">
        <v>6.6630739999999994E-2</v>
      </c>
      <c r="S568">
        <v>3.0484309999999999</v>
      </c>
      <c r="T568">
        <v>-0.15406110000000001</v>
      </c>
      <c r="U568">
        <v>-0.6847839</v>
      </c>
      <c r="V568">
        <v>-5.922558E-2</v>
      </c>
      <c r="W568">
        <v>-4.3127110000000003E-2</v>
      </c>
      <c r="X568">
        <v>0.99731259999999999</v>
      </c>
      <c r="Y568">
        <v>0.22605520000000001</v>
      </c>
      <c r="Z568">
        <v>-7.5651549999999996E-3</v>
      </c>
      <c r="AA568">
        <v>0.97408510000000004</v>
      </c>
      <c r="AB568">
        <v>33</v>
      </c>
      <c r="AC568">
        <v>22.7669</v>
      </c>
      <c r="AD568">
        <v>-1.1593309999999999</v>
      </c>
      <c r="AE568">
        <v>-5.1544000000000096</v>
      </c>
      <c r="AF568">
        <v>5.3103276678369502</v>
      </c>
      <c r="AG568">
        <v>-1.1593309999999999</v>
      </c>
      <c r="AH568">
        <v>22.672049121518999</v>
      </c>
      <c r="AI568">
        <v>92.850252283166597</v>
      </c>
      <c r="AJ568">
        <v>76.817615555551001</v>
      </c>
      <c r="AK568">
        <v>23.314489908122098</v>
      </c>
      <c r="AL568">
        <v>92.471767967971999</v>
      </c>
      <c r="AM568">
        <v>93.398528373001795</v>
      </c>
      <c r="AN568">
        <v>1.0000000195310199</v>
      </c>
    </row>
    <row r="569" spans="1:40" x14ac:dyDescent="0.25">
      <c r="A569" t="str">
        <f>"20190305135206880"</f>
        <v>20190305135206880</v>
      </c>
      <c r="B569" t="str">
        <f>"1551765126870264"</f>
        <v>1551765126870264</v>
      </c>
      <c r="C569" t="s">
        <v>40</v>
      </c>
      <c r="D569">
        <v>5.1414900000000001</v>
      </c>
      <c r="E569">
        <v>0.61234440000000001</v>
      </c>
      <c r="F569" t="s">
        <v>47</v>
      </c>
      <c r="G569">
        <v>-311.02030000000002</v>
      </c>
      <c r="H569">
        <v>-0.05</v>
      </c>
      <c r="I569">
        <v>362.90170000000001</v>
      </c>
      <c r="J569">
        <v>-332.98160000000001</v>
      </c>
      <c r="K569">
        <v>1.109318</v>
      </c>
      <c r="L569">
        <v>367.91930000000002</v>
      </c>
      <c r="M569">
        <v>0.99986679999999994</v>
      </c>
      <c r="N569">
        <v>-1.4514849999999999E-2</v>
      </c>
      <c r="O569">
        <v>7.4632479999999996E-3</v>
      </c>
      <c r="P569">
        <v>0.99608859999999999</v>
      </c>
      <c r="Q569">
        <v>-5.80455E-2</v>
      </c>
      <c r="R569">
        <v>6.6621840000000002E-2</v>
      </c>
      <c r="S569">
        <v>3.0484619999999998</v>
      </c>
      <c r="T569">
        <v>-0.1587867</v>
      </c>
      <c r="U569">
        <v>-0.68692019999999998</v>
      </c>
      <c r="V569">
        <v>-5.9183050000000001E-2</v>
      </c>
      <c r="W569">
        <v>-4.3577329999999997E-2</v>
      </c>
      <c r="X569">
        <v>0.99729559999999995</v>
      </c>
      <c r="Y569">
        <v>0.22671440000000001</v>
      </c>
      <c r="Z569">
        <v>-7.7716080000000002E-3</v>
      </c>
      <c r="AA569">
        <v>0.97393019999999997</v>
      </c>
      <c r="AB569">
        <v>33</v>
      </c>
      <c r="AC569">
        <v>21.961299999999898</v>
      </c>
      <c r="AD569">
        <v>-1.1593180000000001</v>
      </c>
      <c r="AE569">
        <v>-5.0176000000000096</v>
      </c>
      <c r="AF569">
        <v>5.1676937866812098</v>
      </c>
      <c r="AG569">
        <v>-1.1593180000000001</v>
      </c>
      <c r="AH569">
        <v>21.865327644605401</v>
      </c>
      <c r="AI569">
        <v>92.953803322071295</v>
      </c>
      <c r="AJ569">
        <v>76.702607426108202</v>
      </c>
      <c r="AK569">
        <v>22.497591655641099</v>
      </c>
      <c r="AL569">
        <v>92.497587833448705</v>
      </c>
      <c r="AM569">
        <v>93.396151352187303</v>
      </c>
      <c r="AN569">
        <v>1.0000000654382899</v>
      </c>
    </row>
    <row r="570" spans="1:40" x14ac:dyDescent="0.25">
      <c r="A570" t="str">
        <f>"20190305135206891"</f>
        <v>20190305135206891</v>
      </c>
      <c r="B570" t="str">
        <f>"1551765126880025"</f>
        <v>1551765126880025</v>
      </c>
      <c r="C570" t="s">
        <v>40</v>
      </c>
      <c r="D570">
        <v>5.1341320000000001</v>
      </c>
      <c r="E570">
        <v>0.61280400000000002</v>
      </c>
      <c r="F570" t="s">
        <v>47</v>
      </c>
      <c r="G570">
        <v>-311.36680000000001</v>
      </c>
      <c r="H570">
        <v>-0.05</v>
      </c>
      <c r="I570">
        <v>362.99979999999999</v>
      </c>
      <c r="J570">
        <v>-332.81490000000002</v>
      </c>
      <c r="K570">
        <v>1.1093170000000001</v>
      </c>
      <c r="L570">
        <v>367.92059999999998</v>
      </c>
      <c r="M570">
        <v>0.99986679999999994</v>
      </c>
      <c r="N570">
        <v>-1.451305E-2</v>
      </c>
      <c r="O570">
        <v>7.4820939999999999E-3</v>
      </c>
      <c r="P570">
        <v>0.99608359999999996</v>
      </c>
      <c r="Q570">
        <v>-5.8480339999999999E-2</v>
      </c>
      <c r="R570">
        <v>6.6316249999999993E-2</v>
      </c>
      <c r="S570">
        <v>3.0486759999999999</v>
      </c>
      <c r="T570">
        <v>-0.16351679999999999</v>
      </c>
      <c r="U570">
        <v>-0.693878199999999</v>
      </c>
      <c r="V570">
        <v>-5.8859019999999998E-2</v>
      </c>
      <c r="W570">
        <v>-4.4013990000000003E-2</v>
      </c>
      <c r="X570">
        <v>0.99729559999999995</v>
      </c>
      <c r="Y570">
        <v>0.22880790000000001</v>
      </c>
      <c r="Z570">
        <v>-8.0261919999999997E-3</v>
      </c>
      <c r="AA570">
        <v>0.97343849999999998</v>
      </c>
      <c r="AB570">
        <v>33</v>
      </c>
      <c r="AC570">
        <v>21.4481</v>
      </c>
      <c r="AD570">
        <v>-1.1593169999999999</v>
      </c>
      <c r="AE570">
        <v>-4.9207999999999803</v>
      </c>
      <c r="AF570">
        <v>5.06709188432571</v>
      </c>
      <c r="AG570">
        <v>-1.1593169999999999</v>
      </c>
      <c r="AH570">
        <v>21.351415974671401</v>
      </c>
      <c r="AI570">
        <v>93.024104647805004</v>
      </c>
      <c r="AJ570">
        <v>76.649610963879596</v>
      </c>
      <c r="AK570">
        <v>21.975040391183398</v>
      </c>
      <c r="AL570">
        <v>92.522630637366106</v>
      </c>
      <c r="AM570">
        <v>93.3776004288504</v>
      </c>
      <c r="AN570">
        <v>1.0000000646652101</v>
      </c>
    </row>
    <row r="571" spans="1:40" x14ac:dyDescent="0.25">
      <c r="A571" t="str">
        <f>"20190305135206902"</f>
        <v>20190305135206902</v>
      </c>
      <c r="B571" t="str">
        <f>"1551765126900522"</f>
        <v>1551765126900522</v>
      </c>
      <c r="C571" t="s">
        <v>40</v>
      </c>
      <c r="D571">
        <v>5.086392</v>
      </c>
      <c r="E571">
        <v>0.61384749999999999</v>
      </c>
      <c r="F571" t="s">
        <v>47</v>
      </c>
      <c r="G571">
        <v>-311.5025</v>
      </c>
      <c r="H571">
        <v>-0.05</v>
      </c>
      <c r="I571">
        <v>363.03620000000001</v>
      </c>
      <c r="J571">
        <v>-332.64350000000002</v>
      </c>
      <c r="K571">
        <v>1.1093139999999999</v>
      </c>
      <c r="L571">
        <v>367.92189999999999</v>
      </c>
      <c r="M571">
        <v>0.9998667</v>
      </c>
      <c r="N571">
        <v>-1.45112E-2</v>
      </c>
      <c r="O571">
        <v>7.5014169999999998E-3</v>
      </c>
      <c r="P571">
        <v>0.99609539999999996</v>
      </c>
      <c r="Q571">
        <v>-5.8641800000000001E-2</v>
      </c>
      <c r="R571">
        <v>6.5993090000000004E-2</v>
      </c>
      <c r="S571">
        <v>3.048584</v>
      </c>
      <c r="T571">
        <v>-0.16583139999999999</v>
      </c>
      <c r="U571">
        <v>-0.6986694</v>
      </c>
      <c r="V571">
        <v>-5.8516680000000001E-2</v>
      </c>
      <c r="W571">
        <v>-4.4177090000000002E-2</v>
      </c>
      <c r="X571">
        <v>0.99730850000000004</v>
      </c>
      <c r="Y571">
        <v>0.2302739</v>
      </c>
      <c r="Z571">
        <v>-8.167456E-3</v>
      </c>
      <c r="AA571">
        <v>0.97309159999999995</v>
      </c>
      <c r="AB571">
        <v>33</v>
      </c>
      <c r="AC571">
        <v>21.140999999999998</v>
      </c>
      <c r="AD571">
        <v>-1.159314</v>
      </c>
      <c r="AE571">
        <v>-4.8856999999999804</v>
      </c>
      <c r="AF571">
        <v>5.0298082404337396</v>
      </c>
      <c r="AG571">
        <v>-1.159314</v>
      </c>
      <c r="AH571">
        <v>21.043678933896299</v>
      </c>
      <c r="AI571">
        <v>93.067064242221207</v>
      </c>
      <c r="AJ571">
        <v>76.557503958842702</v>
      </c>
      <c r="AK571">
        <v>21.667473386600498</v>
      </c>
      <c r="AL571">
        <v>92.531984763102798</v>
      </c>
      <c r="AM571">
        <v>93.357957140519503</v>
      </c>
      <c r="AN571">
        <v>1.00000003064566</v>
      </c>
    </row>
    <row r="572" spans="1:40" x14ac:dyDescent="0.25">
      <c r="A572" t="str">
        <f>"20190305135206915"</f>
        <v>20190305135206915</v>
      </c>
      <c r="B572" t="str">
        <f>"1551765126910281"</f>
        <v>1551765126910281</v>
      </c>
      <c r="C572" t="s">
        <v>40</v>
      </c>
      <c r="D572">
        <v>5.0556510000000001</v>
      </c>
      <c r="E572">
        <v>0.61429789999999995</v>
      </c>
      <c r="F572" t="s">
        <v>47</v>
      </c>
      <c r="G572">
        <v>-311.44049999999999</v>
      </c>
      <c r="H572">
        <v>-0.05</v>
      </c>
      <c r="I572">
        <v>362.99959999999999</v>
      </c>
      <c r="J572">
        <v>-332.46629999999999</v>
      </c>
      <c r="K572">
        <v>1.109313</v>
      </c>
      <c r="L572">
        <v>367.92320000000001</v>
      </c>
      <c r="M572">
        <v>0.99986649999999999</v>
      </c>
      <c r="N572">
        <v>-1.450926E-2</v>
      </c>
      <c r="O572">
        <v>7.5219299999999996E-3</v>
      </c>
      <c r="P572">
        <v>0.99611000000000005</v>
      </c>
      <c r="Q572">
        <v>-5.8858319999999999E-2</v>
      </c>
      <c r="R572">
        <v>6.5580929999999996E-2</v>
      </c>
      <c r="S572">
        <v>3.0488279999999999</v>
      </c>
      <c r="T572">
        <v>-0.16669999999999999</v>
      </c>
      <c r="U572">
        <v>-0.70779419999999904</v>
      </c>
      <c r="V572">
        <v>-5.8083349999999999E-2</v>
      </c>
      <c r="W572">
        <v>-4.4395280000000002E-2</v>
      </c>
      <c r="X572">
        <v>0.99732410000000005</v>
      </c>
      <c r="Y572">
        <v>0.23303260000000001</v>
      </c>
      <c r="Z572">
        <v>-8.2950349999999992E-3</v>
      </c>
      <c r="AA572">
        <v>0.97243360000000001</v>
      </c>
      <c r="AB572">
        <v>33</v>
      </c>
      <c r="AC572">
        <v>21.0258</v>
      </c>
      <c r="AD572">
        <v>-1.15931299999999</v>
      </c>
      <c r="AE572">
        <v>-4.92360000000002</v>
      </c>
      <c r="AF572">
        <v>5.0670281473583998</v>
      </c>
      <c r="AG572">
        <v>-1.15931299999999</v>
      </c>
      <c r="AH572">
        <v>20.927849658982002</v>
      </c>
      <c r="AI572">
        <v>93.081834064852401</v>
      </c>
      <c r="AJ572">
        <v>76.389529495646997</v>
      </c>
      <c r="AK572">
        <v>21.5637119306265</v>
      </c>
      <c r="AL572">
        <v>92.544498513661296</v>
      </c>
      <c r="AM572">
        <v>93.333094919820397</v>
      </c>
      <c r="AN572">
        <v>0.99999998843715499</v>
      </c>
    </row>
    <row r="573" spans="1:40" x14ac:dyDescent="0.25">
      <c r="A573" t="str">
        <f>"20190305135206926"</f>
        <v>20190305135206926</v>
      </c>
      <c r="B573" t="str">
        <f>"1551765126920041"</f>
        <v>1551765126920041</v>
      </c>
      <c r="C573" t="s">
        <v>40</v>
      </c>
      <c r="D573">
        <v>5.030411</v>
      </c>
      <c r="E573">
        <v>0.61475829999999998</v>
      </c>
      <c r="F573" t="s">
        <v>47</v>
      </c>
      <c r="G573">
        <v>-311.22320000000002</v>
      </c>
      <c r="H573">
        <v>-0.05</v>
      </c>
      <c r="I573">
        <v>362.95819999999998</v>
      </c>
      <c r="J573">
        <v>-332.30130000000003</v>
      </c>
      <c r="K573">
        <v>1.10931</v>
      </c>
      <c r="L573">
        <v>367.92450000000002</v>
      </c>
      <c r="M573">
        <v>0.99986620000000004</v>
      </c>
      <c r="N573">
        <v>-1.450746E-2</v>
      </c>
      <c r="O573">
        <v>7.54089199999999E-3</v>
      </c>
      <c r="P573">
        <v>0.99611870000000002</v>
      </c>
      <c r="Q573">
        <v>-5.9242549999999998E-2</v>
      </c>
      <c r="R573">
        <v>6.5099749999999998E-2</v>
      </c>
      <c r="S573">
        <v>3.0488279999999999</v>
      </c>
      <c r="T573">
        <v>-0.1663858</v>
      </c>
      <c r="U573">
        <v>-0.71258540000000004</v>
      </c>
      <c r="V573">
        <v>-5.7583490000000001E-2</v>
      </c>
      <c r="W573">
        <v>-4.4781130000000002E-2</v>
      </c>
      <c r="X573">
        <v>0.99733590000000005</v>
      </c>
      <c r="Y573">
        <v>0.23449929999999999</v>
      </c>
      <c r="Z573">
        <v>-8.332384E-3</v>
      </c>
      <c r="AA573">
        <v>0.97208059999999996</v>
      </c>
      <c r="AB573">
        <v>33</v>
      </c>
      <c r="AC573">
        <v>21.078099999999999</v>
      </c>
      <c r="AD573">
        <v>-1.1593100000000001</v>
      </c>
      <c r="AE573">
        <v>-4.9663000000000403</v>
      </c>
      <c r="AF573">
        <v>5.1104766961012196</v>
      </c>
      <c r="AG573">
        <v>-1.1593100000000001</v>
      </c>
      <c r="AH573">
        <v>20.979918386169899</v>
      </c>
      <c r="AI573">
        <v>93.073157975492805</v>
      </c>
      <c r="AJ573">
        <v>76.309992260095399</v>
      </c>
      <c r="AK573">
        <v>21.6244756520903</v>
      </c>
      <c r="AL573">
        <v>92.566627934539397</v>
      </c>
      <c r="AM573">
        <v>93.304435440086095</v>
      </c>
      <c r="AN573">
        <v>1.0000000526767301</v>
      </c>
    </row>
    <row r="574" spans="1:40" x14ac:dyDescent="0.25">
      <c r="A574" t="str">
        <f>"20190305135206939"</f>
        <v>20190305135206939</v>
      </c>
      <c r="B574" t="str">
        <f>"1551765126929802"</f>
        <v>1551765126929802</v>
      </c>
      <c r="C574" t="s">
        <v>40</v>
      </c>
      <c r="D574">
        <v>5.0394240000000003</v>
      </c>
      <c r="E574">
        <v>0.61475829999999998</v>
      </c>
      <c r="F574" t="s">
        <v>47</v>
      </c>
      <c r="G574">
        <v>-311.03969999999998</v>
      </c>
      <c r="H574">
        <v>-0.05</v>
      </c>
      <c r="I574">
        <v>362.91890000000001</v>
      </c>
      <c r="J574">
        <v>-332.11290000000002</v>
      </c>
      <c r="K574">
        <v>1.109307</v>
      </c>
      <c r="L574">
        <v>367.92590000000001</v>
      </c>
      <c r="M574">
        <v>0.99986620000000004</v>
      </c>
      <c r="N574">
        <v>-1.450539E-2</v>
      </c>
      <c r="O574">
        <v>7.5624209999999997E-3</v>
      </c>
      <c r="P574">
        <v>0.99611709999999998</v>
      </c>
      <c r="Q574">
        <v>-5.9648090000000001E-2</v>
      </c>
      <c r="R574">
        <v>6.4752519999999994E-2</v>
      </c>
      <c r="S574">
        <v>3.0486759999999999</v>
      </c>
      <c r="T574">
        <v>-0.16623199999999999</v>
      </c>
      <c r="U574">
        <v>-0.71774289999999996</v>
      </c>
      <c r="V574">
        <v>-5.721482E-2</v>
      </c>
      <c r="W574">
        <v>-4.5188699999999901E-2</v>
      </c>
      <c r="X574">
        <v>0.99733870000000002</v>
      </c>
      <c r="Y574">
        <v>0.2360873</v>
      </c>
      <c r="Z574">
        <v>-8.3805589999999992E-3</v>
      </c>
      <c r="AA574">
        <v>0.97169570000000005</v>
      </c>
      <c r="AB574">
        <v>33</v>
      </c>
      <c r="AC574">
        <v>21.0732</v>
      </c>
      <c r="AD574">
        <v>-1.1593069999999901</v>
      </c>
      <c r="AE574">
        <v>-5.0069999999999997</v>
      </c>
      <c r="AF574">
        <v>5.1514803122649298</v>
      </c>
      <c r="AG574">
        <v>-1.1593069999999901</v>
      </c>
      <c r="AH574">
        <v>20.9746413319398</v>
      </c>
      <c r="AI574">
        <v>93.072494460995699</v>
      </c>
      <c r="AJ574">
        <v>76.200993736028295</v>
      </c>
      <c r="AK574">
        <v>21.629085073840301</v>
      </c>
      <c r="AL574">
        <v>92.590003727236805</v>
      </c>
      <c r="AM574">
        <v>93.283316504414103</v>
      </c>
      <c r="AN574">
        <v>1.0000000183765001</v>
      </c>
    </row>
    <row r="575" spans="1:40" x14ac:dyDescent="0.25">
      <c r="A575" t="str">
        <f>"20190305135206952"</f>
        <v>20190305135206952</v>
      </c>
      <c r="B575" t="str">
        <f>"1551765126940537"</f>
        <v>1551765126940537</v>
      </c>
      <c r="C575" t="s">
        <v>40</v>
      </c>
      <c r="D575">
        <v>5.0109719999999998</v>
      </c>
      <c r="E575">
        <v>0.62714429999999999</v>
      </c>
      <c r="F575" t="s">
        <v>47</v>
      </c>
      <c r="G575">
        <v>-310.99349999999998</v>
      </c>
      <c r="H575">
        <v>-0.05</v>
      </c>
      <c r="I575">
        <v>362.94600000000003</v>
      </c>
      <c r="J575">
        <v>-331.92070000000001</v>
      </c>
      <c r="K575">
        <v>1.109305</v>
      </c>
      <c r="L575">
        <v>367.92739999999998</v>
      </c>
      <c r="M575">
        <v>0.99986620000000004</v>
      </c>
      <c r="N575">
        <v>-1.450327E-2</v>
      </c>
      <c r="O575">
        <v>7.5844279999999998E-3</v>
      </c>
      <c r="P575">
        <v>0.99613589999999996</v>
      </c>
      <c r="Q575">
        <v>-5.9927029999999999E-2</v>
      </c>
      <c r="R575">
        <v>6.4204620000000004E-2</v>
      </c>
      <c r="S575">
        <v>3.0484010000000001</v>
      </c>
      <c r="T575">
        <v>-0.16733629999999999</v>
      </c>
      <c r="U575">
        <v>-0.71881099999999998</v>
      </c>
      <c r="V575">
        <v>-5.6644840000000002E-2</v>
      </c>
      <c r="W575">
        <v>-4.546944E-2</v>
      </c>
      <c r="X575">
        <v>0.99735839999999998</v>
      </c>
      <c r="Y575">
        <v>0.23644490000000001</v>
      </c>
      <c r="Z575">
        <v>-8.4387139999999999E-3</v>
      </c>
      <c r="AA575">
        <v>0.97160820000000003</v>
      </c>
      <c r="AB575">
        <v>33</v>
      </c>
      <c r="AC575">
        <v>20.927199999999999</v>
      </c>
      <c r="AD575">
        <v>-1.159305</v>
      </c>
      <c r="AE575">
        <v>-4.9813999999999998</v>
      </c>
      <c r="AF575">
        <v>5.1251094829396804</v>
      </c>
      <c r="AG575">
        <v>-1.159305</v>
      </c>
      <c r="AH575">
        <v>20.828321756020799</v>
      </c>
      <c r="AI575">
        <v>93.093702935696399</v>
      </c>
      <c r="AJ575">
        <v>76.1761786696066</v>
      </c>
      <c r="AK575">
        <v>21.480915307953602</v>
      </c>
      <c r="AL575">
        <v>92.606105691664695</v>
      </c>
      <c r="AM575">
        <v>93.250614189436803</v>
      </c>
      <c r="AN575">
        <v>0.99999994296154704</v>
      </c>
    </row>
    <row r="576" spans="1:40" x14ac:dyDescent="0.25">
      <c r="A576" t="str">
        <f>"20190305135206965"</f>
        <v>20190305135206965</v>
      </c>
      <c r="B576" t="str">
        <f>"1551765126960056"</f>
        <v>1551765126960056</v>
      </c>
      <c r="C576" t="s">
        <v>40</v>
      </c>
      <c r="D576">
        <v>4.9963959999999998</v>
      </c>
      <c r="E576">
        <v>0.62685109999999999</v>
      </c>
      <c r="F576" t="s">
        <v>47</v>
      </c>
      <c r="G576">
        <v>-310.99680000000001</v>
      </c>
      <c r="H576">
        <v>-0.05</v>
      </c>
      <c r="I576">
        <v>362.315</v>
      </c>
      <c r="J576">
        <v>-331.72190000000001</v>
      </c>
      <c r="K576">
        <v>1.1093</v>
      </c>
      <c r="L576">
        <v>367.9289</v>
      </c>
      <c r="M576">
        <v>0.99986600000000003</v>
      </c>
      <c r="N576">
        <v>-1.450106E-2</v>
      </c>
      <c r="O576">
        <v>7.6070919999999898E-3</v>
      </c>
      <c r="P576">
        <v>0.99614669999999905</v>
      </c>
      <c r="Q576">
        <v>-6.0315720000000003E-2</v>
      </c>
      <c r="R576">
        <v>6.3670270000000001E-2</v>
      </c>
      <c r="S576">
        <v>3.0542910000000001</v>
      </c>
      <c r="T576">
        <v>-0.16922470000000001</v>
      </c>
      <c r="U576">
        <v>-0.81924439999999998</v>
      </c>
      <c r="V576">
        <v>-5.6087400000000003E-2</v>
      </c>
      <c r="W576">
        <v>-4.5860169999999999E-2</v>
      </c>
      <c r="X576">
        <v>0.99737209999999998</v>
      </c>
      <c r="Y576">
        <v>0.2659183</v>
      </c>
      <c r="Z576">
        <v>-9.5025149999999996E-3</v>
      </c>
      <c r="AA576">
        <v>0.96394869999999999</v>
      </c>
      <c r="AB576">
        <v>33</v>
      </c>
      <c r="AC576">
        <v>20.725100000000001</v>
      </c>
      <c r="AD576">
        <v>-1.1593</v>
      </c>
      <c r="AE576">
        <v>-5.6139000000000001</v>
      </c>
      <c r="AF576">
        <v>5.7546367184251297</v>
      </c>
      <c r="AG576">
        <v>-1.1593</v>
      </c>
      <c r="AH576">
        <v>20.621676805869399</v>
      </c>
      <c r="AI576">
        <v>93.099465001007701</v>
      </c>
      <c r="AJ576">
        <v>74.407833048745303</v>
      </c>
      <c r="AK576">
        <v>21.4409275577522</v>
      </c>
      <c r="AL576">
        <v>92.628516025653198</v>
      </c>
      <c r="AM576">
        <v>93.218648475499606</v>
      </c>
      <c r="AN576">
        <v>1.0000000287447901</v>
      </c>
    </row>
    <row r="577" spans="1:40" x14ac:dyDescent="0.25">
      <c r="A577" t="str">
        <f>"20190305135206981"</f>
        <v>20190305135206981</v>
      </c>
      <c r="B577" t="str">
        <f>"1551765126969817"</f>
        <v>1551765126969817</v>
      </c>
      <c r="C577" t="s">
        <v>40</v>
      </c>
      <c r="D577">
        <v>4.9928819999999998</v>
      </c>
      <c r="E577">
        <v>0.62720710000000002</v>
      </c>
      <c r="F577" t="s">
        <v>47</v>
      </c>
      <c r="G577">
        <v>-310.45760000000001</v>
      </c>
      <c r="H577">
        <v>-0.05</v>
      </c>
      <c r="I577">
        <v>362.23</v>
      </c>
      <c r="J577">
        <v>-331.48719999999997</v>
      </c>
      <c r="K577">
        <v>1.109307</v>
      </c>
      <c r="L577">
        <v>367.93079999999998</v>
      </c>
      <c r="M577">
        <v>0.99986589999999997</v>
      </c>
      <c r="N577">
        <v>-1.4498469999999999E-2</v>
      </c>
      <c r="O577">
        <v>7.6336319999999996E-3</v>
      </c>
      <c r="P577">
        <v>0.99618260000000003</v>
      </c>
      <c r="Q577">
        <v>-6.06499E-2</v>
      </c>
      <c r="R577">
        <v>6.27891E-2</v>
      </c>
      <c r="S577">
        <v>3.0537719999999999</v>
      </c>
      <c r="T577">
        <v>-0.16648760000000001</v>
      </c>
      <c r="U577">
        <v>-0.81842040000000005</v>
      </c>
      <c r="V577">
        <v>-5.5180060000000003E-2</v>
      </c>
      <c r="W577">
        <v>-4.6196399999999999E-2</v>
      </c>
      <c r="X577">
        <v>0.99740709999999999</v>
      </c>
      <c r="Y577">
        <v>0.2657564</v>
      </c>
      <c r="Z577">
        <v>-9.375563E-3</v>
      </c>
      <c r="AA577">
        <v>0.96399460000000003</v>
      </c>
      <c r="AB577">
        <v>33</v>
      </c>
      <c r="AC577">
        <v>21.029599999999899</v>
      </c>
      <c r="AD577">
        <v>-1.1593069999999901</v>
      </c>
      <c r="AE577">
        <v>-5.7007999999999504</v>
      </c>
      <c r="AF577">
        <v>5.84463684001385</v>
      </c>
      <c r="AG577">
        <v>-1.1593069999999901</v>
      </c>
      <c r="AH577">
        <v>20.926222858402099</v>
      </c>
      <c r="AI577">
        <v>93.0542727518812</v>
      </c>
      <c r="AJ577">
        <v>74.395096840924296</v>
      </c>
      <c r="AK577">
        <v>21.758000267290299</v>
      </c>
      <c r="AL577">
        <v>92.647801273619294</v>
      </c>
      <c r="AM577">
        <v>93.166575531479396</v>
      </c>
      <c r="AN577">
        <v>0.99999993476248406</v>
      </c>
    </row>
    <row r="578" spans="1:40" x14ac:dyDescent="0.25">
      <c r="A578" t="str">
        <f>"20190305135206994"</f>
        <v>20190305135206994</v>
      </c>
      <c r="B578" t="str">
        <f>"1551765126990313"</f>
        <v>1551765126990313</v>
      </c>
      <c r="C578" t="s">
        <v>40</v>
      </c>
      <c r="D578">
        <v>7.7717549999999997</v>
      </c>
      <c r="E578">
        <v>0.62733190000000005</v>
      </c>
      <c r="F578" t="s">
        <v>47</v>
      </c>
      <c r="G578">
        <v>-309.90190000000001</v>
      </c>
      <c r="H578">
        <v>-0.05</v>
      </c>
      <c r="I578">
        <v>362.10550000000001</v>
      </c>
      <c r="J578">
        <v>-331.30700000000002</v>
      </c>
      <c r="K578">
        <v>1.10931</v>
      </c>
      <c r="L578">
        <v>367.93209999999999</v>
      </c>
      <c r="M578">
        <v>0.99986569999999997</v>
      </c>
      <c r="N578">
        <v>-1.4496469999999999E-2</v>
      </c>
      <c r="O578">
        <v>7.6541500000000002E-3</v>
      </c>
      <c r="P578">
        <v>0.99626360000000003</v>
      </c>
      <c r="Q578">
        <v>-5.9559679999999997E-2</v>
      </c>
      <c r="R578">
        <v>6.2543940000000006E-2</v>
      </c>
      <c r="S578">
        <v>3.0534669999999999</v>
      </c>
      <c r="T578">
        <v>-0.16399540000000001</v>
      </c>
      <c r="U578">
        <v>-0.82403559999999998</v>
      </c>
      <c r="V578">
        <v>-5.4914070000000002E-2</v>
      </c>
      <c r="W578">
        <v>-4.5107099999999997E-2</v>
      </c>
      <c r="X578">
        <v>0.99747169999999996</v>
      </c>
      <c r="Y578">
        <v>0.2674629</v>
      </c>
      <c r="Z578">
        <v>-9.3206450000000007E-3</v>
      </c>
      <c r="AA578">
        <v>0.96352309999999997</v>
      </c>
      <c r="AB578">
        <v>33</v>
      </c>
      <c r="AC578">
        <v>21.405099999999901</v>
      </c>
      <c r="AD578">
        <v>-1.1593100000000001</v>
      </c>
      <c r="AE578">
        <v>-5.8265999999999796</v>
      </c>
      <c r="AF578">
        <v>5.97396943284516</v>
      </c>
      <c r="AG578">
        <v>-1.1593100000000001</v>
      </c>
      <c r="AH578">
        <v>21.301695586430402</v>
      </c>
      <c r="AI578">
        <v>92.999651237597902</v>
      </c>
      <c r="AJ578">
        <v>74.334074828925495</v>
      </c>
      <c r="AK578">
        <v>22.153883301074298</v>
      </c>
      <c r="AL578">
        <v>92.5853236697873</v>
      </c>
      <c r="AM578">
        <v>93.151138526995396</v>
      </c>
      <c r="AN578">
        <v>0.99999999892763203</v>
      </c>
    </row>
    <row r="579" spans="1:40" x14ac:dyDescent="0.25">
      <c r="A579" t="str">
        <f>"20190305135207015"</f>
        <v>20190305135207015</v>
      </c>
      <c r="B579" t="str">
        <f>"1551765127009832"</f>
        <v>1551765127009832</v>
      </c>
      <c r="C579" t="s">
        <v>40</v>
      </c>
      <c r="D579">
        <v>4.9091690000000003</v>
      </c>
      <c r="E579">
        <v>0.62305379999999999</v>
      </c>
      <c r="F579" t="s">
        <v>47</v>
      </c>
      <c r="G579">
        <v>-308.75229999999999</v>
      </c>
      <c r="H579">
        <v>-0.05</v>
      </c>
      <c r="I579">
        <v>361.83420000000001</v>
      </c>
      <c r="J579">
        <v>-330.9923</v>
      </c>
      <c r="K579">
        <v>1.1092979999999999</v>
      </c>
      <c r="L579">
        <v>367.93459999999999</v>
      </c>
      <c r="M579">
        <v>0.99986560000000002</v>
      </c>
      <c r="N579">
        <v>-1.449317E-2</v>
      </c>
      <c r="O579">
        <v>7.69011E-3</v>
      </c>
      <c r="P579">
        <v>0.99617429999999996</v>
      </c>
      <c r="Q579">
        <v>-6.1632590000000001E-2</v>
      </c>
      <c r="R579">
        <v>6.1956890000000001E-2</v>
      </c>
      <c r="S579">
        <v>3.0536799999999999</v>
      </c>
      <c r="T579">
        <v>-0.1569585</v>
      </c>
      <c r="U579">
        <v>-0.82559199999999999</v>
      </c>
      <c r="V579">
        <v>-5.429196E-2</v>
      </c>
      <c r="W579">
        <v>-4.7184370000000003E-2</v>
      </c>
      <c r="X579">
        <v>0.99740960000000001</v>
      </c>
      <c r="Y579">
        <v>0.26797270000000001</v>
      </c>
      <c r="Z579">
        <v>-9.0177139999999996E-3</v>
      </c>
      <c r="AA579">
        <v>0.96338429999999997</v>
      </c>
      <c r="AB579">
        <v>33</v>
      </c>
      <c r="AC579">
        <v>22.24</v>
      </c>
      <c r="AD579">
        <v>-1.1592979999999999</v>
      </c>
      <c r="AE579">
        <v>-6.1003999999999703</v>
      </c>
      <c r="AF579">
        <v>6.2554576459893996</v>
      </c>
      <c r="AG579">
        <v>-1.1592979999999999</v>
      </c>
      <c r="AH579">
        <v>22.136484381178299</v>
      </c>
      <c r="AI579">
        <v>92.885088351264798</v>
      </c>
      <c r="AJ579">
        <v>74.220457908260101</v>
      </c>
      <c r="AK579">
        <v>23.032556587832801</v>
      </c>
      <c r="AL579">
        <v>92.704469562639702</v>
      </c>
      <c r="AM579">
        <v>93.115704259671503</v>
      </c>
      <c r="AN579">
        <v>0.99999994593254704</v>
      </c>
    </row>
    <row r="580" spans="1:40" x14ac:dyDescent="0.25">
      <c r="A580" t="str">
        <f>"20190305135207027"</f>
        <v>20190305135207027</v>
      </c>
      <c r="B580" t="str">
        <f>"1551765127019593"</f>
        <v>1551765127019593</v>
      </c>
      <c r="C580" t="s">
        <v>40</v>
      </c>
      <c r="D580">
        <v>4.8213359999999996</v>
      </c>
      <c r="E580">
        <v>0.55187269999999999</v>
      </c>
      <c r="F580" t="s">
        <v>47</v>
      </c>
      <c r="G580">
        <v>-307.60919999999999</v>
      </c>
      <c r="H580">
        <v>-0.05</v>
      </c>
      <c r="I580">
        <v>361.85700000000003</v>
      </c>
      <c r="J580">
        <v>-330.81389999999999</v>
      </c>
      <c r="K580">
        <v>1.1092919999999999</v>
      </c>
      <c r="L580">
        <v>367.9359</v>
      </c>
      <c r="M580">
        <v>0.99986540000000002</v>
      </c>
      <c r="N580">
        <v>-1.4491399999999899E-2</v>
      </c>
      <c r="O580">
        <v>7.7106240000000001E-3</v>
      </c>
      <c r="P580">
        <v>0.99610050000000006</v>
      </c>
      <c r="Q580">
        <v>-6.2887810000000002E-2</v>
      </c>
      <c r="R580">
        <v>6.1880919999999999E-2</v>
      </c>
      <c r="S580">
        <v>3.0514830000000002</v>
      </c>
      <c r="T580">
        <v>-0.15128800000000001</v>
      </c>
      <c r="U580">
        <v>-0.79312130000000003</v>
      </c>
      <c r="V580">
        <v>-5.4195470000000003E-2</v>
      </c>
      <c r="W580">
        <v>-4.8442260000000001E-2</v>
      </c>
      <c r="X580">
        <v>0.99735459999999998</v>
      </c>
      <c r="Y580">
        <v>0.2586174</v>
      </c>
      <c r="Z580">
        <v>-8.4745459999999995E-3</v>
      </c>
      <c r="AA580">
        <v>0.96594270000000004</v>
      </c>
      <c r="AB580">
        <v>33</v>
      </c>
      <c r="AC580">
        <v>23.204699999999999</v>
      </c>
      <c r="AD580">
        <v>-1.159292</v>
      </c>
      <c r="AE580">
        <v>-6.0789000000000302</v>
      </c>
      <c r="AF580">
        <v>6.2430790988238503</v>
      </c>
      <c r="AG580">
        <v>-1.159292</v>
      </c>
      <c r="AH580">
        <v>23.103172132433301</v>
      </c>
      <c r="AI580">
        <v>92.7733211493032</v>
      </c>
      <c r="AJ580">
        <v>74.878353530390896</v>
      </c>
      <c r="AK580">
        <v>23.959894765133601</v>
      </c>
      <c r="AL580">
        <v>92.776623733316896</v>
      </c>
      <c r="AM580">
        <v>93.110348954103202</v>
      </c>
      <c r="AN580">
        <v>0.999999999831794</v>
      </c>
    </row>
    <row r="581" spans="1:40" x14ac:dyDescent="0.25">
      <c r="A581" t="str">
        <f>"20190305135207039"</f>
        <v>20190305135207039</v>
      </c>
      <c r="B581" t="str">
        <f>"1551765127030329"</f>
        <v>1551765127030329</v>
      </c>
      <c r="C581" t="s">
        <v>40</v>
      </c>
      <c r="D581">
        <v>4.8500569999999996</v>
      </c>
      <c r="E581">
        <v>0.53900619999999999</v>
      </c>
      <c r="F581" t="s">
        <v>42</v>
      </c>
      <c r="G581">
        <v>-270.92290000000003</v>
      </c>
      <c r="H581" s="1">
        <v>-4.9638800000000003E-6</v>
      </c>
      <c r="I581">
        <v>363.4853</v>
      </c>
      <c r="J581">
        <v>-330.64400000000001</v>
      </c>
      <c r="K581">
        <v>1.109289</v>
      </c>
      <c r="L581">
        <v>367.93729999999999</v>
      </c>
      <c r="M581">
        <v>0.99986520000000001</v>
      </c>
      <c r="N581">
        <v>-1.448965E-2</v>
      </c>
      <c r="O581">
        <v>7.7295910000000001E-3</v>
      </c>
      <c r="P581">
        <v>0.99604539999999997</v>
      </c>
      <c r="Q581">
        <v>-6.3988920000000005E-2</v>
      </c>
      <c r="R581">
        <v>6.1640420000000001E-2</v>
      </c>
      <c r="S581">
        <v>3.022125</v>
      </c>
      <c r="T581">
        <v>-5.5975560000000001E-2</v>
      </c>
      <c r="U581">
        <v>-0.2245789</v>
      </c>
      <c r="V581">
        <v>-5.3936690000000002E-2</v>
      </c>
      <c r="W581">
        <v>-4.9545800000000001E-2</v>
      </c>
      <c r="X581">
        <v>0.99731440000000005</v>
      </c>
      <c r="Y581">
        <v>8.1789180000000003E-2</v>
      </c>
      <c r="Z581">
        <v>-1.3809499999999999E-3</v>
      </c>
      <c r="AA581">
        <v>0.99664870000000005</v>
      </c>
      <c r="AB581">
        <v>33</v>
      </c>
      <c r="AC581">
        <v>59.7210999999999</v>
      </c>
      <c r="AD581">
        <v>-1.1092939638799999</v>
      </c>
      <c r="AE581">
        <v>-4.4519999999999902</v>
      </c>
      <c r="AF581">
        <v>4.91184979566032</v>
      </c>
      <c r="AG581">
        <v>-1.1092939638799999</v>
      </c>
      <c r="AH581">
        <v>59.664428436351997</v>
      </c>
      <c r="AI581">
        <v>91.061542497297197</v>
      </c>
      <c r="AJ581">
        <v>85.293761041208199</v>
      </c>
      <c r="AK581">
        <v>59.876546511551503</v>
      </c>
      <c r="AL581">
        <v>92.839927993802306</v>
      </c>
      <c r="AM581">
        <v>93.095650716749702</v>
      </c>
      <c r="AN581">
        <v>0.99999998263657697</v>
      </c>
    </row>
    <row r="582" spans="1:40" x14ac:dyDescent="0.25">
      <c r="A582" t="str">
        <f>"20190305135207050"</f>
        <v>20190305135207050</v>
      </c>
      <c r="B582" t="str">
        <f>"1551765127040089"</f>
        <v>1551765127040089</v>
      </c>
      <c r="C582" t="s">
        <v>40</v>
      </c>
      <c r="D582">
        <v>4.8796520000000001</v>
      </c>
      <c r="E582">
        <v>0.53256979999999998</v>
      </c>
      <c r="F582" t="s">
        <v>47</v>
      </c>
      <c r="G582">
        <v>-297.60410000000002</v>
      </c>
      <c r="H582">
        <v>-0.05</v>
      </c>
      <c r="I582">
        <v>366.57920000000001</v>
      </c>
      <c r="J582">
        <v>-330.47550000000001</v>
      </c>
      <c r="K582">
        <v>1.1092900000000001</v>
      </c>
      <c r="L582">
        <v>367.93860000000001</v>
      </c>
      <c r="M582">
        <v>0.99986509999999995</v>
      </c>
      <c r="N582">
        <v>-1.448788E-2</v>
      </c>
      <c r="O582">
        <v>7.7482540000000004E-3</v>
      </c>
      <c r="P582">
        <v>0.99595840000000002</v>
      </c>
      <c r="Q582">
        <v>-6.4955460000000007E-2</v>
      </c>
      <c r="R582">
        <v>6.2029830000000001E-2</v>
      </c>
      <c r="S582">
        <v>3.0127869999999999</v>
      </c>
      <c r="T582">
        <v>-0.1057111</v>
      </c>
      <c r="U582">
        <v>-0.1238403</v>
      </c>
      <c r="V582">
        <v>-5.4307830000000001E-2</v>
      </c>
      <c r="W582">
        <v>-5.0515190000000001E-2</v>
      </c>
      <c r="X582">
        <v>0.99724570000000001</v>
      </c>
      <c r="Y582">
        <v>4.8767530000000003E-2</v>
      </c>
      <c r="Z582">
        <v>-1.3680179999999999E-3</v>
      </c>
      <c r="AA582">
        <v>0.99880919999999895</v>
      </c>
      <c r="AB582">
        <v>33</v>
      </c>
      <c r="AC582">
        <v>32.871399999999902</v>
      </c>
      <c r="AD582">
        <v>-1.1592899999999999</v>
      </c>
      <c r="AE582">
        <v>-1.3593999999999899</v>
      </c>
      <c r="AF582">
        <v>1.61208018707186</v>
      </c>
      <c r="AG582">
        <v>-1.1592899999999999</v>
      </c>
      <c r="AH582">
        <v>32.819128494529103</v>
      </c>
      <c r="AI582">
        <v>92.020618286959404</v>
      </c>
      <c r="AJ582">
        <v>87.187883514709299</v>
      </c>
      <c r="AK582">
        <v>32.8791415790324</v>
      </c>
      <c r="AL582">
        <v>92.895539384455006</v>
      </c>
      <c r="AM582">
        <v>93.117124424938496</v>
      </c>
      <c r="AN582">
        <v>1.0000000554942601</v>
      </c>
    </row>
    <row r="583" spans="1:40" x14ac:dyDescent="0.25">
      <c r="A583" t="str">
        <f>"20190305135207062"</f>
        <v>20190305135207062</v>
      </c>
      <c r="B583" t="str">
        <f>"1551765127049850"</f>
        <v>1551765127049850</v>
      </c>
      <c r="C583" t="s">
        <v>40</v>
      </c>
      <c r="D583">
        <v>4.7927710000000001</v>
      </c>
      <c r="E583">
        <v>0.53011540000000001</v>
      </c>
      <c r="F583" t="s">
        <v>47</v>
      </c>
      <c r="G583">
        <v>-304.03030000000001</v>
      </c>
      <c r="H583">
        <v>-0.05</v>
      </c>
      <c r="I583">
        <v>367.3073</v>
      </c>
      <c r="J583">
        <v>-330.30419999999998</v>
      </c>
      <c r="K583">
        <v>1.1092879999999901</v>
      </c>
      <c r="L583">
        <v>367.94</v>
      </c>
      <c r="M583">
        <v>0.999865</v>
      </c>
      <c r="N583">
        <v>-1.448603E-2</v>
      </c>
      <c r="O583">
        <v>7.7667300000000003E-3</v>
      </c>
      <c r="P583">
        <v>0.99594000000000005</v>
      </c>
      <c r="Q583">
        <v>-6.4796320000000004E-2</v>
      </c>
      <c r="R583">
        <v>6.2489629999999997E-2</v>
      </c>
      <c r="S583">
        <v>3.0080260000000001</v>
      </c>
      <c r="T583">
        <v>-0.13186429999999999</v>
      </c>
      <c r="U583">
        <v>-7.1807860000000001E-2</v>
      </c>
      <c r="V583">
        <v>-5.4749550000000001E-2</v>
      </c>
      <c r="W583">
        <v>-5.0358050000000001E-2</v>
      </c>
      <c r="X583">
        <v>0.99722949999999999</v>
      </c>
      <c r="Y583">
        <v>3.1586200000000002E-2</v>
      </c>
      <c r="Z583">
        <v>-1.148675E-3</v>
      </c>
      <c r="AA583">
        <v>0.99950039999999996</v>
      </c>
      <c r="AB583">
        <v>33</v>
      </c>
      <c r="AC583">
        <v>26.273899999999902</v>
      </c>
      <c r="AD583">
        <v>-1.1592880000000001</v>
      </c>
      <c r="AE583">
        <v>-0.63269999999999904</v>
      </c>
      <c r="AF583">
        <v>0.83513964189490897</v>
      </c>
      <c r="AG583">
        <v>-1.1592880000000001</v>
      </c>
      <c r="AH583">
        <v>26.217181380007901</v>
      </c>
      <c r="AI583">
        <v>92.530609950206099</v>
      </c>
      <c r="AJ583">
        <v>88.175478852490897</v>
      </c>
      <c r="AK583">
        <v>26.256085130891901</v>
      </c>
      <c r="AL583">
        <v>92.886524436479704</v>
      </c>
      <c r="AM583">
        <v>93.142478311587794</v>
      </c>
      <c r="AN583">
        <v>1.0000000610476201</v>
      </c>
    </row>
    <row r="584" spans="1:40" x14ac:dyDescent="0.25">
      <c r="A584" t="str">
        <f>"20190305135207075"</f>
        <v>20190305135207075</v>
      </c>
      <c r="B584" t="str">
        <f>"1551765127070345"</f>
        <v>1551765127070345</v>
      </c>
      <c r="C584" t="s">
        <v>40</v>
      </c>
      <c r="D584">
        <v>4.7739539999999998</v>
      </c>
      <c r="E584">
        <v>0.52803809999999995</v>
      </c>
      <c r="F584" t="s">
        <v>47</v>
      </c>
      <c r="G584">
        <v>-306.7552</v>
      </c>
      <c r="H584">
        <v>-0.05</v>
      </c>
      <c r="I584">
        <v>367.53809999999999</v>
      </c>
      <c r="J584">
        <v>-330.13150000000002</v>
      </c>
      <c r="K584">
        <v>1.1092869999999999</v>
      </c>
      <c r="L584">
        <v>367.94130000000001</v>
      </c>
      <c r="M584">
        <v>0.99986489999999995</v>
      </c>
      <c r="N584">
        <v>-1.448414E-2</v>
      </c>
      <c r="O584">
        <v>7.7829869999999999E-3</v>
      </c>
      <c r="P584">
        <v>0.99583969999999999</v>
      </c>
      <c r="Q584">
        <v>-6.5366030000000006E-2</v>
      </c>
      <c r="R584">
        <v>6.3489199999999996E-2</v>
      </c>
      <c r="S584">
        <v>3.0058590000000001</v>
      </c>
      <c r="T584">
        <v>-0.1479751</v>
      </c>
      <c r="U584">
        <v>-5.130005E-2</v>
      </c>
      <c r="V584">
        <v>-5.5734110000000003E-2</v>
      </c>
      <c r="W584">
        <v>-5.0930700000000002E-2</v>
      </c>
      <c r="X584">
        <v>0.99714579999999997</v>
      </c>
      <c r="Y584">
        <v>2.480278E-2</v>
      </c>
      <c r="Z584">
        <v>-1.0600919999999999E-3</v>
      </c>
      <c r="AA584">
        <v>0.99969180000000002</v>
      </c>
      <c r="AB584">
        <v>33</v>
      </c>
      <c r="AC584">
        <v>23.376300000000001</v>
      </c>
      <c r="AD584">
        <v>-1.159287</v>
      </c>
      <c r="AE584">
        <v>-0.40320000000002598</v>
      </c>
      <c r="AF584">
        <v>0.58370914369540405</v>
      </c>
      <c r="AG584">
        <v>-1.159287</v>
      </c>
      <c r="AH584">
        <v>23.315129067945801</v>
      </c>
      <c r="AI584">
        <v>92.845656092528898</v>
      </c>
      <c r="AJ584">
        <v>88.565863155537897</v>
      </c>
      <c r="AK584">
        <v>23.351229221772702</v>
      </c>
      <c r="AL584">
        <v>92.919377237964099</v>
      </c>
      <c r="AM584">
        <v>93.1991410600439</v>
      </c>
      <c r="AN584">
        <v>0.99999998683881097</v>
      </c>
    </row>
    <row r="585" spans="1:40" x14ac:dyDescent="0.25">
      <c r="A585" t="str">
        <f>"20190305135207086"</f>
        <v>20190305135207086</v>
      </c>
      <c r="B585" t="str">
        <f>"1551765127080105"</f>
        <v>1551765127080105</v>
      </c>
      <c r="C585" t="s">
        <v>40</v>
      </c>
      <c r="D585">
        <v>4.713336</v>
      </c>
      <c r="E585">
        <v>0.52750269999999899</v>
      </c>
      <c r="F585" t="s">
        <v>47</v>
      </c>
      <c r="G585">
        <v>-308.96640000000002</v>
      </c>
      <c r="H585">
        <v>-0.05</v>
      </c>
      <c r="I585">
        <v>367.71690000000001</v>
      </c>
      <c r="J585">
        <v>-329.9477</v>
      </c>
      <c r="K585">
        <v>1.109273</v>
      </c>
      <c r="L585">
        <v>367.94279999999998</v>
      </c>
      <c r="M585">
        <v>0.99986470000000005</v>
      </c>
      <c r="N585">
        <v>-1.4482129999999999E-2</v>
      </c>
      <c r="O585">
        <v>7.7989380000000001E-3</v>
      </c>
      <c r="P585">
        <v>0.99569300000000005</v>
      </c>
      <c r="Q585">
        <v>-6.6550620000000005E-2</v>
      </c>
      <c r="R585">
        <v>6.4549540000000002E-2</v>
      </c>
      <c r="S585">
        <v>3.003784</v>
      </c>
      <c r="T585">
        <v>-0.16452729999999999</v>
      </c>
      <c r="U585">
        <v>-3.1860350000000003E-2</v>
      </c>
      <c r="V585">
        <v>-5.6779980000000001E-2</v>
      </c>
      <c r="W585">
        <v>-5.2118930000000001E-2</v>
      </c>
      <c r="X585">
        <v>0.99702539999999995</v>
      </c>
      <c r="Y585">
        <v>1.8363999999999998E-2</v>
      </c>
      <c r="Z585">
        <v>-9.4960729999999998E-4</v>
      </c>
      <c r="AA585">
        <v>0.99983089999999997</v>
      </c>
      <c r="AB585">
        <v>33</v>
      </c>
      <c r="AC585">
        <v>20.981299999999901</v>
      </c>
      <c r="AD585">
        <v>-1.159273</v>
      </c>
      <c r="AE585">
        <v>-0.22589999999996699</v>
      </c>
      <c r="AF585">
        <v>0.38835669002829498</v>
      </c>
      <c r="AG585">
        <v>-1.159273</v>
      </c>
      <c r="AH585">
        <v>20.915056509966</v>
      </c>
      <c r="AI585">
        <v>93.171980064532605</v>
      </c>
      <c r="AJ585">
        <v>88.936237990177801</v>
      </c>
      <c r="AK585">
        <v>20.950759499891401</v>
      </c>
      <c r="AL585">
        <v>92.987548322481402</v>
      </c>
      <c r="AM585">
        <v>93.259438550454803</v>
      </c>
      <c r="AN585">
        <v>0.99999999861915201</v>
      </c>
    </row>
    <row r="586" spans="1:40" x14ac:dyDescent="0.25">
      <c r="A586" t="str">
        <f>"20190305135207098"</f>
        <v>20190305135207098</v>
      </c>
      <c r="B586" t="str">
        <f>"1551765127089864"</f>
        <v>1551765127089864</v>
      </c>
      <c r="C586" t="s">
        <v>40</v>
      </c>
      <c r="D586">
        <v>4.6821190000000001</v>
      </c>
      <c r="E586">
        <v>0.52722409999999997</v>
      </c>
      <c r="F586" t="s">
        <v>47</v>
      </c>
      <c r="G586">
        <v>-309.85469999999998</v>
      </c>
      <c r="H586">
        <v>-0.05</v>
      </c>
      <c r="I586">
        <v>367.7774</v>
      </c>
      <c r="J586">
        <v>-329.76659999999998</v>
      </c>
      <c r="K586">
        <v>1.109254</v>
      </c>
      <c r="L586">
        <v>367.94420000000002</v>
      </c>
      <c r="M586">
        <v>0.99986470000000005</v>
      </c>
      <c r="N586">
        <v>-1.448018E-2</v>
      </c>
      <c r="O586">
        <v>7.8116459999999898E-3</v>
      </c>
      <c r="P586">
        <v>0.99540980000000001</v>
      </c>
      <c r="Q586">
        <v>-6.9425580000000001E-2</v>
      </c>
      <c r="R586">
        <v>6.5874970000000005E-2</v>
      </c>
      <c r="S586">
        <v>3.0029910000000002</v>
      </c>
      <c r="T586">
        <v>-0.17325889999999999</v>
      </c>
      <c r="U586">
        <v>-2.471924E-2</v>
      </c>
      <c r="V586">
        <v>-5.8095460000000002E-2</v>
      </c>
      <c r="W586">
        <v>-5.4999029999999997E-2</v>
      </c>
      <c r="X586">
        <v>0.99679490000000004</v>
      </c>
      <c r="Y586">
        <v>1.6002619999999999E-2</v>
      </c>
      <c r="Z586">
        <v>-9.1450370000000002E-4</v>
      </c>
      <c r="AA586">
        <v>0.99987159999999997</v>
      </c>
      <c r="AB586">
        <v>33</v>
      </c>
      <c r="AC586">
        <v>19.911899999999999</v>
      </c>
      <c r="AD586">
        <v>-1.159254</v>
      </c>
      <c r="AE586">
        <v>-0.16680000000002301</v>
      </c>
      <c r="AF586">
        <v>0.32126707542763899</v>
      </c>
      <c r="AG586">
        <v>-1.159254</v>
      </c>
      <c r="AH586">
        <v>19.842737568617899</v>
      </c>
      <c r="AI586">
        <v>93.3431009250057</v>
      </c>
      <c r="AJ586">
        <v>89.0724243921766</v>
      </c>
      <c r="AK586">
        <v>19.879167904801999</v>
      </c>
      <c r="AL586">
        <v>93.152803066453103</v>
      </c>
      <c r="AM586">
        <v>93.335554199407696</v>
      </c>
      <c r="AN586">
        <v>1.00000002421978</v>
      </c>
    </row>
    <row r="587" spans="1:40" x14ac:dyDescent="0.25">
      <c r="A587" t="str">
        <f>"20190305135207117"</f>
        <v>20190305135207117</v>
      </c>
      <c r="B587" t="str">
        <f>"1551765127110361"</f>
        <v>1551765127110361</v>
      </c>
      <c r="C587" t="s">
        <v>40</v>
      </c>
      <c r="D587">
        <v>4.6754579999999999</v>
      </c>
      <c r="E587">
        <v>0.52700839999999904</v>
      </c>
      <c r="F587" t="s">
        <v>47</v>
      </c>
      <c r="G587">
        <v>-311.08370000000002</v>
      </c>
      <c r="H587">
        <v>-0.05</v>
      </c>
      <c r="I587">
        <v>367.827</v>
      </c>
      <c r="J587">
        <v>-329.51490000000001</v>
      </c>
      <c r="K587">
        <v>1.1092249999999999</v>
      </c>
      <c r="L587">
        <v>367.94619999999998</v>
      </c>
      <c r="M587">
        <v>0.9998648</v>
      </c>
      <c r="N587">
        <v>-1.4477469999999999E-2</v>
      </c>
      <c r="O587">
        <v>7.8253449999999992E-3</v>
      </c>
      <c r="P587">
        <v>0.99492369999999997</v>
      </c>
      <c r="Q587">
        <v>-7.4306750000000005E-2</v>
      </c>
      <c r="R587">
        <v>6.7866629999999997E-2</v>
      </c>
      <c r="S587">
        <v>3.0020449999999999</v>
      </c>
      <c r="T587">
        <v>-0.18627369999999999</v>
      </c>
      <c r="U587">
        <v>-1.8829350000000002E-2</v>
      </c>
      <c r="V587">
        <v>-6.007755E-2</v>
      </c>
      <c r="W587">
        <v>-5.9888499999999997E-2</v>
      </c>
      <c r="X587">
        <v>0.99639549999999999</v>
      </c>
      <c r="Y587">
        <v>1.4055669999999999E-2</v>
      </c>
      <c r="Z587">
        <v>-9.0938849999999997E-4</v>
      </c>
      <c r="AA587">
        <v>0.99990080000000003</v>
      </c>
      <c r="AB587">
        <v>33</v>
      </c>
      <c r="AC587">
        <v>18.431199999999901</v>
      </c>
      <c r="AD587">
        <v>-1.1592249999999999</v>
      </c>
      <c r="AE587">
        <v>-0.119199999999978</v>
      </c>
      <c r="AF587">
        <v>0.26240397352666101</v>
      </c>
      <c r="AG587">
        <v>-1.1592249999999999</v>
      </c>
      <c r="AH587">
        <v>18.357089744742499</v>
      </c>
      <c r="AI587">
        <v>93.6129836938251</v>
      </c>
      <c r="AJ587">
        <v>89.181045768508696</v>
      </c>
      <c r="AK587">
        <v>18.395526693804602</v>
      </c>
      <c r="AL587">
        <v>93.4334128876786</v>
      </c>
      <c r="AM587">
        <v>93.450465005326905</v>
      </c>
      <c r="AN587">
        <v>0.99999996843325001</v>
      </c>
    </row>
    <row r="588" spans="1:40" x14ac:dyDescent="0.25">
      <c r="A588" t="str">
        <f>"20190305135207128"</f>
        <v>20190305135207128</v>
      </c>
      <c r="B588" t="str">
        <f>"1551765127120121"</f>
        <v>1551765127120121</v>
      </c>
      <c r="C588" t="s">
        <v>40</v>
      </c>
      <c r="D588">
        <v>4.6923000000000004</v>
      </c>
      <c r="E588">
        <v>0.52709549999999905</v>
      </c>
      <c r="F588" t="s">
        <v>47</v>
      </c>
      <c r="G588">
        <v>-312.71800000000002</v>
      </c>
      <c r="H588">
        <v>-0.05</v>
      </c>
      <c r="I588">
        <v>367.88499999999999</v>
      </c>
      <c r="J588">
        <v>-329.33589999999998</v>
      </c>
      <c r="K588">
        <v>1.1092169999999999</v>
      </c>
      <c r="L588">
        <v>367.94760000000002</v>
      </c>
      <c r="M588">
        <v>0.99986459999999999</v>
      </c>
      <c r="N588">
        <v>-1.447553E-2</v>
      </c>
      <c r="O588">
        <v>7.8329839999999994E-3</v>
      </c>
      <c r="P588">
        <v>0.99481509999999995</v>
      </c>
      <c r="Q588">
        <v>-7.4723440000000002E-2</v>
      </c>
      <c r="R588">
        <v>6.8989339999999996E-2</v>
      </c>
      <c r="S588">
        <v>3.00061</v>
      </c>
      <c r="T588">
        <v>-0.20708480000000001</v>
      </c>
      <c r="U588">
        <v>-1.0925290000000001E-2</v>
      </c>
      <c r="V588">
        <v>-6.1193930000000001E-2</v>
      </c>
      <c r="W588">
        <v>-6.0308E-2</v>
      </c>
      <c r="X588">
        <v>0.99630229999999997</v>
      </c>
      <c r="Y588">
        <v>1.14301E-2</v>
      </c>
      <c r="Z588">
        <v>-9.0345669999999999E-4</v>
      </c>
      <c r="AA588">
        <v>0.99993430000000005</v>
      </c>
      <c r="AB588">
        <v>33</v>
      </c>
      <c r="AC588">
        <v>16.617899999999899</v>
      </c>
      <c r="AD588">
        <v>-1.1592169999999999</v>
      </c>
      <c r="AE588">
        <v>-6.26000000000317E-2</v>
      </c>
      <c r="AF588">
        <v>0.19184593631580599</v>
      </c>
      <c r="AG588">
        <v>-1.1592169999999999</v>
      </c>
      <c r="AH588">
        <v>16.536433600083601</v>
      </c>
      <c r="AI588">
        <v>94.009650433711101</v>
      </c>
      <c r="AJ588">
        <v>89.335318023988705</v>
      </c>
      <c r="AK588">
        <v>16.578124897778501</v>
      </c>
      <c r="AL588">
        <v>93.457491839506204</v>
      </c>
      <c r="AM588">
        <v>93.514751328869195</v>
      </c>
      <c r="AN588">
        <v>1.00000001245906</v>
      </c>
    </row>
    <row r="589" spans="1:40" x14ac:dyDescent="0.25">
      <c r="A589" t="str">
        <f>"20190305135207140"</f>
        <v>20190305135207140</v>
      </c>
      <c r="B589" t="str">
        <f>"1551765127129882"</f>
        <v>1551765127129882</v>
      </c>
      <c r="C589" t="s">
        <v>40</v>
      </c>
      <c r="D589">
        <v>4.6850319999999996</v>
      </c>
      <c r="E589">
        <v>0.52734720000000002</v>
      </c>
      <c r="F589" t="s">
        <v>41</v>
      </c>
      <c r="G589">
        <v>-328.36259999999999</v>
      </c>
      <c r="H589">
        <v>1.0414030000000001</v>
      </c>
      <c r="I589">
        <v>367.94470000000001</v>
      </c>
      <c r="J589">
        <v>-329.15600000000001</v>
      </c>
      <c r="K589">
        <v>1.1092109999999999</v>
      </c>
      <c r="L589">
        <v>367.94900000000001</v>
      </c>
      <c r="M589">
        <v>0.99986459999999999</v>
      </c>
      <c r="N589">
        <v>-1.44736E-2</v>
      </c>
      <c r="O589">
        <v>7.8386580000000001E-3</v>
      </c>
      <c r="P589">
        <v>0.99476229999999999</v>
      </c>
      <c r="Q589">
        <v>-7.4552489999999999E-2</v>
      </c>
      <c r="R589">
        <v>6.9930820000000005E-2</v>
      </c>
      <c r="S589">
        <v>3.0004879999999998</v>
      </c>
      <c r="T589">
        <v>-0.20917440000000001</v>
      </c>
      <c r="U589">
        <v>-8.3618159999999993E-3</v>
      </c>
      <c r="V589">
        <v>-6.213043E-2</v>
      </c>
      <c r="W589">
        <v>-6.0139119999999997E-2</v>
      </c>
      <c r="X589">
        <v>0.99625459999999999</v>
      </c>
      <c r="Y589">
        <v>1.0583189999999999E-2</v>
      </c>
      <c r="Z589">
        <v>-8.775953E-4</v>
      </c>
      <c r="AA589">
        <v>0.99994360000000004</v>
      </c>
      <c r="AB589">
        <v>33</v>
      </c>
      <c r="AC589">
        <v>0.79340000000001898</v>
      </c>
      <c r="AD589">
        <v>-6.7807999999999993E-2</v>
      </c>
      <c r="AE589">
        <v>-4.3000000000006297E-3</v>
      </c>
      <c r="AF589">
        <v>1.04434306651359E-2</v>
      </c>
      <c r="AG589">
        <v>-6.7807999999999993E-2</v>
      </c>
      <c r="AH589">
        <v>0.78758930501248803</v>
      </c>
      <c r="AI589">
        <v>94.920351575803195</v>
      </c>
      <c r="AJ589">
        <v>89.240302742812702</v>
      </c>
      <c r="AK589">
        <v>0.790571883814566</v>
      </c>
      <c r="AL589">
        <v>93.447797948455502</v>
      </c>
      <c r="AM589">
        <v>93.568572868758906</v>
      </c>
      <c r="AN589">
        <v>1.00000006605375</v>
      </c>
    </row>
    <row r="590" spans="1:40" x14ac:dyDescent="0.25">
      <c r="A590" t="str">
        <f>"20190305135207162"</f>
        <v>20190305135207162</v>
      </c>
      <c r="B590" t="str">
        <f>"1551765127150376"</f>
        <v>1551765127150376</v>
      </c>
      <c r="C590" t="s">
        <v>40</v>
      </c>
      <c r="D590">
        <v>4.6829929999999997</v>
      </c>
      <c r="E590">
        <v>0.52749969999999902</v>
      </c>
      <c r="F590" t="s">
        <v>47</v>
      </c>
      <c r="G590">
        <v>-312.55689999999998</v>
      </c>
      <c r="H590">
        <v>-0.05</v>
      </c>
      <c r="I590">
        <v>367.90890000000002</v>
      </c>
      <c r="J590">
        <v>-328.85640000000001</v>
      </c>
      <c r="K590">
        <v>1.1092200000000001</v>
      </c>
      <c r="L590">
        <v>367.95139999999998</v>
      </c>
      <c r="M590">
        <v>0.99986459999999999</v>
      </c>
      <c r="N590">
        <v>-1.4470230000000001E-2</v>
      </c>
      <c r="O590">
        <v>7.8446780000000008E-3</v>
      </c>
      <c r="P590">
        <v>0.99493010000000004</v>
      </c>
      <c r="Q590">
        <v>-7.0779850000000005E-2</v>
      </c>
      <c r="R590">
        <v>7.1444170000000001E-2</v>
      </c>
      <c r="S590">
        <v>3.0006710000000001</v>
      </c>
      <c r="T590">
        <v>-0.20955470000000001</v>
      </c>
      <c r="U590">
        <v>-7.2631839999999998E-3</v>
      </c>
      <c r="V590">
        <v>-6.3636999999999999E-2</v>
      </c>
      <c r="W590">
        <v>-5.6366880000000001E-2</v>
      </c>
      <c r="X590">
        <v>0.99638000000000004</v>
      </c>
      <c r="Y590">
        <v>1.022383E-2</v>
      </c>
      <c r="Z590">
        <v>-8.6440319999999998E-4</v>
      </c>
      <c r="AA590">
        <v>0.99994740000000004</v>
      </c>
      <c r="AB590">
        <v>33</v>
      </c>
      <c r="AC590">
        <v>16.299499999999998</v>
      </c>
      <c r="AD590">
        <v>-1.1592199999999999</v>
      </c>
      <c r="AE590">
        <v>-4.2499999999961298E-2</v>
      </c>
      <c r="AF590">
        <v>0.16951897080619699</v>
      </c>
      <c r="AG590">
        <v>-1.1592199999999999</v>
      </c>
      <c r="AH590">
        <v>16.216640894471201</v>
      </c>
      <c r="AI590">
        <v>94.088517440965106</v>
      </c>
      <c r="AJ590">
        <v>89.401086335943504</v>
      </c>
      <c r="AK590">
        <v>16.258904317022701</v>
      </c>
      <c r="AL590">
        <v>93.231296968511799</v>
      </c>
      <c r="AM590">
        <v>93.654414898919001</v>
      </c>
      <c r="AN590">
        <v>0.99999999866496703</v>
      </c>
    </row>
    <row r="591" spans="1:40" x14ac:dyDescent="0.25">
      <c r="A591" t="str">
        <f>"20190305135207179"</f>
        <v>20190305135207179</v>
      </c>
      <c r="B591" t="str">
        <f>"1551765127169897"</f>
        <v>1551765127169897</v>
      </c>
      <c r="C591" t="s">
        <v>40</v>
      </c>
      <c r="D591">
        <v>4.6773629999999997</v>
      </c>
      <c r="E591">
        <v>0.52768219999999899</v>
      </c>
      <c r="F591" t="s">
        <v>47</v>
      </c>
      <c r="G591">
        <v>-311.2439</v>
      </c>
      <c r="H591">
        <v>-0.05</v>
      </c>
      <c r="I591">
        <v>367.92790000000002</v>
      </c>
      <c r="J591">
        <v>-328.60250000000002</v>
      </c>
      <c r="K591">
        <v>1.1092280000000001</v>
      </c>
      <c r="L591">
        <v>367.95339999999999</v>
      </c>
      <c r="M591">
        <v>0.99986459999999999</v>
      </c>
      <c r="N591">
        <v>-1.4467499999999999E-2</v>
      </c>
      <c r="O591">
        <v>7.8464969999999992E-3</v>
      </c>
      <c r="P591">
        <v>0.99499369999999998</v>
      </c>
      <c r="Q591">
        <v>-6.9394059999999994E-2</v>
      </c>
      <c r="R591">
        <v>7.1916040000000001E-2</v>
      </c>
      <c r="S591">
        <v>3.0015559999999999</v>
      </c>
      <c r="T591">
        <v>-0.1975565</v>
      </c>
      <c r="U591">
        <v>-3.9978030000000003E-3</v>
      </c>
      <c r="V591">
        <v>-6.4107079999999997E-2</v>
      </c>
      <c r="W591">
        <v>-5.4982540000000003E-2</v>
      </c>
      <c r="X591">
        <v>0.99642719999999996</v>
      </c>
      <c r="Y591">
        <v>9.1447009999999999E-3</v>
      </c>
      <c r="Z591">
        <v>-7.6930789999999998E-4</v>
      </c>
      <c r="AA591">
        <v>0.99995789999999996</v>
      </c>
      <c r="AB591">
        <v>33</v>
      </c>
      <c r="AC591">
        <v>17.358599999999999</v>
      </c>
      <c r="AD591">
        <v>-1.1592279999999999</v>
      </c>
      <c r="AE591">
        <v>-2.5499999999965401E-2</v>
      </c>
      <c r="AF591">
        <v>0.160999654765456</v>
      </c>
      <c r="AG591">
        <v>-1.1592279999999999</v>
      </c>
      <c r="AH591">
        <v>17.280797925106601</v>
      </c>
      <c r="AI591">
        <v>93.8375914730684</v>
      </c>
      <c r="AJ591">
        <v>89.466209032999103</v>
      </c>
      <c r="AK591">
        <v>17.320384157783199</v>
      </c>
      <c r="AL591">
        <v>93.151856963151303</v>
      </c>
      <c r="AM591">
        <v>93.681161823042402</v>
      </c>
      <c r="AN591">
        <v>0.999999981155408</v>
      </c>
    </row>
    <row r="592" spans="1:40" x14ac:dyDescent="0.25">
      <c r="A592" t="str">
        <f>"20190305135207193"</f>
        <v>20190305135207193</v>
      </c>
      <c r="B592" t="str">
        <f>"1551765127190394"</f>
        <v>1551765127190394</v>
      </c>
      <c r="C592" t="s">
        <v>40</v>
      </c>
      <c r="D592">
        <v>4.7013299999999996</v>
      </c>
      <c r="E592">
        <v>0.52797190000000005</v>
      </c>
      <c r="F592" t="s">
        <v>47</v>
      </c>
      <c r="G592">
        <v>-310.57870000000003</v>
      </c>
      <c r="H592">
        <v>-0.05</v>
      </c>
      <c r="I592">
        <v>367.92959999999999</v>
      </c>
      <c r="J592">
        <v>-328.39890000000003</v>
      </c>
      <c r="K592">
        <v>1.1092340000000001</v>
      </c>
      <c r="L592">
        <v>367.95499999999998</v>
      </c>
      <c r="M592">
        <v>0.99986459999999999</v>
      </c>
      <c r="N592">
        <v>-1.446537E-2</v>
      </c>
      <c r="O592">
        <v>7.8457649999999993E-3</v>
      </c>
      <c r="P592">
        <v>0.99510129999999997</v>
      </c>
      <c r="Q592">
        <v>-6.7108119999999993E-2</v>
      </c>
      <c r="R592">
        <v>7.2596740000000007E-2</v>
      </c>
      <c r="S592">
        <v>3.0018919999999998</v>
      </c>
      <c r="T592">
        <v>-0.1930714</v>
      </c>
      <c r="U592">
        <v>-3.9672850000000001E-3</v>
      </c>
      <c r="V592">
        <v>-6.4787839999999999E-2</v>
      </c>
      <c r="W592">
        <v>-5.2697000000000001E-2</v>
      </c>
      <c r="X592">
        <v>0.99650669999999997</v>
      </c>
      <c r="Y592">
        <v>9.1352640000000006E-3</v>
      </c>
      <c r="Z592">
        <v>-7.5031119999999999E-4</v>
      </c>
      <c r="AA592">
        <v>0.99995800000000001</v>
      </c>
      <c r="AB592">
        <v>33</v>
      </c>
      <c r="AC592">
        <v>17.8202</v>
      </c>
      <c r="AD592">
        <v>-1.1592340000000001</v>
      </c>
      <c r="AE592">
        <v>-2.53999999999905E-2</v>
      </c>
      <c r="AF592">
        <v>0.16453070137021999</v>
      </c>
      <c r="AG592">
        <v>-1.1592340000000001</v>
      </c>
      <c r="AH592">
        <v>17.744363053910899</v>
      </c>
      <c r="AI592">
        <v>93.737644573207504</v>
      </c>
      <c r="AJ592">
        <v>89.468752718036697</v>
      </c>
      <c r="AK592">
        <v>17.782950092924601</v>
      </c>
      <c r="AL592">
        <v>93.020714806704802</v>
      </c>
      <c r="AM592">
        <v>93.719847325473907</v>
      </c>
      <c r="AN592">
        <v>1.0000000205828701</v>
      </c>
    </row>
    <row r="593" spans="1:40" x14ac:dyDescent="0.25">
      <c r="A593" t="str">
        <f>"20190305135207206"</f>
        <v>20190305135207206</v>
      </c>
      <c r="B593" t="str">
        <f>"1551765127200153"</f>
        <v>1551765127200153</v>
      </c>
      <c r="C593" t="s">
        <v>40</v>
      </c>
      <c r="D593">
        <v>4.6956170000000004</v>
      </c>
      <c r="E593">
        <v>0.52811809999999904</v>
      </c>
      <c r="F593" t="s">
        <v>47</v>
      </c>
      <c r="G593">
        <v>-309.72739999999999</v>
      </c>
      <c r="H593">
        <v>-0.05</v>
      </c>
      <c r="I593">
        <v>367.92790000000002</v>
      </c>
      <c r="J593">
        <v>-328.22309999999999</v>
      </c>
      <c r="K593">
        <v>1.1092379999999999</v>
      </c>
      <c r="L593">
        <v>367.95639999999997</v>
      </c>
      <c r="M593">
        <v>0.99986470000000005</v>
      </c>
      <c r="N593">
        <v>-1.446355E-2</v>
      </c>
      <c r="O593">
        <v>7.8442600000000005E-3</v>
      </c>
      <c r="P593">
        <v>0.99506719999999904</v>
      </c>
      <c r="Q593">
        <v>-6.7133869999999998E-2</v>
      </c>
      <c r="R593">
        <v>7.3038240000000004E-2</v>
      </c>
      <c r="S593">
        <v>3.002472</v>
      </c>
      <c r="T593">
        <v>-0.1864111</v>
      </c>
      <c r="U593">
        <v>-4.3640140000000003E-3</v>
      </c>
      <c r="V593">
        <v>-6.5231570000000003E-2</v>
      </c>
      <c r="W593">
        <v>-5.2724750000000001E-2</v>
      </c>
      <c r="X593">
        <v>0.99647629999999998</v>
      </c>
      <c r="Y593">
        <v>9.2676049999999999E-3</v>
      </c>
      <c r="Z593">
        <v>-7.2768869999999904E-4</v>
      </c>
      <c r="AA593">
        <v>0.99995679999999998</v>
      </c>
      <c r="AB593">
        <v>33</v>
      </c>
      <c r="AC593">
        <v>18.495699999999999</v>
      </c>
      <c r="AD593">
        <v>-1.159238</v>
      </c>
      <c r="AE593">
        <v>-2.84999999999513E-2</v>
      </c>
      <c r="AF593">
        <v>0.17292009113453799</v>
      </c>
      <c r="AG593">
        <v>-1.159238</v>
      </c>
      <c r="AH593">
        <v>18.422538321812599</v>
      </c>
      <c r="AI593">
        <v>93.600430810502004</v>
      </c>
      <c r="AJ593">
        <v>89.462218490544402</v>
      </c>
      <c r="AK593">
        <v>18.459784731063799</v>
      </c>
      <c r="AL593">
        <v>93.022306929135198</v>
      </c>
      <c r="AM593">
        <v>93.745366117204199</v>
      </c>
      <c r="AN593">
        <v>1.0000000367244499</v>
      </c>
    </row>
    <row r="594" spans="1:40" x14ac:dyDescent="0.25">
      <c r="A594" t="str">
        <f>"20190305135207216"</f>
        <v>20190305135207216</v>
      </c>
      <c r="B594" t="str">
        <f>"1551765127209913"</f>
        <v>1551765127209913</v>
      </c>
      <c r="C594" t="s">
        <v>40</v>
      </c>
      <c r="D594">
        <v>4.708488</v>
      </c>
      <c r="E594">
        <v>0.52825</v>
      </c>
      <c r="F594" t="s">
        <v>47</v>
      </c>
      <c r="G594">
        <v>-309.5917</v>
      </c>
      <c r="H594">
        <v>-0.05</v>
      </c>
      <c r="I594">
        <v>367.93040000000002</v>
      </c>
      <c r="J594">
        <v>-328.04969999999997</v>
      </c>
      <c r="K594">
        <v>1.1092390000000001</v>
      </c>
      <c r="L594">
        <v>367.95769999999999</v>
      </c>
      <c r="M594">
        <v>0.9998648</v>
      </c>
      <c r="N594">
        <v>-1.4461720000000001E-2</v>
      </c>
      <c r="O594">
        <v>7.8391639999999992E-3</v>
      </c>
      <c r="P594">
        <v>0.99502780000000002</v>
      </c>
      <c r="Q594">
        <v>-6.7386370000000001E-2</v>
      </c>
      <c r="R594">
        <v>7.3341749999999997E-2</v>
      </c>
      <c r="S594">
        <v>3.0025629999999999</v>
      </c>
      <c r="T594">
        <v>-0.1868185</v>
      </c>
      <c r="U594">
        <v>-4.1809079999999997E-3</v>
      </c>
      <c r="V594">
        <v>-6.5540470000000003E-2</v>
      </c>
      <c r="W594">
        <v>-5.29791999999999E-2</v>
      </c>
      <c r="X594">
        <v>0.99644250000000001</v>
      </c>
      <c r="Y594">
        <v>9.2015110000000008E-3</v>
      </c>
      <c r="Z594">
        <v>-7.2658379999999999E-4</v>
      </c>
      <c r="AA594">
        <v>0.9999574</v>
      </c>
      <c r="AB594">
        <v>32</v>
      </c>
      <c r="AC594">
        <v>18.457999999999899</v>
      </c>
      <c r="AD594">
        <v>-1.1592389999999999</v>
      </c>
      <c r="AE594">
        <v>-2.7299999999968301E-2</v>
      </c>
      <c r="AF594">
        <v>0.171333767209535</v>
      </c>
      <c r="AG594">
        <v>-1.1592389999999999</v>
      </c>
      <c r="AH594">
        <v>18.384702944874601</v>
      </c>
      <c r="AI594">
        <v>93.607826237147293</v>
      </c>
      <c r="AJ594">
        <v>89.466055143886095</v>
      </c>
      <c r="AK594">
        <v>18.422011092445501</v>
      </c>
      <c r="AL594">
        <v>93.036906348927005</v>
      </c>
      <c r="AM594">
        <v>93.763178501761999</v>
      </c>
      <c r="AN594">
        <v>1.00000000232335</v>
      </c>
    </row>
    <row r="595" spans="1:40" x14ac:dyDescent="0.25">
      <c r="A595" t="str">
        <f>"20190305135207228"</f>
        <v>20190305135207228</v>
      </c>
      <c r="B595" t="str">
        <f>"1551765127219673"</f>
        <v>1551765127219673</v>
      </c>
      <c r="C595" t="s">
        <v>40</v>
      </c>
      <c r="D595">
        <v>4.6859919999999997</v>
      </c>
      <c r="E595">
        <v>0.52839859999999905</v>
      </c>
      <c r="F595" t="s">
        <v>47</v>
      </c>
      <c r="G595">
        <v>-309.57459999999998</v>
      </c>
      <c r="H595">
        <v>-0.05</v>
      </c>
      <c r="I595">
        <v>367.92989999999998</v>
      </c>
      <c r="J595">
        <v>-327.89269999999999</v>
      </c>
      <c r="K595">
        <v>1.1092409999999999</v>
      </c>
      <c r="L595">
        <v>367.959</v>
      </c>
      <c r="M595">
        <v>0.99986489999999995</v>
      </c>
      <c r="N595">
        <v>-1.446005E-2</v>
      </c>
      <c r="O595">
        <v>7.8332890000000002E-3</v>
      </c>
      <c r="P595">
        <v>0.99504239999999999</v>
      </c>
      <c r="Q595">
        <v>-6.7069840000000006E-2</v>
      </c>
      <c r="R595">
        <v>7.3433499999999999E-2</v>
      </c>
      <c r="S595">
        <v>3.0025629999999999</v>
      </c>
      <c r="T595">
        <v>-0.18839929999999999</v>
      </c>
      <c r="U595">
        <v>-4.5166019999999998E-3</v>
      </c>
      <c r="V595">
        <v>-6.5638500000000002E-2</v>
      </c>
      <c r="W595">
        <v>-5.2663710000000002E-2</v>
      </c>
      <c r="X595">
        <v>0.99645269999999997</v>
      </c>
      <c r="Y595">
        <v>9.3066480000000007E-3</v>
      </c>
      <c r="Z595">
        <v>-7.3689539999999905E-4</v>
      </c>
      <c r="AA595">
        <v>0.99995639999999997</v>
      </c>
      <c r="AB595">
        <v>32</v>
      </c>
      <c r="AC595">
        <v>18.318100000000001</v>
      </c>
      <c r="AD595">
        <v>-1.159241</v>
      </c>
      <c r="AE595">
        <v>-2.91000000000281E-2</v>
      </c>
      <c r="AF595">
        <v>0.17191656368771599</v>
      </c>
      <c r="AG595">
        <v>-1.159241</v>
      </c>
      <c r="AH595">
        <v>18.244244559318499</v>
      </c>
      <c r="AI595">
        <v>93.635530612553495</v>
      </c>
      <c r="AJ595">
        <v>89.460114560068405</v>
      </c>
      <c r="AK595">
        <v>18.281844943582001</v>
      </c>
      <c r="AL595">
        <v>93.018805048152004</v>
      </c>
      <c r="AM595">
        <v>93.768752475132999</v>
      </c>
      <c r="AN595">
        <v>0.99999993118524899</v>
      </c>
    </row>
    <row r="596" spans="1:40" x14ac:dyDescent="0.25">
      <c r="A596" t="str">
        <f>"20190305135207248"</f>
        <v>20190305135207248</v>
      </c>
      <c r="B596" t="str">
        <f>"1551765127240169"</f>
        <v>1551765127240169</v>
      </c>
      <c r="C596" t="s">
        <v>40</v>
      </c>
      <c r="D596">
        <v>4.7147790000000001</v>
      </c>
      <c r="E596">
        <v>0.52883230000000003</v>
      </c>
      <c r="F596" t="s">
        <v>47</v>
      </c>
      <c r="G596">
        <v>-309.34440000000001</v>
      </c>
      <c r="H596">
        <v>-0.05</v>
      </c>
      <c r="I596">
        <v>367.9271</v>
      </c>
      <c r="J596">
        <v>-327.58789999999999</v>
      </c>
      <c r="K596">
        <v>1.109243</v>
      </c>
      <c r="L596">
        <v>367.96129999999999</v>
      </c>
      <c r="M596">
        <v>0.99986489999999995</v>
      </c>
      <c r="N596">
        <v>-1.4456780000000001E-2</v>
      </c>
      <c r="O596">
        <v>7.8140469999999993E-3</v>
      </c>
      <c r="P596">
        <v>0.99516749999999998</v>
      </c>
      <c r="Q596">
        <v>-6.5792050000000005E-2</v>
      </c>
      <c r="R596">
        <v>7.2891999999999998E-2</v>
      </c>
      <c r="S596">
        <v>3.0027159999999999</v>
      </c>
      <c r="T596">
        <v>-0.1876652</v>
      </c>
      <c r="U596">
        <v>-5.1574709999999899E-3</v>
      </c>
      <c r="V596">
        <v>-6.5116380000000001E-2</v>
      </c>
      <c r="W596">
        <v>-5.1386429999999997E-2</v>
      </c>
      <c r="X596">
        <v>0.99655369999999999</v>
      </c>
      <c r="Y596">
        <v>9.5005590000000004E-3</v>
      </c>
      <c r="Z596">
        <v>-7.4035479999999998E-4</v>
      </c>
      <c r="AA596">
        <v>0.99995460000000003</v>
      </c>
      <c r="AB596">
        <v>32</v>
      </c>
      <c r="AC596">
        <v>18.243499999999901</v>
      </c>
      <c r="AD596">
        <v>-1.159243</v>
      </c>
      <c r="AE596">
        <v>-3.4199999999998398E-2</v>
      </c>
      <c r="AF596">
        <v>0.176058563353923</v>
      </c>
      <c r="AG596">
        <v>-1.159243</v>
      </c>
      <c r="AH596">
        <v>18.1693138952335</v>
      </c>
      <c r="AI596">
        <v>93.650480163452301</v>
      </c>
      <c r="AJ596">
        <v>89.444827857130207</v>
      </c>
      <c r="AK596">
        <v>18.207108731874602</v>
      </c>
      <c r="AL596">
        <v>92.9455228638611</v>
      </c>
      <c r="AM596">
        <v>93.738481531767107</v>
      </c>
      <c r="AN596">
        <v>0.99999999255806904</v>
      </c>
    </row>
    <row r="597" spans="1:40" x14ac:dyDescent="0.25">
      <c r="A597" t="str">
        <f>"20190305135207259"</f>
        <v>20190305135207259</v>
      </c>
      <c r="B597" t="str">
        <f>"1551765127249929"</f>
        <v>1551765127249929</v>
      </c>
      <c r="C597" t="s">
        <v>40</v>
      </c>
      <c r="D597">
        <v>4.6849990000000004</v>
      </c>
      <c r="E597">
        <v>0.52893970000000001</v>
      </c>
      <c r="F597" t="s">
        <v>47</v>
      </c>
      <c r="G597">
        <v>-308.72140000000002</v>
      </c>
      <c r="H597">
        <v>-0.05</v>
      </c>
      <c r="I597">
        <v>367.89670000000001</v>
      </c>
      <c r="J597">
        <v>-327.4264</v>
      </c>
      <c r="K597">
        <v>1.1092420000000001</v>
      </c>
      <c r="L597">
        <v>367.96260000000001</v>
      </c>
      <c r="M597">
        <v>0.99986529999999996</v>
      </c>
      <c r="N597">
        <v>-1.445507E-2</v>
      </c>
      <c r="O597">
        <v>7.7986490000000004E-3</v>
      </c>
      <c r="P597">
        <v>0.99521219999999999</v>
      </c>
      <c r="Q597">
        <v>-6.5295729999999996E-2</v>
      </c>
      <c r="R597">
        <v>7.2730980000000001E-2</v>
      </c>
      <c r="S597">
        <v>3.0031129999999999</v>
      </c>
      <c r="T597">
        <v>-0.18452540000000001</v>
      </c>
      <c r="U597">
        <v>-1.0284420000000001E-2</v>
      </c>
      <c r="V597">
        <v>-6.4970710000000001E-2</v>
      </c>
      <c r="W597">
        <v>-5.0890400000000002E-2</v>
      </c>
      <c r="X597">
        <v>0.99658860000000005</v>
      </c>
      <c r="Y597">
        <v>1.11892E-2</v>
      </c>
      <c r="Z597">
        <v>-7.9047869999999997E-4</v>
      </c>
      <c r="AA597">
        <v>0.99993710000000002</v>
      </c>
      <c r="AB597">
        <v>32</v>
      </c>
      <c r="AC597">
        <v>18.704999999999899</v>
      </c>
      <c r="AD597">
        <v>-1.1592420000000001</v>
      </c>
      <c r="AE597">
        <v>-6.5899999999999098E-2</v>
      </c>
      <c r="AF597">
        <v>0.21097660980886801</v>
      </c>
      <c r="AG597">
        <v>-1.1592420000000001</v>
      </c>
      <c r="AH597">
        <v>18.632352997420799</v>
      </c>
      <c r="AI597">
        <v>93.559933087741598</v>
      </c>
      <c r="AJ597">
        <v>89.351259996942204</v>
      </c>
      <c r="AK597">
        <v>18.669572340172799</v>
      </c>
      <c r="AL597">
        <v>92.917065380495004</v>
      </c>
      <c r="AM597">
        <v>93.730011660071099</v>
      </c>
      <c r="AN597">
        <v>0.99999993181000901</v>
      </c>
    </row>
    <row r="598" spans="1:40" x14ac:dyDescent="0.25">
      <c r="A598" t="str">
        <f>"20190305135207271"</f>
        <v>20190305135207271</v>
      </c>
      <c r="B598" t="str">
        <f>"1551765127260665"</f>
        <v>1551765127260665</v>
      </c>
      <c r="C598" t="s">
        <v>40</v>
      </c>
      <c r="D598">
        <v>4.6855560000000001</v>
      </c>
      <c r="E598">
        <v>0.52902839999999995</v>
      </c>
      <c r="F598" t="s">
        <v>47</v>
      </c>
      <c r="G598">
        <v>-308.41449999999998</v>
      </c>
      <c r="H598">
        <v>-0.05</v>
      </c>
      <c r="I598">
        <v>367.88920000000002</v>
      </c>
      <c r="J598">
        <v>-327.27289999999999</v>
      </c>
      <c r="K598">
        <v>1.109245</v>
      </c>
      <c r="L598">
        <v>367.96379999999999</v>
      </c>
      <c r="M598">
        <v>0.99986520000000001</v>
      </c>
      <c r="N598">
        <v>-1.445345E-2</v>
      </c>
      <c r="O598">
        <v>7.7812810000000001E-3</v>
      </c>
      <c r="P598">
        <v>0.99522120000000003</v>
      </c>
      <c r="Q598">
        <v>-6.5270069999999999E-2</v>
      </c>
      <c r="R598">
        <v>7.2628949999999998E-2</v>
      </c>
      <c r="S598">
        <v>3.0032649999999999</v>
      </c>
      <c r="T598">
        <v>-0.18312320000000001</v>
      </c>
      <c r="U598">
        <v>-1.159668E-2</v>
      </c>
      <c r="V598">
        <v>-6.4886199999999894E-2</v>
      </c>
      <c r="W598">
        <v>-5.0865430000000003E-2</v>
      </c>
      <c r="X598">
        <v>0.99659540000000002</v>
      </c>
      <c r="Y598">
        <v>1.1608159999999999E-2</v>
      </c>
      <c r="Z598">
        <v>-7.9918729999999905E-4</v>
      </c>
      <c r="AA598">
        <v>0.9999323</v>
      </c>
      <c r="AB598">
        <v>32</v>
      </c>
      <c r="AC598">
        <v>18.8584</v>
      </c>
      <c r="AD598">
        <v>-1.1592450000000001</v>
      </c>
      <c r="AE598">
        <v>-7.4599999999975297E-2</v>
      </c>
      <c r="AF598">
        <v>0.220522318601172</v>
      </c>
      <c r="AG598">
        <v>-1.1592450000000001</v>
      </c>
      <c r="AH598">
        <v>18.786262135089999</v>
      </c>
      <c r="AI598">
        <v>93.5308341623454</v>
      </c>
      <c r="AJ598">
        <v>89.327465050414702</v>
      </c>
      <c r="AK598">
        <v>18.823286749963199</v>
      </c>
      <c r="AL598">
        <v>92.915632793162104</v>
      </c>
      <c r="AM598">
        <v>93.725148208724207</v>
      </c>
      <c r="AN598">
        <v>0.99999995111034101</v>
      </c>
    </row>
    <row r="599" spans="1:40" x14ac:dyDescent="0.25">
      <c r="A599" t="str">
        <f>"20190305135207282"</f>
        <v>20190305135207282</v>
      </c>
      <c r="B599" t="str">
        <f>"1551765127270426"</f>
        <v>1551765127270426</v>
      </c>
      <c r="C599" t="s">
        <v>40</v>
      </c>
      <c r="D599">
        <v>4.6984050000000002</v>
      </c>
      <c r="E599">
        <v>0.52919669999999996</v>
      </c>
      <c r="F599" t="s">
        <v>47</v>
      </c>
      <c r="G599">
        <v>-308.25920000000002</v>
      </c>
      <c r="H599">
        <v>-0.05</v>
      </c>
      <c r="I599">
        <v>367.88279999999997</v>
      </c>
      <c r="J599">
        <v>-327.10649999999998</v>
      </c>
      <c r="K599">
        <v>1.1092420000000001</v>
      </c>
      <c r="L599">
        <v>367.96499999999997</v>
      </c>
      <c r="M599">
        <v>0.99986560000000002</v>
      </c>
      <c r="N599">
        <v>-1.445168E-2</v>
      </c>
      <c r="O599">
        <v>7.7593699999999998E-3</v>
      </c>
      <c r="P599">
        <v>0.99527350000000003</v>
      </c>
      <c r="Q599">
        <v>-6.4912360000000002E-2</v>
      </c>
      <c r="R599">
        <v>7.2230459999999996E-2</v>
      </c>
      <c r="S599">
        <v>3.0032960000000002</v>
      </c>
      <c r="T599">
        <v>-0.18310709999999999</v>
      </c>
      <c r="U599">
        <v>-1.2786870000000001E-2</v>
      </c>
      <c r="V599">
        <v>-6.4509559999999994E-2</v>
      </c>
      <c r="W599">
        <v>-5.0507900000000001E-2</v>
      </c>
      <c r="X599">
        <v>0.99663809999999997</v>
      </c>
      <c r="Y599">
        <v>1.198163E-2</v>
      </c>
      <c r="Z599">
        <v>-8.1216779999999998E-4</v>
      </c>
      <c r="AA599">
        <v>0.99992789999999998</v>
      </c>
      <c r="AB599">
        <v>32</v>
      </c>
      <c r="AC599">
        <v>18.847299999999901</v>
      </c>
      <c r="AD599">
        <v>-1.1592420000000001</v>
      </c>
      <c r="AE599">
        <v>-8.2200000000000203E-2</v>
      </c>
      <c r="AF599">
        <v>0.22759495050591</v>
      </c>
      <c r="AG599">
        <v>-1.1592420000000001</v>
      </c>
      <c r="AH599">
        <v>18.7750676569303</v>
      </c>
      <c r="AI599">
        <v>93.532908813236901</v>
      </c>
      <c r="AJ599">
        <v>89.305483652365297</v>
      </c>
      <c r="AK599">
        <v>18.8121983563424</v>
      </c>
      <c r="AL599">
        <v>92.895121276403302</v>
      </c>
      <c r="AM599">
        <v>93.703427245108898</v>
      </c>
      <c r="AN599">
        <v>1.0000000168326999</v>
      </c>
    </row>
    <row r="600" spans="1:40" x14ac:dyDescent="0.25">
      <c r="A600" t="str">
        <f>"20190305135207293"</f>
        <v>20190305135207293</v>
      </c>
      <c r="B600" t="str">
        <f>"1551765127289946"</f>
        <v>1551765127289946</v>
      </c>
      <c r="C600" t="s">
        <v>40</v>
      </c>
      <c r="D600">
        <v>4.7125059999999896</v>
      </c>
      <c r="E600">
        <v>0.52945949999999997</v>
      </c>
      <c r="F600" t="s">
        <v>47</v>
      </c>
      <c r="G600">
        <v>-307.9941</v>
      </c>
      <c r="H600">
        <v>-0.05</v>
      </c>
      <c r="I600">
        <v>367.8689</v>
      </c>
      <c r="J600">
        <v>-326.947</v>
      </c>
      <c r="K600">
        <v>1.1092409999999999</v>
      </c>
      <c r="L600">
        <v>367.96620000000001</v>
      </c>
      <c r="M600">
        <v>0.99986560000000002</v>
      </c>
      <c r="N600">
        <v>-1.4449999999999999E-2</v>
      </c>
      <c r="O600">
        <v>7.7337609999999996E-3</v>
      </c>
      <c r="P600">
        <v>0.99534610000000001</v>
      </c>
      <c r="Q600">
        <v>-6.4410759999999997E-2</v>
      </c>
      <c r="R600">
        <v>7.167656E-2</v>
      </c>
      <c r="S600">
        <v>3.003479</v>
      </c>
      <c r="T600">
        <v>-0.1821729</v>
      </c>
      <c r="U600">
        <v>-1.51062E-2</v>
      </c>
      <c r="V600">
        <v>-6.3982239999999996E-2</v>
      </c>
      <c r="W600">
        <v>-5.0006139999999998E-2</v>
      </c>
      <c r="X600">
        <v>0.99669739999999996</v>
      </c>
      <c r="Y600">
        <v>1.2726609999999999E-2</v>
      </c>
      <c r="Z600">
        <v>-8.346308E-4</v>
      </c>
      <c r="AA600">
        <v>0.99991859999999999</v>
      </c>
      <c r="AB600">
        <v>32</v>
      </c>
      <c r="AC600">
        <v>18.9529</v>
      </c>
      <c r="AD600">
        <v>-1.159241</v>
      </c>
      <c r="AE600">
        <v>-9.7300000000018302E-2</v>
      </c>
      <c r="AF600">
        <v>0.242980621818186</v>
      </c>
      <c r="AG600">
        <v>-1.159241</v>
      </c>
      <c r="AH600">
        <v>18.8809473717711</v>
      </c>
      <c r="AI600">
        <v>93.513111163409107</v>
      </c>
      <c r="AJ600">
        <v>89.262696124727896</v>
      </c>
      <c r="AK600">
        <v>18.918061553294802</v>
      </c>
      <c r="AL600">
        <v>92.866336150116993</v>
      </c>
      <c r="AM600">
        <v>93.673019623502995</v>
      </c>
      <c r="AN600">
        <v>1.0000000241199301</v>
      </c>
    </row>
    <row r="601" spans="1:40" x14ac:dyDescent="0.25">
      <c r="A601" t="str">
        <f>"20190305135207304"</f>
        <v>20190305135207304</v>
      </c>
      <c r="B601" t="str">
        <f>"1551765127300682"</f>
        <v>1551765127300682</v>
      </c>
      <c r="C601" t="s">
        <v>40</v>
      </c>
      <c r="D601">
        <v>4.7207369999999997</v>
      </c>
      <c r="E601">
        <v>0.52957369999999904</v>
      </c>
      <c r="F601" t="s">
        <v>47</v>
      </c>
      <c r="G601">
        <v>-307.70049999999998</v>
      </c>
      <c r="H601">
        <v>-0.05</v>
      </c>
      <c r="I601">
        <v>367.84410000000003</v>
      </c>
      <c r="J601">
        <v>-326.77980000000002</v>
      </c>
      <c r="K601">
        <v>1.109237</v>
      </c>
      <c r="L601">
        <v>367.96749999999997</v>
      </c>
      <c r="M601">
        <v>0.99986600000000003</v>
      </c>
      <c r="N601">
        <v>-1.4448239999999999E-2</v>
      </c>
      <c r="O601">
        <v>7.7049249999999996E-3</v>
      </c>
      <c r="P601">
        <v>0.99545119999999998</v>
      </c>
      <c r="Q601">
        <v>-6.3521789999999995E-2</v>
      </c>
      <c r="R601">
        <v>7.1007909999999994E-2</v>
      </c>
      <c r="S601">
        <v>3.0036930000000002</v>
      </c>
      <c r="T601">
        <v>-0.1809163</v>
      </c>
      <c r="U601">
        <v>-1.9073489999999999E-2</v>
      </c>
      <c r="V601">
        <v>-6.3341999999999996E-2</v>
      </c>
      <c r="W601">
        <v>-4.9116609999999998E-2</v>
      </c>
      <c r="X601">
        <v>0.99678250000000002</v>
      </c>
      <c r="Y601">
        <v>1.4015700000000001E-2</v>
      </c>
      <c r="Z601">
        <v>-8.7547829999999995E-4</v>
      </c>
      <c r="AA601">
        <v>0.99990140000000005</v>
      </c>
      <c r="AB601">
        <v>32</v>
      </c>
      <c r="AC601">
        <v>19.0793</v>
      </c>
      <c r="AD601">
        <v>-1.1592370000000001</v>
      </c>
      <c r="AE601">
        <v>-0.123399999999946</v>
      </c>
      <c r="AF601">
        <v>0.26942168119773102</v>
      </c>
      <c r="AG601">
        <v>-1.1592370000000001</v>
      </c>
      <c r="AH601">
        <v>19.0076162748102</v>
      </c>
      <c r="AI601">
        <v>93.489684002926097</v>
      </c>
      <c r="AJ601">
        <v>89.1879207089234</v>
      </c>
      <c r="AK601">
        <v>19.0448390624572</v>
      </c>
      <c r="AL601">
        <v>92.815307188537304</v>
      </c>
      <c r="AM601">
        <v>93.636054947525807</v>
      </c>
      <c r="AN601">
        <v>1.00000000132407</v>
      </c>
    </row>
    <row r="602" spans="1:40" x14ac:dyDescent="0.25">
      <c r="A602" t="str">
        <f>"20190305135207317"</f>
        <v>20190305135207317</v>
      </c>
      <c r="B602" t="str">
        <f>"1551765127310441"</f>
        <v>1551765127310441</v>
      </c>
      <c r="C602" t="s">
        <v>40</v>
      </c>
      <c r="D602">
        <v>4.7172850000000004</v>
      </c>
      <c r="E602">
        <v>0.52970390000000001</v>
      </c>
      <c r="F602" t="s">
        <v>47</v>
      </c>
      <c r="G602">
        <v>-307.27789999999999</v>
      </c>
      <c r="H602">
        <v>-0.05</v>
      </c>
      <c r="I602">
        <v>367.82369999999997</v>
      </c>
      <c r="J602">
        <v>-326.61189999999999</v>
      </c>
      <c r="K602">
        <v>1.109235</v>
      </c>
      <c r="L602">
        <v>367.96879999999999</v>
      </c>
      <c r="M602">
        <v>0.99986640000000004</v>
      </c>
      <c r="N602">
        <v>-1.4446469999999999E-2</v>
      </c>
      <c r="O602">
        <v>7.6693630000000002E-3</v>
      </c>
      <c r="P602">
        <v>0.99551659999999997</v>
      </c>
      <c r="Q602">
        <v>-6.2929849999999996E-2</v>
      </c>
      <c r="R602">
        <v>7.0618890000000004E-2</v>
      </c>
      <c r="S602">
        <v>3.0039060000000002</v>
      </c>
      <c r="T602">
        <v>-0.17855860000000001</v>
      </c>
      <c r="U602">
        <v>-2.215576E-2</v>
      </c>
      <c r="V602">
        <v>-6.2988760000000005E-2</v>
      </c>
      <c r="W602">
        <v>-4.8524699999999997E-2</v>
      </c>
      <c r="X602">
        <v>0.99683390000000005</v>
      </c>
      <c r="Y602">
        <v>1.50045E-2</v>
      </c>
      <c r="Z602">
        <v>-8.9880669999999995E-4</v>
      </c>
      <c r="AA602">
        <v>0.99988699999999997</v>
      </c>
      <c r="AB602">
        <v>32</v>
      </c>
      <c r="AC602">
        <v>19.334</v>
      </c>
      <c r="AD602">
        <v>-1.159235</v>
      </c>
      <c r="AE602">
        <v>-0.145100000000013</v>
      </c>
      <c r="AF602">
        <v>0.29233974260617501</v>
      </c>
      <c r="AG602">
        <v>-1.159235</v>
      </c>
      <c r="AH602">
        <v>19.263071383575198</v>
      </c>
      <c r="AI602">
        <v>93.443461629153205</v>
      </c>
      <c r="AJ602">
        <v>89.130535969076703</v>
      </c>
      <c r="AK602">
        <v>19.300134907275801</v>
      </c>
      <c r="AL602">
        <v>92.781352682350203</v>
      </c>
      <c r="AM602">
        <v>93.615645717335298</v>
      </c>
      <c r="AN602">
        <v>1.00000002729281</v>
      </c>
    </row>
    <row r="603" spans="1:40" x14ac:dyDescent="0.25">
      <c r="A603" t="str">
        <f>"20190305135207328"</f>
        <v>20190305135207328</v>
      </c>
      <c r="B603" t="str">
        <f>"1551765127320201"</f>
        <v>1551765127320201</v>
      </c>
      <c r="C603" t="s">
        <v>40</v>
      </c>
      <c r="D603">
        <v>4.7399459999999998</v>
      </c>
      <c r="E603">
        <v>0.52981769999999995</v>
      </c>
      <c r="F603" t="s">
        <v>47</v>
      </c>
      <c r="G603">
        <v>-306.9581</v>
      </c>
      <c r="H603">
        <v>-0.05</v>
      </c>
      <c r="I603">
        <v>367.8098</v>
      </c>
      <c r="J603">
        <v>-326.44900000000001</v>
      </c>
      <c r="K603">
        <v>1.109235</v>
      </c>
      <c r="L603">
        <v>367.97</v>
      </c>
      <c r="M603">
        <v>0.99986649999999999</v>
      </c>
      <c r="N603">
        <v>-1.4444759999999999E-2</v>
      </c>
      <c r="O603">
        <v>7.6336909999999997E-3</v>
      </c>
      <c r="P603">
        <v>0.99560249999999995</v>
      </c>
      <c r="Q603">
        <v>-6.2352049999999999E-2</v>
      </c>
      <c r="R603">
        <v>6.9914229999999994E-2</v>
      </c>
      <c r="S603">
        <v>3.0040279999999999</v>
      </c>
      <c r="T603">
        <v>-0.1771857</v>
      </c>
      <c r="U603">
        <v>-2.4291989999999999E-2</v>
      </c>
      <c r="V603">
        <v>-6.2319340000000001E-2</v>
      </c>
      <c r="W603">
        <v>-4.794677E-2</v>
      </c>
      <c r="X603">
        <v>0.99690389999999995</v>
      </c>
      <c r="Y603">
        <v>1.5678709999999998E-2</v>
      </c>
      <c r="Z603">
        <v>-9.1500429999999996E-4</v>
      </c>
      <c r="AA603">
        <v>0.99987669999999995</v>
      </c>
      <c r="AB603">
        <v>32</v>
      </c>
      <c r="AC603">
        <v>19.4909</v>
      </c>
      <c r="AD603">
        <v>-1.159235</v>
      </c>
      <c r="AE603">
        <v>-0.16020000000003101</v>
      </c>
      <c r="AF603">
        <v>0.30790925613817799</v>
      </c>
      <c r="AG603">
        <v>-1.159235</v>
      </c>
      <c r="AH603">
        <v>19.420416577274899</v>
      </c>
      <c r="AI603">
        <v>93.415592973674705</v>
      </c>
      <c r="AJ603">
        <v>89.091655797564101</v>
      </c>
      <c r="AK603">
        <v>19.457420536395201</v>
      </c>
      <c r="AL603">
        <v>92.748201248183094</v>
      </c>
      <c r="AM603">
        <v>93.5770698233855</v>
      </c>
      <c r="AN603">
        <v>0.999999989363339</v>
      </c>
    </row>
    <row r="604" spans="1:40" x14ac:dyDescent="0.25">
      <c r="A604" t="str">
        <f>"20190305135207340"</f>
        <v>20190305135207340</v>
      </c>
      <c r="B604" t="str">
        <f>"1551765127329961"</f>
        <v>1551765127329961</v>
      </c>
      <c r="C604" t="s">
        <v>40</v>
      </c>
      <c r="D604">
        <v>4.8141350000000003</v>
      </c>
      <c r="E604">
        <v>0.5295666</v>
      </c>
      <c r="F604" t="s">
        <v>47</v>
      </c>
      <c r="G604">
        <v>-306.6019</v>
      </c>
      <c r="H604">
        <v>-0.05</v>
      </c>
      <c r="I604">
        <v>367.7903</v>
      </c>
      <c r="J604">
        <v>-326.2593</v>
      </c>
      <c r="K604">
        <v>1.109229</v>
      </c>
      <c r="L604">
        <v>367.97140000000002</v>
      </c>
      <c r="M604">
        <v>0.9998669</v>
      </c>
      <c r="N604">
        <v>-1.4442780000000001E-2</v>
      </c>
      <c r="O604">
        <v>7.587239E-3</v>
      </c>
      <c r="P604">
        <v>0.99568540000000005</v>
      </c>
      <c r="Q604">
        <v>-6.1636620000000003E-2</v>
      </c>
      <c r="R604">
        <v>6.9368470000000002E-2</v>
      </c>
      <c r="S604">
        <v>3.0041500000000001</v>
      </c>
      <c r="T604">
        <v>-0.17546689999999901</v>
      </c>
      <c r="U604">
        <v>-2.7191159999999999E-2</v>
      </c>
      <c r="V604">
        <v>-6.1819939999999997E-2</v>
      </c>
      <c r="W604">
        <v>-4.7231559999999999E-2</v>
      </c>
      <c r="X604">
        <v>0.9969692</v>
      </c>
      <c r="Y604">
        <v>1.659567E-2</v>
      </c>
      <c r="Z604">
        <v>-9.3747570000000003E-4</v>
      </c>
      <c r="AA604">
        <v>0.99986180000000002</v>
      </c>
      <c r="AB604">
        <v>32</v>
      </c>
      <c r="AC604">
        <v>19.657399999999999</v>
      </c>
      <c r="AD604">
        <v>-1.1592290000000001</v>
      </c>
      <c r="AE604">
        <v>-0.181100000000014</v>
      </c>
      <c r="AF604">
        <v>0.32911129966571201</v>
      </c>
      <c r="AG604">
        <v>-1.1592290000000001</v>
      </c>
      <c r="AH604">
        <v>19.587347651077</v>
      </c>
      <c r="AI604">
        <v>93.386482252224496</v>
      </c>
      <c r="AJ604">
        <v>89.037393189362405</v>
      </c>
      <c r="AK604">
        <v>19.624380604904701</v>
      </c>
      <c r="AL604">
        <v>92.707176071660697</v>
      </c>
      <c r="AM604">
        <v>93.548246458192807</v>
      </c>
      <c r="AN604">
        <v>1.00000005549513</v>
      </c>
    </row>
    <row r="605" spans="1:40" x14ac:dyDescent="0.25">
      <c r="A605" t="str">
        <f>"20190305135207356"</f>
        <v>20190305135207356</v>
      </c>
      <c r="B605" t="str">
        <f>"1551765127350457"</f>
        <v>1551765127350457</v>
      </c>
      <c r="C605" t="s">
        <v>40</v>
      </c>
      <c r="D605">
        <v>4.7981660000000002</v>
      </c>
      <c r="E605">
        <v>0.50245079999999998</v>
      </c>
      <c r="F605" t="s">
        <v>47</v>
      </c>
      <c r="G605">
        <v>-306.2285</v>
      </c>
      <c r="H605">
        <v>-0.05</v>
      </c>
      <c r="I605">
        <v>367.79230000000001</v>
      </c>
      <c r="J605">
        <v>-326.05200000000002</v>
      </c>
      <c r="K605">
        <v>1.1092280000000001</v>
      </c>
      <c r="L605">
        <v>367.97289999999998</v>
      </c>
      <c r="M605">
        <v>0.99986750000000002</v>
      </c>
      <c r="N605">
        <v>-1.444061E-2</v>
      </c>
      <c r="O605">
        <v>7.5332890000000003E-3</v>
      </c>
      <c r="P605">
        <v>0.99578480000000003</v>
      </c>
      <c r="Q605">
        <v>-6.066829E-2</v>
      </c>
      <c r="R605">
        <v>6.879188E-2</v>
      </c>
      <c r="S605">
        <v>3.0041500000000001</v>
      </c>
      <c r="T605">
        <v>-0.1738575</v>
      </c>
      <c r="U605">
        <v>-2.6855469999999999E-2</v>
      </c>
      <c r="V605">
        <v>-6.1296450000000002E-2</v>
      </c>
      <c r="W605">
        <v>-4.6263539999999999E-2</v>
      </c>
      <c r="X605">
        <v>0.99704680000000001</v>
      </c>
      <c r="Y605">
        <v>1.643116E-2</v>
      </c>
      <c r="Z605">
        <v>-9.2069579999999997E-4</v>
      </c>
      <c r="AA605">
        <v>0.99986459999999999</v>
      </c>
      <c r="AB605">
        <v>32</v>
      </c>
      <c r="AC605">
        <v>19.823499999999999</v>
      </c>
      <c r="AD605">
        <v>-1.1592279999999999</v>
      </c>
      <c r="AE605">
        <v>-0.18059999999996901</v>
      </c>
      <c r="AF605">
        <v>0.32882222780679998</v>
      </c>
      <c r="AG605">
        <v>-1.1592279999999999</v>
      </c>
      <c r="AH605">
        <v>19.754031174586299</v>
      </c>
      <c r="AI605">
        <v>93.357978822401506</v>
      </c>
      <c r="AJ605">
        <v>89.046352317187697</v>
      </c>
      <c r="AK605">
        <v>19.790747364867499</v>
      </c>
      <c r="AL605">
        <v>92.651652200961706</v>
      </c>
      <c r="AM605">
        <v>93.518002633482396</v>
      </c>
      <c r="AN605">
        <v>0.99999994565308503</v>
      </c>
    </row>
    <row r="606" spans="1:40" x14ac:dyDescent="0.25">
      <c r="A606" t="str">
        <f>"20190305135207373"</f>
        <v>20190305135207373</v>
      </c>
      <c r="B606" t="str">
        <f>"1551765127369977"</f>
        <v>1551765127369977</v>
      </c>
      <c r="C606" t="s">
        <v>40</v>
      </c>
      <c r="D606">
        <v>4.7680400000000001</v>
      </c>
      <c r="E606">
        <v>0.50114320000000001</v>
      </c>
      <c r="F606" t="s">
        <v>47</v>
      </c>
      <c r="G606">
        <v>-305.1891</v>
      </c>
      <c r="H606">
        <v>-0.05</v>
      </c>
      <c r="I606">
        <v>369.27820000000003</v>
      </c>
      <c r="J606">
        <v>-325.8048</v>
      </c>
      <c r="K606">
        <v>1.1092630000000001</v>
      </c>
      <c r="L606">
        <v>367.97469999999998</v>
      </c>
      <c r="M606">
        <v>0.99986799999999998</v>
      </c>
      <c r="N606">
        <v>-1.4438019999999999E-2</v>
      </c>
      <c r="O606">
        <v>7.46605599999999E-3</v>
      </c>
      <c r="P606">
        <v>0.99590840000000003</v>
      </c>
      <c r="Q606">
        <v>-5.9138280000000001E-2</v>
      </c>
      <c r="R606">
        <v>6.8332539999999997E-2</v>
      </c>
      <c r="S606">
        <v>2.989655</v>
      </c>
      <c r="T606">
        <v>-0.1661175</v>
      </c>
      <c r="U606">
        <v>0.18704219999999999</v>
      </c>
      <c r="V606">
        <v>-6.090371E-2</v>
      </c>
      <c r="W606">
        <v>-4.473398E-2</v>
      </c>
      <c r="X606">
        <v>0.99714069999999999</v>
      </c>
      <c r="Y606">
        <v>-5.488701E-2</v>
      </c>
      <c r="Z606">
        <v>1.61278299999999E-3</v>
      </c>
      <c r="AA606">
        <v>0.99849129999999997</v>
      </c>
      <c r="AB606">
        <v>32</v>
      </c>
      <c r="AC606">
        <v>20.6157</v>
      </c>
      <c r="AD606">
        <v>-1.1592629999999999</v>
      </c>
      <c r="AE606">
        <v>1.3035000000000401</v>
      </c>
      <c r="AF606">
        <v>-1.1459206408298901</v>
      </c>
      <c r="AG606">
        <v>-1.1592629999999999</v>
      </c>
      <c r="AH606">
        <v>20.560105244505401</v>
      </c>
      <c r="AI606">
        <v>93.222163651298203</v>
      </c>
      <c r="AJ606">
        <v>93.190088612699796</v>
      </c>
      <c r="AK606">
        <v>20.624620056703801</v>
      </c>
      <c r="AL606">
        <v>92.5639239069166</v>
      </c>
      <c r="AM606">
        <v>93.4951897220636</v>
      </c>
      <c r="AN606">
        <v>0.99999998322744699</v>
      </c>
    </row>
    <row r="607" spans="1:40" x14ac:dyDescent="0.25">
      <c r="A607" t="str">
        <f>"20190305135207395"</f>
        <v>20190305135207395</v>
      </c>
      <c r="B607" t="str">
        <f>"1551765127390474"</f>
        <v>1551765127390474</v>
      </c>
      <c r="C607" t="s">
        <v>40</v>
      </c>
      <c r="D607">
        <v>4.7656280000000004</v>
      </c>
      <c r="E607">
        <v>0.50174269999999999</v>
      </c>
      <c r="F607" t="s">
        <v>47</v>
      </c>
      <c r="G607">
        <v>-302.9375</v>
      </c>
      <c r="H607">
        <v>-0.05</v>
      </c>
      <c r="I607">
        <v>369.47770000000003</v>
      </c>
      <c r="J607">
        <v>-325.48950000000002</v>
      </c>
      <c r="K607">
        <v>1.109348</v>
      </c>
      <c r="L607">
        <v>367.9769</v>
      </c>
      <c r="M607">
        <v>0.99986870000000005</v>
      </c>
      <c r="N607">
        <v>-1.44347E-2</v>
      </c>
      <c r="O607">
        <v>7.3766680000000003E-3</v>
      </c>
      <c r="P607">
        <v>0.9969093</v>
      </c>
      <c r="Q607">
        <v>-4.417985E-2</v>
      </c>
      <c r="R607">
        <v>6.4967129999999998E-2</v>
      </c>
      <c r="S607">
        <v>2.9898380000000002</v>
      </c>
      <c r="T607">
        <v>-0.15157029999999999</v>
      </c>
      <c r="U607">
        <v>0.1965027</v>
      </c>
      <c r="V607">
        <v>-5.7617189999999999E-2</v>
      </c>
      <c r="W607">
        <v>-2.9766520000000001E-2</v>
      </c>
      <c r="X607">
        <v>0.99789490000000003</v>
      </c>
      <c r="Y607">
        <v>-5.8127940000000003E-2</v>
      </c>
      <c r="Z607">
        <v>1.624257E-3</v>
      </c>
      <c r="AA607">
        <v>0.99830779999999997</v>
      </c>
      <c r="AB607">
        <v>32</v>
      </c>
      <c r="AC607">
        <v>22.552</v>
      </c>
      <c r="AD607">
        <v>-1.159348</v>
      </c>
      <c r="AE607">
        <v>1.5008000000000199</v>
      </c>
      <c r="AF607">
        <v>-1.33088153226698</v>
      </c>
      <c r="AG607">
        <v>-1.159348</v>
      </c>
      <c r="AH607">
        <v>22.503249890482898</v>
      </c>
      <c r="AI607">
        <v>92.944086361857998</v>
      </c>
      <c r="AJ607">
        <v>93.384630030067001</v>
      </c>
      <c r="AK607">
        <v>22.572363391358799</v>
      </c>
      <c r="AL607">
        <v>91.705747910027398</v>
      </c>
      <c r="AM607">
        <v>93.304516978078695</v>
      </c>
      <c r="AN607">
        <v>1.0000000088712</v>
      </c>
    </row>
    <row r="608" spans="1:40" x14ac:dyDescent="0.25">
      <c r="A608" t="str">
        <f>"20190305135207408"</f>
        <v>20190305135207408</v>
      </c>
      <c r="B608" t="str">
        <f>"1551765127400234"</f>
        <v>1551765127400234</v>
      </c>
      <c r="C608" t="s">
        <v>40</v>
      </c>
      <c r="D608">
        <v>4.772335</v>
      </c>
      <c r="E608">
        <v>0.50186769999999903</v>
      </c>
      <c r="F608" t="s">
        <v>47</v>
      </c>
      <c r="G608">
        <v>-292.84339999999997</v>
      </c>
      <c r="H608">
        <v>-0.05</v>
      </c>
      <c r="I608">
        <v>369.95370000000003</v>
      </c>
      <c r="J608">
        <v>-325.30599999999998</v>
      </c>
      <c r="K608">
        <v>1.109391</v>
      </c>
      <c r="L608">
        <v>367.97820000000002</v>
      </c>
      <c r="M608">
        <v>0.99986900000000001</v>
      </c>
      <c r="N608">
        <v>-1.4432769999999999E-2</v>
      </c>
      <c r="O608">
        <v>7.32372699999999E-3</v>
      </c>
      <c r="P608">
        <v>0.99759189999999998</v>
      </c>
      <c r="Q608">
        <v>-3.078821E-2</v>
      </c>
      <c r="R608">
        <v>6.2148509999999997E-2</v>
      </c>
      <c r="S608">
        <v>2.9927980000000001</v>
      </c>
      <c r="T608">
        <v>-0.1062819</v>
      </c>
      <c r="U608">
        <v>0.1812134</v>
      </c>
      <c r="V608">
        <v>-5.4843169999999997E-2</v>
      </c>
      <c r="W608">
        <v>-1.636905E-2</v>
      </c>
      <c r="X608">
        <v>0.99836080000000005</v>
      </c>
      <c r="Y608">
        <v>-5.3081099999999999E-2</v>
      </c>
      <c r="Z608">
        <v>1.1708070000000001E-3</v>
      </c>
      <c r="AA608">
        <v>0.99858950000000002</v>
      </c>
      <c r="AB608">
        <v>32</v>
      </c>
      <c r="AC608">
        <v>32.462600000000002</v>
      </c>
      <c r="AD608">
        <v>-1.1593910000000001</v>
      </c>
      <c r="AE608">
        <v>1.97550000000001</v>
      </c>
      <c r="AF608">
        <v>-1.73546952852682</v>
      </c>
      <c r="AG608">
        <v>-1.1593910000000001</v>
      </c>
      <c r="AH608">
        <v>32.434979352246302</v>
      </c>
      <c r="AI608">
        <v>92.044249075952806</v>
      </c>
      <c r="AJ608">
        <v>93.062753640980503</v>
      </c>
      <c r="AK608">
        <v>32.502060358629102</v>
      </c>
      <c r="AL608">
        <v>90.937919365230897</v>
      </c>
      <c r="AM608">
        <v>93.144281214526899</v>
      </c>
      <c r="AN608">
        <v>1.00000000303509</v>
      </c>
    </row>
    <row r="609" spans="1:40" x14ac:dyDescent="0.25">
      <c r="A609" t="str">
        <f>"20190305135207419"</f>
        <v>20190305135207419</v>
      </c>
      <c r="B609" t="str">
        <f>"1551765127409994"</f>
        <v>1551765127409994</v>
      </c>
      <c r="C609" t="s">
        <v>40</v>
      </c>
      <c r="D609">
        <v>4.8023150000000001</v>
      </c>
      <c r="E609">
        <v>0.50209309999999996</v>
      </c>
      <c r="F609" t="s">
        <v>42</v>
      </c>
      <c r="G609">
        <v>-276.43700000000001</v>
      </c>
      <c r="H609" s="1">
        <v>-1.8223760000000001E-6</v>
      </c>
      <c r="I609">
        <v>370.78710000000001</v>
      </c>
      <c r="J609">
        <v>-325.11989999999997</v>
      </c>
      <c r="K609">
        <v>1.1094269999999999</v>
      </c>
      <c r="L609">
        <v>367.97949999999997</v>
      </c>
      <c r="M609">
        <v>0.99986949999999997</v>
      </c>
      <c r="N609">
        <v>-1.443083E-2</v>
      </c>
      <c r="O609">
        <v>7.2696569999999997E-3</v>
      </c>
      <c r="P609">
        <v>0.99803629999999999</v>
      </c>
      <c r="Q609">
        <v>-1.98633E-2</v>
      </c>
      <c r="R609">
        <v>5.9407590000000003E-2</v>
      </c>
      <c r="S609">
        <v>2.994415</v>
      </c>
      <c r="T609">
        <v>-6.7977190000000007E-2</v>
      </c>
      <c r="U609">
        <v>0.1721191</v>
      </c>
      <c r="V609">
        <v>-5.2151370000000002E-2</v>
      </c>
      <c r="W609">
        <v>-5.4415389999999996E-3</v>
      </c>
      <c r="X609">
        <v>0.99862439999999997</v>
      </c>
      <c r="Y609">
        <v>-5.0104559999999999E-2</v>
      </c>
      <c r="Z609">
        <v>8.7005950000000002E-4</v>
      </c>
      <c r="AA609">
        <v>0.99874359999999995</v>
      </c>
      <c r="AB609">
        <v>32</v>
      </c>
      <c r="AC609">
        <v>48.682899999999897</v>
      </c>
      <c r="AD609">
        <v>-1.109428822376</v>
      </c>
      <c r="AE609">
        <v>2.8076000000000301</v>
      </c>
      <c r="AF609">
        <v>-2.4523116300142198</v>
      </c>
      <c r="AG609">
        <v>-1.109428822376</v>
      </c>
      <c r="AH609">
        <v>48.676830044450199</v>
      </c>
      <c r="AI609">
        <v>91.303990283556004</v>
      </c>
      <c r="AJ609">
        <v>92.884091134740899</v>
      </c>
      <c r="AK609">
        <v>48.751189193894596</v>
      </c>
      <c r="AL609">
        <v>90.311778746811996</v>
      </c>
      <c r="AM609">
        <v>92.989453722765504</v>
      </c>
      <c r="AN609">
        <v>1.00000003400746</v>
      </c>
    </row>
    <row r="610" spans="1:40" x14ac:dyDescent="0.25">
      <c r="A610" t="str">
        <f>"20190305135207431"</f>
        <v>20190305135207431</v>
      </c>
      <c r="B610" t="str">
        <f>"1551765127420730"</f>
        <v>1551765127420730</v>
      </c>
      <c r="C610" t="s">
        <v>40</v>
      </c>
      <c r="D610">
        <v>4.7574459999999998</v>
      </c>
      <c r="E610">
        <v>0.50216079999999996</v>
      </c>
      <c r="F610" t="s">
        <v>42</v>
      </c>
      <c r="G610">
        <v>-230.83850000000001</v>
      </c>
      <c r="H610" s="1">
        <v>-4.6055320000000002E-6</v>
      </c>
      <c r="I610">
        <v>373.08269999999999</v>
      </c>
      <c r="J610">
        <v>-324.96359999999999</v>
      </c>
      <c r="K610">
        <v>1.109461</v>
      </c>
      <c r="L610">
        <v>367.98059999999998</v>
      </c>
      <c r="M610">
        <v>0.99986989999999998</v>
      </c>
      <c r="N610">
        <v>-1.442918E-2</v>
      </c>
      <c r="O610">
        <v>7.2237530000000003E-3</v>
      </c>
      <c r="P610">
        <v>0.99824349999999995</v>
      </c>
      <c r="Q610">
        <v>-1.391389E-2</v>
      </c>
      <c r="R610">
        <v>5.7590370000000002E-2</v>
      </c>
      <c r="S610">
        <v>2.9955440000000002</v>
      </c>
      <c r="T610">
        <v>-3.5249229999999999E-2</v>
      </c>
      <c r="U610">
        <v>0.162139899999999</v>
      </c>
      <c r="V610">
        <v>-5.0376839999999999E-2</v>
      </c>
      <c r="W610">
        <v>5.0813370000000004E-4</v>
      </c>
      <c r="X610">
        <v>0.99873009999999995</v>
      </c>
      <c r="Y610">
        <v>-4.6825369999999998E-2</v>
      </c>
      <c r="Z610">
        <v>6.3264270000000001E-4</v>
      </c>
      <c r="AA610">
        <v>0.99890290000000004</v>
      </c>
      <c r="AB610">
        <v>32</v>
      </c>
      <c r="AC610">
        <v>94.125099999999904</v>
      </c>
      <c r="AD610">
        <v>-1.109465605532</v>
      </c>
      <c r="AE610">
        <v>5.1021000000000001</v>
      </c>
      <c r="AF610">
        <v>-4.4213471645658604</v>
      </c>
      <c r="AG610">
        <v>-1.109465605532</v>
      </c>
      <c r="AH610">
        <v>94.146461682159099</v>
      </c>
      <c r="AI610">
        <v>90.674425573786806</v>
      </c>
      <c r="AJ610">
        <v>92.688773859045895</v>
      </c>
      <c r="AK610">
        <v>94.256752924921599</v>
      </c>
      <c r="AL610">
        <v>89.970886080807205</v>
      </c>
      <c r="AM610">
        <v>92.887603090885406</v>
      </c>
      <c r="AN610">
        <v>0.99999994842712403</v>
      </c>
    </row>
    <row r="611" spans="1:40" x14ac:dyDescent="0.25">
      <c r="A611" t="str">
        <f>"20190305135207443"</f>
        <v>20190305135207443</v>
      </c>
      <c r="B611" t="str">
        <f>"1551765127440250"</f>
        <v>1551765127440250</v>
      </c>
      <c r="C611" t="s">
        <v>40</v>
      </c>
      <c r="D611">
        <v>4.6895509999999998</v>
      </c>
      <c r="E611">
        <v>0.50231870000000001</v>
      </c>
      <c r="F611" t="s">
        <v>48</v>
      </c>
      <c r="G611">
        <v>-158.19499999999999</v>
      </c>
      <c r="H611">
        <v>8.8584419999999997E-2</v>
      </c>
      <c r="I611">
        <v>376.6712</v>
      </c>
      <c r="J611">
        <v>-324.79719999999998</v>
      </c>
      <c r="K611">
        <v>1.1094900000000001</v>
      </c>
      <c r="L611">
        <v>367.98180000000002</v>
      </c>
      <c r="M611">
        <v>0.99987029999999999</v>
      </c>
      <c r="N611">
        <v>-1.442741E-2</v>
      </c>
      <c r="O611">
        <v>7.1745690000000004E-3</v>
      </c>
      <c r="P611">
        <v>0.99836270000000005</v>
      </c>
      <c r="Q611">
        <v>-1.099527E-2</v>
      </c>
      <c r="R611">
        <v>5.6136949999999998E-2</v>
      </c>
      <c r="S611">
        <v>2.9960330000000002</v>
      </c>
      <c r="T611">
        <v>-1.833868E-2</v>
      </c>
      <c r="U611">
        <v>0.15612789999999999</v>
      </c>
      <c r="V611">
        <v>-4.8971149999999998E-2</v>
      </c>
      <c r="W611">
        <v>3.4258940000000001E-3</v>
      </c>
      <c r="X611">
        <v>0.99879430000000002</v>
      </c>
      <c r="Y611">
        <v>-4.4871439999999999E-2</v>
      </c>
      <c r="Z611">
        <v>5.2073959999999998E-4</v>
      </c>
      <c r="AA611">
        <v>0.99899260000000001</v>
      </c>
      <c r="AB611">
        <v>32</v>
      </c>
      <c r="AC611">
        <v>166.60219999999899</v>
      </c>
      <c r="AD611">
        <v>-1.02090558</v>
      </c>
      <c r="AE611">
        <v>8.6893999999999707</v>
      </c>
      <c r="AF611">
        <v>-7.4934724378667497</v>
      </c>
      <c r="AG611">
        <v>-1.02090558</v>
      </c>
      <c r="AH611">
        <v>166.65401947958199</v>
      </c>
      <c r="AI611">
        <v>90.350629469196505</v>
      </c>
      <c r="AJ611">
        <v>92.574527451055602</v>
      </c>
      <c r="AK611">
        <v>166.82552738139699</v>
      </c>
      <c r="AL611">
        <v>89.803710345238699</v>
      </c>
      <c r="AM611">
        <v>92.806979443088196</v>
      </c>
      <c r="AN611">
        <v>0.99999998199725504</v>
      </c>
    </row>
    <row r="612" spans="1:40" x14ac:dyDescent="0.25">
      <c r="A612" t="str">
        <f>"20190305135207455"</f>
        <v>20190305135207455</v>
      </c>
      <c r="B612" t="str">
        <f>"1551765127450010"</f>
        <v>1551765127450010</v>
      </c>
      <c r="C612" t="s">
        <v>40</v>
      </c>
      <c r="D612">
        <v>4.6617110000000004</v>
      </c>
      <c r="E612">
        <v>0.50916209999999995</v>
      </c>
      <c r="F612" t="s">
        <v>48</v>
      </c>
      <c r="G612">
        <v>-158.19499999999999</v>
      </c>
      <c r="H612">
        <v>0.5074959</v>
      </c>
      <c r="I612">
        <v>376.34039999999999</v>
      </c>
      <c r="J612">
        <v>-324.62349999999998</v>
      </c>
      <c r="K612">
        <v>1.1094900000000001</v>
      </c>
      <c r="L612">
        <v>367.983</v>
      </c>
      <c r="M612">
        <v>0.9998707</v>
      </c>
      <c r="N612">
        <v>-1.442556E-2</v>
      </c>
      <c r="O612">
        <v>7.1216219999999898E-3</v>
      </c>
      <c r="P612">
        <v>0.99838890000000002</v>
      </c>
      <c r="Q612">
        <v>-1.0442130000000001E-2</v>
      </c>
      <c r="R612">
        <v>5.5773160000000002E-2</v>
      </c>
      <c r="S612">
        <v>2.9963380000000002</v>
      </c>
      <c r="T612">
        <v>-1.082528E-2</v>
      </c>
      <c r="U612">
        <v>0.15032960000000001</v>
      </c>
      <c r="V612">
        <v>-4.8660040000000002E-2</v>
      </c>
      <c r="W612">
        <v>3.9775899999999996E-3</v>
      </c>
      <c r="X612">
        <v>0.99880749999999996</v>
      </c>
      <c r="Y612">
        <v>-4.2992420000000003E-2</v>
      </c>
      <c r="Z612">
        <v>4.6489289999999999E-4</v>
      </c>
      <c r="AA612">
        <v>0.9990753</v>
      </c>
      <c r="AB612">
        <v>32</v>
      </c>
      <c r="AC612">
        <v>166.42850000000001</v>
      </c>
      <c r="AD612">
        <v>-0.60199409999999898</v>
      </c>
      <c r="AE612">
        <v>8.3573999999999806</v>
      </c>
      <c r="AF612">
        <v>-7.1717303518629603</v>
      </c>
      <c r="AG612">
        <v>-0.60199409999999898</v>
      </c>
      <c r="AH612">
        <v>166.48163037153799</v>
      </c>
      <c r="AI612">
        <v>90.206987473702696</v>
      </c>
      <c r="AJ612">
        <v>92.4666744501925</v>
      </c>
      <c r="AK612">
        <v>166.63711880701101</v>
      </c>
      <c r="AL612">
        <v>89.772100284295604</v>
      </c>
      <c r="AM612">
        <v>92.789138361925197</v>
      </c>
      <c r="AN612">
        <v>1.0000000213856199</v>
      </c>
    </row>
    <row r="613" spans="1:40" x14ac:dyDescent="0.25">
      <c r="A613" t="str">
        <f>"20190305135207468"</f>
        <v>20190305135207468</v>
      </c>
      <c r="B613" t="str">
        <f>"1551765127460747"</f>
        <v>1551765127460747</v>
      </c>
      <c r="C613" t="s">
        <v>40</v>
      </c>
      <c r="D613">
        <v>4.6819419999999896</v>
      </c>
      <c r="E613">
        <v>0.50888840000000002</v>
      </c>
      <c r="F613" t="s">
        <v>48</v>
      </c>
      <c r="G613">
        <v>-158.19499999999999</v>
      </c>
      <c r="H613">
        <v>4.5990339999999996</v>
      </c>
      <c r="I613">
        <v>373.29020000000003</v>
      </c>
      <c r="J613">
        <v>-324.43630000000002</v>
      </c>
      <c r="K613">
        <v>1.1094790000000001</v>
      </c>
      <c r="L613">
        <v>367.98430000000002</v>
      </c>
      <c r="M613">
        <v>0.99987099999999995</v>
      </c>
      <c r="N613">
        <v>-1.442358E-2</v>
      </c>
      <c r="O613">
        <v>7.0629450000000002E-3</v>
      </c>
      <c r="P613">
        <v>0.99838309999999997</v>
      </c>
      <c r="Q613">
        <v>-1.0517189999999999E-2</v>
      </c>
      <c r="R613">
        <v>5.5863169999999997E-2</v>
      </c>
      <c r="S613">
        <v>3.0001829999999998</v>
      </c>
      <c r="T613">
        <v>6.2907099999999994E-2</v>
      </c>
      <c r="U613">
        <v>9.5672610000000005E-2</v>
      </c>
      <c r="V613">
        <v>-4.8808659999999997E-2</v>
      </c>
      <c r="W613">
        <v>3.9008200000000002E-3</v>
      </c>
      <c r="X613">
        <v>0.99880049999999998</v>
      </c>
      <c r="Y613">
        <v>-2.4814550000000001E-2</v>
      </c>
      <c r="Z613">
        <v>1.6883229999999999E-4</v>
      </c>
      <c r="AA613">
        <v>0.99969209999999997</v>
      </c>
      <c r="AB613">
        <v>32</v>
      </c>
      <c r="AC613">
        <v>166.2413</v>
      </c>
      <c r="AD613">
        <v>3.4895550000000002</v>
      </c>
      <c r="AE613">
        <v>5.3059000000000003</v>
      </c>
      <c r="AF613">
        <v>-4.1296745233844403</v>
      </c>
      <c r="AG613">
        <v>3.4895550000000002</v>
      </c>
      <c r="AH613">
        <v>166.20147493638899</v>
      </c>
      <c r="AI613">
        <v>88.797569405868899</v>
      </c>
      <c r="AJ613">
        <v>91.423358274430697</v>
      </c>
      <c r="AK613">
        <v>166.28939075238199</v>
      </c>
      <c r="AL613">
        <v>89.776498903893199</v>
      </c>
      <c r="AM613">
        <v>92.797663154684599</v>
      </c>
      <c r="AN613">
        <v>0.99999997024395804</v>
      </c>
    </row>
    <row r="614" spans="1:40" x14ac:dyDescent="0.25">
      <c r="A614" t="str">
        <f>"20190305135207483"</f>
        <v>20190305135207483</v>
      </c>
      <c r="B614" t="str">
        <f>"1551765127470506"</f>
        <v>1551765127470506</v>
      </c>
      <c r="C614" t="s">
        <v>40</v>
      </c>
      <c r="D614">
        <v>5.0436769999999997</v>
      </c>
      <c r="E614">
        <v>0.50888840000000002</v>
      </c>
      <c r="F614" t="s">
        <v>48</v>
      </c>
      <c r="G614">
        <v>-158.19499999999999</v>
      </c>
      <c r="H614">
        <v>4.0169639999999998</v>
      </c>
      <c r="I614">
        <v>373.41800000000001</v>
      </c>
      <c r="J614">
        <v>-324.21690000000001</v>
      </c>
      <c r="K614">
        <v>1.1094389999999901</v>
      </c>
      <c r="L614">
        <v>367.98570000000001</v>
      </c>
      <c r="M614">
        <v>0.99987170000000003</v>
      </c>
      <c r="N614">
        <v>-1.442126E-2</v>
      </c>
      <c r="O614">
        <v>6.9905360000000003E-3</v>
      </c>
      <c r="P614">
        <v>0.99805829999999995</v>
      </c>
      <c r="Q614">
        <v>-2.0092820000000001E-2</v>
      </c>
      <c r="R614">
        <v>5.8957849999999999E-2</v>
      </c>
      <c r="S614">
        <v>2.9998779999999998</v>
      </c>
      <c r="T614">
        <v>5.2468059999999997E-2</v>
      </c>
      <c r="U614">
        <v>9.8052979999999998E-2</v>
      </c>
      <c r="V614">
        <v>-5.1979890000000001E-2</v>
      </c>
      <c r="W614">
        <v>-5.6791790000000003E-3</v>
      </c>
      <c r="X614">
        <v>0.99863199999999996</v>
      </c>
      <c r="Y614">
        <v>-2.5682750000000001E-2</v>
      </c>
      <c r="Z614">
        <v>1.8372970000000001E-4</v>
      </c>
      <c r="AA614">
        <v>0.99967010000000001</v>
      </c>
      <c r="AB614">
        <v>32</v>
      </c>
      <c r="AC614">
        <v>166.02189999999999</v>
      </c>
      <c r="AD614">
        <v>2.9075250000000001</v>
      </c>
      <c r="AE614">
        <v>5.4322999999999899</v>
      </c>
      <c r="AF614">
        <v>-4.27015635239436</v>
      </c>
      <c r="AG614">
        <v>2.9075250000000001</v>
      </c>
      <c r="AH614">
        <v>166.00496164626099</v>
      </c>
      <c r="AI614">
        <v>88.996916666946603</v>
      </c>
      <c r="AJ614">
        <v>91.473498102260194</v>
      </c>
      <c r="AK614">
        <v>166.085325143663</v>
      </c>
      <c r="AL614">
        <v>90.325394731534402</v>
      </c>
      <c r="AM614">
        <v>92.979619144919496</v>
      </c>
      <c r="AN614">
        <v>1.0000000167312599</v>
      </c>
    </row>
    <row r="615" spans="1:40" x14ac:dyDescent="0.25">
      <c r="A615" t="str">
        <f>"20190305135207495"</f>
        <v>20190305135207495</v>
      </c>
      <c r="B615" t="str">
        <f>"1551765127490027"</f>
        <v>1551765127490027</v>
      </c>
      <c r="C615" t="s">
        <v>40</v>
      </c>
      <c r="D615">
        <v>4.6488930000000002</v>
      </c>
      <c r="E615">
        <v>0.50805420000000001</v>
      </c>
      <c r="F615" t="s">
        <v>48</v>
      </c>
      <c r="G615">
        <v>-158.19499999999999</v>
      </c>
      <c r="H615">
        <v>2.4241790000000001</v>
      </c>
      <c r="I615">
        <v>373.93239999999997</v>
      </c>
      <c r="J615">
        <v>-324.0514</v>
      </c>
      <c r="K615">
        <v>1.109416</v>
      </c>
      <c r="L615">
        <v>367.98680000000002</v>
      </c>
      <c r="M615">
        <v>0.99987210000000004</v>
      </c>
      <c r="N615">
        <v>-1.44195E-2</v>
      </c>
      <c r="O615">
        <v>6.9320060000000001E-3</v>
      </c>
      <c r="P615">
        <v>0.99784550000000005</v>
      </c>
      <c r="Q615">
        <v>-2.4875390000000001E-2</v>
      </c>
      <c r="R615">
        <v>6.0711569999999999E-2</v>
      </c>
      <c r="S615">
        <v>2.9999389999999999</v>
      </c>
      <c r="T615">
        <v>2.3758290000000001E-2</v>
      </c>
      <c r="U615">
        <v>0.1074524</v>
      </c>
      <c r="V615">
        <v>-5.3795330000000002E-2</v>
      </c>
      <c r="W615">
        <v>-1.0464960000000001E-2</v>
      </c>
      <c r="X615">
        <v>0.99849710000000003</v>
      </c>
      <c r="Y615">
        <v>-2.886857E-2</v>
      </c>
      <c r="Z615">
        <v>2.487414E-4</v>
      </c>
      <c r="AA615">
        <v>0.99958320000000001</v>
      </c>
      <c r="AB615">
        <v>32</v>
      </c>
      <c r="AC615">
        <v>165.85640000000001</v>
      </c>
      <c r="AD615">
        <v>1.3147629999999999</v>
      </c>
      <c r="AE615">
        <v>5.94559999999995</v>
      </c>
      <c r="AF615">
        <v>-4.7953191758514198</v>
      </c>
      <c r="AG615">
        <v>1.3147629999999999</v>
      </c>
      <c r="AH615">
        <v>165.88322282936099</v>
      </c>
      <c r="AI615">
        <v>89.546082245633499</v>
      </c>
      <c r="AJ615">
        <v>91.655833849937693</v>
      </c>
      <c r="AK615">
        <v>165.95772746094099</v>
      </c>
      <c r="AL615">
        <v>90.599609012010504</v>
      </c>
      <c r="AM615">
        <v>93.083903115158506</v>
      </c>
      <c r="AN615">
        <v>0.99999995581300904</v>
      </c>
    </row>
    <row r="616" spans="1:40" x14ac:dyDescent="0.25">
      <c r="A616" t="str">
        <f>"20190305135207507"</f>
        <v>20190305135207507</v>
      </c>
      <c r="B616" t="str">
        <f>"1551765127499786"</f>
        <v>1551765127499786</v>
      </c>
      <c r="C616" t="s">
        <v>40</v>
      </c>
      <c r="D616">
        <v>4.7511989999999997</v>
      </c>
      <c r="E616">
        <v>0.5076389</v>
      </c>
      <c r="F616" t="s">
        <v>52</v>
      </c>
      <c r="G616">
        <v>-183.5685</v>
      </c>
      <c r="H616" s="1">
        <v>-7.4847749999999998E-6</v>
      </c>
      <c r="I616">
        <v>373.55419999999998</v>
      </c>
      <c r="J616">
        <v>-323.87790000000001</v>
      </c>
      <c r="K616">
        <v>1.109394</v>
      </c>
      <c r="L616">
        <v>367.988</v>
      </c>
      <c r="M616">
        <v>0.99987250000000005</v>
      </c>
      <c r="N616">
        <v>-1.4417660000000001E-2</v>
      </c>
      <c r="O616">
        <v>6.8687569999999996E-3</v>
      </c>
      <c r="P616">
        <v>0.99764660000000005</v>
      </c>
      <c r="Q616">
        <v>-2.8247999999999999E-2</v>
      </c>
      <c r="R616">
        <v>6.247726E-2</v>
      </c>
      <c r="S616">
        <v>2.9986269999999999</v>
      </c>
      <c r="T616">
        <v>-2.368081E-2</v>
      </c>
      <c r="U616">
        <v>0.11883539999999999</v>
      </c>
      <c r="V616">
        <v>-5.5626019999999998E-2</v>
      </c>
      <c r="W616">
        <v>-1.3840679999999999E-2</v>
      </c>
      <c r="X616">
        <v>0.99835569999999896</v>
      </c>
      <c r="Y616">
        <v>-3.2731129999999997E-2</v>
      </c>
      <c r="Z616">
        <v>4.100412E-4</v>
      </c>
      <c r="AA616">
        <v>0.99946409999999997</v>
      </c>
      <c r="AB616">
        <v>32</v>
      </c>
      <c r="AC616">
        <v>140.30940000000001</v>
      </c>
      <c r="AD616">
        <v>-1.109401484775</v>
      </c>
      <c r="AE616">
        <v>5.5661999999999203</v>
      </c>
      <c r="AF616">
        <v>-4.6019300896826101</v>
      </c>
      <c r="AG616">
        <v>-1.109401484775</v>
      </c>
      <c r="AH616">
        <v>140.33556654460199</v>
      </c>
      <c r="AI616">
        <v>90.452690316830697</v>
      </c>
      <c r="AJ616">
        <v>91.878189025059697</v>
      </c>
      <c r="AK616">
        <v>140.41538295215099</v>
      </c>
      <c r="AL616">
        <v>90.793037901438595</v>
      </c>
      <c r="AM616">
        <v>93.189088017275907</v>
      </c>
      <c r="AN616">
        <v>0.999999961123195</v>
      </c>
    </row>
    <row r="617" spans="1:40" x14ac:dyDescent="0.25">
      <c r="A617" t="str">
        <f>"20190305135207520"</f>
        <v>20190305135207520</v>
      </c>
      <c r="B617" t="str">
        <f>"1551765127510522"</f>
        <v>1551765127510522</v>
      </c>
      <c r="C617" t="s">
        <v>40</v>
      </c>
      <c r="D617">
        <v>4.7337819999999997</v>
      </c>
      <c r="E617">
        <v>0.50731930000000003</v>
      </c>
      <c r="F617" t="s">
        <v>42</v>
      </c>
      <c r="G617">
        <v>-235.4032</v>
      </c>
      <c r="H617" s="1">
        <v>-2.5221969999999999E-6</v>
      </c>
      <c r="I617">
        <v>371.75060000000002</v>
      </c>
      <c r="J617">
        <v>-323.69439999999997</v>
      </c>
      <c r="K617">
        <v>1.10937</v>
      </c>
      <c r="L617">
        <v>367.98910000000001</v>
      </c>
      <c r="M617">
        <v>0.99987309999999996</v>
      </c>
      <c r="N617">
        <v>-1.441572E-2</v>
      </c>
      <c r="O617">
        <v>6.7954089999999997E-3</v>
      </c>
      <c r="P617">
        <v>0.9974594</v>
      </c>
      <c r="Q617">
        <v>-3.0796299999999902E-2</v>
      </c>
      <c r="R617">
        <v>6.4237840000000004E-2</v>
      </c>
      <c r="S617">
        <v>2.9980470000000001</v>
      </c>
      <c r="T617">
        <v>-3.7592889999999997E-2</v>
      </c>
      <c r="U617">
        <v>0.12750239999999999</v>
      </c>
      <c r="V617">
        <v>-5.7462220000000001E-2</v>
      </c>
      <c r="W617">
        <v>-1.6391880000000001E-2</v>
      </c>
      <c r="X617">
        <v>0.99821309999999996</v>
      </c>
      <c r="Y617">
        <v>-3.5693120000000002E-2</v>
      </c>
      <c r="Z617">
        <v>4.9385580000000002E-4</v>
      </c>
      <c r="AA617">
        <v>0.99936259999999999</v>
      </c>
      <c r="AB617">
        <v>32</v>
      </c>
      <c r="AC617">
        <v>88.291199999999904</v>
      </c>
      <c r="AD617">
        <v>-1.1093725221970001</v>
      </c>
      <c r="AE617">
        <v>3.7615000000000101</v>
      </c>
      <c r="AF617">
        <v>-3.1608779013260699</v>
      </c>
      <c r="AG617">
        <v>-1.1093725221970001</v>
      </c>
      <c r="AH617">
        <v>88.300809155529393</v>
      </c>
      <c r="AI617">
        <v>90.719340411959905</v>
      </c>
      <c r="AJ617">
        <v>92.050124661890607</v>
      </c>
      <c r="AK617">
        <v>88.364329647326201</v>
      </c>
      <c r="AL617">
        <v>90.939227609316205</v>
      </c>
      <c r="AM617">
        <v>93.294600367779296</v>
      </c>
      <c r="AN617">
        <v>0.99999999673443596</v>
      </c>
    </row>
    <row r="618" spans="1:40" x14ac:dyDescent="0.25">
      <c r="A618" t="str">
        <f>"20190305135207531"</f>
        <v>20190305135207531</v>
      </c>
      <c r="B618" t="str">
        <f>"1551765127520282"</f>
        <v>1551765127520282</v>
      </c>
      <c r="C618" t="s">
        <v>40</v>
      </c>
      <c r="D618">
        <v>4.713838</v>
      </c>
      <c r="E618">
        <v>0.5072719</v>
      </c>
      <c r="F618" t="s">
        <v>42</v>
      </c>
      <c r="G618">
        <v>-259.28960000000001</v>
      </c>
      <c r="H618" s="1">
        <v>-6.2669430000000004E-7</v>
      </c>
      <c r="I618">
        <v>370.89269999999999</v>
      </c>
      <c r="J618">
        <v>-323.53579999999999</v>
      </c>
      <c r="K618">
        <v>1.1093500000000001</v>
      </c>
      <c r="L618">
        <v>367.99020000000002</v>
      </c>
      <c r="M618">
        <v>0.99987349999999997</v>
      </c>
      <c r="N618">
        <v>-1.4414039999999999E-2</v>
      </c>
      <c r="O618">
        <v>6.7286239999999999E-3</v>
      </c>
      <c r="P618">
        <v>0.99728799999999995</v>
      </c>
      <c r="Q618">
        <v>-3.2615249999999998E-2</v>
      </c>
      <c r="R618">
        <v>6.5978449999999994E-2</v>
      </c>
      <c r="S618">
        <v>2.9973749999999999</v>
      </c>
      <c r="T618">
        <v>-5.1629660000000001E-2</v>
      </c>
      <c r="U618">
        <v>0.1351318</v>
      </c>
      <c r="V618">
        <v>-5.927139E-2</v>
      </c>
      <c r="W618">
        <v>-1.821333E-2</v>
      </c>
      <c r="X618">
        <v>0.99807570000000001</v>
      </c>
      <c r="Y618">
        <v>-3.8303730000000001E-2</v>
      </c>
      <c r="Z618">
        <v>5.8706379999999905E-4</v>
      </c>
      <c r="AA618">
        <v>0.99926599999999999</v>
      </c>
      <c r="AB618">
        <v>32</v>
      </c>
      <c r="AC618">
        <v>64.246199999999902</v>
      </c>
      <c r="AD618">
        <v>-1.1093506266943001</v>
      </c>
      <c r="AE618">
        <v>2.9024999999999701</v>
      </c>
      <c r="AF618">
        <v>-2.4693661003528802</v>
      </c>
      <c r="AG618">
        <v>-1.1093506266943001</v>
      </c>
      <c r="AH618">
        <v>64.245161158111102</v>
      </c>
      <c r="AI618">
        <v>90.988524362931798</v>
      </c>
      <c r="AJ618">
        <v>92.201171882366907</v>
      </c>
      <c r="AK618">
        <v>64.3021707252732</v>
      </c>
      <c r="AL618">
        <v>91.043604682283899</v>
      </c>
      <c r="AM618">
        <v>93.398556584861495</v>
      </c>
      <c r="AN618">
        <v>0.99999996299635396</v>
      </c>
    </row>
    <row r="619" spans="1:40" x14ac:dyDescent="0.25">
      <c r="A619" t="str">
        <f>"20190305135207543"</f>
        <v>20190305135207543</v>
      </c>
      <c r="B619" t="str">
        <f>"1551765127530041"</f>
        <v>1551765127530041</v>
      </c>
      <c r="C619" t="s">
        <v>40</v>
      </c>
      <c r="D619">
        <v>4.7163979999999999</v>
      </c>
      <c r="E619">
        <v>0.50713039999999998</v>
      </c>
      <c r="F619" t="s">
        <v>42</v>
      </c>
      <c r="G619">
        <v>-270.3811</v>
      </c>
      <c r="H619" s="1">
        <v>-4.3000439999999999E-6</v>
      </c>
      <c r="I619">
        <v>370.48270000000002</v>
      </c>
      <c r="J619">
        <v>-323.36649999999997</v>
      </c>
      <c r="K619">
        <v>1.1093219999999999</v>
      </c>
      <c r="L619">
        <v>367.99119999999999</v>
      </c>
      <c r="M619">
        <v>0.99987400000000004</v>
      </c>
      <c r="N619">
        <v>-1.441226E-2</v>
      </c>
      <c r="O619">
        <v>6.654259E-3</v>
      </c>
      <c r="P619">
        <v>0.99718419999999997</v>
      </c>
      <c r="Q619">
        <v>-3.3867250000000002E-2</v>
      </c>
      <c r="R619">
        <v>6.6910020000000001E-2</v>
      </c>
      <c r="S619">
        <v>2.9968569999999999</v>
      </c>
      <c r="T619">
        <v>-6.2545180000000006E-2</v>
      </c>
      <c r="U619">
        <v>0.140533399999999</v>
      </c>
      <c r="V619">
        <v>-6.0278400000000003E-2</v>
      </c>
      <c r="W619">
        <v>-1.9467209999999999E-2</v>
      </c>
      <c r="X619">
        <v>0.99799170000000004</v>
      </c>
      <c r="Y619">
        <v>-4.0178819999999997E-2</v>
      </c>
      <c r="Z619">
        <v>6.6583440000000005E-4</v>
      </c>
      <c r="AA619">
        <v>0.99919230000000003</v>
      </c>
      <c r="AB619">
        <v>32</v>
      </c>
      <c r="AC619">
        <v>52.985399999999899</v>
      </c>
      <c r="AD619">
        <v>-1.1093263000439999</v>
      </c>
      <c r="AE619">
        <v>2.49150000000003</v>
      </c>
      <c r="AF619">
        <v>-2.1378945838678001</v>
      </c>
      <c r="AG619">
        <v>-1.1093263000439999</v>
      </c>
      <c r="AH619">
        <v>52.977636755697603</v>
      </c>
      <c r="AI619">
        <v>91.198595562071006</v>
      </c>
      <c r="AJ619">
        <v>92.310897884876496</v>
      </c>
      <c r="AK619">
        <v>53.032359878760303</v>
      </c>
      <c r="AL619">
        <v>91.115459494936999</v>
      </c>
      <c r="AM619">
        <v>93.456448831781003</v>
      </c>
      <c r="AN619">
        <v>0.99999994552031501</v>
      </c>
    </row>
    <row r="620" spans="1:40" x14ac:dyDescent="0.25">
      <c r="A620" t="str">
        <f>"20190305135207559"</f>
        <v>20190305135207559</v>
      </c>
      <c r="B620" t="str">
        <f>"1551765127550537"</f>
        <v>1551765127550537</v>
      </c>
      <c r="C620" t="s">
        <v>40</v>
      </c>
      <c r="D620">
        <v>4.739655</v>
      </c>
      <c r="E620">
        <v>0.50742609999999999</v>
      </c>
      <c r="F620" t="s">
        <v>42</v>
      </c>
      <c r="G620">
        <v>-275.73759999999999</v>
      </c>
      <c r="H620" s="1">
        <v>-1.9885729999999998E-6</v>
      </c>
      <c r="I620">
        <v>370.2842</v>
      </c>
      <c r="J620">
        <v>-323.15100000000001</v>
      </c>
      <c r="K620">
        <v>1.109299</v>
      </c>
      <c r="L620">
        <v>367.99259999999998</v>
      </c>
      <c r="M620">
        <v>0.99987470000000001</v>
      </c>
      <c r="N620">
        <v>-1.4409979999999999E-2</v>
      </c>
      <c r="O620">
        <v>6.5523329999999996E-3</v>
      </c>
      <c r="P620">
        <v>0.99706570000000005</v>
      </c>
      <c r="Q620">
        <v>-3.5312049999999998E-2</v>
      </c>
      <c r="R620">
        <v>6.7920449999999993E-2</v>
      </c>
      <c r="S620">
        <v>2.996429</v>
      </c>
      <c r="T620">
        <v>-6.9789770000000001E-2</v>
      </c>
      <c r="U620">
        <v>0.14425660000000001</v>
      </c>
      <c r="V620">
        <v>-6.1392019999999999E-2</v>
      </c>
      <c r="W620">
        <v>-2.09143E-2</v>
      </c>
      <c r="X620">
        <v>0.99789459999999996</v>
      </c>
      <c r="Y620">
        <v>-4.1522730000000001E-2</v>
      </c>
      <c r="Z620">
        <v>7.2450629999999997E-4</v>
      </c>
      <c r="AA620">
        <v>0.99913730000000001</v>
      </c>
      <c r="AB620">
        <v>32</v>
      </c>
      <c r="AC620">
        <v>47.413400000000003</v>
      </c>
      <c r="AD620">
        <v>-1.1093009885730001</v>
      </c>
      <c r="AE620">
        <v>2.2916000000000101</v>
      </c>
      <c r="AF620">
        <v>-1.9797689712803399</v>
      </c>
      <c r="AG620">
        <v>-1.1093009885730001</v>
      </c>
      <c r="AH620">
        <v>47.4015122350147</v>
      </c>
      <c r="AI620">
        <v>91.339436869683993</v>
      </c>
      <c r="AJ620">
        <v>92.391622400284305</v>
      </c>
      <c r="AK620">
        <v>47.455804661064803</v>
      </c>
      <c r="AL620">
        <v>91.198388483959206</v>
      </c>
      <c r="AM620">
        <v>93.520487927094294</v>
      </c>
      <c r="AN620">
        <v>1.00000001038666</v>
      </c>
    </row>
    <row r="621" spans="1:40" x14ac:dyDescent="0.25">
      <c r="A621" t="str">
        <f>"20190305135207573"</f>
        <v>20190305135207573</v>
      </c>
      <c r="B621" t="str">
        <f>"1551765127570057"</f>
        <v>1551765127570057</v>
      </c>
      <c r="C621" t="s">
        <v>40</v>
      </c>
      <c r="D621">
        <v>4.7299150000000001</v>
      </c>
      <c r="E621">
        <v>0.50724950000000002</v>
      </c>
      <c r="F621" t="s">
        <v>47</v>
      </c>
      <c r="G621">
        <v>-279.24160000000001</v>
      </c>
      <c r="H621">
        <v>-0.05</v>
      </c>
      <c r="I621">
        <v>370.11829999999998</v>
      </c>
      <c r="J621">
        <v>-322.9316</v>
      </c>
      <c r="K621">
        <v>1.1092770000000001</v>
      </c>
      <c r="L621">
        <v>367.9939</v>
      </c>
      <c r="M621">
        <v>0.99987550000000003</v>
      </c>
      <c r="N621">
        <v>-1.4407649999999999E-2</v>
      </c>
      <c r="O621">
        <v>6.4433260000000001E-3</v>
      </c>
      <c r="P621">
        <v>0.9969635</v>
      </c>
      <c r="Q621">
        <v>-3.7760439999999999E-2</v>
      </c>
      <c r="R621">
        <v>6.8104440000000002E-2</v>
      </c>
      <c r="S621">
        <v>2.9961549999999999</v>
      </c>
      <c r="T621">
        <v>-7.9104659999999993E-2</v>
      </c>
      <c r="U621">
        <v>0.14505000000000001</v>
      </c>
      <c r="V621">
        <v>-6.1686539999999998E-2</v>
      </c>
      <c r="W621">
        <v>-2.33651E-2</v>
      </c>
      <c r="X621">
        <v>0.99782199999999999</v>
      </c>
      <c r="Y621">
        <v>-4.18959E-2</v>
      </c>
      <c r="Z621">
        <v>7.7753350000000002E-4</v>
      </c>
      <c r="AA621">
        <v>0.9991217</v>
      </c>
      <c r="AB621">
        <v>32</v>
      </c>
      <c r="AC621">
        <v>43.69</v>
      </c>
      <c r="AD621">
        <v>-1.1592769999999999</v>
      </c>
      <c r="AE621">
        <v>2.1243999999999801</v>
      </c>
      <c r="AF621">
        <v>-1.84152428470133</v>
      </c>
      <c r="AG621">
        <v>-1.1592769999999999</v>
      </c>
      <c r="AH621">
        <v>43.6721071922343</v>
      </c>
      <c r="AI621">
        <v>91.519211194248697</v>
      </c>
      <c r="AJ621">
        <v>92.414564065390806</v>
      </c>
      <c r="AK621">
        <v>43.7262859326501</v>
      </c>
      <c r="AL621">
        <v>91.338843521834093</v>
      </c>
      <c r="AM621">
        <v>93.537590932685006</v>
      </c>
      <c r="AN621">
        <v>0.999999950399589</v>
      </c>
    </row>
    <row r="622" spans="1:40" x14ac:dyDescent="0.25">
      <c r="A622" t="str">
        <f>"20190305135207597"</f>
        <v>20190305135207597</v>
      </c>
      <c r="B622" t="str">
        <f>"1551765127590553"</f>
        <v>1551765127590553</v>
      </c>
      <c r="C622" t="s">
        <v>40</v>
      </c>
      <c r="D622">
        <v>4.734013</v>
      </c>
      <c r="E622">
        <v>0.50740799999999997</v>
      </c>
      <c r="F622" t="s">
        <v>47</v>
      </c>
      <c r="G622">
        <v>-283.04539999999997</v>
      </c>
      <c r="H622">
        <v>-0.05</v>
      </c>
      <c r="I622">
        <v>369.94990000000001</v>
      </c>
      <c r="J622">
        <v>-322.6037</v>
      </c>
      <c r="K622">
        <v>1.1092470000000001</v>
      </c>
      <c r="L622">
        <v>367.99590000000001</v>
      </c>
      <c r="M622">
        <v>0.99987669999999995</v>
      </c>
      <c r="N622">
        <v>-1.4404159999999999E-2</v>
      </c>
      <c r="O622">
        <v>6.2721340000000004E-3</v>
      </c>
      <c r="P622">
        <v>0.99678160000000005</v>
      </c>
      <c r="Q622">
        <v>-4.0929140000000003E-2</v>
      </c>
      <c r="R622">
        <v>6.8930829999999998E-2</v>
      </c>
      <c r="S622">
        <v>2.995819</v>
      </c>
      <c r="T622">
        <v>-8.7072250000000004E-2</v>
      </c>
      <c r="U622">
        <v>0.1469116</v>
      </c>
      <c r="V622">
        <v>-6.2686919999999993E-2</v>
      </c>
      <c r="W622">
        <v>-2.6537939999999999E-2</v>
      </c>
      <c r="X622">
        <v>0.99768040000000002</v>
      </c>
      <c r="Y622">
        <v>-4.2687570000000001E-2</v>
      </c>
      <c r="Z622">
        <v>8.3573019999999998E-4</v>
      </c>
      <c r="AA622">
        <v>0.99908810000000003</v>
      </c>
      <c r="AB622">
        <v>32</v>
      </c>
      <c r="AC622">
        <v>39.558300000000003</v>
      </c>
      <c r="AD622">
        <v>-1.1592469999999999</v>
      </c>
      <c r="AE622">
        <v>1.954</v>
      </c>
      <c r="AF622">
        <v>-1.70436079313777</v>
      </c>
      <c r="AG622">
        <v>-1.1592469999999999</v>
      </c>
      <c r="AH622">
        <v>39.535909143176397</v>
      </c>
      <c r="AI622">
        <v>91.677951977509906</v>
      </c>
      <c r="AJ622">
        <v>92.468445953409002</v>
      </c>
      <c r="AK622">
        <v>39.589604836341699</v>
      </c>
      <c r="AL622">
        <v>91.520690418221406</v>
      </c>
      <c r="AM622">
        <v>93.5953202113635</v>
      </c>
      <c r="AN622">
        <v>1.0000000463713401</v>
      </c>
    </row>
    <row r="623" spans="1:40" x14ac:dyDescent="0.25">
      <c r="A623" t="str">
        <f>"20190305135207618"</f>
        <v>20190305135207618</v>
      </c>
      <c r="B623" t="str">
        <f>"1551765127610073"</f>
        <v>1551765127610073</v>
      </c>
      <c r="C623" t="s">
        <v>40</v>
      </c>
      <c r="D623">
        <v>4.7643219999999999</v>
      </c>
      <c r="E623">
        <v>0.50765099999999996</v>
      </c>
      <c r="F623" t="s">
        <v>47</v>
      </c>
      <c r="G623">
        <v>-286.12759999999997</v>
      </c>
      <c r="H623">
        <v>-0.05</v>
      </c>
      <c r="I623">
        <v>369.803</v>
      </c>
      <c r="J623">
        <v>-322.291</v>
      </c>
      <c r="K623">
        <v>1.1092280000000001</v>
      </c>
      <c r="L623">
        <v>367.99759999999998</v>
      </c>
      <c r="M623">
        <v>0.99987780000000004</v>
      </c>
      <c r="N623">
        <v>-1.4400799999999899E-2</v>
      </c>
      <c r="O623">
        <v>6.1011219999999996E-3</v>
      </c>
      <c r="P623">
        <v>0.99670400000000003</v>
      </c>
      <c r="Q623">
        <v>-4.228436E-2</v>
      </c>
      <c r="R623">
        <v>6.9236489999999998E-2</v>
      </c>
      <c r="S623">
        <v>2.9954830000000001</v>
      </c>
      <c r="T623">
        <v>-9.5199350000000002E-2</v>
      </c>
      <c r="U623">
        <v>0.14840699999999901</v>
      </c>
      <c r="V623">
        <v>-6.3164590000000007E-2</v>
      </c>
      <c r="W623">
        <v>-2.7896580000000001E-2</v>
      </c>
      <c r="X623">
        <v>0.99761310000000003</v>
      </c>
      <c r="Y623">
        <v>-4.3356859999999997E-2</v>
      </c>
      <c r="Z623">
        <v>8.9495399999999902E-4</v>
      </c>
      <c r="AA623">
        <v>0.99905929999999998</v>
      </c>
      <c r="AB623">
        <v>32</v>
      </c>
      <c r="AC623">
        <v>36.163400000000003</v>
      </c>
      <c r="AD623">
        <v>-1.1592279999999999</v>
      </c>
      <c r="AE623">
        <v>1.8054000000000701</v>
      </c>
      <c r="AF623">
        <v>-1.5830835789372799</v>
      </c>
      <c r="AG623">
        <v>-1.1592279999999999</v>
      </c>
      <c r="AH623">
        <v>36.136703260122403</v>
      </c>
      <c r="AI623">
        <v>91.835599813451196</v>
      </c>
      <c r="AJ623">
        <v>92.508420557000903</v>
      </c>
      <c r="AK623">
        <v>36.1899334854877</v>
      </c>
      <c r="AL623">
        <v>91.5985637758249</v>
      </c>
      <c r="AM623">
        <v>93.622887358909693</v>
      </c>
      <c r="AN623">
        <v>0.99999994094858502</v>
      </c>
    </row>
    <row r="624" spans="1:40" x14ac:dyDescent="0.25">
      <c r="A624" t="str">
        <f>"20190305135207632"</f>
        <v>20190305135207632</v>
      </c>
      <c r="B624" t="str">
        <f>"1551765127619834"</f>
        <v>1551765127619834</v>
      </c>
      <c r="C624" t="s">
        <v>40</v>
      </c>
      <c r="D624">
        <v>4.8137349999999897</v>
      </c>
      <c r="E624">
        <v>0.50740879999999999</v>
      </c>
      <c r="F624" t="s">
        <v>47</v>
      </c>
      <c r="G624">
        <v>-285.8184</v>
      </c>
      <c r="H624">
        <v>-0.05</v>
      </c>
      <c r="I624">
        <v>369.79109999999997</v>
      </c>
      <c r="J624">
        <v>-322.11320000000001</v>
      </c>
      <c r="K624">
        <v>1.1092200000000001</v>
      </c>
      <c r="L624">
        <v>367.99860000000001</v>
      </c>
      <c r="M624">
        <v>0.99987839999999995</v>
      </c>
      <c r="N624">
        <v>-1.4398889999999999E-2</v>
      </c>
      <c r="O624">
        <v>6.0018040000000003E-3</v>
      </c>
      <c r="P624">
        <v>0.99664960000000002</v>
      </c>
      <c r="Q624">
        <v>-4.3020540000000003E-2</v>
      </c>
      <c r="R624">
        <v>6.956205E-2</v>
      </c>
      <c r="S624">
        <v>2.9956969999999998</v>
      </c>
      <c r="T624">
        <v>-9.5213770000000003E-2</v>
      </c>
      <c r="U624">
        <v>0.147308299999999</v>
      </c>
      <c r="V624">
        <v>-6.358946E-2</v>
      </c>
      <c r="W624">
        <v>-2.8634960000000001E-2</v>
      </c>
      <c r="X624">
        <v>0.99756529999999999</v>
      </c>
      <c r="Y624">
        <v>-4.3087250000000001E-2</v>
      </c>
      <c r="Z624">
        <v>8.9044340000000001E-4</v>
      </c>
      <c r="AA624">
        <v>0.99907089999999998</v>
      </c>
      <c r="AB624">
        <v>32</v>
      </c>
      <c r="AC624">
        <v>36.294800000000002</v>
      </c>
      <c r="AD624">
        <v>-1.1592199999999999</v>
      </c>
      <c r="AE624">
        <v>1.79249999999996</v>
      </c>
      <c r="AF624">
        <v>-1.57301014168527</v>
      </c>
      <c r="AG624">
        <v>-1.1592199999999999</v>
      </c>
      <c r="AH624">
        <v>36.267998527727499</v>
      </c>
      <c r="AI624">
        <v>91.828981289031105</v>
      </c>
      <c r="AJ624">
        <v>92.4834674245228</v>
      </c>
      <c r="AK624">
        <v>36.320598413592897</v>
      </c>
      <c r="AL624">
        <v>91.6408865617381</v>
      </c>
      <c r="AM624">
        <v>93.647365063870595</v>
      </c>
      <c r="AN624">
        <v>1.0000000540606899</v>
      </c>
    </row>
    <row r="625" spans="1:40" x14ac:dyDescent="0.25">
      <c r="A625" t="str">
        <f>"20190305135207647"</f>
        <v>20190305135207647</v>
      </c>
      <c r="B625" t="str">
        <f>"1551765127640331"</f>
        <v>1551765127640331</v>
      </c>
      <c r="C625" t="s">
        <v>40</v>
      </c>
      <c r="D625">
        <v>4.8033910000000004</v>
      </c>
      <c r="E625">
        <v>0.50689379999999995</v>
      </c>
      <c r="F625" t="s">
        <v>47</v>
      </c>
      <c r="G625">
        <v>-288.31939999999997</v>
      </c>
      <c r="H625">
        <v>-0.05</v>
      </c>
      <c r="I625">
        <v>369.69229999999999</v>
      </c>
      <c r="J625">
        <v>-321.90339999999998</v>
      </c>
      <c r="K625">
        <v>1.1092200000000001</v>
      </c>
      <c r="L625">
        <v>367.99979999999999</v>
      </c>
      <c r="M625">
        <v>0.99987910000000002</v>
      </c>
      <c r="N625">
        <v>-1.4396620000000001E-2</v>
      </c>
      <c r="O625">
        <v>5.8837769999999998E-3</v>
      </c>
      <c r="P625">
        <v>0.99663089999999999</v>
      </c>
      <c r="Q625">
        <v>-4.3648350000000002E-2</v>
      </c>
      <c r="R625">
        <v>6.9438390000000003E-2</v>
      </c>
      <c r="S625">
        <v>2.9951780000000001</v>
      </c>
      <c r="T625">
        <v>-0.1027428</v>
      </c>
      <c r="U625">
        <v>0.150116</v>
      </c>
      <c r="V625">
        <v>-6.358403E-2</v>
      </c>
      <c r="W625">
        <v>-2.9265090000000001E-2</v>
      </c>
      <c r="X625">
        <v>0.99754730000000003</v>
      </c>
      <c r="Y625">
        <v>-4.4142880000000002E-2</v>
      </c>
      <c r="Z625">
        <v>9.5752749999999996E-4</v>
      </c>
      <c r="AA625">
        <v>0.99902469999999999</v>
      </c>
      <c r="AB625">
        <v>32</v>
      </c>
      <c r="AC625">
        <v>33.584000000000003</v>
      </c>
      <c r="AD625">
        <v>-1.1592199999999999</v>
      </c>
      <c r="AE625">
        <v>1.6924999999999899</v>
      </c>
      <c r="AF625">
        <v>-1.4930750781962101</v>
      </c>
      <c r="AG625">
        <v>-1.1592199999999999</v>
      </c>
      <c r="AH625">
        <v>33.553502654368998</v>
      </c>
      <c r="AI625">
        <v>91.976736249995497</v>
      </c>
      <c r="AJ625">
        <v>92.547886117336802</v>
      </c>
      <c r="AK625">
        <v>33.606704756257798</v>
      </c>
      <c r="AL625">
        <v>91.677005587797595</v>
      </c>
      <c r="AM625">
        <v>93.647120081267204</v>
      </c>
      <c r="AN625">
        <v>0.99999999505051895</v>
      </c>
    </row>
    <row r="626" spans="1:40" x14ac:dyDescent="0.25">
      <c r="A626" t="str">
        <f>"20190305135207658"</f>
        <v>20190305135207658</v>
      </c>
      <c r="B626" t="str">
        <f>"1551765127650090"</f>
        <v>1551765127650090</v>
      </c>
      <c r="C626" t="s">
        <v>40</v>
      </c>
      <c r="D626">
        <v>4.828004</v>
      </c>
      <c r="E626">
        <v>0.50675779999999904</v>
      </c>
      <c r="F626" t="s">
        <v>47</v>
      </c>
      <c r="G626">
        <v>-290.86590000000001</v>
      </c>
      <c r="H626">
        <v>-0.05</v>
      </c>
      <c r="I626">
        <v>369.5908</v>
      </c>
      <c r="J626">
        <v>-321.72329999999999</v>
      </c>
      <c r="K626">
        <v>1.1092200000000001</v>
      </c>
      <c r="L626">
        <v>368.00069999999999</v>
      </c>
      <c r="M626">
        <v>0.99987979999999999</v>
      </c>
      <c r="N626">
        <v>-1.439469E-2</v>
      </c>
      <c r="O626">
        <v>5.7817349999999997E-3</v>
      </c>
      <c r="P626">
        <v>0.99662280000000003</v>
      </c>
      <c r="Q626">
        <v>-4.4003519999999997E-2</v>
      </c>
      <c r="R626">
        <v>6.9332500000000005E-2</v>
      </c>
      <c r="S626">
        <v>2.9945369999999998</v>
      </c>
      <c r="T626">
        <v>-0.1118431</v>
      </c>
      <c r="U626">
        <v>0.15350339999999901</v>
      </c>
      <c r="V626">
        <v>-6.3580490000000003E-2</v>
      </c>
      <c r="W626">
        <v>-2.9622200000000001E-2</v>
      </c>
      <c r="X626">
        <v>0.99753700000000001</v>
      </c>
      <c r="Y626">
        <v>-4.5376090000000001E-2</v>
      </c>
      <c r="Z626">
        <v>1.040947E-3</v>
      </c>
      <c r="AA626">
        <v>0.99896940000000001</v>
      </c>
      <c r="AB626">
        <v>32</v>
      </c>
      <c r="AC626">
        <v>30.857399999999899</v>
      </c>
      <c r="AD626">
        <v>-1.1592199999999999</v>
      </c>
      <c r="AE626">
        <v>1.5901000000000001</v>
      </c>
      <c r="AF626">
        <v>-1.4096614851977201</v>
      </c>
      <c r="AG626">
        <v>-1.1592199999999999</v>
      </c>
      <c r="AH626">
        <v>30.822694381687199</v>
      </c>
      <c r="AI626">
        <v>92.151592218187403</v>
      </c>
      <c r="AJ626">
        <v>92.618570937610698</v>
      </c>
      <c r="AK626">
        <v>30.876680933321499</v>
      </c>
      <c r="AL626">
        <v>91.697475333442</v>
      </c>
      <c r="AM626">
        <v>93.646955132573197</v>
      </c>
      <c r="AN626">
        <v>1.00000000990524</v>
      </c>
    </row>
    <row r="627" spans="1:40" x14ac:dyDescent="0.25">
      <c r="A627" t="str">
        <f>"20190305135207673"</f>
        <v>20190305135207673</v>
      </c>
      <c r="B627" t="str">
        <f>"1551765127670586"</f>
        <v>1551765127670586</v>
      </c>
      <c r="C627" t="s">
        <v>40</v>
      </c>
      <c r="D627">
        <v>4.7908860000000004</v>
      </c>
      <c r="E627">
        <v>0.50644339999999999</v>
      </c>
      <c r="F627" t="s">
        <v>47</v>
      </c>
      <c r="G627">
        <v>-291.88040000000001</v>
      </c>
      <c r="H627">
        <v>-0.05</v>
      </c>
      <c r="I627">
        <v>369.54059999999998</v>
      </c>
      <c r="J627">
        <v>-321.5247</v>
      </c>
      <c r="K627">
        <v>1.1092299999999999</v>
      </c>
      <c r="L627">
        <v>368.0018</v>
      </c>
      <c r="M627">
        <v>0.99988030000000006</v>
      </c>
      <c r="N627">
        <v>-1.439255E-2</v>
      </c>
      <c r="O627">
        <v>5.6698019999999998E-3</v>
      </c>
      <c r="P627">
        <v>0.99665579999999998</v>
      </c>
      <c r="Q627">
        <v>-4.4102549999999997E-2</v>
      </c>
      <c r="R627">
        <v>6.8789639999999999E-2</v>
      </c>
      <c r="S627">
        <v>2.9942929999999999</v>
      </c>
      <c r="T627">
        <v>-0.1163105</v>
      </c>
      <c r="U627">
        <v>0.1545105</v>
      </c>
      <c r="V627">
        <v>-6.3149360000000002E-2</v>
      </c>
      <c r="W627">
        <v>-2.9723050000000001E-2</v>
      </c>
      <c r="X627">
        <v>0.99756140000000004</v>
      </c>
      <c r="Y627">
        <v>-4.5823830000000003E-2</v>
      </c>
      <c r="Z627">
        <v>1.08077E-3</v>
      </c>
      <c r="AA627">
        <v>0.99894890000000003</v>
      </c>
      <c r="AB627">
        <v>32</v>
      </c>
      <c r="AC627">
        <v>29.644299999999902</v>
      </c>
      <c r="AD627">
        <v>-1.15923</v>
      </c>
      <c r="AE627">
        <v>1.53879999999998</v>
      </c>
      <c r="AF627">
        <v>-1.36859333784524</v>
      </c>
      <c r="AG627">
        <v>-1.15923</v>
      </c>
      <c r="AH627">
        <v>29.607395825219701</v>
      </c>
      <c r="AI627">
        <v>92.2397896977226</v>
      </c>
      <c r="AJ627">
        <v>92.646596949934604</v>
      </c>
      <c r="AK627">
        <v>29.661671386968901</v>
      </c>
      <c r="AL627">
        <v>91.703256134084498</v>
      </c>
      <c r="AM627">
        <v>93.622203364347797</v>
      </c>
      <c r="AN627">
        <v>1.0000000240698299</v>
      </c>
    </row>
    <row r="628" spans="1:40" x14ac:dyDescent="0.25">
      <c r="A628" t="str">
        <f>"20190305135207685"</f>
        <v>20190305135207685</v>
      </c>
      <c r="B628" t="str">
        <f>"1551765127680346"</f>
        <v>1551765127680346</v>
      </c>
      <c r="C628" t="s">
        <v>40</v>
      </c>
      <c r="D628">
        <v>4.7513750000000003</v>
      </c>
      <c r="E628">
        <v>0.50626059999999995</v>
      </c>
      <c r="F628" t="s">
        <v>47</v>
      </c>
      <c r="G628">
        <v>-293.06490000000002</v>
      </c>
      <c r="H628">
        <v>-0.05</v>
      </c>
      <c r="I628">
        <v>369.4769</v>
      </c>
      <c r="J628">
        <v>-321.36090000000002</v>
      </c>
      <c r="K628">
        <v>1.109243</v>
      </c>
      <c r="L628">
        <v>368.00259999999997</v>
      </c>
      <c r="M628">
        <v>0.99988089999999996</v>
      </c>
      <c r="N628">
        <v>-1.4390790000000001E-2</v>
      </c>
      <c r="O628">
        <v>5.5777190000000001E-3</v>
      </c>
      <c r="P628">
        <v>0.99675130000000001</v>
      </c>
      <c r="Q628">
        <v>-4.258108E-2</v>
      </c>
      <c r="R628">
        <v>6.8367650000000002E-2</v>
      </c>
      <c r="S628">
        <v>2.9939580000000001</v>
      </c>
      <c r="T628">
        <v>-0.1219509</v>
      </c>
      <c r="U628">
        <v>0.15518189999999901</v>
      </c>
      <c r="V628">
        <v>-6.2817730000000002E-2</v>
      </c>
      <c r="W628">
        <v>-2.8202270000000002E-2</v>
      </c>
      <c r="X628">
        <v>0.99762649999999997</v>
      </c>
      <c r="Y628">
        <v>-4.6140840000000002E-2</v>
      </c>
      <c r="Z628">
        <v>1.1243819999999999E-3</v>
      </c>
      <c r="AA628">
        <v>0.99893430000000005</v>
      </c>
      <c r="AB628">
        <v>32</v>
      </c>
      <c r="AC628">
        <v>28.2959999999999</v>
      </c>
      <c r="AD628">
        <v>-1.159243</v>
      </c>
      <c r="AE628">
        <v>1.4743000000000199</v>
      </c>
      <c r="AF628">
        <v>-1.31423372604706</v>
      </c>
      <c r="AG628">
        <v>-1.159243</v>
      </c>
      <c r="AH628">
        <v>28.256486171606699</v>
      </c>
      <c r="AI628">
        <v>92.346749688866893</v>
      </c>
      <c r="AJ628">
        <v>92.662957376384497</v>
      </c>
      <c r="AK628">
        <v>28.310776488572898</v>
      </c>
      <c r="AL628">
        <v>91.6160852668622</v>
      </c>
      <c r="AM628">
        <v>93.602997035223595</v>
      </c>
      <c r="AN628">
        <v>1.00000003436887</v>
      </c>
    </row>
    <row r="629" spans="1:40" x14ac:dyDescent="0.25">
      <c r="A629" t="str">
        <f>"20190305135207696"</f>
        <v>20190305135207696</v>
      </c>
      <c r="B629" t="str">
        <f>"1551765127690106"</f>
        <v>1551765127690106</v>
      </c>
      <c r="C629" t="s">
        <v>40</v>
      </c>
      <c r="D629">
        <v>4.7708620000000002</v>
      </c>
      <c r="E629">
        <v>0.50618679999999905</v>
      </c>
      <c r="F629" t="s">
        <v>47</v>
      </c>
      <c r="G629">
        <v>-292.36329999999998</v>
      </c>
      <c r="H629">
        <v>-0.05</v>
      </c>
      <c r="I629">
        <v>369.50909999999999</v>
      </c>
      <c r="J629">
        <v>-321.19720000000001</v>
      </c>
      <c r="K629">
        <v>1.1091329999999999</v>
      </c>
      <c r="L629">
        <v>368.0034</v>
      </c>
      <c r="M629">
        <v>0.999888</v>
      </c>
      <c r="N629">
        <v>-1.3933289999999999E-2</v>
      </c>
      <c r="O629">
        <v>5.4800569999999896E-3</v>
      </c>
      <c r="P629">
        <v>0.99689159999999999</v>
      </c>
      <c r="Q629">
        <v>-4.0131640000000003E-2</v>
      </c>
      <c r="R629">
        <v>6.7800620000000006E-2</v>
      </c>
      <c r="S629">
        <v>2.9939879999999999</v>
      </c>
      <c r="T629">
        <v>-0.11969109999999999</v>
      </c>
      <c r="U629">
        <v>0.15554809999999999</v>
      </c>
      <c r="V629">
        <v>-6.2346819999999997E-2</v>
      </c>
      <c r="W629">
        <v>-2.6208019999999999E-2</v>
      </c>
      <c r="X629">
        <v>0.9977104</v>
      </c>
      <c r="Y629">
        <v>-4.636154E-2</v>
      </c>
      <c r="Z629">
        <v>1.1065560000000001E-3</v>
      </c>
      <c r="AA629">
        <v>0.99892409999999998</v>
      </c>
      <c r="AB629">
        <v>32</v>
      </c>
      <c r="AC629">
        <v>28.8339</v>
      </c>
      <c r="AD629">
        <v>-1.159133</v>
      </c>
      <c r="AE629">
        <v>1.50569999999999</v>
      </c>
      <c r="AF629">
        <v>-1.3454821670517301</v>
      </c>
      <c r="AG629">
        <v>-1.159133</v>
      </c>
      <c r="AH629">
        <v>28.7953104370368</v>
      </c>
      <c r="AI629">
        <v>92.302643238805203</v>
      </c>
      <c r="AJ629">
        <v>92.675241838674907</v>
      </c>
      <c r="AK629">
        <v>28.850022785759801</v>
      </c>
      <c r="AL629">
        <v>91.501780866372897</v>
      </c>
      <c r="AM629">
        <v>93.5757577602038</v>
      </c>
      <c r="AN629">
        <v>1.00000001427229</v>
      </c>
    </row>
    <row r="630" spans="1:40" x14ac:dyDescent="0.25">
      <c r="A630" t="str">
        <f>"20190305135207707"</f>
        <v>20190305135207707</v>
      </c>
      <c r="B630" t="str">
        <f>"1551765127699867"</f>
        <v>1551765127699867</v>
      </c>
      <c r="C630" t="s">
        <v>40</v>
      </c>
      <c r="D630">
        <v>4.7516870000000004</v>
      </c>
      <c r="E630">
        <v>0.50611049999999902</v>
      </c>
      <c r="F630" t="s">
        <v>47</v>
      </c>
      <c r="G630">
        <v>-290.7518</v>
      </c>
      <c r="H630">
        <v>-0.05</v>
      </c>
      <c r="I630">
        <v>369.57170000000002</v>
      </c>
      <c r="J630">
        <v>-321.03680000000003</v>
      </c>
      <c r="K630">
        <v>1.1090260000000001</v>
      </c>
      <c r="L630">
        <v>368.00420000000003</v>
      </c>
      <c r="M630">
        <v>0.99989430000000001</v>
      </c>
      <c r="N630">
        <v>-1.3509820000000001E-2</v>
      </c>
      <c r="O630">
        <v>5.3845500000000001E-3</v>
      </c>
      <c r="P630">
        <v>0.99701209999999996</v>
      </c>
      <c r="Q630">
        <v>-3.8211799999999997E-2</v>
      </c>
      <c r="R630">
        <v>6.7131910000000003E-2</v>
      </c>
      <c r="S630">
        <v>2.9942319999999998</v>
      </c>
      <c r="T630">
        <v>-0.1139981</v>
      </c>
      <c r="U630">
        <v>0.15423580000000001</v>
      </c>
      <c r="V630">
        <v>-6.1772090000000002E-2</v>
      </c>
      <c r="W630">
        <v>-2.4709700000000001E-2</v>
      </c>
      <c r="X630">
        <v>0.99778440000000002</v>
      </c>
      <c r="Y630">
        <v>-4.6020650000000003E-2</v>
      </c>
      <c r="Z630">
        <v>1.054302E-3</v>
      </c>
      <c r="AA630">
        <v>0.99893989999999999</v>
      </c>
      <c r="AB630">
        <v>32</v>
      </c>
      <c r="AC630">
        <v>30.285</v>
      </c>
      <c r="AD630">
        <v>-1.1590259999999999</v>
      </c>
      <c r="AE630">
        <v>1.5674999999999899</v>
      </c>
      <c r="AF630">
        <v>-1.4023428603307799</v>
      </c>
      <c r="AG630">
        <v>-1.1590259999999999</v>
      </c>
      <c r="AH630">
        <v>30.2488166469108</v>
      </c>
      <c r="AI630">
        <v>92.191943057115196</v>
      </c>
      <c r="AJ630">
        <v>92.654346412243996</v>
      </c>
      <c r="AK630">
        <v>30.303478600732099</v>
      </c>
      <c r="AL630">
        <v>91.415905583670707</v>
      </c>
      <c r="AM630">
        <v>93.542617710258995</v>
      </c>
      <c r="AN630">
        <v>1.0000000346302</v>
      </c>
    </row>
    <row r="631" spans="1:40" x14ac:dyDescent="0.25">
      <c r="A631" t="str">
        <f>"20190305135207719"</f>
        <v>20190305135207719</v>
      </c>
      <c r="B631" t="str">
        <f>"1551765127710602"</f>
        <v>1551765127710602</v>
      </c>
      <c r="C631" t="s">
        <v>40</v>
      </c>
      <c r="D631">
        <v>4.7235559999999897</v>
      </c>
      <c r="E631">
        <v>0.50603350000000002</v>
      </c>
      <c r="F631" t="s">
        <v>47</v>
      </c>
      <c r="G631">
        <v>-289.29539999999997</v>
      </c>
      <c r="H631">
        <v>-0.05</v>
      </c>
      <c r="I631">
        <v>369.6232</v>
      </c>
      <c r="J631">
        <v>-320.86340000000001</v>
      </c>
      <c r="K631">
        <v>1.1088979999999999</v>
      </c>
      <c r="L631">
        <v>368.005</v>
      </c>
      <c r="M631">
        <v>0.99989919999999999</v>
      </c>
      <c r="N631">
        <v>-1.318631E-2</v>
      </c>
      <c r="O631">
        <v>5.2818219999999898E-3</v>
      </c>
      <c r="P631">
        <v>0.99712540000000005</v>
      </c>
      <c r="Q631">
        <v>-3.6713549999999998E-2</v>
      </c>
      <c r="R631">
        <v>6.6280210000000006E-2</v>
      </c>
      <c r="S631">
        <v>2.9945680000000001</v>
      </c>
      <c r="T631">
        <v>-0.1093454</v>
      </c>
      <c r="U631">
        <v>0.1527405</v>
      </c>
      <c r="V631">
        <v>-6.1021600000000002E-2</v>
      </c>
      <c r="W631">
        <v>-2.3533310000000002E-2</v>
      </c>
      <c r="X631">
        <v>0.99785900000000005</v>
      </c>
      <c r="Y631">
        <v>-4.5623619999999997E-2</v>
      </c>
      <c r="Z631">
        <v>1.0102209999999999E-3</v>
      </c>
      <c r="AA631">
        <v>0.99895820000000002</v>
      </c>
      <c r="AB631">
        <v>32</v>
      </c>
      <c r="AC631">
        <v>31.568000000000001</v>
      </c>
      <c r="AD631">
        <v>-1.158898</v>
      </c>
      <c r="AE631">
        <v>1.6182000000000001</v>
      </c>
      <c r="AF631">
        <v>-1.44947802904974</v>
      </c>
      <c r="AG631">
        <v>-1.158898</v>
      </c>
      <c r="AH631">
        <v>31.533720454696802</v>
      </c>
      <c r="AI631">
        <v>92.102516018700499</v>
      </c>
      <c r="AJ631">
        <v>92.631803537034202</v>
      </c>
      <c r="AK631">
        <v>31.588281954643598</v>
      </c>
      <c r="AL631">
        <v>91.348483804885305</v>
      </c>
      <c r="AM631">
        <v>93.4994238920345</v>
      </c>
      <c r="AN631">
        <v>1.00000001811355</v>
      </c>
    </row>
    <row r="632" spans="1:40" x14ac:dyDescent="0.25">
      <c r="A632" t="str">
        <f>"20190305135207731"</f>
        <v>20190305135207731</v>
      </c>
      <c r="B632" t="str">
        <f>"1551765127720361"</f>
        <v>1551765127720361</v>
      </c>
      <c r="C632" t="s">
        <v>40</v>
      </c>
      <c r="D632">
        <v>4.7270760000000003</v>
      </c>
      <c r="E632">
        <v>0.50593319999999997</v>
      </c>
      <c r="F632" t="s">
        <v>47</v>
      </c>
      <c r="G632">
        <v>-288.06920000000002</v>
      </c>
      <c r="H632">
        <v>-0.05</v>
      </c>
      <c r="I632">
        <v>369.65699999999998</v>
      </c>
      <c r="J632">
        <v>-320.70710000000003</v>
      </c>
      <c r="K632">
        <v>1.1087800000000001</v>
      </c>
      <c r="L632">
        <v>368.00580000000002</v>
      </c>
      <c r="M632">
        <v>0.99990120000000005</v>
      </c>
      <c r="N632">
        <v>-1.307232E-2</v>
      </c>
      <c r="O632">
        <v>5.1897940000000002E-3</v>
      </c>
      <c r="P632">
        <v>0.99719409999999997</v>
      </c>
      <c r="Q632">
        <v>-3.574389E-2</v>
      </c>
      <c r="R632">
        <v>6.5774929999999995E-2</v>
      </c>
      <c r="S632">
        <v>2.99472</v>
      </c>
      <c r="T632">
        <v>-0.1058291</v>
      </c>
      <c r="U632">
        <v>0.15084839999999999</v>
      </c>
      <c r="V632">
        <v>-6.0606930000000003E-2</v>
      </c>
      <c r="W632">
        <v>-2.2676849999999998E-2</v>
      </c>
      <c r="X632">
        <v>0.99790409999999996</v>
      </c>
      <c r="Y632">
        <v>-4.5086109999999999E-2</v>
      </c>
      <c r="Z632">
        <v>9.7547330000000002E-4</v>
      </c>
      <c r="AA632">
        <v>0.99898260000000005</v>
      </c>
      <c r="AB632">
        <v>32</v>
      </c>
      <c r="AC632">
        <v>32.637900000000002</v>
      </c>
      <c r="AD632">
        <v>-1.1587799999999999</v>
      </c>
      <c r="AE632">
        <v>1.65119999999996</v>
      </c>
      <c r="AF632">
        <v>-1.4799185886747299</v>
      </c>
      <c r="AG632">
        <v>-1.1587799999999999</v>
      </c>
      <c r="AH632">
        <v>32.605035394303698</v>
      </c>
      <c r="AI632">
        <v>92.033338431249405</v>
      </c>
      <c r="AJ632">
        <v>92.598829603307493</v>
      </c>
      <c r="AK632">
        <v>32.659168133639</v>
      </c>
      <c r="AL632">
        <v>91.299399159971301</v>
      </c>
      <c r="AM632">
        <v>93.475545484969899</v>
      </c>
      <c r="AN632">
        <v>1.00000001614337</v>
      </c>
    </row>
    <row r="633" spans="1:40" x14ac:dyDescent="0.25">
      <c r="A633" t="str">
        <f>"20190305135207743"</f>
        <v>20190305135207743</v>
      </c>
      <c r="B633" t="str">
        <f>"1551765127739881"</f>
        <v>1551765127739881</v>
      </c>
      <c r="C633" t="s">
        <v>40</v>
      </c>
      <c r="D633">
        <v>4.7007009999999996</v>
      </c>
      <c r="E633">
        <v>0.50585279999999999</v>
      </c>
      <c r="F633" t="s">
        <v>47</v>
      </c>
      <c r="G633">
        <v>-287.38510000000002</v>
      </c>
      <c r="H633">
        <v>-0.05</v>
      </c>
      <c r="I633">
        <v>369.67680000000001</v>
      </c>
      <c r="J633">
        <v>-320.52659999999997</v>
      </c>
      <c r="K633">
        <v>1.108649</v>
      </c>
      <c r="L633">
        <v>368.00670000000002</v>
      </c>
      <c r="M633">
        <v>0.99990089999999998</v>
      </c>
      <c r="N633">
        <v>-1.31377E-2</v>
      </c>
      <c r="O633">
        <v>5.0842700000000001E-3</v>
      </c>
      <c r="P633">
        <v>0.99724199999999996</v>
      </c>
      <c r="Q633">
        <v>-3.6157969999999998E-2</v>
      </c>
      <c r="R633">
        <v>6.481932E-2</v>
      </c>
      <c r="S633">
        <v>2.994812</v>
      </c>
      <c r="T633">
        <v>-0.1041453</v>
      </c>
      <c r="U633">
        <v>0.150177</v>
      </c>
      <c r="V633">
        <v>-5.9757049999999999E-2</v>
      </c>
      <c r="W633">
        <v>-2.3025489999999999E-2</v>
      </c>
      <c r="X633">
        <v>0.99794729999999998</v>
      </c>
      <c r="Y633">
        <v>-4.496762E-2</v>
      </c>
      <c r="Z633">
        <v>9.6696979999999998E-4</v>
      </c>
      <c r="AA633">
        <v>0.99898799999999999</v>
      </c>
      <c r="AB633">
        <v>32</v>
      </c>
      <c r="AC633">
        <v>33.141499999999901</v>
      </c>
      <c r="AD633">
        <v>-1.158649</v>
      </c>
      <c r="AE633">
        <v>1.6700999999999899</v>
      </c>
      <c r="AF633">
        <v>-1.4997351488158499</v>
      </c>
      <c r="AG633">
        <v>-1.158649</v>
      </c>
      <c r="AH633">
        <v>33.1091983862649</v>
      </c>
      <c r="AI633">
        <v>92.002183818656903</v>
      </c>
      <c r="AJ633">
        <v>92.593532973206706</v>
      </c>
      <c r="AK633">
        <v>33.163393837224199</v>
      </c>
      <c r="AL633">
        <v>91.3193800704517</v>
      </c>
      <c r="AM633">
        <v>93.426777519157397</v>
      </c>
      <c r="AN633">
        <v>0.99999994589586405</v>
      </c>
    </row>
    <row r="634" spans="1:40" x14ac:dyDescent="0.25">
      <c r="A634" t="str">
        <f>"20190305135207755"</f>
        <v>20190305135207755</v>
      </c>
      <c r="B634" t="str">
        <f>"1551765127750618"</f>
        <v>1551765127750618</v>
      </c>
      <c r="C634" t="s">
        <v>40</v>
      </c>
      <c r="D634">
        <v>4.6842709999999999</v>
      </c>
      <c r="E634">
        <v>0.50575579999999998</v>
      </c>
      <c r="F634" t="s">
        <v>47</v>
      </c>
      <c r="G634">
        <v>-288.24040000000002</v>
      </c>
      <c r="H634">
        <v>-0.05</v>
      </c>
      <c r="I634">
        <v>369.60129999999998</v>
      </c>
      <c r="J634">
        <v>-320.36</v>
      </c>
      <c r="K634">
        <v>1.1084719999999999</v>
      </c>
      <c r="L634">
        <v>368.00740000000002</v>
      </c>
      <c r="M634">
        <v>0.99989810000000001</v>
      </c>
      <c r="N634">
        <v>-1.338904E-2</v>
      </c>
      <c r="O634">
        <v>4.9917210000000002E-3</v>
      </c>
      <c r="P634">
        <v>0.99728749999999999</v>
      </c>
      <c r="Q634">
        <v>-3.6649920000000002E-2</v>
      </c>
      <c r="R634">
        <v>6.3834139999999998E-2</v>
      </c>
      <c r="S634">
        <v>2.994812</v>
      </c>
      <c r="T634">
        <v>-0.10747429999999999</v>
      </c>
      <c r="U634">
        <v>0.14791869999999999</v>
      </c>
      <c r="V634">
        <v>-5.8864E-2</v>
      </c>
      <c r="W634">
        <v>-2.326599E-2</v>
      </c>
      <c r="X634">
        <v>0.99799479999999996</v>
      </c>
      <c r="Y634">
        <v>-4.4306970000000001E-2</v>
      </c>
      <c r="Z634">
        <v>9.7903899999999991E-4</v>
      </c>
      <c r="AA634">
        <v>0.9990175</v>
      </c>
      <c r="AB634">
        <v>32</v>
      </c>
      <c r="AC634">
        <v>32.119599999999899</v>
      </c>
      <c r="AD634">
        <v>-1.1584719999999999</v>
      </c>
      <c r="AE634">
        <v>1.5938999999999599</v>
      </c>
      <c r="AF634">
        <v>-1.4316758792083</v>
      </c>
      <c r="AG634">
        <v>-1.1584719999999999</v>
      </c>
      <c r="AH634">
        <v>32.085520509973001</v>
      </c>
      <c r="AI634">
        <v>92.065755589028598</v>
      </c>
      <c r="AJ634">
        <v>92.5548786258516</v>
      </c>
      <c r="AK634">
        <v>32.138331935459703</v>
      </c>
      <c r="AL634">
        <v>91.333163394855603</v>
      </c>
      <c r="AM634">
        <v>93.3755244535039</v>
      </c>
      <c r="AN634">
        <v>0.99999994880685805</v>
      </c>
    </row>
    <row r="635" spans="1:40" x14ac:dyDescent="0.25">
      <c r="A635" t="str">
        <f>"20190305135207771"</f>
        <v>20190305135207771</v>
      </c>
      <c r="B635" t="str">
        <f>"1551765127760378"</f>
        <v>1551765127760378</v>
      </c>
      <c r="C635" t="s">
        <v>40</v>
      </c>
      <c r="D635">
        <v>4.6733039999999999</v>
      </c>
      <c r="E635">
        <v>0.50567969999999995</v>
      </c>
      <c r="F635" t="s">
        <v>47</v>
      </c>
      <c r="G635">
        <v>-288.8381</v>
      </c>
      <c r="H635">
        <v>-0.05</v>
      </c>
      <c r="I635">
        <v>369.54149999999998</v>
      </c>
      <c r="J635">
        <v>-320.1429</v>
      </c>
      <c r="K635">
        <v>1.1081859999999999</v>
      </c>
      <c r="L635">
        <v>368.00830000000002</v>
      </c>
      <c r="M635">
        <v>0.99989269999999997</v>
      </c>
      <c r="N635">
        <v>-1.3818479999999999E-2</v>
      </c>
      <c r="O635">
        <v>4.8713899999999997E-3</v>
      </c>
      <c r="P635">
        <v>0.99768000000000001</v>
      </c>
      <c r="Q635">
        <v>-3.1142920000000001E-2</v>
      </c>
      <c r="R635">
        <v>6.0540160000000003E-2</v>
      </c>
      <c r="S635">
        <v>2.9947509999999999</v>
      </c>
      <c r="T635">
        <v>-0.1100612</v>
      </c>
      <c r="U635">
        <v>0.14575199999999999</v>
      </c>
      <c r="V635">
        <v>-5.5686300000000001E-2</v>
      </c>
      <c r="W635">
        <v>-1.732651E-2</v>
      </c>
      <c r="X635">
        <v>0.99829800000000002</v>
      </c>
      <c r="Y635">
        <v>-4.3705670000000002E-2</v>
      </c>
      <c r="Z635">
        <v>9.930907000000001E-4</v>
      </c>
      <c r="AA635">
        <v>0.99904389999999998</v>
      </c>
      <c r="AB635">
        <v>32</v>
      </c>
      <c r="AC635">
        <v>31.3048</v>
      </c>
      <c r="AD635">
        <v>-1.1581859999999999</v>
      </c>
      <c r="AE635">
        <v>1.5331999999999599</v>
      </c>
      <c r="AF635">
        <v>-1.3787866159784601</v>
      </c>
      <c r="AG635">
        <v>-1.1581859999999999</v>
      </c>
      <c r="AH635">
        <v>31.269199673079399</v>
      </c>
      <c r="AI635">
        <v>92.119162647713495</v>
      </c>
      <c r="AJ635">
        <v>92.5247692842715</v>
      </c>
      <c r="AK635">
        <v>31.3210040633743</v>
      </c>
      <c r="AL635">
        <v>90.992785540468205</v>
      </c>
      <c r="AM635">
        <v>93.192720918860601</v>
      </c>
      <c r="AN635">
        <v>1.00000003438023</v>
      </c>
    </row>
    <row r="636" spans="1:40" x14ac:dyDescent="0.25">
      <c r="A636" t="str">
        <f>"20190305135207786"</f>
        <v>20190305135207786</v>
      </c>
      <c r="B636" t="str">
        <f>"1551765127779897"</f>
        <v>1551765127779897</v>
      </c>
      <c r="C636" t="s">
        <v>40</v>
      </c>
      <c r="D636">
        <v>4.6369470000000002</v>
      </c>
      <c r="E636">
        <v>0.5055636</v>
      </c>
      <c r="F636" t="s">
        <v>47</v>
      </c>
      <c r="G636">
        <v>-283.15530000000001</v>
      </c>
      <c r="H636">
        <v>-0.05</v>
      </c>
      <c r="I636">
        <v>369.69369999999998</v>
      </c>
      <c r="J636">
        <v>-319.92360000000002</v>
      </c>
      <c r="K636">
        <v>1.1077870000000001</v>
      </c>
      <c r="L636">
        <v>368.00920000000002</v>
      </c>
      <c r="M636">
        <v>0.99988560000000004</v>
      </c>
      <c r="N636">
        <v>-1.437765E-2</v>
      </c>
      <c r="O636">
        <v>4.7488820000000003E-3</v>
      </c>
      <c r="P636">
        <v>0.99859569999999998</v>
      </c>
      <c r="Q636">
        <v>-1.038853E-2</v>
      </c>
      <c r="R636">
        <v>5.1953859999999998E-2</v>
      </c>
      <c r="S636">
        <v>2.9957579999999999</v>
      </c>
      <c r="T636">
        <v>-9.380579E-2</v>
      </c>
      <c r="U636">
        <v>0.13650509999999999</v>
      </c>
      <c r="V636">
        <v>-4.7208809999999997E-2</v>
      </c>
      <c r="W636">
        <v>3.9933260000000002E-3</v>
      </c>
      <c r="X636">
        <v>0.99887700000000001</v>
      </c>
      <c r="Y636">
        <v>-4.0745530000000002E-2</v>
      </c>
      <c r="Z636">
        <v>8.5028259999999896E-4</v>
      </c>
      <c r="AA636">
        <v>0.99916919999999998</v>
      </c>
      <c r="AB636">
        <v>32</v>
      </c>
      <c r="AC636">
        <v>36.768300000000004</v>
      </c>
      <c r="AD636">
        <v>-1.1577869999999999</v>
      </c>
      <c r="AE636">
        <v>1.6844999999999499</v>
      </c>
      <c r="AF636">
        <v>-1.50836220676247</v>
      </c>
      <c r="AG636">
        <v>-1.1577869999999999</v>
      </c>
      <c r="AH636">
        <v>36.739533215799703</v>
      </c>
      <c r="AI636">
        <v>91.803468242682001</v>
      </c>
      <c r="AJ636">
        <v>92.350990146121703</v>
      </c>
      <c r="AK636">
        <v>36.788706530659702</v>
      </c>
      <c r="AL636">
        <v>89.771198652092096</v>
      </c>
      <c r="AM636">
        <v>92.705893041605194</v>
      </c>
      <c r="AN636">
        <v>0.99999993976157697</v>
      </c>
    </row>
    <row r="637" spans="1:40" x14ac:dyDescent="0.25">
      <c r="A637" t="str">
        <f>"20190305135207801"</f>
        <v>20190305135207801</v>
      </c>
      <c r="B637" t="str">
        <f>"1551765127790633"</f>
        <v>1551765127790633</v>
      </c>
      <c r="C637" t="s">
        <v>40</v>
      </c>
      <c r="D637">
        <v>4.621073</v>
      </c>
      <c r="E637">
        <v>0.50545739999999995</v>
      </c>
      <c r="F637" t="s">
        <v>42</v>
      </c>
      <c r="G637">
        <v>-216.45599999999999</v>
      </c>
      <c r="H637" s="1">
        <v>-2.0993119999999999E-6</v>
      </c>
      <c r="I637">
        <v>371.8587</v>
      </c>
      <c r="J637">
        <v>-319.70650000000001</v>
      </c>
      <c r="K637">
        <v>1.107208</v>
      </c>
      <c r="L637">
        <v>368.0102</v>
      </c>
      <c r="M637">
        <v>0.99987380000000003</v>
      </c>
      <c r="N637">
        <v>-1.519919E-2</v>
      </c>
      <c r="O637">
        <v>4.6458050000000002E-3</v>
      </c>
      <c r="P637">
        <v>0.99886430000000004</v>
      </c>
      <c r="Q637">
        <v>-4.6741639999999997E-3</v>
      </c>
      <c r="R637">
        <v>4.7418639999999998E-2</v>
      </c>
      <c r="S637">
        <v>2.9980769999999999</v>
      </c>
      <c r="T637">
        <v>-3.2099250000000003E-2</v>
      </c>
      <c r="U637">
        <v>0.11154169999999999</v>
      </c>
      <c r="V637">
        <v>-4.277243E-2</v>
      </c>
      <c r="W637">
        <v>1.0530100000000001E-2</v>
      </c>
      <c r="X637">
        <v>0.99902930000000001</v>
      </c>
      <c r="Y637">
        <v>-3.2530709999999997E-2</v>
      </c>
      <c r="Z637">
        <v>4.4229250000000001E-4</v>
      </c>
      <c r="AA637">
        <v>0.99947070000000005</v>
      </c>
      <c r="AB637">
        <v>32</v>
      </c>
      <c r="AC637">
        <v>103.2505</v>
      </c>
      <c r="AD637">
        <v>-1.107210099312</v>
      </c>
      <c r="AE637">
        <v>3.8485</v>
      </c>
      <c r="AF637">
        <v>-3.3683346025997598</v>
      </c>
      <c r="AG637">
        <v>-1.107210099312</v>
      </c>
      <c r="AH637">
        <v>103.255409632446</v>
      </c>
      <c r="AI637">
        <v>90.614033795241596</v>
      </c>
      <c r="AJ637">
        <v>91.868405185914995</v>
      </c>
      <c r="AK637">
        <v>103.31626788925</v>
      </c>
      <c r="AL637">
        <v>89.396658533398593</v>
      </c>
      <c r="AM637">
        <v>92.451563700014106</v>
      </c>
      <c r="AN637">
        <v>0.99999995301630096</v>
      </c>
    </row>
    <row r="638" spans="1:40" x14ac:dyDescent="0.25">
      <c r="A638" t="str">
        <f>"20190305135207814"</f>
        <v>20190305135207814</v>
      </c>
      <c r="B638" t="str">
        <f>"1551765127810153"</f>
        <v>1551765127810153</v>
      </c>
      <c r="C638" t="s">
        <v>40</v>
      </c>
      <c r="D638">
        <v>4.5045500000000001</v>
      </c>
      <c r="E638">
        <v>0.50549900000000003</v>
      </c>
      <c r="F638" t="s">
        <v>48</v>
      </c>
      <c r="G638">
        <v>-158.19499999999999</v>
      </c>
      <c r="H638">
        <v>0.29902269999999997</v>
      </c>
      <c r="I638">
        <v>373.32929999999999</v>
      </c>
      <c r="J638">
        <v>-319.52659999999997</v>
      </c>
      <c r="K638">
        <v>1.1066640000000001</v>
      </c>
      <c r="L638">
        <v>368.01089999999999</v>
      </c>
      <c r="M638">
        <v>0.99986030000000004</v>
      </c>
      <c r="N638">
        <v>-1.6084230000000001E-2</v>
      </c>
      <c r="O638">
        <v>4.5649840000000002E-3</v>
      </c>
      <c r="P638">
        <v>0.99907599999999996</v>
      </c>
      <c r="Q638">
        <v>-2.3401149999999998E-3</v>
      </c>
      <c r="R638">
        <v>4.2915679999999998E-2</v>
      </c>
      <c r="S638">
        <v>2.9986570000000001</v>
      </c>
      <c r="T638">
        <v>-1.5003320000000001E-2</v>
      </c>
      <c r="U638">
        <v>9.8754880000000003E-2</v>
      </c>
      <c r="V638">
        <v>-3.8347869999999999E-2</v>
      </c>
      <c r="W638">
        <v>1.3748990000000001E-2</v>
      </c>
      <c r="X638">
        <v>0.99916990000000006</v>
      </c>
      <c r="Y638">
        <v>-2.835054E-2</v>
      </c>
      <c r="Z638">
        <v>3.4956320000000001E-4</v>
      </c>
      <c r="AA638">
        <v>0.99959799999999999</v>
      </c>
      <c r="AB638">
        <v>32</v>
      </c>
      <c r="AC638">
        <v>161.33159999999901</v>
      </c>
      <c r="AD638">
        <v>-0.80764129999999901</v>
      </c>
      <c r="AE638">
        <v>5.3183999999999898</v>
      </c>
      <c r="AF638">
        <v>-4.5816584779148499</v>
      </c>
      <c r="AG638">
        <v>-0.80764129999999901</v>
      </c>
      <c r="AH638">
        <v>161.35016090093799</v>
      </c>
      <c r="AI638">
        <v>90.286677167842598</v>
      </c>
      <c r="AJ638">
        <v>91.626519435309206</v>
      </c>
      <c r="AK638">
        <v>161.41721810772299</v>
      </c>
      <c r="AL638">
        <v>89.212216112015795</v>
      </c>
      <c r="AM638">
        <v>92.197917734635496</v>
      </c>
      <c r="AN638">
        <v>1.0000000414627801</v>
      </c>
    </row>
    <row r="639" spans="1:40" x14ac:dyDescent="0.25">
      <c r="A639" t="str">
        <f>"20190305135207829"</f>
        <v>20190305135207829</v>
      </c>
      <c r="B639" t="str">
        <f>"1551765127819914"</f>
        <v>1551765127819914</v>
      </c>
      <c r="C639" t="s">
        <v>40</v>
      </c>
      <c r="D639">
        <v>4.4902739999999897</v>
      </c>
      <c r="E639">
        <v>0.50555720000000004</v>
      </c>
      <c r="F639" t="s">
        <v>48</v>
      </c>
      <c r="G639">
        <v>-158.19499999999999</v>
      </c>
      <c r="H639">
        <v>0.73723629999999996</v>
      </c>
      <c r="I639">
        <v>372.57960000000003</v>
      </c>
      <c r="J639">
        <v>-319.30200000000002</v>
      </c>
      <c r="K639">
        <v>1.1058889999999999</v>
      </c>
      <c r="L639">
        <v>368.01179999999999</v>
      </c>
      <c r="M639">
        <v>0.99983920000000004</v>
      </c>
      <c r="N639">
        <v>-1.7363980000000001E-2</v>
      </c>
      <c r="O639">
        <v>4.4680830000000003E-3</v>
      </c>
      <c r="P639">
        <v>0.99932750000000004</v>
      </c>
      <c r="Q639">
        <v>-1.1569149999999999E-3</v>
      </c>
      <c r="R639">
        <v>3.6653720000000001E-2</v>
      </c>
      <c r="S639">
        <v>2.9991150000000002</v>
      </c>
      <c r="T639">
        <v>-6.865978E-3</v>
      </c>
      <c r="U639">
        <v>8.4930420000000006E-2</v>
      </c>
      <c r="V639">
        <v>-3.2180840000000002E-2</v>
      </c>
      <c r="W639">
        <v>1.621206E-2</v>
      </c>
      <c r="X639">
        <v>0.99935050000000003</v>
      </c>
      <c r="Y639">
        <v>-2.3839869999999999E-2</v>
      </c>
      <c r="Z639">
        <v>3.016696E-4</v>
      </c>
      <c r="AA639">
        <v>0.99971569999999998</v>
      </c>
      <c r="AB639">
        <v>32</v>
      </c>
      <c r="AC639">
        <v>161.107</v>
      </c>
      <c r="AD639">
        <v>-0.368652699999999</v>
      </c>
      <c r="AE639">
        <v>4.5678000000000303</v>
      </c>
      <c r="AF639">
        <v>-3.8477862316827198</v>
      </c>
      <c r="AG639">
        <v>-0.368652699999999</v>
      </c>
      <c r="AH639">
        <v>161.124960758604</v>
      </c>
      <c r="AI639">
        <v>90.131054720242105</v>
      </c>
      <c r="AJ639">
        <v>91.368006643545399</v>
      </c>
      <c r="AK639">
        <v>161.171319853005</v>
      </c>
      <c r="AL639">
        <v>89.071076624732498</v>
      </c>
      <c r="AM639">
        <v>91.844387318552506</v>
      </c>
      <c r="AN639">
        <v>0.99999992960139705</v>
      </c>
    </row>
    <row r="640" spans="1:40" x14ac:dyDescent="0.25">
      <c r="A640" t="str">
        <f>"20190305135207841"</f>
        <v>20190305135207841</v>
      </c>
      <c r="B640" t="str">
        <f>"1551765127830650"</f>
        <v>1551765127830650</v>
      </c>
      <c r="C640" t="s">
        <v>40</v>
      </c>
      <c r="D640">
        <v>4.5139519999999997</v>
      </c>
      <c r="E640">
        <v>0.50563230000000003</v>
      </c>
      <c r="F640" t="s">
        <v>48</v>
      </c>
      <c r="G640">
        <v>-158.19499999999999</v>
      </c>
      <c r="H640">
        <v>0.97550079999999995</v>
      </c>
      <c r="I640">
        <v>371.53910000000002</v>
      </c>
      <c r="J640">
        <v>-319.13580000000002</v>
      </c>
      <c r="K640">
        <v>1.1052360000000001</v>
      </c>
      <c r="L640">
        <v>368.01249999999999</v>
      </c>
      <c r="M640">
        <v>0.99982079999999995</v>
      </c>
      <c r="N640">
        <v>-1.841487E-2</v>
      </c>
      <c r="O640">
        <v>4.399394E-3</v>
      </c>
      <c r="P640">
        <v>0.99937489999999995</v>
      </c>
      <c r="Q640">
        <v>-4.2280190000000004E-3</v>
      </c>
      <c r="R640">
        <v>3.5103679999999998E-2</v>
      </c>
      <c r="S640">
        <v>2.999603</v>
      </c>
      <c r="T640">
        <v>-2.4260280000000002E-3</v>
      </c>
      <c r="U640">
        <v>6.5673830000000002E-2</v>
      </c>
      <c r="V640">
        <v>-3.0700700000000001E-2</v>
      </c>
      <c r="W640">
        <v>1.419145E-2</v>
      </c>
      <c r="X640">
        <v>0.99942790000000004</v>
      </c>
      <c r="Y640">
        <v>-1.7490180000000001E-2</v>
      </c>
      <c r="Z640">
        <v>2.4560050000000001E-4</v>
      </c>
      <c r="AA640">
        <v>0.99984700000000004</v>
      </c>
      <c r="AB640">
        <v>32</v>
      </c>
      <c r="AC640">
        <v>160.9408</v>
      </c>
      <c r="AD640">
        <v>-0.12973519999999999</v>
      </c>
      <c r="AE640">
        <v>3.5266000000000299</v>
      </c>
      <c r="AF640">
        <v>-2.8184019914447598</v>
      </c>
      <c r="AG640">
        <v>-0.12973519999999999</v>
      </c>
      <c r="AH640">
        <v>160.95465498084599</v>
      </c>
      <c r="AI640">
        <v>90.046175355888195</v>
      </c>
      <c r="AJ640">
        <v>91.003177184332202</v>
      </c>
      <c r="AK640">
        <v>160.979381229431</v>
      </c>
      <c r="AL640">
        <v>89.186862537720998</v>
      </c>
      <c r="AM640">
        <v>91.759474168469694</v>
      </c>
      <c r="AN640">
        <v>1.000000028766</v>
      </c>
    </row>
    <row r="641" spans="1:40" x14ac:dyDescent="0.25">
      <c r="A641" t="str">
        <f>"20190305135207854"</f>
        <v>20190305135207854</v>
      </c>
      <c r="B641" t="str">
        <f>"1551765127850169"</f>
        <v>1551765127850169</v>
      </c>
      <c r="C641" t="s">
        <v>40</v>
      </c>
      <c r="D641">
        <v>4.5306040000000003</v>
      </c>
      <c r="E641">
        <v>0.50556520000000005</v>
      </c>
      <c r="F641" t="s">
        <v>48</v>
      </c>
      <c r="G641">
        <v>-158.19499999999999</v>
      </c>
      <c r="H641">
        <v>0.49578139999999998</v>
      </c>
      <c r="I641">
        <v>371.26260000000002</v>
      </c>
      <c r="J641">
        <v>-318.96289999999999</v>
      </c>
      <c r="K641">
        <v>1.104487</v>
      </c>
      <c r="L641">
        <v>368.01310000000001</v>
      </c>
      <c r="M641">
        <v>0.99980060000000004</v>
      </c>
      <c r="N641">
        <v>-1.9501810000000001E-2</v>
      </c>
      <c r="O641">
        <v>4.3322400000000002E-3</v>
      </c>
      <c r="P641">
        <v>0.99935669999999999</v>
      </c>
      <c r="Q641">
        <v>-8.482425E-3</v>
      </c>
      <c r="R641">
        <v>3.4849539999999998E-2</v>
      </c>
      <c r="S641">
        <v>2.999695</v>
      </c>
      <c r="T641">
        <v>-1.135767E-2</v>
      </c>
      <c r="U641">
        <v>6.0577390000000002E-2</v>
      </c>
      <c r="V641">
        <v>-3.05151E-2</v>
      </c>
      <c r="W641">
        <v>1.102265E-2</v>
      </c>
      <c r="X641">
        <v>0.99947350000000001</v>
      </c>
      <c r="Y641">
        <v>-1.585787E-2</v>
      </c>
      <c r="Z641">
        <v>2.5276759999999998E-4</v>
      </c>
      <c r="AA641">
        <v>0.99987420000000005</v>
      </c>
      <c r="AB641">
        <v>32</v>
      </c>
      <c r="AC641">
        <v>160.7679</v>
      </c>
      <c r="AD641">
        <v>-0.60870559999999996</v>
      </c>
      <c r="AE641">
        <v>3.24950000000001</v>
      </c>
      <c r="AF641">
        <v>-2.5528154190776302</v>
      </c>
      <c r="AG641">
        <v>-0.60870559999999996</v>
      </c>
      <c r="AH641">
        <v>160.77816712790701</v>
      </c>
      <c r="AI641">
        <v>90.216893253951596</v>
      </c>
      <c r="AJ641">
        <v>90.909658707671298</v>
      </c>
      <c r="AK641">
        <v>160.799584620361</v>
      </c>
      <c r="AL641">
        <v>89.368435869832695</v>
      </c>
      <c r="AM641">
        <v>91.748764215076505</v>
      </c>
      <c r="AN641">
        <v>0.99999997367164095</v>
      </c>
    </row>
    <row r="642" spans="1:40" x14ac:dyDescent="0.25">
      <c r="A642" t="str">
        <f>"20190305135207866"</f>
        <v>20190305135207866</v>
      </c>
      <c r="B642" t="str">
        <f>"1551765127859930"</f>
        <v>1551765127859930</v>
      </c>
      <c r="C642" t="s">
        <v>40</v>
      </c>
      <c r="D642">
        <v>4.4861219999999999</v>
      </c>
      <c r="E642">
        <v>0.50550629999999996</v>
      </c>
      <c r="F642" t="s">
        <v>52</v>
      </c>
      <c r="G642">
        <v>-179.98339999999999</v>
      </c>
      <c r="H642">
        <v>6.6562499999999997E-2</v>
      </c>
      <c r="I642">
        <v>370.81130000000002</v>
      </c>
      <c r="J642">
        <v>-318.78410000000002</v>
      </c>
      <c r="K642">
        <v>1.10368</v>
      </c>
      <c r="L642">
        <v>368.0138</v>
      </c>
      <c r="M642">
        <v>0.99977870000000002</v>
      </c>
      <c r="N642">
        <v>-2.0611640000000001E-2</v>
      </c>
      <c r="O642">
        <v>4.2667310000000002E-3</v>
      </c>
      <c r="P642">
        <v>0.99928609999999896</v>
      </c>
      <c r="Q642">
        <v>-1.311668E-2</v>
      </c>
      <c r="R642">
        <v>3.5436950000000002E-2</v>
      </c>
      <c r="S642">
        <v>2.9996339999999999</v>
      </c>
      <c r="T642">
        <v>-2.2401810000000001E-2</v>
      </c>
      <c r="U642">
        <v>6.0394290000000003E-2</v>
      </c>
      <c r="V642">
        <v>-3.1169510000000001E-2</v>
      </c>
      <c r="W642">
        <v>7.4965889999999997E-3</v>
      </c>
      <c r="X642">
        <v>0.99948599999999999</v>
      </c>
      <c r="Y642">
        <v>-1.586156E-2</v>
      </c>
      <c r="Z642">
        <v>2.788178E-4</v>
      </c>
      <c r="AA642">
        <v>0.99987420000000005</v>
      </c>
      <c r="AB642">
        <v>31</v>
      </c>
      <c r="AC642">
        <v>138.80070000000001</v>
      </c>
      <c r="AD642">
        <v>-1.0371174999999999</v>
      </c>
      <c r="AE642">
        <v>2.7975000000000101</v>
      </c>
      <c r="AF642">
        <v>-2.2050005245005</v>
      </c>
      <c r="AG642">
        <v>-1.0371174999999999</v>
      </c>
      <c r="AH642">
        <v>138.80362838945899</v>
      </c>
      <c r="AI642">
        <v>90.428042512372699</v>
      </c>
      <c r="AJ642">
        <v>90.910110200877895</v>
      </c>
      <c r="AK642">
        <v>138.82501537583599</v>
      </c>
      <c r="AL642">
        <v>89.570473066638499</v>
      </c>
      <c r="AM642">
        <v>91.786220881864807</v>
      </c>
      <c r="AN642">
        <v>1.00000000069813</v>
      </c>
    </row>
    <row r="643" spans="1:40" x14ac:dyDescent="0.25">
      <c r="A643" t="str">
        <f>"20190305135207879"</f>
        <v>20190305135207879</v>
      </c>
      <c r="B643" t="str">
        <f>"1551765127870666"</f>
        <v>1551765127870666</v>
      </c>
      <c r="C643" t="s">
        <v>40</v>
      </c>
      <c r="D643">
        <v>4.4990459999999999</v>
      </c>
      <c r="E643">
        <v>0.50543490000000002</v>
      </c>
      <c r="F643" t="s">
        <v>42</v>
      </c>
      <c r="G643">
        <v>-228.7621</v>
      </c>
      <c r="H643" s="1">
        <v>-5.8584730000000002E-7</v>
      </c>
      <c r="I643">
        <v>369.88869999999997</v>
      </c>
      <c r="J643">
        <v>-318.60449999999997</v>
      </c>
      <c r="K643">
        <v>1.102806</v>
      </c>
      <c r="L643">
        <v>368.0145</v>
      </c>
      <c r="M643">
        <v>0.99975689999999995</v>
      </c>
      <c r="N643">
        <v>-2.1644460000000001E-2</v>
      </c>
      <c r="O643">
        <v>4.2145150000000003E-3</v>
      </c>
      <c r="P643">
        <v>0.99920489999999995</v>
      </c>
      <c r="Q643">
        <v>-1.6278730000000002E-2</v>
      </c>
      <c r="R643">
        <v>3.6395049999999998E-2</v>
      </c>
      <c r="S643">
        <v>2.9994510000000001</v>
      </c>
      <c r="T643">
        <v>-3.6773559999999997E-2</v>
      </c>
      <c r="U643">
        <v>6.2469480000000001E-2</v>
      </c>
      <c r="V643">
        <v>-3.2180790000000001E-2</v>
      </c>
      <c r="W643">
        <v>5.3651710000000002E-3</v>
      </c>
      <c r="X643">
        <v>0.99946769999999996</v>
      </c>
      <c r="Y643">
        <v>-1.6604420000000002E-2</v>
      </c>
      <c r="Z643">
        <v>3.2109050000000001E-4</v>
      </c>
      <c r="AA643">
        <v>0.99986209999999998</v>
      </c>
      <c r="AB643">
        <v>31</v>
      </c>
      <c r="AC643">
        <v>89.842399999999898</v>
      </c>
      <c r="AD643">
        <v>-1.1028065858473</v>
      </c>
      <c r="AE643">
        <v>1.8741999999999699</v>
      </c>
      <c r="AF643">
        <v>-1.49522730697656</v>
      </c>
      <c r="AG643">
        <v>-1.1028065858473</v>
      </c>
      <c r="AH643">
        <v>89.835972435086902</v>
      </c>
      <c r="AI643">
        <v>90.703217639732898</v>
      </c>
      <c r="AJ643">
        <v>90.953541240297596</v>
      </c>
      <c r="AK643">
        <v>89.855182546267201</v>
      </c>
      <c r="AL643">
        <v>89.692596881564896</v>
      </c>
      <c r="AM643">
        <v>91.844168327240595</v>
      </c>
      <c r="AN643">
        <v>1.0000000358240799</v>
      </c>
    </row>
    <row r="644" spans="1:40" x14ac:dyDescent="0.25">
      <c r="A644" t="str">
        <f>"20190305135207892"</f>
        <v>20190305135207892</v>
      </c>
      <c r="B644" t="str">
        <f>"1551765127880429"</f>
        <v>1551765127880429</v>
      </c>
      <c r="C644" t="s">
        <v>40</v>
      </c>
      <c r="D644">
        <v>4.522348</v>
      </c>
      <c r="E644">
        <v>0.50539820000000002</v>
      </c>
      <c r="F644" t="s">
        <v>42</v>
      </c>
      <c r="G644">
        <v>-248.4854</v>
      </c>
      <c r="H644" s="1">
        <v>-7.073465E-7</v>
      </c>
      <c r="I644">
        <v>369.55489999999998</v>
      </c>
      <c r="J644">
        <v>-318.42809999999997</v>
      </c>
      <c r="K644">
        <v>1.1018969999999999</v>
      </c>
      <c r="L644">
        <v>368.01519999999999</v>
      </c>
      <c r="M644">
        <v>0.99973840000000003</v>
      </c>
      <c r="N644">
        <v>-2.2486249999999999E-2</v>
      </c>
      <c r="O644">
        <v>4.1718780000000004E-3</v>
      </c>
      <c r="P644">
        <v>0.99906379999999995</v>
      </c>
      <c r="Q644">
        <v>-1.9656860000000002E-2</v>
      </c>
      <c r="R644">
        <v>3.8535489999999999E-2</v>
      </c>
      <c r="S644">
        <v>2.9992070000000002</v>
      </c>
      <c r="T644">
        <v>-4.7170400000000001E-2</v>
      </c>
      <c r="U644">
        <v>6.588745E-2</v>
      </c>
      <c r="V644">
        <v>-3.4365729999999997E-2</v>
      </c>
      <c r="W644">
        <v>2.8255590000000001E-3</v>
      </c>
      <c r="X644">
        <v>0.99940530000000005</v>
      </c>
      <c r="Y644">
        <v>-1.778563E-2</v>
      </c>
      <c r="Z644">
        <v>3.6809620000000001E-4</v>
      </c>
      <c r="AA644">
        <v>0.99984170000000006</v>
      </c>
      <c r="AB644">
        <v>31</v>
      </c>
      <c r="AC644">
        <v>69.942699999999903</v>
      </c>
      <c r="AD644">
        <v>-1.1018977073464999</v>
      </c>
      <c r="AE644">
        <v>1.5396999999999801</v>
      </c>
      <c r="AF644">
        <v>-1.2475108918454301</v>
      </c>
      <c r="AG644">
        <v>-1.1018977073464999</v>
      </c>
      <c r="AH644">
        <v>69.931167744948496</v>
      </c>
      <c r="AI644">
        <v>90.902585000386907</v>
      </c>
      <c r="AJ644">
        <v>91.021998210425707</v>
      </c>
      <c r="AK644">
        <v>69.950973432503801</v>
      </c>
      <c r="AL644">
        <v>89.838107174326794</v>
      </c>
      <c r="AM644">
        <v>91.969406986216399</v>
      </c>
      <c r="AN644">
        <v>0.99999997042509203</v>
      </c>
    </row>
    <row r="645" spans="1:40" x14ac:dyDescent="0.25">
      <c r="A645" t="str">
        <f>"20190305135207908"</f>
        <v>20190305135207908</v>
      </c>
      <c r="B645" t="str">
        <f>"1551765127899946"</f>
        <v>1551765127899946</v>
      </c>
      <c r="C645" t="s">
        <v>40</v>
      </c>
      <c r="D645">
        <v>4.5573350000000001</v>
      </c>
      <c r="E645">
        <v>0.50521249999999995</v>
      </c>
      <c r="F645" t="s">
        <v>42</v>
      </c>
      <c r="G645">
        <v>-260.7647</v>
      </c>
      <c r="H645" s="1">
        <v>-3.9809369999999998E-6</v>
      </c>
      <c r="I645">
        <v>369.40940000000001</v>
      </c>
      <c r="J645">
        <v>-318.19600000000003</v>
      </c>
      <c r="K645">
        <v>1.1006290000000001</v>
      </c>
      <c r="L645">
        <v>368.01609999999999</v>
      </c>
      <c r="M645">
        <v>0.99971869999999996</v>
      </c>
      <c r="N645">
        <v>-2.3361030000000001E-2</v>
      </c>
      <c r="O645">
        <v>4.1287499999999996E-3</v>
      </c>
      <c r="P645">
        <v>0.99871399999999999</v>
      </c>
      <c r="Q645">
        <v>-2.5167350000000002E-2</v>
      </c>
      <c r="R645">
        <v>4.4011830000000002E-2</v>
      </c>
      <c r="S645">
        <v>2.998901</v>
      </c>
      <c r="T645">
        <v>-5.7306530000000001E-2</v>
      </c>
      <c r="U645">
        <v>7.2509770000000001E-2</v>
      </c>
      <c r="V645">
        <v>-3.9887100000000002E-2</v>
      </c>
      <c r="W645">
        <v>-1.817279E-3</v>
      </c>
      <c r="X645">
        <v>0.99920249999999999</v>
      </c>
      <c r="Y645">
        <v>-2.003475E-2</v>
      </c>
      <c r="Z645">
        <v>4.4308519999999998E-4</v>
      </c>
      <c r="AA645">
        <v>0.9997992</v>
      </c>
      <c r="AB645">
        <v>31</v>
      </c>
      <c r="AC645">
        <v>57.431299999999901</v>
      </c>
      <c r="AD645">
        <v>-1.1006329809369999</v>
      </c>
      <c r="AE645">
        <v>1.39330000000001</v>
      </c>
      <c r="AF645">
        <v>-1.1556797412603701</v>
      </c>
      <c r="AG645">
        <v>-1.1006329809369999</v>
      </c>
      <c r="AH645">
        <v>57.415489689564197</v>
      </c>
      <c r="AI645">
        <v>91.097981328193001</v>
      </c>
      <c r="AJ645">
        <v>91.153114459885003</v>
      </c>
      <c r="AK645">
        <v>57.437665733519701</v>
      </c>
      <c r="AL645">
        <v>90.104122478412194</v>
      </c>
      <c r="AM645">
        <v>92.285972784965494</v>
      </c>
      <c r="AN645">
        <v>0.99999995962781096</v>
      </c>
    </row>
    <row r="646" spans="1:40" x14ac:dyDescent="0.25">
      <c r="A646" t="str">
        <f>"20190305135207919"</f>
        <v>20190305135207919</v>
      </c>
      <c r="B646" t="str">
        <f>"1551765127910683"</f>
        <v>1551765127910683</v>
      </c>
      <c r="C646" t="s">
        <v>40</v>
      </c>
      <c r="D646">
        <v>4.5280550000000002</v>
      </c>
      <c r="E646">
        <v>0.50514409999999998</v>
      </c>
      <c r="F646" t="s">
        <v>42</v>
      </c>
      <c r="G646">
        <v>-273.78269999999998</v>
      </c>
      <c r="H646" s="1">
        <v>-2.6952629999999999E-6</v>
      </c>
      <c r="I646">
        <v>369.35840000000002</v>
      </c>
      <c r="J646">
        <v>-318.03739999999999</v>
      </c>
      <c r="K646">
        <v>1.099718</v>
      </c>
      <c r="L646">
        <v>368.01679999999999</v>
      </c>
      <c r="M646">
        <v>0.99970769999999998</v>
      </c>
      <c r="N646">
        <v>-2.3831979999999999E-2</v>
      </c>
      <c r="O646">
        <v>4.110519E-3</v>
      </c>
      <c r="P646">
        <v>0.99849639999999995</v>
      </c>
      <c r="Q646">
        <v>-2.7464530000000001E-2</v>
      </c>
      <c r="R646">
        <v>4.7440309999999999E-2</v>
      </c>
      <c r="S646">
        <v>2.9980159999999998</v>
      </c>
      <c r="T646">
        <v>-7.4295520000000004E-2</v>
      </c>
      <c r="U646">
        <v>9.0606690000000004E-2</v>
      </c>
      <c r="V646">
        <v>-4.3335230000000002E-2</v>
      </c>
      <c r="W646">
        <v>-3.6486679999999999E-3</v>
      </c>
      <c r="X646">
        <v>0.99905390000000005</v>
      </c>
      <c r="Y646">
        <v>-2.6082660000000001E-2</v>
      </c>
      <c r="Z646">
        <v>6.3020039999999995E-4</v>
      </c>
      <c r="AA646">
        <v>0.99965959999999998</v>
      </c>
      <c r="AB646">
        <v>31</v>
      </c>
      <c r="AC646">
        <v>44.2547</v>
      </c>
      <c r="AD646">
        <v>-1.0997206952630001</v>
      </c>
      <c r="AE646">
        <v>1.3416000000000201</v>
      </c>
      <c r="AF646">
        <v>-1.15891223850206</v>
      </c>
      <c r="AG646">
        <v>-1.0997206952630001</v>
      </c>
      <c r="AH646">
        <v>44.232553062136503</v>
      </c>
      <c r="AI646">
        <v>91.423720086966398</v>
      </c>
      <c r="AJ646">
        <v>91.500831126857406</v>
      </c>
      <c r="AK646">
        <v>44.261396425992501</v>
      </c>
      <c r="AL646">
        <v>90.209053746315703</v>
      </c>
      <c r="AM646">
        <v>92.483720177637807</v>
      </c>
      <c r="AN646">
        <v>0.99999997502126803</v>
      </c>
    </row>
    <row r="647" spans="1:40" x14ac:dyDescent="0.25">
      <c r="A647" t="str">
        <f>"20190305135207932"</f>
        <v>20190305135207932</v>
      </c>
      <c r="B647" t="str">
        <f>"1551765127920442"</f>
        <v>1551765127920442</v>
      </c>
      <c r="C647" t="s">
        <v>40</v>
      </c>
      <c r="D647">
        <v>4.5361659999999997</v>
      </c>
      <c r="E647">
        <v>0.50508009999999903</v>
      </c>
      <c r="F647" t="s">
        <v>42</v>
      </c>
      <c r="G647">
        <v>-277.44319999999999</v>
      </c>
      <c r="H647" s="1">
        <v>-1.1198259999999999E-6</v>
      </c>
      <c r="I647">
        <v>369.38720000000001</v>
      </c>
      <c r="J647">
        <v>-317.875</v>
      </c>
      <c r="K647">
        <v>1.098759</v>
      </c>
      <c r="L647">
        <v>368.01740000000001</v>
      </c>
      <c r="M647">
        <v>0.99969699999999995</v>
      </c>
      <c r="N647">
        <v>-2.427636E-2</v>
      </c>
      <c r="O647">
        <v>4.0989140000000004E-3</v>
      </c>
      <c r="P647">
        <v>0.99834480000000003</v>
      </c>
      <c r="Q647">
        <v>-2.8200989999999999E-2</v>
      </c>
      <c r="R647">
        <v>5.0126459999999998E-2</v>
      </c>
      <c r="S647">
        <v>2.9974669999999999</v>
      </c>
      <c r="T647">
        <v>-8.1202860000000002E-2</v>
      </c>
      <c r="U647">
        <v>0.1011963</v>
      </c>
      <c r="V647">
        <v>-4.6033270000000001E-2</v>
      </c>
      <c r="W647">
        <v>-3.945123E-3</v>
      </c>
      <c r="X647">
        <v>0.99893209999999999</v>
      </c>
      <c r="Y647">
        <v>-2.9622720000000002E-2</v>
      </c>
      <c r="Z647">
        <v>7.4941139999999999E-4</v>
      </c>
      <c r="AA647">
        <v>0.99956089999999997</v>
      </c>
      <c r="AB647">
        <v>31</v>
      </c>
      <c r="AC647">
        <v>40.431800000000003</v>
      </c>
      <c r="AD647">
        <v>-1.098760119826</v>
      </c>
      <c r="AE647">
        <v>1.3697999999999899</v>
      </c>
      <c r="AF647">
        <v>-1.2031256698472499</v>
      </c>
      <c r="AG647">
        <v>-1.098760119826</v>
      </c>
      <c r="AH647">
        <v>40.407269313578396</v>
      </c>
      <c r="AI647">
        <v>91.556921370540294</v>
      </c>
      <c r="AJ647">
        <v>91.705476860105904</v>
      </c>
      <c r="AK647">
        <v>40.440106312402598</v>
      </c>
      <c r="AL647">
        <v>90.226039487711603</v>
      </c>
      <c r="AM647">
        <v>92.638465077712894</v>
      </c>
      <c r="AN647">
        <v>0.99999998317639305</v>
      </c>
    </row>
    <row r="648" spans="1:40" x14ac:dyDescent="0.25">
      <c r="A648" t="str">
        <f>"20190305135207943"</f>
        <v>20190305135207943</v>
      </c>
      <c r="B648" t="str">
        <f>"1551765127939961"</f>
        <v>1551765127939961</v>
      </c>
      <c r="C648" t="s">
        <v>40</v>
      </c>
      <c r="D648">
        <v>4.5461999999999998</v>
      </c>
      <c r="E648">
        <v>0.50498019999999999</v>
      </c>
      <c r="F648" t="s">
        <v>42</v>
      </c>
      <c r="G648">
        <v>-278.35340000000002</v>
      </c>
      <c r="H648" s="1">
        <v>-7.1491909999999996E-7</v>
      </c>
      <c r="I648">
        <v>369.46850000000001</v>
      </c>
      <c r="J648">
        <v>-317.7045</v>
      </c>
      <c r="K648">
        <v>1.0977269999999999</v>
      </c>
      <c r="L648">
        <v>368.0181</v>
      </c>
      <c r="M648">
        <v>0.99968639999999998</v>
      </c>
      <c r="N648">
        <v>-2.4709479999999999E-2</v>
      </c>
      <c r="O648">
        <v>4.0925809999999996E-3</v>
      </c>
      <c r="P648">
        <v>0.99826009999999998</v>
      </c>
      <c r="Q648">
        <v>-2.82127E-2</v>
      </c>
      <c r="R648">
        <v>5.1778039999999997E-2</v>
      </c>
      <c r="S648">
        <v>2.9970699999999999</v>
      </c>
      <c r="T648">
        <v>-8.3322759999999996E-2</v>
      </c>
      <c r="U648">
        <v>0.1100464</v>
      </c>
      <c r="V648">
        <v>-4.7691850000000001E-2</v>
      </c>
      <c r="W648">
        <v>-3.527025E-3</v>
      </c>
      <c r="X648">
        <v>0.99885590000000002</v>
      </c>
      <c r="Y648">
        <v>-3.2578129999999997E-2</v>
      </c>
      <c r="Z648">
        <v>8.428474E-4</v>
      </c>
      <c r="AA648">
        <v>0.99946889999999999</v>
      </c>
      <c r="AB648">
        <v>31</v>
      </c>
      <c r="AC648">
        <v>39.351099999999903</v>
      </c>
      <c r="AD648">
        <v>-1.0977277149191</v>
      </c>
      <c r="AE648">
        <v>1.4503999999999999</v>
      </c>
      <c r="AF648">
        <v>-1.2882899605273599</v>
      </c>
      <c r="AG648">
        <v>-1.0977277149191</v>
      </c>
      <c r="AH648">
        <v>39.326146956654803</v>
      </c>
      <c r="AI648">
        <v>91.598049836627297</v>
      </c>
      <c r="AJ648">
        <v>91.876288312865498</v>
      </c>
      <c r="AK648">
        <v>39.3625524021869</v>
      </c>
      <c r="AL648">
        <v>90.202084059516295</v>
      </c>
      <c r="AM648">
        <v>92.733595582371706</v>
      </c>
      <c r="AN648">
        <v>1.0000000307132899</v>
      </c>
    </row>
    <row r="649" spans="1:40" x14ac:dyDescent="0.25">
      <c r="A649" t="str">
        <f>"20190305135207956"</f>
        <v>20190305135207956</v>
      </c>
      <c r="B649" t="str">
        <f>"1551765127950697"</f>
        <v>1551765127950697</v>
      </c>
      <c r="C649" t="s">
        <v>40</v>
      </c>
      <c r="D649">
        <v>4.4969760000000001</v>
      </c>
      <c r="E649">
        <v>0.50494609999999995</v>
      </c>
      <c r="F649" t="s">
        <v>42</v>
      </c>
      <c r="G649">
        <v>-278.32400000000001</v>
      </c>
      <c r="H649" s="1">
        <v>-7.1495479999999997E-7</v>
      </c>
      <c r="I649">
        <v>369.53949999999998</v>
      </c>
      <c r="J649">
        <v>-317.51850000000002</v>
      </c>
      <c r="K649">
        <v>1.096544</v>
      </c>
      <c r="L649">
        <v>368.01889999999997</v>
      </c>
      <c r="M649">
        <v>0.99967660000000003</v>
      </c>
      <c r="N649">
        <v>-2.5099779999999999E-2</v>
      </c>
      <c r="O649">
        <v>4.0985539999999999E-3</v>
      </c>
      <c r="P649">
        <v>0.99818379999999995</v>
      </c>
      <c r="Q649">
        <v>-2.7754210000000001E-2</v>
      </c>
      <c r="R649">
        <v>5.3466199999999901E-2</v>
      </c>
      <c r="S649">
        <v>2.996918</v>
      </c>
      <c r="T649">
        <v>-8.3538650000000006E-2</v>
      </c>
      <c r="U649">
        <v>0.1157837</v>
      </c>
      <c r="V649">
        <v>-4.9373220000000002E-2</v>
      </c>
      <c r="W649">
        <v>-2.681531E-3</v>
      </c>
      <c r="X649">
        <v>0.99877680000000002</v>
      </c>
      <c r="Y649">
        <v>-3.4482909999999999E-2</v>
      </c>
      <c r="Z649">
        <v>9.0214829999999996E-4</v>
      </c>
      <c r="AA649">
        <v>0.99940490000000004</v>
      </c>
      <c r="AB649">
        <v>31</v>
      </c>
      <c r="AC649">
        <v>39.194499999999998</v>
      </c>
      <c r="AD649">
        <v>-1.0965447149548</v>
      </c>
      <c r="AE649">
        <v>1.5206</v>
      </c>
      <c r="AF649">
        <v>-1.35883384979879</v>
      </c>
      <c r="AG649">
        <v>-1.0965447149548</v>
      </c>
      <c r="AH649">
        <v>39.169792197591697</v>
      </c>
      <c r="AI649">
        <v>91.602593081106505</v>
      </c>
      <c r="AJ649">
        <v>91.986843201212395</v>
      </c>
      <c r="AK649">
        <v>39.208691135330803</v>
      </c>
      <c r="AL649">
        <v>90.153640592933002</v>
      </c>
      <c r="AM649">
        <v>92.830037902989602</v>
      </c>
      <c r="AN649">
        <v>1.0000000008399501</v>
      </c>
    </row>
    <row r="650" spans="1:40" x14ac:dyDescent="0.25">
      <c r="A650" t="str">
        <f>"20190305135207970"</f>
        <v>20190305135207970</v>
      </c>
      <c r="B650" t="str">
        <f>"1551765127960458"</f>
        <v>1551765127960458</v>
      </c>
      <c r="C650" t="s">
        <v>40</v>
      </c>
      <c r="D650">
        <v>4.514087</v>
      </c>
      <c r="E650">
        <v>0.50488750000000004</v>
      </c>
      <c r="F650" t="s">
        <v>42</v>
      </c>
      <c r="G650">
        <v>-277.6112</v>
      </c>
      <c r="H650" s="1">
        <v>-1.0109299999999999E-6</v>
      </c>
      <c r="I650">
        <v>369.63069999999999</v>
      </c>
      <c r="J650">
        <v>-317.33640000000003</v>
      </c>
      <c r="K650">
        <v>1.0953489999999999</v>
      </c>
      <c r="L650">
        <v>368.01960000000003</v>
      </c>
      <c r="M650">
        <v>0.99966840000000001</v>
      </c>
      <c r="N650">
        <v>-2.5421490000000001E-2</v>
      </c>
      <c r="O650">
        <v>4.1111020000000002E-3</v>
      </c>
      <c r="P650">
        <v>0.99815989999999999</v>
      </c>
      <c r="Q650">
        <v>-2.6894919999999999E-2</v>
      </c>
      <c r="R650">
        <v>5.43463E-2</v>
      </c>
      <c r="S650">
        <v>2.9966740000000001</v>
      </c>
      <c r="T650">
        <v>-8.2340360000000001E-2</v>
      </c>
      <c r="U650">
        <v>0.12103269999999999</v>
      </c>
      <c r="V650">
        <v>-5.0241059999999997E-2</v>
      </c>
      <c r="W650">
        <v>-1.5027560000000001E-3</v>
      </c>
      <c r="X650">
        <v>0.99873599999999996</v>
      </c>
      <c r="Y650">
        <v>-3.6220410000000001E-2</v>
      </c>
      <c r="Z650">
        <v>9.4973330000000002E-4</v>
      </c>
      <c r="AA650">
        <v>0.99934339999999999</v>
      </c>
      <c r="AB650">
        <v>31</v>
      </c>
      <c r="AC650">
        <v>39.725200000000001</v>
      </c>
      <c r="AD650">
        <v>-1.0953500109299901</v>
      </c>
      <c r="AE650">
        <v>1.61109999999996</v>
      </c>
      <c r="AF650">
        <v>-1.4466212043559601</v>
      </c>
      <c r="AG650">
        <v>-1.0953500109299901</v>
      </c>
      <c r="AH650">
        <v>39.701355031353103</v>
      </c>
      <c r="AI650">
        <v>91.579327120847694</v>
      </c>
      <c r="AJ650">
        <v>92.086796193913401</v>
      </c>
      <c r="AK650">
        <v>39.742799295984199</v>
      </c>
      <c r="AL650">
        <v>90.086101607980297</v>
      </c>
      <c r="AM650">
        <v>92.879816309494899</v>
      </c>
      <c r="AN650">
        <v>1.00000001004075</v>
      </c>
    </row>
    <row r="651" spans="1:40" x14ac:dyDescent="0.25">
      <c r="A651" t="str">
        <f>"20190305135207982"</f>
        <v>20190305135207982</v>
      </c>
      <c r="B651" t="str">
        <f>"1551765127970218"</f>
        <v>1551765127970218</v>
      </c>
      <c r="C651" t="s">
        <v>40</v>
      </c>
      <c r="D651">
        <v>4.4902879999999996</v>
      </c>
      <c r="E651">
        <v>0.50487029999999999</v>
      </c>
      <c r="F651" t="s">
        <v>42</v>
      </c>
      <c r="G651">
        <v>-276.0686</v>
      </c>
      <c r="H651" s="1">
        <v>-1.6998269999999999E-6</v>
      </c>
      <c r="I651">
        <v>369.73259999999999</v>
      </c>
      <c r="J651">
        <v>-317.1576</v>
      </c>
      <c r="K651">
        <v>1.0941339999999999</v>
      </c>
      <c r="L651">
        <v>368.0204</v>
      </c>
      <c r="M651">
        <v>0.99966250000000001</v>
      </c>
      <c r="N651">
        <v>-2.5649189999999999E-2</v>
      </c>
      <c r="O651">
        <v>4.1310000000000001E-3</v>
      </c>
      <c r="P651">
        <v>0.99814219999999998</v>
      </c>
      <c r="Q651">
        <v>-2.5757809999999999E-2</v>
      </c>
      <c r="R651">
        <v>5.5217000000000002E-2</v>
      </c>
      <c r="S651">
        <v>2.996613</v>
      </c>
      <c r="T651">
        <v>-7.9537510000000006E-2</v>
      </c>
      <c r="U651">
        <v>0.1243896</v>
      </c>
      <c r="V651">
        <v>-5.1091659999999997E-2</v>
      </c>
      <c r="W651">
        <v>-1.400071E-4</v>
      </c>
      <c r="X651">
        <v>0.99869390000000002</v>
      </c>
      <c r="Y651">
        <v>-3.7319379999999999E-2</v>
      </c>
      <c r="Z651">
        <v>9.7038319999999997E-4</v>
      </c>
      <c r="AA651">
        <v>0.99930289999999999</v>
      </c>
      <c r="AB651">
        <v>31</v>
      </c>
      <c r="AC651">
        <v>41.088999999999999</v>
      </c>
      <c r="AD651">
        <v>-1.094135699827</v>
      </c>
      <c r="AE651">
        <v>1.71219999999999</v>
      </c>
      <c r="AF651">
        <v>-1.5412998650679599</v>
      </c>
      <c r="AG651">
        <v>-1.094135699827</v>
      </c>
      <c r="AH651">
        <v>41.066655798358298</v>
      </c>
      <c r="AI651">
        <v>91.525092671882504</v>
      </c>
      <c r="AJ651">
        <v>92.149397005733107</v>
      </c>
      <c r="AK651">
        <v>41.110132043871197</v>
      </c>
      <c r="AL651">
        <v>90.008021816426407</v>
      </c>
      <c r="AM651">
        <v>92.928611750432196</v>
      </c>
      <c r="AN651">
        <v>0.99999994161037498</v>
      </c>
    </row>
    <row r="652" spans="1:40" x14ac:dyDescent="0.25">
      <c r="A652" t="str">
        <f>"20190305135207999"</f>
        <v>20190305135207999</v>
      </c>
      <c r="B652" t="str">
        <f>"1551765127990714"</f>
        <v>1551765127990714</v>
      </c>
      <c r="C652" t="s">
        <v>40</v>
      </c>
      <c r="D652">
        <v>4.8551650000000004</v>
      </c>
      <c r="E652">
        <v>0.50485659999999999</v>
      </c>
      <c r="F652" t="s">
        <v>42</v>
      </c>
      <c r="G652">
        <v>-274.0598</v>
      </c>
      <c r="H652" s="1">
        <v>-2.5909029999999999E-6</v>
      </c>
      <c r="I652">
        <v>369.84269999999998</v>
      </c>
      <c r="J652">
        <v>-316.93020000000001</v>
      </c>
      <c r="K652">
        <v>1.0924860000000001</v>
      </c>
      <c r="L652">
        <v>368.02140000000003</v>
      </c>
      <c r="M652">
        <v>0.99965930000000003</v>
      </c>
      <c r="N652">
        <v>-2.577291E-2</v>
      </c>
      <c r="O652">
        <v>4.1636240000000003E-3</v>
      </c>
      <c r="P652">
        <v>0.99806609999999996</v>
      </c>
      <c r="Q652">
        <v>-2.4295520000000001E-2</v>
      </c>
      <c r="R652">
        <v>5.7221260000000003E-2</v>
      </c>
      <c r="S652">
        <v>2.996613</v>
      </c>
      <c r="T652">
        <v>-7.6075669999999998E-2</v>
      </c>
      <c r="U652">
        <v>0.12670899999999999</v>
      </c>
      <c r="V652">
        <v>-5.3063979999999997E-2</v>
      </c>
      <c r="W652">
        <v>1.442257E-3</v>
      </c>
      <c r="X652">
        <v>0.99859010000000004</v>
      </c>
      <c r="Y652">
        <v>-3.8059969999999999E-2</v>
      </c>
      <c r="Z652">
        <v>9.7538819999999995E-4</v>
      </c>
      <c r="AA652">
        <v>0.99927500000000002</v>
      </c>
      <c r="AB652">
        <v>31</v>
      </c>
      <c r="AC652">
        <v>42.870399999999997</v>
      </c>
      <c r="AD652">
        <v>-1.092488590903</v>
      </c>
      <c r="AE652">
        <v>1.82129999999995</v>
      </c>
      <c r="AF652">
        <v>-1.64166449859695</v>
      </c>
      <c r="AG652">
        <v>-1.092488590903</v>
      </c>
      <c r="AH652">
        <v>42.849836918710302</v>
      </c>
      <c r="AI652">
        <v>91.459412070872503</v>
      </c>
      <c r="AJ652">
        <v>92.194044910625493</v>
      </c>
      <c r="AK652">
        <v>42.895187580977797</v>
      </c>
      <c r="AL652">
        <v>89.917364734505298</v>
      </c>
      <c r="AM652">
        <v>93.041773819111498</v>
      </c>
      <c r="AN652">
        <v>1.00000002694835</v>
      </c>
    </row>
    <row r="653" spans="1:40" x14ac:dyDescent="0.25">
      <c r="A653" t="str">
        <f>"20190305135208019"</f>
        <v>20190305135208019</v>
      </c>
      <c r="B653" t="str">
        <f>"1551765128010234"</f>
        <v>1551765128010234</v>
      </c>
      <c r="C653" t="s">
        <v>40</v>
      </c>
      <c r="D653">
        <v>4.5572400000000002</v>
      </c>
      <c r="E653">
        <v>0.50490210000000002</v>
      </c>
      <c r="F653" t="s">
        <v>42</v>
      </c>
      <c r="G653">
        <v>-271.09249999999997</v>
      </c>
      <c r="H653" s="1">
        <v>-3.9206469999999996E-6</v>
      </c>
      <c r="I653">
        <v>370.05619999999999</v>
      </c>
      <c r="J653">
        <v>-316.63529999999997</v>
      </c>
      <c r="K653">
        <v>1.090225</v>
      </c>
      <c r="L653">
        <v>368.02260000000001</v>
      </c>
      <c r="M653">
        <v>0.99966029999999995</v>
      </c>
      <c r="N653">
        <v>-2.571762E-2</v>
      </c>
      <c r="O653">
        <v>4.2115090000000004E-3</v>
      </c>
      <c r="P653">
        <v>0.99796949999999995</v>
      </c>
      <c r="Q653">
        <v>-2.3297160000000001E-2</v>
      </c>
      <c r="R653">
        <v>5.9278280000000003E-2</v>
      </c>
      <c r="S653">
        <v>2.9964599999999999</v>
      </c>
      <c r="T653">
        <v>-7.1417090000000003E-2</v>
      </c>
      <c r="U653">
        <v>0.13302610000000001</v>
      </c>
      <c r="V653">
        <v>-5.5073190000000001E-2</v>
      </c>
      <c r="W653">
        <v>2.381148E-3</v>
      </c>
      <c r="X653">
        <v>0.99847949999999996</v>
      </c>
      <c r="Y653">
        <v>-4.0117930000000003E-2</v>
      </c>
      <c r="Z653">
        <v>1.002108E-3</v>
      </c>
      <c r="AA653">
        <v>0.99919440000000004</v>
      </c>
      <c r="AB653">
        <v>31</v>
      </c>
      <c r="AC653">
        <v>45.5428</v>
      </c>
      <c r="AD653">
        <v>-1.0902289206469999</v>
      </c>
      <c r="AE653">
        <v>2.0335999999999701</v>
      </c>
      <c r="AF653">
        <v>-1.8406618652103299</v>
      </c>
      <c r="AG653">
        <v>-1.0902289206469999</v>
      </c>
      <c r="AH653">
        <v>45.524926845358998</v>
      </c>
      <c r="AI653">
        <v>91.370735046749203</v>
      </c>
      <c r="AJ653">
        <v>92.315319367827797</v>
      </c>
      <c r="AK653">
        <v>45.575164283595697</v>
      </c>
      <c r="AL653">
        <v>89.863570142875702</v>
      </c>
      <c r="AM653">
        <v>93.157067546736698</v>
      </c>
      <c r="AN653">
        <v>1.00000001902141</v>
      </c>
    </row>
    <row r="654" spans="1:40" x14ac:dyDescent="0.25">
      <c r="A654" t="str">
        <f>"20190305135208032"</f>
        <v>20190305135208032</v>
      </c>
      <c r="B654" t="str">
        <f>"1551765128019994"</f>
        <v>1551765128019994</v>
      </c>
      <c r="C654" t="s">
        <v>40</v>
      </c>
      <c r="D654">
        <v>4.5496639999999999</v>
      </c>
      <c r="E654">
        <v>0.50495239999999997</v>
      </c>
      <c r="F654" t="s">
        <v>42</v>
      </c>
      <c r="G654">
        <v>-268.36520000000002</v>
      </c>
      <c r="H654" s="1">
        <v>-8.5439819999999996E-7</v>
      </c>
      <c r="I654">
        <v>370.25810000000001</v>
      </c>
      <c r="J654">
        <v>-316.45740000000001</v>
      </c>
      <c r="K654">
        <v>1.0888070000000001</v>
      </c>
      <c r="L654">
        <v>368.02339999999998</v>
      </c>
      <c r="M654">
        <v>0.99966370000000004</v>
      </c>
      <c r="N654">
        <v>-2.559086E-2</v>
      </c>
      <c r="O654">
        <v>4.2409650000000002E-3</v>
      </c>
      <c r="P654">
        <v>0.99792060000000005</v>
      </c>
      <c r="Q654">
        <v>-2.3155060000000002E-2</v>
      </c>
      <c r="R654">
        <v>6.015471E-2</v>
      </c>
      <c r="S654">
        <v>2.9962460000000002</v>
      </c>
      <c r="T654">
        <v>-6.7673090000000005E-2</v>
      </c>
      <c r="U654">
        <v>0.13876340000000001</v>
      </c>
      <c r="V654">
        <v>-5.5920650000000002E-2</v>
      </c>
      <c r="W654">
        <v>2.3940229999999999E-3</v>
      </c>
      <c r="X654">
        <v>0.99843230000000005</v>
      </c>
      <c r="Y654">
        <v>-4.2001799999999999E-2</v>
      </c>
      <c r="Z654">
        <v>1.0247380000000001E-3</v>
      </c>
      <c r="AA654">
        <v>0.99911700000000003</v>
      </c>
      <c r="AB654">
        <v>31</v>
      </c>
      <c r="AC654">
        <v>48.092199999999899</v>
      </c>
      <c r="AD654">
        <v>-1.0888078543981901</v>
      </c>
      <c r="AE654">
        <v>2.2347000000000299</v>
      </c>
      <c r="AF654">
        <v>-2.0296176956441898</v>
      </c>
      <c r="AG654">
        <v>-1.0888078543981901</v>
      </c>
      <c r="AH654">
        <v>48.076658054026502</v>
      </c>
      <c r="AI654">
        <v>91.296220383146604</v>
      </c>
      <c r="AJ654">
        <v>92.417379301597407</v>
      </c>
      <c r="AK654">
        <v>48.131797184169898</v>
      </c>
      <c r="AL654">
        <v>89.862832448715594</v>
      </c>
      <c r="AM654">
        <v>93.205698820976906</v>
      </c>
      <c r="AN654">
        <v>0.99999995406291697</v>
      </c>
    </row>
    <row r="655" spans="1:40" x14ac:dyDescent="0.25">
      <c r="A655" t="str">
        <f>"20190305135208046"</f>
        <v>20190305135208046</v>
      </c>
      <c r="B655" t="str">
        <f>"1551765128040490"</f>
        <v>1551765128040490</v>
      </c>
      <c r="C655" t="s">
        <v>40</v>
      </c>
      <c r="D655">
        <v>4.6369300000000004</v>
      </c>
      <c r="E655">
        <v>0.50519789999999998</v>
      </c>
      <c r="F655" t="s">
        <v>42</v>
      </c>
      <c r="G655">
        <v>-267.58679999999998</v>
      </c>
      <c r="H655" s="1">
        <v>-1.207068E-6</v>
      </c>
      <c r="I655">
        <v>370.32850000000002</v>
      </c>
      <c r="J655">
        <v>-316.27870000000001</v>
      </c>
      <c r="K655">
        <v>1.087364</v>
      </c>
      <c r="L655">
        <v>368.02420000000001</v>
      </c>
      <c r="M655">
        <v>0.99966750000000004</v>
      </c>
      <c r="N655">
        <v>-2.542912E-2</v>
      </c>
      <c r="O655">
        <v>4.2710129999999997E-3</v>
      </c>
      <c r="P655">
        <v>0.99797170000000002</v>
      </c>
      <c r="Q655">
        <v>-2.142061E-2</v>
      </c>
      <c r="R655">
        <v>5.9948729999999999E-2</v>
      </c>
      <c r="S655">
        <v>2.9961850000000001</v>
      </c>
      <c r="T655">
        <v>-6.6753270000000003E-2</v>
      </c>
      <c r="U655">
        <v>0.14132690000000001</v>
      </c>
      <c r="V655">
        <v>-5.5684709999999998E-2</v>
      </c>
      <c r="W655">
        <v>3.9671000000000003E-3</v>
      </c>
      <c r="X655">
        <v>0.99844049999999995</v>
      </c>
      <c r="Y655">
        <v>-4.2825759999999997E-2</v>
      </c>
      <c r="Z655">
        <v>1.0352709999999999E-3</v>
      </c>
      <c r="AA655">
        <v>0.99908200000000003</v>
      </c>
      <c r="AB655">
        <v>31</v>
      </c>
      <c r="AC655">
        <v>48.691899999999997</v>
      </c>
      <c r="AD655">
        <v>-1.087365207068</v>
      </c>
      <c r="AE655">
        <v>2.3043000000000098</v>
      </c>
      <c r="AF655">
        <v>-2.0952054197002701</v>
      </c>
      <c r="AG655">
        <v>-1.087365207068</v>
      </c>
      <c r="AH655">
        <v>48.677079575141498</v>
      </c>
      <c r="AI655">
        <v>91.2784964491522</v>
      </c>
      <c r="AJ655">
        <v>92.464658409975101</v>
      </c>
      <c r="AK655">
        <v>48.734282849026698</v>
      </c>
      <c r="AL655">
        <v>89.772701311987007</v>
      </c>
      <c r="AM655">
        <v>93.192175228350706</v>
      </c>
      <c r="AN655">
        <v>0.99999997842522104</v>
      </c>
    </row>
    <row r="656" spans="1:40" x14ac:dyDescent="0.25">
      <c r="A656" t="str">
        <f>"20190305135208058"</f>
        <v>20190305135208058</v>
      </c>
      <c r="B656" t="str">
        <f>"1551765128050250"</f>
        <v>1551765128050250</v>
      </c>
      <c r="C656" t="s">
        <v>40</v>
      </c>
      <c r="D656">
        <v>4.5444659999999999</v>
      </c>
      <c r="E656">
        <v>0.50525120000000001</v>
      </c>
      <c r="F656" t="s">
        <v>42</v>
      </c>
      <c r="G656">
        <v>-262.15230000000003</v>
      </c>
      <c r="H656" s="1">
        <v>-3.591069E-6</v>
      </c>
      <c r="I656">
        <v>370.52620000000002</v>
      </c>
      <c r="J656">
        <v>-316.09300000000002</v>
      </c>
      <c r="K656">
        <v>1.0858300000000001</v>
      </c>
      <c r="L656">
        <v>368.02499999999998</v>
      </c>
      <c r="M656">
        <v>0.99967240000000002</v>
      </c>
      <c r="N656">
        <v>-2.52293E-2</v>
      </c>
      <c r="O656">
        <v>4.3037700000000002E-3</v>
      </c>
      <c r="P656">
        <v>0.99801110000000004</v>
      </c>
      <c r="Q656">
        <v>-1.887757E-2</v>
      </c>
      <c r="R656">
        <v>6.014796E-2</v>
      </c>
      <c r="S656">
        <v>2.9964599999999999</v>
      </c>
      <c r="T656">
        <v>-6.0197109999999998E-2</v>
      </c>
      <c r="U656">
        <v>0.13851930000000001</v>
      </c>
      <c r="V656">
        <v>-5.5851619999999998E-2</v>
      </c>
      <c r="W656">
        <v>6.3102459999999898E-3</v>
      </c>
      <c r="X656">
        <v>0.99841919999999995</v>
      </c>
      <c r="Y656">
        <v>-4.1858369999999999E-2</v>
      </c>
      <c r="Z656">
        <v>9.708462E-4</v>
      </c>
      <c r="AA656">
        <v>0.99912310000000004</v>
      </c>
      <c r="AB656">
        <v>31</v>
      </c>
      <c r="AC656">
        <v>53.9406999999999</v>
      </c>
      <c r="AD656">
        <v>-1.08583359106899</v>
      </c>
      <c r="AE656">
        <v>2.5012000000000398</v>
      </c>
      <c r="AF656">
        <v>-2.26803744226723</v>
      </c>
      <c r="AG656">
        <v>-1.08583359106899</v>
      </c>
      <c r="AH656">
        <v>53.929161725202803</v>
      </c>
      <c r="AI656">
        <v>91.152444273413394</v>
      </c>
      <c r="AJ656">
        <v>92.408204334584994</v>
      </c>
      <c r="AK656">
        <v>53.9877533595361</v>
      </c>
      <c r="AL656">
        <v>89.638447159006503</v>
      </c>
      <c r="AM656">
        <v>93.201791777466994</v>
      </c>
      <c r="AN656">
        <v>1.00000006079492</v>
      </c>
    </row>
    <row r="657" spans="1:40" x14ac:dyDescent="0.25">
      <c r="A657" t="str">
        <f>"20190305135208070"</f>
        <v>20190305135208070</v>
      </c>
      <c r="B657" t="str">
        <f>"1551765128060011"</f>
        <v>1551765128060011</v>
      </c>
      <c r="C657" t="s">
        <v>40</v>
      </c>
      <c r="D657">
        <v>4.5251510000000001</v>
      </c>
      <c r="E657">
        <v>0.50531550000000003</v>
      </c>
      <c r="F657" t="s">
        <v>42</v>
      </c>
      <c r="G657">
        <v>-253.9768</v>
      </c>
      <c r="H657" s="1">
        <v>-2.9078290000000001E-6</v>
      </c>
      <c r="I657">
        <v>370.90010000000001</v>
      </c>
      <c r="J657">
        <v>-315.9341</v>
      </c>
      <c r="K657">
        <v>1.084514</v>
      </c>
      <c r="L657">
        <v>368.02569999999997</v>
      </c>
      <c r="M657">
        <v>0.99967720000000004</v>
      </c>
      <c r="N657">
        <v>-2.503588E-2</v>
      </c>
      <c r="O657">
        <v>4.332687E-3</v>
      </c>
      <c r="P657">
        <v>0.99804709999999996</v>
      </c>
      <c r="Q657">
        <v>-1.6522430000000001E-2</v>
      </c>
      <c r="R657">
        <v>6.0239639999999997E-2</v>
      </c>
      <c r="S657">
        <v>2.9966430000000002</v>
      </c>
      <c r="T657">
        <v>-5.2383300000000001E-2</v>
      </c>
      <c r="U657">
        <v>0.138702399999999</v>
      </c>
      <c r="V657">
        <v>-5.5914510000000001E-2</v>
      </c>
      <c r="W657">
        <v>8.4721659999999997E-3</v>
      </c>
      <c r="X657">
        <v>0.99839960000000005</v>
      </c>
      <c r="Y657">
        <v>-4.189114E-2</v>
      </c>
      <c r="Z657">
        <v>9.2351810000000005E-4</v>
      </c>
      <c r="AA657">
        <v>0.9991217</v>
      </c>
      <c r="AB657">
        <v>31</v>
      </c>
      <c r="AC657">
        <v>61.957299999999996</v>
      </c>
      <c r="AD657">
        <v>-1.084516907829</v>
      </c>
      <c r="AE657">
        <v>2.8744000000000298</v>
      </c>
      <c r="AF657">
        <v>-2.6050507850985598</v>
      </c>
      <c r="AG657">
        <v>-1.084516907829</v>
      </c>
      <c r="AH657">
        <v>61.9502351374705</v>
      </c>
      <c r="AI657">
        <v>91.002046982706204</v>
      </c>
      <c r="AJ657">
        <v>92.407909063262807</v>
      </c>
      <c r="AK657">
        <v>62.014466861404102</v>
      </c>
      <c r="AL657">
        <v>89.514574830674306</v>
      </c>
      <c r="AM657">
        <v>93.205452338197603</v>
      </c>
      <c r="AN657">
        <v>0.99999998565271497</v>
      </c>
    </row>
    <row r="658" spans="1:40" x14ac:dyDescent="0.25">
      <c r="A658" t="str">
        <f>"20190305135208083"</f>
        <v>20190305135208083</v>
      </c>
      <c r="B658" t="str">
        <f>"1551765128069771"</f>
        <v>1551765128069771</v>
      </c>
      <c r="C658" t="s">
        <v>40</v>
      </c>
      <c r="D658">
        <v>4.5237249999999998</v>
      </c>
      <c r="E658">
        <v>0.50538130000000003</v>
      </c>
      <c r="F658" t="s">
        <v>42</v>
      </c>
      <c r="G658">
        <v>-243.63900000000001</v>
      </c>
      <c r="H658" s="1">
        <v>-3.4521170000000002E-6</v>
      </c>
      <c r="I658">
        <v>371.363</v>
      </c>
      <c r="J658">
        <v>-315.7527</v>
      </c>
      <c r="K658">
        <v>1.0829979999999999</v>
      </c>
      <c r="L658">
        <v>368.0265</v>
      </c>
      <c r="M658">
        <v>0.99968330000000005</v>
      </c>
      <c r="N658">
        <v>-2.4785089999999999E-2</v>
      </c>
      <c r="O658">
        <v>4.366684E-3</v>
      </c>
      <c r="P658">
        <v>0.9980386</v>
      </c>
      <c r="Q658">
        <v>-1.481092E-2</v>
      </c>
      <c r="R658">
        <v>6.0825120000000003E-2</v>
      </c>
      <c r="S658">
        <v>2.9967649999999999</v>
      </c>
      <c r="T658">
        <v>-4.4955250000000002E-2</v>
      </c>
      <c r="U658">
        <v>0.13833619999999999</v>
      </c>
      <c r="V658">
        <v>-5.6466000000000002E-2</v>
      </c>
      <c r="W658">
        <v>9.932181E-3</v>
      </c>
      <c r="X658">
        <v>0.99835510000000005</v>
      </c>
      <c r="Y658">
        <v>-4.1736669999999997E-2</v>
      </c>
      <c r="Z658">
        <v>8.732519E-4</v>
      </c>
      <c r="AA658">
        <v>0.99912829999999997</v>
      </c>
      <c r="AB658">
        <v>31</v>
      </c>
      <c r="AC658">
        <v>72.113699999999994</v>
      </c>
      <c r="AD658">
        <v>-1.0830014521169999</v>
      </c>
      <c r="AE658">
        <v>3.3365000000000502</v>
      </c>
      <c r="AF658">
        <v>-3.0207938227290301</v>
      </c>
      <c r="AG658">
        <v>-1.0830014521169999</v>
      </c>
      <c r="AH658">
        <v>72.1113567477244</v>
      </c>
      <c r="AI658">
        <v>90.859675778017106</v>
      </c>
      <c r="AJ658">
        <v>92.398756726859304</v>
      </c>
      <c r="AK658">
        <v>72.182725492061493</v>
      </c>
      <c r="AL658">
        <v>89.430918580092396</v>
      </c>
      <c r="AM658">
        <v>93.237145084524698</v>
      </c>
      <c r="AN658">
        <v>0.99999998153571301</v>
      </c>
    </row>
    <row r="659" spans="1:40" x14ac:dyDescent="0.25">
      <c r="A659" t="str">
        <f>"20190305135208099"</f>
        <v>20190305135208099</v>
      </c>
      <c r="B659" t="str">
        <f>"1551765128090266"</f>
        <v>1551765128090266</v>
      </c>
      <c r="C659" t="s">
        <v>40</v>
      </c>
      <c r="D659">
        <v>4.5141920000000004</v>
      </c>
      <c r="E659">
        <v>0.5054997</v>
      </c>
      <c r="F659" t="s">
        <v>42</v>
      </c>
      <c r="G659">
        <v>-233.37739999999999</v>
      </c>
      <c r="H659" s="1">
        <v>-3.4215019999999998E-6</v>
      </c>
      <c r="I659">
        <v>371.86430000000001</v>
      </c>
      <c r="J659">
        <v>-315.54419999999999</v>
      </c>
      <c r="K659">
        <v>1.0812759999999999</v>
      </c>
      <c r="L659">
        <v>368.02749999999997</v>
      </c>
      <c r="M659">
        <v>0.99969209999999997</v>
      </c>
      <c r="N659">
        <v>-2.4422570000000001E-2</v>
      </c>
      <c r="O659">
        <v>4.4071229999999998E-3</v>
      </c>
      <c r="P659">
        <v>0.99797930000000001</v>
      </c>
      <c r="Q659">
        <v>-1.1706670000000001E-2</v>
      </c>
      <c r="R659">
        <v>6.2456480000000002E-2</v>
      </c>
      <c r="S659">
        <v>2.9967959999999998</v>
      </c>
      <c r="T659">
        <v>-3.939927E-2</v>
      </c>
      <c r="U659">
        <v>0.13961789999999999</v>
      </c>
      <c r="V659">
        <v>-5.805747E-2</v>
      </c>
      <c r="W659">
        <v>1.267191E-2</v>
      </c>
      <c r="X659">
        <v>0.99823280000000003</v>
      </c>
      <c r="Y659">
        <v>-4.212436E-2</v>
      </c>
      <c r="Z659">
        <v>8.4124920000000004E-4</v>
      </c>
      <c r="AA659">
        <v>0.999112</v>
      </c>
      <c r="AB659">
        <v>31</v>
      </c>
      <c r="AC659">
        <v>82.166799999999995</v>
      </c>
      <c r="AD659">
        <v>-1.0812794215019901</v>
      </c>
      <c r="AE659">
        <v>3.83680000000003</v>
      </c>
      <c r="AF659">
        <v>-3.47393522495747</v>
      </c>
      <c r="AG659">
        <v>-1.0812794215019901</v>
      </c>
      <c r="AH659">
        <v>82.168717320550698</v>
      </c>
      <c r="AI659">
        <v>90.753253660065099</v>
      </c>
      <c r="AJ659">
        <v>92.420913563154997</v>
      </c>
      <c r="AK659">
        <v>82.249227943118896</v>
      </c>
      <c r="AL659">
        <v>89.273933595268204</v>
      </c>
      <c r="AM659">
        <v>93.328587176037402</v>
      </c>
      <c r="AN659">
        <v>0.99999998506084398</v>
      </c>
    </row>
    <row r="660" spans="1:40" x14ac:dyDescent="0.25">
      <c r="A660" t="str">
        <f>"20190305135208120"</f>
        <v>20190305135208120</v>
      </c>
      <c r="B660" t="str">
        <f>"1551765128110764"</f>
        <v>1551765128110764</v>
      </c>
      <c r="C660" t="s">
        <v>40</v>
      </c>
      <c r="D660">
        <v>4.5223300000000002</v>
      </c>
      <c r="E660">
        <v>0.50565680000000002</v>
      </c>
      <c r="F660" t="s">
        <v>52</v>
      </c>
      <c r="G660">
        <v>-206.43799999999999</v>
      </c>
      <c r="H660" s="1">
        <v>-5.0354780000000001E-6</v>
      </c>
      <c r="I660">
        <v>373.25400000000002</v>
      </c>
      <c r="J660">
        <v>-315.2475</v>
      </c>
      <c r="K660">
        <v>1.0788690000000001</v>
      </c>
      <c r="L660">
        <v>368.02879999999999</v>
      </c>
      <c r="M660">
        <v>0.99970619999999999</v>
      </c>
      <c r="N660">
        <v>-2.382453E-2</v>
      </c>
      <c r="O660">
        <v>4.4677429999999997E-3</v>
      </c>
      <c r="P660">
        <v>0.99783469999999996</v>
      </c>
      <c r="Q660">
        <v>-1.14141E-2</v>
      </c>
      <c r="R660">
        <v>6.4774579999999998E-2</v>
      </c>
      <c r="S660">
        <v>2.9967959999999998</v>
      </c>
      <c r="T660">
        <v>-2.9699329999999999E-2</v>
      </c>
      <c r="U660">
        <v>0.14355470000000001</v>
      </c>
      <c r="V660">
        <v>-6.0315670000000002E-2</v>
      </c>
      <c r="W660">
        <v>1.2363900000000001E-2</v>
      </c>
      <c r="X660">
        <v>0.99810279999999996</v>
      </c>
      <c r="Y660">
        <v>-4.3376669999999999E-2</v>
      </c>
      <c r="Z660">
        <v>7.9409149999999998E-4</v>
      </c>
      <c r="AA660">
        <v>0.99905849999999996</v>
      </c>
      <c r="AB660">
        <v>31</v>
      </c>
      <c r="AC660">
        <v>108.8095</v>
      </c>
      <c r="AD660">
        <v>-1.078874035478</v>
      </c>
      <c r="AE660">
        <v>5.2252000000000196</v>
      </c>
      <c r="AF660">
        <v>-4.7384121545467703</v>
      </c>
      <c r="AG660">
        <v>-1.078874035478</v>
      </c>
      <c r="AH660">
        <v>108.821091060683</v>
      </c>
      <c r="AI660">
        <v>90.567485505964001</v>
      </c>
      <c r="AJ660">
        <v>92.493263277761898</v>
      </c>
      <c r="AK660">
        <v>108.929547775469</v>
      </c>
      <c r="AL660">
        <v>89.291582678168396</v>
      </c>
      <c r="AM660">
        <v>93.458196715956504</v>
      </c>
      <c r="AN660">
        <v>1.00000002271929</v>
      </c>
    </row>
    <row r="661" spans="1:40" x14ac:dyDescent="0.25">
      <c r="A661" t="str">
        <f>"20190305135208132"</f>
        <v>20190305135208132</v>
      </c>
      <c r="B661" t="str">
        <f>"1551765128120522"</f>
        <v>1551765128120522</v>
      </c>
      <c r="C661" t="s">
        <v>40</v>
      </c>
      <c r="D661">
        <v>4.5097940000000003</v>
      </c>
      <c r="E661">
        <v>0.50573820000000003</v>
      </c>
      <c r="F661" t="s">
        <v>52</v>
      </c>
      <c r="G661">
        <v>-203.441</v>
      </c>
      <c r="H661" s="1">
        <v>-3.5047839999999999E-6</v>
      </c>
      <c r="I661">
        <v>373.59809999999999</v>
      </c>
      <c r="J661">
        <v>-315.08850000000001</v>
      </c>
      <c r="K661">
        <v>1.077626</v>
      </c>
      <c r="L661">
        <v>368.02960000000002</v>
      </c>
      <c r="M661">
        <v>0.99971449999999995</v>
      </c>
      <c r="N661">
        <v>-2.346763E-2</v>
      </c>
      <c r="O661">
        <v>4.5021169999999999E-3</v>
      </c>
      <c r="P661">
        <v>0.99776330000000002</v>
      </c>
      <c r="Q661">
        <v>-1.216018E-2</v>
      </c>
      <c r="R661">
        <v>6.5730499999999997E-2</v>
      </c>
      <c r="S661">
        <v>2.996521</v>
      </c>
      <c r="T661">
        <v>-2.8914809999999999E-2</v>
      </c>
      <c r="U661">
        <v>0.14926149999999999</v>
      </c>
      <c r="V661">
        <v>-6.1237850000000003E-2</v>
      </c>
      <c r="W661">
        <v>1.125962E-2</v>
      </c>
      <c r="X661">
        <v>0.99805969999999999</v>
      </c>
      <c r="Y661">
        <v>-4.5244819999999998E-2</v>
      </c>
      <c r="Z661">
        <v>8.1168880000000003E-4</v>
      </c>
      <c r="AA661">
        <v>0.99897559999999996</v>
      </c>
      <c r="AB661">
        <v>31</v>
      </c>
      <c r="AC661">
        <v>111.64749999999999</v>
      </c>
      <c r="AD661">
        <v>-1.0776295047840001</v>
      </c>
      <c r="AE661">
        <v>5.56849999999997</v>
      </c>
      <c r="AF661">
        <v>-5.0651842634849302</v>
      </c>
      <c r="AG661">
        <v>-1.0776295047840001</v>
      </c>
      <c r="AH661">
        <v>111.661068013416</v>
      </c>
      <c r="AI661">
        <v>90.552370534409604</v>
      </c>
      <c r="AJ661">
        <v>92.597278277164705</v>
      </c>
      <c r="AK661">
        <v>111.78108733980601</v>
      </c>
      <c r="AL661">
        <v>89.354857668666597</v>
      </c>
      <c r="AM661">
        <v>93.511089843413799</v>
      </c>
      <c r="AN661">
        <v>1.0000000090396199</v>
      </c>
    </row>
    <row r="662" spans="1:40" x14ac:dyDescent="0.25">
      <c r="A662" t="str">
        <f>"20190305135208142"</f>
        <v>20190305135208142</v>
      </c>
      <c r="B662" t="str">
        <f>"1551765128130282"</f>
        <v>1551765128130282</v>
      </c>
      <c r="C662" t="s">
        <v>40</v>
      </c>
      <c r="D662">
        <v>4.4886520000000001</v>
      </c>
      <c r="E662">
        <v>0.50581469999999995</v>
      </c>
      <c r="F662" t="s">
        <v>42</v>
      </c>
      <c r="G662">
        <v>-212.20509999999999</v>
      </c>
      <c r="H662" s="1">
        <v>-4.1675640000000004E-6</v>
      </c>
      <c r="I662">
        <v>373.23540000000003</v>
      </c>
      <c r="J662">
        <v>-314.93079999999998</v>
      </c>
      <c r="K662">
        <v>1.076416</v>
      </c>
      <c r="L662">
        <v>368.03030000000001</v>
      </c>
      <c r="M662">
        <v>0.99972300000000003</v>
      </c>
      <c r="N662">
        <v>-2.309932E-2</v>
      </c>
      <c r="O662">
        <v>4.5369299999999998E-3</v>
      </c>
      <c r="P662">
        <v>0.99770519999999996</v>
      </c>
      <c r="Q662">
        <v>-1.2423450000000001E-2</v>
      </c>
      <c r="R662">
        <v>6.6559899999999894E-2</v>
      </c>
      <c r="S662">
        <v>2.9963380000000002</v>
      </c>
      <c r="T662">
        <v>-3.1384469999999998E-2</v>
      </c>
      <c r="U662">
        <v>0.15161129999999901</v>
      </c>
      <c r="V662">
        <v>-6.2033039999999998E-2</v>
      </c>
      <c r="W662">
        <v>1.06269E-2</v>
      </c>
      <c r="X662">
        <v>0.9980175</v>
      </c>
      <c r="Y662">
        <v>-4.5993640000000002E-2</v>
      </c>
      <c r="Z662">
        <v>8.2964849999999995E-4</v>
      </c>
      <c r="AA662">
        <v>0.99894139999999998</v>
      </c>
      <c r="AB662">
        <v>31</v>
      </c>
      <c r="AC662">
        <v>102.7257</v>
      </c>
      <c r="AD662">
        <v>-1.0764201675639999</v>
      </c>
      <c r="AE662">
        <v>5.2051000000000096</v>
      </c>
      <c r="AF662">
        <v>-4.7383438156691096</v>
      </c>
      <c r="AG662">
        <v>-1.0764201675639999</v>
      </c>
      <c r="AH662">
        <v>102.73701194929301</v>
      </c>
      <c r="AI662">
        <v>90.599653337730302</v>
      </c>
      <c r="AJ662">
        <v>92.640672959417799</v>
      </c>
      <c r="AK662">
        <v>102.85185563110601</v>
      </c>
      <c r="AL662">
        <v>89.391112007564601</v>
      </c>
      <c r="AM662">
        <v>93.556716012008195</v>
      </c>
      <c r="AN662">
        <v>0.99999997968075005</v>
      </c>
    </row>
    <row r="663" spans="1:40" x14ac:dyDescent="0.25">
      <c r="A663" t="str">
        <f>"20190305135208155"</f>
        <v>20190305135208155</v>
      </c>
      <c r="B663" t="str">
        <f>"1551765128149802"</f>
        <v>1551765128149802</v>
      </c>
      <c r="C663" t="s">
        <v>40</v>
      </c>
      <c r="D663">
        <v>4.481274</v>
      </c>
      <c r="E663">
        <v>0.50597579999999998</v>
      </c>
      <c r="F663" t="s">
        <v>42</v>
      </c>
      <c r="G663">
        <v>-215.45820000000001</v>
      </c>
      <c r="H663" s="1">
        <v>-2.8641370000000002E-6</v>
      </c>
      <c r="I663">
        <v>373.12439999999998</v>
      </c>
      <c r="J663">
        <v>-314.76760000000002</v>
      </c>
      <c r="K663">
        <v>1.0752409999999999</v>
      </c>
      <c r="L663">
        <v>368.03109999999998</v>
      </c>
      <c r="M663">
        <v>0.99973179999999995</v>
      </c>
      <c r="N663">
        <v>-2.2703910000000001E-2</v>
      </c>
      <c r="O663">
        <v>4.5782369999999998E-3</v>
      </c>
      <c r="P663">
        <v>0.99768369999999995</v>
      </c>
      <c r="Q663">
        <v>-1.241194E-2</v>
      </c>
      <c r="R663">
        <v>6.6883579999999998E-2</v>
      </c>
      <c r="S663">
        <v>2.9962460000000002</v>
      </c>
      <c r="T663">
        <v>-3.2423140000000003E-2</v>
      </c>
      <c r="U663">
        <v>0.15344240000000001</v>
      </c>
      <c r="V663">
        <v>-6.2315490000000001E-2</v>
      </c>
      <c r="W663">
        <v>1.024306E-2</v>
      </c>
      <c r="X663">
        <v>0.998004</v>
      </c>
      <c r="Y663">
        <v>-4.6562439999999997E-2</v>
      </c>
      <c r="Z663">
        <v>8.351856E-4</v>
      </c>
      <c r="AA663">
        <v>0.998915</v>
      </c>
      <c r="AB663">
        <v>31</v>
      </c>
      <c r="AC663">
        <v>99.309399999999997</v>
      </c>
      <c r="AD663">
        <v>-1.0752438641369999</v>
      </c>
      <c r="AE663">
        <v>5.0932999999999904</v>
      </c>
      <c r="AF663">
        <v>-4.6379251492001599</v>
      </c>
      <c r="AG663">
        <v>-1.0752438641369999</v>
      </c>
      <c r="AH663">
        <v>99.320070430385499</v>
      </c>
      <c r="AI663">
        <v>90.619587524240501</v>
      </c>
      <c r="AJ663">
        <v>92.673584867677206</v>
      </c>
      <c r="AK663">
        <v>99.434113308027705</v>
      </c>
      <c r="AL663">
        <v>89.413105666103505</v>
      </c>
      <c r="AM663">
        <v>93.572916868099995</v>
      </c>
      <c r="AN663">
        <v>1.0000000622940499</v>
      </c>
    </row>
    <row r="664" spans="1:40" x14ac:dyDescent="0.25">
      <c r="A664" t="str">
        <f>"20190305135208168"</f>
        <v>20190305135208168</v>
      </c>
      <c r="B664" t="str">
        <f>"1551765128160538"</f>
        <v>1551765128160538</v>
      </c>
      <c r="C664" t="s">
        <v>40</v>
      </c>
      <c r="D664">
        <v>4.4826240000000004</v>
      </c>
      <c r="E664">
        <v>0.50604099999999996</v>
      </c>
      <c r="F664" t="s">
        <v>42</v>
      </c>
      <c r="G664">
        <v>-217.24850000000001</v>
      </c>
      <c r="H664" s="1">
        <v>-2.066769E-6</v>
      </c>
      <c r="I664">
        <v>373.01420000000002</v>
      </c>
      <c r="J664">
        <v>-314.59359999999998</v>
      </c>
      <c r="K664">
        <v>1.0740259999999999</v>
      </c>
      <c r="L664">
        <v>368.03190000000001</v>
      </c>
      <c r="M664">
        <v>0.99974110000000005</v>
      </c>
      <c r="N664">
        <v>-2.2278869999999999E-2</v>
      </c>
      <c r="O664">
        <v>4.624736E-3</v>
      </c>
      <c r="P664">
        <v>0.99766469999999896</v>
      </c>
      <c r="Q664">
        <v>-1.2682789999999999E-2</v>
      </c>
      <c r="R664">
        <v>6.7114549999999995E-2</v>
      </c>
      <c r="S664">
        <v>2.9962770000000001</v>
      </c>
      <c r="T664">
        <v>-3.3036830000000003E-2</v>
      </c>
      <c r="U664">
        <v>0.15310670000000001</v>
      </c>
      <c r="V664">
        <v>-6.250008E-2</v>
      </c>
      <c r="W664">
        <v>9.5464369999999996E-3</v>
      </c>
      <c r="X664">
        <v>0.99799930000000003</v>
      </c>
      <c r="Y664">
        <v>-4.6403769999999997E-2</v>
      </c>
      <c r="Z664">
        <v>8.2503929999999995E-4</v>
      </c>
      <c r="AA664">
        <v>0.99892239999999999</v>
      </c>
      <c r="AB664">
        <v>31</v>
      </c>
      <c r="AC664">
        <v>97.345099999999903</v>
      </c>
      <c r="AD664">
        <v>-1.0740280667690001</v>
      </c>
      <c r="AE664">
        <v>4.9823000000000004</v>
      </c>
      <c r="AF664">
        <v>-4.5313893642860803</v>
      </c>
      <c r="AG664">
        <v>-1.0740280667690001</v>
      </c>
      <c r="AH664">
        <v>97.355285759168495</v>
      </c>
      <c r="AI664">
        <v>90.631380584753003</v>
      </c>
      <c r="AJ664">
        <v>92.664901427077794</v>
      </c>
      <c r="AK664">
        <v>97.466602952541294</v>
      </c>
      <c r="AL664">
        <v>89.453021141444694</v>
      </c>
      <c r="AM664">
        <v>93.583489802690906</v>
      </c>
      <c r="AN664">
        <v>0.99999999862994504</v>
      </c>
    </row>
    <row r="665" spans="1:40" x14ac:dyDescent="0.25">
      <c r="A665" t="str">
        <f>"20190305135208181"</f>
        <v>20190305135208181</v>
      </c>
      <c r="B665" t="str">
        <f>"1551765128170298"</f>
        <v>1551765128170298</v>
      </c>
      <c r="C665" t="s">
        <v>40</v>
      </c>
      <c r="D665">
        <v>4.4827589999999997</v>
      </c>
      <c r="E665">
        <v>0.50611579999999901</v>
      </c>
      <c r="F665" t="s">
        <v>42</v>
      </c>
      <c r="G665">
        <v>-220.61</v>
      </c>
      <c r="H665" s="1">
        <v>-4.6399369999999998E-6</v>
      </c>
      <c r="I665">
        <v>372.83819999999997</v>
      </c>
      <c r="J665">
        <v>-314.41419999999999</v>
      </c>
      <c r="K665">
        <v>1.072856</v>
      </c>
      <c r="L665">
        <v>368.03280000000001</v>
      </c>
      <c r="M665">
        <v>0.99975069999999999</v>
      </c>
      <c r="N665">
        <v>-2.1839339999999999E-2</v>
      </c>
      <c r="O665">
        <v>4.6767989999999997E-3</v>
      </c>
      <c r="P665">
        <v>0.99764339999999996</v>
      </c>
      <c r="Q665">
        <v>-1.3253330000000001E-2</v>
      </c>
      <c r="R665">
        <v>6.7323859999999999E-2</v>
      </c>
      <c r="S665">
        <v>2.9962770000000001</v>
      </c>
      <c r="T665">
        <v>-3.4240960000000001E-2</v>
      </c>
      <c r="U665">
        <v>0.153228799999999</v>
      </c>
      <c r="V665">
        <v>-6.2657679999999993E-2</v>
      </c>
      <c r="W665">
        <v>8.5346309999999904E-3</v>
      </c>
      <c r="X665">
        <v>0.99799859999999896</v>
      </c>
      <c r="Y665">
        <v>-4.6392049999999997E-2</v>
      </c>
      <c r="Z665">
        <v>8.206067E-4</v>
      </c>
      <c r="AA665">
        <v>0.99892289999999995</v>
      </c>
      <c r="AB665">
        <v>31</v>
      </c>
      <c r="AC665">
        <v>93.804199999999895</v>
      </c>
      <c r="AD665">
        <v>-1.072860639937</v>
      </c>
      <c r="AE665">
        <v>4.8053999999999597</v>
      </c>
      <c r="AF665">
        <v>-4.3659698190853398</v>
      </c>
      <c r="AG665">
        <v>-1.072860639937</v>
      </c>
      <c r="AH665">
        <v>93.813413246041506</v>
      </c>
      <c r="AI665">
        <v>90.654504012545402</v>
      </c>
      <c r="AJ665">
        <v>92.664557993156706</v>
      </c>
      <c r="AK665">
        <v>93.921079781306005</v>
      </c>
      <c r="AL665">
        <v>89.510995734801</v>
      </c>
      <c r="AM665">
        <v>93.592504797312202</v>
      </c>
      <c r="AN665">
        <v>1.0000000151956201</v>
      </c>
    </row>
    <row r="666" spans="1:40" x14ac:dyDescent="0.25">
      <c r="A666" t="str">
        <f>"20190305135208194"</f>
        <v>20190305135208194</v>
      </c>
      <c r="B666" t="str">
        <f>"1551765128189818"</f>
        <v>1551765128189818</v>
      </c>
      <c r="C666" t="s">
        <v>40</v>
      </c>
      <c r="D666">
        <v>4.5019819999999999</v>
      </c>
      <c r="E666">
        <v>0.50629619999999997</v>
      </c>
      <c r="F666" t="s">
        <v>42</v>
      </c>
      <c r="G666">
        <v>-225.94040000000001</v>
      </c>
      <c r="H666" s="1">
        <v>-2.5063730000000002E-6</v>
      </c>
      <c r="I666">
        <v>372.5573</v>
      </c>
      <c r="J666">
        <v>-314.23599999999999</v>
      </c>
      <c r="K666">
        <v>1.071766</v>
      </c>
      <c r="L666">
        <v>368.03379999999999</v>
      </c>
      <c r="M666">
        <v>0.99975970000000003</v>
      </c>
      <c r="N666">
        <v>-2.1409979999999999E-2</v>
      </c>
      <c r="O666">
        <v>4.7400740000000004E-3</v>
      </c>
      <c r="P666">
        <v>0.99763840000000004</v>
      </c>
      <c r="Q666">
        <v>-1.388168E-2</v>
      </c>
      <c r="R666">
        <v>6.726965E-2</v>
      </c>
      <c r="S666">
        <v>2.9962770000000001</v>
      </c>
      <c r="T666">
        <v>-3.633368E-2</v>
      </c>
      <c r="U666">
        <v>0.153228799999999</v>
      </c>
      <c r="V666">
        <v>-6.2540199999999893E-2</v>
      </c>
      <c r="W666">
        <v>7.476562E-3</v>
      </c>
      <c r="X666">
        <v>0.99801450000000003</v>
      </c>
      <c r="Y666">
        <v>-4.6328220000000003E-2</v>
      </c>
      <c r="Z666">
        <v>8.2107359999999995E-4</v>
      </c>
      <c r="AA666">
        <v>0.99892590000000003</v>
      </c>
      <c r="AB666">
        <v>31</v>
      </c>
      <c r="AC666">
        <v>88.295599999999894</v>
      </c>
      <c r="AD666">
        <v>-1.071768506373</v>
      </c>
      <c r="AE666">
        <v>4.5235000000000101</v>
      </c>
      <c r="AF666">
        <v>-4.1042224520525004</v>
      </c>
      <c r="AG666">
        <v>-1.071768506373</v>
      </c>
      <c r="AH666">
        <v>88.303077639060007</v>
      </c>
      <c r="AI666">
        <v>90.694636998590497</v>
      </c>
      <c r="AJ666">
        <v>92.661124808040199</v>
      </c>
      <c r="AK666">
        <v>88.404902862890197</v>
      </c>
      <c r="AL666">
        <v>89.571620586306494</v>
      </c>
      <c r="AM666">
        <v>93.585729643820102</v>
      </c>
      <c r="AN666">
        <v>1.00000005890281</v>
      </c>
    </row>
    <row r="667" spans="1:40" x14ac:dyDescent="0.25">
      <c r="A667" t="str">
        <f>"20190305135208210"</f>
        <v>20190305135208210</v>
      </c>
      <c r="B667" t="str">
        <f>"1551765128200553"</f>
        <v>1551765128200553</v>
      </c>
      <c r="C667" t="s">
        <v>40</v>
      </c>
      <c r="D667">
        <v>4.4997119999999997</v>
      </c>
      <c r="E667">
        <v>0.50639000000000001</v>
      </c>
      <c r="F667" t="s">
        <v>42</v>
      </c>
      <c r="G667">
        <v>-231.08150000000001</v>
      </c>
      <c r="H667" s="1">
        <v>-4.3738880000000003E-6</v>
      </c>
      <c r="I667">
        <v>372.24290000000002</v>
      </c>
      <c r="J667">
        <v>-314.01850000000002</v>
      </c>
      <c r="K667">
        <v>1.0705180000000001</v>
      </c>
      <c r="L667">
        <v>368.03489999999999</v>
      </c>
      <c r="M667">
        <v>0.99977000000000005</v>
      </c>
      <c r="N667">
        <v>-2.089715E-2</v>
      </c>
      <c r="O667">
        <v>4.8319590000000003E-3</v>
      </c>
      <c r="P667">
        <v>0.99766889999999997</v>
      </c>
      <c r="Q667">
        <v>-1.6464909999999999E-2</v>
      </c>
      <c r="R667">
        <v>6.6224229999999995E-2</v>
      </c>
      <c r="S667">
        <v>2.9963679999999999</v>
      </c>
      <c r="T667">
        <v>-3.8619880000000002E-2</v>
      </c>
      <c r="U667">
        <v>0.15167240000000001</v>
      </c>
      <c r="V667">
        <v>-6.1402480000000002E-2</v>
      </c>
      <c r="W667">
        <v>4.3805140000000003E-3</v>
      </c>
      <c r="X667">
        <v>0.99810350000000003</v>
      </c>
      <c r="Y667">
        <v>-4.5716800000000002E-2</v>
      </c>
      <c r="Z667">
        <v>8.1119639999999995E-4</v>
      </c>
      <c r="AA667">
        <v>0.99895409999999996</v>
      </c>
      <c r="AB667">
        <v>31</v>
      </c>
      <c r="AC667">
        <v>82.936999999999998</v>
      </c>
      <c r="AD667">
        <v>-1.0705223738879901</v>
      </c>
      <c r="AE667">
        <v>4.2080000000000197</v>
      </c>
      <c r="AF667">
        <v>-3.8064825983934698</v>
      </c>
      <c r="AG667">
        <v>-1.0705223738879901</v>
      </c>
      <c r="AH667">
        <v>82.942585311351706</v>
      </c>
      <c r="AI667">
        <v>90.738686024189093</v>
      </c>
      <c r="AJ667">
        <v>92.627630487322605</v>
      </c>
      <c r="AK667">
        <v>83.036785740150805</v>
      </c>
      <c r="AL667">
        <v>89.749014239302795</v>
      </c>
      <c r="AM667">
        <v>93.520351141415802</v>
      </c>
      <c r="AN667">
        <v>1.00000002508265</v>
      </c>
    </row>
    <row r="668" spans="1:40" x14ac:dyDescent="0.25">
      <c r="A668" t="str">
        <f>"20190305135208223"</f>
        <v>20190305135208223</v>
      </c>
      <c r="B668" t="str">
        <f>"1551765128210314"</f>
        <v>1551765128210314</v>
      </c>
      <c r="C668" t="s">
        <v>40</v>
      </c>
      <c r="D668">
        <v>4.4770019999999997</v>
      </c>
      <c r="E668">
        <v>0.50648549999999903</v>
      </c>
      <c r="F668" t="s">
        <v>42</v>
      </c>
      <c r="G668">
        <v>-245.1266</v>
      </c>
      <c r="H668" s="1">
        <v>-2.7673289999999999E-6</v>
      </c>
      <c r="I668">
        <v>371.43220000000002</v>
      </c>
      <c r="J668">
        <v>-313.83940000000001</v>
      </c>
      <c r="K668">
        <v>1.069572</v>
      </c>
      <c r="L668">
        <v>368.03579999999999</v>
      </c>
      <c r="M668">
        <v>0.99977800000000006</v>
      </c>
      <c r="N668">
        <v>-2.0487930000000001E-2</v>
      </c>
      <c r="O668">
        <v>4.9235590000000001E-3</v>
      </c>
      <c r="P668">
        <v>0.99769470000000005</v>
      </c>
      <c r="Q668">
        <v>-1.7365040000000002E-2</v>
      </c>
      <c r="R668">
        <v>6.5604319999999994E-2</v>
      </c>
      <c r="S668">
        <v>2.996429</v>
      </c>
      <c r="T668">
        <v>-4.6561959999999999E-2</v>
      </c>
      <c r="U668">
        <v>0.14776610000000001</v>
      </c>
      <c r="V668">
        <v>-6.069124E-2</v>
      </c>
      <c r="W668">
        <v>3.0706520000000001E-3</v>
      </c>
      <c r="X668">
        <v>0.99815180000000003</v>
      </c>
      <c r="Y668">
        <v>-4.4322670000000002E-2</v>
      </c>
      <c r="Z668">
        <v>8.2293899999999996E-4</v>
      </c>
      <c r="AA668">
        <v>0.99901689999999999</v>
      </c>
      <c r="AB668">
        <v>31</v>
      </c>
      <c r="AC668">
        <v>68.712800000000001</v>
      </c>
      <c r="AD668">
        <v>-1.0695747673289999</v>
      </c>
      <c r="AE668">
        <v>3.3964000000000198</v>
      </c>
      <c r="AF668">
        <v>-3.0572373199586602</v>
      </c>
      <c r="AG668">
        <v>-1.0695747673289999</v>
      </c>
      <c r="AH668">
        <v>68.712084567882599</v>
      </c>
      <c r="AI668">
        <v>90.890914852220007</v>
      </c>
      <c r="AJ668">
        <v>92.547606334327597</v>
      </c>
      <c r="AK668">
        <v>68.788380238797004</v>
      </c>
      <c r="AL668">
        <v>89.824064312249504</v>
      </c>
      <c r="AM668">
        <v>93.4795068616896</v>
      </c>
      <c r="AN668">
        <v>0.99999993567983902</v>
      </c>
    </row>
    <row r="669" spans="1:40" x14ac:dyDescent="0.25">
      <c r="A669" t="str">
        <f>"20190305135208235"</f>
        <v>20190305135208235</v>
      </c>
      <c r="B669" t="str">
        <f>"1551765128229834"</f>
        <v>1551765128229834</v>
      </c>
      <c r="C669" t="s">
        <v>40</v>
      </c>
      <c r="D669">
        <v>4.469595</v>
      </c>
      <c r="E669">
        <v>0.5066659</v>
      </c>
      <c r="F669" t="s">
        <v>42</v>
      </c>
      <c r="G669">
        <v>-249.06399999999999</v>
      </c>
      <c r="H669" s="1">
        <v>-8.3810769999999995E-7</v>
      </c>
      <c r="I669">
        <v>371.17660000000001</v>
      </c>
      <c r="J669">
        <v>-313.6703</v>
      </c>
      <c r="K669">
        <v>1.068762</v>
      </c>
      <c r="L669">
        <v>368.0367</v>
      </c>
      <c r="M669">
        <v>0.99978509999999998</v>
      </c>
      <c r="N669">
        <v>-2.012079E-2</v>
      </c>
      <c r="O669">
        <v>5.0276590000000003E-3</v>
      </c>
      <c r="P669">
        <v>0.99776140000000002</v>
      </c>
      <c r="Q669">
        <v>-1.810457E-2</v>
      </c>
      <c r="R669">
        <v>6.4382460000000002E-2</v>
      </c>
      <c r="S669">
        <v>2.996521</v>
      </c>
      <c r="T669">
        <v>-4.9478649999999999E-2</v>
      </c>
      <c r="U669">
        <v>0.14529420000000001</v>
      </c>
      <c r="V669">
        <v>-5.9365349999999997E-2</v>
      </c>
      <c r="W669">
        <v>1.964393E-3</v>
      </c>
      <c r="X669">
        <v>0.99823439999999997</v>
      </c>
      <c r="Y669">
        <v>-4.3394259999999997E-2</v>
      </c>
      <c r="Z669">
        <v>8.1311549999999995E-4</v>
      </c>
      <c r="AA669">
        <v>0.99905770000000005</v>
      </c>
      <c r="AB669">
        <v>31</v>
      </c>
      <c r="AC669">
        <v>64.606299999999905</v>
      </c>
      <c r="AD669">
        <v>-1.0687628381076999</v>
      </c>
      <c r="AE669">
        <v>3.1399000000000101</v>
      </c>
      <c r="AF669">
        <v>-2.81420781900664</v>
      </c>
      <c r="AG669">
        <v>-1.0687628381076999</v>
      </c>
      <c r="AH669">
        <v>64.603634830125003</v>
      </c>
      <c r="AI669">
        <v>90.946881913406898</v>
      </c>
      <c r="AJ669">
        <v>92.494292425955194</v>
      </c>
      <c r="AK669">
        <v>64.673732325549494</v>
      </c>
      <c r="AL669">
        <v>89.887448500588206</v>
      </c>
      <c r="AM669">
        <v>93.403391603012196</v>
      </c>
      <c r="AN669">
        <v>1.00000001048192</v>
      </c>
    </row>
    <row r="670" spans="1:40" x14ac:dyDescent="0.25">
      <c r="A670" t="str">
        <f>"20190305135208248"</f>
        <v>20190305135208248</v>
      </c>
      <c r="B670" t="str">
        <f>"1551765128240570"</f>
        <v>1551765128240570</v>
      </c>
      <c r="C670" t="s">
        <v>40</v>
      </c>
      <c r="D670">
        <v>4.4813839999999896</v>
      </c>
      <c r="E670">
        <v>0.50676339999999997</v>
      </c>
      <c r="F670" t="s">
        <v>42</v>
      </c>
      <c r="G670">
        <v>-252.1285</v>
      </c>
      <c r="H670" s="1">
        <v>-3.7034419999999999E-6</v>
      </c>
      <c r="I670">
        <v>370.91019999999997</v>
      </c>
      <c r="J670">
        <v>-313.4923</v>
      </c>
      <c r="K670">
        <v>1.0679540000000001</v>
      </c>
      <c r="L670">
        <v>368.03769999999997</v>
      </c>
      <c r="M670">
        <v>0.99979189999999996</v>
      </c>
      <c r="N670">
        <v>-1.9745140000000001E-2</v>
      </c>
      <c r="O670">
        <v>5.1472439999999996E-3</v>
      </c>
      <c r="P670">
        <v>0.99783279999999996</v>
      </c>
      <c r="Q670">
        <v>-1.8485129999999999E-2</v>
      </c>
      <c r="R670">
        <v>6.3153619999999994E-2</v>
      </c>
      <c r="S670">
        <v>2.9967649999999999</v>
      </c>
      <c r="T670">
        <v>-5.2043199999999998E-2</v>
      </c>
      <c r="U670">
        <v>0.13992309999999999</v>
      </c>
      <c r="V670">
        <v>-5.8016390000000001E-2</v>
      </c>
      <c r="W670">
        <v>1.208607E-3</v>
      </c>
      <c r="X670">
        <v>0.99831490000000001</v>
      </c>
      <c r="Y670">
        <v>-4.148396E-2</v>
      </c>
      <c r="Z670">
        <v>7.821347E-4</v>
      </c>
      <c r="AA670">
        <v>0.99913890000000005</v>
      </c>
      <c r="AB670">
        <v>31</v>
      </c>
      <c r="AC670">
        <v>61.363799999999998</v>
      </c>
      <c r="AD670">
        <v>-1.067957703442</v>
      </c>
      <c r="AE670">
        <v>2.8725000000000001</v>
      </c>
      <c r="AF670">
        <v>-2.5557735017528</v>
      </c>
      <c r="AG670">
        <v>-1.067957703442</v>
      </c>
      <c r="AH670">
        <v>61.359230722590297</v>
      </c>
      <c r="AI670">
        <v>90.996268949901093</v>
      </c>
      <c r="AJ670">
        <v>92.385141338019693</v>
      </c>
      <c r="AK670">
        <v>61.421720154328703</v>
      </c>
      <c r="AL670">
        <v>89.930751903013601</v>
      </c>
      <c r="AM670">
        <v>93.325964310963599</v>
      </c>
      <c r="AN670">
        <v>1.0000000009007599</v>
      </c>
    </row>
    <row r="671" spans="1:40" x14ac:dyDescent="0.25">
      <c r="A671" t="str">
        <f>"20190305135208260"</f>
        <v>20190305135208260</v>
      </c>
      <c r="B671" t="str">
        <f>"1551765128250331"</f>
        <v>1551765128250331</v>
      </c>
      <c r="C671" t="s">
        <v>40</v>
      </c>
      <c r="D671">
        <v>4.4643030000000001</v>
      </c>
      <c r="E671">
        <v>0.50686169999999997</v>
      </c>
      <c r="F671" t="s">
        <v>42</v>
      </c>
      <c r="G671">
        <v>-253.33269999999999</v>
      </c>
      <c r="H671" s="1">
        <v>-3.1472020000000002E-6</v>
      </c>
      <c r="I671">
        <v>370.76130000000001</v>
      </c>
      <c r="J671">
        <v>-313.33370000000002</v>
      </c>
      <c r="K671">
        <v>1.0673029999999999</v>
      </c>
      <c r="L671">
        <v>368.03870000000001</v>
      </c>
      <c r="M671">
        <v>0.9997973</v>
      </c>
      <c r="N671">
        <v>-1.9427860000000002E-2</v>
      </c>
      <c r="O671">
        <v>5.2692349999999997E-3</v>
      </c>
      <c r="P671">
        <v>0.99790369999999995</v>
      </c>
      <c r="Q671">
        <v>-1.8852649999999999E-2</v>
      </c>
      <c r="R671">
        <v>6.1909739999999998E-2</v>
      </c>
      <c r="S671">
        <v>2.9969790000000001</v>
      </c>
      <c r="T671">
        <v>-5.3202510000000001E-2</v>
      </c>
      <c r="U671">
        <v>0.1356812</v>
      </c>
      <c r="V671">
        <v>-5.6650150000000003E-2</v>
      </c>
      <c r="W671">
        <v>5.2434599999999997E-4</v>
      </c>
      <c r="X671">
        <v>0.998394</v>
      </c>
      <c r="Y671">
        <v>-3.9947690000000001E-2</v>
      </c>
      <c r="Z671">
        <v>7.5156559999999895E-4</v>
      </c>
      <c r="AA671">
        <v>0.99920149999999996</v>
      </c>
      <c r="AB671">
        <v>31</v>
      </c>
      <c r="AC671">
        <v>60.000999999999998</v>
      </c>
      <c r="AD671">
        <v>-1.067306147202</v>
      </c>
      <c r="AE671">
        <v>2.7225999999999999</v>
      </c>
      <c r="AF671">
        <v>-2.4055835074157002</v>
      </c>
      <c r="AG671">
        <v>-1.067306147202</v>
      </c>
      <c r="AH671">
        <v>59.995570783052599</v>
      </c>
      <c r="AI671">
        <v>91.018351936951802</v>
      </c>
      <c r="AJ671">
        <v>92.296102679879695</v>
      </c>
      <c r="AK671">
        <v>60.053263758161201</v>
      </c>
      <c r="AL671">
        <v>89.969957187225802</v>
      </c>
      <c r="AM671">
        <v>93.2475534097901</v>
      </c>
      <c r="AN671">
        <v>1.00000004683487</v>
      </c>
    </row>
    <row r="672" spans="1:40" x14ac:dyDescent="0.25">
      <c r="A672" t="str">
        <f>"20190305135208271"</f>
        <v>20190305135208271</v>
      </c>
      <c r="B672" t="str">
        <f>"1551765128260091"</f>
        <v>1551765128260091</v>
      </c>
      <c r="C672" t="s">
        <v>40</v>
      </c>
      <c r="D672">
        <v>4.4884449999999996</v>
      </c>
      <c r="E672">
        <v>0.50695950000000001</v>
      </c>
      <c r="F672" t="s">
        <v>42</v>
      </c>
      <c r="G672">
        <v>-254.4606</v>
      </c>
      <c r="H672" s="1">
        <v>-2.6238460000000002E-6</v>
      </c>
      <c r="I672">
        <v>370.61279999999999</v>
      </c>
      <c r="J672">
        <v>-313.18290000000002</v>
      </c>
      <c r="K672">
        <v>1.066724</v>
      </c>
      <c r="L672">
        <v>368.03960000000001</v>
      </c>
      <c r="M672">
        <v>0.99980239999999998</v>
      </c>
      <c r="N672">
        <v>-1.9139050000000001E-2</v>
      </c>
      <c r="O672">
        <v>5.3950630000000003E-3</v>
      </c>
      <c r="P672">
        <v>0.99798379999999998</v>
      </c>
      <c r="Q672">
        <v>-1.875485E-2</v>
      </c>
      <c r="R672">
        <v>6.0637650000000001E-2</v>
      </c>
      <c r="S672">
        <v>2.9971009999999998</v>
      </c>
      <c r="T672">
        <v>-5.433404E-2</v>
      </c>
      <c r="U672">
        <v>0.13104250000000001</v>
      </c>
      <c r="V672">
        <v>-5.5251880000000003E-2</v>
      </c>
      <c r="W672">
        <v>3.3313430000000001E-4</v>
      </c>
      <c r="X672">
        <v>0.99847240000000004</v>
      </c>
      <c r="Y672">
        <v>-3.8276890000000001E-2</v>
      </c>
      <c r="Z672">
        <v>7.1879829999999998E-4</v>
      </c>
      <c r="AA672">
        <v>0.99926689999999996</v>
      </c>
      <c r="AB672">
        <v>31</v>
      </c>
      <c r="AC672">
        <v>58.722299999999997</v>
      </c>
      <c r="AD672">
        <v>-1.066726623846</v>
      </c>
      <c r="AE672">
        <v>2.5731999999999799</v>
      </c>
      <c r="AF672">
        <v>-2.25555114669412</v>
      </c>
      <c r="AG672">
        <v>-1.066726623846</v>
      </c>
      <c r="AH672">
        <v>58.715991663370701</v>
      </c>
      <c r="AI672">
        <v>91.040043391882904</v>
      </c>
      <c r="AJ672">
        <v>92.199912571799501</v>
      </c>
      <c r="AK672">
        <v>58.768980709881198</v>
      </c>
      <c r="AL672">
        <v>89.980912810386997</v>
      </c>
      <c r="AM672">
        <v>93.167312595593003</v>
      </c>
      <c r="AN672">
        <v>1.00000000739187</v>
      </c>
    </row>
    <row r="673" spans="1:40" x14ac:dyDescent="0.25">
      <c r="A673" t="str">
        <f>"20190305135208284"</f>
        <v>20190305135208284</v>
      </c>
      <c r="B673" t="str">
        <f>"1551765128280585"</f>
        <v>1551765128280585</v>
      </c>
      <c r="C673" t="s">
        <v>40</v>
      </c>
      <c r="D673">
        <v>4.4643610000000002</v>
      </c>
      <c r="E673">
        <v>0.50712889999999999</v>
      </c>
      <c r="F673" t="s">
        <v>42</v>
      </c>
      <c r="G673">
        <v>-253.91030000000001</v>
      </c>
      <c r="H673" s="1">
        <v>-2.8422719999999999E-6</v>
      </c>
      <c r="I673">
        <v>370.54640000000001</v>
      </c>
      <c r="J673">
        <v>-313.01010000000002</v>
      </c>
      <c r="K673">
        <v>1.0661020000000001</v>
      </c>
      <c r="L673">
        <v>368.04070000000002</v>
      </c>
      <c r="M673">
        <v>0.99980769999999997</v>
      </c>
      <c r="N673">
        <v>-1.882E-2</v>
      </c>
      <c r="O673">
        <v>5.5484180000000003E-3</v>
      </c>
      <c r="P673">
        <v>0.99801839999999997</v>
      </c>
      <c r="Q673">
        <v>-1.9270550000000001E-2</v>
      </c>
      <c r="R673">
        <v>5.990272E-2</v>
      </c>
      <c r="S673">
        <v>2.9973450000000001</v>
      </c>
      <c r="T673">
        <v>-5.3943039999999998E-2</v>
      </c>
      <c r="U673">
        <v>0.12676999999999999</v>
      </c>
      <c r="V673">
        <v>-5.4363439999999999E-2</v>
      </c>
      <c r="W673">
        <v>-5.0249490000000001E-4</v>
      </c>
      <c r="X673">
        <v>0.99852110000000005</v>
      </c>
      <c r="Y673">
        <v>-3.6699089999999997E-2</v>
      </c>
      <c r="Z673">
        <v>6.80231E-4</v>
      </c>
      <c r="AA673">
        <v>0.99932609999999999</v>
      </c>
      <c r="AB673">
        <v>30</v>
      </c>
      <c r="AC673">
        <v>59.099800000000002</v>
      </c>
      <c r="AD673">
        <v>-1.0661048422720001</v>
      </c>
      <c r="AE673">
        <v>2.5056999999999898</v>
      </c>
      <c r="AF673">
        <v>-2.1769858670631002</v>
      </c>
      <c r="AG673">
        <v>-1.0661048422720001</v>
      </c>
      <c r="AH673">
        <v>59.0936001025484</v>
      </c>
      <c r="AI673">
        <v>91.032857837124695</v>
      </c>
      <c r="AJ673">
        <v>92.109800737889799</v>
      </c>
      <c r="AK673">
        <v>59.143295647774202</v>
      </c>
      <c r="AL673">
        <v>90.0287908378737</v>
      </c>
      <c r="AM673">
        <v>93.116332309392902</v>
      </c>
      <c r="AN673">
        <v>1.0000000116274801</v>
      </c>
    </row>
    <row r="674" spans="1:40" x14ac:dyDescent="0.25">
      <c r="A674" t="str">
        <f>"20190305135208299"</f>
        <v>20190305135208299</v>
      </c>
      <c r="B674" t="str">
        <f>"1551765128290346"</f>
        <v>1551765128290346</v>
      </c>
      <c r="C674" t="s">
        <v>40</v>
      </c>
      <c r="D674">
        <v>4.4886210000000002</v>
      </c>
      <c r="E674">
        <v>0.50720290000000001</v>
      </c>
      <c r="F674" t="s">
        <v>42</v>
      </c>
      <c r="G674">
        <v>-255.03440000000001</v>
      </c>
      <c r="H674" s="1">
        <v>-2.3252490000000001E-6</v>
      </c>
      <c r="I674">
        <v>370.41579999999999</v>
      </c>
      <c r="J674">
        <v>-312.80529999999999</v>
      </c>
      <c r="K674">
        <v>1.0654490000000001</v>
      </c>
      <c r="L674">
        <v>368.04199999999997</v>
      </c>
      <c r="M674">
        <v>0.99981299999999995</v>
      </c>
      <c r="N674">
        <v>-1.8471029999999999E-2</v>
      </c>
      <c r="O674">
        <v>5.7500700000000004E-3</v>
      </c>
      <c r="P674">
        <v>0.99810080000000001</v>
      </c>
      <c r="Q674">
        <v>-1.9574709999999999E-2</v>
      </c>
      <c r="R674">
        <v>5.8413020000000003E-2</v>
      </c>
      <c r="S674">
        <v>2.997528</v>
      </c>
      <c r="T674">
        <v>-5.512094E-2</v>
      </c>
      <c r="U674">
        <v>0.1228027</v>
      </c>
      <c r="V674">
        <v>-5.2671629999999997E-2</v>
      </c>
      <c r="W674">
        <v>-1.1555409999999999E-3</v>
      </c>
      <c r="X674">
        <v>0.99861120000000003</v>
      </c>
      <c r="Y674">
        <v>-3.5174850000000001E-2</v>
      </c>
      <c r="Z674">
        <v>6.4882329999999997E-4</v>
      </c>
      <c r="AA674">
        <v>0.99938090000000002</v>
      </c>
      <c r="AB674">
        <v>30</v>
      </c>
      <c r="AC674">
        <v>57.770899999999898</v>
      </c>
      <c r="AD674">
        <v>-1.0654513252490001</v>
      </c>
      <c r="AE674">
        <v>2.3738000000000099</v>
      </c>
      <c r="AF674">
        <v>-2.0408244064818502</v>
      </c>
      <c r="AG674">
        <v>-1.0654513252490001</v>
      </c>
      <c r="AH674">
        <v>57.763982132526998</v>
      </c>
      <c r="AI674">
        <v>91.056036810363395</v>
      </c>
      <c r="AJ674">
        <v>92.023440990976795</v>
      </c>
      <c r="AK674">
        <v>57.809841572101398</v>
      </c>
      <c r="AL674">
        <v>90.066207638258803</v>
      </c>
      <c r="AM674">
        <v>93.019261324537098</v>
      </c>
      <c r="AN674">
        <v>0.99999998232364895</v>
      </c>
    </row>
    <row r="675" spans="1:40" x14ac:dyDescent="0.25">
      <c r="A675" t="str">
        <f>"20190305135208311"</f>
        <v>20190305135208311</v>
      </c>
      <c r="B675" t="str">
        <f>"1551765128300106"</f>
        <v>1551765128300106</v>
      </c>
      <c r="C675" t="s">
        <v>40</v>
      </c>
      <c r="D675">
        <v>4.4715470000000002</v>
      </c>
      <c r="E675">
        <v>0.50726510000000002</v>
      </c>
      <c r="F675" t="s">
        <v>42</v>
      </c>
      <c r="G675">
        <v>-255.453</v>
      </c>
      <c r="H675" s="1">
        <v>-2.114191E-6</v>
      </c>
      <c r="I675">
        <v>370.29750000000001</v>
      </c>
      <c r="J675">
        <v>-312.63600000000002</v>
      </c>
      <c r="K675">
        <v>1.064948</v>
      </c>
      <c r="L675">
        <v>368.04320000000001</v>
      </c>
      <c r="M675">
        <v>0.99981699999999996</v>
      </c>
      <c r="N675">
        <v>-1.81972E-2</v>
      </c>
      <c r="O675">
        <v>5.9253550000000002E-3</v>
      </c>
      <c r="P675">
        <v>0.99809999999999999</v>
      </c>
      <c r="Q675">
        <v>-1.9916400000000001E-2</v>
      </c>
      <c r="R675">
        <v>5.8309380000000001E-2</v>
      </c>
      <c r="S675">
        <v>2.9977109999999998</v>
      </c>
      <c r="T675">
        <v>-5.5689330000000002E-2</v>
      </c>
      <c r="U675">
        <v>0.11788940000000001</v>
      </c>
      <c r="V675">
        <v>-5.2393019999999998E-2</v>
      </c>
      <c r="W675">
        <v>-1.772444E-3</v>
      </c>
      <c r="X675">
        <v>0.99862499999999998</v>
      </c>
      <c r="Y675">
        <v>-3.3362259999999998E-2</v>
      </c>
      <c r="Z675">
        <v>6.11262E-4</v>
      </c>
      <c r="AA675">
        <v>0.99944310000000003</v>
      </c>
      <c r="AB675">
        <v>30</v>
      </c>
      <c r="AC675">
        <v>57.1829999999999</v>
      </c>
      <c r="AD675">
        <v>-1.0649501141910001</v>
      </c>
      <c r="AE675">
        <v>2.2543000000000002</v>
      </c>
      <c r="AF675">
        <v>-1.9147117104078499</v>
      </c>
      <c r="AG675">
        <v>-1.0649501141910001</v>
      </c>
      <c r="AH675">
        <v>57.175555762498902</v>
      </c>
      <c r="AI675">
        <v>91.066468313460504</v>
      </c>
      <c r="AJ675">
        <v>91.918021014515105</v>
      </c>
      <c r="AK675">
        <v>57.217518439987501</v>
      </c>
      <c r="AL675">
        <v>90.1015536107125</v>
      </c>
      <c r="AM675">
        <v>93.003278634789993</v>
      </c>
      <c r="AN675">
        <v>1.00000003036372</v>
      </c>
    </row>
    <row r="676" spans="1:40" x14ac:dyDescent="0.25">
      <c r="A676" t="str">
        <f>"20190305135208322"</f>
        <v>20190305135208322</v>
      </c>
      <c r="B676" t="str">
        <f>"1551765128309866"</f>
        <v>1551765128309866</v>
      </c>
      <c r="C676" t="s">
        <v>40</v>
      </c>
      <c r="D676">
        <v>4.4659190000000004</v>
      </c>
      <c r="E676">
        <v>0.50731419999999905</v>
      </c>
      <c r="F676" t="s">
        <v>42</v>
      </c>
      <c r="G676">
        <v>-256.1764</v>
      </c>
      <c r="H676" s="1">
        <v>-1.7906850000000001E-6</v>
      </c>
      <c r="I676">
        <v>370.24799999999999</v>
      </c>
      <c r="J676">
        <v>-312.48289999999997</v>
      </c>
      <c r="K676">
        <v>1.064527</v>
      </c>
      <c r="L676">
        <v>368.04419999999999</v>
      </c>
      <c r="M676">
        <v>0.9998203</v>
      </c>
      <c r="N676">
        <v>-1.796058E-2</v>
      </c>
      <c r="O676">
        <v>6.0893619999999897E-3</v>
      </c>
      <c r="P676">
        <v>0.99808969999999997</v>
      </c>
      <c r="Q676">
        <v>-2.0375799999999999E-2</v>
      </c>
      <c r="R676">
        <v>5.8326049999999997E-2</v>
      </c>
      <c r="S676">
        <v>2.9977420000000001</v>
      </c>
      <c r="T676">
        <v>-5.6543830000000003E-2</v>
      </c>
      <c r="U676">
        <v>0.1170654</v>
      </c>
      <c r="V676">
        <v>-5.2244859999999997E-2</v>
      </c>
      <c r="W676">
        <v>-2.4697539999999998E-3</v>
      </c>
      <c r="X676">
        <v>0.99863120000000005</v>
      </c>
      <c r="Y676">
        <v>-3.2923609999999999E-2</v>
      </c>
      <c r="Z676">
        <v>6.007489E-4</v>
      </c>
      <c r="AA676">
        <v>0.9994577</v>
      </c>
      <c r="AB676">
        <v>30</v>
      </c>
      <c r="AC676">
        <v>56.3064999999999</v>
      </c>
      <c r="AD676">
        <v>-1.0645287906850001</v>
      </c>
      <c r="AE676">
        <v>2.2038000000000499</v>
      </c>
      <c r="AF676">
        <v>-1.8601693276915501</v>
      </c>
      <c r="AG676">
        <v>-1.0645287906850001</v>
      </c>
      <c r="AH676">
        <v>56.298785212429003</v>
      </c>
      <c r="AI676">
        <v>91.082660753687705</v>
      </c>
      <c r="AJ676">
        <v>91.892422579103595</v>
      </c>
      <c r="AK676">
        <v>56.339565740863598</v>
      </c>
      <c r="AL676">
        <v>90.141506631661102</v>
      </c>
      <c r="AM676">
        <v>92.994782713160205</v>
      </c>
      <c r="AN676">
        <v>0.99999994934733805</v>
      </c>
    </row>
    <row r="677" spans="1:40" x14ac:dyDescent="0.25">
      <c r="A677" t="str">
        <f>"20190305135208334"</f>
        <v>20190305135208334</v>
      </c>
      <c r="B677" t="str">
        <f>"1551765128330362"</f>
        <v>1551765128330362</v>
      </c>
      <c r="C677" t="s">
        <v>40</v>
      </c>
      <c r="D677">
        <v>4.509099</v>
      </c>
      <c r="E677">
        <v>0.50741309999999995</v>
      </c>
      <c r="F677" t="s">
        <v>42</v>
      </c>
      <c r="G677">
        <v>-257.28030000000001</v>
      </c>
      <c r="H677" s="1">
        <v>-1.3031240000000001E-6</v>
      </c>
      <c r="I677">
        <v>370.19540000000001</v>
      </c>
      <c r="J677">
        <v>-312.33449999999999</v>
      </c>
      <c r="K677">
        <v>1.0641609999999999</v>
      </c>
      <c r="L677">
        <v>368.0453</v>
      </c>
      <c r="M677">
        <v>0.99982309999999996</v>
      </c>
      <c r="N677">
        <v>-1.7747780000000001E-2</v>
      </c>
      <c r="O677">
        <v>6.2559740000000001E-3</v>
      </c>
      <c r="P677">
        <v>0.99807670000000004</v>
      </c>
      <c r="Q677">
        <v>-2.0717289999999999E-2</v>
      </c>
      <c r="R677">
        <v>5.842874E-2</v>
      </c>
      <c r="S677">
        <v>2.9977420000000001</v>
      </c>
      <c r="T677">
        <v>-5.7808520000000002E-2</v>
      </c>
      <c r="U677">
        <v>0.1168213</v>
      </c>
      <c r="V677">
        <v>-5.2180959999999998E-2</v>
      </c>
      <c r="W677">
        <v>-3.025022E-3</v>
      </c>
      <c r="X677">
        <v>0.99863310000000005</v>
      </c>
      <c r="Y677">
        <v>-3.2675589999999997E-2</v>
      </c>
      <c r="Z677">
        <v>5.9547389999999999E-4</v>
      </c>
      <c r="AA677">
        <v>0.99946579999999996</v>
      </c>
      <c r="AB677">
        <v>30</v>
      </c>
      <c r="AC677">
        <v>55.054199999999902</v>
      </c>
      <c r="AD677">
        <v>-1.064162303124</v>
      </c>
      <c r="AE677">
        <v>2.1501000000000001</v>
      </c>
      <c r="AF677">
        <v>-1.8049127411616801</v>
      </c>
      <c r="AG677">
        <v>-1.064162303124</v>
      </c>
      <c r="AH677">
        <v>55.046040199008601</v>
      </c>
      <c r="AI677">
        <v>91.1069220719898</v>
      </c>
      <c r="AJ677">
        <v>91.878006935875504</v>
      </c>
      <c r="AK677">
        <v>55.085902851832003</v>
      </c>
      <c r="AL677">
        <v>90.173321251652894</v>
      </c>
      <c r="AM677">
        <v>92.991120808841899</v>
      </c>
      <c r="AN677">
        <v>1.00000003588011</v>
      </c>
    </row>
    <row r="678" spans="1:40" x14ac:dyDescent="0.25">
      <c r="A678" t="str">
        <f>"20190305135208346"</f>
        <v>20190305135208346</v>
      </c>
      <c r="B678" t="str">
        <f>"1551765128340122"</f>
        <v>1551765128340122</v>
      </c>
      <c r="C678" t="s">
        <v>40</v>
      </c>
      <c r="D678">
        <v>4.5190539999999997</v>
      </c>
      <c r="E678">
        <v>0.50745429999999903</v>
      </c>
      <c r="F678" t="s">
        <v>42</v>
      </c>
      <c r="G678">
        <v>-257.23079999999999</v>
      </c>
      <c r="H678" s="1">
        <v>-1.320365E-6</v>
      </c>
      <c r="I678">
        <v>370.18020000000001</v>
      </c>
      <c r="J678">
        <v>-312.1678</v>
      </c>
      <c r="K678">
        <v>1.063768</v>
      </c>
      <c r="L678">
        <v>368.04649999999998</v>
      </c>
      <c r="M678">
        <v>0.99982599999999999</v>
      </c>
      <c r="N678">
        <v>-1.751513E-2</v>
      </c>
      <c r="O678">
        <v>6.4460319999999896E-3</v>
      </c>
      <c r="P678">
        <v>0.99806989999999995</v>
      </c>
      <c r="Q678">
        <v>-2.0716780000000001E-2</v>
      </c>
      <c r="R678">
        <v>5.8543440000000002E-2</v>
      </c>
      <c r="S678">
        <v>2.9977719999999999</v>
      </c>
      <c r="T678">
        <v>-5.7892800000000001E-2</v>
      </c>
      <c r="U678">
        <v>0.1161499</v>
      </c>
      <c r="V678">
        <v>-5.2105220000000001E-2</v>
      </c>
      <c r="W678">
        <v>-3.2580040000000001E-3</v>
      </c>
      <c r="X678">
        <v>0.99863630000000003</v>
      </c>
      <c r="Y678">
        <v>-3.2261909999999998E-2</v>
      </c>
      <c r="Z678">
        <v>5.8253769999999996E-4</v>
      </c>
      <c r="AA678">
        <v>0.99947929999999996</v>
      </c>
      <c r="AB678">
        <v>30</v>
      </c>
      <c r="AC678">
        <v>54.936999999999998</v>
      </c>
      <c r="AD678">
        <v>-1.063769320365</v>
      </c>
      <c r="AE678">
        <v>2.1337000000000299</v>
      </c>
      <c r="AF678">
        <v>-1.77880978175795</v>
      </c>
      <c r="AG678">
        <v>-1.063769320365</v>
      </c>
      <c r="AH678">
        <v>54.929050059388601</v>
      </c>
      <c r="AI678">
        <v>91.108884138766399</v>
      </c>
      <c r="AJ678">
        <v>91.854805204368603</v>
      </c>
      <c r="AK678">
        <v>54.968139042844101</v>
      </c>
      <c r="AL678">
        <v>90.186670206441804</v>
      </c>
      <c r="AM678">
        <v>92.986777548370597</v>
      </c>
      <c r="AN678">
        <v>1.0000000141095</v>
      </c>
    </row>
    <row r="679" spans="1:40" x14ac:dyDescent="0.25">
      <c r="A679" t="str">
        <f>"20190305135208358"</f>
        <v>20190305135208358</v>
      </c>
      <c r="B679" t="str">
        <f>"1551765128349883"</f>
        <v>1551765128349883</v>
      </c>
      <c r="C679" t="s">
        <v>40</v>
      </c>
      <c r="D679">
        <v>4.5149460000000001</v>
      </c>
      <c r="E679">
        <v>0.50750740000000005</v>
      </c>
      <c r="F679" t="s">
        <v>42</v>
      </c>
      <c r="G679">
        <v>-256.64159999999998</v>
      </c>
      <c r="H679" s="1">
        <v>-1.5800459999999999E-6</v>
      </c>
      <c r="I679">
        <v>370.2063</v>
      </c>
      <c r="J679">
        <v>-311.99419999999998</v>
      </c>
      <c r="K679">
        <v>1.0634049999999999</v>
      </c>
      <c r="L679">
        <v>368.0478</v>
      </c>
      <c r="M679">
        <v>0.99982850000000001</v>
      </c>
      <c r="N679">
        <v>-1.729406E-2</v>
      </c>
      <c r="O679">
        <v>6.650141E-3</v>
      </c>
      <c r="P679">
        <v>0.99805049999999995</v>
      </c>
      <c r="Q679">
        <v>-2.0219870000000001E-2</v>
      </c>
      <c r="R679">
        <v>5.9049669999999999E-2</v>
      </c>
      <c r="S679">
        <v>2.9977420000000001</v>
      </c>
      <c r="T679">
        <v>-5.7430620000000002E-2</v>
      </c>
      <c r="U679">
        <v>0.11660769999999999</v>
      </c>
      <c r="V679">
        <v>-5.2408589999999998E-2</v>
      </c>
      <c r="W679">
        <v>-2.9831139999999998E-3</v>
      </c>
      <c r="X679">
        <v>0.99862130000000005</v>
      </c>
      <c r="Y679">
        <v>-3.2210919999999997E-2</v>
      </c>
      <c r="Z679">
        <v>5.7474410000000001E-4</v>
      </c>
      <c r="AA679">
        <v>0.99948090000000001</v>
      </c>
      <c r="AB679">
        <v>30</v>
      </c>
      <c r="AC679">
        <v>55.352600000000002</v>
      </c>
      <c r="AD679">
        <v>-1.063406580046</v>
      </c>
      <c r="AE679">
        <v>2.1585000000000001</v>
      </c>
      <c r="AF679">
        <v>-1.7896351455086199</v>
      </c>
      <c r="AG679">
        <v>-1.063406580046</v>
      </c>
      <c r="AH679">
        <v>55.345336186006698</v>
      </c>
      <c r="AI679">
        <v>91.100172119421401</v>
      </c>
      <c r="AJ679">
        <v>91.8520589441125</v>
      </c>
      <c r="AK679">
        <v>55.384473140498798</v>
      </c>
      <c r="AL679">
        <v>90.170920090373897</v>
      </c>
      <c r="AM679">
        <v>93.004180615847702</v>
      </c>
      <c r="AN679">
        <v>1.0000000300442999</v>
      </c>
    </row>
    <row r="680" spans="1:40" x14ac:dyDescent="0.25">
      <c r="A680" t="str">
        <f>"20190305135208373"</f>
        <v>20190305135208373</v>
      </c>
      <c r="B680" t="str">
        <f>"1551765128360618"</f>
        <v>1551765128360618</v>
      </c>
      <c r="C680" t="s">
        <v>40</v>
      </c>
      <c r="D680">
        <v>4.503152</v>
      </c>
      <c r="E680">
        <v>0.50754140000000003</v>
      </c>
      <c r="F680" t="s">
        <v>42</v>
      </c>
      <c r="G680">
        <v>-254.57900000000001</v>
      </c>
      <c r="H680" s="1">
        <v>-2.4897730000000002E-6</v>
      </c>
      <c r="I680">
        <v>370.2998</v>
      </c>
      <c r="J680">
        <v>-311.81099999999998</v>
      </c>
      <c r="K680">
        <v>1.0630520000000001</v>
      </c>
      <c r="L680">
        <v>368.04919999999998</v>
      </c>
      <c r="M680">
        <v>0.99983069999999996</v>
      </c>
      <c r="N680">
        <v>-1.7072799999999999E-2</v>
      </c>
      <c r="O680">
        <v>6.8683219999999996E-3</v>
      </c>
      <c r="P680">
        <v>0.99803869999999895</v>
      </c>
      <c r="Q680">
        <v>-1.9747959999999998E-2</v>
      </c>
      <c r="R680">
        <v>5.940438E-2</v>
      </c>
      <c r="S680">
        <v>2.9978030000000002</v>
      </c>
      <c r="T680">
        <v>-5.5523280000000001E-2</v>
      </c>
      <c r="U680">
        <v>0.1175842</v>
      </c>
      <c r="V680">
        <v>-5.2545290000000001E-2</v>
      </c>
      <c r="W680">
        <v>-2.7329910000000002E-3</v>
      </c>
      <c r="X680">
        <v>0.99861480000000002</v>
      </c>
      <c r="Y680">
        <v>-3.2317720000000001E-2</v>
      </c>
      <c r="Z680">
        <v>5.6527469999999996E-4</v>
      </c>
      <c r="AA680">
        <v>0.99947750000000002</v>
      </c>
      <c r="AB680">
        <v>30</v>
      </c>
      <c r="AC680">
        <v>57.2319999999999</v>
      </c>
      <c r="AD680">
        <v>-1.0630544897730001</v>
      </c>
      <c r="AE680">
        <v>2.2506000000000199</v>
      </c>
      <c r="AF680">
        <v>-1.8567621948677799</v>
      </c>
      <c r="AG680">
        <v>-1.0630544897730001</v>
      </c>
      <c r="AH680">
        <v>57.226396498022801</v>
      </c>
      <c r="AI680">
        <v>91.063661365395802</v>
      </c>
      <c r="AJ680">
        <v>91.8583614507383</v>
      </c>
      <c r="AK680">
        <v>57.266378502970099</v>
      </c>
      <c r="AL680">
        <v>90.156589045031893</v>
      </c>
      <c r="AM680">
        <v>93.0120217325901</v>
      </c>
      <c r="AN680">
        <v>0.99999999776001502</v>
      </c>
    </row>
    <row r="681" spans="1:40" x14ac:dyDescent="0.25">
      <c r="A681" t="str">
        <f>"20190305135208389"</f>
        <v>20190305135208389</v>
      </c>
      <c r="B681" t="str">
        <f>"1551765128380138"</f>
        <v>1551765128380138</v>
      </c>
      <c r="C681" t="s">
        <v>40</v>
      </c>
      <c r="D681">
        <v>4.5119689999999997</v>
      </c>
      <c r="E681">
        <v>0.50760249999999996</v>
      </c>
      <c r="F681" t="s">
        <v>42</v>
      </c>
      <c r="G681">
        <v>-252.48929999999999</v>
      </c>
      <c r="H681" s="1">
        <v>-3.4113350000000002E-6</v>
      </c>
      <c r="I681">
        <v>370.39420000000001</v>
      </c>
      <c r="J681">
        <v>-311.57740000000001</v>
      </c>
      <c r="K681">
        <v>1.0626370000000001</v>
      </c>
      <c r="L681">
        <v>368.05110000000002</v>
      </c>
      <c r="M681">
        <v>0.99983319999999998</v>
      </c>
      <c r="N681">
        <v>-1.6810720000000001E-2</v>
      </c>
      <c r="O681">
        <v>7.1488910000000001E-3</v>
      </c>
      <c r="P681">
        <v>0.99803660000000005</v>
      </c>
      <c r="Q681">
        <v>-1.8564770000000001E-2</v>
      </c>
      <c r="R681">
        <v>5.9820020000000002E-2</v>
      </c>
      <c r="S681">
        <v>2.9977420000000001</v>
      </c>
      <c r="T681">
        <v>-5.3719999999999997E-2</v>
      </c>
      <c r="U681">
        <v>0.1184998</v>
      </c>
      <c r="V681">
        <v>-5.2681579999999999E-2</v>
      </c>
      <c r="W681">
        <v>-1.8120980000000001E-3</v>
      </c>
      <c r="X681">
        <v>0.99860970000000004</v>
      </c>
      <c r="Y681">
        <v>-3.2343440000000001E-2</v>
      </c>
      <c r="Z681">
        <v>5.5378969999999997E-4</v>
      </c>
      <c r="AA681">
        <v>0.9994767</v>
      </c>
      <c r="AB681">
        <v>30</v>
      </c>
      <c r="AC681">
        <v>59.088099999999997</v>
      </c>
      <c r="AD681">
        <v>-1.0626404113349901</v>
      </c>
      <c r="AE681">
        <v>2.34309999999999</v>
      </c>
      <c r="AF681">
        <v>-1.9199460683873499</v>
      </c>
      <c r="AG681">
        <v>-1.0626404113349901</v>
      </c>
      <c r="AH681">
        <v>59.084263306505598</v>
      </c>
      <c r="AI681">
        <v>91.029819695977693</v>
      </c>
      <c r="AJ681">
        <v>91.861174294280701</v>
      </c>
      <c r="AK681">
        <v>59.124999518154802</v>
      </c>
      <c r="AL681">
        <v>90.103825626076897</v>
      </c>
      <c r="AM681">
        <v>93.019835153936498</v>
      </c>
      <c r="AN681">
        <v>0.99999998275227298</v>
      </c>
    </row>
    <row r="682" spans="1:40" x14ac:dyDescent="0.25">
      <c r="A682" t="str">
        <f>"20190305135208403"</f>
        <v>20190305135208403</v>
      </c>
      <c r="B682" t="str">
        <f>"1551765128389898"</f>
        <v>1551765128389898</v>
      </c>
      <c r="C682" t="s">
        <v>40</v>
      </c>
      <c r="D682">
        <v>4.5137799999999997</v>
      </c>
      <c r="E682">
        <v>0.50762940000000001</v>
      </c>
      <c r="F682" t="s">
        <v>42</v>
      </c>
      <c r="G682">
        <v>-246.69319999999999</v>
      </c>
      <c r="H682" s="1">
        <v>-1.8141609999999999E-6</v>
      </c>
      <c r="I682">
        <v>370.63299999999998</v>
      </c>
      <c r="J682">
        <v>-311.39640000000003</v>
      </c>
      <c r="K682">
        <v>1.062351</v>
      </c>
      <c r="L682">
        <v>368.05259999999998</v>
      </c>
      <c r="M682">
        <v>0.99983460000000002</v>
      </c>
      <c r="N682">
        <v>-1.6622609999999999E-2</v>
      </c>
      <c r="O682">
        <v>7.3667419999999999E-3</v>
      </c>
      <c r="P682">
        <v>0.99801949999999995</v>
      </c>
      <c r="Q682">
        <v>-1.810544E-2</v>
      </c>
      <c r="R682">
        <v>6.0244249999999999E-2</v>
      </c>
      <c r="S682">
        <v>2.9978639999999999</v>
      </c>
      <c r="T682">
        <v>-4.9097420000000003E-2</v>
      </c>
      <c r="U682">
        <v>0.1192932</v>
      </c>
      <c r="V682">
        <v>-5.2888749999999998E-2</v>
      </c>
      <c r="W682">
        <v>-1.5411379999999901E-3</v>
      </c>
      <c r="X682">
        <v>0.99859920000000002</v>
      </c>
      <c r="Y682">
        <v>-3.2389510000000003E-2</v>
      </c>
      <c r="Z682">
        <v>5.3629939999999998E-4</v>
      </c>
      <c r="AA682">
        <v>0.99947520000000001</v>
      </c>
      <c r="AB682">
        <v>30</v>
      </c>
      <c r="AC682">
        <v>64.703199999999995</v>
      </c>
      <c r="AD682">
        <v>-1.0623528141609999</v>
      </c>
      <c r="AE682">
        <v>2.5804000000000502</v>
      </c>
      <c r="AF682">
        <v>-2.1030462325186701</v>
      </c>
      <c r="AG682">
        <v>-1.0623528141609999</v>
      </c>
      <c r="AH682">
        <v>64.703040692840304</v>
      </c>
      <c r="AI682">
        <v>90.940152814867801</v>
      </c>
      <c r="AJ682">
        <v>91.861632256331006</v>
      </c>
      <c r="AK682">
        <v>64.745925523211199</v>
      </c>
      <c r="AL682">
        <v>90.088300739889704</v>
      </c>
      <c r="AM682">
        <v>93.031720345474099</v>
      </c>
      <c r="AN682">
        <v>0.99999997861176804</v>
      </c>
    </row>
    <row r="683" spans="1:40" x14ac:dyDescent="0.25">
      <c r="A683" t="str">
        <f>"20190305135208417"</f>
        <v>20190305135208417</v>
      </c>
      <c r="B683" t="str">
        <f>"1551765128410394"</f>
        <v>1551765128410394</v>
      </c>
      <c r="C683" t="s">
        <v>40</v>
      </c>
      <c r="D683">
        <v>4.94597</v>
      </c>
      <c r="E683">
        <v>0.5077062</v>
      </c>
      <c r="F683" t="s">
        <v>42</v>
      </c>
      <c r="G683">
        <v>-244.0676</v>
      </c>
      <c r="H683" s="1">
        <v>-3.0857360000000001E-6</v>
      </c>
      <c r="I683">
        <v>370.7475</v>
      </c>
      <c r="J683">
        <v>-311.21359999999999</v>
      </c>
      <c r="K683">
        <v>1.0621</v>
      </c>
      <c r="L683">
        <v>368.05419999999998</v>
      </c>
      <c r="M683">
        <v>0.99983599999999995</v>
      </c>
      <c r="N683">
        <v>-1.6448500000000001E-2</v>
      </c>
      <c r="O683">
        <v>7.5843239999999999E-3</v>
      </c>
      <c r="P683">
        <v>0.99798889999999996</v>
      </c>
      <c r="Q683">
        <v>-1.8561660000000001E-2</v>
      </c>
      <c r="R683">
        <v>6.0611030000000003E-2</v>
      </c>
      <c r="S683">
        <v>2.9978639999999999</v>
      </c>
      <c r="T683">
        <v>-4.7302129999999998E-2</v>
      </c>
      <c r="U683">
        <v>0.11999509999999999</v>
      </c>
      <c r="V683">
        <v>-5.3038200000000001E-2</v>
      </c>
      <c r="W683">
        <v>-2.1716690000000002E-3</v>
      </c>
      <c r="X683">
        <v>0.99859010000000004</v>
      </c>
      <c r="Y683">
        <v>-3.2406190000000001E-2</v>
      </c>
      <c r="Z683">
        <v>5.2732509999999996E-4</v>
      </c>
      <c r="AA683">
        <v>0.99947459999999999</v>
      </c>
      <c r="AB683">
        <v>30</v>
      </c>
      <c r="AC683">
        <v>67.145999999999901</v>
      </c>
      <c r="AD683">
        <v>-1.0621030857359901</v>
      </c>
      <c r="AE683">
        <v>2.6933000000000198</v>
      </c>
      <c r="AF683">
        <v>-2.18335121392664</v>
      </c>
      <c r="AG683">
        <v>-1.0621030857359901</v>
      </c>
      <c r="AH683">
        <v>67.147724291526302</v>
      </c>
      <c r="AI683">
        <v>90.905716681292802</v>
      </c>
      <c r="AJ683">
        <v>91.862352776890006</v>
      </c>
      <c r="AK683">
        <v>67.191606343492893</v>
      </c>
      <c r="AL683">
        <v>90.124427568825595</v>
      </c>
      <c r="AM683">
        <v>93.040298811451905</v>
      </c>
      <c r="AN683">
        <v>0.99999997731174695</v>
      </c>
    </row>
    <row r="684" spans="1:40" x14ac:dyDescent="0.25">
      <c r="A684" t="str">
        <f>"20190305135208429"</f>
        <v>20190305135208429</v>
      </c>
      <c r="B684" t="str">
        <f>"1551765128420154"</f>
        <v>1551765128420154</v>
      </c>
      <c r="C684" t="s">
        <v>40</v>
      </c>
      <c r="D684">
        <v>4.4689769999999998</v>
      </c>
      <c r="E684">
        <v>0.50776499999999902</v>
      </c>
      <c r="F684" t="s">
        <v>42</v>
      </c>
      <c r="G684">
        <v>-244.05289999999999</v>
      </c>
      <c r="H684" s="1">
        <v>-3.0942730000000001E-6</v>
      </c>
      <c r="I684">
        <v>370.7534</v>
      </c>
      <c r="J684">
        <v>-311.03129999999999</v>
      </c>
      <c r="K684">
        <v>1.0618639999999999</v>
      </c>
      <c r="L684">
        <v>368.05579999999998</v>
      </c>
      <c r="M684">
        <v>0.99983699999999998</v>
      </c>
      <c r="N684">
        <v>-1.6284070000000001E-2</v>
      </c>
      <c r="O684">
        <v>7.7986929999999998E-3</v>
      </c>
      <c r="P684">
        <v>0.99794939999999999</v>
      </c>
      <c r="Q684">
        <v>-1.9288779999999998E-2</v>
      </c>
      <c r="R684">
        <v>6.1034079999999998E-2</v>
      </c>
      <c r="S684">
        <v>2.9978639999999999</v>
      </c>
      <c r="T684">
        <v>-4.7409300000000001E-2</v>
      </c>
      <c r="U684">
        <v>0.12048339999999901</v>
      </c>
      <c r="V684">
        <v>-5.324711E-2</v>
      </c>
      <c r="W684">
        <v>-3.063419E-3</v>
      </c>
      <c r="X684">
        <v>0.99857660000000004</v>
      </c>
      <c r="Y684">
        <v>-3.2354479999999998E-2</v>
      </c>
      <c r="Z684">
        <v>5.2299180000000005E-4</v>
      </c>
      <c r="AA684">
        <v>0.99947629999999998</v>
      </c>
      <c r="AB684">
        <v>30</v>
      </c>
      <c r="AC684">
        <v>66.978399999999993</v>
      </c>
      <c r="AD684">
        <v>-1.061867094273</v>
      </c>
      <c r="AE684">
        <v>2.69760000000002</v>
      </c>
      <c r="AF684">
        <v>-2.17455901969526</v>
      </c>
      <c r="AG684">
        <v>-1.061867094273</v>
      </c>
      <c r="AH684">
        <v>66.980595178747507</v>
      </c>
      <c r="AI684">
        <v>90.907776000890095</v>
      </c>
      <c r="AJ684">
        <v>91.859483442720403</v>
      </c>
      <c r="AK684">
        <v>67.024297080650499</v>
      </c>
      <c r="AL684">
        <v>90.175521265930797</v>
      </c>
      <c r="AM684">
        <v>93.052292707130604</v>
      </c>
      <c r="AN684">
        <v>0.99999993266343801</v>
      </c>
    </row>
    <row r="685" spans="1:40" x14ac:dyDescent="0.25">
      <c r="A685" t="str">
        <f>"20190305135208443"</f>
        <v>20190305135208443</v>
      </c>
      <c r="B685" t="str">
        <f>"1551765128440650"</f>
        <v>1551765128440650</v>
      </c>
      <c r="C685" t="s">
        <v>40</v>
      </c>
      <c r="D685">
        <v>4.4824489999999999</v>
      </c>
      <c r="E685">
        <v>0.50782519999999998</v>
      </c>
      <c r="F685" t="s">
        <v>42</v>
      </c>
      <c r="G685">
        <v>-246.6</v>
      </c>
      <c r="H685" s="1">
        <v>-1.866896E-6</v>
      </c>
      <c r="I685">
        <v>370.66559999999998</v>
      </c>
      <c r="J685">
        <v>-310.8503</v>
      </c>
      <c r="K685">
        <v>1.061644</v>
      </c>
      <c r="L685">
        <v>368.05739999999997</v>
      </c>
      <c r="M685">
        <v>0.99983789999999995</v>
      </c>
      <c r="N685">
        <v>-1.6131400000000001E-2</v>
      </c>
      <c r="O685">
        <v>8.0077399999999993E-3</v>
      </c>
      <c r="P685">
        <v>0.99787289999999995</v>
      </c>
      <c r="Q685">
        <v>-2.1283710000000001E-2</v>
      </c>
      <c r="R685">
        <v>6.161962E-2</v>
      </c>
      <c r="S685">
        <v>2.9978030000000002</v>
      </c>
      <c r="T685">
        <v>-4.9405570000000003E-2</v>
      </c>
      <c r="U685">
        <v>0.12142940000000001</v>
      </c>
      <c r="V685">
        <v>-5.3622320000000001E-2</v>
      </c>
      <c r="W685">
        <v>-5.2115310000000001E-3</v>
      </c>
      <c r="X685">
        <v>0.99854770000000004</v>
      </c>
      <c r="Y685">
        <v>-3.246073E-2</v>
      </c>
      <c r="Z685">
        <v>5.2657110000000002E-4</v>
      </c>
      <c r="AA685">
        <v>0.9994729</v>
      </c>
      <c r="AB685">
        <v>30</v>
      </c>
      <c r="AC685">
        <v>64.250299999999996</v>
      </c>
      <c r="AD685">
        <v>-1.061645866896</v>
      </c>
      <c r="AE685">
        <v>2.6082000000000098</v>
      </c>
      <c r="AF685">
        <v>-2.0929792405576699</v>
      </c>
      <c r="AG685">
        <v>-1.061645866896</v>
      </c>
      <c r="AH685">
        <v>64.251614241732597</v>
      </c>
      <c r="AI685">
        <v>90.946124938453707</v>
      </c>
      <c r="AJ685">
        <v>91.865735042665506</v>
      </c>
      <c r="AK685">
        <v>64.294460000193695</v>
      </c>
      <c r="AL685">
        <v>90.298600079428496</v>
      </c>
      <c r="AM685">
        <v>93.073848621097696</v>
      </c>
      <c r="AN685">
        <v>1.00000001121641</v>
      </c>
    </row>
    <row r="686" spans="1:40" x14ac:dyDescent="0.25">
      <c r="A686" t="str">
        <f>"20190305135208455"</f>
        <v>20190305135208455</v>
      </c>
      <c r="B686" t="str">
        <f>"1551765128450410"</f>
        <v>1551765128450410</v>
      </c>
      <c r="C686" t="s">
        <v>40</v>
      </c>
      <c r="D686">
        <v>4.4946489999999999</v>
      </c>
      <c r="E686">
        <v>0.50785709999999995</v>
      </c>
      <c r="F686" t="s">
        <v>42</v>
      </c>
      <c r="G686">
        <v>-253.18219999999999</v>
      </c>
      <c r="H686" s="1">
        <v>-3.1192129999999999E-6</v>
      </c>
      <c r="I686">
        <v>370.41340000000002</v>
      </c>
      <c r="J686">
        <v>-310.69720000000001</v>
      </c>
      <c r="K686">
        <v>1.0614809999999999</v>
      </c>
      <c r="L686">
        <v>368.05880000000002</v>
      </c>
      <c r="M686">
        <v>0.99983840000000002</v>
      </c>
      <c r="N686">
        <v>-1.6013570000000001E-2</v>
      </c>
      <c r="O686">
        <v>8.1783340000000006E-3</v>
      </c>
      <c r="P686">
        <v>0.99785809999999997</v>
      </c>
      <c r="Q686">
        <v>-2.1312620000000001E-2</v>
      </c>
      <c r="R686">
        <v>6.1849559999999998E-2</v>
      </c>
      <c r="S686">
        <v>2.9976500000000001</v>
      </c>
      <c r="T686">
        <v>-5.5185440000000002E-2</v>
      </c>
      <c r="U686">
        <v>0.12246700000000001</v>
      </c>
      <c r="V686">
        <v>-5.3682260000000002E-2</v>
      </c>
      <c r="W686">
        <v>-5.357756E-3</v>
      </c>
      <c r="X686">
        <v>0.99854370000000003</v>
      </c>
      <c r="Y686">
        <v>-3.2636060000000001E-2</v>
      </c>
      <c r="Z686">
        <v>5.4218080000000002E-4</v>
      </c>
      <c r="AA686">
        <v>0.99946710000000005</v>
      </c>
      <c r="AB686">
        <v>30</v>
      </c>
      <c r="AC686">
        <v>57.515000000000001</v>
      </c>
      <c r="AD686">
        <v>-1.06148411921299</v>
      </c>
      <c r="AE686">
        <v>2.3546</v>
      </c>
      <c r="AF686">
        <v>-1.88344360966758</v>
      </c>
      <c r="AG686">
        <v>-1.06148411921299</v>
      </c>
      <c r="AH686">
        <v>57.512778216463403</v>
      </c>
      <c r="AI686">
        <v>91.0567926374585</v>
      </c>
      <c r="AJ686">
        <v>91.875666951728206</v>
      </c>
      <c r="AK686">
        <v>57.553399261401097</v>
      </c>
      <c r="AL686">
        <v>90.306978273386704</v>
      </c>
      <c r="AM686">
        <v>93.077290327885606</v>
      </c>
      <c r="AN686">
        <v>1.00000000569887</v>
      </c>
    </row>
    <row r="687" spans="1:40" x14ac:dyDescent="0.25">
      <c r="A687" t="str">
        <f>"20190305135208467"</f>
        <v>20190305135208467</v>
      </c>
      <c r="B687" t="str">
        <f>"1551765128460171"</f>
        <v>1551765128460171</v>
      </c>
      <c r="C687" t="s">
        <v>40</v>
      </c>
      <c r="D687">
        <v>4.4917899999999999</v>
      </c>
      <c r="E687">
        <v>0.50789300000000004</v>
      </c>
      <c r="F687" t="s">
        <v>42</v>
      </c>
      <c r="G687">
        <v>-253.03710000000001</v>
      </c>
      <c r="H687" s="1">
        <v>-3.185483E-6</v>
      </c>
      <c r="I687">
        <v>370.42860000000002</v>
      </c>
      <c r="J687">
        <v>-310.53019999999998</v>
      </c>
      <c r="K687">
        <v>1.061315</v>
      </c>
      <c r="L687">
        <v>368.06040000000002</v>
      </c>
      <c r="M687">
        <v>0.99983880000000003</v>
      </c>
      <c r="N687">
        <v>-1.588931E-2</v>
      </c>
      <c r="O687">
        <v>8.3616439999999997E-3</v>
      </c>
      <c r="P687">
        <v>0.99785239999999997</v>
      </c>
      <c r="Q687">
        <v>-2.0988710000000001E-2</v>
      </c>
      <c r="R687">
        <v>6.204722E-2</v>
      </c>
      <c r="S687">
        <v>2.99762</v>
      </c>
      <c r="T687">
        <v>-5.5184129999999998E-2</v>
      </c>
      <c r="U687">
        <v>0.1231995</v>
      </c>
      <c r="V687">
        <v>-5.3697080000000001E-2</v>
      </c>
      <c r="W687">
        <v>-5.1572909999999996E-3</v>
      </c>
      <c r="X687">
        <v>0.99854399999999999</v>
      </c>
      <c r="Y687">
        <v>-3.2697070000000002E-2</v>
      </c>
      <c r="Z687">
        <v>5.3971909999999995E-4</v>
      </c>
      <c r="AA687">
        <v>0.99946520000000005</v>
      </c>
      <c r="AB687">
        <v>30</v>
      </c>
      <c r="AC687">
        <v>57.493099999999899</v>
      </c>
      <c r="AD687">
        <v>-1.0613181854830001</v>
      </c>
      <c r="AE687">
        <v>2.3681999999999999</v>
      </c>
      <c r="AF687">
        <v>-1.88667782815401</v>
      </c>
      <c r="AG687">
        <v>-1.0613181854830001</v>
      </c>
      <c r="AH687">
        <v>57.491336061108697</v>
      </c>
      <c r="AI687">
        <v>91.0570190988782</v>
      </c>
      <c r="AJ687">
        <v>91.879585762360307</v>
      </c>
      <c r="AK687">
        <v>57.532075154729398</v>
      </c>
      <c r="AL687">
        <v>90.295492304044501</v>
      </c>
      <c r="AM687">
        <v>93.078137315405399</v>
      </c>
      <c r="AN687">
        <v>1.00000004699349</v>
      </c>
    </row>
    <row r="688" spans="1:40" x14ac:dyDescent="0.25">
      <c r="A688" t="str">
        <f>"20190305135208478"</f>
        <v>20190305135208478</v>
      </c>
      <c r="B688" t="str">
        <f>"1551765128469930"</f>
        <v>1551765128469930</v>
      </c>
      <c r="C688" t="s">
        <v>40</v>
      </c>
      <c r="D688">
        <v>4.4834569999999996</v>
      </c>
      <c r="E688">
        <v>0.5079243</v>
      </c>
      <c r="F688" t="s">
        <v>42</v>
      </c>
      <c r="G688">
        <v>-251.6557</v>
      </c>
      <c r="H688" s="1">
        <v>-3.7924479999999999E-6</v>
      </c>
      <c r="I688">
        <v>370.48239999999998</v>
      </c>
      <c r="J688">
        <v>-310.38040000000001</v>
      </c>
      <c r="K688">
        <v>1.061183</v>
      </c>
      <c r="L688">
        <v>368.06180000000001</v>
      </c>
      <c r="M688">
        <v>0.99983920000000004</v>
      </c>
      <c r="N688">
        <v>-1.5787260000000001E-2</v>
      </c>
      <c r="O688">
        <v>8.5182850000000004E-3</v>
      </c>
      <c r="P688">
        <v>0.99785939999999995</v>
      </c>
      <c r="Q688">
        <v>-2.0697150000000001E-2</v>
      </c>
      <c r="R688">
        <v>6.2037009999999997E-2</v>
      </c>
      <c r="S688">
        <v>2.99762</v>
      </c>
      <c r="T688">
        <v>-5.4037450000000001E-2</v>
      </c>
      <c r="U688">
        <v>0.1233215</v>
      </c>
      <c r="V688">
        <v>-5.3530960000000002E-2</v>
      </c>
      <c r="W688">
        <v>-4.9664949999999996E-3</v>
      </c>
      <c r="X688">
        <v>0.99855380000000005</v>
      </c>
      <c r="Y688">
        <v>-3.2581510000000001E-2</v>
      </c>
      <c r="Z688">
        <v>5.3183829999999997E-4</v>
      </c>
      <c r="AA688">
        <v>0.99946889999999999</v>
      </c>
      <c r="AB688">
        <v>30</v>
      </c>
      <c r="AC688">
        <v>58.724699999999999</v>
      </c>
      <c r="AD688">
        <v>-1.0611867924480001</v>
      </c>
      <c r="AE688">
        <v>2.4205999999999701</v>
      </c>
      <c r="AF688">
        <v>-1.9195903626069999</v>
      </c>
      <c r="AG688">
        <v>-1.0611867924480001</v>
      </c>
      <c r="AH688">
        <v>58.724047317131699</v>
      </c>
      <c r="AI688">
        <v>91.034711721474096</v>
      </c>
      <c r="AJ688">
        <v>91.872236035224304</v>
      </c>
      <c r="AK688">
        <v>58.764995344791799</v>
      </c>
      <c r="AL688">
        <v>90.284560383517402</v>
      </c>
      <c r="AM688">
        <v>93.068602803488105</v>
      </c>
      <c r="AN688">
        <v>0.99999996062277197</v>
      </c>
    </row>
    <row r="689" spans="1:40" x14ac:dyDescent="0.25">
      <c r="A689" t="str">
        <f>"20190305135208489"</f>
        <v>20190305135208489</v>
      </c>
      <c r="B689" t="str">
        <f>"1551765128480666"</f>
        <v>1551765128480666</v>
      </c>
      <c r="C689" t="s">
        <v>40</v>
      </c>
      <c r="D689">
        <v>4.558281</v>
      </c>
      <c r="E689">
        <v>0.5079243</v>
      </c>
      <c r="F689" t="s">
        <v>42</v>
      </c>
      <c r="G689">
        <v>-250.33680000000001</v>
      </c>
      <c r="H689" s="1">
        <v>-4.3225170000000004E-6</v>
      </c>
      <c r="I689">
        <v>370.52460000000002</v>
      </c>
      <c r="J689">
        <v>-310.23149999999998</v>
      </c>
      <c r="K689">
        <v>1.0610580000000001</v>
      </c>
      <c r="L689">
        <v>368.06319999999999</v>
      </c>
      <c r="M689">
        <v>0.99983940000000004</v>
      </c>
      <c r="N689">
        <v>-1.569009E-2</v>
      </c>
      <c r="O689">
        <v>8.6699229999999995E-3</v>
      </c>
      <c r="P689">
        <v>0.99787490000000001</v>
      </c>
      <c r="Q689">
        <v>-1.9911600000000002E-2</v>
      </c>
      <c r="R689">
        <v>6.2043859999999999E-2</v>
      </c>
      <c r="S689">
        <v>2.9977109999999998</v>
      </c>
      <c r="T689">
        <v>-5.2980300000000001E-2</v>
      </c>
      <c r="U689">
        <v>0.1229553</v>
      </c>
      <c r="V689">
        <v>-5.3386389999999999E-2</v>
      </c>
      <c r="W689">
        <v>-4.2767009999999999E-3</v>
      </c>
      <c r="X689">
        <v>0.99856480000000003</v>
      </c>
      <c r="Y689">
        <v>-3.2307200000000001E-2</v>
      </c>
      <c r="Z689">
        <v>5.2180569999999999E-4</v>
      </c>
      <c r="AA689">
        <v>0.99947790000000003</v>
      </c>
      <c r="AB689">
        <v>30</v>
      </c>
      <c r="AC689">
        <v>59.894699999999901</v>
      </c>
      <c r="AD689">
        <v>-1.0610623225169999</v>
      </c>
      <c r="AE689">
        <v>2.4614000000000198</v>
      </c>
      <c r="AF689">
        <v>-1.9413529020668201</v>
      </c>
      <c r="AG689">
        <v>-1.0610623225169999</v>
      </c>
      <c r="AH689">
        <v>59.895025488193603</v>
      </c>
      <c r="AI689">
        <v>91.014376976675294</v>
      </c>
      <c r="AJ689">
        <v>91.856454674522396</v>
      </c>
      <c r="AK689">
        <v>59.935872251715701</v>
      </c>
      <c r="AL689">
        <v>90.245037657571103</v>
      </c>
      <c r="AM689">
        <v>93.060297615301394</v>
      </c>
      <c r="AN689">
        <v>1.0000000283038499</v>
      </c>
    </row>
    <row r="690" spans="1:40" x14ac:dyDescent="0.25">
      <c r="A690" t="str">
        <f>"20190305135208502"</f>
        <v>20190305135208502</v>
      </c>
      <c r="B690" t="str">
        <f>"1551765128489879"</f>
        <v>1551765128489879</v>
      </c>
      <c r="C690" t="s">
        <v>40</v>
      </c>
      <c r="D690">
        <v>4.5076549999999997</v>
      </c>
      <c r="E690">
        <v>0.51402150000000002</v>
      </c>
      <c r="F690" t="s">
        <v>42</v>
      </c>
      <c r="G690">
        <v>-247.38749999999999</v>
      </c>
      <c r="H690" s="1">
        <v>-1.489229E-6</v>
      </c>
      <c r="I690">
        <v>370.64530000000002</v>
      </c>
      <c r="J690">
        <v>-310.06349999999998</v>
      </c>
      <c r="K690">
        <v>1.0609299999999999</v>
      </c>
      <c r="L690">
        <v>368.06479999999999</v>
      </c>
      <c r="M690">
        <v>0.99983949999999999</v>
      </c>
      <c r="N690">
        <v>-1.558727E-2</v>
      </c>
      <c r="O690">
        <v>8.8346729999999995E-3</v>
      </c>
      <c r="P690">
        <v>0.99789150000000004</v>
      </c>
      <c r="Q690">
        <v>-1.9478840000000001E-2</v>
      </c>
      <c r="R690">
        <v>6.1914700000000003E-2</v>
      </c>
      <c r="S690">
        <v>2.9977109999999998</v>
      </c>
      <c r="T690">
        <v>-5.0613400000000003E-2</v>
      </c>
      <c r="U690">
        <v>0.123168899999999</v>
      </c>
      <c r="V690">
        <v>-5.3093139999999997E-2</v>
      </c>
      <c r="W690">
        <v>-3.9449029999999996E-3</v>
      </c>
      <c r="X690">
        <v>0.99858179999999996</v>
      </c>
      <c r="Y690">
        <v>-3.2214319999999998E-2</v>
      </c>
      <c r="Z690">
        <v>5.1162419999999998E-4</v>
      </c>
      <c r="AA690">
        <v>0.99948079999999995</v>
      </c>
      <c r="AB690">
        <v>30</v>
      </c>
      <c r="AC690">
        <v>62.675999999999902</v>
      </c>
      <c r="AD690">
        <v>-1.0609314892289901</v>
      </c>
      <c r="AE690">
        <v>2.5805000000000202</v>
      </c>
      <c r="AF690">
        <v>-2.0260304957968001</v>
      </c>
      <c r="AG690">
        <v>-1.0609314892289901</v>
      </c>
      <c r="AH690">
        <v>62.678425083619601</v>
      </c>
      <c r="AI690">
        <v>90.969222974022898</v>
      </c>
      <c r="AJ690">
        <v>91.851396103209495</v>
      </c>
      <c r="AK690">
        <v>62.720135093585803</v>
      </c>
      <c r="AL690">
        <v>90.226026872516002</v>
      </c>
      <c r="AM690">
        <v>93.043467458146097</v>
      </c>
      <c r="AN690">
        <v>1.0000000275329799</v>
      </c>
    </row>
    <row r="691" spans="1:40" x14ac:dyDescent="0.25">
      <c r="A691" t="str">
        <f>"20190305135208514"</f>
        <v>20190305135208514</v>
      </c>
      <c r="B691" t="str">
        <f>"1551765128510375"</f>
        <v>1551765128510375</v>
      </c>
      <c r="C691" t="s">
        <v>40</v>
      </c>
      <c r="D691">
        <v>4.46976</v>
      </c>
      <c r="E691">
        <v>0.51279629999999998</v>
      </c>
      <c r="F691" t="s">
        <v>48</v>
      </c>
      <c r="G691">
        <v>-158.19499999999999</v>
      </c>
      <c r="H691">
        <v>0.12894749999999999</v>
      </c>
      <c r="I691">
        <v>371.83109999999999</v>
      </c>
      <c r="J691">
        <v>-309.91340000000002</v>
      </c>
      <c r="K691">
        <v>1.060826</v>
      </c>
      <c r="L691">
        <v>368.06630000000001</v>
      </c>
      <c r="M691">
        <v>0.9998397</v>
      </c>
      <c r="N691">
        <v>-1.5502449999999999E-2</v>
      </c>
      <c r="O691">
        <v>8.9725780000000002E-3</v>
      </c>
      <c r="P691">
        <v>0.99790319999999999</v>
      </c>
      <c r="Q691">
        <v>-1.912121E-2</v>
      </c>
      <c r="R691">
        <v>6.183835E-2</v>
      </c>
      <c r="S691">
        <v>3.0013730000000001</v>
      </c>
      <c r="T691">
        <v>-1.8416999999999999E-2</v>
      </c>
      <c r="U691">
        <v>7.4432369999999998E-2</v>
      </c>
      <c r="V691">
        <v>-5.28794E-2</v>
      </c>
      <c r="W691">
        <v>-3.6703730000000002E-3</v>
      </c>
      <c r="X691">
        <v>0.99859419999999999</v>
      </c>
      <c r="Y691">
        <v>-1.581927E-2</v>
      </c>
      <c r="Z691">
        <v>2.5522080000000001E-4</v>
      </c>
      <c r="AA691">
        <v>0.99987479999999995</v>
      </c>
      <c r="AB691">
        <v>30</v>
      </c>
      <c r="AC691">
        <v>151.7184</v>
      </c>
      <c r="AD691">
        <v>-0.93187849999999905</v>
      </c>
      <c r="AE691">
        <v>3.7647999999999802</v>
      </c>
      <c r="AF691">
        <v>-2.40308920067188</v>
      </c>
      <c r="AG691">
        <v>-0.93187849999999905</v>
      </c>
      <c r="AH691">
        <v>151.74035416801399</v>
      </c>
      <c r="AI691">
        <v>90.351820318657602</v>
      </c>
      <c r="AJ691">
        <v>90.907308807796795</v>
      </c>
      <c r="AK691">
        <v>151.762242729473</v>
      </c>
      <c r="AL691">
        <v>90.210297346023907</v>
      </c>
      <c r="AM691">
        <v>93.031200527767396</v>
      </c>
      <c r="AN691">
        <v>1.00000003942797</v>
      </c>
    </row>
    <row r="692" spans="1:40" x14ac:dyDescent="0.25">
      <c r="A692" t="str">
        <f>"20190305135208525"</f>
        <v>20190305135208525</v>
      </c>
      <c r="B692" t="str">
        <f>"1551765128520135"</f>
        <v>1551765128520135</v>
      </c>
      <c r="C692" t="s">
        <v>40</v>
      </c>
      <c r="D692">
        <v>4.5099200000000002</v>
      </c>
      <c r="E692">
        <v>0.51270009999999999</v>
      </c>
      <c r="F692" t="s">
        <v>47</v>
      </c>
      <c r="G692">
        <v>-147.2226</v>
      </c>
      <c r="H692">
        <v>-0.05</v>
      </c>
      <c r="I692">
        <v>372.62799999999999</v>
      </c>
      <c r="J692">
        <v>-309.75749999999999</v>
      </c>
      <c r="K692">
        <v>1.060718</v>
      </c>
      <c r="L692">
        <v>368.06790000000001</v>
      </c>
      <c r="M692">
        <v>0.99983979999999995</v>
      </c>
      <c r="N692">
        <v>-1.541698E-2</v>
      </c>
      <c r="O692">
        <v>9.1124959999999994E-3</v>
      </c>
      <c r="P692">
        <v>0.99791819999999998</v>
      </c>
      <c r="Q692">
        <v>-1.883831E-2</v>
      </c>
      <c r="R692">
        <v>6.1683290000000002E-2</v>
      </c>
      <c r="S692">
        <v>3.0007320000000002</v>
      </c>
      <c r="T692">
        <v>-2.04885E-2</v>
      </c>
      <c r="U692">
        <v>8.4136959999999997E-2</v>
      </c>
      <c r="V692">
        <v>-5.2584209999999999E-2</v>
      </c>
      <c r="W692">
        <v>-3.4710359999999998E-3</v>
      </c>
      <c r="X692">
        <v>0.99861040000000001</v>
      </c>
      <c r="Y692">
        <v>-1.891553E-2</v>
      </c>
      <c r="Z692">
        <v>2.8868850000000001E-4</v>
      </c>
      <c r="AA692">
        <v>0.99982110000000002</v>
      </c>
      <c r="AB692">
        <v>30</v>
      </c>
      <c r="AC692">
        <v>162.53489999999999</v>
      </c>
      <c r="AD692">
        <v>-1.1107180000000001</v>
      </c>
      <c r="AE692">
        <v>4.5601000000000296</v>
      </c>
      <c r="AF692">
        <v>-3.0784925526147902</v>
      </c>
      <c r="AG692">
        <v>-1.1107180000000001</v>
      </c>
      <c r="AH692">
        <v>162.56212319407399</v>
      </c>
      <c r="AI692">
        <v>90.391401480382498</v>
      </c>
      <c r="AJ692">
        <v>91.084899399898902</v>
      </c>
      <c r="AK692">
        <v>162.59506360353399</v>
      </c>
      <c r="AL692">
        <v>90.198876124795106</v>
      </c>
      <c r="AM692">
        <v>93.014261864145098</v>
      </c>
      <c r="AN692">
        <v>0.99999993911019602</v>
      </c>
    </row>
    <row r="693" spans="1:40" x14ac:dyDescent="0.25">
      <c r="A693" t="str">
        <f>"20190305135208536"</f>
        <v>20190305135208536</v>
      </c>
      <c r="B693" t="str">
        <f>"1551765128529894"</f>
        <v>1551765128529894</v>
      </c>
      <c r="C693" t="s">
        <v>40</v>
      </c>
      <c r="D693">
        <v>4.4405460000000003</v>
      </c>
      <c r="E693">
        <v>0.51263649999999905</v>
      </c>
      <c r="F693" t="s">
        <v>52</v>
      </c>
      <c r="G693">
        <v>-179.9973</v>
      </c>
      <c r="H693">
        <v>5.2724159999999999E-2</v>
      </c>
      <c r="I693">
        <v>371.72089999999997</v>
      </c>
      <c r="J693">
        <v>-309.60019999999997</v>
      </c>
      <c r="K693">
        <v>1.060624</v>
      </c>
      <c r="L693">
        <v>368.06950000000001</v>
      </c>
      <c r="M693">
        <v>0.99983979999999995</v>
      </c>
      <c r="N693">
        <v>-1.5339530000000001E-2</v>
      </c>
      <c r="O693">
        <v>9.2381830000000005E-3</v>
      </c>
      <c r="P693">
        <v>0.99791079999999999</v>
      </c>
      <c r="Q693">
        <v>-1.923356E-2</v>
      </c>
      <c r="R693">
        <v>6.1681069999999998E-2</v>
      </c>
      <c r="S693">
        <v>3.00061</v>
      </c>
      <c r="T693">
        <v>-2.3309110000000001E-2</v>
      </c>
      <c r="U693">
        <v>8.4472660000000005E-2</v>
      </c>
      <c r="V693">
        <v>-5.245698E-2</v>
      </c>
      <c r="W693">
        <v>-3.9418650000000001E-3</v>
      </c>
      <c r="X693">
        <v>0.99861540000000004</v>
      </c>
      <c r="Y693">
        <v>-1.8902430000000001E-2</v>
      </c>
      <c r="Z693">
        <v>2.8837650000000003E-4</v>
      </c>
      <c r="AA693">
        <v>0.99982130000000002</v>
      </c>
      <c r="AB693">
        <v>30</v>
      </c>
      <c r="AC693">
        <v>129.60289999999901</v>
      </c>
      <c r="AD693">
        <v>-1.0078998400000001</v>
      </c>
      <c r="AE693">
        <v>3.6513999999999598</v>
      </c>
      <c r="AF693">
        <v>-2.45365983733668</v>
      </c>
      <c r="AG693">
        <v>-1.0078998400000001</v>
      </c>
      <c r="AH693">
        <v>129.62327115048399</v>
      </c>
      <c r="AI693">
        <v>90.445420796024806</v>
      </c>
      <c r="AJ693">
        <v>91.084431555592303</v>
      </c>
      <c r="AK693">
        <v>129.65040968865699</v>
      </c>
      <c r="AL693">
        <v>90.225852813917996</v>
      </c>
      <c r="AM693">
        <v>93.006967086558603</v>
      </c>
      <c r="AN693">
        <v>0.99999999508377901</v>
      </c>
    </row>
    <row r="694" spans="1:40" x14ac:dyDescent="0.25">
      <c r="A694" t="str">
        <f>"20190305135208557"</f>
        <v>20190305135208557</v>
      </c>
      <c r="B694" t="str">
        <f>"1551765128550394"</f>
        <v>1551765128550394</v>
      </c>
      <c r="C694" t="s">
        <v>40</v>
      </c>
      <c r="D694">
        <v>4.4614659999999997</v>
      </c>
      <c r="E694">
        <v>0.51224789999999998</v>
      </c>
      <c r="F694" t="s">
        <v>52</v>
      </c>
      <c r="G694">
        <v>-181.64150000000001</v>
      </c>
      <c r="H694" s="1">
        <v>-7.1003539999999998E-6</v>
      </c>
      <c r="I694">
        <v>371.6848</v>
      </c>
      <c r="J694">
        <v>-309.33629999999999</v>
      </c>
      <c r="K694">
        <v>1.0604750000000001</v>
      </c>
      <c r="L694">
        <v>368.07209999999998</v>
      </c>
      <c r="M694">
        <v>0.99983979999999995</v>
      </c>
      <c r="N694">
        <v>-1.521749E-2</v>
      </c>
      <c r="O694">
        <v>9.4294449999999998E-3</v>
      </c>
      <c r="P694">
        <v>0.99792910000000001</v>
      </c>
      <c r="Q694">
        <v>-1.844703E-2</v>
      </c>
      <c r="R694">
        <v>6.1624499999999999E-2</v>
      </c>
      <c r="S694">
        <v>3.0005489999999999</v>
      </c>
      <c r="T694">
        <v>-2.4871109999999998E-2</v>
      </c>
      <c r="U694">
        <v>8.4777829999999998E-2</v>
      </c>
      <c r="V694">
        <v>-5.2209499999999999E-2</v>
      </c>
      <c r="W694">
        <v>-3.2737159999999999E-3</v>
      </c>
      <c r="X694">
        <v>0.99863080000000004</v>
      </c>
      <c r="Y694">
        <v>-1.8813199999999999E-2</v>
      </c>
      <c r="Z694">
        <v>2.864834E-4</v>
      </c>
      <c r="AA694">
        <v>0.99982300000000002</v>
      </c>
      <c r="AB694">
        <v>30</v>
      </c>
      <c r="AC694">
        <v>127.6948</v>
      </c>
      <c r="AD694">
        <v>-1.0604821003539999</v>
      </c>
      <c r="AE694">
        <v>3.61270000000001</v>
      </c>
      <c r="AF694">
        <v>-2.4081429248778399</v>
      </c>
      <c r="AG694">
        <v>-1.0604821003539999</v>
      </c>
      <c r="AH694">
        <v>127.714389885796</v>
      </c>
      <c r="AI694">
        <v>90.475662565866003</v>
      </c>
      <c r="AJ694">
        <v>91.080223440447696</v>
      </c>
      <c r="AK694">
        <v>127.74149348795299</v>
      </c>
      <c r="AL694">
        <v>90.187570442930706</v>
      </c>
      <c r="AM694">
        <v>92.992760687839507</v>
      </c>
      <c r="AN694">
        <v>1.00000001190766</v>
      </c>
    </row>
    <row r="695" spans="1:40" x14ac:dyDescent="0.25">
      <c r="A695" t="str">
        <f>"20190305135208570"</f>
        <v>20190305135208570</v>
      </c>
      <c r="B695" t="str">
        <f>"1551765128560151"</f>
        <v>1551765128560151</v>
      </c>
      <c r="C695" t="s">
        <v>40</v>
      </c>
      <c r="D695">
        <v>4.4813859999999996</v>
      </c>
      <c r="E695">
        <v>0.51214539999999997</v>
      </c>
      <c r="F695" t="s">
        <v>52</v>
      </c>
      <c r="G695">
        <v>-182.089</v>
      </c>
      <c r="H695" s="1">
        <v>-7.2401250000000004E-6</v>
      </c>
      <c r="I695">
        <v>371.79579999999999</v>
      </c>
      <c r="J695">
        <v>-309.14920000000001</v>
      </c>
      <c r="K695">
        <v>1.060381</v>
      </c>
      <c r="L695">
        <v>368.07400000000001</v>
      </c>
      <c r="M695">
        <v>0.99983979999999995</v>
      </c>
      <c r="N695">
        <v>-1.513834E-2</v>
      </c>
      <c r="O695">
        <v>9.5468140000000007E-3</v>
      </c>
      <c r="P695">
        <v>0.99795060000000002</v>
      </c>
      <c r="Q695">
        <v>-1.8003149999999999E-2</v>
      </c>
      <c r="R695">
        <v>6.1405729999999999E-2</v>
      </c>
      <c r="S695">
        <v>3.0003359999999999</v>
      </c>
      <c r="T695">
        <v>-2.500486E-2</v>
      </c>
      <c r="U695">
        <v>8.7799070000000007E-2</v>
      </c>
      <c r="V695">
        <v>-5.187336E-2</v>
      </c>
      <c r="W695">
        <v>-2.9060359999999999E-3</v>
      </c>
      <c r="X695">
        <v>0.99864940000000002</v>
      </c>
      <c r="Y695">
        <v>-1.9703700000000001E-2</v>
      </c>
      <c r="Z695">
        <v>2.9624270000000002E-4</v>
      </c>
      <c r="AA695">
        <v>0.99980579999999997</v>
      </c>
      <c r="AB695">
        <v>30</v>
      </c>
      <c r="AC695">
        <v>127.060199999999</v>
      </c>
      <c r="AD695">
        <v>-1.060388240125</v>
      </c>
      <c r="AE695">
        <v>3.7217999999999698</v>
      </c>
      <c r="AF695">
        <v>-2.50829665078022</v>
      </c>
      <c r="AG695">
        <v>-1.060388240125</v>
      </c>
      <c r="AH695">
        <v>127.081100307919</v>
      </c>
      <c r="AI695">
        <v>90.477982409284806</v>
      </c>
      <c r="AJ695">
        <v>91.130743699086295</v>
      </c>
      <c r="AK695">
        <v>127.11027507947399</v>
      </c>
      <c r="AL695">
        <v>90.166503839375096</v>
      </c>
      <c r="AM695">
        <v>92.973471828979598</v>
      </c>
      <c r="AN695">
        <v>0.99999995732164004</v>
      </c>
    </row>
    <row r="696" spans="1:40" x14ac:dyDescent="0.25">
      <c r="A696" t="str">
        <f>"20190305135208584"</f>
        <v>20190305135208584</v>
      </c>
      <c r="B696" t="str">
        <f>"1551765128580646"</f>
        <v>1551765128580646</v>
      </c>
      <c r="C696" t="s">
        <v>40</v>
      </c>
      <c r="D696">
        <v>4.479222</v>
      </c>
      <c r="E696">
        <v>0.51201969999999997</v>
      </c>
      <c r="F696" t="s">
        <v>52</v>
      </c>
      <c r="G696">
        <v>-180.61410000000001</v>
      </c>
      <c r="H696" s="1">
        <v>-6.7160149999999999E-6</v>
      </c>
      <c r="I696">
        <v>371.83659999999998</v>
      </c>
      <c r="J696">
        <v>-308.95740000000001</v>
      </c>
      <c r="K696">
        <v>1.060284</v>
      </c>
      <c r="L696">
        <v>368.07600000000002</v>
      </c>
      <c r="M696">
        <v>0.99983999999999995</v>
      </c>
      <c r="N696">
        <v>-1.5062809999999999E-2</v>
      </c>
      <c r="O696">
        <v>9.6530390000000004E-3</v>
      </c>
      <c r="P696">
        <v>0.99796410000000002</v>
      </c>
      <c r="Q696">
        <v>-1.7329069999999999E-2</v>
      </c>
      <c r="R696">
        <v>6.1381680000000001E-2</v>
      </c>
      <c r="S696">
        <v>3.0003359999999999</v>
      </c>
      <c r="T696">
        <v>-2.4752139999999999E-2</v>
      </c>
      <c r="U696">
        <v>8.7829589999999999E-2</v>
      </c>
      <c r="V696">
        <v>-5.1743919999999999E-2</v>
      </c>
      <c r="W696">
        <v>-2.3045510000000002E-3</v>
      </c>
      <c r="X696">
        <v>0.99865769999999998</v>
      </c>
      <c r="Y696">
        <v>-1.9607690000000001E-2</v>
      </c>
      <c r="Z696">
        <v>2.9435600000000001E-4</v>
      </c>
      <c r="AA696">
        <v>0.99980769999999997</v>
      </c>
      <c r="AB696">
        <v>30</v>
      </c>
      <c r="AC696">
        <v>128.3433</v>
      </c>
      <c r="AD696">
        <v>-1.0602907160149999</v>
      </c>
      <c r="AE696">
        <v>3.7606000000000099</v>
      </c>
      <c r="AF696">
        <v>-2.52120943076876</v>
      </c>
      <c r="AG696">
        <v>-1.0602907160149999</v>
      </c>
      <c r="AH696">
        <v>128.36487084641399</v>
      </c>
      <c r="AI696">
        <v>90.473159732917907</v>
      </c>
      <c r="AJ696">
        <v>91.125199501236906</v>
      </c>
      <c r="AK696">
        <v>128.394006015907</v>
      </c>
      <c r="AL696">
        <v>90.132041166416599</v>
      </c>
      <c r="AM696">
        <v>92.966040759539197</v>
      </c>
      <c r="AN696">
        <v>0.99999997299078303</v>
      </c>
    </row>
    <row r="697" spans="1:40" x14ac:dyDescent="0.25">
      <c r="A697" t="str">
        <f>"20190305135208602"</f>
        <v>20190305135208602</v>
      </c>
      <c r="B697" t="str">
        <f>"1551765128590407"</f>
        <v>1551765128590407</v>
      </c>
      <c r="C697" t="s">
        <v>40</v>
      </c>
      <c r="D697">
        <v>4.4561129999999904</v>
      </c>
      <c r="E697">
        <v>0.51181140000000003</v>
      </c>
      <c r="F697" t="s">
        <v>52</v>
      </c>
      <c r="G697">
        <v>-180.08670000000001</v>
      </c>
      <c r="H697" s="1">
        <v>-6.5235149999999997E-6</v>
      </c>
      <c r="I697">
        <v>371.88400000000001</v>
      </c>
      <c r="J697">
        <v>-308.7398</v>
      </c>
      <c r="K697">
        <v>1.060189</v>
      </c>
      <c r="L697">
        <v>368.07819999999998</v>
      </c>
      <c r="M697">
        <v>0.99984010000000001</v>
      </c>
      <c r="N697">
        <v>-1.4986009999999999E-2</v>
      </c>
      <c r="O697">
        <v>9.7477740000000007E-3</v>
      </c>
      <c r="P697">
        <v>0.99796580000000001</v>
      </c>
      <c r="Q697">
        <v>-1.7145529999999999E-2</v>
      </c>
      <c r="R697">
        <v>6.1402409999999998E-2</v>
      </c>
      <c r="S697">
        <v>3.0002439999999999</v>
      </c>
      <c r="T697">
        <v>-2.4684669999999999E-2</v>
      </c>
      <c r="U697">
        <v>8.8653560000000006E-2</v>
      </c>
      <c r="V697">
        <v>-5.1670130000000002E-2</v>
      </c>
      <c r="W697">
        <v>-2.194634E-3</v>
      </c>
      <c r="X697">
        <v>0.99866180000000004</v>
      </c>
      <c r="Y697">
        <v>-1.9788199999999999E-2</v>
      </c>
      <c r="Z697">
        <v>2.9559410000000002E-4</v>
      </c>
      <c r="AA697">
        <v>0.99980409999999997</v>
      </c>
      <c r="AB697">
        <v>30</v>
      </c>
      <c r="AC697">
        <v>128.65309999999999</v>
      </c>
      <c r="AD697">
        <v>-1.060195523515</v>
      </c>
      <c r="AE697">
        <v>3.8058000000000298</v>
      </c>
      <c r="AF697">
        <v>-2.5512237443133001</v>
      </c>
      <c r="AG697">
        <v>-1.060195523515</v>
      </c>
      <c r="AH697">
        <v>128.675357820888</v>
      </c>
      <c r="AI697">
        <v>90.471973968657096</v>
      </c>
      <c r="AJ697">
        <v>91.135844549233695</v>
      </c>
      <c r="AK697">
        <v>128.70501337350899</v>
      </c>
      <c r="AL697">
        <v>90.125743366115501</v>
      </c>
      <c r="AM697">
        <v>92.961806402176194</v>
      </c>
      <c r="AN697">
        <v>1.0000000047659201</v>
      </c>
    </row>
    <row r="698" spans="1:40" x14ac:dyDescent="0.25">
      <c r="A698" t="str">
        <f>"20190305135208617"</f>
        <v>20190305135208617</v>
      </c>
      <c r="B698" t="str">
        <f>"1551765128609927"</f>
        <v>1551765128609927</v>
      </c>
      <c r="C698" t="s">
        <v>40</v>
      </c>
      <c r="D698">
        <v>4.4589030000000003</v>
      </c>
      <c r="E698">
        <v>0.51163549999999902</v>
      </c>
      <c r="F698" t="s">
        <v>52</v>
      </c>
      <c r="G698">
        <v>-184.96299999999999</v>
      </c>
      <c r="H698" s="1">
        <v>-8.247662E-6</v>
      </c>
      <c r="I698">
        <v>371.80369999999999</v>
      </c>
      <c r="J698">
        <v>-308.5403</v>
      </c>
      <c r="K698">
        <v>1.0601080000000001</v>
      </c>
      <c r="L698">
        <v>368.08030000000002</v>
      </c>
      <c r="M698">
        <v>0.99984059999999997</v>
      </c>
      <c r="N698">
        <v>-1.492106E-2</v>
      </c>
      <c r="O698">
        <v>9.8134720000000002E-3</v>
      </c>
      <c r="P698">
        <v>0.99796149999999995</v>
      </c>
      <c r="Q698">
        <v>-1.764056E-2</v>
      </c>
      <c r="R698">
        <v>6.1334399999999997E-2</v>
      </c>
      <c r="S698">
        <v>3.0001220000000002</v>
      </c>
      <c r="T698">
        <v>-2.5697230000000001E-2</v>
      </c>
      <c r="U698">
        <v>9.0301510000000001E-2</v>
      </c>
      <c r="V698">
        <v>-5.1536239999999997E-2</v>
      </c>
      <c r="W698">
        <v>-2.7516250000000002E-3</v>
      </c>
      <c r="X698">
        <v>0.99866739999999998</v>
      </c>
      <c r="Y698">
        <v>-2.0272249999999999E-2</v>
      </c>
      <c r="Z698">
        <v>3.0047070000000002E-4</v>
      </c>
      <c r="AA698">
        <v>0.99979439999999997</v>
      </c>
      <c r="AB698">
        <v>30</v>
      </c>
      <c r="AC698">
        <v>123.57729999999999</v>
      </c>
      <c r="AD698">
        <v>-1.0601162476620001</v>
      </c>
      <c r="AE698">
        <v>3.7233999999999599</v>
      </c>
      <c r="AF698">
        <v>-2.5101788118147699</v>
      </c>
      <c r="AG698">
        <v>-1.0601162476620001</v>
      </c>
      <c r="AH698">
        <v>123.598803959156</v>
      </c>
      <c r="AI698">
        <v>90.491316855874103</v>
      </c>
      <c r="AJ698">
        <v>91.163465004327804</v>
      </c>
      <c r="AK698">
        <v>123.628836378329</v>
      </c>
      <c r="AL698">
        <v>90.157656687901195</v>
      </c>
      <c r="AM698">
        <v>92.954128710305994</v>
      </c>
      <c r="AN698">
        <v>1.0000000656481101</v>
      </c>
    </row>
    <row r="699" spans="1:40" x14ac:dyDescent="0.25">
      <c r="A699" t="str">
        <f>"20190305135208636"</f>
        <v>20190305135208636</v>
      </c>
      <c r="B699" t="str">
        <f>"1551765128630424"</f>
        <v>1551765128630424</v>
      </c>
      <c r="C699" t="s">
        <v>40</v>
      </c>
      <c r="D699">
        <v>4.491733</v>
      </c>
      <c r="E699">
        <v>0.51158199999999998</v>
      </c>
      <c r="F699" t="s">
        <v>52</v>
      </c>
      <c r="G699">
        <v>-198.99449999999999</v>
      </c>
      <c r="H699" s="1">
        <v>-9.5308089999999999E-6</v>
      </c>
      <c r="I699">
        <v>371.42669999999998</v>
      </c>
      <c r="J699">
        <v>-308.28590000000003</v>
      </c>
      <c r="K699">
        <v>1.0600290000000001</v>
      </c>
      <c r="L699">
        <v>368.08280000000002</v>
      </c>
      <c r="M699">
        <v>0.99984119999999999</v>
      </c>
      <c r="N699">
        <v>-1.4845179999999999E-2</v>
      </c>
      <c r="O699">
        <v>9.8715120000000007E-3</v>
      </c>
      <c r="P699">
        <v>0.99794269999999996</v>
      </c>
      <c r="Q699">
        <v>-1.6391349999999999E-2</v>
      </c>
      <c r="R699">
        <v>6.1982799999999998E-2</v>
      </c>
      <c r="S699">
        <v>2.9999690000000001</v>
      </c>
      <c r="T699">
        <v>-2.9031870000000001E-2</v>
      </c>
      <c r="U699">
        <v>9.1644290000000003E-2</v>
      </c>
      <c r="V699">
        <v>-5.2127329999999999E-2</v>
      </c>
      <c r="W699">
        <v>-1.5749570000000001E-3</v>
      </c>
      <c r="X699">
        <v>0.99863919999999995</v>
      </c>
      <c r="Y699">
        <v>-2.0662360000000001E-2</v>
      </c>
      <c r="Z699">
        <v>3.0440090000000001E-4</v>
      </c>
      <c r="AA699">
        <v>0.99978639999999996</v>
      </c>
      <c r="AB699">
        <v>30</v>
      </c>
      <c r="AC699">
        <v>109.2914</v>
      </c>
      <c r="AD699">
        <v>-1.0600385308089999</v>
      </c>
      <c r="AE699">
        <v>3.3438999999999601</v>
      </c>
      <c r="AF699">
        <v>-2.2645340675654602</v>
      </c>
      <c r="AG699">
        <v>-1.0600385308089999</v>
      </c>
      <c r="AH699">
        <v>109.308813094122</v>
      </c>
      <c r="AI699">
        <v>90.555497770713998</v>
      </c>
      <c r="AJ699">
        <v>91.186818186206494</v>
      </c>
      <c r="AK699">
        <v>109.33740629938001</v>
      </c>
      <c r="AL699">
        <v>90.090238426735596</v>
      </c>
      <c r="AM699">
        <v>92.988033981035201</v>
      </c>
      <c r="AN699">
        <v>0.99999999539955997</v>
      </c>
    </row>
    <row r="700" spans="1:40" x14ac:dyDescent="0.25">
      <c r="A700" t="str">
        <f>"20190305135208648"</f>
        <v>20190305135208648</v>
      </c>
      <c r="B700" t="str">
        <f>"1551765128640183"</f>
        <v>1551765128640183</v>
      </c>
      <c r="C700" t="s">
        <v>40</v>
      </c>
      <c r="D700">
        <v>4.4527169999999998</v>
      </c>
      <c r="E700">
        <v>0.51141579999999998</v>
      </c>
      <c r="F700" t="s">
        <v>52</v>
      </c>
      <c r="G700">
        <v>-184.95259999999999</v>
      </c>
      <c r="H700" s="1">
        <v>-8.2212190000000005E-6</v>
      </c>
      <c r="I700">
        <v>371.94970000000001</v>
      </c>
      <c r="J700">
        <v>-308.096</v>
      </c>
      <c r="K700">
        <v>1.059985</v>
      </c>
      <c r="L700">
        <v>368.0847</v>
      </c>
      <c r="M700">
        <v>0.99984170000000006</v>
      </c>
      <c r="N700">
        <v>-1.4793300000000001E-2</v>
      </c>
      <c r="O700">
        <v>9.8990729999999996E-3</v>
      </c>
      <c r="P700">
        <v>0.99794479999999997</v>
      </c>
      <c r="Q700">
        <v>-1.5571669999999999E-2</v>
      </c>
      <c r="R700">
        <v>6.216232E-2</v>
      </c>
      <c r="S700">
        <v>2.9998779999999998</v>
      </c>
      <c r="T700">
        <v>-2.578366E-2</v>
      </c>
      <c r="U700">
        <v>9.4055180000000002E-2</v>
      </c>
      <c r="V700">
        <v>-5.2279760000000002E-2</v>
      </c>
      <c r="W700">
        <v>-8.0457339999999997E-4</v>
      </c>
      <c r="X700">
        <v>0.99863210000000002</v>
      </c>
      <c r="Y700">
        <v>-2.1438809999999999E-2</v>
      </c>
      <c r="Z700">
        <v>3.1210560000000001E-4</v>
      </c>
      <c r="AA700">
        <v>0.99977009999999999</v>
      </c>
      <c r="AB700">
        <v>30</v>
      </c>
      <c r="AC700">
        <v>123.1434</v>
      </c>
      <c r="AD700">
        <v>-1.059993221219</v>
      </c>
      <c r="AE700">
        <v>3.8650000000000002</v>
      </c>
      <c r="AF700">
        <v>-2.6454760086843598</v>
      </c>
      <c r="AG700">
        <v>-1.059993221219</v>
      </c>
      <c r="AH700">
        <v>123.16651218359701</v>
      </c>
      <c r="AI700">
        <v>90.492971944892702</v>
      </c>
      <c r="AJ700">
        <v>91.230458707102102</v>
      </c>
      <c r="AK700">
        <v>123.19947991941299</v>
      </c>
      <c r="AL700">
        <v>90.046098667596098</v>
      </c>
      <c r="AM700">
        <v>92.996776911649505</v>
      </c>
      <c r="AN700">
        <v>0.99999994589720997</v>
      </c>
    </row>
    <row r="701" spans="1:40" x14ac:dyDescent="0.25">
      <c r="A701" t="str">
        <f>"20190305135208661"</f>
        <v>20190305135208661</v>
      </c>
      <c r="B701" t="str">
        <f>"1551765128649943"</f>
        <v>1551765128649943</v>
      </c>
      <c r="C701" t="s">
        <v>40</v>
      </c>
      <c r="D701">
        <v>4.7536139999999998</v>
      </c>
      <c r="E701">
        <v>0.51140280000000005</v>
      </c>
      <c r="F701" t="s">
        <v>52</v>
      </c>
      <c r="G701">
        <v>-180</v>
      </c>
      <c r="H701">
        <v>3.0703350000000001E-2</v>
      </c>
      <c r="I701">
        <v>372.18959999999998</v>
      </c>
      <c r="J701">
        <v>-307.92509999999999</v>
      </c>
      <c r="K701">
        <v>1.059944</v>
      </c>
      <c r="L701">
        <v>368.0865</v>
      </c>
      <c r="M701">
        <v>0.99984200000000001</v>
      </c>
      <c r="N701">
        <v>-1.4750279999999999E-2</v>
      </c>
      <c r="O701">
        <v>9.9135330000000004E-3</v>
      </c>
      <c r="P701">
        <v>0.99795560000000005</v>
      </c>
      <c r="Q701">
        <v>-1.394886E-2</v>
      </c>
      <c r="R701">
        <v>6.2370460000000003E-2</v>
      </c>
      <c r="S701">
        <v>2.9998170000000002</v>
      </c>
      <c r="T701">
        <v>-2.4104239999999999E-2</v>
      </c>
      <c r="U701">
        <v>9.6130370000000007E-2</v>
      </c>
      <c r="V701">
        <v>-5.247309E-2</v>
      </c>
      <c r="W701">
        <v>7.7706970000000005E-4</v>
      </c>
      <c r="X701">
        <v>0.99862209999999996</v>
      </c>
      <c r="Y701">
        <v>-2.211608E-2</v>
      </c>
      <c r="Z701">
        <v>3.1857279999999999E-4</v>
      </c>
      <c r="AA701">
        <v>0.99975539999999996</v>
      </c>
      <c r="AB701">
        <v>30</v>
      </c>
      <c r="AC701">
        <v>127.9251</v>
      </c>
      <c r="AD701">
        <v>-1.02924065</v>
      </c>
      <c r="AE701">
        <v>4.10309999999998</v>
      </c>
      <c r="AF701">
        <v>-2.8343872768328202</v>
      </c>
      <c r="AG701">
        <v>-1.02924065</v>
      </c>
      <c r="AH701">
        <v>127.951218912697</v>
      </c>
      <c r="AI701">
        <v>90.460764744624896</v>
      </c>
      <c r="AJ701">
        <v>91.269013877890401</v>
      </c>
      <c r="AK701">
        <v>127.986747395172</v>
      </c>
      <c r="AL701">
        <v>89.955477184162703</v>
      </c>
      <c r="AM701">
        <v>93.007868713480406</v>
      </c>
      <c r="AN701">
        <v>1.00000006380993</v>
      </c>
    </row>
    <row r="702" spans="1:40" x14ac:dyDescent="0.25">
      <c r="A702" t="str">
        <f>"20190305135208674"</f>
        <v>20190305135208674</v>
      </c>
      <c r="B702" t="str">
        <f>"1551765128670438"</f>
        <v>1551765128670438</v>
      </c>
      <c r="C702" t="s">
        <v>40</v>
      </c>
      <c r="D702">
        <v>4.5222980000000002</v>
      </c>
      <c r="E702">
        <v>0.51146780000000003</v>
      </c>
      <c r="F702" t="s">
        <v>48</v>
      </c>
      <c r="G702">
        <v>-158.19499999999999</v>
      </c>
      <c r="H702">
        <v>0.1138306</v>
      </c>
      <c r="I702">
        <v>372.90750000000003</v>
      </c>
      <c r="J702">
        <v>-307.7724</v>
      </c>
      <c r="K702">
        <v>1.059911</v>
      </c>
      <c r="L702">
        <v>368.08800000000002</v>
      </c>
      <c r="M702">
        <v>0.99984260000000003</v>
      </c>
      <c r="N702">
        <v>-1.471474E-2</v>
      </c>
      <c r="O702">
        <v>9.9193170000000004E-3</v>
      </c>
      <c r="P702">
        <v>0.99797800000000003</v>
      </c>
      <c r="Q702">
        <v>-1.2311549999999999E-2</v>
      </c>
      <c r="R702">
        <v>6.2360699999999998E-2</v>
      </c>
      <c r="S702">
        <v>2.9998170000000002</v>
      </c>
      <c r="T702">
        <v>-1.8953439999999998E-2</v>
      </c>
      <c r="U702">
        <v>9.6588129999999994E-2</v>
      </c>
      <c r="V702">
        <v>-5.2457719999999999E-2</v>
      </c>
      <c r="W702">
        <v>2.381148E-3</v>
      </c>
      <c r="X702">
        <v>0.99862030000000002</v>
      </c>
      <c r="Y702">
        <v>-2.2263370000000001E-2</v>
      </c>
      <c r="Z702">
        <v>3.174575E-4</v>
      </c>
      <c r="AA702">
        <v>0.99975210000000003</v>
      </c>
      <c r="AB702">
        <v>30</v>
      </c>
      <c r="AC702">
        <v>149.57740000000001</v>
      </c>
      <c r="AD702">
        <v>-0.94608040000000004</v>
      </c>
      <c r="AE702">
        <v>4.8194999999999997</v>
      </c>
      <c r="AF702">
        <v>-3.33526335225408</v>
      </c>
      <c r="AG702">
        <v>-0.94608040000000004</v>
      </c>
      <c r="AH702">
        <v>149.61187172294001</v>
      </c>
      <c r="AI702">
        <v>90.362218766505194</v>
      </c>
      <c r="AJ702">
        <v>91.2770702259145</v>
      </c>
      <c r="AK702">
        <v>149.65203376564401</v>
      </c>
      <c r="AL702">
        <v>89.863570139313595</v>
      </c>
      <c r="AM702">
        <v>93.006994699761606</v>
      </c>
      <c r="AN702">
        <v>0.999999992912743</v>
      </c>
    </row>
    <row r="703" spans="1:40" x14ac:dyDescent="0.25">
      <c r="A703" t="str">
        <f>"20190305135208689"</f>
        <v>20190305135208689</v>
      </c>
      <c r="B703" t="str">
        <f>"1551765128680198"</f>
        <v>1551765128680198</v>
      </c>
      <c r="C703" t="s">
        <v>40</v>
      </c>
      <c r="D703">
        <v>4.5035100000000003</v>
      </c>
      <c r="E703">
        <v>0.51139460000000003</v>
      </c>
      <c r="F703" t="s">
        <v>48</v>
      </c>
      <c r="G703">
        <v>-158.19499999999999</v>
      </c>
      <c r="H703">
        <v>0.47721200000000003</v>
      </c>
      <c r="I703">
        <v>372.88420000000002</v>
      </c>
      <c r="J703">
        <v>-307.5591</v>
      </c>
      <c r="K703">
        <v>1.059868</v>
      </c>
      <c r="L703">
        <v>368.09010000000001</v>
      </c>
      <c r="M703">
        <v>0.99984329999999999</v>
      </c>
      <c r="N703">
        <v>-1.466802E-2</v>
      </c>
      <c r="O703">
        <v>9.9212720000000001E-3</v>
      </c>
      <c r="P703">
        <v>0.99792360000000002</v>
      </c>
      <c r="Q703">
        <v>-1.169075E-2</v>
      </c>
      <c r="R703">
        <v>6.3341040000000001E-2</v>
      </c>
      <c r="S703">
        <v>2.999908</v>
      </c>
      <c r="T703">
        <v>-1.1684780000000001E-2</v>
      </c>
      <c r="U703">
        <v>9.6191410000000005E-2</v>
      </c>
      <c r="V703">
        <v>-5.3436160000000003E-2</v>
      </c>
      <c r="W703">
        <v>2.9557339999999998E-3</v>
      </c>
      <c r="X703">
        <v>0.99856690000000004</v>
      </c>
      <c r="Y703">
        <v>-2.2129269999999999E-2</v>
      </c>
      <c r="Z703">
        <v>3.1230880000000002E-4</v>
      </c>
      <c r="AA703">
        <v>0.99975510000000001</v>
      </c>
      <c r="AB703">
        <v>30</v>
      </c>
      <c r="AC703">
        <v>149.36410000000001</v>
      </c>
      <c r="AD703">
        <v>-0.58265599999999995</v>
      </c>
      <c r="AE703">
        <v>4.79410000000001</v>
      </c>
      <c r="AF703">
        <v>-3.3117725047078701</v>
      </c>
      <c r="AG703">
        <v>-0.58265599999999995</v>
      </c>
      <c r="AH703">
        <v>149.40204471810301</v>
      </c>
      <c r="AI703">
        <v>90.223392938176204</v>
      </c>
      <c r="AJ703">
        <v>91.2698589068724</v>
      </c>
      <c r="AK703">
        <v>149.439881862531</v>
      </c>
      <c r="AL703">
        <v>89.8306486709794</v>
      </c>
      <c r="AM703">
        <v>93.063138748399396</v>
      </c>
      <c r="AN703">
        <v>1.00000000666731</v>
      </c>
    </row>
    <row r="704" spans="1:40" x14ac:dyDescent="0.25">
      <c r="A704" t="str">
        <f>"20190305135208701"</f>
        <v>20190305135208701</v>
      </c>
      <c r="B704" t="str">
        <f>"1551765128689959"</f>
        <v>1551765128689959</v>
      </c>
      <c r="C704" t="s">
        <v>40</v>
      </c>
      <c r="D704">
        <v>4.53531</v>
      </c>
      <c r="E704">
        <v>0.51134460000000004</v>
      </c>
      <c r="F704" t="s">
        <v>48</v>
      </c>
      <c r="G704">
        <v>-158.19499999999999</v>
      </c>
      <c r="H704">
        <v>0.50664039999999999</v>
      </c>
      <c r="I704">
        <v>373.04379999999998</v>
      </c>
      <c r="J704">
        <v>-307.40280000000001</v>
      </c>
      <c r="K704">
        <v>1.0598379999999901</v>
      </c>
      <c r="L704">
        <v>368.0917</v>
      </c>
      <c r="M704">
        <v>0.9998437</v>
      </c>
      <c r="N704">
        <v>-1.463654E-2</v>
      </c>
      <c r="O704">
        <v>9.9174959999999996E-3</v>
      </c>
      <c r="P704">
        <v>0.99789229999999995</v>
      </c>
      <c r="Q704">
        <v>-1.1640030000000001E-2</v>
      </c>
      <c r="R704">
        <v>6.3838770000000003E-2</v>
      </c>
      <c r="S704">
        <v>2.9997859999999998</v>
      </c>
      <c r="T704">
        <v>-1.110911E-2</v>
      </c>
      <c r="U704">
        <v>9.9487300000000001E-2</v>
      </c>
      <c r="V704">
        <v>-5.3938489999999999E-2</v>
      </c>
      <c r="W704">
        <v>2.9757619999999999E-3</v>
      </c>
      <c r="X704">
        <v>0.99853979999999998</v>
      </c>
      <c r="Y704">
        <v>-2.3231640000000001E-2</v>
      </c>
      <c r="Z704">
        <v>3.2149860000000002E-4</v>
      </c>
      <c r="AA704">
        <v>0.99973009999999995</v>
      </c>
      <c r="AB704">
        <v>30</v>
      </c>
      <c r="AC704">
        <v>149.20779999999999</v>
      </c>
      <c r="AD704">
        <v>-0.55319759999999896</v>
      </c>
      <c r="AE704">
        <v>4.9520999999999704</v>
      </c>
      <c r="AF704">
        <v>-3.47188245133297</v>
      </c>
      <c r="AG704">
        <v>-0.55319759999999896</v>
      </c>
      <c r="AH704">
        <v>149.24752884028101</v>
      </c>
      <c r="AI704">
        <v>90.212312862603497</v>
      </c>
      <c r="AJ704">
        <v>91.332607261011702</v>
      </c>
      <c r="AK704">
        <v>149.28893080289299</v>
      </c>
      <c r="AL704">
        <v>89.829501140502501</v>
      </c>
      <c r="AM704">
        <v>93.091962117170098</v>
      </c>
      <c r="AN704">
        <v>0.99999997402350005</v>
      </c>
    </row>
    <row r="705" spans="1:40" x14ac:dyDescent="0.25">
      <c r="A705" t="str">
        <f>"20190305135208716"</f>
        <v>20190305135208716</v>
      </c>
      <c r="B705" t="str">
        <f>"1551765128710455"</f>
        <v>1551765128710455</v>
      </c>
      <c r="C705" t="s">
        <v>40</v>
      </c>
      <c r="D705">
        <v>4.5345700000000004</v>
      </c>
      <c r="E705">
        <v>0.511488099999999</v>
      </c>
      <c r="F705" t="s">
        <v>48</v>
      </c>
      <c r="G705">
        <v>-158.19499999999999</v>
      </c>
      <c r="H705">
        <v>0.5057912</v>
      </c>
      <c r="I705">
        <v>373.12990000000002</v>
      </c>
      <c r="J705">
        <v>-307.22699999999998</v>
      </c>
      <c r="K705">
        <v>1.0598129999999999</v>
      </c>
      <c r="L705">
        <v>368.09339999999997</v>
      </c>
      <c r="M705">
        <v>0.99984430000000002</v>
      </c>
      <c r="N705">
        <v>-1.460388E-2</v>
      </c>
      <c r="O705">
        <v>9.9071799999999998E-3</v>
      </c>
      <c r="P705">
        <v>0.99784519999999999</v>
      </c>
      <c r="Q705">
        <v>-1.1955189999999999E-2</v>
      </c>
      <c r="R705">
        <v>6.4512529999999998E-2</v>
      </c>
      <c r="S705">
        <v>2.999695</v>
      </c>
      <c r="T705">
        <v>-1.113689E-2</v>
      </c>
      <c r="U705">
        <v>0.1012878</v>
      </c>
      <c r="V705">
        <v>-5.4622280000000002E-2</v>
      </c>
      <c r="W705">
        <v>2.6286259999999998E-3</v>
      </c>
      <c r="X705">
        <v>0.99850360000000005</v>
      </c>
      <c r="Y705">
        <v>-2.3842349999999998E-2</v>
      </c>
      <c r="Z705">
        <v>3.2629339999999999E-4</v>
      </c>
      <c r="AA705">
        <v>0.99971569999999998</v>
      </c>
      <c r="AB705">
        <v>30</v>
      </c>
      <c r="AC705">
        <v>149.03200000000001</v>
      </c>
      <c r="AD705">
        <v>-0.55402179999999901</v>
      </c>
      <c r="AE705">
        <v>5.0365000000000402</v>
      </c>
      <c r="AF705">
        <v>-3.5595593481099201</v>
      </c>
      <c r="AG705">
        <v>-0.55402179999999901</v>
      </c>
      <c r="AH705">
        <v>149.07252941403399</v>
      </c>
      <c r="AI705">
        <v>90.212875702416497</v>
      </c>
      <c r="AJ705">
        <v>91.367850808193694</v>
      </c>
      <c r="AK705">
        <v>149.11605020522001</v>
      </c>
      <c r="AL705">
        <v>89.849390646497099</v>
      </c>
      <c r="AM705">
        <v>93.1311953787975</v>
      </c>
      <c r="AN705">
        <v>0.99999997118000195</v>
      </c>
    </row>
    <row r="706" spans="1:40" x14ac:dyDescent="0.25">
      <c r="A706" t="str">
        <f>"20190305135208728"</f>
        <v>20190305135208728</v>
      </c>
      <c r="B706" t="str">
        <f>"1551765128720215"</f>
        <v>1551765128720215</v>
      </c>
      <c r="C706" t="s">
        <v>40</v>
      </c>
      <c r="D706">
        <v>4.6803730000000003</v>
      </c>
      <c r="E706">
        <v>0.511488099999999</v>
      </c>
      <c r="F706" t="s">
        <v>48</v>
      </c>
      <c r="G706">
        <v>-158.19499999999999</v>
      </c>
      <c r="H706">
        <v>0.34302519999999997</v>
      </c>
      <c r="I706">
        <v>373.16969999999998</v>
      </c>
      <c r="J706">
        <v>-307.04300000000001</v>
      </c>
      <c r="K706">
        <v>1.059788</v>
      </c>
      <c r="L706">
        <v>368.09530000000001</v>
      </c>
      <c r="M706">
        <v>0.99984499999999998</v>
      </c>
      <c r="N706">
        <v>-1.457164E-2</v>
      </c>
      <c r="O706">
        <v>9.8922149999999993E-3</v>
      </c>
      <c r="P706">
        <v>0.99782210000000005</v>
      </c>
      <c r="Q706">
        <v>-1.160422E-2</v>
      </c>
      <c r="R706">
        <v>6.4936240000000006E-2</v>
      </c>
      <c r="S706">
        <v>2.999695</v>
      </c>
      <c r="T706">
        <v>-1.442564E-2</v>
      </c>
      <c r="U706">
        <v>0.1021729</v>
      </c>
      <c r="V706">
        <v>-5.5061680000000002E-2</v>
      </c>
      <c r="W706">
        <v>2.9476279999999999E-3</v>
      </c>
      <c r="X706">
        <v>0.99847859999999999</v>
      </c>
      <c r="Y706">
        <v>-2.4151490000000001E-2</v>
      </c>
      <c r="Z706">
        <v>3.3064910000000001E-4</v>
      </c>
      <c r="AA706">
        <v>0.99970820000000005</v>
      </c>
      <c r="AB706">
        <v>30</v>
      </c>
      <c r="AC706">
        <v>148.84799999999899</v>
      </c>
      <c r="AD706">
        <v>-0.71676279999999903</v>
      </c>
      <c r="AE706">
        <v>5.0743999999999598</v>
      </c>
      <c r="AF706">
        <v>-3.6014756370119301</v>
      </c>
      <c r="AG706">
        <v>-0.71676279999999903</v>
      </c>
      <c r="AH706">
        <v>148.88746942059601</v>
      </c>
      <c r="AI706">
        <v>90.275746220363104</v>
      </c>
      <c r="AJ706">
        <v>91.385671491321503</v>
      </c>
      <c r="AK706">
        <v>148.93274631908301</v>
      </c>
      <c r="AL706">
        <v>89.831113110767504</v>
      </c>
      <c r="AM706">
        <v>93.156411910263401</v>
      </c>
      <c r="AN706">
        <v>0.99999999588660404</v>
      </c>
    </row>
    <row r="707" spans="1:40" x14ac:dyDescent="0.25">
      <c r="A707" t="str">
        <f>"20190305135208739"</f>
        <v>20190305135208739</v>
      </c>
      <c r="B707" t="str">
        <f>"1551765128729975"</f>
        <v>1551765128729975</v>
      </c>
      <c r="C707" t="s">
        <v>40</v>
      </c>
      <c r="D707">
        <v>4.6340000000000003</v>
      </c>
      <c r="E707">
        <v>0.53314640000000002</v>
      </c>
      <c r="F707" t="s">
        <v>48</v>
      </c>
      <c r="G707">
        <v>-158.19499999999999</v>
      </c>
      <c r="H707">
        <v>0.39558320000000002</v>
      </c>
      <c r="I707">
        <v>373.24259999999998</v>
      </c>
      <c r="J707">
        <v>-306.88589999999999</v>
      </c>
      <c r="K707">
        <v>1.0597700000000001</v>
      </c>
      <c r="L707">
        <v>368.09679999999997</v>
      </c>
      <c r="M707">
        <v>0.9998456</v>
      </c>
      <c r="N707">
        <v>-1.454621E-2</v>
      </c>
      <c r="O707">
        <v>9.8745329999999996E-3</v>
      </c>
      <c r="P707">
        <v>0.99779799999999996</v>
      </c>
      <c r="Q707">
        <v>-1.1699940000000001E-2</v>
      </c>
      <c r="R707">
        <v>6.5289219999999995E-2</v>
      </c>
      <c r="S707">
        <v>2.9996339999999999</v>
      </c>
      <c r="T707">
        <v>-1.338351E-2</v>
      </c>
      <c r="U707">
        <v>0.10372919999999999</v>
      </c>
      <c r="V707">
        <v>-5.543211E-2</v>
      </c>
      <c r="W707">
        <v>2.8274659999999998E-3</v>
      </c>
      <c r="X707">
        <v>0.99845839999999997</v>
      </c>
      <c r="Y707">
        <v>-2.4688069999999999E-2</v>
      </c>
      <c r="Z707">
        <v>3.3425430000000002E-4</v>
      </c>
      <c r="AA707">
        <v>0.99969509999999995</v>
      </c>
      <c r="AB707">
        <v>30</v>
      </c>
      <c r="AC707">
        <v>148.6909</v>
      </c>
      <c r="AD707">
        <v>-0.66418679999999997</v>
      </c>
      <c r="AE707">
        <v>5.1458000000000004</v>
      </c>
      <c r="AF707">
        <v>-3.6770674631163098</v>
      </c>
      <c r="AG707">
        <v>-0.66418679999999997</v>
      </c>
      <c r="AH707">
        <v>148.73150276079801</v>
      </c>
      <c r="AI707">
        <v>90.255784566993597</v>
      </c>
      <c r="AJ707">
        <v>91.416226787472596</v>
      </c>
      <c r="AK707">
        <v>148.778432182622</v>
      </c>
      <c r="AL707">
        <v>89.837997906709603</v>
      </c>
      <c r="AM707">
        <v>93.177667601607794</v>
      </c>
      <c r="AN707">
        <v>0.99999994495679501</v>
      </c>
    </row>
    <row r="708" spans="1:40" x14ac:dyDescent="0.25">
      <c r="A708" t="str">
        <f>"20190305135208752"</f>
        <v>20190305135208752</v>
      </c>
      <c r="B708" t="str">
        <f>"1551765128740711"</f>
        <v>1551765128740711</v>
      </c>
      <c r="C708" t="s">
        <v>40</v>
      </c>
      <c r="D708">
        <v>4.6375789999999997</v>
      </c>
      <c r="E708">
        <v>0.53885190000000005</v>
      </c>
      <c r="F708" t="s">
        <v>52</v>
      </c>
      <c r="G708">
        <v>-196.83699999999999</v>
      </c>
      <c r="H708" s="1">
        <v>-8.3451219999999993E-6</v>
      </c>
      <c r="I708">
        <v>365.6216</v>
      </c>
      <c r="J708">
        <v>-306.7362</v>
      </c>
      <c r="K708">
        <v>1.0597510000000001</v>
      </c>
      <c r="L708">
        <v>368.09829999999999</v>
      </c>
      <c r="M708">
        <v>0.99984600000000001</v>
      </c>
      <c r="N708">
        <v>-1.45235E-2</v>
      </c>
      <c r="O708">
        <v>9.8546239999999993E-3</v>
      </c>
      <c r="P708">
        <v>0.99779030000000002</v>
      </c>
      <c r="Q708">
        <v>-1.124265E-2</v>
      </c>
      <c r="R708">
        <v>6.5486420000000004E-2</v>
      </c>
      <c r="S708">
        <v>3.0107119999999998</v>
      </c>
      <c r="T708">
        <v>-2.8993370000000001E-2</v>
      </c>
      <c r="U708">
        <v>-6.7718509999999996E-2</v>
      </c>
      <c r="V708">
        <v>-5.564914E-2</v>
      </c>
      <c r="W708">
        <v>3.2623399999999999E-3</v>
      </c>
      <c r="X708">
        <v>0.99844500000000003</v>
      </c>
      <c r="Y708">
        <v>3.2335040000000002E-2</v>
      </c>
      <c r="Z708">
        <v>-3.4231129999999998E-4</v>
      </c>
      <c r="AA708">
        <v>0.99947699999999995</v>
      </c>
      <c r="AB708">
        <v>30</v>
      </c>
      <c r="AC708">
        <v>109.899199999999</v>
      </c>
      <c r="AD708">
        <v>-1.059759345122</v>
      </c>
      <c r="AE708">
        <v>-2.4766999999999899</v>
      </c>
      <c r="AF708">
        <v>3.5593783964252399</v>
      </c>
      <c r="AG708">
        <v>-1.059759345122</v>
      </c>
      <c r="AH708">
        <v>109.85924249841</v>
      </c>
      <c r="AI708">
        <v>90.552397883106707</v>
      </c>
      <c r="AJ708">
        <v>88.144297732560602</v>
      </c>
      <c r="AK708">
        <v>109.921997010439</v>
      </c>
      <c r="AL708">
        <v>89.813081344605706</v>
      </c>
      <c r="AM708">
        <v>93.190126011316806</v>
      </c>
      <c r="AN708">
        <v>0.99999994383500601</v>
      </c>
    </row>
    <row r="709" spans="1:40" x14ac:dyDescent="0.25">
      <c r="A709" t="str">
        <f>"20190305135208769"</f>
        <v>20190305135208769</v>
      </c>
      <c r="B709" t="str">
        <f>"1551765128760231"</f>
        <v>1551765128760231</v>
      </c>
      <c r="C709" t="s">
        <v>40</v>
      </c>
      <c r="D709">
        <v>4.5719399999999997</v>
      </c>
      <c r="E709">
        <v>0.54394919999999902</v>
      </c>
      <c r="F709" t="s">
        <v>42</v>
      </c>
      <c r="G709">
        <v>-243.93819999999999</v>
      </c>
      <c r="H709" s="1">
        <v>-3.532691E-6</v>
      </c>
      <c r="I709">
        <v>365.74459999999999</v>
      </c>
      <c r="J709">
        <v>-306.50490000000002</v>
      </c>
      <c r="K709">
        <v>1.059734</v>
      </c>
      <c r="L709">
        <v>368.10050000000001</v>
      </c>
      <c r="M709">
        <v>0.99984680000000004</v>
      </c>
      <c r="N709">
        <v>-1.4490879999999999E-2</v>
      </c>
      <c r="O709">
        <v>9.8188049999999999E-3</v>
      </c>
      <c r="P709">
        <v>0.99780809999999998</v>
      </c>
      <c r="Q709">
        <v>-1.180602E-2</v>
      </c>
      <c r="R709">
        <v>6.5113799999999999E-2</v>
      </c>
      <c r="S709">
        <v>3.013458</v>
      </c>
      <c r="T709">
        <v>-5.0853969999999998E-2</v>
      </c>
      <c r="U709">
        <v>-0.11294559999999999</v>
      </c>
      <c r="V709">
        <v>-5.5312149999999997E-2</v>
      </c>
      <c r="W709">
        <v>2.6682030000000001E-3</v>
      </c>
      <c r="X709">
        <v>0.99846550000000001</v>
      </c>
      <c r="Y709">
        <v>4.7252700000000002E-2</v>
      </c>
      <c r="Z709">
        <v>-7.6449069999999996E-4</v>
      </c>
      <c r="AA709">
        <v>0.99888270000000001</v>
      </c>
      <c r="AB709">
        <v>30</v>
      </c>
      <c r="AC709">
        <v>62.566699999999997</v>
      </c>
      <c r="AD709">
        <v>-1.0597375326909999</v>
      </c>
      <c r="AE709">
        <v>-2.3559000000000201</v>
      </c>
      <c r="AF709">
        <v>2.9693304854035798</v>
      </c>
      <c r="AG709">
        <v>-1.0597375326909999</v>
      </c>
      <c r="AH709">
        <v>62.5226372421482</v>
      </c>
      <c r="AI709">
        <v>90.969958035563195</v>
      </c>
      <c r="AJ709">
        <v>87.280946938135898</v>
      </c>
      <c r="AK709">
        <v>62.602077720176297</v>
      </c>
      <c r="AL709">
        <v>89.847123040781796</v>
      </c>
      <c r="AM709">
        <v>93.170782393097397</v>
      </c>
      <c r="AN709">
        <v>0.99999995396755903</v>
      </c>
    </row>
    <row r="710" spans="1:40" x14ac:dyDescent="0.25">
      <c r="A710" t="str">
        <f>"20190305135208780"</f>
        <v>20190305135208780</v>
      </c>
      <c r="B710" t="str">
        <f>"1551765128769993"</f>
        <v>1551765128769993</v>
      </c>
      <c r="C710" t="s">
        <v>40</v>
      </c>
      <c r="D710">
        <v>4.6144080000000001</v>
      </c>
      <c r="E710">
        <v>0.54501840000000001</v>
      </c>
      <c r="F710" t="s">
        <v>42</v>
      </c>
      <c r="G710">
        <v>-255.05289999999999</v>
      </c>
      <c r="H710" s="1">
        <v>-2.8416329999999999E-6</v>
      </c>
      <c r="I710">
        <v>365.4615</v>
      </c>
      <c r="J710">
        <v>-306.3519</v>
      </c>
      <c r="K710">
        <v>1.0597270000000001</v>
      </c>
      <c r="L710">
        <v>368.10210000000001</v>
      </c>
      <c r="M710">
        <v>0.9998475</v>
      </c>
      <c r="N710">
        <v>-1.4471070000000001E-2</v>
      </c>
      <c r="O710">
        <v>9.7916500000000007E-3</v>
      </c>
      <c r="P710">
        <v>0.99780170000000001</v>
      </c>
      <c r="Q710">
        <v>-1.286263E-2</v>
      </c>
      <c r="R710">
        <v>6.5014970000000005E-2</v>
      </c>
      <c r="S710">
        <v>3.0159609999999999</v>
      </c>
      <c r="T710">
        <v>-6.2118409999999999E-2</v>
      </c>
      <c r="U710">
        <v>-0.15469359999999999</v>
      </c>
      <c r="V710">
        <v>-5.5240860000000003E-2</v>
      </c>
      <c r="W710">
        <v>1.5924610000000001E-3</v>
      </c>
      <c r="X710">
        <v>0.99847180000000002</v>
      </c>
      <c r="Y710">
        <v>6.0979510000000001E-2</v>
      </c>
      <c r="Z710">
        <v>-1.129049E-3</v>
      </c>
      <c r="AA710">
        <v>0.99813839999999998</v>
      </c>
      <c r="AB710">
        <v>30</v>
      </c>
      <c r="AC710">
        <v>51.298999999999999</v>
      </c>
      <c r="AD710">
        <v>-1.0597298416329901</v>
      </c>
      <c r="AE710">
        <v>-2.6406000000000001</v>
      </c>
      <c r="AF710">
        <v>3.14149067693601</v>
      </c>
      <c r="AG710">
        <v>-1.0597298416329901</v>
      </c>
      <c r="AH710">
        <v>51.248869101199404</v>
      </c>
      <c r="AI710">
        <v>91.182381007232095</v>
      </c>
      <c r="AJ710">
        <v>86.492230512042198</v>
      </c>
      <c r="AK710">
        <v>51.355998434091397</v>
      </c>
      <c r="AL710">
        <v>89.908758668189293</v>
      </c>
      <c r="AM710">
        <v>93.1666840592287</v>
      </c>
      <c r="AN710">
        <v>1.0000000119704</v>
      </c>
    </row>
    <row r="711" spans="1:40" x14ac:dyDescent="0.25">
      <c r="A711" t="str">
        <f>"20190305135208794"</f>
        <v>20190305135208794</v>
      </c>
      <c r="B711" t="str">
        <f>"1551765128790487"</f>
        <v>1551765128790487</v>
      </c>
      <c r="C711" t="s">
        <v>40</v>
      </c>
      <c r="D711">
        <v>4.5914479999999998</v>
      </c>
      <c r="E711">
        <v>0.54588369999999997</v>
      </c>
      <c r="F711" t="s">
        <v>42</v>
      </c>
      <c r="G711">
        <v>-257.9545</v>
      </c>
      <c r="H711" s="1">
        <v>-1.7839129999999999E-6</v>
      </c>
      <c r="I711">
        <v>365.47559999999999</v>
      </c>
      <c r="J711">
        <v>-306.18709999999999</v>
      </c>
      <c r="K711">
        <v>1.0597219999999901</v>
      </c>
      <c r="L711">
        <v>368.10359999999997</v>
      </c>
      <c r="M711">
        <v>0.99984810000000002</v>
      </c>
      <c r="N711">
        <v>-1.4451220000000001E-2</v>
      </c>
      <c r="O711">
        <v>9.7596109999999996E-3</v>
      </c>
      <c r="P711">
        <v>0.99776719999999997</v>
      </c>
      <c r="Q711">
        <v>-1.453056E-2</v>
      </c>
      <c r="R711">
        <v>6.5190929999999994E-2</v>
      </c>
      <c r="S711">
        <v>3.0164179999999998</v>
      </c>
      <c r="T711">
        <v>-6.6048620000000002E-2</v>
      </c>
      <c r="U711">
        <v>-0.16369629999999999</v>
      </c>
      <c r="V711">
        <v>-5.5448989999999997E-2</v>
      </c>
      <c r="W711" s="1">
        <v>-9.4576999999999999E-5</v>
      </c>
      <c r="X711">
        <v>0.9984615</v>
      </c>
      <c r="Y711">
        <v>6.3906749999999998E-2</v>
      </c>
      <c r="Z711">
        <v>-1.233886E-3</v>
      </c>
      <c r="AA711">
        <v>0.99795509999999998</v>
      </c>
      <c r="AB711">
        <v>30</v>
      </c>
      <c r="AC711">
        <v>48.232599999999898</v>
      </c>
      <c r="AD711">
        <v>-1.05972378391299</v>
      </c>
      <c r="AE711">
        <v>-2.6279999999999801</v>
      </c>
      <c r="AF711">
        <v>3.0971646457150399</v>
      </c>
      <c r="AG711">
        <v>-1.05972378391299</v>
      </c>
      <c r="AH711">
        <v>48.181461677749802</v>
      </c>
      <c r="AI711">
        <v>91.257390555753304</v>
      </c>
      <c r="AJ711">
        <v>86.322015936378605</v>
      </c>
      <c r="AK711">
        <v>48.292532473927402</v>
      </c>
      <c r="AL711">
        <v>90.005418863038003</v>
      </c>
      <c r="AM711">
        <v>93.178623421616507</v>
      </c>
      <c r="AN711">
        <v>0.99999998320953898</v>
      </c>
    </row>
    <row r="712" spans="1:40" x14ac:dyDescent="0.25">
      <c r="A712" t="str">
        <f>"20190305135208809"</f>
        <v>20190305135208809</v>
      </c>
      <c r="B712" t="str">
        <f>"1551765128800247"</f>
        <v>1551765128800247</v>
      </c>
      <c r="C712" t="s">
        <v>40</v>
      </c>
      <c r="D712">
        <v>4.6057050000000004</v>
      </c>
      <c r="E712">
        <v>0.54615349999999996</v>
      </c>
      <c r="F712" t="s">
        <v>42</v>
      </c>
      <c r="G712">
        <v>-264.51190000000003</v>
      </c>
      <c r="H712" s="1">
        <v>-3.0218609999999998E-6</v>
      </c>
      <c r="I712">
        <v>365.75360000000001</v>
      </c>
      <c r="J712">
        <v>-305.98680000000002</v>
      </c>
      <c r="K712">
        <v>1.0597219999999901</v>
      </c>
      <c r="L712">
        <v>368.10550000000001</v>
      </c>
      <c r="M712">
        <v>0.99984870000000003</v>
      </c>
      <c r="N712">
        <v>-1.44286E-2</v>
      </c>
      <c r="O712">
        <v>9.7176910000000005E-3</v>
      </c>
      <c r="P712">
        <v>0.99772039999999995</v>
      </c>
      <c r="Q712">
        <v>-1.6408039999999999E-2</v>
      </c>
      <c r="R712">
        <v>6.545956E-2</v>
      </c>
      <c r="S712">
        <v>3.016724</v>
      </c>
      <c r="T712">
        <v>-7.6709749999999993E-2</v>
      </c>
      <c r="U712">
        <v>-0.17010500000000001</v>
      </c>
      <c r="V712">
        <v>-5.5760730000000001E-2</v>
      </c>
      <c r="W712">
        <v>-1.994114E-3</v>
      </c>
      <c r="X712">
        <v>0.99844219999999895</v>
      </c>
      <c r="Y712">
        <v>6.5964590000000004E-2</v>
      </c>
      <c r="Z712">
        <v>-1.4210799999999999E-3</v>
      </c>
      <c r="AA712">
        <v>0.99782099999999996</v>
      </c>
      <c r="AB712">
        <v>30</v>
      </c>
      <c r="AC712">
        <v>41.474899999999899</v>
      </c>
      <c r="AD712">
        <v>-1.0597250218609999</v>
      </c>
      <c r="AE712">
        <v>-2.3519000000000001</v>
      </c>
      <c r="AF712">
        <v>2.7530795430225501</v>
      </c>
      <c r="AG712">
        <v>-1.0597250218609999</v>
      </c>
      <c r="AH712">
        <v>41.423127271509301</v>
      </c>
      <c r="AI712">
        <v>91.462249743672999</v>
      </c>
      <c r="AJ712">
        <v>86.197578409962404</v>
      </c>
      <c r="AK712">
        <v>41.528037962848998</v>
      </c>
      <c r="AL712">
        <v>90.114254388234201</v>
      </c>
      <c r="AM712">
        <v>93.196518679840807</v>
      </c>
      <c r="AN712">
        <v>1.0000000311207999</v>
      </c>
    </row>
    <row r="713" spans="1:40" x14ac:dyDescent="0.25">
      <c r="A713" t="str">
        <f>"20190305135208824"</f>
        <v>20190305135208824</v>
      </c>
      <c r="B713" t="str">
        <f>"1551765128820742"</f>
        <v>1551765128820742</v>
      </c>
      <c r="C713" t="s">
        <v>40</v>
      </c>
      <c r="D713">
        <v>4.6095519999999999</v>
      </c>
      <c r="E713">
        <v>0.54677830000000005</v>
      </c>
      <c r="F713" t="s">
        <v>42</v>
      </c>
      <c r="G713">
        <v>-267.91649999999998</v>
      </c>
      <c r="H713" s="1">
        <v>-1.67245E-6</v>
      </c>
      <c r="I713">
        <v>365.94299999999998</v>
      </c>
      <c r="J713">
        <v>-305.77569999999997</v>
      </c>
      <c r="K713">
        <v>1.059741</v>
      </c>
      <c r="L713">
        <v>368.10750000000002</v>
      </c>
      <c r="M713">
        <v>0.99984960000000001</v>
      </c>
      <c r="N713">
        <v>-1.440687E-2</v>
      </c>
      <c r="O713">
        <v>9.6699449999999992E-3</v>
      </c>
      <c r="P713">
        <v>0.99775460000000005</v>
      </c>
      <c r="Q713">
        <v>-1.515992E-2</v>
      </c>
      <c r="R713">
        <v>6.5237749999999997E-2</v>
      </c>
      <c r="S713">
        <v>3.0167540000000002</v>
      </c>
      <c r="T713">
        <v>-8.3974240000000006E-2</v>
      </c>
      <c r="U713">
        <v>-0.17135619999999999</v>
      </c>
      <c r="V713">
        <v>-5.5585620000000002E-2</v>
      </c>
      <c r="W713">
        <v>-7.6661139999999997E-4</v>
      </c>
      <c r="X713">
        <v>0.99845360000000005</v>
      </c>
      <c r="Y713">
        <v>6.6323069999999998E-2</v>
      </c>
      <c r="Z713">
        <v>-1.5301959999999999E-3</v>
      </c>
      <c r="AA713">
        <v>0.99779700000000005</v>
      </c>
      <c r="AB713">
        <v>30</v>
      </c>
      <c r="AC713">
        <v>37.859199999999902</v>
      </c>
      <c r="AD713">
        <v>-1.0597426724500001</v>
      </c>
      <c r="AE713">
        <v>-2.1644999999999701</v>
      </c>
      <c r="AF713">
        <v>2.52855834856096</v>
      </c>
      <c r="AG713">
        <v>-1.0597426724500001</v>
      </c>
      <c r="AH713">
        <v>37.806970217425899</v>
      </c>
      <c r="AI713">
        <v>91.602023348977994</v>
      </c>
      <c r="AJ713">
        <v>86.173713806337602</v>
      </c>
      <c r="AK713">
        <v>37.9062482827728</v>
      </c>
      <c r="AL713">
        <v>90.043923603362202</v>
      </c>
      <c r="AM713">
        <v>93.186464801072802</v>
      </c>
      <c r="AN713">
        <v>0.99999997009839103</v>
      </c>
    </row>
    <row r="714" spans="1:40" x14ac:dyDescent="0.25">
      <c r="A714" t="str">
        <f>"20190305135208837"</f>
        <v>20190305135208837</v>
      </c>
      <c r="B714" t="str">
        <f>"1551765128830503"</f>
        <v>1551765128830503</v>
      </c>
      <c r="C714" t="s">
        <v>40</v>
      </c>
      <c r="D714">
        <v>4.593826</v>
      </c>
      <c r="E714">
        <v>0.54700749999999998</v>
      </c>
      <c r="F714" t="s">
        <v>42</v>
      </c>
      <c r="G714">
        <v>-267.09440000000001</v>
      </c>
      <c r="H714" s="1">
        <v>-1.9800219999999999E-6</v>
      </c>
      <c r="I714">
        <v>365.83850000000001</v>
      </c>
      <c r="J714">
        <v>-305.60950000000003</v>
      </c>
      <c r="K714">
        <v>1.0597490000000001</v>
      </c>
      <c r="L714">
        <v>368.10910000000001</v>
      </c>
      <c r="M714">
        <v>0.99985020000000002</v>
      </c>
      <c r="N714">
        <v>-1.4391360000000001E-2</v>
      </c>
      <c r="O714">
        <v>9.6294139999999993E-3</v>
      </c>
      <c r="P714">
        <v>0.99780489999999999</v>
      </c>
      <c r="Q714">
        <v>-1.239404E-2</v>
      </c>
      <c r="R714">
        <v>6.5053189999999997E-2</v>
      </c>
      <c r="S714">
        <v>3.017029</v>
      </c>
      <c r="T714">
        <v>-8.2656859999999999E-2</v>
      </c>
      <c r="U714">
        <v>-0.1769714</v>
      </c>
      <c r="V714">
        <v>-5.544031E-2</v>
      </c>
      <c r="W714">
        <v>1.9844200000000002E-3</v>
      </c>
      <c r="X714">
        <v>0.99846009999999996</v>
      </c>
      <c r="Y714">
        <v>6.8128339999999996E-2</v>
      </c>
      <c r="Z714">
        <v>-1.548195E-3</v>
      </c>
      <c r="AA714">
        <v>0.99767539999999999</v>
      </c>
      <c r="AB714">
        <v>30</v>
      </c>
      <c r="AC714">
        <v>38.515099999999997</v>
      </c>
      <c r="AD714">
        <v>-1.059750980022</v>
      </c>
      <c r="AE714">
        <v>-2.2706</v>
      </c>
      <c r="AF714">
        <v>2.63941956351306</v>
      </c>
      <c r="AG714">
        <v>-1.059750980022</v>
      </c>
      <c r="AH714">
        <v>38.462428574622798</v>
      </c>
      <c r="AI714">
        <v>91.574563669581707</v>
      </c>
      <c r="AJ714">
        <v>86.074327845762795</v>
      </c>
      <c r="AK714">
        <v>38.5674476680772</v>
      </c>
      <c r="AL714">
        <v>89.886301042394606</v>
      </c>
      <c r="AM714">
        <v>93.178131306233198</v>
      </c>
      <c r="AN714">
        <v>1.00000006859381</v>
      </c>
    </row>
    <row r="715" spans="1:40" x14ac:dyDescent="0.25">
      <c r="A715" t="str">
        <f>"20190305135208850"</f>
        <v>20190305135208850</v>
      </c>
      <c r="B715" t="str">
        <f>"1551765128840263"</f>
        <v>1551765128840263</v>
      </c>
      <c r="C715" t="s">
        <v>40</v>
      </c>
      <c r="D715">
        <v>4.6528859999999996</v>
      </c>
      <c r="E715">
        <v>0.54717009999999999</v>
      </c>
      <c r="F715" t="s">
        <v>42</v>
      </c>
      <c r="G715">
        <v>-263.37049999999999</v>
      </c>
      <c r="H715" s="1">
        <v>-3.539209E-6</v>
      </c>
      <c r="I715">
        <v>365.59739999999999</v>
      </c>
      <c r="J715">
        <v>-305.44549999999998</v>
      </c>
      <c r="K715">
        <v>1.059763</v>
      </c>
      <c r="L715">
        <v>368.11059999999998</v>
      </c>
      <c r="M715">
        <v>0.99985060000000003</v>
      </c>
      <c r="N715">
        <v>-1.4376679999999999E-2</v>
      </c>
      <c r="O715">
        <v>9.5885320000000003E-3</v>
      </c>
      <c r="P715">
        <v>0.99785539999999995</v>
      </c>
      <c r="Q715">
        <v>-9.6912909999999994E-3</v>
      </c>
      <c r="R715">
        <v>6.4736580000000002E-2</v>
      </c>
      <c r="S715">
        <v>3.017334</v>
      </c>
      <c r="T715">
        <v>-7.5703140000000002E-2</v>
      </c>
      <c r="U715">
        <v>-0.17941279999999901</v>
      </c>
      <c r="V715">
        <v>-5.516368E-2</v>
      </c>
      <c r="W715">
        <v>4.6732900000000001E-3</v>
      </c>
      <c r="X715">
        <v>0.99846639999999998</v>
      </c>
      <c r="Y715">
        <v>6.8891199999999903E-2</v>
      </c>
      <c r="Z715">
        <v>-1.4617359999999999E-3</v>
      </c>
      <c r="AA715">
        <v>0.99762309999999998</v>
      </c>
      <c r="AB715">
        <v>30</v>
      </c>
      <c r="AC715">
        <v>42.074999999999903</v>
      </c>
      <c r="AD715">
        <v>-1.0597665392090001</v>
      </c>
      <c r="AE715">
        <v>-2.5131999999999799</v>
      </c>
      <c r="AF715">
        <v>2.9147210917991302</v>
      </c>
      <c r="AG715">
        <v>-1.0597665392090001</v>
      </c>
      <c r="AH715">
        <v>42.022400194497301</v>
      </c>
      <c r="AI715">
        <v>91.441179889389403</v>
      </c>
      <c r="AJ715">
        <v>86.032254838794003</v>
      </c>
      <c r="AK715">
        <v>42.136692113490497</v>
      </c>
      <c r="AL715">
        <v>89.732239235020799</v>
      </c>
      <c r="AM715">
        <v>93.162285766662706</v>
      </c>
      <c r="AN715">
        <v>1.00000001157976</v>
      </c>
    </row>
    <row r="716" spans="1:40" x14ac:dyDescent="0.25">
      <c r="A716" t="str">
        <f>"20190305135208860"</f>
        <v>20190305135208860</v>
      </c>
      <c r="B716" t="str">
        <f>"1551765128850023"</f>
        <v>1551765128850023</v>
      </c>
      <c r="C716" t="s">
        <v>40</v>
      </c>
      <c r="D716">
        <v>4.5947620000000002</v>
      </c>
      <c r="E716">
        <v>0.54720749999999996</v>
      </c>
      <c r="F716" t="s">
        <v>42</v>
      </c>
      <c r="G716">
        <v>-258.59190000000001</v>
      </c>
      <c r="H716" s="1">
        <v>-1.6161930000000001E-6</v>
      </c>
      <c r="I716">
        <v>365.29070000000002</v>
      </c>
      <c r="J716">
        <v>-305.2946</v>
      </c>
      <c r="K716">
        <v>1.059771</v>
      </c>
      <c r="L716">
        <v>368.11200000000002</v>
      </c>
      <c r="M716">
        <v>0.9998513</v>
      </c>
      <c r="N716">
        <v>-1.4364099999999999E-2</v>
      </c>
      <c r="O716">
        <v>9.5494989999999995E-3</v>
      </c>
      <c r="P716">
        <v>0.99794550000000004</v>
      </c>
      <c r="Q716">
        <v>-5.4345770000000003E-3</v>
      </c>
      <c r="R716">
        <v>6.3838409999999998E-2</v>
      </c>
      <c r="S716">
        <v>3.0175779999999999</v>
      </c>
      <c r="T716">
        <v>-6.825328E-2</v>
      </c>
      <c r="U716">
        <v>-0.1816101</v>
      </c>
      <c r="V716">
        <v>-5.4302719999999999E-2</v>
      </c>
      <c r="W716">
        <v>8.9184720000000002E-3</v>
      </c>
      <c r="X716">
        <v>0.9984847</v>
      </c>
      <c r="Y716">
        <v>6.9576499999999999E-2</v>
      </c>
      <c r="Z716">
        <v>-1.3650800000000001E-3</v>
      </c>
      <c r="AA716">
        <v>0.99757569999999995</v>
      </c>
      <c r="AB716">
        <v>29</v>
      </c>
      <c r="AC716">
        <v>46.702699999999901</v>
      </c>
      <c r="AD716">
        <v>-1.0597726161929999</v>
      </c>
      <c r="AE716">
        <v>-2.8212999999999502</v>
      </c>
      <c r="AF716">
        <v>3.26552932252046</v>
      </c>
      <c r="AG716">
        <v>-1.0597726161929999</v>
      </c>
      <c r="AH716">
        <v>46.649691646267698</v>
      </c>
      <c r="AI716">
        <v>91.298227370414295</v>
      </c>
      <c r="AJ716">
        <v>85.995764839165005</v>
      </c>
      <c r="AK716">
        <v>46.775854139140399</v>
      </c>
      <c r="AL716">
        <v>89.489002425772995</v>
      </c>
      <c r="AM716">
        <v>93.112971699310904</v>
      </c>
      <c r="AN716">
        <v>1.0000000103381499</v>
      </c>
    </row>
    <row r="717" spans="1:40" x14ac:dyDescent="0.25">
      <c r="A717" t="str">
        <f>"20190305135208873"</f>
        <v>20190305135208873</v>
      </c>
      <c r="B717" t="str">
        <f>"1551765128870519"</f>
        <v>1551765128870519</v>
      </c>
      <c r="C717" t="s">
        <v>40</v>
      </c>
      <c r="D717">
        <v>4.6304309999999997</v>
      </c>
      <c r="E717">
        <v>0.54748980000000003</v>
      </c>
      <c r="F717" t="s">
        <v>42</v>
      </c>
      <c r="G717">
        <v>-248.0635</v>
      </c>
      <c r="H717" s="1">
        <v>-2.0618049999999998E-6</v>
      </c>
      <c r="I717">
        <v>364.60300000000001</v>
      </c>
      <c r="J717">
        <v>-305.1431</v>
      </c>
      <c r="K717">
        <v>1.0597760000000001</v>
      </c>
      <c r="L717">
        <v>368.11340000000001</v>
      </c>
      <c r="M717">
        <v>0.99985179999999996</v>
      </c>
      <c r="N717">
        <v>-1.4352230000000001E-2</v>
      </c>
      <c r="O717">
        <v>9.5101720000000008E-3</v>
      </c>
      <c r="P717">
        <v>0.99798540000000002</v>
      </c>
      <c r="Q717">
        <v>-9.8404010000000008E-4</v>
      </c>
      <c r="R717">
        <v>6.3437800000000003E-2</v>
      </c>
      <c r="S717">
        <v>3.0177309999999999</v>
      </c>
      <c r="T717">
        <v>-5.588067E-2</v>
      </c>
      <c r="U717">
        <v>-0.1850281</v>
      </c>
      <c r="V717">
        <v>-5.3940580000000002E-2</v>
      </c>
      <c r="W717">
        <v>1.335707E-2</v>
      </c>
      <c r="X717">
        <v>0.99845479999999998</v>
      </c>
      <c r="Y717">
        <v>7.0667740000000007E-2</v>
      </c>
      <c r="Z717">
        <v>-1.2008959999999999E-3</v>
      </c>
      <c r="AA717">
        <v>0.99749920000000003</v>
      </c>
      <c r="AB717">
        <v>29</v>
      </c>
      <c r="AC717">
        <v>57.079599999999999</v>
      </c>
      <c r="AD717">
        <v>-1.0597780618049999</v>
      </c>
      <c r="AE717">
        <v>-3.5104000000000002</v>
      </c>
      <c r="AF717">
        <v>4.0517424755711797</v>
      </c>
      <c r="AG717">
        <v>-1.0597780618049999</v>
      </c>
      <c r="AH717">
        <v>57.024046899046503</v>
      </c>
      <c r="AI717">
        <v>91.062028709407898</v>
      </c>
      <c r="AJ717">
        <v>85.935780348841703</v>
      </c>
      <c r="AK717">
        <v>57.177632614277499</v>
      </c>
      <c r="AL717">
        <v>89.234673498347604</v>
      </c>
      <c r="AM717">
        <v>93.092344414368398</v>
      </c>
      <c r="AN717">
        <v>0.99999999256637995</v>
      </c>
    </row>
    <row r="718" spans="1:40" x14ac:dyDescent="0.25">
      <c r="A718" t="str">
        <f>"20190305135208886"</f>
        <v>20190305135208886</v>
      </c>
      <c r="B718" t="str">
        <f>"1551765128880279"</f>
        <v>1551765128880279</v>
      </c>
      <c r="C718" t="s">
        <v>40</v>
      </c>
      <c r="D718">
        <v>4.5232979999999996</v>
      </c>
      <c r="E718">
        <v>0.54744320000000002</v>
      </c>
      <c r="F718" t="s">
        <v>42</v>
      </c>
      <c r="G718">
        <v>-220.20509999999999</v>
      </c>
      <c r="H718" s="1">
        <v>-5.3918389999999998E-6</v>
      </c>
      <c r="I718">
        <v>362.80889999999999</v>
      </c>
      <c r="J718">
        <v>-304.9753</v>
      </c>
      <c r="K718">
        <v>1.0597760000000001</v>
      </c>
      <c r="L718">
        <v>368.11500000000001</v>
      </c>
      <c r="M718">
        <v>0.99985250000000003</v>
      </c>
      <c r="N718">
        <v>-1.4339569999999999E-2</v>
      </c>
      <c r="O718">
        <v>9.4662630000000008E-3</v>
      </c>
      <c r="P718">
        <v>0.99800929999999999</v>
      </c>
      <c r="Q718">
        <v>2.2946619999999998E-3</v>
      </c>
      <c r="R718">
        <v>6.3026890000000002E-2</v>
      </c>
      <c r="S718">
        <v>3.0179749999999999</v>
      </c>
      <c r="T718">
        <v>-3.7655590000000003E-2</v>
      </c>
      <c r="U718">
        <v>-0.18847659999999999</v>
      </c>
      <c r="V718">
        <v>-5.3572790000000002E-2</v>
      </c>
      <c r="W718">
        <v>1.6623039999999999E-2</v>
      </c>
      <c r="X718">
        <v>0.99842560000000002</v>
      </c>
      <c r="Y718">
        <v>7.1763930000000004E-2</v>
      </c>
      <c r="Z718">
        <v>-9.4474230000000004E-4</v>
      </c>
      <c r="AA718">
        <v>0.99742120000000001</v>
      </c>
      <c r="AB718">
        <v>29</v>
      </c>
      <c r="AC718">
        <v>84.770200000000003</v>
      </c>
      <c r="AD718">
        <v>-1.059781391839</v>
      </c>
      <c r="AE718">
        <v>-5.3061000000000096</v>
      </c>
      <c r="AF718">
        <v>6.1074507846667903</v>
      </c>
      <c r="AG718">
        <v>-1.059781391839</v>
      </c>
      <c r="AH718">
        <v>84.702979885155003</v>
      </c>
      <c r="AI718">
        <v>90.714976320486997</v>
      </c>
      <c r="AJ718">
        <v>85.875864058048094</v>
      </c>
      <c r="AK718">
        <v>84.929493658626001</v>
      </c>
      <c r="AL718">
        <v>89.047526119295497</v>
      </c>
      <c r="AM718">
        <v>93.071389641310205</v>
      </c>
      <c r="AN718">
        <v>1.0000000240112901</v>
      </c>
    </row>
    <row r="719" spans="1:40" x14ac:dyDescent="0.25">
      <c r="A719" t="str">
        <f>"20190305135208897"</f>
        <v>20190305135208897</v>
      </c>
      <c r="B719" t="str">
        <f>"1551765128890039"</f>
        <v>1551765128890039</v>
      </c>
      <c r="C719" t="s">
        <v>40</v>
      </c>
      <c r="D719">
        <v>4.6248500000000003</v>
      </c>
      <c r="E719">
        <v>0.54752000000000001</v>
      </c>
      <c r="F719" t="s">
        <v>52</v>
      </c>
      <c r="G719">
        <v>-206.45670000000001</v>
      </c>
      <c r="H719" s="1">
        <v>-5.2986530000000004E-6</v>
      </c>
      <c r="I719">
        <v>361.93549999999999</v>
      </c>
      <c r="J719">
        <v>-304.80669999999998</v>
      </c>
      <c r="K719">
        <v>1.059774</v>
      </c>
      <c r="L719">
        <v>368.11649999999997</v>
      </c>
      <c r="M719">
        <v>0.99985299999999999</v>
      </c>
      <c r="N719">
        <v>-1.4328199999999999E-2</v>
      </c>
      <c r="O719">
        <v>9.4222319999999991E-3</v>
      </c>
      <c r="P719">
        <v>0.99800049999999996</v>
      </c>
      <c r="Q719">
        <v>4.6733410000000001E-3</v>
      </c>
      <c r="R719">
        <v>6.3034699999999999E-2</v>
      </c>
      <c r="S719">
        <v>3.0179749999999999</v>
      </c>
      <c r="T719">
        <v>-3.2464859999999998E-2</v>
      </c>
      <c r="U719">
        <v>-0.18930050000000001</v>
      </c>
      <c r="V719">
        <v>-5.3624320000000003E-2</v>
      </c>
      <c r="W719">
        <v>1.8989679999999998E-2</v>
      </c>
      <c r="X719">
        <v>0.99838059999999995</v>
      </c>
      <c r="Y719">
        <v>7.1993520000000005E-2</v>
      </c>
      <c r="Z719">
        <v>-8.6955780000000002E-4</v>
      </c>
      <c r="AA719">
        <v>0.99740469999999903</v>
      </c>
      <c r="AB719">
        <v>29</v>
      </c>
      <c r="AC719">
        <v>98.349999999999895</v>
      </c>
      <c r="AD719">
        <v>-1.0597792986529999</v>
      </c>
      <c r="AE719">
        <v>-6.1809999999999796</v>
      </c>
      <c r="AF719">
        <v>7.1066752431859896</v>
      </c>
      <c r="AG719">
        <v>-1.0597792986529999</v>
      </c>
      <c r="AH719">
        <v>98.276022270423596</v>
      </c>
      <c r="AI719">
        <v>90.616227668045397</v>
      </c>
      <c r="AJ719">
        <v>85.863945684840004</v>
      </c>
      <c r="AK719">
        <v>98.538340347657396</v>
      </c>
      <c r="AL719">
        <v>88.911906078092599</v>
      </c>
      <c r="AM719">
        <v>93.074476554765397</v>
      </c>
      <c r="AN719">
        <v>0.99999999904916204</v>
      </c>
    </row>
    <row r="720" spans="1:40" x14ac:dyDescent="0.25">
      <c r="A720" t="str">
        <f>"20190305135208913"</f>
        <v>20190305135208913</v>
      </c>
      <c r="B720" t="str">
        <f>"1551765128900775"</f>
        <v>1551765128900775</v>
      </c>
      <c r="C720" t="s">
        <v>40</v>
      </c>
      <c r="D720">
        <v>4.5858400000000001</v>
      </c>
      <c r="E720">
        <v>0.54747489999999999</v>
      </c>
      <c r="F720" t="s">
        <v>52</v>
      </c>
      <c r="G720">
        <v>-181.87639999999999</v>
      </c>
      <c r="H720" s="1">
        <v>-6.040429E-6</v>
      </c>
      <c r="I720">
        <v>360.37509999999997</v>
      </c>
      <c r="J720">
        <v>-304.61169999999998</v>
      </c>
      <c r="K720">
        <v>1.0597449999999999</v>
      </c>
      <c r="L720">
        <v>368.11829999999998</v>
      </c>
      <c r="M720">
        <v>0.99985369999999996</v>
      </c>
      <c r="N720">
        <v>-1.4315700000000001E-2</v>
      </c>
      <c r="O720">
        <v>9.3711780000000008E-3</v>
      </c>
      <c r="P720">
        <v>0.99792080000000005</v>
      </c>
      <c r="Q720">
        <v>6.5317099999999996E-3</v>
      </c>
      <c r="R720">
        <v>6.4122390000000001E-2</v>
      </c>
      <c r="S720">
        <v>3.0181269999999998</v>
      </c>
      <c r="T720">
        <v>-2.6019219999999999E-2</v>
      </c>
      <c r="U720">
        <v>-0.1900635</v>
      </c>
      <c r="V720">
        <v>-5.4763399999999997E-2</v>
      </c>
      <c r="W720">
        <v>2.083515E-2</v>
      </c>
      <c r="X720">
        <v>0.998282</v>
      </c>
      <c r="Y720">
        <v>7.2193049999999995E-2</v>
      </c>
      <c r="Z720">
        <v>-7.7487409999999997E-4</v>
      </c>
      <c r="AA720">
        <v>0.99739040000000001</v>
      </c>
      <c r="AB720">
        <v>29</v>
      </c>
      <c r="AC720">
        <v>122.7353</v>
      </c>
      <c r="AD720">
        <v>-1.059751040429</v>
      </c>
      <c r="AE720">
        <v>-7.7431999999999999</v>
      </c>
      <c r="AF720">
        <v>8.8924916996797592</v>
      </c>
      <c r="AG720">
        <v>-1.059751040429</v>
      </c>
      <c r="AH720">
        <v>122.648231578496</v>
      </c>
      <c r="AI720">
        <v>90.493760023226997</v>
      </c>
      <c r="AJ720">
        <v>85.853081183017807</v>
      </c>
      <c r="AK720">
        <v>122.97474614826</v>
      </c>
      <c r="AL720">
        <v>88.806147503662004</v>
      </c>
      <c r="AM720">
        <v>93.139964318809405</v>
      </c>
      <c r="AN720">
        <v>1.0000000424895401</v>
      </c>
    </row>
    <row r="721" spans="1:40" x14ac:dyDescent="0.25">
      <c r="A721" t="str">
        <f>"20190305135208924"</f>
        <v>20190305135208924</v>
      </c>
      <c r="B721" t="str">
        <f>"1551765128920296"</f>
        <v>1551765128920296</v>
      </c>
      <c r="C721" t="s">
        <v>40</v>
      </c>
      <c r="D721">
        <v>4.5943300000000002</v>
      </c>
      <c r="E721">
        <v>0.54745549999999998</v>
      </c>
      <c r="F721" t="s">
        <v>47</v>
      </c>
      <c r="G721">
        <v>-151.59370000000001</v>
      </c>
      <c r="H721">
        <v>-0.05</v>
      </c>
      <c r="I721">
        <v>358.67309999999998</v>
      </c>
      <c r="J721">
        <v>-304.4665</v>
      </c>
      <c r="K721">
        <v>1.0597179999999999</v>
      </c>
      <c r="L721">
        <v>368.11959999999999</v>
      </c>
      <c r="M721">
        <v>0.99985420000000003</v>
      </c>
      <c r="N721">
        <v>-1.430682E-2</v>
      </c>
      <c r="O721">
        <v>9.3331530000000003E-3</v>
      </c>
      <c r="P721">
        <v>0.99788100000000002</v>
      </c>
      <c r="Q721">
        <v>5.147886E-3</v>
      </c>
      <c r="R721">
        <v>6.4862740000000002E-2</v>
      </c>
      <c r="S721">
        <v>3.0183409999999999</v>
      </c>
      <c r="T721">
        <v>-2.1890159999999999E-2</v>
      </c>
      <c r="U721">
        <v>-0.1863098</v>
      </c>
      <c r="V721">
        <v>-5.5542279999999999E-2</v>
      </c>
      <c r="W721">
        <v>1.9442109999999999E-2</v>
      </c>
      <c r="X721">
        <v>0.99826709999999996</v>
      </c>
      <c r="Y721">
        <v>7.0916560000000003E-2</v>
      </c>
      <c r="Z721">
        <v>-6.989578E-4</v>
      </c>
      <c r="AA721">
        <v>0.99748199999999998</v>
      </c>
      <c r="AB721">
        <v>29</v>
      </c>
      <c r="AC721">
        <v>152.87279999999899</v>
      </c>
      <c r="AD721">
        <v>-1.109718</v>
      </c>
      <c r="AE721">
        <v>-9.4465000000000092</v>
      </c>
      <c r="AF721">
        <v>10.872448859315501</v>
      </c>
      <c r="AG721">
        <v>-1.109718</v>
      </c>
      <c r="AH721">
        <v>152.76994614037699</v>
      </c>
      <c r="AI721">
        <v>90.415138167662406</v>
      </c>
      <c r="AJ721">
        <v>85.929193569582495</v>
      </c>
      <c r="AK721">
        <v>153.160367138407</v>
      </c>
      <c r="AL721">
        <v>88.885979042050806</v>
      </c>
      <c r="AM721">
        <v>93.184579054292897</v>
      </c>
      <c r="AN721">
        <v>1.0000000717256201</v>
      </c>
    </row>
    <row r="722" spans="1:40" x14ac:dyDescent="0.25">
      <c r="A722" t="str">
        <f>"20190305135208937"</f>
        <v>20190305135208937</v>
      </c>
      <c r="B722" t="str">
        <f>"1551765128930055"</f>
        <v>1551765128930055</v>
      </c>
      <c r="C722" t="s">
        <v>40</v>
      </c>
      <c r="D722">
        <v>4.5932700000000004</v>
      </c>
      <c r="E722">
        <v>0.54748859999999999</v>
      </c>
      <c r="F722" t="s">
        <v>52</v>
      </c>
      <c r="G722">
        <v>-198.26580000000001</v>
      </c>
      <c r="H722" s="1">
        <v>-9.4356509999999994E-6</v>
      </c>
      <c r="I722">
        <v>361.64510000000001</v>
      </c>
      <c r="J722">
        <v>-304.3073</v>
      </c>
      <c r="K722">
        <v>1.0596840000000001</v>
      </c>
      <c r="L722">
        <v>368.12099999999998</v>
      </c>
      <c r="M722">
        <v>0.99985469999999999</v>
      </c>
      <c r="N722">
        <v>-1.429795E-2</v>
      </c>
      <c r="O722">
        <v>9.2925600000000001E-3</v>
      </c>
      <c r="P722">
        <v>0.99780270000000004</v>
      </c>
      <c r="Q722">
        <v>8.6647739999999997E-4</v>
      </c>
      <c r="R722">
        <v>6.6252720000000001E-2</v>
      </c>
      <c r="S722">
        <v>3.018494</v>
      </c>
      <c r="T722">
        <v>-3.0120129999999998E-2</v>
      </c>
      <c r="U722">
        <v>-0.18402099999999999</v>
      </c>
      <c r="V722">
        <v>-5.6974009999999999E-2</v>
      </c>
      <c r="W722">
        <v>1.5151700000000001E-2</v>
      </c>
      <c r="X722">
        <v>0.9982607</v>
      </c>
      <c r="Y722">
        <v>7.0116629999999999E-2</v>
      </c>
      <c r="Z722">
        <v>-8.1118189999999999E-4</v>
      </c>
      <c r="AA722">
        <v>0.99753840000000005</v>
      </c>
      <c r="AB722">
        <v>29</v>
      </c>
      <c r="AC722">
        <v>106.041499999999</v>
      </c>
      <c r="AD722">
        <v>-1.0596934356509999</v>
      </c>
      <c r="AE722">
        <v>-6.4758999999999602</v>
      </c>
      <c r="AF722">
        <v>7.46037571914803</v>
      </c>
      <c r="AG722">
        <v>-1.0596934356509999</v>
      </c>
      <c r="AH722">
        <v>105.966193816548</v>
      </c>
      <c r="AI722">
        <v>90.571541112049204</v>
      </c>
      <c r="AJ722">
        <v>85.972829772053998</v>
      </c>
      <c r="AK722">
        <v>106.233772351426</v>
      </c>
      <c r="AL722">
        <v>89.131838333556203</v>
      </c>
      <c r="AM722">
        <v>93.266514265682204</v>
      </c>
      <c r="AN722">
        <v>1.0000000184964299</v>
      </c>
    </row>
    <row r="723" spans="1:40" x14ac:dyDescent="0.25">
      <c r="A723" t="str">
        <f>"20190305135208949"</f>
        <v>20190305135208949</v>
      </c>
      <c r="B723" t="str">
        <f>"1551765128939816"</f>
        <v>1551765128939816</v>
      </c>
      <c r="C723" t="s">
        <v>40</v>
      </c>
      <c r="D723">
        <v>4.5968289999999996</v>
      </c>
      <c r="E723">
        <v>0.54751590000000006</v>
      </c>
      <c r="F723" t="s">
        <v>42</v>
      </c>
      <c r="G723">
        <v>-232.9538</v>
      </c>
      <c r="H723" s="1">
        <v>-4.0258310000000003E-6</v>
      </c>
      <c r="I723">
        <v>363.86200000000002</v>
      </c>
      <c r="J723">
        <v>-304.13060000000002</v>
      </c>
      <c r="K723">
        <v>1.0596559999999999</v>
      </c>
      <c r="L723">
        <v>368.12259999999998</v>
      </c>
      <c r="M723">
        <v>0.99985520000000006</v>
      </c>
      <c r="N723">
        <v>-1.4288510000000001E-2</v>
      </c>
      <c r="O723">
        <v>9.2478579999999994E-3</v>
      </c>
      <c r="P723">
        <v>0.99771169999999998</v>
      </c>
      <c r="Q723">
        <v>-2.5739669999999999E-3</v>
      </c>
      <c r="R723">
        <v>6.7565020000000003E-2</v>
      </c>
      <c r="S723">
        <v>3.0185849999999999</v>
      </c>
      <c r="T723">
        <v>-4.4829729999999998E-2</v>
      </c>
      <c r="U723">
        <v>-0.1801758</v>
      </c>
      <c r="V723">
        <v>-5.8332340000000003E-2</v>
      </c>
      <c r="W723">
        <v>1.170114E-2</v>
      </c>
      <c r="X723">
        <v>0.99822869999999997</v>
      </c>
      <c r="Y723">
        <v>6.8797739999999996E-2</v>
      </c>
      <c r="Z723">
        <v>-1.0076079999999999E-3</v>
      </c>
      <c r="AA723">
        <v>0.99763009999999996</v>
      </c>
      <c r="AB723">
        <v>29</v>
      </c>
      <c r="AC723">
        <v>71.1768</v>
      </c>
      <c r="AD723">
        <v>-1.0596600258309901</v>
      </c>
      <c r="AE723">
        <v>-4.2606000000000099</v>
      </c>
      <c r="AF723">
        <v>4.9176318048047296</v>
      </c>
      <c r="AG723">
        <v>-1.0596600258309901</v>
      </c>
      <c r="AH723">
        <v>71.118643498352</v>
      </c>
      <c r="AI723">
        <v>90.851604537923194</v>
      </c>
      <c r="AJ723">
        <v>86.044472172129105</v>
      </c>
      <c r="AK723">
        <v>71.296335354516302</v>
      </c>
      <c r="AL723">
        <v>89.329558801728098</v>
      </c>
      <c r="AM723">
        <v>93.344324214306695</v>
      </c>
      <c r="AN723">
        <v>1.00000005803543</v>
      </c>
    </row>
    <row r="724" spans="1:40" x14ac:dyDescent="0.25">
      <c r="A724" t="str">
        <f>"20190305135208960"</f>
        <v>20190305135208960</v>
      </c>
      <c r="B724" t="str">
        <f>"1551765128950551"</f>
        <v>1551765128950551</v>
      </c>
      <c r="C724" t="s">
        <v>40</v>
      </c>
      <c r="D724">
        <v>4.5994580000000003</v>
      </c>
      <c r="E724">
        <v>0.54759740000000001</v>
      </c>
      <c r="F724" t="s">
        <v>42</v>
      </c>
      <c r="G724">
        <v>-248.66630000000001</v>
      </c>
      <c r="H724" s="1">
        <v>-1.7552839999999999E-6</v>
      </c>
      <c r="I724">
        <v>364.88490000000002</v>
      </c>
      <c r="J724">
        <v>-303.9853</v>
      </c>
      <c r="K724">
        <v>1.0596299999999901</v>
      </c>
      <c r="L724">
        <v>368.12389999999999</v>
      </c>
      <c r="M724">
        <v>0.99985570000000001</v>
      </c>
      <c r="N724">
        <v>-1.4281240000000001E-2</v>
      </c>
      <c r="O724">
        <v>9.2111320000000003E-3</v>
      </c>
      <c r="P724">
        <v>0.99761089999999997</v>
      </c>
      <c r="Q724">
        <v>-5.4121999999999998E-3</v>
      </c>
      <c r="R724">
        <v>6.8874480000000002E-2</v>
      </c>
      <c r="S724">
        <v>3.0186160000000002</v>
      </c>
      <c r="T724">
        <v>-5.7671310000000003E-2</v>
      </c>
      <c r="U724">
        <v>-0.17620849999999999</v>
      </c>
      <c r="V724">
        <v>-5.9679650000000001E-2</v>
      </c>
      <c r="W724">
        <v>8.8550539999999994E-3</v>
      </c>
      <c r="X724">
        <v>0.99817829999999996</v>
      </c>
      <c r="Y724">
        <v>6.7447099999999996E-2</v>
      </c>
      <c r="Z724">
        <v>-1.1702080000000001E-3</v>
      </c>
      <c r="AA724">
        <v>0.99772209999999995</v>
      </c>
      <c r="AB724">
        <v>29</v>
      </c>
      <c r="AC724">
        <v>55.318999999999903</v>
      </c>
      <c r="AD724">
        <v>-1.05963175528399</v>
      </c>
      <c r="AE724">
        <v>-3.2389999999999701</v>
      </c>
      <c r="AF724">
        <v>3.7470949333055401</v>
      </c>
      <c r="AG724">
        <v>-1.05963175528399</v>
      </c>
      <c r="AH724">
        <v>55.266606135625501</v>
      </c>
      <c r="AI724">
        <v>91.095887372494502</v>
      </c>
      <c r="AJ724">
        <v>86.121262516877493</v>
      </c>
      <c r="AK724">
        <v>55.403621665432397</v>
      </c>
      <c r="AL724">
        <v>89.492636145491304</v>
      </c>
      <c r="AM724">
        <v>93.421559436666797</v>
      </c>
      <c r="AN724">
        <v>0.99999999559817698</v>
      </c>
    </row>
    <row r="725" spans="1:40" x14ac:dyDescent="0.25">
      <c r="A725" t="str">
        <f>"20190305135208972"</f>
        <v>20190305135208972</v>
      </c>
      <c r="B725" t="str">
        <f>"1551765128970071"</f>
        <v>1551765128970071</v>
      </c>
      <c r="C725" t="s">
        <v>40</v>
      </c>
      <c r="D725">
        <v>4.5630959999999998</v>
      </c>
      <c r="E725">
        <v>0.54767659999999996</v>
      </c>
      <c r="F725" t="s">
        <v>42</v>
      </c>
      <c r="G725">
        <v>-257.24709999999999</v>
      </c>
      <c r="H725" s="1">
        <v>-2.0315689999999999E-6</v>
      </c>
      <c r="I725">
        <v>365.44959999999998</v>
      </c>
      <c r="J725">
        <v>-303.839</v>
      </c>
      <c r="K725">
        <v>1.0596030000000001</v>
      </c>
      <c r="L725">
        <v>368.12520000000001</v>
      </c>
      <c r="M725">
        <v>0.99985610000000003</v>
      </c>
      <c r="N725">
        <v>-1.427431E-2</v>
      </c>
      <c r="O725">
        <v>9.1742850000000008E-3</v>
      </c>
      <c r="P725">
        <v>0.99751900000000004</v>
      </c>
      <c r="Q725">
        <v>-8.0550280000000005E-3</v>
      </c>
      <c r="R725">
        <v>6.9937379999999993E-2</v>
      </c>
      <c r="S725">
        <v>3.0187379999999999</v>
      </c>
      <c r="T725">
        <v>-6.8439600000000003E-2</v>
      </c>
      <c r="U725">
        <v>-0.17272950000000001</v>
      </c>
      <c r="V725">
        <v>-6.0781259999999997E-2</v>
      </c>
      <c r="W725">
        <v>6.2048679999999997E-3</v>
      </c>
      <c r="X725">
        <v>0.99813180000000001</v>
      </c>
      <c r="Y725">
        <v>6.6255499999999995E-2</v>
      </c>
      <c r="Z725">
        <v>-1.3007019999999999E-3</v>
      </c>
      <c r="AA725">
        <v>0.99780179999999996</v>
      </c>
      <c r="AB725">
        <v>29</v>
      </c>
      <c r="AC725">
        <v>46.591900000000003</v>
      </c>
      <c r="AD725">
        <v>-1.059605031569</v>
      </c>
      <c r="AE725">
        <v>-2.67560000000003</v>
      </c>
      <c r="AF725">
        <v>3.1013794750060399</v>
      </c>
      <c r="AG725">
        <v>-1.059605031569</v>
      </c>
      <c r="AH725">
        <v>46.541397012452897</v>
      </c>
      <c r="AI725">
        <v>91.301338969683201</v>
      </c>
      <c r="AJ725">
        <v>86.187616929651199</v>
      </c>
      <c r="AK725">
        <v>46.656649615479999</v>
      </c>
      <c r="AL725">
        <v>89.644484961384705</v>
      </c>
      <c r="AM725">
        <v>93.484724767729801</v>
      </c>
      <c r="AN725">
        <v>0.999999976062662</v>
      </c>
    </row>
    <row r="726" spans="1:40" x14ac:dyDescent="0.25">
      <c r="A726" t="str">
        <f>"20190305135208985"</f>
        <v>20190305135208985</v>
      </c>
      <c r="B726" t="str">
        <f>"1551765128979831"</f>
        <v>1551765128979831</v>
      </c>
      <c r="C726" t="s">
        <v>40</v>
      </c>
      <c r="D726">
        <v>4.5767419999999897</v>
      </c>
      <c r="E726">
        <v>0.54778389999999999</v>
      </c>
      <c r="F726" t="s">
        <v>42</v>
      </c>
      <c r="G726">
        <v>-264.01900000000001</v>
      </c>
      <c r="H726" s="1">
        <v>-3.2106190000000001E-6</v>
      </c>
      <c r="I726">
        <v>365.88170000000002</v>
      </c>
      <c r="J726">
        <v>-303.66219999999998</v>
      </c>
      <c r="K726">
        <v>1.059582</v>
      </c>
      <c r="L726">
        <v>368.1268</v>
      </c>
      <c r="M726">
        <v>0.99985670000000004</v>
      </c>
      <c r="N726">
        <v>-1.4266279999999999E-2</v>
      </c>
      <c r="O726">
        <v>9.1298790000000005E-3</v>
      </c>
      <c r="P726">
        <v>0.99742699999999995</v>
      </c>
      <c r="Q726">
        <v>-1.155891E-2</v>
      </c>
      <c r="R726">
        <v>7.0751560000000005E-2</v>
      </c>
      <c r="S726">
        <v>3.0187379999999999</v>
      </c>
      <c r="T726">
        <v>-8.0328109999999994E-2</v>
      </c>
      <c r="U726">
        <v>-0.17007449999999999</v>
      </c>
      <c r="V726">
        <v>-6.1640819999999999E-2</v>
      </c>
      <c r="W726">
        <v>2.6920450000000001E-3</v>
      </c>
      <c r="X726">
        <v>0.9980947</v>
      </c>
      <c r="Y726">
        <v>6.5328259999999999E-2</v>
      </c>
      <c r="Z726">
        <v>-1.4474469999999999E-3</v>
      </c>
      <c r="AA726">
        <v>0.99786280000000005</v>
      </c>
      <c r="AB726">
        <v>29</v>
      </c>
      <c r="AC726">
        <v>39.643199999999901</v>
      </c>
      <c r="AD726">
        <v>-1.059585210619</v>
      </c>
      <c r="AE726">
        <v>-2.2450999999999701</v>
      </c>
      <c r="AF726">
        <v>2.6051256897358099</v>
      </c>
      <c r="AG726">
        <v>-1.059585210619</v>
      </c>
      <c r="AH726">
        <v>39.592853584476202</v>
      </c>
      <c r="AI726">
        <v>91.529679456783001</v>
      </c>
      <c r="AJ726">
        <v>86.235485765323304</v>
      </c>
      <c r="AK726">
        <v>39.6926121040132</v>
      </c>
      <c r="AL726">
        <v>89.845756986754907</v>
      </c>
      <c r="AM726">
        <v>93.534012259703502</v>
      </c>
      <c r="AN726">
        <v>0.99999993398232001</v>
      </c>
    </row>
    <row r="727" spans="1:40" x14ac:dyDescent="0.25">
      <c r="A727" t="str">
        <f>"20190305135208999"</f>
        <v>20190305135208999</v>
      </c>
      <c r="B727" t="str">
        <f>"1551765128990566"</f>
        <v>1551765128990566</v>
      </c>
      <c r="C727" t="s">
        <v>40</v>
      </c>
      <c r="D727">
        <v>4.5727229999999999</v>
      </c>
      <c r="E727">
        <v>0.54787559999999902</v>
      </c>
      <c r="F727" t="s">
        <v>42</v>
      </c>
      <c r="G727">
        <v>-269.3734</v>
      </c>
      <c r="H727" s="1">
        <v>-1.1039459999999999E-6</v>
      </c>
      <c r="I727">
        <v>366.21629999999999</v>
      </c>
      <c r="J727">
        <v>-303.48779999999999</v>
      </c>
      <c r="K727">
        <v>1.05956299999999</v>
      </c>
      <c r="L727">
        <v>368.12830000000002</v>
      </c>
      <c r="M727">
        <v>0.99985710000000005</v>
      </c>
      <c r="N727">
        <v>-1.4259030000000001E-2</v>
      </c>
      <c r="O727">
        <v>9.0859459999999993E-3</v>
      </c>
      <c r="P727">
        <v>0.99734100000000003</v>
      </c>
      <c r="Q727">
        <v>-1.532885E-2</v>
      </c>
      <c r="R727">
        <v>7.1247640000000001E-2</v>
      </c>
      <c r="S727">
        <v>3.0185849999999999</v>
      </c>
      <c r="T727">
        <v>-9.3279360000000006E-2</v>
      </c>
      <c r="U727">
        <v>-0.16818239999999901</v>
      </c>
      <c r="V727">
        <v>-6.2182609999999999E-2</v>
      </c>
      <c r="W727">
        <v>-1.0858840000000001E-3</v>
      </c>
      <c r="X727">
        <v>0.99806419999999996</v>
      </c>
      <c r="Y727">
        <v>6.4653599999999894E-2</v>
      </c>
      <c r="Z727">
        <v>-1.610493E-3</v>
      </c>
      <c r="AA727">
        <v>0.99790639999999997</v>
      </c>
      <c r="AB727">
        <v>29</v>
      </c>
      <c r="AC727">
        <v>34.114399999999897</v>
      </c>
      <c r="AD727">
        <v>-1.05956410394599</v>
      </c>
      <c r="AE727">
        <v>-1.9120000000000299</v>
      </c>
      <c r="AF727">
        <v>2.2197795069544801</v>
      </c>
      <c r="AG727">
        <v>-1.05956410394599</v>
      </c>
      <c r="AH727">
        <v>34.062860902093497</v>
      </c>
      <c r="AI727">
        <v>91.777907272329003</v>
      </c>
      <c r="AJ727">
        <v>86.271469531729196</v>
      </c>
      <c r="AK727">
        <v>34.151553258749999</v>
      </c>
      <c r="AL727">
        <v>90.062216582360406</v>
      </c>
      <c r="AM727">
        <v>93.565103248388596</v>
      </c>
      <c r="AN727">
        <v>1.00000000172605</v>
      </c>
    </row>
    <row r="728" spans="1:40" x14ac:dyDescent="0.25">
      <c r="A728" t="str">
        <f>"20190305135209014"</f>
        <v>20190305135209014</v>
      </c>
      <c r="B728" t="str">
        <f>"1551765129010090"</f>
        <v>1551765129010090</v>
      </c>
      <c r="C728" t="s">
        <v>40</v>
      </c>
      <c r="D728">
        <v>4.5508319999999998</v>
      </c>
      <c r="E728">
        <v>0.54803380000000002</v>
      </c>
      <c r="F728" t="s">
        <v>42</v>
      </c>
      <c r="G728">
        <v>-273.26710000000003</v>
      </c>
      <c r="H728" s="1">
        <v>-3.4320619999999999E-6</v>
      </c>
      <c r="I728">
        <v>366.45170000000002</v>
      </c>
      <c r="J728">
        <v>-303.29050000000001</v>
      </c>
      <c r="K728">
        <v>1.0595300000000001</v>
      </c>
      <c r="L728">
        <v>368.13</v>
      </c>
      <c r="M728">
        <v>0.99985769999999996</v>
      </c>
      <c r="N728">
        <v>-1.425126E-2</v>
      </c>
      <c r="O728">
        <v>9.0361780000000006E-3</v>
      </c>
      <c r="P728">
        <v>0.99724789999999996</v>
      </c>
      <c r="Q728">
        <v>-2.0923509999999999E-2</v>
      </c>
      <c r="R728">
        <v>7.1128910000000004E-2</v>
      </c>
      <c r="S728">
        <v>3.0183409999999999</v>
      </c>
      <c r="T728">
        <v>-0.10582569999999999</v>
      </c>
      <c r="U728">
        <v>-0.16744999999999999</v>
      </c>
      <c r="V728">
        <v>-6.2115110000000001E-2</v>
      </c>
      <c r="W728">
        <v>-6.6891440000000002E-3</v>
      </c>
      <c r="X728">
        <v>0.99804660000000001</v>
      </c>
      <c r="Y728">
        <v>6.4355809999999999E-2</v>
      </c>
      <c r="Z728">
        <v>-1.77396E-3</v>
      </c>
      <c r="AA728">
        <v>0.99792550000000002</v>
      </c>
      <c r="AB728">
        <v>29</v>
      </c>
      <c r="AC728">
        <v>30.023399999999899</v>
      </c>
      <c r="AD728">
        <v>-1.05953343206199</v>
      </c>
      <c r="AE728">
        <v>-1.6782999999999699</v>
      </c>
      <c r="AF728">
        <v>1.9471383672282401</v>
      </c>
      <c r="AG728">
        <v>-1.05953343206199</v>
      </c>
      <c r="AH728">
        <v>29.969798844368299</v>
      </c>
      <c r="AI728">
        <v>92.020499369009499</v>
      </c>
      <c r="AJ728">
        <v>86.282716650865893</v>
      </c>
      <c r="AK728">
        <v>30.0516688669146</v>
      </c>
      <c r="AL728">
        <v>90.383262568883495</v>
      </c>
      <c r="AM728">
        <v>93.561305888108095</v>
      </c>
      <c r="AN728">
        <v>1.00000002365466</v>
      </c>
    </row>
    <row r="729" spans="1:40" x14ac:dyDescent="0.25">
      <c r="A729" t="str">
        <f>"20190305135209028"</f>
        <v>20190305135209028</v>
      </c>
      <c r="B729" t="str">
        <f>"1551765129019848"</f>
        <v>1551765129019848</v>
      </c>
      <c r="C729" t="s">
        <v>40</v>
      </c>
      <c r="D729">
        <v>4.5327279999999996</v>
      </c>
      <c r="E729">
        <v>0.54816009999999904</v>
      </c>
      <c r="F729" t="s">
        <v>42</v>
      </c>
      <c r="G729">
        <v>-276.92039999999997</v>
      </c>
      <c r="H729" s="1">
        <v>-1.8286670000000001E-6</v>
      </c>
      <c r="I729">
        <v>366.65550000000002</v>
      </c>
      <c r="J729">
        <v>-303.11590000000001</v>
      </c>
      <c r="K729">
        <v>1.0595270000000001</v>
      </c>
      <c r="L729">
        <v>368.13150000000002</v>
      </c>
      <c r="M729">
        <v>0.99985809999999997</v>
      </c>
      <c r="N729">
        <v>-1.424475E-2</v>
      </c>
      <c r="O729">
        <v>8.9920629999999998E-3</v>
      </c>
      <c r="P729">
        <v>0.99725330000000001</v>
      </c>
      <c r="Q729">
        <v>-2.2044669999999999E-2</v>
      </c>
      <c r="R729">
        <v>7.0710780000000001E-2</v>
      </c>
      <c r="S729">
        <v>3.0177309999999999</v>
      </c>
      <c r="T729">
        <v>-0.1212498</v>
      </c>
      <c r="U729">
        <v>-0.16873170000000001</v>
      </c>
      <c r="V729">
        <v>-6.1741009999999999E-2</v>
      </c>
      <c r="W729">
        <v>-7.8168070000000003E-3</v>
      </c>
      <c r="X729">
        <v>0.99806159999999999</v>
      </c>
      <c r="Y729">
        <v>6.4729309999999998E-2</v>
      </c>
      <c r="Z729">
        <v>-1.9934359999999999E-3</v>
      </c>
      <c r="AA729">
        <v>0.99790080000000003</v>
      </c>
      <c r="AB729">
        <v>29</v>
      </c>
      <c r="AC729">
        <v>26.195499999999999</v>
      </c>
      <c r="AD729">
        <v>-1.0595288286669999</v>
      </c>
      <c r="AE729">
        <v>-1.47599999999999</v>
      </c>
      <c r="AF729">
        <v>1.7087292408336801</v>
      </c>
      <c r="AG729">
        <v>-1.0595288286669999</v>
      </c>
      <c r="AH729">
        <v>26.138540858010298</v>
      </c>
      <c r="AI729">
        <v>92.316281752742398</v>
      </c>
      <c r="AJ729">
        <v>86.2597809859666</v>
      </c>
      <c r="AK729">
        <v>26.215752423745698</v>
      </c>
      <c r="AL729">
        <v>90.447874608760102</v>
      </c>
      <c r="AM729">
        <v>93.539858887933903</v>
      </c>
      <c r="AN729">
        <v>1.0000000060910199</v>
      </c>
    </row>
    <row r="730" spans="1:40" x14ac:dyDescent="0.25">
      <c r="A730" t="str">
        <f>"20190305135209042"</f>
        <v>20190305135209042</v>
      </c>
      <c r="B730" t="str">
        <f>"1551765129030583"</f>
        <v>1551765129030583</v>
      </c>
      <c r="C730" t="s">
        <v>40</v>
      </c>
      <c r="D730">
        <v>4.5171239999999999</v>
      </c>
      <c r="E730">
        <v>0.5483266</v>
      </c>
      <c r="F730" t="s">
        <v>42</v>
      </c>
      <c r="G730">
        <v>-277.48</v>
      </c>
      <c r="H730" s="1">
        <v>-1.6250079999999999E-6</v>
      </c>
      <c r="I730">
        <v>366.67959999999999</v>
      </c>
      <c r="J730">
        <v>-302.9298</v>
      </c>
      <c r="K730">
        <v>1.059526</v>
      </c>
      <c r="L730">
        <v>368.13310000000001</v>
      </c>
      <c r="M730">
        <v>0.99985869999999999</v>
      </c>
      <c r="N730">
        <v>-1.4238300000000001E-2</v>
      </c>
      <c r="O730">
        <v>8.944614E-3</v>
      </c>
      <c r="P730">
        <v>0.99730589999999997</v>
      </c>
      <c r="Q730">
        <v>-2.152898E-2</v>
      </c>
      <c r="R730">
        <v>7.0125129999999994E-2</v>
      </c>
      <c r="S730">
        <v>3.017639</v>
      </c>
      <c r="T730">
        <v>-0.1247182</v>
      </c>
      <c r="U730">
        <v>-0.17089840000000001</v>
      </c>
      <c r="V730">
        <v>-6.1202020000000003E-2</v>
      </c>
      <c r="W730">
        <v>-7.3071380000000003E-3</v>
      </c>
      <c r="X730">
        <v>0.99809870000000001</v>
      </c>
      <c r="Y730">
        <v>6.5393339999999994E-2</v>
      </c>
      <c r="Z730">
        <v>-2.0579219999999998E-3</v>
      </c>
      <c r="AA730">
        <v>0.99785749999999995</v>
      </c>
      <c r="AB730">
        <v>29</v>
      </c>
      <c r="AC730">
        <v>25.4497999999999</v>
      </c>
      <c r="AD730">
        <v>-1.0595276250079999</v>
      </c>
      <c r="AE730">
        <v>-1.45350000000001</v>
      </c>
      <c r="AF730">
        <v>1.6782042856933299</v>
      </c>
      <c r="AG730">
        <v>-1.0595276250079999</v>
      </c>
      <c r="AH730">
        <v>25.391912489980498</v>
      </c>
      <c r="AI730">
        <v>92.384197696823193</v>
      </c>
      <c r="AJ730">
        <v>86.2187021915136</v>
      </c>
      <c r="AK730">
        <v>25.469357830764</v>
      </c>
      <c r="AL730">
        <v>90.418671873362896</v>
      </c>
      <c r="AM730">
        <v>93.508903883944498</v>
      </c>
      <c r="AN730">
        <v>1.00000004822975</v>
      </c>
    </row>
    <row r="731" spans="1:40" x14ac:dyDescent="0.25">
      <c r="A731" t="str">
        <f>"20190305135209055"</f>
        <v>20190305135209055</v>
      </c>
      <c r="B731" t="str">
        <f>"1551765129050102"</f>
        <v>1551765129050102</v>
      </c>
      <c r="C731" t="s">
        <v>40</v>
      </c>
      <c r="D731">
        <v>4.5073169999999996</v>
      </c>
      <c r="E731">
        <v>0.54858479999999998</v>
      </c>
      <c r="F731" t="s">
        <v>42</v>
      </c>
      <c r="G731">
        <v>-276.90809999999999</v>
      </c>
      <c r="H731" s="1">
        <v>-1.838144E-6</v>
      </c>
      <c r="I731">
        <v>366.63170000000002</v>
      </c>
      <c r="J731">
        <v>-302.75170000000003</v>
      </c>
      <c r="K731">
        <v>1.05952</v>
      </c>
      <c r="L731">
        <v>368.13459999999998</v>
      </c>
      <c r="M731">
        <v>0.9998591</v>
      </c>
      <c r="N731">
        <v>-1.423249E-2</v>
      </c>
      <c r="O731">
        <v>8.8993630000000004E-3</v>
      </c>
      <c r="P731">
        <v>0.99736539999999996</v>
      </c>
      <c r="Q731">
        <v>-2.0728949999999999E-2</v>
      </c>
      <c r="R731">
        <v>6.9516999999999995E-2</v>
      </c>
      <c r="S731">
        <v>3.0176699999999999</v>
      </c>
      <c r="T731">
        <v>-0.1228701</v>
      </c>
      <c r="U731">
        <v>-0.174102799999999</v>
      </c>
      <c r="V731">
        <v>-6.0638369999999997E-2</v>
      </c>
      <c r="W731">
        <v>-6.5123840000000004E-3</v>
      </c>
      <c r="X731">
        <v>0.99813850000000004</v>
      </c>
      <c r="Y731">
        <v>6.6404690000000002E-2</v>
      </c>
      <c r="Z731">
        <v>-2.0588490000000002E-3</v>
      </c>
      <c r="AA731">
        <v>0.99779059999999997</v>
      </c>
      <c r="AB731">
        <v>29</v>
      </c>
      <c r="AC731">
        <v>25.843599999999999</v>
      </c>
      <c r="AD731">
        <v>-1.0595218381439999</v>
      </c>
      <c r="AE731">
        <v>-1.5028999999999499</v>
      </c>
      <c r="AF731">
        <v>1.72995745284188</v>
      </c>
      <c r="AG731">
        <v>-1.0595218381439999</v>
      </c>
      <c r="AH731">
        <v>25.786005359095</v>
      </c>
      <c r="AI731">
        <v>92.347632798143493</v>
      </c>
      <c r="AJ731">
        <v>86.161834687137997</v>
      </c>
      <c r="AK731">
        <v>25.8656801900399</v>
      </c>
      <c r="AL731">
        <v>90.373134776162601</v>
      </c>
      <c r="AM731">
        <v>93.476529403690606</v>
      </c>
      <c r="AN731">
        <v>0.99999994412193305</v>
      </c>
    </row>
    <row r="732" spans="1:40" x14ac:dyDescent="0.25">
      <c r="A732" t="str">
        <f>"20190305135209069"</f>
        <v>20190305135209069</v>
      </c>
      <c r="B732" t="str">
        <f>"1551765129059864"</f>
        <v>1551765129059864</v>
      </c>
      <c r="C732" t="s">
        <v>40</v>
      </c>
      <c r="D732">
        <v>4.5068950000000001</v>
      </c>
      <c r="E732">
        <v>0.54870339999999995</v>
      </c>
      <c r="F732" t="s">
        <v>42</v>
      </c>
      <c r="G732">
        <v>-275.84859999999998</v>
      </c>
      <c r="H732" s="1">
        <v>-2.3072140000000001E-6</v>
      </c>
      <c r="I732">
        <v>366.5496</v>
      </c>
      <c r="J732">
        <v>-302.56700000000001</v>
      </c>
      <c r="K732">
        <v>1.0595239999999999</v>
      </c>
      <c r="L732">
        <v>368.13630000000001</v>
      </c>
      <c r="M732">
        <v>0.99985959999999996</v>
      </c>
      <c r="N732">
        <v>-1.422674E-2</v>
      </c>
      <c r="O732">
        <v>8.8524409999999904E-3</v>
      </c>
      <c r="P732">
        <v>0.99750179999999999</v>
      </c>
      <c r="Q732">
        <v>-1.9775270000000001E-2</v>
      </c>
      <c r="R732">
        <v>6.781624E-2</v>
      </c>
      <c r="S732">
        <v>3.0178829999999999</v>
      </c>
      <c r="T732">
        <v>-0.1188526</v>
      </c>
      <c r="U732">
        <v>-0.17779539999999999</v>
      </c>
      <c r="V732">
        <v>-5.8983269999999997E-2</v>
      </c>
      <c r="W732">
        <v>-5.5631739999999997E-3</v>
      </c>
      <c r="X732">
        <v>0.99824349999999995</v>
      </c>
      <c r="Y732">
        <v>6.7573750000000002E-2</v>
      </c>
      <c r="Z732">
        <v>-2.0327409999999998E-3</v>
      </c>
      <c r="AA732">
        <v>0.99771220000000005</v>
      </c>
      <c r="AB732">
        <v>29</v>
      </c>
      <c r="AC732">
        <v>26.718399999999999</v>
      </c>
      <c r="AD732">
        <v>-1.059526307214</v>
      </c>
      <c r="AE732">
        <v>-1.5867</v>
      </c>
      <c r="AF732">
        <v>1.8203323244721401</v>
      </c>
      <c r="AG732">
        <v>-1.059526307214</v>
      </c>
      <c r="AH732">
        <v>26.661526214056401</v>
      </c>
      <c r="AI732">
        <v>92.270450676068506</v>
      </c>
      <c r="AJ732">
        <v>86.094156515386601</v>
      </c>
      <c r="AK732">
        <v>26.744591711783801</v>
      </c>
      <c r="AL732">
        <v>90.318748025445501</v>
      </c>
      <c r="AM732">
        <v>93.381507350224695</v>
      </c>
      <c r="AN732">
        <v>1.0000000301685401</v>
      </c>
    </row>
    <row r="733" spans="1:40" x14ac:dyDescent="0.25">
      <c r="A733" t="str">
        <f>"20190305135209082"</f>
        <v>20190305135209082</v>
      </c>
      <c r="B733" t="str">
        <f>"1551765129070599"</f>
        <v>1551765129070599</v>
      </c>
      <c r="C733" t="s">
        <v>40</v>
      </c>
      <c r="D733">
        <v>4.484693</v>
      </c>
      <c r="E733">
        <v>0.54880640000000003</v>
      </c>
      <c r="F733" t="s">
        <v>42</v>
      </c>
      <c r="G733">
        <v>-274.67140000000001</v>
      </c>
      <c r="H733" s="1">
        <v>-2.8320149999999999E-6</v>
      </c>
      <c r="I733">
        <v>366.43819999999999</v>
      </c>
      <c r="J733">
        <v>-302.40629999999999</v>
      </c>
      <c r="K733">
        <v>1.0595129999999999</v>
      </c>
      <c r="L733">
        <v>368.13760000000002</v>
      </c>
      <c r="M733">
        <v>0.99986010000000003</v>
      </c>
      <c r="N733">
        <v>-1.422202E-2</v>
      </c>
      <c r="O733">
        <v>8.8118280000000007E-3</v>
      </c>
      <c r="P733">
        <v>0.99755839999999996</v>
      </c>
      <c r="Q733">
        <v>-2.1268430000000001E-2</v>
      </c>
      <c r="R733">
        <v>6.6523260000000001E-2</v>
      </c>
      <c r="S733">
        <v>3.0177309999999999</v>
      </c>
      <c r="T733">
        <v>-0.11461880000000001</v>
      </c>
      <c r="U733">
        <v>-0.1836853</v>
      </c>
      <c r="V733">
        <v>-5.7730799999999999E-2</v>
      </c>
      <c r="W733">
        <v>-7.0605360000000001E-3</v>
      </c>
      <c r="X733">
        <v>0.99830719999999995</v>
      </c>
      <c r="Y733">
        <v>6.9479159999999998E-2</v>
      </c>
      <c r="Z733">
        <v>-2.0216710000000001E-3</v>
      </c>
      <c r="AA733">
        <v>0.99758139999999995</v>
      </c>
      <c r="AB733">
        <v>29</v>
      </c>
      <c r="AC733">
        <v>27.7348999999999</v>
      </c>
      <c r="AD733">
        <v>-1.059515832015</v>
      </c>
      <c r="AE733">
        <v>-1.69940000000002</v>
      </c>
      <c r="AF733">
        <v>1.9409319607564</v>
      </c>
      <c r="AG733">
        <v>-1.059515832015</v>
      </c>
      <c r="AH733">
        <v>27.678604747159099</v>
      </c>
      <c r="AI733">
        <v>92.186803505964093</v>
      </c>
      <c r="AJ733">
        <v>85.988762274849293</v>
      </c>
      <c r="AK733">
        <v>27.766795843669701</v>
      </c>
      <c r="AL733">
        <v>90.404542282783098</v>
      </c>
      <c r="AM733">
        <v>93.309653959303304</v>
      </c>
      <c r="AN733">
        <v>0.99999998100454301</v>
      </c>
    </row>
    <row r="734" spans="1:40" x14ac:dyDescent="0.25">
      <c r="A734" t="str">
        <f>"20190305135209103"</f>
        <v>20190305135209103</v>
      </c>
      <c r="B734" t="str">
        <f>"1551765129090119"</f>
        <v>1551765129090119</v>
      </c>
      <c r="C734" t="s">
        <v>40</v>
      </c>
      <c r="D734">
        <v>4.5012930000000004</v>
      </c>
      <c r="E734">
        <v>0.54899319999999996</v>
      </c>
      <c r="F734" t="s">
        <v>42</v>
      </c>
      <c r="G734">
        <v>-275.22739999999999</v>
      </c>
      <c r="H734" s="1">
        <v>-2.593423E-6</v>
      </c>
      <c r="I734">
        <v>366.43849999999998</v>
      </c>
      <c r="J734">
        <v>-302.13569999999999</v>
      </c>
      <c r="K734">
        <v>1.059493</v>
      </c>
      <c r="L734">
        <v>368.13990000000001</v>
      </c>
      <c r="M734">
        <v>0.99986079999999999</v>
      </c>
      <c r="N734">
        <v>-1.4214569999999999E-2</v>
      </c>
      <c r="O734">
        <v>8.7431060000000005E-3</v>
      </c>
      <c r="P734">
        <v>0.99761270000000002</v>
      </c>
      <c r="Q734">
        <v>-2.4776869999999999E-2</v>
      </c>
      <c r="R734">
        <v>6.4460879999999998E-2</v>
      </c>
      <c r="S734">
        <v>3.0174259999999999</v>
      </c>
      <c r="T734">
        <v>-0.1176281</v>
      </c>
      <c r="U734">
        <v>-0.1886292</v>
      </c>
      <c r="V734">
        <v>-5.5737250000000002E-2</v>
      </c>
      <c r="W734">
        <v>-1.057601E-2</v>
      </c>
      <c r="X734">
        <v>0.99838950000000004</v>
      </c>
      <c r="Y734">
        <v>7.1039959999999999E-2</v>
      </c>
      <c r="Z734">
        <v>-2.1047430000000001E-3</v>
      </c>
      <c r="AA734">
        <v>0.99747129999999995</v>
      </c>
      <c r="AB734">
        <v>29</v>
      </c>
      <c r="AC734">
        <v>26.908300000000001</v>
      </c>
      <c r="AD734">
        <v>-1.0594955934229999</v>
      </c>
      <c r="AE734">
        <v>-1.70140000000003</v>
      </c>
      <c r="AF734">
        <v>1.9336349872591401</v>
      </c>
      <c r="AG734">
        <v>-1.0594955934229999</v>
      </c>
      <c r="AH734">
        <v>26.850932091551101</v>
      </c>
      <c r="AI734">
        <v>92.253798732166103</v>
      </c>
      <c r="AJ734">
        <v>85.881029352687406</v>
      </c>
      <c r="AK734">
        <v>26.941307120507801</v>
      </c>
      <c r="AL734">
        <v>90.605972007695001</v>
      </c>
      <c r="AM734">
        <v>93.195343771527305</v>
      </c>
      <c r="AN734">
        <v>1.0000000433676599</v>
      </c>
    </row>
    <row r="735" spans="1:40" x14ac:dyDescent="0.25">
      <c r="A735" t="str">
        <f>"20190305135209116"</f>
        <v>20190305135209116</v>
      </c>
      <c r="B735" t="str">
        <f>"1551765129110617"</f>
        <v>1551765129110617</v>
      </c>
      <c r="C735" t="s">
        <v>40</v>
      </c>
      <c r="D735">
        <v>4.4684049999999997</v>
      </c>
      <c r="E735">
        <v>0.54912629999999996</v>
      </c>
      <c r="F735" t="s">
        <v>42</v>
      </c>
      <c r="G735">
        <v>-276.77719999999999</v>
      </c>
      <c r="H735" s="1">
        <v>-1.9195309999999998E-6</v>
      </c>
      <c r="I735">
        <v>366.4896</v>
      </c>
      <c r="J735">
        <v>-301.96679999999998</v>
      </c>
      <c r="K735">
        <v>1.059482</v>
      </c>
      <c r="L735">
        <v>368.14139999999998</v>
      </c>
      <c r="M735">
        <v>0.99986120000000001</v>
      </c>
      <c r="N735">
        <v>-1.4210220000000001E-2</v>
      </c>
      <c r="O735">
        <v>8.7005239999999994E-3</v>
      </c>
      <c r="P735">
        <v>0.99760340000000003</v>
      </c>
      <c r="Q735">
        <v>-2.7028170000000001E-2</v>
      </c>
      <c r="R735">
        <v>6.3695730000000006E-2</v>
      </c>
      <c r="S735">
        <v>3.016724</v>
      </c>
      <c r="T735">
        <v>-0.12604000000000001</v>
      </c>
      <c r="U735">
        <v>-0.19631960000000001</v>
      </c>
      <c r="V735">
        <v>-5.501549E-2</v>
      </c>
      <c r="W735">
        <v>-1.2831820000000001E-2</v>
      </c>
      <c r="X735">
        <v>0.99840309999999999</v>
      </c>
      <c r="Y735">
        <v>7.3531280000000004E-2</v>
      </c>
      <c r="Z735">
        <v>-2.2966480000000001E-3</v>
      </c>
      <c r="AA735">
        <v>0.99729029999999996</v>
      </c>
      <c r="AB735">
        <v>29</v>
      </c>
      <c r="AC735">
        <v>25.189599999999899</v>
      </c>
      <c r="AD735">
        <v>-1.059483919531</v>
      </c>
      <c r="AE735">
        <v>-1.65179999999998</v>
      </c>
      <c r="AF735">
        <v>1.86763247631782</v>
      </c>
      <c r="AG735">
        <v>-1.059483919531</v>
      </c>
      <c r="AH735">
        <v>25.130006883511602</v>
      </c>
      <c r="AI735">
        <v>92.407535065321795</v>
      </c>
      <c r="AJ735">
        <v>85.749659026298801</v>
      </c>
      <c r="AK735">
        <v>25.221574161968601</v>
      </c>
      <c r="AL735">
        <v>90.735229266638399</v>
      </c>
      <c r="AM735">
        <v>93.154007423834798</v>
      </c>
      <c r="AN735">
        <v>1.00000005491702</v>
      </c>
    </row>
    <row r="736" spans="1:40" x14ac:dyDescent="0.25">
      <c r="A736" t="str">
        <f>"20190305135209128"</f>
        <v>20190305135209128</v>
      </c>
      <c r="B736" t="str">
        <f>"1551765129120376"</f>
        <v>1551765129120376</v>
      </c>
      <c r="C736" t="s">
        <v>40</v>
      </c>
      <c r="D736">
        <v>4.5105399999999998</v>
      </c>
      <c r="E736">
        <v>0.54918540000000005</v>
      </c>
      <c r="F736" t="s">
        <v>42</v>
      </c>
      <c r="G736">
        <v>-277.41669999999999</v>
      </c>
      <c r="H736" s="1">
        <v>-1.689912E-6</v>
      </c>
      <c r="I736">
        <v>366.51659999999998</v>
      </c>
      <c r="J736">
        <v>-301.81139999999999</v>
      </c>
      <c r="K736">
        <v>1.059472</v>
      </c>
      <c r="L736">
        <v>368.14269999999999</v>
      </c>
      <c r="M736">
        <v>0.99986169999999996</v>
      </c>
      <c r="N736">
        <v>-1.420633E-2</v>
      </c>
      <c r="O736">
        <v>8.6612749999999995E-3</v>
      </c>
      <c r="P736">
        <v>0.99757240000000003</v>
      </c>
      <c r="Q736">
        <v>-2.96084E-2</v>
      </c>
      <c r="R736">
        <v>6.3031729999999994E-2</v>
      </c>
      <c r="S736">
        <v>3.0163880000000001</v>
      </c>
      <c r="T736">
        <v>-0.13017480000000001</v>
      </c>
      <c r="U736">
        <v>-0.1996155</v>
      </c>
      <c r="V736">
        <v>-5.4391259999999997E-2</v>
      </c>
      <c r="W736">
        <v>-1.5416350000000001E-2</v>
      </c>
      <c r="X736">
        <v>0.99840070000000003</v>
      </c>
      <c r="Y736">
        <v>7.4577729999999995E-2</v>
      </c>
      <c r="Z736">
        <v>-2.3877540000000002E-3</v>
      </c>
      <c r="AA736">
        <v>0.9972124</v>
      </c>
      <c r="AB736">
        <v>29</v>
      </c>
      <c r="AC736">
        <v>24.3947</v>
      </c>
      <c r="AD736">
        <v>-1.0594736899120001</v>
      </c>
      <c r="AE736">
        <v>-1.6261000000000001</v>
      </c>
      <c r="AF736">
        <v>1.8339056718151401</v>
      </c>
      <c r="AG736">
        <v>-1.0594736899120001</v>
      </c>
      <c r="AH736">
        <v>24.334003330912399</v>
      </c>
      <c r="AI736">
        <v>92.485974969710895</v>
      </c>
      <c r="AJ736">
        <v>85.690113274167203</v>
      </c>
      <c r="AK736">
        <v>24.425998702644499</v>
      </c>
      <c r="AL736">
        <v>90.883326768401105</v>
      </c>
      <c r="AM736">
        <v>93.118299175993599</v>
      </c>
      <c r="AN736">
        <v>1.0000000153860999</v>
      </c>
    </row>
    <row r="737" spans="1:40" x14ac:dyDescent="0.25">
      <c r="A737" t="str">
        <f>"20190305135209137"</f>
        <v>20190305135209137</v>
      </c>
      <c r="B737" t="str">
        <f>"1551765129130136"</f>
        <v>1551765129130136</v>
      </c>
      <c r="C737" t="s">
        <v>40</v>
      </c>
      <c r="D737">
        <v>4.4704199999999998</v>
      </c>
      <c r="E737">
        <v>0.54921819999999999</v>
      </c>
      <c r="F737" t="s">
        <v>42</v>
      </c>
      <c r="G737">
        <v>-278.3999</v>
      </c>
      <c r="H737" s="1">
        <v>-1.3409500000000001E-6</v>
      </c>
      <c r="I737">
        <v>366.57060000000001</v>
      </c>
      <c r="J737">
        <v>-301.67</v>
      </c>
      <c r="K737">
        <v>1.059461</v>
      </c>
      <c r="L737">
        <v>368.14389999999997</v>
      </c>
      <c r="M737">
        <v>0.99986200000000003</v>
      </c>
      <c r="N737">
        <v>-1.420298E-2</v>
      </c>
      <c r="O737">
        <v>8.6257179999999992E-3</v>
      </c>
      <c r="P737">
        <v>0.99752030000000003</v>
      </c>
      <c r="Q737">
        <v>-3.1985649999999997E-2</v>
      </c>
      <c r="R737">
        <v>6.269284E-2</v>
      </c>
      <c r="S737">
        <v>3.016022</v>
      </c>
      <c r="T737">
        <v>-0.13648779999999999</v>
      </c>
      <c r="U737">
        <v>-0.20251459999999999</v>
      </c>
      <c r="V737">
        <v>-5.408872E-2</v>
      </c>
      <c r="W737">
        <v>-1.7797569999999999E-2</v>
      </c>
      <c r="X737">
        <v>0.99837750000000003</v>
      </c>
      <c r="Y737">
        <v>7.5494800000000001E-2</v>
      </c>
      <c r="Z737">
        <v>-2.509963E-3</v>
      </c>
      <c r="AA737">
        <v>0.997143</v>
      </c>
      <c r="AB737">
        <v>29</v>
      </c>
      <c r="AC737">
        <v>23.270099999999999</v>
      </c>
      <c r="AD737">
        <v>-1.0594623409499999</v>
      </c>
      <c r="AE737">
        <v>-1.57329999999996</v>
      </c>
      <c r="AF737">
        <v>1.77033002538122</v>
      </c>
      <c r="AG737">
        <v>-1.0594623409499999</v>
      </c>
      <c r="AH737">
        <v>23.207773847377499</v>
      </c>
      <c r="AI737">
        <v>92.606244135219498</v>
      </c>
      <c r="AJ737">
        <v>85.637824571103906</v>
      </c>
      <c r="AK737">
        <v>23.299298182599301</v>
      </c>
      <c r="AL737">
        <v>91.019779500298895</v>
      </c>
      <c r="AM737">
        <v>93.101060154765193</v>
      </c>
      <c r="AN737">
        <v>0.99999998781769595</v>
      </c>
    </row>
    <row r="738" spans="1:40" x14ac:dyDescent="0.25">
      <c r="A738" t="str">
        <f>"20190305135209149"</f>
        <v>20190305135209149</v>
      </c>
      <c r="B738" t="str">
        <f>"1551765129139895"</f>
        <v>1551765129139895</v>
      </c>
      <c r="C738" t="s">
        <v>40</v>
      </c>
      <c r="D738">
        <v>4.4787140000000001</v>
      </c>
      <c r="E738">
        <v>0.54932019999999904</v>
      </c>
      <c r="F738" t="s">
        <v>42</v>
      </c>
      <c r="G738">
        <v>-279.12459999999999</v>
      </c>
      <c r="H738" s="1">
        <v>-1.0806620000000001E-6</v>
      </c>
      <c r="I738">
        <v>366.62209999999999</v>
      </c>
      <c r="J738">
        <v>-301.53160000000003</v>
      </c>
      <c r="K738">
        <v>1.0594460000000001</v>
      </c>
      <c r="L738">
        <v>368.14499999999998</v>
      </c>
      <c r="M738">
        <v>0.99986229999999998</v>
      </c>
      <c r="N738">
        <v>-1.41998E-2</v>
      </c>
      <c r="O738">
        <v>8.5909929999999999E-3</v>
      </c>
      <c r="P738">
        <v>0.99744549999999998</v>
      </c>
      <c r="Q738">
        <v>-3.4482779999999998E-2</v>
      </c>
      <c r="R738">
        <v>6.2558199999999994E-2</v>
      </c>
      <c r="S738">
        <v>3.0156860000000001</v>
      </c>
      <c r="T738">
        <v>-0.141713899999999</v>
      </c>
      <c r="U738">
        <v>-0.20355219999999999</v>
      </c>
      <c r="V738">
        <v>-5.3989500000000003E-2</v>
      </c>
      <c r="W738">
        <v>-2.0298750000000001E-2</v>
      </c>
      <c r="X738">
        <v>0.99833519999999998</v>
      </c>
      <c r="Y738">
        <v>7.5801300000000002E-2</v>
      </c>
      <c r="Z738">
        <v>-2.598492E-3</v>
      </c>
      <c r="AA738">
        <v>0.99711950000000005</v>
      </c>
      <c r="AB738">
        <v>29</v>
      </c>
      <c r="AC738">
        <v>22.407</v>
      </c>
      <c r="AD738">
        <v>-1.059447080662</v>
      </c>
      <c r="AE738">
        <v>-1.5228999999999899</v>
      </c>
      <c r="AF738">
        <v>1.71155284573338</v>
      </c>
      <c r="AG738">
        <v>-1.059447080662</v>
      </c>
      <c r="AH738">
        <v>22.343367586313001</v>
      </c>
      <c r="AI738">
        <v>92.706820929918905</v>
      </c>
      <c r="AJ738">
        <v>85.619567421263994</v>
      </c>
      <c r="AK738">
        <v>22.433856475371499</v>
      </c>
      <c r="AL738">
        <v>91.163112543651494</v>
      </c>
      <c r="AM738">
        <v>93.095513560265701</v>
      </c>
      <c r="AN738">
        <v>1.00000003846042</v>
      </c>
    </row>
    <row r="739" spans="1:40" x14ac:dyDescent="0.25">
      <c r="A739" t="str">
        <f>"20190305135209160"</f>
        <v>20190305135209160</v>
      </c>
      <c r="B739" t="str">
        <f>"1551765129150631"</f>
        <v>1551765129150631</v>
      </c>
      <c r="C739" t="s">
        <v>40</v>
      </c>
      <c r="D739">
        <v>4.5146050000000004</v>
      </c>
      <c r="E739">
        <v>0.54942270000000004</v>
      </c>
      <c r="F739" t="s">
        <v>42</v>
      </c>
      <c r="G739">
        <v>-279.81020000000001</v>
      </c>
      <c r="H739" s="1">
        <v>-8.3462609999999899E-7</v>
      </c>
      <c r="I739">
        <v>366.66989999999998</v>
      </c>
      <c r="J739">
        <v>-301.38170000000002</v>
      </c>
      <c r="K739">
        <v>1.0594319999999999</v>
      </c>
      <c r="L739">
        <v>368.1463</v>
      </c>
      <c r="M739">
        <v>0.99986269999999999</v>
      </c>
      <c r="N739">
        <v>-1.4196479999999999E-2</v>
      </c>
      <c r="O739">
        <v>8.5532260000000006E-3</v>
      </c>
      <c r="P739">
        <v>0.99733479999999997</v>
      </c>
      <c r="Q739">
        <v>-3.7814680000000003E-2</v>
      </c>
      <c r="R739">
        <v>6.2396130000000001E-2</v>
      </c>
      <c r="S739">
        <v>3.0154719999999999</v>
      </c>
      <c r="T739">
        <v>-0.14707709999999999</v>
      </c>
      <c r="U739">
        <v>-0.20477290000000001</v>
      </c>
      <c r="V739">
        <v>-5.3867020000000002E-2</v>
      </c>
      <c r="W739">
        <v>-2.3635260000000002E-2</v>
      </c>
      <c r="X739">
        <v>0.99826839999999994</v>
      </c>
      <c r="Y739">
        <v>7.6161759999999995E-2</v>
      </c>
      <c r="Z739">
        <v>-2.6910469999999998E-3</v>
      </c>
      <c r="AA739">
        <v>0.99709179999999997</v>
      </c>
      <c r="AB739">
        <v>29</v>
      </c>
      <c r="AC739">
        <v>21.5715</v>
      </c>
      <c r="AD739">
        <v>-1.0594328346260999</v>
      </c>
      <c r="AE739">
        <v>-1.4764000000000099</v>
      </c>
      <c r="AF739">
        <v>1.65689260964202</v>
      </c>
      <c r="AG739">
        <v>-1.0594328346260999</v>
      </c>
      <c r="AH739">
        <v>21.506448763039302</v>
      </c>
      <c r="AI739">
        <v>92.8118584186725</v>
      </c>
      <c r="AJ739">
        <v>85.594540108120995</v>
      </c>
      <c r="AK739">
        <v>21.596180899598998</v>
      </c>
      <c r="AL739">
        <v>91.354326705192406</v>
      </c>
      <c r="AM739">
        <v>93.088710992210693</v>
      </c>
      <c r="AN739">
        <v>1.0000000398987501</v>
      </c>
    </row>
    <row r="740" spans="1:40" x14ac:dyDescent="0.25">
      <c r="A740" t="str">
        <f>"20190305135209173"</f>
        <v>20190305135209173</v>
      </c>
      <c r="B740" t="str">
        <f>"1551765129170151"</f>
        <v>1551765129170151</v>
      </c>
      <c r="C740" t="s">
        <v>40</v>
      </c>
      <c r="D740">
        <v>4.4868800000000002</v>
      </c>
      <c r="E740">
        <v>0.54950319999999997</v>
      </c>
      <c r="F740" t="s">
        <v>47</v>
      </c>
      <c r="G740">
        <v>-279.774</v>
      </c>
      <c r="H740">
        <v>-0.05</v>
      </c>
      <c r="I740">
        <v>366.66609999999997</v>
      </c>
      <c r="J740">
        <v>-301.22829999999999</v>
      </c>
      <c r="K740">
        <v>1.0594170000000001</v>
      </c>
      <c r="L740">
        <v>368.14760000000001</v>
      </c>
      <c r="M740">
        <v>0.9998631</v>
      </c>
      <c r="N740">
        <v>-1.4193239999999999E-2</v>
      </c>
      <c r="O740">
        <v>8.5144499999999998E-3</v>
      </c>
      <c r="P740">
        <v>0.99720750000000002</v>
      </c>
      <c r="Q740">
        <v>-4.0912339999999998E-2</v>
      </c>
      <c r="R740">
        <v>6.2481490000000001E-2</v>
      </c>
      <c r="S740">
        <v>3.0150760000000001</v>
      </c>
      <c r="T740">
        <v>-0.15480669999999999</v>
      </c>
      <c r="U740">
        <v>-0.206543</v>
      </c>
      <c r="V740">
        <v>-5.3992749999999999E-2</v>
      </c>
      <c r="W740">
        <v>-2.6737629999999998E-2</v>
      </c>
      <c r="X740">
        <v>0.9981833</v>
      </c>
      <c r="Y740">
        <v>7.6701790000000006E-2</v>
      </c>
      <c r="Z740">
        <v>-2.8266960000000001E-3</v>
      </c>
      <c r="AA740">
        <v>0.99704999999999999</v>
      </c>
      <c r="AB740">
        <v>29</v>
      </c>
      <c r="AC740">
        <v>21.4542999999999</v>
      </c>
      <c r="AD740">
        <v>-1.1094170000000001</v>
      </c>
      <c r="AE740">
        <v>-1.48150000000003</v>
      </c>
      <c r="AF740">
        <v>1.6597192167007999</v>
      </c>
      <c r="AG740">
        <v>-1.1094170000000001</v>
      </c>
      <c r="AH740">
        <v>21.383997348639902</v>
      </c>
      <c r="AI740">
        <v>92.960993800466298</v>
      </c>
      <c r="AJ740">
        <v>85.561884966875198</v>
      </c>
      <c r="AK740">
        <v>21.476983413990201</v>
      </c>
      <c r="AL740">
        <v>91.532135930360496</v>
      </c>
      <c r="AM740">
        <v>93.096169714221105</v>
      </c>
      <c r="AN740">
        <v>1.0000000091547301</v>
      </c>
    </row>
    <row r="741" spans="1:40" x14ac:dyDescent="0.25">
      <c r="A741" t="str">
        <f>"20190305135209185"</f>
        <v>20190305135209185</v>
      </c>
      <c r="B741" t="str">
        <f>"1551765129179911"</f>
        <v>1551765129179911</v>
      </c>
      <c r="C741" t="s">
        <v>40</v>
      </c>
      <c r="D741">
        <v>4.4812620000000001</v>
      </c>
      <c r="E741">
        <v>0.54956799999999995</v>
      </c>
      <c r="F741" t="s">
        <v>47</v>
      </c>
      <c r="G741">
        <v>-280.37360000000001</v>
      </c>
      <c r="H741">
        <v>-0.05</v>
      </c>
      <c r="I741">
        <v>366.71710000000002</v>
      </c>
      <c r="J741">
        <v>-301.06819999999999</v>
      </c>
      <c r="K741">
        <v>1.0593889999999999</v>
      </c>
      <c r="L741">
        <v>368.14890000000003</v>
      </c>
      <c r="M741">
        <v>0.99986350000000002</v>
      </c>
      <c r="N741">
        <v>-1.418995E-2</v>
      </c>
      <c r="O741">
        <v>8.4740639999999999E-3</v>
      </c>
      <c r="P741">
        <v>0.9970002</v>
      </c>
      <c r="Q741">
        <v>-4.5437760000000001E-2</v>
      </c>
      <c r="R741">
        <v>6.2658199999999997E-2</v>
      </c>
      <c r="S741">
        <v>3.0147400000000002</v>
      </c>
      <c r="T741">
        <v>-0.16037689999999999</v>
      </c>
      <c r="U741">
        <v>-0.2067871</v>
      </c>
      <c r="V741">
        <v>-5.4212639999999999E-2</v>
      </c>
      <c r="W741">
        <v>-3.1268799999999999E-2</v>
      </c>
      <c r="X741">
        <v>0.99803969999999997</v>
      </c>
      <c r="Y741">
        <v>7.6740439999999993E-2</v>
      </c>
      <c r="Z741">
        <v>-2.912937E-3</v>
      </c>
      <c r="AA741">
        <v>0.99704680000000001</v>
      </c>
      <c r="AB741">
        <v>29</v>
      </c>
      <c r="AC741">
        <v>20.694599999999902</v>
      </c>
      <c r="AD741">
        <v>-1.109389</v>
      </c>
      <c r="AE741">
        <v>-1.4318</v>
      </c>
      <c r="AF741">
        <v>1.6025501495389201</v>
      </c>
      <c r="AG741">
        <v>-1.109389</v>
      </c>
      <c r="AH741">
        <v>20.622739524606299</v>
      </c>
      <c r="AI741">
        <v>93.069989798484201</v>
      </c>
      <c r="AJ741">
        <v>85.5565937802848</v>
      </c>
      <c r="AK741">
        <v>20.714639664615699</v>
      </c>
      <c r="AL741">
        <v>91.791862354740701</v>
      </c>
      <c r="AM741">
        <v>93.109200858410702</v>
      </c>
      <c r="AN741">
        <v>0.99999999548264895</v>
      </c>
    </row>
    <row r="742" spans="1:40" x14ac:dyDescent="0.25">
      <c r="A742" t="str">
        <f>"20190305135209198"</f>
        <v>20190305135209198</v>
      </c>
      <c r="B742" t="str">
        <f>"1551765129190647"</f>
        <v>1551765129190647</v>
      </c>
      <c r="C742" t="s">
        <v>40</v>
      </c>
      <c r="D742">
        <v>4.517169</v>
      </c>
      <c r="E742">
        <v>0.54956799999999995</v>
      </c>
      <c r="F742" t="s">
        <v>41</v>
      </c>
      <c r="G742">
        <v>-300.07440000000003</v>
      </c>
      <c r="H742">
        <v>1.0026870000000001</v>
      </c>
      <c r="I742">
        <v>368.08049999999997</v>
      </c>
      <c r="J742">
        <v>-300.89940000000001</v>
      </c>
      <c r="K742">
        <v>1.0593539999999999</v>
      </c>
      <c r="L742">
        <v>368.15030000000002</v>
      </c>
      <c r="M742">
        <v>0.99986370000000002</v>
      </c>
      <c r="N742">
        <v>-1.418672E-2</v>
      </c>
      <c r="O742">
        <v>8.4315929999999994E-3</v>
      </c>
      <c r="P742">
        <v>0.99665700000000002</v>
      </c>
      <c r="Q742">
        <v>-5.17344E-2</v>
      </c>
      <c r="R742">
        <v>6.3233150000000002E-2</v>
      </c>
      <c r="S742">
        <v>3.0141909999999998</v>
      </c>
      <c r="T742">
        <v>-0.17218159999999999</v>
      </c>
      <c r="U742">
        <v>-0.20684810000000001</v>
      </c>
      <c r="V742">
        <v>-5.4833680000000003E-2</v>
      </c>
      <c r="W742">
        <v>-3.7572759999999997E-2</v>
      </c>
      <c r="X742">
        <v>0.99778829999999996</v>
      </c>
      <c r="Y742">
        <v>7.6710669999999995E-2</v>
      </c>
      <c r="Z742">
        <v>-3.0933179999999998E-3</v>
      </c>
      <c r="AA742">
        <v>0.99704859999999995</v>
      </c>
      <c r="AB742">
        <v>29</v>
      </c>
      <c r="AC742">
        <v>0.82499999999998797</v>
      </c>
      <c r="AD742">
        <v>-5.6667000000000002E-2</v>
      </c>
      <c r="AE742">
        <v>-6.98000000000433E-2</v>
      </c>
      <c r="AF742">
        <v>7.6396411391863206E-2</v>
      </c>
      <c r="AG742">
        <v>-5.6667000000000002E-2</v>
      </c>
      <c r="AH742">
        <v>0.82053834605181597</v>
      </c>
      <c r="AI742">
        <v>93.933658168157706</v>
      </c>
      <c r="AJ742">
        <v>84.680797887272405</v>
      </c>
      <c r="AK742">
        <v>0.82603313365990605</v>
      </c>
      <c r="AL742">
        <v>92.153267476330797</v>
      </c>
      <c r="AM742">
        <v>93.145538381466196</v>
      </c>
      <c r="AN742">
        <v>0.99999996818662396</v>
      </c>
    </row>
    <row r="743" spans="1:40" x14ac:dyDescent="0.25">
      <c r="A743" t="str">
        <f>"20190305135209211"</f>
        <v>20190305135209211</v>
      </c>
      <c r="B743" t="str">
        <f>"1551765129200407"</f>
        <v>1551765129200407</v>
      </c>
      <c r="C743" t="s">
        <v>40</v>
      </c>
      <c r="D743">
        <v>4.4912999999999998</v>
      </c>
      <c r="E743">
        <v>0.55248560000000002</v>
      </c>
      <c r="F743" t="s">
        <v>47</v>
      </c>
      <c r="G743">
        <v>-283.40289999999999</v>
      </c>
      <c r="H743">
        <v>-0.05</v>
      </c>
      <c r="I743">
        <v>366.95960000000002</v>
      </c>
      <c r="J743">
        <v>-300.73809999999997</v>
      </c>
      <c r="K743">
        <v>1.059307</v>
      </c>
      <c r="L743">
        <v>368.15159999999997</v>
      </c>
      <c r="M743">
        <v>0.99986430000000004</v>
      </c>
      <c r="N743">
        <v>-1.418378E-2</v>
      </c>
      <c r="O743">
        <v>8.3906699999999994E-3</v>
      </c>
      <c r="P743">
        <v>0.99614970000000003</v>
      </c>
      <c r="Q743">
        <v>-6.0147260000000001E-2</v>
      </c>
      <c r="R743">
        <v>6.3785439999999999E-2</v>
      </c>
      <c r="S743">
        <v>3.0131230000000002</v>
      </c>
      <c r="T743">
        <v>-0.19104499999999999</v>
      </c>
      <c r="U743">
        <v>-0.2050476</v>
      </c>
      <c r="V743">
        <v>-5.5432639999999998E-2</v>
      </c>
      <c r="W743">
        <v>-4.5994760000000003E-2</v>
      </c>
      <c r="X743">
        <v>0.99740249999999997</v>
      </c>
      <c r="Y743">
        <v>7.6067889999999999E-2</v>
      </c>
      <c r="Z743">
        <v>-3.359211E-3</v>
      </c>
      <c r="AA743">
        <v>0.99709700000000001</v>
      </c>
      <c r="AB743">
        <v>29</v>
      </c>
      <c r="AC743">
        <v>17.335199999999901</v>
      </c>
      <c r="AD743">
        <v>-1.109307</v>
      </c>
      <c r="AE743">
        <v>-1.19199999999995</v>
      </c>
      <c r="AF743">
        <v>1.3319978307345901</v>
      </c>
      <c r="AG743">
        <v>-1.109307</v>
      </c>
      <c r="AH743">
        <v>17.254264558690899</v>
      </c>
      <c r="AI743">
        <v>93.667700785657004</v>
      </c>
      <c r="AJ743">
        <v>85.585625417308904</v>
      </c>
      <c r="AK743">
        <v>17.341119505459499</v>
      </c>
      <c r="AL743">
        <v>92.636235630014099</v>
      </c>
      <c r="AM743">
        <v>93.181055086042505</v>
      </c>
      <c r="AN743">
        <v>1.00000002126553</v>
      </c>
    </row>
    <row r="744" spans="1:40" x14ac:dyDescent="0.25">
      <c r="A744" t="str">
        <f>"20190305135209227"</f>
        <v>20190305135209227</v>
      </c>
      <c r="B744" t="str">
        <f>"1551765129219927"</f>
        <v>1551765129219927</v>
      </c>
      <c r="C744" t="s">
        <v>40</v>
      </c>
      <c r="D744">
        <v>4.3608529999999996</v>
      </c>
      <c r="E744">
        <v>0.55166300000000001</v>
      </c>
      <c r="F744" t="s">
        <v>42</v>
      </c>
      <c r="G744">
        <v>-275.34739999999999</v>
      </c>
      <c r="H744" s="1">
        <v>-2.5753909999999999E-6</v>
      </c>
      <c r="I744">
        <v>366.25009999999997</v>
      </c>
      <c r="J744">
        <v>-300.52839999999998</v>
      </c>
      <c r="K744">
        <v>1.059202</v>
      </c>
      <c r="L744">
        <v>368.1533</v>
      </c>
      <c r="M744">
        <v>0.9998648</v>
      </c>
      <c r="N744">
        <v>-1.4180170000000001E-2</v>
      </c>
      <c r="O744">
        <v>8.3374739999999992E-3</v>
      </c>
      <c r="P744">
        <v>0.99436970000000002</v>
      </c>
      <c r="Q744">
        <v>-8.3708989999999997E-2</v>
      </c>
      <c r="R744">
        <v>6.4975759999999994E-2</v>
      </c>
      <c r="S744">
        <v>3.0184630000000001</v>
      </c>
      <c r="T744">
        <v>-0.12593080000000001</v>
      </c>
      <c r="U744">
        <v>-0.22604369999999999</v>
      </c>
      <c r="V744">
        <v>-5.6694750000000002E-2</v>
      </c>
      <c r="W744">
        <v>-6.9582660000000005E-2</v>
      </c>
      <c r="X744">
        <v>0.99596379999999995</v>
      </c>
      <c r="Y744">
        <v>8.2890989999999998E-2</v>
      </c>
      <c r="Z744">
        <v>-2.5440469999999998E-3</v>
      </c>
      <c r="AA744">
        <v>0.99655539999999998</v>
      </c>
      <c r="AB744">
        <v>29</v>
      </c>
      <c r="AC744">
        <v>25.180999999999901</v>
      </c>
      <c r="AD744">
        <v>-1.059204575391</v>
      </c>
      <c r="AE744">
        <v>-1.90320000000002</v>
      </c>
      <c r="AF744">
        <v>2.1093898086006901</v>
      </c>
      <c r="AG744">
        <v>-1.059204575391</v>
      </c>
      <c r="AH744">
        <v>25.1200613992638</v>
      </c>
      <c r="AI744">
        <v>92.406027514543297</v>
      </c>
      <c r="AJ744">
        <v>85.200001546969503</v>
      </c>
      <c r="AK744">
        <v>25.230713909835</v>
      </c>
      <c r="AL744">
        <v>93.990017084005004</v>
      </c>
      <c r="AM744">
        <v>93.258018041651098</v>
      </c>
      <c r="AN744">
        <v>0.99999996608033803</v>
      </c>
    </row>
    <row r="745" spans="1:40" x14ac:dyDescent="0.25">
      <c r="A745" t="str">
        <f>"20190305135209241"</f>
        <v>20190305135209241</v>
      </c>
      <c r="B745" t="str">
        <f>"1551765129230663"</f>
        <v>1551765129230663</v>
      </c>
      <c r="C745" t="s">
        <v>40</v>
      </c>
      <c r="D745">
        <v>4.4883519999999999</v>
      </c>
      <c r="E745">
        <v>0.55201880000000003</v>
      </c>
      <c r="F745" t="s">
        <v>41</v>
      </c>
      <c r="G745">
        <v>-299.56319999999999</v>
      </c>
      <c r="H745">
        <v>0.99855289999999997</v>
      </c>
      <c r="I745">
        <v>368.08409999999998</v>
      </c>
      <c r="J745">
        <v>-300.34930000000003</v>
      </c>
      <c r="K745">
        <v>1.059153</v>
      </c>
      <c r="L745">
        <v>368.15480000000002</v>
      </c>
      <c r="M745">
        <v>0.99986520000000001</v>
      </c>
      <c r="N745">
        <v>-1.4177149999999999E-2</v>
      </c>
      <c r="O745">
        <v>8.2920230000000008E-3</v>
      </c>
      <c r="P745">
        <v>0.99345559999999999</v>
      </c>
      <c r="Q745">
        <v>-9.3833680000000003E-2</v>
      </c>
      <c r="R745">
        <v>6.51283E-2</v>
      </c>
      <c r="S745">
        <v>3.0151059999999998</v>
      </c>
      <c r="T745">
        <v>-0.18960070000000001</v>
      </c>
      <c r="U745">
        <v>-0.2156372</v>
      </c>
      <c r="V745">
        <v>-5.6902170000000002E-2</v>
      </c>
      <c r="W745">
        <v>-7.9722290000000001E-2</v>
      </c>
      <c r="X745">
        <v>0.99519170000000001</v>
      </c>
      <c r="Y745">
        <v>7.9404760000000005E-2</v>
      </c>
      <c r="Z745">
        <v>-3.4582570000000002E-3</v>
      </c>
      <c r="AA745">
        <v>0.99683650000000001</v>
      </c>
      <c r="AB745">
        <v>29</v>
      </c>
      <c r="AC745">
        <v>0.78610000000003299</v>
      </c>
      <c r="AD745">
        <v>-6.06000999999999E-2</v>
      </c>
      <c r="AE745">
        <v>-7.0700000000044796E-2</v>
      </c>
      <c r="AF745">
        <v>7.6764049860695502E-2</v>
      </c>
      <c r="AG745">
        <v>-6.06000999999999E-2</v>
      </c>
      <c r="AH745">
        <v>0.78088326709004796</v>
      </c>
      <c r="AI745">
        <v>94.416316720725106</v>
      </c>
      <c r="AJ745">
        <v>84.385627105143399</v>
      </c>
      <c r="AK745">
        <v>0.78698396952685901</v>
      </c>
      <c r="AL745">
        <v>94.572603093908597</v>
      </c>
      <c r="AM745">
        <v>93.272443197962005</v>
      </c>
      <c r="AN745">
        <v>1.0000000101112201</v>
      </c>
    </row>
    <row r="746" spans="1:40" x14ac:dyDescent="0.25">
      <c r="A746" t="str">
        <f>"20190305135209254"</f>
        <v>20190305135209254</v>
      </c>
      <c r="B746" t="str">
        <f>"1551765129250183"</f>
        <v>1551765129250183</v>
      </c>
      <c r="C746" t="s">
        <v>40</v>
      </c>
      <c r="D746">
        <v>4.4723940000000004</v>
      </c>
      <c r="E746">
        <v>0.55255759999999998</v>
      </c>
      <c r="F746" t="s">
        <v>41</v>
      </c>
      <c r="G746">
        <v>-299.5607</v>
      </c>
      <c r="H746">
        <v>1.0017590000000001</v>
      </c>
      <c r="I746">
        <v>368.09750000000003</v>
      </c>
      <c r="J746">
        <v>-300.19560000000001</v>
      </c>
      <c r="K746">
        <v>1.0591109999999999</v>
      </c>
      <c r="L746">
        <v>368.15600000000001</v>
      </c>
      <c r="M746">
        <v>0.99986569999999997</v>
      </c>
      <c r="N746">
        <v>-1.4174640000000001E-2</v>
      </c>
      <c r="O746">
        <v>8.2530629999999997E-3</v>
      </c>
      <c r="P746">
        <v>0.99276569999999997</v>
      </c>
      <c r="Q746">
        <v>-0.10081710000000001</v>
      </c>
      <c r="R746">
        <v>6.5208929999999998E-2</v>
      </c>
      <c r="S746">
        <v>3.0133670000000001</v>
      </c>
      <c r="T746">
        <v>-0.21953980000000001</v>
      </c>
      <c r="U746">
        <v>-0.21801760000000001</v>
      </c>
      <c r="V746">
        <v>-5.7028179999999998E-2</v>
      </c>
      <c r="W746">
        <v>-8.6717279999999994E-2</v>
      </c>
      <c r="X746">
        <v>0.99459929999999996</v>
      </c>
      <c r="Y746">
        <v>8.012466E-2</v>
      </c>
      <c r="Z746">
        <v>-3.9636709999999898E-3</v>
      </c>
      <c r="AA746">
        <v>0.99677700000000002</v>
      </c>
      <c r="AB746">
        <v>29</v>
      </c>
      <c r="AC746">
        <v>0.63490000000001601</v>
      </c>
      <c r="AD746">
        <v>-5.7352E-2</v>
      </c>
      <c r="AE746">
        <v>-5.8499999999980901E-2</v>
      </c>
      <c r="AF746">
        <v>6.3226819054333694E-2</v>
      </c>
      <c r="AG746">
        <v>-5.7352E-2</v>
      </c>
      <c r="AH746">
        <v>0.62930367483529004</v>
      </c>
      <c r="AI746">
        <v>95.181360430819893</v>
      </c>
      <c r="AJ746">
        <v>84.262684524092805</v>
      </c>
      <c r="AK746">
        <v>0.63506692380640495</v>
      </c>
      <c r="AL746">
        <v>94.974782787929001</v>
      </c>
      <c r="AM746">
        <v>93.281623390697604</v>
      </c>
      <c r="AN746">
        <v>0.99999993376259799</v>
      </c>
    </row>
    <row r="747" spans="1:40" x14ac:dyDescent="0.25">
      <c r="A747" t="str">
        <f>"20190305135209264"</f>
        <v>20190305135209264</v>
      </c>
      <c r="B747" t="str">
        <f>"1551765129259944"</f>
        <v>1551765129259944</v>
      </c>
      <c r="C747" t="s">
        <v>40</v>
      </c>
      <c r="D747">
        <v>4.4455619999999998</v>
      </c>
      <c r="E747">
        <v>0.55280269999999898</v>
      </c>
      <c r="F747" t="s">
        <v>41</v>
      </c>
      <c r="G747">
        <v>-299.30779999999999</v>
      </c>
      <c r="H747">
        <v>0.99715050000000005</v>
      </c>
      <c r="I747">
        <v>368.09039999999999</v>
      </c>
      <c r="J747">
        <v>-300.04149999999998</v>
      </c>
      <c r="K747">
        <v>1.0590820000000001</v>
      </c>
      <c r="L747">
        <v>368.15719999999999</v>
      </c>
      <c r="M747">
        <v>0.99986589999999997</v>
      </c>
      <c r="N747">
        <v>-1.417216E-2</v>
      </c>
      <c r="O747">
        <v>8.214163E-3</v>
      </c>
      <c r="P747">
        <v>0.99220450000000004</v>
      </c>
      <c r="Q747">
        <v>-0.1059306</v>
      </c>
      <c r="R747">
        <v>6.5642759999999994E-2</v>
      </c>
      <c r="S747">
        <v>3.0149539999999999</v>
      </c>
      <c r="T747">
        <v>-0.21076810000000001</v>
      </c>
      <c r="U747">
        <v>-0.2213135</v>
      </c>
      <c r="V747">
        <v>-5.7506259999999997E-2</v>
      </c>
      <c r="W747">
        <v>-9.1840619999999998E-2</v>
      </c>
      <c r="X747">
        <v>0.99411179999999999</v>
      </c>
      <c r="Y747">
        <v>8.1148860000000003E-2</v>
      </c>
      <c r="Z747">
        <v>-3.8625410000000002E-3</v>
      </c>
      <c r="AA747">
        <v>0.99669450000000004</v>
      </c>
      <c r="AB747">
        <v>29</v>
      </c>
      <c r="AC747">
        <v>0.73369999999999802</v>
      </c>
      <c r="AD747">
        <v>-6.1931500000000098E-2</v>
      </c>
      <c r="AE747">
        <v>-6.6800000000000595E-2</v>
      </c>
      <c r="AF747">
        <v>7.2314078723995395E-2</v>
      </c>
      <c r="AG747">
        <v>-6.1931500000000098E-2</v>
      </c>
      <c r="AH747">
        <v>0.72798223434832898</v>
      </c>
      <c r="AI747">
        <v>94.838903859166507</v>
      </c>
      <c r="AJ747">
        <v>84.327136636544196</v>
      </c>
      <c r="AK747">
        <v>0.73418183728606001</v>
      </c>
      <c r="AL747">
        <v>95.269505634586693</v>
      </c>
      <c r="AM747">
        <v>93.310692212367698</v>
      </c>
      <c r="AN747">
        <v>0.99999997016020503</v>
      </c>
    </row>
    <row r="748" spans="1:40" x14ac:dyDescent="0.25">
      <c r="A748" t="str">
        <f>"20190305135209285"</f>
        <v>20190305135209285</v>
      </c>
      <c r="B748" t="str">
        <f>"1551765129280439"</f>
        <v>1551765129280439</v>
      </c>
      <c r="C748" t="s">
        <v>40</v>
      </c>
      <c r="D748">
        <v>4.4593389999999999</v>
      </c>
      <c r="E748">
        <v>0.55312190000000006</v>
      </c>
      <c r="F748" t="s">
        <v>47</v>
      </c>
      <c r="G748">
        <v>-284.26580000000001</v>
      </c>
      <c r="H748">
        <v>-0.05</v>
      </c>
      <c r="I748">
        <v>366.99599999999998</v>
      </c>
      <c r="J748">
        <v>-299.7928</v>
      </c>
      <c r="K748">
        <v>1.0590649999999999</v>
      </c>
      <c r="L748">
        <v>368.1592</v>
      </c>
      <c r="M748">
        <v>0.99986640000000004</v>
      </c>
      <c r="N748">
        <v>-1.416834E-2</v>
      </c>
      <c r="O748">
        <v>8.1510739999999995E-3</v>
      </c>
      <c r="P748">
        <v>0.99181940000000002</v>
      </c>
      <c r="Q748">
        <v>-0.10944570000000001</v>
      </c>
      <c r="R748">
        <v>6.5696399999999905E-2</v>
      </c>
      <c r="S748">
        <v>3.0156559999999999</v>
      </c>
      <c r="T748">
        <v>-0.21200930000000001</v>
      </c>
      <c r="U748">
        <v>-0.22198490000000001</v>
      </c>
      <c r="V748">
        <v>-5.7626450000000003E-2</v>
      </c>
      <c r="W748">
        <v>-9.5364679999999993E-2</v>
      </c>
      <c r="X748">
        <v>0.99377300000000002</v>
      </c>
      <c r="Y748">
        <v>8.1286819999999996E-2</v>
      </c>
      <c r="Z748">
        <v>-3.8838810000000001E-3</v>
      </c>
      <c r="AA748">
        <v>0.99668319999999999</v>
      </c>
      <c r="AB748">
        <v>29</v>
      </c>
      <c r="AC748">
        <v>15.5269999999999</v>
      </c>
      <c r="AD748">
        <v>-1.109065</v>
      </c>
      <c r="AE748">
        <v>-1.16320000000001</v>
      </c>
      <c r="AF748">
        <v>1.2832253270568501</v>
      </c>
      <c r="AG748">
        <v>-1.109065</v>
      </c>
      <c r="AH748">
        <v>15.4386735645298</v>
      </c>
      <c r="AI748">
        <v>94.094815538131002</v>
      </c>
      <c r="AJ748">
        <v>85.248634506985695</v>
      </c>
      <c r="AK748">
        <v>15.531559285736099</v>
      </c>
      <c r="AL748">
        <v>95.472309719724095</v>
      </c>
      <c r="AM748">
        <v>93.318724746644705</v>
      </c>
      <c r="AN748">
        <v>1.00000000273005</v>
      </c>
    </row>
    <row r="749" spans="1:40" x14ac:dyDescent="0.25">
      <c r="A749" t="str">
        <f>"20190305135209297"</f>
        <v>20190305135209297</v>
      </c>
      <c r="B749" t="str">
        <f>"1551765129290199"</f>
        <v>1551765129290199</v>
      </c>
      <c r="C749" t="s">
        <v>40</v>
      </c>
      <c r="D749">
        <v>4.547993</v>
      </c>
      <c r="E749">
        <v>0.5559868</v>
      </c>
      <c r="F749" t="s">
        <v>47</v>
      </c>
      <c r="G749">
        <v>-283.58260000000001</v>
      </c>
      <c r="H749">
        <v>-0.05</v>
      </c>
      <c r="I749">
        <v>366.95620000000002</v>
      </c>
      <c r="J749">
        <v>-299.64089999999999</v>
      </c>
      <c r="K749">
        <v>1.0590569999999999</v>
      </c>
      <c r="L749">
        <v>368.16039999999998</v>
      </c>
      <c r="M749">
        <v>0.99986679999999994</v>
      </c>
      <c r="N749">
        <v>-1.4166089999999999E-2</v>
      </c>
      <c r="O749">
        <v>8.1124700000000001E-3</v>
      </c>
      <c r="P749">
        <v>0.99213399999999996</v>
      </c>
      <c r="Q749">
        <v>-0.10666009999999999</v>
      </c>
      <c r="R749">
        <v>6.552732E-2</v>
      </c>
      <c r="S749">
        <v>3.0168149999999998</v>
      </c>
      <c r="T749">
        <v>-0.2064028</v>
      </c>
      <c r="U749">
        <v>-0.22387699999999999</v>
      </c>
      <c r="V749">
        <v>-5.7492370000000001E-2</v>
      </c>
      <c r="W749">
        <v>-9.2577199999999998E-2</v>
      </c>
      <c r="X749">
        <v>0.99404429999999999</v>
      </c>
      <c r="Y749">
        <v>8.1852939999999999E-2</v>
      </c>
      <c r="Z749">
        <v>-3.8134029999999999E-3</v>
      </c>
      <c r="AA749">
        <v>0.99663710000000005</v>
      </c>
      <c r="AB749">
        <v>29</v>
      </c>
      <c r="AC749">
        <v>16.0582999999999</v>
      </c>
      <c r="AD749">
        <v>-1.109057</v>
      </c>
      <c r="AE749">
        <v>-1.20419999999995</v>
      </c>
      <c r="AF749">
        <v>1.3281462200157701</v>
      </c>
      <c r="AG749">
        <v>-1.109057</v>
      </c>
      <c r="AH749">
        <v>15.9722416033883</v>
      </c>
      <c r="AI749">
        <v>93.958426517365098</v>
      </c>
      <c r="AJ749">
        <v>85.246596693444701</v>
      </c>
      <c r="AK749">
        <v>16.065692691197501</v>
      </c>
      <c r="AL749">
        <v>95.311889021058803</v>
      </c>
      <c r="AM749">
        <v>93.310118586151404</v>
      </c>
      <c r="AN749">
        <v>0.99999999046527299</v>
      </c>
    </row>
    <row r="750" spans="1:40" x14ac:dyDescent="0.25">
      <c r="A750" t="str">
        <f>"20190305135209308"</f>
        <v>20190305135209308</v>
      </c>
      <c r="B750" t="str">
        <f>"1551765129299960"</f>
        <v>1551765129299960</v>
      </c>
      <c r="C750" t="s">
        <v>40</v>
      </c>
      <c r="D750">
        <v>4.5567909999999996</v>
      </c>
      <c r="E750">
        <v>0.5559868</v>
      </c>
      <c r="F750" t="s">
        <v>42</v>
      </c>
      <c r="G750">
        <v>-227.4973</v>
      </c>
      <c r="H750" s="1">
        <v>-2.7771230000000001E-6</v>
      </c>
      <c r="I750">
        <v>362.32760000000002</v>
      </c>
      <c r="J750">
        <v>-299.48079999999999</v>
      </c>
      <c r="K750">
        <v>1.0590660000000001</v>
      </c>
      <c r="L750">
        <v>368.1617</v>
      </c>
      <c r="M750">
        <v>0.99986719999999896</v>
      </c>
      <c r="N750">
        <v>-1.4163759999999999E-2</v>
      </c>
      <c r="O750">
        <v>8.0718400000000003E-3</v>
      </c>
      <c r="P750">
        <v>0.99241060000000003</v>
      </c>
      <c r="Q750">
        <v>-0.1042488</v>
      </c>
      <c r="R750">
        <v>6.5219269999999996E-2</v>
      </c>
      <c r="S750">
        <v>3.0351870000000001</v>
      </c>
      <c r="T750">
        <v>-4.4556140000000001E-2</v>
      </c>
      <c r="U750">
        <v>-0.24539179999999999</v>
      </c>
      <c r="V750">
        <v>-5.7222580000000002E-2</v>
      </c>
      <c r="W750">
        <v>-9.0164640000000004E-2</v>
      </c>
      <c r="X750">
        <v>0.99428159999999999</v>
      </c>
      <c r="Y750">
        <v>8.861115E-2</v>
      </c>
      <c r="Z750">
        <v>-1.282123E-3</v>
      </c>
      <c r="AA750">
        <v>0.99606550000000005</v>
      </c>
      <c r="AB750">
        <v>29</v>
      </c>
      <c r="AC750">
        <v>71.983499999999907</v>
      </c>
      <c r="AD750">
        <v>-1.0590687771230001</v>
      </c>
      <c r="AE750">
        <v>-5.8340999999999701</v>
      </c>
      <c r="AF750">
        <v>6.4136281819332099</v>
      </c>
      <c r="AG750">
        <v>-1.0590687771230001</v>
      </c>
      <c r="AH750">
        <v>71.918591745554806</v>
      </c>
      <c r="AI750">
        <v>90.840338695092399</v>
      </c>
      <c r="AJ750">
        <v>84.903900655919998</v>
      </c>
      <c r="AK750">
        <v>72.211772529100401</v>
      </c>
      <c r="AL750">
        <v>95.173078812949797</v>
      </c>
      <c r="AM750">
        <v>93.293835168080605</v>
      </c>
      <c r="AN750">
        <v>0.99999999303337295</v>
      </c>
    </row>
    <row r="751" spans="1:40" x14ac:dyDescent="0.25">
      <c r="A751" t="str">
        <f>"20190305135209320"</f>
        <v>20190305135209320</v>
      </c>
      <c r="B751" t="str">
        <f>"1551765129309720"</f>
        <v>1551765129309720</v>
      </c>
      <c r="C751" t="s">
        <v>40</v>
      </c>
      <c r="D751">
        <v>4.525665</v>
      </c>
      <c r="E751">
        <v>0.5238408</v>
      </c>
      <c r="F751" t="s">
        <v>42</v>
      </c>
      <c r="G751">
        <v>-213.59979999999999</v>
      </c>
      <c r="H751" s="1">
        <v>-4.4068529999999999E-6</v>
      </c>
      <c r="I751">
        <v>361.18729999999999</v>
      </c>
      <c r="J751">
        <v>-299.33</v>
      </c>
      <c r="K751">
        <v>1.0590740000000001</v>
      </c>
      <c r="L751">
        <v>368.1628</v>
      </c>
      <c r="M751">
        <v>0.99986739999999996</v>
      </c>
      <c r="N751">
        <v>-1.416162E-2</v>
      </c>
      <c r="O751">
        <v>8.0334159999999998E-3</v>
      </c>
      <c r="P751">
        <v>0.99266069999999995</v>
      </c>
      <c r="Q751">
        <v>-0.1020974</v>
      </c>
      <c r="R751">
        <v>6.4813899999999994E-2</v>
      </c>
      <c r="S751">
        <v>3.0352480000000002</v>
      </c>
      <c r="T751">
        <v>-3.7430169999999999E-2</v>
      </c>
      <c r="U751">
        <v>-0.2464905</v>
      </c>
      <c r="V751">
        <v>-5.6852859999999998E-2</v>
      </c>
      <c r="W751">
        <v>-8.8012290000000007E-2</v>
      </c>
      <c r="X751">
        <v>0.99449560000000004</v>
      </c>
      <c r="Y751">
        <v>8.8933639999999994E-2</v>
      </c>
      <c r="Z751">
        <v>-1.163606E-3</v>
      </c>
      <c r="AA751">
        <v>0.9960369</v>
      </c>
      <c r="AB751">
        <v>29</v>
      </c>
      <c r="AC751">
        <v>85.730199999999996</v>
      </c>
      <c r="AD751">
        <v>-1.0590784068529999</v>
      </c>
      <c r="AE751">
        <v>-6.97550000000001</v>
      </c>
      <c r="AF751">
        <v>7.6628885735033698</v>
      </c>
      <c r="AG751">
        <v>-1.0590784068529999</v>
      </c>
      <c r="AH751">
        <v>85.658403831183307</v>
      </c>
      <c r="AI751">
        <v>90.705550224064893</v>
      </c>
      <c r="AJ751">
        <v>84.888002517006996</v>
      </c>
      <c r="AK751">
        <v>86.006997711045997</v>
      </c>
      <c r="AL751">
        <v>95.049266095648406</v>
      </c>
      <c r="AM751">
        <v>93.271897140334502</v>
      </c>
      <c r="AN751">
        <v>0.99999995465029001</v>
      </c>
    </row>
    <row r="752" spans="1:40" x14ac:dyDescent="0.25">
      <c r="A752" t="str">
        <f>"20190305135209332"</f>
        <v>20190305135209332</v>
      </c>
      <c r="B752" t="str">
        <f>"1551765129320456"</f>
        <v>1551765129320456</v>
      </c>
      <c r="C752" t="s">
        <v>40</v>
      </c>
      <c r="D752">
        <v>4.5210929999999996</v>
      </c>
      <c r="E752">
        <v>0.51986769999999904</v>
      </c>
      <c r="F752" t="s">
        <v>42</v>
      </c>
      <c r="G752">
        <v>-267.2063</v>
      </c>
      <c r="H752" s="1">
        <v>-1.4247980000000001E-6</v>
      </c>
      <c r="I752">
        <v>368.24090000000001</v>
      </c>
      <c r="J752">
        <v>-299.18430000000001</v>
      </c>
      <c r="K752">
        <v>1.059083</v>
      </c>
      <c r="L752">
        <v>368.16390000000001</v>
      </c>
      <c r="M752">
        <v>0.99986770000000003</v>
      </c>
      <c r="N752">
        <v>-1.415958E-2</v>
      </c>
      <c r="O752">
        <v>7.9964800000000003E-3</v>
      </c>
      <c r="P752">
        <v>0.9928884</v>
      </c>
      <c r="Q752">
        <v>-0.10012799999999999</v>
      </c>
      <c r="R752">
        <v>6.4399170000000006E-2</v>
      </c>
      <c r="S752">
        <v>3.0114749999999999</v>
      </c>
      <c r="T752">
        <v>-9.9284170000000005E-2</v>
      </c>
      <c r="U752">
        <v>7.3242189999999999E-3</v>
      </c>
      <c r="V752">
        <v>-5.6472330000000001E-2</v>
      </c>
      <c r="W752">
        <v>-8.6041989999999999E-2</v>
      </c>
      <c r="X752">
        <v>0.99468970000000001</v>
      </c>
      <c r="Y752">
        <v>5.5595080000000003E-3</v>
      </c>
      <c r="Z752">
        <v>-2.813394E-4</v>
      </c>
      <c r="AA752">
        <v>0.99998450000000005</v>
      </c>
      <c r="AB752">
        <v>29</v>
      </c>
      <c r="AC752">
        <v>31.978000000000002</v>
      </c>
      <c r="AD752">
        <v>-1.059084424798</v>
      </c>
      <c r="AE752">
        <v>7.6999999999998098E-2</v>
      </c>
      <c r="AF752">
        <v>0.17854371683711601</v>
      </c>
      <c r="AG752">
        <v>-1.059084424798</v>
      </c>
      <c r="AH752">
        <v>31.942556270051998</v>
      </c>
      <c r="AI752">
        <v>91.898968232812393</v>
      </c>
      <c r="AJ752">
        <v>89.679747143183704</v>
      </c>
      <c r="AK752">
        <v>31.960607609103899</v>
      </c>
      <c r="AL752">
        <v>94.935946160910405</v>
      </c>
      <c r="AM752">
        <v>93.249411799444104</v>
      </c>
      <c r="AN752">
        <v>0.99999997369243898</v>
      </c>
    </row>
    <row r="753" spans="1:40" x14ac:dyDescent="0.25">
      <c r="A753" t="str">
        <f>"20190305135209349"</f>
        <v>20190305135209349</v>
      </c>
      <c r="B753" t="str">
        <f>"1551765129339975"</f>
        <v>1551765129339975</v>
      </c>
      <c r="C753" t="s">
        <v>40</v>
      </c>
      <c r="D753">
        <v>4.5504410000000002</v>
      </c>
      <c r="E753">
        <v>0.51735889999999995</v>
      </c>
      <c r="F753" t="s">
        <v>42</v>
      </c>
      <c r="G753">
        <v>-265.9348</v>
      </c>
      <c r="H753" s="1">
        <v>-1.9101440000000001E-6</v>
      </c>
      <c r="I753">
        <v>368.57960000000003</v>
      </c>
      <c r="J753">
        <v>-298.96440000000001</v>
      </c>
      <c r="K753">
        <v>1.0591109999999999</v>
      </c>
      <c r="L753">
        <v>368.16559999999998</v>
      </c>
      <c r="M753">
        <v>0.99986830000000004</v>
      </c>
      <c r="N753">
        <v>-1.415657E-2</v>
      </c>
      <c r="O753">
        <v>7.9407760000000001E-3</v>
      </c>
      <c r="P753">
        <v>0.99317160000000004</v>
      </c>
      <c r="Q753">
        <v>-9.7356020000000001E-2</v>
      </c>
      <c r="R753">
        <v>6.4279299999999998E-2</v>
      </c>
      <c r="S753">
        <v>3.0093990000000002</v>
      </c>
      <c r="T753">
        <v>-9.585726E-2</v>
      </c>
      <c r="U753">
        <v>3.7628170000000002E-2</v>
      </c>
      <c r="V753">
        <v>-5.640502E-2</v>
      </c>
      <c r="W753">
        <v>-8.3269389999999999E-2</v>
      </c>
      <c r="X753">
        <v>0.99492950000000002</v>
      </c>
      <c r="Y753">
        <v>-4.5591299999999998E-3</v>
      </c>
      <c r="Z753" s="1">
        <v>-3.5579189999999999E-5</v>
      </c>
      <c r="AA753">
        <v>0.99998960000000003</v>
      </c>
      <c r="AB753">
        <v>29</v>
      </c>
      <c r="AC753">
        <v>33.029600000000002</v>
      </c>
      <c r="AD753">
        <v>-1.059112910144</v>
      </c>
      <c r="AE753">
        <v>0.414000000000044</v>
      </c>
      <c r="AF753">
        <v>-0.15152424191347399</v>
      </c>
      <c r="AG753">
        <v>-1.059112910144</v>
      </c>
      <c r="AH753">
        <v>32.9979230714926</v>
      </c>
      <c r="AI753">
        <v>91.838334960221303</v>
      </c>
      <c r="AJ753">
        <v>90.263096514201706</v>
      </c>
      <c r="AK753">
        <v>33.015263239666403</v>
      </c>
      <c r="AL753">
        <v>94.776515320189603</v>
      </c>
      <c r="AM753">
        <v>93.244766496881695</v>
      </c>
      <c r="AN753">
        <v>1.00000001378121</v>
      </c>
    </row>
    <row r="754" spans="1:40" x14ac:dyDescent="0.25">
      <c r="A754" t="str">
        <f>"20190305135209361"</f>
        <v>20190305135209361</v>
      </c>
      <c r="B754" t="str">
        <f>"1551765129349864"</f>
        <v>1551765129349864</v>
      </c>
      <c r="C754" t="s">
        <v>40</v>
      </c>
      <c r="D754">
        <v>4.4999690000000001</v>
      </c>
      <c r="E754">
        <v>0.51678970000000002</v>
      </c>
      <c r="F754" t="s">
        <v>42</v>
      </c>
      <c r="G754">
        <v>-263.81049999999999</v>
      </c>
      <c r="H754" s="1">
        <v>-2.7760390000000002E-6</v>
      </c>
      <c r="I754">
        <v>368.83580000000001</v>
      </c>
      <c r="J754">
        <v>-298.80470000000003</v>
      </c>
      <c r="K754">
        <v>1.0591280000000001</v>
      </c>
      <c r="L754">
        <v>368.1669</v>
      </c>
      <c r="M754">
        <v>0.99986870000000005</v>
      </c>
      <c r="N754">
        <v>-1.4154430000000001E-2</v>
      </c>
      <c r="O754">
        <v>7.9001439999999996E-3</v>
      </c>
      <c r="P754">
        <v>0.99340099999999998</v>
      </c>
      <c r="Q754">
        <v>-9.5036190000000006E-2</v>
      </c>
      <c r="R754">
        <v>6.4210299999999998E-2</v>
      </c>
      <c r="S754">
        <v>3.0079959999999999</v>
      </c>
      <c r="T754">
        <v>-9.0624570000000002E-2</v>
      </c>
      <c r="U754">
        <v>5.7342530000000003E-2</v>
      </c>
      <c r="V754">
        <v>-5.6374090000000002E-2</v>
      </c>
      <c r="W754">
        <v>-8.0948720000000002E-2</v>
      </c>
      <c r="X754">
        <v>0.99512270000000003</v>
      </c>
      <c r="Y754">
        <v>-1.1153379999999999E-2</v>
      </c>
      <c r="Z754">
        <v>1.208072E-4</v>
      </c>
      <c r="AA754">
        <v>0.99993779999999999</v>
      </c>
      <c r="AB754">
        <v>29</v>
      </c>
      <c r="AC754">
        <v>34.994199999999999</v>
      </c>
      <c r="AD754">
        <v>-1.0591307760390001</v>
      </c>
      <c r="AE754">
        <v>0.66890000000000704</v>
      </c>
      <c r="AF754">
        <v>-0.39203324804586398</v>
      </c>
      <c r="AG754">
        <v>-1.0591307760390001</v>
      </c>
      <c r="AH754">
        <v>34.966374312617297</v>
      </c>
      <c r="AI754">
        <v>91.734848575631105</v>
      </c>
      <c r="AJ754">
        <v>90.642357404295495</v>
      </c>
      <c r="AK754">
        <v>34.984607767393797</v>
      </c>
      <c r="AL754">
        <v>94.643100445781897</v>
      </c>
      <c r="AM754">
        <v>93.242362737022603</v>
      </c>
      <c r="AN754">
        <v>0.999999960674127</v>
      </c>
    </row>
    <row r="755" spans="1:40" x14ac:dyDescent="0.25">
      <c r="A755" t="str">
        <f>"20190305135209374"</f>
        <v>20190305135209374</v>
      </c>
      <c r="B755" t="str">
        <f>"1551765129370155"</f>
        <v>1551765129370155</v>
      </c>
      <c r="C755" t="s">
        <v>40</v>
      </c>
      <c r="D755">
        <v>4.5097129999999996</v>
      </c>
      <c r="E755">
        <v>0.51569509999999996</v>
      </c>
      <c r="F755" t="s">
        <v>42</v>
      </c>
      <c r="G755">
        <v>-260.52010000000001</v>
      </c>
      <c r="H755" s="1">
        <v>-4.1662659999999997E-6</v>
      </c>
      <c r="I755">
        <v>368.95609999999999</v>
      </c>
      <c r="J755">
        <v>-298.64769999999999</v>
      </c>
      <c r="K755">
        <v>1.059148</v>
      </c>
      <c r="L755">
        <v>368.16809999999998</v>
      </c>
      <c r="M755">
        <v>0.99986900000000001</v>
      </c>
      <c r="N755">
        <v>-1.4152369999999999E-2</v>
      </c>
      <c r="O755">
        <v>7.8604050000000009E-3</v>
      </c>
      <c r="P755">
        <v>0.99364430000000004</v>
      </c>
      <c r="Q755">
        <v>-9.2183769999999998E-2</v>
      </c>
      <c r="R755">
        <v>6.4600299999999999E-2</v>
      </c>
      <c r="S755">
        <v>3.007965</v>
      </c>
      <c r="T755">
        <v>-8.3214399999999994E-2</v>
      </c>
      <c r="U755">
        <v>6.2011719999999999E-2</v>
      </c>
      <c r="V755">
        <v>-5.6801310000000001E-2</v>
      </c>
      <c r="W755">
        <v>-7.8095139999999993E-2</v>
      </c>
      <c r="X755">
        <v>0.9953265</v>
      </c>
      <c r="Y755">
        <v>-1.274465E-2</v>
      </c>
      <c r="Z755">
        <v>1.6030459999999999E-4</v>
      </c>
      <c r="AA755">
        <v>0.9999188</v>
      </c>
      <c r="AB755">
        <v>29</v>
      </c>
      <c r="AC755">
        <v>38.127599999999902</v>
      </c>
      <c r="AD755">
        <v>-1.059152166266</v>
      </c>
      <c r="AE755">
        <v>0.78800000000001003</v>
      </c>
      <c r="AF755">
        <v>-0.48787094958041899</v>
      </c>
      <c r="AG755">
        <v>-1.059152166266</v>
      </c>
      <c r="AH755">
        <v>38.103225510717699</v>
      </c>
      <c r="AI755">
        <v>91.592105542851698</v>
      </c>
      <c r="AJ755">
        <v>90.733570940332498</v>
      </c>
      <c r="AK755">
        <v>38.121065248696297</v>
      </c>
      <c r="AL755">
        <v>94.479082508418699</v>
      </c>
      <c r="AM755">
        <v>93.266213858446903</v>
      </c>
      <c r="AN755">
        <v>1.0000000406557901</v>
      </c>
    </row>
    <row r="756" spans="1:40" x14ac:dyDescent="0.25">
      <c r="A756" t="str">
        <f>"20190305135209387"</f>
        <v>20190305135209387</v>
      </c>
      <c r="B756" t="str">
        <f>"1551765129380100"</f>
        <v>1551765129380100</v>
      </c>
      <c r="C756" t="s">
        <v>40</v>
      </c>
      <c r="D756">
        <v>4.499657</v>
      </c>
      <c r="E756">
        <v>0.51556959999999996</v>
      </c>
      <c r="F756" t="s">
        <v>42</v>
      </c>
      <c r="G756">
        <v>-256.50889999999998</v>
      </c>
      <c r="H756" s="1">
        <v>-1.5584870000000001E-6</v>
      </c>
      <c r="I756">
        <v>369.17380000000003</v>
      </c>
      <c r="J756">
        <v>-298.48790000000002</v>
      </c>
      <c r="K756">
        <v>1.0591649999999999</v>
      </c>
      <c r="L756">
        <v>368.16930000000002</v>
      </c>
      <c r="M756">
        <v>0.99986929999999996</v>
      </c>
      <c r="N756">
        <v>-1.4150299999999999E-2</v>
      </c>
      <c r="O756">
        <v>7.8199519999999998E-3</v>
      </c>
      <c r="P756">
        <v>0.99387349999999997</v>
      </c>
      <c r="Q756">
        <v>-8.948275E-2</v>
      </c>
      <c r="R756">
        <v>6.4871999999999999E-2</v>
      </c>
      <c r="S756">
        <v>3.0074770000000002</v>
      </c>
      <c r="T756">
        <v>-7.5592160000000005E-2</v>
      </c>
      <c r="U756">
        <v>7.1777339999999995E-2</v>
      </c>
      <c r="V756">
        <v>-5.7111269999999999E-2</v>
      </c>
      <c r="W756">
        <v>-7.5393150000000006E-2</v>
      </c>
      <c r="X756">
        <v>0.99551699999999999</v>
      </c>
      <c r="Y756">
        <v>-1.6032830000000001E-2</v>
      </c>
      <c r="Z756">
        <v>2.2906740000000001E-4</v>
      </c>
      <c r="AA756">
        <v>0.99987139999999997</v>
      </c>
      <c r="AB756">
        <v>29</v>
      </c>
      <c r="AC756">
        <v>41.978999999999999</v>
      </c>
      <c r="AD756">
        <v>-1.05916655848699</v>
      </c>
      <c r="AE756">
        <v>1.0044999999999999</v>
      </c>
      <c r="AF756">
        <v>-0.67573272166728804</v>
      </c>
      <c r="AG756">
        <v>-1.05916655848699</v>
      </c>
      <c r="AH756">
        <v>41.958876514600497</v>
      </c>
      <c r="AI756">
        <v>91.445821017702897</v>
      </c>
      <c r="AJ756">
        <v>90.922648306894402</v>
      </c>
      <c r="AK756">
        <v>41.977681771117901</v>
      </c>
      <c r="AL756">
        <v>94.323812268346401</v>
      </c>
      <c r="AM756">
        <v>93.283371366026898</v>
      </c>
      <c r="AN756">
        <v>0.99999996075846598</v>
      </c>
    </row>
    <row r="757" spans="1:40" x14ac:dyDescent="0.25">
      <c r="A757" t="str">
        <f>"20190305135209397"</f>
        <v>20190305135209397</v>
      </c>
      <c r="B757" t="str">
        <f>"1551765129390517"</f>
        <v>1551765129390517</v>
      </c>
      <c r="C757" t="s">
        <v>40</v>
      </c>
      <c r="D757">
        <v>4.5016280000000002</v>
      </c>
      <c r="E757">
        <v>0.51526810000000001</v>
      </c>
      <c r="F757" t="s">
        <v>42</v>
      </c>
      <c r="G757">
        <v>-250.70939999999999</v>
      </c>
      <c r="H757" s="1">
        <v>-4.0181090000000002E-6</v>
      </c>
      <c r="I757">
        <v>369.33370000000002</v>
      </c>
      <c r="J757">
        <v>-298.33909999999997</v>
      </c>
      <c r="K757">
        <v>1.059191</v>
      </c>
      <c r="L757">
        <v>368.17039999999997</v>
      </c>
      <c r="M757">
        <v>0.99986980000000003</v>
      </c>
      <c r="N757">
        <v>-1.414841E-2</v>
      </c>
      <c r="O757">
        <v>7.7821790000000002E-3</v>
      </c>
      <c r="P757">
        <v>0.99421409999999999</v>
      </c>
      <c r="Q757">
        <v>-8.5000899999999893E-2</v>
      </c>
      <c r="R757">
        <v>6.5676699999999893E-2</v>
      </c>
      <c r="S757">
        <v>3.0077509999999998</v>
      </c>
      <c r="T757">
        <v>-6.6676620000000006E-2</v>
      </c>
      <c r="U757">
        <v>7.3303220000000002E-2</v>
      </c>
      <c r="V757">
        <v>-5.7949699999999903E-2</v>
      </c>
      <c r="W757">
        <v>-7.0908609999999997E-2</v>
      </c>
      <c r="X757">
        <v>0.99579810000000002</v>
      </c>
      <c r="Y757">
        <v>-1.6576400000000002E-2</v>
      </c>
      <c r="Z757">
        <v>2.386248E-4</v>
      </c>
      <c r="AA757">
        <v>0.99986260000000005</v>
      </c>
      <c r="AB757">
        <v>29</v>
      </c>
      <c r="AC757">
        <v>47.6296999999999</v>
      </c>
      <c r="AD757">
        <v>-1.059195018109</v>
      </c>
      <c r="AE757">
        <v>1.16330000000004</v>
      </c>
      <c r="AF757">
        <v>-0.79217335351461404</v>
      </c>
      <c r="AG757">
        <v>-1.059195018109</v>
      </c>
      <c r="AH757">
        <v>47.6137787257192</v>
      </c>
      <c r="AI757">
        <v>91.274190049842204</v>
      </c>
      <c r="AJ757">
        <v>90.953169519509501</v>
      </c>
      <c r="AK757">
        <v>47.632146259119601</v>
      </c>
      <c r="AL757">
        <v>94.066176316555101</v>
      </c>
      <c r="AM757">
        <v>93.330527263786394</v>
      </c>
      <c r="AN757">
        <v>1.0000000273329099</v>
      </c>
    </row>
    <row r="758" spans="1:40" x14ac:dyDescent="0.25">
      <c r="A758" t="str">
        <f>"20190305135209410"</f>
        <v>20190305135209410</v>
      </c>
      <c r="B758" t="str">
        <f>"1551765129399981"</f>
        <v>1551765129399981</v>
      </c>
      <c r="C758" t="s">
        <v>40</v>
      </c>
      <c r="D758">
        <v>4.5445219999999997</v>
      </c>
      <c r="E758">
        <v>0.5153645</v>
      </c>
      <c r="F758" t="s">
        <v>42</v>
      </c>
      <c r="G758">
        <v>-239.19159999999999</v>
      </c>
      <c r="H758" s="1">
        <v>-3.5221720000000002E-7</v>
      </c>
      <c r="I758">
        <v>369.70310000000001</v>
      </c>
      <c r="J758">
        <v>-298.1859</v>
      </c>
      <c r="K758">
        <v>1.0592060000000001</v>
      </c>
      <c r="L758">
        <v>368.17160000000001</v>
      </c>
      <c r="M758">
        <v>0.99987009999999998</v>
      </c>
      <c r="N758">
        <v>-1.414647E-2</v>
      </c>
      <c r="O758">
        <v>7.743214E-3</v>
      </c>
      <c r="P758">
        <v>0.99437200000000003</v>
      </c>
      <c r="Q758">
        <v>-8.2624470000000005E-2</v>
      </c>
      <c r="R758">
        <v>6.6316970000000003E-2</v>
      </c>
      <c r="S758">
        <v>3.0077210000000001</v>
      </c>
      <c r="T758">
        <v>-5.3861020000000003E-2</v>
      </c>
      <c r="U758">
        <v>7.794189E-2</v>
      </c>
      <c r="V758">
        <v>-5.862705E-2</v>
      </c>
      <c r="W758">
        <v>-6.8531949999999994E-2</v>
      </c>
      <c r="X758">
        <v>0.99592480000000005</v>
      </c>
      <c r="Y758">
        <v>-1.8157920000000001E-2</v>
      </c>
      <c r="Z758">
        <v>2.6192819999999999E-4</v>
      </c>
      <c r="AA758">
        <v>0.99983509999999998</v>
      </c>
      <c r="AB758">
        <v>29</v>
      </c>
      <c r="AC758">
        <v>58.994300000000003</v>
      </c>
      <c r="AD758">
        <v>-1.0592063522171999</v>
      </c>
      <c r="AE758">
        <v>1.5314999999999901</v>
      </c>
      <c r="AF758">
        <v>-1.0742568763646401</v>
      </c>
      <c r="AG758">
        <v>-1.0592063522171999</v>
      </c>
      <c r="AH758">
        <v>58.985389245969202</v>
      </c>
      <c r="AI758">
        <v>91.028584766529704</v>
      </c>
      <c r="AJ758">
        <v>91.043369928244999</v>
      </c>
      <c r="AK758">
        <v>59.004678546971903</v>
      </c>
      <c r="AL758">
        <v>93.929671700530804</v>
      </c>
      <c r="AM758">
        <v>93.368939584992503</v>
      </c>
      <c r="AN758">
        <v>0.99999998320877204</v>
      </c>
    </row>
    <row r="759" spans="1:40" x14ac:dyDescent="0.25">
      <c r="A759" t="str">
        <f>"20190305135209423"</f>
        <v>20190305135209423</v>
      </c>
      <c r="B759" t="str">
        <f>"1551765129420006"</f>
        <v>1551765129420006</v>
      </c>
      <c r="C759" t="s">
        <v>40</v>
      </c>
      <c r="D759">
        <v>4.502745</v>
      </c>
      <c r="E759">
        <v>0.51542010000000005</v>
      </c>
      <c r="F759" t="s">
        <v>42</v>
      </c>
      <c r="G759">
        <v>-227.48509999999999</v>
      </c>
      <c r="H759" s="1">
        <v>-1.1726110000000001E-6</v>
      </c>
      <c r="I759">
        <v>370.0351</v>
      </c>
      <c r="J759">
        <v>-298.01049999999998</v>
      </c>
      <c r="K759">
        <v>1.0592189999999999</v>
      </c>
      <c r="L759">
        <v>368.17290000000003</v>
      </c>
      <c r="M759">
        <v>0.99987029999999999</v>
      </c>
      <c r="N759">
        <v>-1.4144260000000001E-2</v>
      </c>
      <c r="O759">
        <v>7.6988869999999997E-3</v>
      </c>
      <c r="P759">
        <v>0.99447269999999999</v>
      </c>
      <c r="Q759">
        <v>-8.0742960000000003E-2</v>
      </c>
      <c r="R759">
        <v>6.7116209999999996E-2</v>
      </c>
      <c r="S759">
        <v>3.0079039999999999</v>
      </c>
      <c r="T759">
        <v>-4.5063020000000002E-2</v>
      </c>
      <c r="U759">
        <v>7.9284670000000002E-2</v>
      </c>
      <c r="V759">
        <v>-5.9469019999999997E-2</v>
      </c>
      <c r="W759">
        <v>-6.6651210000000002E-2</v>
      </c>
      <c r="X759">
        <v>0.99600259999999996</v>
      </c>
      <c r="Y759">
        <v>-1.8647790000000001E-2</v>
      </c>
      <c r="Z759">
        <v>2.6515179999999998E-4</v>
      </c>
      <c r="AA759">
        <v>0.99982610000000005</v>
      </c>
      <c r="AB759">
        <v>28</v>
      </c>
      <c r="AC759">
        <v>70.525399999999905</v>
      </c>
      <c r="AD759">
        <v>-1.059220172611</v>
      </c>
      <c r="AE759">
        <v>1.8621999999999701</v>
      </c>
      <c r="AF759">
        <v>-1.3188260987740501</v>
      </c>
      <c r="AG759">
        <v>-1.059220172611</v>
      </c>
      <c r="AH759">
        <v>70.521751222223401</v>
      </c>
      <c r="AI759">
        <v>90.860354064993004</v>
      </c>
      <c r="AJ759">
        <v>91.071362538346705</v>
      </c>
      <c r="AK759">
        <v>70.542034597125493</v>
      </c>
      <c r="AL759">
        <v>93.821665909691106</v>
      </c>
      <c r="AM759">
        <v>93.416942335375396</v>
      </c>
      <c r="AN759">
        <v>1.00000006367049</v>
      </c>
    </row>
    <row r="760" spans="1:40" x14ac:dyDescent="0.25">
      <c r="A760" t="str">
        <f>"20190305135209439"</f>
        <v>20190305135209439</v>
      </c>
      <c r="B760" t="str">
        <f>"1551765129429766"</f>
        <v>1551765129429766</v>
      </c>
      <c r="C760" t="s">
        <v>40</v>
      </c>
      <c r="D760">
        <v>4.5348870000000003</v>
      </c>
      <c r="E760">
        <v>0.51557249999999999</v>
      </c>
      <c r="F760" t="s">
        <v>42</v>
      </c>
      <c r="G760">
        <v>-219.51079999999999</v>
      </c>
      <c r="H760" s="1">
        <v>-3.7050500000000002E-7</v>
      </c>
      <c r="I760">
        <v>370.28660000000002</v>
      </c>
      <c r="J760">
        <v>-297.81709999999998</v>
      </c>
      <c r="K760">
        <v>1.0592330000000001</v>
      </c>
      <c r="L760">
        <v>368.17430000000002</v>
      </c>
      <c r="M760">
        <v>0.99987079999999995</v>
      </c>
      <c r="N760">
        <v>-1.4141870000000001E-2</v>
      </c>
      <c r="O760">
        <v>7.6509359999999997E-3</v>
      </c>
      <c r="P760">
        <v>0.99465250000000005</v>
      </c>
      <c r="Q760">
        <v>-7.7206399999999994E-2</v>
      </c>
      <c r="R760">
        <v>6.8598779999999998E-2</v>
      </c>
      <c r="S760">
        <v>3.0079039999999999</v>
      </c>
      <c r="T760">
        <v>-4.0586469999999999E-2</v>
      </c>
      <c r="U760">
        <v>8.099365E-2</v>
      </c>
      <c r="V760">
        <v>-6.0997559999999999E-2</v>
      </c>
      <c r="W760">
        <v>-6.3114550000000005E-2</v>
      </c>
      <c r="X760">
        <v>0.99614049999999998</v>
      </c>
      <c r="Y760">
        <v>-1.9263880000000001E-2</v>
      </c>
      <c r="Z760">
        <v>2.7117349999999999E-4</v>
      </c>
      <c r="AA760">
        <v>0.99981439999999999</v>
      </c>
      <c r="AB760">
        <v>28</v>
      </c>
      <c r="AC760">
        <v>78.306299999999993</v>
      </c>
      <c r="AD760">
        <v>-1.0592333705050001</v>
      </c>
      <c r="AE760">
        <v>2.1122999999999998</v>
      </c>
      <c r="AF760">
        <v>-1.5127851993147901</v>
      </c>
      <c r="AG760">
        <v>-1.0592333705050001</v>
      </c>
      <c r="AH760">
        <v>78.305852760404903</v>
      </c>
      <c r="AI760">
        <v>90.7748409378502</v>
      </c>
      <c r="AJ760">
        <v>91.106755414343496</v>
      </c>
      <c r="AK760">
        <v>78.327626485976594</v>
      </c>
      <c r="AL760">
        <v>93.618602395487599</v>
      </c>
      <c r="AM760">
        <v>93.504068351135501</v>
      </c>
      <c r="AN760">
        <v>1.00000002224395</v>
      </c>
    </row>
    <row r="761" spans="1:40" x14ac:dyDescent="0.25">
      <c r="A761" t="str">
        <f>"20190305135209453"</f>
        <v>20190305135209453</v>
      </c>
      <c r="B761" t="str">
        <f>"1551765129450261"</f>
        <v>1551765129450261</v>
      </c>
      <c r="C761" t="s">
        <v>40</v>
      </c>
      <c r="D761">
        <v>4.5188100000000002</v>
      </c>
      <c r="E761">
        <v>0.51554699999999998</v>
      </c>
      <c r="F761" t="s">
        <v>52</v>
      </c>
      <c r="G761">
        <v>-194.84</v>
      </c>
      <c r="H761" s="1">
        <v>-1.076958E-5</v>
      </c>
      <c r="I761">
        <v>371.05369999999999</v>
      </c>
      <c r="J761">
        <v>-297.64319999999998</v>
      </c>
      <c r="K761">
        <v>1.059239</v>
      </c>
      <c r="L761">
        <v>368.17559999999997</v>
      </c>
      <c r="M761">
        <v>0.99987110000000001</v>
      </c>
      <c r="N761">
        <v>-1.413974E-2</v>
      </c>
      <c r="O761">
        <v>7.6096660000000002E-3</v>
      </c>
      <c r="P761">
        <v>0.99473769999999995</v>
      </c>
      <c r="Q761">
        <v>-7.532432E-2</v>
      </c>
      <c r="R761">
        <v>6.9449460000000005E-2</v>
      </c>
      <c r="S761">
        <v>3.007965</v>
      </c>
      <c r="T761">
        <v>-3.0940530000000001E-2</v>
      </c>
      <c r="U761">
        <v>8.4106449999999999E-2</v>
      </c>
      <c r="V761">
        <v>-6.1888289999999999E-2</v>
      </c>
      <c r="W761">
        <v>-6.1233509999999998E-2</v>
      </c>
      <c r="X761">
        <v>0.9962029</v>
      </c>
      <c r="Y761">
        <v>-2.033956E-2</v>
      </c>
      <c r="Z761">
        <v>2.777608E-4</v>
      </c>
      <c r="AA761">
        <v>0.99979309999999999</v>
      </c>
      <c r="AB761">
        <v>28</v>
      </c>
      <c r="AC761">
        <v>102.80319999999899</v>
      </c>
      <c r="AD761">
        <v>-1.0592497695799901</v>
      </c>
      <c r="AE761">
        <v>2.8781000000000101</v>
      </c>
      <c r="AF761">
        <v>-2.0954181552139</v>
      </c>
      <c r="AG761">
        <v>-1.0592497695799901</v>
      </c>
      <c r="AH761">
        <v>102.811219959117</v>
      </c>
      <c r="AI761">
        <v>90.5901670460715</v>
      </c>
      <c r="AJ761">
        <v>91.167596269319205</v>
      </c>
      <c r="AK761">
        <v>102.838026706085</v>
      </c>
      <c r="AL761">
        <v>93.510618030189804</v>
      </c>
      <c r="AM761">
        <v>93.554884858647299</v>
      </c>
      <c r="AN761">
        <v>0.99999996057722595</v>
      </c>
    </row>
    <row r="762" spans="1:40" x14ac:dyDescent="0.25">
      <c r="A762" t="str">
        <f>"20190305135209465"</f>
        <v>20190305135209465</v>
      </c>
      <c r="B762" t="str">
        <f>"1551765129460022"</f>
        <v>1551765129460022</v>
      </c>
      <c r="C762" t="s">
        <v>40</v>
      </c>
      <c r="D762">
        <v>4.5260499999999997</v>
      </c>
      <c r="E762">
        <v>0.51568709999999995</v>
      </c>
      <c r="F762" t="s">
        <v>52</v>
      </c>
      <c r="G762">
        <v>-185.80869999999999</v>
      </c>
      <c r="H762" s="1">
        <v>-8.6085579999999993E-6</v>
      </c>
      <c r="I762">
        <v>371.3938</v>
      </c>
      <c r="J762">
        <v>-297.4828</v>
      </c>
      <c r="K762">
        <v>1.0592440000000001</v>
      </c>
      <c r="L762">
        <v>368.17680000000001</v>
      </c>
      <c r="M762">
        <v>0.99987139999999997</v>
      </c>
      <c r="N762">
        <v>-1.4137800000000001E-2</v>
      </c>
      <c r="O762">
        <v>7.5725719999999996E-3</v>
      </c>
      <c r="P762">
        <v>0.99474960000000001</v>
      </c>
      <c r="Q762">
        <v>-7.396722E-2</v>
      </c>
      <c r="R762">
        <v>7.0725170000000004E-2</v>
      </c>
      <c r="S762">
        <v>3.0076290000000001</v>
      </c>
      <c r="T762">
        <v>-2.848697E-2</v>
      </c>
      <c r="U762">
        <v>8.6547849999999996E-2</v>
      </c>
      <c r="V762">
        <v>-6.3200240000000005E-2</v>
      </c>
      <c r="W762">
        <v>-5.9878189999999998E-2</v>
      </c>
      <c r="X762">
        <v>0.9962029</v>
      </c>
      <c r="Y762">
        <v>-2.119089E-2</v>
      </c>
      <c r="Z762">
        <v>2.8551800000000001E-4</v>
      </c>
      <c r="AA762">
        <v>0.99977539999999998</v>
      </c>
      <c r="AB762">
        <v>28</v>
      </c>
      <c r="AC762">
        <v>111.6741</v>
      </c>
      <c r="AD762">
        <v>-1.0592526085580001</v>
      </c>
      <c r="AE762">
        <v>3.2169999999999801</v>
      </c>
      <c r="AF762">
        <v>-2.3709499332625601</v>
      </c>
      <c r="AG762">
        <v>-1.0592526085580001</v>
      </c>
      <c r="AH762">
        <v>111.685220896052</v>
      </c>
      <c r="AI762">
        <v>90.543269862029405</v>
      </c>
      <c r="AJ762">
        <v>91.216141420822694</v>
      </c>
      <c r="AK762">
        <v>111.715406217203</v>
      </c>
      <c r="AL762">
        <v>93.432821193663301</v>
      </c>
      <c r="AM762">
        <v>93.6300443056289</v>
      </c>
      <c r="AN762">
        <v>0.99999994297106998</v>
      </c>
    </row>
    <row r="763" spans="1:40" x14ac:dyDescent="0.25">
      <c r="A763" t="str">
        <f>"20190305135209478"</f>
        <v>20190305135209478</v>
      </c>
      <c r="B763" t="str">
        <f>"1551765129469782"</f>
        <v>1551765129469782</v>
      </c>
      <c r="C763" t="s">
        <v>40</v>
      </c>
      <c r="D763">
        <v>4.5209830000000002</v>
      </c>
      <c r="E763">
        <v>0.51582119999999998</v>
      </c>
      <c r="F763" t="s">
        <v>52</v>
      </c>
      <c r="G763">
        <v>-179.99209999999999</v>
      </c>
      <c r="H763">
        <v>5.7887849999999998E-2</v>
      </c>
      <c r="I763">
        <v>371.66030000000001</v>
      </c>
      <c r="J763">
        <v>-297.32170000000002</v>
      </c>
      <c r="K763">
        <v>1.059256</v>
      </c>
      <c r="L763">
        <v>368.17790000000002</v>
      </c>
      <c r="M763">
        <v>0.99987170000000003</v>
      </c>
      <c r="N763">
        <v>-1.413587E-2</v>
      </c>
      <c r="O763">
        <v>7.5376999999999996E-3</v>
      </c>
      <c r="P763">
        <v>0.99478009999999994</v>
      </c>
      <c r="Q763">
        <v>-7.2386119999999998E-2</v>
      </c>
      <c r="R763">
        <v>7.192308E-2</v>
      </c>
      <c r="S763">
        <v>3.0075989999999999</v>
      </c>
      <c r="T763">
        <v>-2.5633340000000001E-2</v>
      </c>
      <c r="U763">
        <v>8.9172360000000006E-2</v>
      </c>
      <c r="V763">
        <v>-6.4431790000000003E-2</v>
      </c>
      <c r="W763">
        <v>-5.8298790000000003E-2</v>
      </c>
      <c r="X763">
        <v>0.99621769999999998</v>
      </c>
      <c r="Y763">
        <v>-2.2098E-2</v>
      </c>
      <c r="Z763">
        <v>2.9269719999999998E-4</v>
      </c>
      <c r="AA763">
        <v>0.99975570000000002</v>
      </c>
      <c r="AB763">
        <v>28</v>
      </c>
      <c r="AC763">
        <v>117.3296</v>
      </c>
      <c r="AD763">
        <v>-1.00136815</v>
      </c>
      <c r="AE763">
        <v>3.4823999999999802</v>
      </c>
      <c r="AF763">
        <v>-2.5976283279453298</v>
      </c>
      <c r="AG763">
        <v>-1.00136815</v>
      </c>
      <c r="AH763">
        <v>117.343978181889</v>
      </c>
      <c r="AI763">
        <v>90.488808418740504</v>
      </c>
      <c r="AJ763">
        <v>91.268142072049699</v>
      </c>
      <c r="AK763">
        <v>117.376997860115</v>
      </c>
      <c r="AL763">
        <v>93.342169793378304</v>
      </c>
      <c r="AM763">
        <v>93.700531569087801</v>
      </c>
      <c r="AN763">
        <v>0.99999995513567796</v>
      </c>
    </row>
    <row r="764" spans="1:40" x14ac:dyDescent="0.25">
      <c r="A764" t="str">
        <f>"20190305135209489"</f>
        <v>20190305135209489</v>
      </c>
      <c r="B764" t="str">
        <f>"1551765129480517"</f>
        <v>1551765129480517</v>
      </c>
      <c r="C764" t="s">
        <v>40</v>
      </c>
      <c r="D764">
        <v>4.5121079999999996</v>
      </c>
      <c r="E764">
        <v>0.51589549999999995</v>
      </c>
      <c r="F764" t="s">
        <v>48</v>
      </c>
      <c r="G764">
        <v>-158.19499999999999</v>
      </c>
      <c r="H764">
        <v>9.9304439999999994E-2</v>
      </c>
      <c r="I764">
        <v>372.41449999999998</v>
      </c>
      <c r="J764">
        <v>-297.18060000000003</v>
      </c>
      <c r="K764">
        <v>1.059261</v>
      </c>
      <c r="L764">
        <v>368.17899999999997</v>
      </c>
      <c r="M764">
        <v>0.99987199999999998</v>
      </c>
      <c r="N764">
        <v>-1.413418E-2</v>
      </c>
      <c r="O764">
        <v>7.5080119999999997E-3</v>
      </c>
      <c r="P764">
        <v>0.99477179999999998</v>
      </c>
      <c r="Q764">
        <v>-7.127261E-2</v>
      </c>
      <c r="R764">
        <v>7.313915E-2</v>
      </c>
      <c r="S764">
        <v>3.007568</v>
      </c>
      <c r="T764">
        <v>-2.074981E-2</v>
      </c>
      <c r="U764">
        <v>9.1583250000000005E-2</v>
      </c>
      <c r="V764">
        <v>-6.5676769999999995E-2</v>
      </c>
      <c r="W764">
        <v>-5.7187290000000002E-2</v>
      </c>
      <c r="X764">
        <v>0.99620089999999994</v>
      </c>
      <c r="Y764">
        <v>-2.292922E-2</v>
      </c>
      <c r="Z764">
        <v>2.954923E-4</v>
      </c>
      <c r="AA764">
        <v>0.99973699999999999</v>
      </c>
      <c r="AB764">
        <v>28</v>
      </c>
      <c r="AC764">
        <v>138.98560000000001</v>
      </c>
      <c r="AD764">
        <v>-0.95995655999999996</v>
      </c>
      <c r="AE764">
        <v>4.2354999999999396</v>
      </c>
      <c r="AF764">
        <v>-3.19161876456227</v>
      </c>
      <c r="AG764">
        <v>-0.95995655999999996</v>
      </c>
      <c r="AH764">
        <v>139.00686003154499</v>
      </c>
      <c r="AI764">
        <v>90.395563887770294</v>
      </c>
      <c r="AJ764">
        <v>91.315288765990502</v>
      </c>
      <c r="AK764">
        <v>139.04680896289901</v>
      </c>
      <c r="AL764">
        <v>93.278378850654306</v>
      </c>
      <c r="AM764">
        <v>93.771893871421398</v>
      </c>
      <c r="AN764">
        <v>1.00000002870799</v>
      </c>
    </row>
    <row r="765" spans="1:40" x14ac:dyDescent="0.25">
      <c r="A765" t="str">
        <f>"20190305135209505"</f>
        <v>20190305135209505</v>
      </c>
      <c r="B765" t="str">
        <f>"1551765129500038"</f>
        <v>1551765129500038</v>
      </c>
      <c r="C765" t="s">
        <v>40</v>
      </c>
      <c r="D765">
        <v>4.5349159999999999</v>
      </c>
      <c r="E765">
        <v>0.51607749999999997</v>
      </c>
      <c r="F765" t="s">
        <v>48</v>
      </c>
      <c r="G765">
        <v>-158.19499999999999</v>
      </c>
      <c r="H765">
        <v>0.21479889999999999</v>
      </c>
      <c r="I765">
        <v>372.55799999999999</v>
      </c>
      <c r="J765">
        <v>-296.9778</v>
      </c>
      <c r="K765">
        <v>1.0592729999999999</v>
      </c>
      <c r="L765">
        <v>368.18040000000002</v>
      </c>
      <c r="M765">
        <v>0.99987219999999999</v>
      </c>
      <c r="N765">
        <v>-1.413179E-2</v>
      </c>
      <c r="O765">
        <v>7.4682869999999997E-3</v>
      </c>
      <c r="P765">
        <v>0.99473319999999998</v>
      </c>
      <c r="Q765">
        <v>-6.9445569999999998E-2</v>
      </c>
      <c r="R765">
        <v>7.5387750000000003E-2</v>
      </c>
      <c r="S765">
        <v>3.0074770000000002</v>
      </c>
      <c r="T765">
        <v>-1.827121E-2</v>
      </c>
      <c r="U765">
        <v>9.4757079999999994E-2</v>
      </c>
      <c r="V765">
        <v>-6.7964670000000005E-2</v>
      </c>
      <c r="W765">
        <v>-5.5363460000000003E-2</v>
      </c>
      <c r="X765">
        <v>0.99615039999999999</v>
      </c>
      <c r="Y765">
        <v>-2.40241E-2</v>
      </c>
      <c r="Z765">
        <v>3.0293129999999998E-4</v>
      </c>
      <c r="AA765">
        <v>0.99971129999999997</v>
      </c>
      <c r="AB765">
        <v>28</v>
      </c>
      <c r="AC765">
        <v>138.78280000000001</v>
      </c>
      <c r="AD765">
        <v>-0.84447409999999901</v>
      </c>
      <c r="AE765">
        <v>4.3776000000000197</v>
      </c>
      <c r="AF765">
        <v>-3.3407809773880901</v>
      </c>
      <c r="AG765">
        <v>-0.84447409999999901</v>
      </c>
      <c r="AH765">
        <v>138.80649100881399</v>
      </c>
      <c r="AI765">
        <v>90.348472159804601</v>
      </c>
      <c r="AJ765">
        <v>91.378723013977506</v>
      </c>
      <c r="AK765">
        <v>138.84925603050399</v>
      </c>
      <c r="AL765">
        <v>93.173715420252705</v>
      </c>
      <c r="AM765">
        <v>93.903088612244403</v>
      </c>
      <c r="AN765">
        <v>0.99999996424576898</v>
      </c>
    </row>
    <row r="766" spans="1:40" x14ac:dyDescent="0.25">
      <c r="A766" t="str">
        <f>"20190305135209516"</f>
        <v>20190305135209516</v>
      </c>
      <c r="B766" t="str">
        <f>"1551765129509798"</f>
        <v>1551765129509798</v>
      </c>
      <c r="C766" t="s">
        <v>40</v>
      </c>
      <c r="D766">
        <v>4.4891500000000004</v>
      </c>
      <c r="E766">
        <v>0.51612849999999999</v>
      </c>
      <c r="F766" t="s">
        <v>48</v>
      </c>
      <c r="G766">
        <v>-158.19499999999999</v>
      </c>
      <c r="H766">
        <v>0.36738900000000002</v>
      </c>
      <c r="I766">
        <v>372.79430000000002</v>
      </c>
      <c r="J766">
        <v>-296.82960000000003</v>
      </c>
      <c r="K766">
        <v>1.059277</v>
      </c>
      <c r="L766">
        <v>368.18150000000003</v>
      </c>
      <c r="M766">
        <v>0.99987250000000005</v>
      </c>
      <c r="N766">
        <v>-1.413006E-2</v>
      </c>
      <c r="O766">
        <v>7.4433279999999999E-3</v>
      </c>
      <c r="P766">
        <v>0.99474980000000002</v>
      </c>
      <c r="Q766">
        <v>-6.873601E-2</v>
      </c>
      <c r="R766">
        <v>7.5817979999999993E-2</v>
      </c>
      <c r="S766">
        <v>3.007263</v>
      </c>
      <c r="T766">
        <v>-1.4990450000000001E-2</v>
      </c>
      <c r="U766">
        <v>9.9975590000000003E-2</v>
      </c>
      <c r="V766">
        <v>-6.8418569999999998E-2</v>
      </c>
      <c r="W766">
        <v>-5.465594E-2</v>
      </c>
      <c r="X766">
        <v>0.9961584</v>
      </c>
      <c r="Y766">
        <v>-2.578455E-2</v>
      </c>
      <c r="Z766">
        <v>3.1454390000000001E-4</v>
      </c>
      <c r="AA766">
        <v>0.99966750000000004</v>
      </c>
      <c r="AB766">
        <v>28</v>
      </c>
      <c r="AC766">
        <v>138.63460000000001</v>
      </c>
      <c r="AD766">
        <v>-0.69188799999999995</v>
      </c>
      <c r="AE766">
        <v>4.6127999999999902</v>
      </c>
      <c r="AF766">
        <v>-3.5805773174443098</v>
      </c>
      <c r="AG766">
        <v>-0.69188799999999995</v>
      </c>
      <c r="AH766">
        <v>138.661646913608</v>
      </c>
      <c r="AI766">
        <v>90.285794410016393</v>
      </c>
      <c r="AJ766">
        <v>91.479186156336397</v>
      </c>
      <c r="AK766">
        <v>138.70959436075299</v>
      </c>
      <c r="AL766">
        <v>93.1331160302705</v>
      </c>
      <c r="AM766">
        <v>93.929042443041197</v>
      </c>
      <c r="AN766">
        <v>0.99999996519434298</v>
      </c>
    </row>
    <row r="767" spans="1:40" x14ac:dyDescent="0.25">
      <c r="A767" t="str">
        <f>"20190305135209529"</f>
        <v>20190305135209529</v>
      </c>
      <c r="B767" t="str">
        <f>"1551765129520534"</f>
        <v>1551765129520534</v>
      </c>
      <c r="C767" t="s">
        <v>40</v>
      </c>
      <c r="D767">
        <v>4.5522330000000002</v>
      </c>
      <c r="E767">
        <v>0.51636470000000001</v>
      </c>
      <c r="F767" t="s">
        <v>48</v>
      </c>
      <c r="G767">
        <v>-158.19499999999999</v>
      </c>
      <c r="H767">
        <v>0.38857599999999998</v>
      </c>
      <c r="I767">
        <v>372.81869999999998</v>
      </c>
      <c r="J767">
        <v>-296.68439999999998</v>
      </c>
      <c r="K767">
        <v>1.0592729999999999</v>
      </c>
      <c r="L767">
        <v>368.18259999999998</v>
      </c>
      <c r="M767">
        <v>0.99987269999999995</v>
      </c>
      <c r="N767">
        <v>-1.4128369999999999E-2</v>
      </c>
      <c r="O767">
        <v>7.420098E-3</v>
      </c>
      <c r="P767">
        <v>0.99470069999999999</v>
      </c>
      <c r="Q767">
        <v>-6.9293629999999995E-2</v>
      </c>
      <c r="R767">
        <v>7.5953530000000005E-2</v>
      </c>
      <c r="S767">
        <v>3.0071720000000002</v>
      </c>
      <c r="T767">
        <v>-1.454651E-2</v>
      </c>
      <c r="U767">
        <v>0.10058590000000001</v>
      </c>
      <c r="V767">
        <v>-6.8577479999999996E-2</v>
      </c>
      <c r="W767">
        <v>-5.5216479999999998E-2</v>
      </c>
      <c r="X767">
        <v>0.99611660000000002</v>
      </c>
      <c r="Y767">
        <v>-2.6011510000000002E-2</v>
      </c>
      <c r="Z767">
        <v>3.1564279999999999E-4</v>
      </c>
      <c r="AA767">
        <v>0.99966160000000004</v>
      </c>
      <c r="AB767">
        <v>28</v>
      </c>
      <c r="AC767">
        <v>138.48939999999999</v>
      </c>
      <c r="AD767">
        <v>-0.67069699999999899</v>
      </c>
      <c r="AE767">
        <v>4.6360999999999901</v>
      </c>
      <c r="AF767">
        <v>-3.6081803616249402</v>
      </c>
      <c r="AG767">
        <v>-0.67069699999999899</v>
      </c>
      <c r="AH767">
        <v>138.51674531525501</v>
      </c>
      <c r="AI767">
        <v>90.277329477913497</v>
      </c>
      <c r="AJ767">
        <v>91.492142819237699</v>
      </c>
      <c r="AK767">
        <v>138.565354734577</v>
      </c>
      <c r="AL767">
        <v>93.165281053688304</v>
      </c>
      <c r="AM767">
        <v>93.938304150827506</v>
      </c>
      <c r="AN767">
        <v>1.00000000561115</v>
      </c>
    </row>
    <row r="768" spans="1:40" x14ac:dyDescent="0.25">
      <c r="A768" t="str">
        <f>"20190305135209541"</f>
        <v>20190305135209541</v>
      </c>
      <c r="B768" t="str">
        <f>"1551765129530294"</f>
        <v>1551765129530294</v>
      </c>
      <c r="C768" t="s">
        <v>40</v>
      </c>
      <c r="D768">
        <v>4.5354140000000003</v>
      </c>
      <c r="E768">
        <v>0.51637429999999995</v>
      </c>
      <c r="F768" t="s">
        <v>48</v>
      </c>
      <c r="G768">
        <v>-158.19499999999999</v>
      </c>
      <c r="H768">
        <v>0.2485948</v>
      </c>
      <c r="I768">
        <v>372.7432</v>
      </c>
      <c r="J768">
        <v>-296.52699999999999</v>
      </c>
      <c r="K768">
        <v>1.059266</v>
      </c>
      <c r="L768">
        <v>368.18369999999999</v>
      </c>
      <c r="M768">
        <v>0.99987289999999995</v>
      </c>
      <c r="N768">
        <v>-1.412652E-2</v>
      </c>
      <c r="O768">
        <v>7.3986700000000004E-3</v>
      </c>
      <c r="P768">
        <v>0.99461200000000005</v>
      </c>
      <c r="Q768">
        <v>-7.0447430000000005E-2</v>
      </c>
      <c r="R768">
        <v>7.6055970000000001E-2</v>
      </c>
      <c r="S768">
        <v>3.0071720000000002</v>
      </c>
      <c r="T768">
        <v>-1.7601249999999999E-2</v>
      </c>
      <c r="U768">
        <v>9.9029539999999999E-2</v>
      </c>
      <c r="V768">
        <v>-6.8701280000000003E-2</v>
      </c>
      <c r="W768">
        <v>-5.6373949999999999E-2</v>
      </c>
      <c r="X768">
        <v>0.99604320000000002</v>
      </c>
      <c r="Y768">
        <v>-2.551575E-2</v>
      </c>
      <c r="Z768">
        <v>3.1614780000000002E-4</v>
      </c>
      <c r="AA768">
        <v>0.99967439999999996</v>
      </c>
      <c r="AB768">
        <v>28</v>
      </c>
      <c r="AC768">
        <v>138.33199999999999</v>
      </c>
      <c r="AD768">
        <v>-0.81067119999999904</v>
      </c>
      <c r="AE768">
        <v>4.5595000000000097</v>
      </c>
      <c r="AF768">
        <v>-3.5356789872227998</v>
      </c>
      <c r="AG768">
        <v>-0.81067119999999904</v>
      </c>
      <c r="AH768">
        <v>138.357204114545</v>
      </c>
      <c r="AI768">
        <v>90.335597620345595</v>
      </c>
      <c r="AJ768">
        <v>91.463858745270699</v>
      </c>
      <c r="AK768">
        <v>138.404747548952</v>
      </c>
      <c r="AL768">
        <v>93.231702780461703</v>
      </c>
      <c r="AM768">
        <v>93.945681194011001</v>
      </c>
      <c r="AN768">
        <v>0.99999997218923997</v>
      </c>
    </row>
    <row r="769" spans="1:40" x14ac:dyDescent="0.25">
      <c r="A769" t="str">
        <f>"20190305135209552"</f>
        <v>20190305135209552</v>
      </c>
      <c r="B769" t="str">
        <f>"1551765129540054"</f>
        <v>1551765129540054</v>
      </c>
      <c r="C769" t="s">
        <v>40</v>
      </c>
      <c r="D769">
        <v>4.526122</v>
      </c>
      <c r="E769">
        <v>0.51654579999999894</v>
      </c>
      <c r="F769" t="s">
        <v>47</v>
      </c>
      <c r="G769">
        <v>-154.08920000000001</v>
      </c>
      <c r="H769">
        <v>-0.05</v>
      </c>
      <c r="I769">
        <v>372.86009999999999</v>
      </c>
      <c r="J769">
        <v>-296.38639999999998</v>
      </c>
      <c r="K769">
        <v>1.0592649999999999</v>
      </c>
      <c r="L769">
        <v>368.1848</v>
      </c>
      <c r="M769">
        <v>0.99987300000000001</v>
      </c>
      <c r="N769">
        <v>-1.4124879999999999E-2</v>
      </c>
      <c r="O769">
        <v>7.3833199999999996E-3</v>
      </c>
      <c r="P769">
        <v>0.9945195</v>
      </c>
      <c r="Q769">
        <v>-7.1821239999999995E-2</v>
      </c>
      <c r="R769">
        <v>7.5977080000000002E-2</v>
      </c>
      <c r="S769">
        <v>3.00705</v>
      </c>
      <c r="T769">
        <v>-2.3418069999999999E-2</v>
      </c>
      <c r="U769">
        <v>9.8724370000000006E-2</v>
      </c>
      <c r="V769">
        <v>-6.8637920000000005E-2</v>
      </c>
      <c r="W769">
        <v>-5.7751329999999997E-2</v>
      </c>
      <c r="X769">
        <v>0.99596870000000004</v>
      </c>
      <c r="Y769">
        <v>-2.5430299999999999E-2</v>
      </c>
      <c r="Z769">
        <v>3.2544900000000001E-4</v>
      </c>
      <c r="AA769">
        <v>0.99967649999999997</v>
      </c>
      <c r="AB769">
        <v>28</v>
      </c>
      <c r="AC769">
        <v>142.29719999999901</v>
      </c>
      <c r="AD769">
        <v>-1.1092649999999999</v>
      </c>
      <c r="AE769">
        <v>4.6752999999999902</v>
      </c>
      <c r="AF769">
        <v>-3.62422197603897</v>
      </c>
      <c r="AG769">
        <v>-1.1092649999999999</v>
      </c>
      <c r="AH769">
        <v>142.31920411307399</v>
      </c>
      <c r="AI769">
        <v>90.446421267042794</v>
      </c>
      <c r="AJ769">
        <v>91.4587472940661</v>
      </c>
      <c r="AK769">
        <v>142.36966430089799</v>
      </c>
      <c r="AL769">
        <v>93.310749504253593</v>
      </c>
      <c r="AM769">
        <v>93.942347695506299</v>
      </c>
      <c r="AN769">
        <v>1.00000001577919</v>
      </c>
    </row>
    <row r="770" spans="1:40" x14ac:dyDescent="0.25">
      <c r="A770" t="str">
        <f>"20190305135209565"</f>
        <v>20190305135209565</v>
      </c>
      <c r="B770" t="str">
        <f>"1551765129560395"</f>
        <v>1551765129560395</v>
      </c>
      <c r="C770" t="s">
        <v>40</v>
      </c>
      <c r="D770">
        <v>4.5413319999999997</v>
      </c>
      <c r="E770">
        <v>0.51693259999999996</v>
      </c>
      <c r="F770" t="s">
        <v>52</v>
      </c>
      <c r="G770">
        <v>-189.8023</v>
      </c>
      <c r="H770" s="1">
        <v>-9.9989849999999993E-6</v>
      </c>
      <c r="I770">
        <v>371.61270000000002</v>
      </c>
      <c r="J770">
        <v>-296.22629999999998</v>
      </c>
      <c r="K770">
        <v>1.0592649999999999</v>
      </c>
      <c r="L770">
        <v>368.1859</v>
      </c>
      <c r="M770">
        <v>0.99987320000000002</v>
      </c>
      <c r="N770">
        <v>-1.412302E-2</v>
      </c>
      <c r="O770">
        <v>7.3682859999999999E-3</v>
      </c>
      <c r="P770">
        <v>0.99439319999999998</v>
      </c>
      <c r="Q770">
        <v>-7.3666480000000006E-2</v>
      </c>
      <c r="R770">
        <v>7.5866240000000001E-2</v>
      </c>
      <c r="S770">
        <v>3.0070190000000001</v>
      </c>
      <c r="T770">
        <v>-2.9884930000000001E-2</v>
      </c>
      <c r="U770">
        <v>9.6710210000000005E-2</v>
      </c>
      <c r="V770">
        <v>-6.8542610000000004E-2</v>
      </c>
      <c r="W770">
        <v>-5.9600939999999998E-2</v>
      </c>
      <c r="X770">
        <v>0.99586629999999998</v>
      </c>
      <c r="Y770">
        <v>-2.4775889999999998E-2</v>
      </c>
      <c r="Z770">
        <v>3.2894100000000002E-4</v>
      </c>
      <c r="AA770">
        <v>0.99969300000000005</v>
      </c>
      <c r="AB770">
        <v>28</v>
      </c>
      <c r="AC770">
        <v>106.423999999999</v>
      </c>
      <c r="AD770">
        <v>-1.0592749989850001</v>
      </c>
      <c r="AE770">
        <v>3.4268000000000098</v>
      </c>
      <c r="AF770">
        <v>-2.6422048474070099</v>
      </c>
      <c r="AG770">
        <v>-1.0592749989850001</v>
      </c>
      <c r="AH770">
        <v>106.435828994909</v>
      </c>
      <c r="AI770">
        <v>90.5700269678495</v>
      </c>
      <c r="AJ770">
        <v>91.4220408842788</v>
      </c>
      <c r="AK770">
        <v>106.473888835773</v>
      </c>
      <c r="AL770">
        <v>93.416907237206999</v>
      </c>
      <c r="AM770">
        <v>93.937294150885904</v>
      </c>
      <c r="AN770">
        <v>1.00000002445509</v>
      </c>
    </row>
    <row r="771" spans="1:40" x14ac:dyDescent="0.25">
      <c r="A771" t="str">
        <f>"20190305135209577"</f>
        <v>20190305135209577</v>
      </c>
      <c r="B771" t="str">
        <f>"1551765129570154"</f>
        <v>1551765129570154</v>
      </c>
      <c r="C771" t="s">
        <v>40</v>
      </c>
      <c r="D771">
        <v>4.5512290000000002</v>
      </c>
      <c r="E771">
        <v>0.51708009999999904</v>
      </c>
      <c r="F771" t="s">
        <v>42</v>
      </c>
      <c r="G771">
        <v>-213.06700000000001</v>
      </c>
      <c r="H771" s="1">
        <v>-3.2637569999999999E-6</v>
      </c>
      <c r="I771">
        <v>370.77109999999999</v>
      </c>
      <c r="J771">
        <v>-296.06420000000003</v>
      </c>
      <c r="K771">
        <v>1.0592699999999999</v>
      </c>
      <c r="L771">
        <v>368.18709999999999</v>
      </c>
      <c r="M771">
        <v>0.99987329999999996</v>
      </c>
      <c r="N771">
        <v>-1.4121170000000001E-2</v>
      </c>
      <c r="O771">
        <v>7.3585029999999997E-3</v>
      </c>
      <c r="P771">
        <v>0.99430810000000003</v>
      </c>
      <c r="Q771">
        <v>-7.492451E-2</v>
      </c>
      <c r="R771">
        <v>7.5747629999999996E-2</v>
      </c>
      <c r="S771">
        <v>3.006958</v>
      </c>
      <c r="T771">
        <v>-3.8302059999999999E-2</v>
      </c>
      <c r="U771">
        <v>9.3475340000000004E-2</v>
      </c>
      <c r="V771">
        <v>-6.8433380000000002E-2</v>
      </c>
      <c r="W771">
        <v>-6.0862850000000003E-2</v>
      </c>
      <c r="X771">
        <v>0.9957975</v>
      </c>
      <c r="Y771">
        <v>-2.3710769999999999E-2</v>
      </c>
      <c r="Z771">
        <v>3.2863759999999999E-4</v>
      </c>
      <c r="AA771">
        <v>0.99971880000000002</v>
      </c>
      <c r="AB771">
        <v>28</v>
      </c>
      <c r="AC771">
        <v>82.997200000000007</v>
      </c>
      <c r="AD771">
        <v>-1.0592732637569999</v>
      </c>
      <c r="AE771">
        <v>2.5840000000000001</v>
      </c>
      <c r="AF771">
        <v>-1.9728129954231599</v>
      </c>
      <c r="AG771">
        <v>-1.0592732637569999</v>
      </c>
      <c r="AH771">
        <v>83.000462051069206</v>
      </c>
      <c r="AI771">
        <v>90.730977360810002</v>
      </c>
      <c r="AJ771">
        <v>91.361589762599905</v>
      </c>
      <c r="AK771">
        <v>83.030661515209005</v>
      </c>
      <c r="AL771">
        <v>93.489340821510098</v>
      </c>
      <c r="AM771">
        <v>93.931310083302506</v>
      </c>
      <c r="AN771">
        <v>1.0000000375072899</v>
      </c>
    </row>
    <row r="772" spans="1:40" x14ac:dyDescent="0.25">
      <c r="A772" t="str">
        <f>"20190305135209591"</f>
        <v>20190305135209591</v>
      </c>
      <c r="B772" t="str">
        <f>"1551765129579914"</f>
        <v>1551765129579914</v>
      </c>
      <c r="C772" t="s">
        <v>40</v>
      </c>
      <c r="D772">
        <v>4.5651950000000001</v>
      </c>
      <c r="E772">
        <v>0.51714789999999999</v>
      </c>
      <c r="F772" t="s">
        <v>42</v>
      </c>
      <c r="G772">
        <v>-222.9564</v>
      </c>
      <c r="H772" s="1">
        <v>-3.2181210000000001E-6</v>
      </c>
      <c r="I772">
        <v>370.42110000000002</v>
      </c>
      <c r="J772">
        <v>-295.89710000000002</v>
      </c>
      <c r="K772">
        <v>1.059275</v>
      </c>
      <c r="L772">
        <v>368.18830000000003</v>
      </c>
      <c r="M772">
        <v>0.99987340000000002</v>
      </c>
      <c r="N772">
        <v>-1.411927E-2</v>
      </c>
      <c r="O772">
        <v>7.3508619999999997E-3</v>
      </c>
      <c r="P772">
        <v>0.99432050000000005</v>
      </c>
      <c r="Q772">
        <v>-7.5438190000000002E-2</v>
      </c>
      <c r="R772">
        <v>7.507548E-2</v>
      </c>
      <c r="S772">
        <v>3.0069270000000001</v>
      </c>
      <c r="T772">
        <v>-4.35679E-2</v>
      </c>
      <c r="U772">
        <v>9.1888429999999993E-2</v>
      </c>
      <c r="V772">
        <v>-6.7768369999999994E-2</v>
      </c>
      <c r="W772">
        <v>-6.1379209999999997E-2</v>
      </c>
      <c r="X772">
        <v>0.99581120000000001</v>
      </c>
      <c r="Y772">
        <v>-2.3190860000000001E-2</v>
      </c>
      <c r="Z772">
        <v>3.2904210000000002E-4</v>
      </c>
      <c r="AA772">
        <v>0.99973100000000004</v>
      </c>
      <c r="AB772">
        <v>28</v>
      </c>
      <c r="AC772">
        <v>72.940700000000007</v>
      </c>
      <c r="AD772">
        <v>-1.0592782181210001</v>
      </c>
      <c r="AE772">
        <v>2.2327999999999899</v>
      </c>
      <c r="AF772">
        <v>-1.69615185839128</v>
      </c>
      <c r="AG772">
        <v>-1.0592782181210001</v>
      </c>
      <c r="AH772">
        <v>72.939774811775706</v>
      </c>
      <c r="AI772">
        <v>90.831802750016095</v>
      </c>
      <c r="AJ772">
        <v>91.332124092080903</v>
      </c>
      <c r="AK772">
        <v>72.9671826992289</v>
      </c>
      <c r="AL772">
        <v>93.5189817854951</v>
      </c>
      <c r="AM772">
        <v>93.893171742609994</v>
      </c>
      <c r="AN772">
        <v>0.99999995271905895</v>
      </c>
    </row>
    <row r="773" spans="1:40" x14ac:dyDescent="0.25">
      <c r="A773" t="str">
        <f>"20190305135209608"</f>
        <v>20190305135209608</v>
      </c>
      <c r="B773" t="str">
        <f>"1551765129600410"</f>
        <v>1551765129600410</v>
      </c>
      <c r="C773" t="s">
        <v>40</v>
      </c>
      <c r="D773">
        <v>4.5186469999999996</v>
      </c>
      <c r="E773">
        <v>0.51731499999999997</v>
      </c>
      <c r="F773" t="s">
        <v>42</v>
      </c>
      <c r="G773">
        <v>-227.8185</v>
      </c>
      <c r="H773" s="1">
        <v>-1.0776099999999999E-6</v>
      </c>
      <c r="I773">
        <v>370.21559999999999</v>
      </c>
      <c r="J773">
        <v>-295.6977</v>
      </c>
      <c r="K773">
        <v>1.0592889999999999</v>
      </c>
      <c r="L773">
        <v>368.18979999999999</v>
      </c>
      <c r="M773">
        <v>0.99987340000000002</v>
      </c>
      <c r="N773">
        <v>-1.4117009999999999E-2</v>
      </c>
      <c r="O773">
        <v>7.345435E-3</v>
      </c>
      <c r="P773">
        <v>0.99438550000000003</v>
      </c>
      <c r="Q773">
        <v>-7.5690950000000007E-2</v>
      </c>
      <c r="R773">
        <v>7.3948699999999895E-2</v>
      </c>
      <c r="S773">
        <v>3.0068049999999999</v>
      </c>
      <c r="T773">
        <v>-4.6784640000000002E-2</v>
      </c>
      <c r="U773">
        <v>8.9538569999999998E-2</v>
      </c>
      <c r="V773">
        <v>-6.6645220000000005E-2</v>
      </c>
      <c r="W773">
        <v>-6.1634460000000002E-2</v>
      </c>
      <c r="X773">
        <v>0.99587130000000001</v>
      </c>
      <c r="Y773">
        <v>-2.241657E-2</v>
      </c>
      <c r="Z773">
        <v>3.2206070000000001E-4</v>
      </c>
      <c r="AA773">
        <v>0.99974859999999999</v>
      </c>
      <c r="AB773">
        <v>28</v>
      </c>
      <c r="AC773">
        <v>67.879199999999997</v>
      </c>
      <c r="AD773">
        <v>-1.0592900776099901</v>
      </c>
      <c r="AE773">
        <v>2.0257999999999998</v>
      </c>
      <c r="AF773">
        <v>-1.5267219350780401</v>
      </c>
      <c r="AG773">
        <v>-1.0592900776099901</v>
      </c>
      <c r="AH773">
        <v>67.875735033072303</v>
      </c>
      <c r="AI773">
        <v>90.893877324587805</v>
      </c>
      <c r="AJ773">
        <v>91.288530809463694</v>
      </c>
      <c r="AK773">
        <v>67.901166275811605</v>
      </c>
      <c r="AL773">
        <v>93.5336340412493</v>
      </c>
      <c r="AM773">
        <v>93.828611933595198</v>
      </c>
      <c r="AN773">
        <v>1.0000000190860101</v>
      </c>
    </row>
    <row r="774" spans="1:40" x14ac:dyDescent="0.25">
      <c r="A774" t="str">
        <f>"20190305135209630"</f>
        <v>20190305135209630</v>
      </c>
      <c r="B774" t="str">
        <f>"1551765129619929"</f>
        <v>1551765129619929</v>
      </c>
      <c r="C774" t="s">
        <v>40</v>
      </c>
      <c r="D774">
        <v>4.5340879999999997</v>
      </c>
      <c r="E774">
        <v>0.51737599999999995</v>
      </c>
      <c r="F774" t="s">
        <v>42</v>
      </c>
      <c r="G774">
        <v>-232.4776</v>
      </c>
      <c r="H774" s="1">
        <v>-3.3049349999999998E-6</v>
      </c>
      <c r="I774">
        <v>369.97550000000001</v>
      </c>
      <c r="J774">
        <v>-295.41210000000001</v>
      </c>
      <c r="K774">
        <v>1.059304</v>
      </c>
      <c r="L774">
        <v>368.1918</v>
      </c>
      <c r="M774">
        <v>0.99987360000000003</v>
      </c>
      <c r="N774">
        <v>-1.4113840000000001E-2</v>
      </c>
      <c r="O774">
        <v>7.343413E-3</v>
      </c>
      <c r="P774">
        <v>0.99467989999999995</v>
      </c>
      <c r="Q774">
        <v>-7.3904010000000006E-2</v>
      </c>
      <c r="R774">
        <v>7.1768280000000004E-2</v>
      </c>
      <c r="S774">
        <v>3.0067439999999999</v>
      </c>
      <c r="T774">
        <v>-5.037987E-2</v>
      </c>
      <c r="U774">
        <v>8.4930420000000006E-2</v>
      </c>
      <c r="V774">
        <v>-6.4463880000000001E-2</v>
      </c>
      <c r="W774">
        <v>-5.9847959999999999E-2</v>
      </c>
      <c r="X774">
        <v>0.9961238</v>
      </c>
      <c r="Y774">
        <v>-2.0888029999999998E-2</v>
      </c>
      <c r="Z774">
        <v>3.0303390000000001E-4</v>
      </c>
      <c r="AA774">
        <v>0.99978180000000005</v>
      </c>
      <c r="AB774">
        <v>28</v>
      </c>
      <c r="AC774">
        <v>62.9345</v>
      </c>
      <c r="AD774">
        <v>-1.0593073049349999</v>
      </c>
      <c r="AE774">
        <v>1.7837000000000101</v>
      </c>
      <c r="AF774">
        <v>-1.32107793422732</v>
      </c>
      <c r="AG774">
        <v>-1.0593073049349999</v>
      </c>
      <c r="AH774">
        <v>62.928088463876399</v>
      </c>
      <c r="AI774">
        <v>90.964191680409101</v>
      </c>
      <c r="AJ774">
        <v>91.202659655008105</v>
      </c>
      <c r="AK774">
        <v>62.950867322000001</v>
      </c>
      <c r="AL774">
        <v>93.431085842870999</v>
      </c>
      <c r="AM774">
        <v>93.702717513849294</v>
      </c>
      <c r="AN774">
        <v>0.999999997533628</v>
      </c>
    </row>
    <row r="775" spans="1:40" x14ac:dyDescent="0.25">
      <c r="A775" t="str">
        <f>"20190305135209650"</f>
        <v>20190305135209650</v>
      </c>
      <c r="B775" t="str">
        <f>"1551765129640425"</f>
        <v>1551765129640425</v>
      </c>
      <c r="C775" t="s">
        <v>40</v>
      </c>
      <c r="D775">
        <v>4.6327420000000004</v>
      </c>
      <c r="E775">
        <v>0.51760759999999995</v>
      </c>
      <c r="F775" t="s">
        <v>42</v>
      </c>
      <c r="G775">
        <v>-228.8211</v>
      </c>
      <c r="H775" s="1">
        <v>-5.6865109999999896E-7</v>
      </c>
      <c r="I775">
        <v>369.91930000000002</v>
      </c>
      <c r="J775">
        <v>-295.14760000000001</v>
      </c>
      <c r="K775">
        <v>1.05931</v>
      </c>
      <c r="L775">
        <v>368.19380000000001</v>
      </c>
      <c r="M775">
        <v>0.99987340000000002</v>
      </c>
      <c r="N775">
        <v>-1.4110930000000001E-2</v>
      </c>
      <c r="O775">
        <v>7.34664699999999E-3</v>
      </c>
      <c r="P775">
        <v>0.99496329999999999</v>
      </c>
      <c r="Q775">
        <v>-7.2314199999999995E-2</v>
      </c>
      <c r="R775">
        <v>6.9417419999999994E-2</v>
      </c>
      <c r="S775">
        <v>3.006866</v>
      </c>
      <c r="T775">
        <v>-4.7832010000000001E-2</v>
      </c>
      <c r="U775">
        <v>7.8002929999999998E-2</v>
      </c>
      <c r="V775">
        <v>-6.2107910000000002E-2</v>
      </c>
      <c r="W775">
        <v>-5.8258030000000002E-2</v>
      </c>
      <c r="X775">
        <v>0.99636769999999997</v>
      </c>
      <c r="Y775">
        <v>-1.8582850000000001E-2</v>
      </c>
      <c r="Z775">
        <v>2.6574619999999999E-4</v>
      </c>
      <c r="AA775">
        <v>0.99982729999999997</v>
      </c>
      <c r="AB775">
        <v>28</v>
      </c>
      <c r="AC775">
        <v>66.326499999999996</v>
      </c>
      <c r="AD775">
        <v>-1.0593105686511</v>
      </c>
      <c r="AE775">
        <v>1.72550000000001</v>
      </c>
      <c r="AF775">
        <v>-1.2378119750954899</v>
      </c>
      <c r="AG775">
        <v>-1.0593105686511</v>
      </c>
      <c r="AH775">
        <v>66.320482161078999</v>
      </c>
      <c r="AI775">
        <v>90.914925468094907</v>
      </c>
      <c r="AJ775">
        <v>91.069249895224004</v>
      </c>
      <c r="AK775">
        <v>66.340490437172306</v>
      </c>
      <c r="AL775">
        <v>93.339830317758398</v>
      </c>
      <c r="AM775">
        <v>93.566878847767299</v>
      </c>
      <c r="AN775">
        <v>0.99999999207366896</v>
      </c>
    </row>
    <row r="776" spans="1:40" x14ac:dyDescent="0.25">
      <c r="A776" t="str">
        <f>"20190305135209662"</f>
        <v>20190305135209662</v>
      </c>
      <c r="B776" t="str">
        <f>"1551765129650579"</f>
        <v>1551765129650579</v>
      </c>
      <c r="C776" t="s">
        <v>40</v>
      </c>
      <c r="D776">
        <v>4.5474629999999996</v>
      </c>
      <c r="E776">
        <v>0.51771219999999996</v>
      </c>
      <c r="F776" t="s">
        <v>42</v>
      </c>
      <c r="G776">
        <v>-223.834</v>
      </c>
      <c r="H776" s="1">
        <v>-2.6882209999999999E-6</v>
      </c>
      <c r="I776">
        <v>369.84460000000001</v>
      </c>
      <c r="J776">
        <v>-294.99639999999999</v>
      </c>
      <c r="K776">
        <v>1.0593170000000001</v>
      </c>
      <c r="L776">
        <v>368.19490000000002</v>
      </c>
      <c r="M776">
        <v>0.99987349999999997</v>
      </c>
      <c r="N776">
        <v>-1.410927E-2</v>
      </c>
      <c r="O776">
        <v>7.3505590000000004E-3</v>
      </c>
      <c r="P776">
        <v>0.9950445</v>
      </c>
      <c r="Q776">
        <v>-7.1821449999999995E-2</v>
      </c>
      <c r="R776">
        <v>6.8760539999999995E-2</v>
      </c>
      <c r="S776">
        <v>3.0070800000000002</v>
      </c>
      <c r="T776">
        <v>-4.466796E-2</v>
      </c>
      <c r="U776">
        <v>6.9610599999999995E-2</v>
      </c>
      <c r="V776">
        <v>-6.144546E-2</v>
      </c>
      <c r="W776">
        <v>-5.7766159999999997E-2</v>
      </c>
      <c r="X776">
        <v>0.99643740000000003</v>
      </c>
      <c r="Y776">
        <v>-1.5789359999999999E-2</v>
      </c>
      <c r="Z776">
        <v>2.232096E-4</v>
      </c>
      <c r="AA776">
        <v>0.99987530000000002</v>
      </c>
      <c r="AB776">
        <v>28</v>
      </c>
      <c r="AC776">
        <v>71.162399999999906</v>
      </c>
      <c r="AD776">
        <v>-1.0593196882210001</v>
      </c>
      <c r="AE776">
        <v>1.64969999999999</v>
      </c>
      <c r="AF776">
        <v>-1.12627052334487</v>
      </c>
      <c r="AG776">
        <v>-1.0593196882210001</v>
      </c>
      <c r="AH776">
        <v>71.156845261124303</v>
      </c>
      <c r="AI776">
        <v>90.852798689680199</v>
      </c>
      <c r="AJ776">
        <v>90.906801858625499</v>
      </c>
      <c r="AK776">
        <v>71.173641687138598</v>
      </c>
      <c r="AL776">
        <v>93.311600730345205</v>
      </c>
      <c r="AM776">
        <v>93.528684550485707</v>
      </c>
      <c r="AN776">
        <v>0.999999982957258</v>
      </c>
    </row>
    <row r="777" spans="1:40" x14ac:dyDescent="0.25">
      <c r="A777" t="str">
        <f>"20190305135209674"</f>
        <v>20190305135209674</v>
      </c>
      <c r="B777" t="str">
        <f>"1551765129670098"</f>
        <v>1551765129670098</v>
      </c>
      <c r="C777" t="s">
        <v>40</v>
      </c>
      <c r="D777">
        <v>4.5761320000000003</v>
      </c>
      <c r="E777">
        <v>0.51774849999999994</v>
      </c>
      <c r="F777" t="s">
        <v>42</v>
      </c>
      <c r="G777">
        <v>-222.7029</v>
      </c>
      <c r="H777" s="1">
        <v>-3.1606779999999999E-6</v>
      </c>
      <c r="I777">
        <v>369.79640000000001</v>
      </c>
      <c r="J777">
        <v>-294.84550000000002</v>
      </c>
      <c r="K777">
        <v>1.0593220000000001</v>
      </c>
      <c r="L777">
        <v>368.19600000000003</v>
      </c>
      <c r="M777">
        <v>0.99987349999999997</v>
      </c>
      <c r="N777">
        <v>-1.410762E-2</v>
      </c>
      <c r="O777">
        <v>7.3596850000000004E-3</v>
      </c>
      <c r="P777">
        <v>0.99514449999999999</v>
      </c>
      <c r="Q777">
        <v>-7.1123699999999998E-2</v>
      </c>
      <c r="R777">
        <v>6.8036609999999997E-2</v>
      </c>
      <c r="S777">
        <v>3.0071720000000002</v>
      </c>
      <c r="T777">
        <v>-4.4064159999999998E-2</v>
      </c>
      <c r="U777">
        <v>6.6619869999999998E-2</v>
      </c>
      <c r="V777">
        <v>-6.0711889999999998E-2</v>
      </c>
      <c r="W777">
        <v>-5.706928E-2</v>
      </c>
      <c r="X777">
        <v>0.99652249999999998</v>
      </c>
      <c r="Y777">
        <v>-1.4785909999999999E-2</v>
      </c>
      <c r="Z777">
        <v>2.0863899999999999E-4</v>
      </c>
      <c r="AA777">
        <v>0.99989070000000002</v>
      </c>
      <c r="AB777">
        <v>28</v>
      </c>
      <c r="AC777">
        <v>72.142600000000002</v>
      </c>
      <c r="AD777">
        <v>-1.0593251606780001</v>
      </c>
      <c r="AE777">
        <v>1.60040000000003</v>
      </c>
      <c r="AF777">
        <v>-1.06912664362749</v>
      </c>
      <c r="AG777">
        <v>-1.0593251606780001</v>
      </c>
      <c r="AH777">
        <v>72.136879394978095</v>
      </c>
      <c r="AI777">
        <v>90.841231774245102</v>
      </c>
      <c r="AJ777">
        <v>90.849107425063295</v>
      </c>
      <c r="AK777">
        <v>72.152578404529507</v>
      </c>
      <c r="AL777">
        <v>93.271606525089794</v>
      </c>
      <c r="AM777">
        <v>93.486364692012401</v>
      </c>
      <c r="AN777">
        <v>0.99999996465666896</v>
      </c>
    </row>
    <row r="778" spans="1:40" x14ac:dyDescent="0.25">
      <c r="A778" t="str">
        <f>"20190305135209686"</f>
        <v>20190305135209686</v>
      </c>
      <c r="B778" t="str">
        <f>"1551765129680835"</f>
        <v>1551765129680835</v>
      </c>
      <c r="C778" t="s">
        <v>40</v>
      </c>
      <c r="D778">
        <v>4.5641230000000004</v>
      </c>
      <c r="E778">
        <v>0.51775230000000005</v>
      </c>
      <c r="F778" t="s">
        <v>42</v>
      </c>
      <c r="G778">
        <v>-223.0051</v>
      </c>
      <c r="H778" s="1">
        <v>-3.012532E-6</v>
      </c>
      <c r="I778">
        <v>369.72699999999998</v>
      </c>
      <c r="J778">
        <v>-294.70639999999997</v>
      </c>
      <c r="K778">
        <v>1.059329</v>
      </c>
      <c r="L778">
        <v>368.19709999999998</v>
      </c>
      <c r="M778">
        <v>0.99987340000000002</v>
      </c>
      <c r="N778">
        <v>-1.410612E-2</v>
      </c>
      <c r="O778">
        <v>7.3700090000000003E-3</v>
      </c>
      <c r="P778">
        <v>0.99525960000000002</v>
      </c>
      <c r="Q778">
        <v>-6.998683E-2</v>
      </c>
      <c r="R778">
        <v>6.7528840000000007E-2</v>
      </c>
      <c r="S778">
        <v>3.0070800000000002</v>
      </c>
      <c r="T778">
        <v>-4.434097E-2</v>
      </c>
      <c r="U778">
        <v>6.4086909999999997E-2</v>
      </c>
      <c r="V778">
        <v>-6.0192589999999997E-2</v>
      </c>
      <c r="W778">
        <v>-5.5932990000000002E-2</v>
      </c>
      <c r="X778">
        <v>0.99661840000000002</v>
      </c>
      <c r="Y778">
        <v>-1.393456E-2</v>
      </c>
      <c r="Z778">
        <v>1.963313E-4</v>
      </c>
      <c r="AA778">
        <v>0.99990290000000004</v>
      </c>
      <c r="AB778">
        <v>28</v>
      </c>
      <c r="AC778">
        <v>71.701299999999904</v>
      </c>
      <c r="AD778">
        <v>-1.059332012532</v>
      </c>
      <c r="AE778">
        <v>1.52989999999999</v>
      </c>
      <c r="AF778">
        <v>-1.00114823338741</v>
      </c>
      <c r="AG778">
        <v>-1.059332012532</v>
      </c>
      <c r="AH778">
        <v>71.694986460602195</v>
      </c>
      <c r="AI778">
        <v>90.846431872704699</v>
      </c>
      <c r="AJ778">
        <v>90.800025822421006</v>
      </c>
      <c r="AK778">
        <v>71.709801043399395</v>
      </c>
      <c r="AL778">
        <v>93.206397804318797</v>
      </c>
      <c r="AM778">
        <v>93.456284830408904</v>
      </c>
      <c r="AN778">
        <v>0.99999994123990199</v>
      </c>
    </row>
    <row r="779" spans="1:40" x14ac:dyDescent="0.25">
      <c r="A779" t="str">
        <f>"20190305135209697"</f>
        <v>20190305135209697</v>
      </c>
      <c r="B779" t="str">
        <f>"1551765129690596"</f>
        <v>1551765129690596</v>
      </c>
      <c r="C779" t="s">
        <v>40</v>
      </c>
      <c r="D779">
        <v>4.5889939999999996</v>
      </c>
      <c r="E779">
        <v>0.51780490000000001</v>
      </c>
      <c r="F779" t="s">
        <v>42</v>
      </c>
      <c r="G779">
        <v>-218.86529999999999</v>
      </c>
      <c r="H779" s="1">
        <v>-5.1250849999999999E-7</v>
      </c>
      <c r="I779">
        <v>369.77949999999998</v>
      </c>
      <c r="J779">
        <v>-294.55090000000001</v>
      </c>
      <c r="K779">
        <v>1.059342</v>
      </c>
      <c r="L779">
        <v>368.19819999999999</v>
      </c>
      <c r="M779">
        <v>0.99987320000000002</v>
      </c>
      <c r="N779">
        <v>-1.4104419999999999E-2</v>
      </c>
      <c r="O779">
        <v>7.3925060000000001E-3</v>
      </c>
      <c r="P779">
        <v>0.99530600000000002</v>
      </c>
      <c r="Q779">
        <v>-6.9692480000000001E-2</v>
      </c>
      <c r="R779">
        <v>6.7150109999999999E-2</v>
      </c>
      <c r="S779">
        <v>3.0070800000000002</v>
      </c>
      <c r="T779">
        <v>-4.2002079999999997E-2</v>
      </c>
      <c r="U779">
        <v>6.2744140000000004E-2</v>
      </c>
      <c r="V779">
        <v>-5.9790089999999997E-2</v>
      </c>
      <c r="W779">
        <v>-5.5640839999999997E-2</v>
      </c>
      <c r="X779">
        <v>0.99665899999999996</v>
      </c>
      <c r="Y779">
        <v>-1.346609E-2</v>
      </c>
      <c r="Z779">
        <v>1.900467E-4</v>
      </c>
      <c r="AA779">
        <v>0.9999093</v>
      </c>
      <c r="AB779">
        <v>28</v>
      </c>
      <c r="AC779">
        <v>75.685599999999994</v>
      </c>
      <c r="AD779">
        <v>-1.0593425125085001</v>
      </c>
      <c r="AE779">
        <v>1.5812999999999899</v>
      </c>
      <c r="AF779">
        <v>-1.0214948404381099</v>
      </c>
      <c r="AG779">
        <v>-1.0593425125085001</v>
      </c>
      <c r="AH779">
        <v>75.680402689879202</v>
      </c>
      <c r="AI779">
        <v>90.801876869498301</v>
      </c>
      <c r="AJ779">
        <v>90.773301769681595</v>
      </c>
      <c r="AK779">
        <v>75.694709257451507</v>
      </c>
      <c r="AL779">
        <v>93.189632672749497</v>
      </c>
      <c r="AM779">
        <v>93.433089050716205</v>
      </c>
      <c r="AN779">
        <v>0.99999996010955505</v>
      </c>
    </row>
    <row r="780" spans="1:40" x14ac:dyDescent="0.25">
      <c r="A780" t="str">
        <f>"20190305135209709"</f>
        <v>20190305135209709</v>
      </c>
      <c r="B780" t="str">
        <f>"1551765129700355"</f>
        <v>1551765129700355</v>
      </c>
      <c r="C780" t="s">
        <v>40</v>
      </c>
      <c r="D780">
        <v>4.6072680000000004</v>
      </c>
      <c r="E780">
        <v>0.51782550000000005</v>
      </c>
      <c r="F780" t="s">
        <v>42</v>
      </c>
      <c r="G780">
        <v>-219.39760000000001</v>
      </c>
      <c r="H780" s="1">
        <v>-2.6929139999999999E-7</v>
      </c>
      <c r="I780">
        <v>369.72359999999998</v>
      </c>
      <c r="J780">
        <v>-294.41759999999999</v>
      </c>
      <c r="K780">
        <v>1.0593589999999999</v>
      </c>
      <c r="L780">
        <v>368.19920000000002</v>
      </c>
      <c r="M780">
        <v>0.99987309999999996</v>
      </c>
      <c r="N780">
        <v>-1.4102979999999999E-2</v>
      </c>
      <c r="O780">
        <v>7.4154779999999997E-3</v>
      </c>
      <c r="P780">
        <v>0.99536469999999999</v>
      </c>
      <c r="Q780">
        <v>-6.9208030000000004E-2</v>
      </c>
      <c r="R780">
        <v>6.6781850000000004E-2</v>
      </c>
      <c r="S780">
        <v>3.00705</v>
      </c>
      <c r="T780">
        <v>-4.2386529999999999E-2</v>
      </c>
      <c r="U780">
        <v>6.1035159999999998E-2</v>
      </c>
      <c r="V780">
        <v>-5.9397239999999997E-2</v>
      </c>
      <c r="W780">
        <v>-5.5158220000000001E-2</v>
      </c>
      <c r="X780">
        <v>0.99670930000000002</v>
      </c>
      <c r="Y780">
        <v>-1.2875380000000001E-2</v>
      </c>
      <c r="Z780">
        <v>1.8161300000000001E-4</v>
      </c>
      <c r="AA780">
        <v>0.9999171</v>
      </c>
      <c r="AB780">
        <v>28</v>
      </c>
      <c r="AC780">
        <v>75.019999999999897</v>
      </c>
      <c r="AD780">
        <v>-1.0593592692914</v>
      </c>
      <c r="AE780">
        <v>1.52439999999995</v>
      </c>
      <c r="AF780">
        <v>-0.96780071176326099</v>
      </c>
      <c r="AG780">
        <v>-1.0593592692914</v>
      </c>
      <c r="AH780">
        <v>75.014290264592205</v>
      </c>
      <c r="AI780">
        <v>90.8090155960262</v>
      </c>
      <c r="AJ780">
        <v>90.739163427453803</v>
      </c>
      <c r="AK780">
        <v>75.028012263284793</v>
      </c>
      <c r="AL780">
        <v>93.161938098441894</v>
      </c>
      <c r="AM780">
        <v>93.410413694231593</v>
      </c>
      <c r="AN780">
        <v>0.99999994502983602</v>
      </c>
    </row>
    <row r="781" spans="1:40" x14ac:dyDescent="0.25">
      <c r="A781" t="str">
        <f>"20190305135209720"</f>
        <v>20190305135209720</v>
      </c>
      <c r="B781" t="str">
        <f>"1551765129710115"</f>
        <v>1551765129710115</v>
      </c>
      <c r="C781" t="s">
        <v>40</v>
      </c>
      <c r="D781">
        <v>4.5683889999999998</v>
      </c>
      <c r="E781">
        <v>0.51782950000000005</v>
      </c>
      <c r="F781" t="s">
        <v>42</v>
      </c>
      <c r="G781">
        <v>-218.95939999999999</v>
      </c>
      <c r="H781" s="1">
        <v>-4.510277E-7</v>
      </c>
      <c r="I781">
        <v>369.7002</v>
      </c>
      <c r="J781">
        <v>-294.2715</v>
      </c>
      <c r="K781">
        <v>1.0593760000000001</v>
      </c>
      <c r="L781">
        <v>368.20030000000003</v>
      </c>
      <c r="M781">
        <v>0.99987289999999995</v>
      </c>
      <c r="N781">
        <v>-1.41014E-2</v>
      </c>
      <c r="O781">
        <v>7.4482769999999997E-3</v>
      </c>
      <c r="P781">
        <v>0.99541159999999995</v>
      </c>
      <c r="Q781">
        <v>-6.9041569999999997E-2</v>
      </c>
      <c r="R781">
        <v>6.6250149999999994E-2</v>
      </c>
      <c r="S781">
        <v>3.0070190000000001</v>
      </c>
      <c r="T781">
        <v>-4.2215589999999997E-2</v>
      </c>
      <c r="U781">
        <v>5.9814449999999998E-2</v>
      </c>
      <c r="V781">
        <v>-5.8830750000000001E-2</v>
      </c>
      <c r="W781">
        <v>-5.4994250000000001E-2</v>
      </c>
      <c r="X781">
        <v>0.99675199999999997</v>
      </c>
      <c r="Y781">
        <v>-1.2437129999999999E-2</v>
      </c>
      <c r="Z781">
        <v>1.75482E-4</v>
      </c>
      <c r="AA781">
        <v>0.99992259999999999</v>
      </c>
      <c r="AB781">
        <v>28</v>
      </c>
      <c r="AC781">
        <v>75.312100000000001</v>
      </c>
      <c r="AD781">
        <v>-1.0593764510277</v>
      </c>
      <c r="AE781">
        <v>1.49989999999996</v>
      </c>
      <c r="AF781">
        <v>-0.93867160632346502</v>
      </c>
      <c r="AG781">
        <v>-1.0593764510277</v>
      </c>
      <c r="AH781">
        <v>75.306288654055606</v>
      </c>
      <c r="AI781">
        <v>90.805896603816606</v>
      </c>
      <c r="AJ781">
        <v>90.7141387161804</v>
      </c>
      <c r="AK781">
        <v>75.319589043604495</v>
      </c>
      <c r="AL781">
        <v>93.1525288946751</v>
      </c>
      <c r="AM781">
        <v>93.3778188216275</v>
      </c>
      <c r="AN781">
        <v>0.99999998709131199</v>
      </c>
    </row>
    <row r="782" spans="1:40" x14ac:dyDescent="0.25">
      <c r="A782" t="str">
        <f>"20190305135209732"</f>
        <v>20190305135209732</v>
      </c>
      <c r="B782" t="str">
        <f>"1551765129730611"</f>
        <v>1551765129730611</v>
      </c>
      <c r="C782" t="s">
        <v>40</v>
      </c>
      <c r="D782">
        <v>4.5934410000000003</v>
      </c>
      <c r="E782">
        <v>0.51778760000000001</v>
      </c>
      <c r="F782" t="s">
        <v>42</v>
      </c>
      <c r="G782">
        <v>-220.0566</v>
      </c>
      <c r="H782" s="1">
        <v>-4.2541800000000002E-6</v>
      </c>
      <c r="I782">
        <v>369.63959999999997</v>
      </c>
      <c r="J782">
        <v>-294.12389999999999</v>
      </c>
      <c r="K782">
        <v>1.0593939999999999</v>
      </c>
      <c r="L782">
        <v>368.20150000000001</v>
      </c>
      <c r="M782">
        <v>0.9998726</v>
      </c>
      <c r="N782">
        <v>-1.4099810000000001E-2</v>
      </c>
      <c r="O782">
        <v>7.4901580000000002E-3</v>
      </c>
      <c r="P782">
        <v>0.99550130000000003</v>
      </c>
      <c r="Q782">
        <v>-6.8583939999999996E-2</v>
      </c>
      <c r="R782">
        <v>6.5371079999999998E-2</v>
      </c>
      <c r="S782">
        <v>3.0069889999999999</v>
      </c>
      <c r="T782">
        <v>-4.2923210000000003E-2</v>
      </c>
      <c r="U782">
        <v>5.8319089999999997E-2</v>
      </c>
      <c r="V782">
        <v>-5.7907739999999999E-2</v>
      </c>
      <c r="W782">
        <v>-5.4538719999999999E-2</v>
      </c>
      <c r="X782">
        <v>0.99683109999999997</v>
      </c>
      <c r="Y782">
        <v>-1.189842E-2</v>
      </c>
      <c r="Z782">
        <v>1.6752069999999999E-4</v>
      </c>
      <c r="AA782">
        <v>0.99992919999999996</v>
      </c>
      <c r="AB782">
        <v>28</v>
      </c>
      <c r="AC782">
        <v>74.067299999999904</v>
      </c>
      <c r="AD782">
        <v>-1.05939825418</v>
      </c>
      <c r="AE782">
        <v>1.43809999999996</v>
      </c>
      <c r="AF782">
        <v>-0.88304816443096601</v>
      </c>
      <c r="AG782">
        <v>-1.05939825418</v>
      </c>
      <c r="AH782">
        <v>74.060848806162596</v>
      </c>
      <c r="AI782">
        <v>90.819469354942498</v>
      </c>
      <c r="AJ782">
        <v>90.683121194884905</v>
      </c>
      <c r="AK782">
        <v>74.073689152160796</v>
      </c>
      <c r="AL782">
        <v>93.126389645627995</v>
      </c>
      <c r="AM782">
        <v>93.324679993259494</v>
      </c>
      <c r="AN782">
        <v>1.0000000101291699</v>
      </c>
    </row>
    <row r="783" spans="1:40" x14ac:dyDescent="0.25">
      <c r="A783" t="str">
        <f>"20190305135209743"</f>
        <v>20190305135209743</v>
      </c>
      <c r="B783" t="str">
        <f>"1551765129740371"</f>
        <v>1551765129740371</v>
      </c>
      <c r="C783" t="s">
        <v>40</v>
      </c>
      <c r="D783">
        <v>4.6043500000000002</v>
      </c>
      <c r="E783">
        <v>0.51776250000000001</v>
      </c>
      <c r="F783" t="s">
        <v>42</v>
      </c>
      <c r="G783">
        <v>-221.8185</v>
      </c>
      <c r="H783" s="1">
        <v>-3.5051819999999998E-6</v>
      </c>
      <c r="I783">
        <v>369.54289999999997</v>
      </c>
      <c r="J783">
        <v>-293.98320000000001</v>
      </c>
      <c r="K783">
        <v>1.059409</v>
      </c>
      <c r="L783">
        <v>368.20260000000002</v>
      </c>
      <c r="M783">
        <v>0.99987230000000005</v>
      </c>
      <c r="N783">
        <v>-1.4098309999999999E-2</v>
      </c>
      <c r="O783">
        <v>7.5350209999999898E-3</v>
      </c>
      <c r="P783">
        <v>0.99556560000000005</v>
      </c>
      <c r="Q783">
        <v>-6.8315860000000006E-2</v>
      </c>
      <c r="R783">
        <v>6.4670870000000005E-2</v>
      </c>
      <c r="S783">
        <v>3.0068359999999998</v>
      </c>
      <c r="T783">
        <v>-4.4055219999999999E-2</v>
      </c>
      <c r="U783">
        <v>5.5786130000000003E-2</v>
      </c>
      <c r="V783">
        <v>-5.7160870000000003E-2</v>
      </c>
      <c r="W783">
        <v>-5.427295E-2</v>
      </c>
      <c r="X783">
        <v>0.99688869999999896</v>
      </c>
      <c r="Y783">
        <v>-1.1012589999999999E-2</v>
      </c>
      <c r="Z783">
        <v>1.541604E-4</v>
      </c>
      <c r="AA783">
        <v>0.99993929999999998</v>
      </c>
      <c r="AB783">
        <v>28</v>
      </c>
      <c r="AC783">
        <v>72.164699999999996</v>
      </c>
      <c r="AD783">
        <v>-1.059412505182</v>
      </c>
      <c r="AE783">
        <v>1.3402999999999501</v>
      </c>
      <c r="AF783">
        <v>-0.79627385653986105</v>
      </c>
      <c r="AG783">
        <v>-1.059412505182</v>
      </c>
      <c r="AH783">
        <v>72.157205417148802</v>
      </c>
      <c r="AI783">
        <v>90.841105322993599</v>
      </c>
      <c r="AJ783">
        <v>90.632248425331198</v>
      </c>
      <c r="AK783">
        <v>72.169375087521402</v>
      </c>
      <c r="AL783">
        <v>93.111139593716999</v>
      </c>
      <c r="AM783">
        <v>93.281704779509894</v>
      </c>
      <c r="AN783">
        <v>0.99999999917427396</v>
      </c>
    </row>
    <row r="784" spans="1:40" x14ac:dyDescent="0.25">
      <c r="A784" t="str">
        <f>"20190305135209755"</f>
        <v>20190305135209755</v>
      </c>
      <c r="B784" t="str">
        <f>"1551765129750132"</f>
        <v>1551765129750132</v>
      </c>
      <c r="C784" t="s">
        <v>40</v>
      </c>
      <c r="D784">
        <v>4.5933199999999896</v>
      </c>
      <c r="E784">
        <v>0.51771769999999995</v>
      </c>
      <c r="F784" t="s">
        <v>42</v>
      </c>
      <c r="G784">
        <v>-222.137</v>
      </c>
      <c r="H784" s="1">
        <v>-3.3772500000000001E-6</v>
      </c>
      <c r="I784">
        <v>369.4939</v>
      </c>
      <c r="J784">
        <v>-293.84809999999999</v>
      </c>
      <c r="K784">
        <v>1.059426</v>
      </c>
      <c r="L784">
        <v>368.20359999999999</v>
      </c>
      <c r="M784">
        <v>0.99987190000000004</v>
      </c>
      <c r="N784">
        <v>-1.4096879999999999E-2</v>
      </c>
      <c r="O784">
        <v>7.5894739999999997E-3</v>
      </c>
      <c r="P784">
        <v>0.99570320000000001</v>
      </c>
      <c r="Q784">
        <v>-6.7416390000000007E-2</v>
      </c>
      <c r="R784">
        <v>6.3485379999999994E-2</v>
      </c>
      <c r="S784">
        <v>3.0068359999999998</v>
      </c>
      <c r="T784">
        <v>-4.4337389999999997E-2</v>
      </c>
      <c r="U784">
        <v>5.4046629999999998E-2</v>
      </c>
      <c r="V784">
        <v>-5.5919049999999998E-2</v>
      </c>
      <c r="W784">
        <v>-5.3374650000000003E-2</v>
      </c>
      <c r="X784">
        <v>0.99700759999999999</v>
      </c>
      <c r="Y784">
        <v>-1.0379960000000001E-2</v>
      </c>
      <c r="Z784">
        <v>1.4479240000000001E-4</v>
      </c>
      <c r="AA784">
        <v>0.99994609999999995</v>
      </c>
      <c r="AB784">
        <v>28</v>
      </c>
      <c r="AC784">
        <v>71.711099999999902</v>
      </c>
      <c r="AD784">
        <v>-1.0594293772499901</v>
      </c>
      <c r="AE784">
        <v>1.2903</v>
      </c>
      <c r="AF784">
        <v>-0.74579653109305</v>
      </c>
      <c r="AG784">
        <v>-1.0594293772499901</v>
      </c>
      <c r="AH784">
        <v>71.703183179590695</v>
      </c>
      <c r="AI784">
        <v>90.846449631794002</v>
      </c>
      <c r="AJ784">
        <v>90.595921280937205</v>
      </c>
      <c r="AK784">
        <v>71.714887444359206</v>
      </c>
      <c r="AL784">
        <v>93.059596155506497</v>
      </c>
      <c r="AM784">
        <v>93.210178453401795</v>
      </c>
      <c r="AN784">
        <v>0.99999997393664197</v>
      </c>
    </row>
    <row r="785" spans="1:40" x14ac:dyDescent="0.25">
      <c r="A785" t="str">
        <f>"20190305135209766"</f>
        <v>20190305135209766</v>
      </c>
      <c r="B785" t="str">
        <f>"1551765129759892"</f>
        <v>1551765129759892</v>
      </c>
      <c r="C785" t="s">
        <v>40</v>
      </c>
      <c r="D785">
        <v>4.608473</v>
      </c>
      <c r="E785">
        <v>0.51769849999999995</v>
      </c>
      <c r="F785" t="s">
        <v>42</v>
      </c>
      <c r="G785">
        <v>-219.53129999999999</v>
      </c>
      <c r="H785" s="1">
        <v>-2.109651E-7</v>
      </c>
      <c r="I785">
        <v>369.46100000000001</v>
      </c>
      <c r="J785">
        <v>-293.70409999999998</v>
      </c>
      <c r="K785">
        <v>1.0594349999999999</v>
      </c>
      <c r="L785">
        <v>368.20479999999998</v>
      </c>
      <c r="M785">
        <v>0.99987139999999997</v>
      </c>
      <c r="N785">
        <v>-1.4095359999999999E-2</v>
      </c>
      <c r="O785">
        <v>7.6501969999999897E-3</v>
      </c>
      <c r="P785">
        <v>0.99580670000000004</v>
      </c>
      <c r="Q785">
        <v>-6.6634940000000004E-2</v>
      </c>
      <c r="R785">
        <v>6.2682349999999998E-2</v>
      </c>
      <c r="S785">
        <v>3.0068049999999999</v>
      </c>
      <c r="T785">
        <v>-4.2863610000000003E-2</v>
      </c>
      <c r="U785">
        <v>5.0872800000000003E-2</v>
      </c>
      <c r="V785">
        <v>-5.505322E-2</v>
      </c>
      <c r="W785">
        <v>-5.259498E-2</v>
      </c>
      <c r="X785">
        <v>0.99709729999999996</v>
      </c>
      <c r="Y785">
        <v>-9.2645690000000003E-3</v>
      </c>
      <c r="Z785">
        <v>1.301265E-4</v>
      </c>
      <c r="AA785">
        <v>0.99995710000000004</v>
      </c>
      <c r="AB785">
        <v>28</v>
      </c>
      <c r="AC785">
        <v>74.172799999999995</v>
      </c>
      <c r="AD785">
        <v>-1.0594352109651</v>
      </c>
      <c r="AE785">
        <v>1.25620000000003</v>
      </c>
      <c r="AF785">
        <v>-0.68852989965981104</v>
      </c>
      <c r="AG785">
        <v>-1.0594352109651</v>
      </c>
      <c r="AH785">
        <v>74.165113803580496</v>
      </c>
      <c r="AI785">
        <v>90.818368902641794</v>
      </c>
      <c r="AJ785">
        <v>90.531904044743101</v>
      </c>
      <c r="AK785">
        <v>74.1758760102434</v>
      </c>
      <c r="AL785">
        <v>93.014861263250097</v>
      </c>
      <c r="AM785">
        <v>93.160291038882903</v>
      </c>
      <c r="AN785">
        <v>1.00000005731042</v>
      </c>
    </row>
    <row r="786" spans="1:40" x14ac:dyDescent="0.25">
      <c r="A786" t="str">
        <f>"20190305135209784"</f>
        <v>20190305135209784</v>
      </c>
      <c r="B786" t="str">
        <f>"1551765129780387"</f>
        <v>1551765129780387</v>
      </c>
      <c r="C786" t="s">
        <v>40</v>
      </c>
      <c r="D786">
        <v>4.6135429999999999</v>
      </c>
      <c r="E786">
        <v>0.51759089999999996</v>
      </c>
      <c r="F786" t="s">
        <v>42</v>
      </c>
      <c r="G786">
        <v>-216.9325</v>
      </c>
      <c r="H786" s="1">
        <v>-1.3296029999999901E-6</v>
      </c>
      <c r="I786">
        <v>369.43979999999999</v>
      </c>
      <c r="J786">
        <v>-293.47190000000001</v>
      </c>
      <c r="K786">
        <v>1.059456</v>
      </c>
      <c r="L786">
        <v>368.20670000000001</v>
      </c>
      <c r="M786">
        <v>0.9998707</v>
      </c>
      <c r="N786">
        <v>-1.409289E-2</v>
      </c>
      <c r="O786">
        <v>7.766673E-3</v>
      </c>
      <c r="P786">
        <v>0.99593830000000005</v>
      </c>
      <c r="Q786">
        <v>-6.5782190000000004E-2</v>
      </c>
      <c r="R786">
        <v>6.148315E-2</v>
      </c>
      <c r="S786">
        <v>3.0068049999999999</v>
      </c>
      <c r="T786">
        <v>-4.1493420000000003E-2</v>
      </c>
      <c r="U786">
        <v>4.8370360000000001E-2</v>
      </c>
      <c r="V786">
        <v>-5.3734749999999998E-2</v>
      </c>
      <c r="W786">
        <v>-5.1744999999999999E-2</v>
      </c>
      <c r="X786">
        <v>0.99721369999999998</v>
      </c>
      <c r="Y786">
        <v>-8.3163569999999999E-3</v>
      </c>
      <c r="Z786">
        <v>1.1828030000000001E-4</v>
      </c>
      <c r="AA786">
        <v>0.9999654</v>
      </c>
      <c r="AB786">
        <v>28</v>
      </c>
      <c r="AC786">
        <v>76.539400000000001</v>
      </c>
      <c r="AD786">
        <v>-1.0594573296030001</v>
      </c>
      <c r="AE786">
        <v>1.2330999999999701</v>
      </c>
      <c r="AF786">
        <v>-0.63842508087549499</v>
      </c>
      <c r="AG786">
        <v>-1.0594573296030001</v>
      </c>
      <c r="AH786">
        <v>76.532009293978604</v>
      </c>
      <c r="AI786">
        <v>90.793085734730397</v>
      </c>
      <c r="AJ786">
        <v>90.477946607645194</v>
      </c>
      <c r="AK786">
        <v>76.542004696707295</v>
      </c>
      <c r="AL786">
        <v>92.966094562782601</v>
      </c>
      <c r="AM786">
        <v>93.084393791238597</v>
      </c>
      <c r="AN786">
        <v>1.00000006592512</v>
      </c>
    </row>
    <row r="787" spans="1:40" x14ac:dyDescent="0.25">
      <c r="A787" t="str">
        <f>"20190305135209807"</f>
        <v>20190305135209807</v>
      </c>
      <c r="B787" t="str">
        <f>"1551765129800886"</f>
        <v>1551765129800886</v>
      </c>
      <c r="C787" t="s">
        <v>40</v>
      </c>
      <c r="D787">
        <v>4.6265679999999998</v>
      </c>
      <c r="E787">
        <v>0.517509</v>
      </c>
      <c r="F787" t="s">
        <v>42</v>
      </c>
      <c r="G787">
        <v>-216.53960000000001</v>
      </c>
      <c r="H787" s="1">
        <v>-1.508706E-6</v>
      </c>
      <c r="I787">
        <v>369.38029999999998</v>
      </c>
      <c r="J787">
        <v>-293.18900000000002</v>
      </c>
      <c r="K787">
        <v>1.0594779999999999</v>
      </c>
      <c r="L787">
        <v>368.20909999999998</v>
      </c>
      <c r="M787">
        <v>0.99986929999999996</v>
      </c>
      <c r="N787">
        <v>-1.4089819999999999E-2</v>
      </c>
      <c r="O787">
        <v>7.9292939999999999E-3</v>
      </c>
      <c r="P787">
        <v>0.99603260000000005</v>
      </c>
      <c r="Q787">
        <v>-6.5041180000000004E-2</v>
      </c>
      <c r="R787">
        <v>6.0733700000000002E-2</v>
      </c>
      <c r="S787">
        <v>3.0066830000000002</v>
      </c>
      <c r="T787">
        <v>-4.1405919999999999E-2</v>
      </c>
      <c r="U787">
        <v>4.586792E-2</v>
      </c>
      <c r="V787">
        <v>-5.2820909999999999E-2</v>
      </c>
      <c r="W787">
        <v>-5.1007440000000001E-2</v>
      </c>
      <c r="X787">
        <v>0.99730039999999998</v>
      </c>
      <c r="Y787">
        <v>-7.3225039999999996E-3</v>
      </c>
      <c r="Z787">
        <v>1.0455329999999999E-4</v>
      </c>
      <c r="AA787">
        <v>0.99997320000000001</v>
      </c>
      <c r="AB787">
        <v>28</v>
      </c>
      <c r="AC787">
        <v>76.6494</v>
      </c>
      <c r="AD787">
        <v>-1.0594795087060001</v>
      </c>
      <c r="AE787">
        <v>1.17119999999999</v>
      </c>
      <c r="AF787">
        <v>-0.56321962914604495</v>
      </c>
      <c r="AG787">
        <v>-1.0594795087060001</v>
      </c>
      <c r="AH787">
        <v>76.641637918732897</v>
      </c>
      <c r="AI787">
        <v>90.791974191816294</v>
      </c>
      <c r="AJ787">
        <v>90.421044326283294</v>
      </c>
      <c r="AK787">
        <v>76.651029843350301</v>
      </c>
      <c r="AL787">
        <v>92.923779953167397</v>
      </c>
      <c r="AM787">
        <v>93.0317746718557</v>
      </c>
      <c r="AN787">
        <v>0.99999994765436895</v>
      </c>
    </row>
    <row r="788" spans="1:40" x14ac:dyDescent="0.25">
      <c r="A788" t="str">
        <f>"20190305135209830"</f>
        <v>20190305135209830</v>
      </c>
      <c r="B788" t="str">
        <f>"1551765129820402"</f>
        <v>1551765129820402</v>
      </c>
      <c r="C788" t="s">
        <v>40</v>
      </c>
      <c r="D788">
        <v>4.6017599999999996</v>
      </c>
      <c r="E788">
        <v>0.51743890000000003</v>
      </c>
      <c r="F788" t="s">
        <v>42</v>
      </c>
      <c r="G788">
        <v>-216.0752</v>
      </c>
      <c r="H788" s="1">
        <v>-1.7126900000000001E-6</v>
      </c>
      <c r="I788">
        <v>369.3535</v>
      </c>
      <c r="J788">
        <v>-292.911</v>
      </c>
      <c r="K788">
        <v>1.0594889999999999</v>
      </c>
      <c r="L788">
        <v>368.2115</v>
      </c>
      <c r="M788">
        <v>0.99986799999999998</v>
      </c>
      <c r="N788">
        <v>-1.408683E-2</v>
      </c>
      <c r="O788">
        <v>8.1025929999999999E-3</v>
      </c>
      <c r="P788">
        <v>0.99608280000000005</v>
      </c>
      <c r="Q788">
        <v>-6.3953940000000001E-2</v>
      </c>
      <c r="R788">
        <v>6.1067120000000003E-2</v>
      </c>
      <c r="S788">
        <v>3.0065309999999998</v>
      </c>
      <c r="T788">
        <v>-4.1307209999999997E-2</v>
      </c>
      <c r="U788">
        <v>4.4616700000000002E-2</v>
      </c>
      <c r="V788">
        <v>-5.2980270000000003E-2</v>
      </c>
      <c r="W788">
        <v>-4.9923479999999999E-2</v>
      </c>
      <c r="X788">
        <v>0.99734690000000004</v>
      </c>
      <c r="Y788">
        <v>-6.7340169999999897E-3</v>
      </c>
      <c r="Z788" s="1">
        <v>9.6528219999999997E-5</v>
      </c>
      <c r="AA788">
        <v>0.99997740000000002</v>
      </c>
      <c r="AB788">
        <v>28</v>
      </c>
      <c r="AC788">
        <v>76.835800000000006</v>
      </c>
      <c r="AD788">
        <v>-1.0594907126899999</v>
      </c>
      <c r="AE788">
        <v>1.1419999999999899</v>
      </c>
      <c r="AF788">
        <v>-0.51923283931350905</v>
      </c>
      <c r="AG788">
        <v>-1.0594907126899999</v>
      </c>
      <c r="AH788">
        <v>76.827926704767407</v>
      </c>
      <c r="AI788">
        <v>90.7900657363965</v>
      </c>
      <c r="AJ788">
        <v>90.387221139712295</v>
      </c>
      <c r="AK788">
        <v>76.836986178954305</v>
      </c>
      <c r="AL788">
        <v>92.861594081543998</v>
      </c>
      <c r="AM788">
        <v>93.040762843296903</v>
      </c>
      <c r="AN788">
        <v>1.0000000509020901</v>
      </c>
    </row>
    <row r="789" spans="1:40" x14ac:dyDescent="0.25">
      <c r="A789" t="str">
        <f>"20190305135209852"</f>
        <v>20190305135209852</v>
      </c>
      <c r="B789" t="str">
        <f>"1551765129840900"</f>
        <v>1551765129840900</v>
      </c>
      <c r="C789" t="s">
        <v>40</v>
      </c>
      <c r="D789">
        <v>4.6209540000000002</v>
      </c>
      <c r="E789">
        <v>0.51745839999999999</v>
      </c>
      <c r="F789" t="s">
        <v>42</v>
      </c>
      <c r="G789">
        <v>-211.76089999999999</v>
      </c>
      <c r="H789" s="1">
        <v>-3.5454329999999998E-6</v>
      </c>
      <c r="I789">
        <v>369.45530000000002</v>
      </c>
      <c r="J789">
        <v>-292.6311</v>
      </c>
      <c r="K789">
        <v>1.0594980000000001</v>
      </c>
      <c r="L789">
        <v>368.214</v>
      </c>
      <c r="M789">
        <v>0.99986649999999999</v>
      </c>
      <c r="N789">
        <v>-1.4083770000000001E-2</v>
      </c>
      <c r="O789">
        <v>8.2815890000000007E-3</v>
      </c>
      <c r="P789">
        <v>0.99604230000000005</v>
      </c>
      <c r="Q789">
        <v>-6.3698060000000001E-2</v>
      </c>
      <c r="R789">
        <v>6.1985409999999998E-2</v>
      </c>
      <c r="S789">
        <v>3.0064090000000001</v>
      </c>
      <c r="T789">
        <v>-3.925157E-2</v>
      </c>
      <c r="U789">
        <v>4.6081539999999997E-2</v>
      </c>
      <c r="V789">
        <v>-5.3719969999999999E-2</v>
      </c>
      <c r="W789">
        <v>-4.967162E-2</v>
      </c>
      <c r="X789">
        <v>0.99731990000000004</v>
      </c>
      <c r="Y789">
        <v>-7.0427629999999996E-3</v>
      </c>
      <c r="Z789">
        <v>1.041022E-4</v>
      </c>
      <c r="AA789">
        <v>0.99997519999999995</v>
      </c>
      <c r="AB789">
        <v>28</v>
      </c>
      <c r="AC789">
        <v>80.870199999999997</v>
      </c>
      <c r="AD789">
        <v>-1.0595015454329999</v>
      </c>
      <c r="AE789">
        <v>1.2413000000000201</v>
      </c>
      <c r="AF789">
        <v>-0.57135917162933303</v>
      </c>
      <c r="AG789">
        <v>-1.0595015454329999</v>
      </c>
      <c r="AH789">
        <v>80.863830685538204</v>
      </c>
      <c r="AI789">
        <v>90.750644361517601</v>
      </c>
      <c r="AJ789">
        <v>90.404827771331597</v>
      </c>
      <c r="AK789">
        <v>80.872789663564603</v>
      </c>
      <c r="AL789">
        <v>92.847145661246103</v>
      </c>
      <c r="AM789">
        <v>93.083219332239693</v>
      </c>
      <c r="AN789">
        <v>1.00000004397311</v>
      </c>
    </row>
    <row r="790" spans="1:40" x14ac:dyDescent="0.25">
      <c r="A790" t="str">
        <f>"20190305135209874"</f>
        <v>20190305135209874</v>
      </c>
      <c r="B790" t="str">
        <f>"1551765129870180"</f>
        <v>1551765129870180</v>
      </c>
      <c r="C790" t="s">
        <v>40</v>
      </c>
      <c r="D790">
        <v>4.580997</v>
      </c>
      <c r="E790">
        <v>0.51740439999999999</v>
      </c>
      <c r="F790" t="s">
        <v>42</v>
      </c>
      <c r="G790">
        <v>-211.86779999999999</v>
      </c>
      <c r="H790" s="1">
        <v>-3.4872619999999999E-6</v>
      </c>
      <c r="I790">
        <v>369.5249</v>
      </c>
      <c r="J790">
        <v>-292.36750000000001</v>
      </c>
      <c r="K790">
        <v>1.0594939999999999</v>
      </c>
      <c r="L790">
        <v>368.21640000000002</v>
      </c>
      <c r="M790">
        <v>0.99986520000000001</v>
      </c>
      <c r="N790">
        <v>-1.408089E-2</v>
      </c>
      <c r="O790">
        <v>8.4417119999999901E-3</v>
      </c>
      <c r="P790">
        <v>0.99596180000000001</v>
      </c>
      <c r="Q790">
        <v>-6.3056630000000002E-2</v>
      </c>
      <c r="R790">
        <v>6.3906099999999993E-2</v>
      </c>
      <c r="S790">
        <v>3.0063170000000001</v>
      </c>
      <c r="T790">
        <v>-3.9438609999999999E-2</v>
      </c>
      <c r="U790">
        <v>4.8797609999999998E-2</v>
      </c>
      <c r="V790">
        <v>-5.5482160000000003E-2</v>
      </c>
      <c r="W790">
        <v>-4.9034010000000003E-2</v>
      </c>
      <c r="X790">
        <v>0.99725490000000006</v>
      </c>
      <c r="Y790">
        <v>-7.786154E-3</v>
      </c>
      <c r="Z790">
        <v>1.140353E-4</v>
      </c>
      <c r="AA790">
        <v>0.99996969999999996</v>
      </c>
      <c r="AB790">
        <v>28</v>
      </c>
      <c r="AC790">
        <v>80.499700000000004</v>
      </c>
      <c r="AD790">
        <v>-1.059497487262</v>
      </c>
      <c r="AE790">
        <v>1.30849999999998</v>
      </c>
      <c r="AF790">
        <v>-0.62872180668567301</v>
      </c>
      <c r="AG790">
        <v>-1.059497487262</v>
      </c>
      <c r="AH790">
        <v>80.493938246581095</v>
      </c>
      <c r="AI790">
        <v>90.754086320814295</v>
      </c>
      <c r="AJ790">
        <v>90.447516598764494</v>
      </c>
      <c r="AK790">
        <v>80.503365895347002</v>
      </c>
      <c r="AL790">
        <v>92.810568936243996</v>
      </c>
      <c r="AM790">
        <v>93.184361260879996</v>
      </c>
      <c r="AN790">
        <v>0.99999996989447704</v>
      </c>
    </row>
    <row r="791" spans="1:40" x14ac:dyDescent="0.25">
      <c r="A791" t="str">
        <f>"20190305135209897"</f>
        <v>20190305135209897</v>
      </c>
      <c r="B791" t="str">
        <f>"1551765129890675"</f>
        <v>1551765129890675</v>
      </c>
      <c r="C791" t="s">
        <v>40</v>
      </c>
      <c r="D791">
        <v>4.5343410000000004</v>
      </c>
      <c r="E791">
        <v>0.50089399999999995</v>
      </c>
      <c r="F791" t="s">
        <v>42</v>
      </c>
      <c r="G791">
        <v>-210.70939999999999</v>
      </c>
      <c r="H791" s="1">
        <v>-3.994006E-6</v>
      </c>
      <c r="I791">
        <v>369.71429999999998</v>
      </c>
      <c r="J791">
        <v>-292.07960000000003</v>
      </c>
      <c r="K791">
        <v>1.0594889999999999</v>
      </c>
      <c r="L791">
        <v>368.21899999999999</v>
      </c>
      <c r="M791">
        <v>0.99986410000000003</v>
      </c>
      <c r="N791">
        <v>-1.407777E-2</v>
      </c>
      <c r="O791">
        <v>8.5926240000000001E-3</v>
      </c>
      <c r="P791">
        <v>0.99582769999999998</v>
      </c>
      <c r="Q791">
        <v>-6.2919359999999994E-2</v>
      </c>
      <c r="R791">
        <v>6.6096139999999998E-2</v>
      </c>
      <c r="S791">
        <v>3.0061650000000002</v>
      </c>
      <c r="T791">
        <v>-3.9004329999999997E-2</v>
      </c>
      <c r="U791">
        <v>5.5145260000000001E-2</v>
      </c>
      <c r="V791">
        <v>-5.7524819999999997E-2</v>
      </c>
      <c r="W791">
        <v>-4.8900239999999998E-2</v>
      </c>
      <c r="X791">
        <v>0.99714579999999997</v>
      </c>
      <c r="Y791">
        <v>-9.7465650000000004E-3</v>
      </c>
      <c r="Z791">
        <v>1.413365E-4</v>
      </c>
      <c r="AA791">
        <v>0.99995250000000002</v>
      </c>
      <c r="AB791">
        <v>28</v>
      </c>
      <c r="AC791">
        <v>81.370199999999997</v>
      </c>
      <c r="AD791">
        <v>-1.0594929940059901</v>
      </c>
      <c r="AE791">
        <v>1.4952999999999801</v>
      </c>
      <c r="AF791">
        <v>-0.79585715990623696</v>
      </c>
      <c r="AG791">
        <v>-1.0594929940059901</v>
      </c>
      <c r="AH791">
        <v>81.3662552985611</v>
      </c>
      <c r="AI791">
        <v>90.745986687944793</v>
      </c>
      <c r="AJ791">
        <v>90.5604018778333</v>
      </c>
      <c r="AK791">
        <v>81.377044768988497</v>
      </c>
      <c r="AL791">
        <v>92.802895070734095</v>
      </c>
      <c r="AM791">
        <v>93.301704043199805</v>
      </c>
      <c r="AN791">
        <v>1.0000000424228599</v>
      </c>
    </row>
    <row r="792" spans="1:40" x14ac:dyDescent="0.25">
      <c r="A792" t="str">
        <f>"20190305135209919"</f>
        <v>20190305135209919</v>
      </c>
      <c r="B792" t="str">
        <f>"1551765129910194"</f>
        <v>1551765129910194</v>
      </c>
      <c r="C792" t="s">
        <v>40</v>
      </c>
      <c r="D792">
        <v>4.5124420000000001</v>
      </c>
      <c r="E792">
        <v>0.49806889999999998</v>
      </c>
      <c r="F792" t="s">
        <v>52</v>
      </c>
      <c r="G792">
        <v>-202.804</v>
      </c>
      <c r="H792" s="1">
        <v>-3.100821E-6</v>
      </c>
      <c r="I792">
        <v>373.97430000000003</v>
      </c>
      <c r="J792">
        <v>-291.80959999999999</v>
      </c>
      <c r="K792">
        <v>1.059466</v>
      </c>
      <c r="L792">
        <v>368.22149999999999</v>
      </c>
      <c r="M792">
        <v>0.9998631</v>
      </c>
      <c r="N792">
        <v>-1.407483E-2</v>
      </c>
      <c r="O792">
        <v>8.7008899999999993E-3</v>
      </c>
      <c r="P792">
        <v>0.99571540000000003</v>
      </c>
      <c r="Q792">
        <v>-6.1981979999999999E-2</v>
      </c>
      <c r="R792">
        <v>6.8621619999999994E-2</v>
      </c>
      <c r="S792">
        <v>2.9974669999999999</v>
      </c>
      <c r="T792">
        <v>-3.5572890000000003E-2</v>
      </c>
      <c r="U792">
        <v>0.1932373</v>
      </c>
      <c r="V792">
        <v>-5.994563E-2</v>
      </c>
      <c r="W792">
        <v>-4.7964619999999999E-2</v>
      </c>
      <c r="X792">
        <v>0.99704859999999995</v>
      </c>
      <c r="Y792">
        <v>-5.5638630000000001E-2</v>
      </c>
      <c r="Z792">
        <v>7.4101649999999903E-4</v>
      </c>
      <c r="AA792">
        <v>0.99845070000000002</v>
      </c>
      <c r="AB792">
        <v>28</v>
      </c>
      <c r="AC792">
        <v>89.005599999999902</v>
      </c>
      <c r="AD792">
        <v>-1.059469100821</v>
      </c>
      <c r="AE792">
        <v>5.7528000000000299</v>
      </c>
      <c r="AF792">
        <v>-4.9773752346350104</v>
      </c>
      <c r="AG792">
        <v>-1.059469100821</v>
      </c>
      <c r="AH792">
        <v>89.039725968139905</v>
      </c>
      <c r="AI792">
        <v>90.680658356929897</v>
      </c>
      <c r="AJ792">
        <v>93.199539227706595</v>
      </c>
      <c r="AK792">
        <v>89.185029794710502</v>
      </c>
      <c r="AL792">
        <v>92.749225134766704</v>
      </c>
      <c r="AM792">
        <v>93.440656822262298</v>
      </c>
      <c r="AN792">
        <v>0.99999999704489995</v>
      </c>
    </row>
    <row r="793" spans="1:40" x14ac:dyDescent="0.25">
      <c r="A793" t="str">
        <f>"20190305135209941"</f>
        <v>20190305135209941</v>
      </c>
      <c r="B793" t="str">
        <f>"1551765129930691"</f>
        <v>1551765129930691</v>
      </c>
      <c r="C793" t="s">
        <v>40</v>
      </c>
      <c r="D793">
        <v>4.5270599999999996</v>
      </c>
      <c r="E793">
        <v>0.49720959999999997</v>
      </c>
      <c r="F793" t="s">
        <v>42</v>
      </c>
      <c r="G793">
        <v>-212.69560000000001</v>
      </c>
      <c r="H793" s="1">
        <v>-4.157109E-6</v>
      </c>
      <c r="I793">
        <v>374.11750000000001</v>
      </c>
      <c r="J793">
        <v>-291.53719999999998</v>
      </c>
      <c r="K793">
        <v>1.0594460000000001</v>
      </c>
      <c r="L793">
        <v>368.22399999999999</v>
      </c>
      <c r="M793">
        <v>0.99986249999999999</v>
      </c>
      <c r="N793">
        <v>-1.407184E-2</v>
      </c>
      <c r="O793">
        <v>8.7739399999999992E-3</v>
      </c>
      <c r="P793">
        <v>0.99557079999999998</v>
      </c>
      <c r="Q793">
        <v>-6.165288E-2</v>
      </c>
      <c r="R793">
        <v>7.0979790000000001E-2</v>
      </c>
      <c r="S793">
        <v>2.9950260000000002</v>
      </c>
      <c r="T793">
        <v>-4.0108440000000002E-2</v>
      </c>
      <c r="U793">
        <v>0.2232056</v>
      </c>
      <c r="V793">
        <v>-6.2235650000000003E-2</v>
      </c>
      <c r="W793">
        <v>-4.7636520000000002E-2</v>
      </c>
      <c r="X793">
        <v>0.99692400000000003</v>
      </c>
      <c r="Y793">
        <v>-6.5553899999999998E-2</v>
      </c>
      <c r="Z793">
        <v>9.0624010000000003E-4</v>
      </c>
      <c r="AA793">
        <v>0.99784859999999997</v>
      </c>
      <c r="AB793">
        <v>28</v>
      </c>
      <c r="AC793">
        <v>78.8415999999999</v>
      </c>
      <c r="AD793">
        <v>-1.05945015710899</v>
      </c>
      <c r="AE793">
        <v>5.8935000000000102</v>
      </c>
      <c r="AF793">
        <v>-5.2005192931636701</v>
      </c>
      <c r="AG793">
        <v>-1.05945015710899</v>
      </c>
      <c r="AH793">
        <v>78.876115314699007</v>
      </c>
      <c r="AI793">
        <v>90.767873580354802</v>
      </c>
      <c r="AJ793">
        <v>93.772208611418407</v>
      </c>
      <c r="AK793">
        <v>79.054471111327203</v>
      </c>
      <c r="AL793">
        <v>92.730404900709402</v>
      </c>
      <c r="AM793">
        <v>93.572206708100197</v>
      </c>
      <c r="AN793">
        <v>0.99999998797231604</v>
      </c>
    </row>
    <row r="794" spans="1:40" x14ac:dyDescent="0.25">
      <c r="A794" t="str">
        <f>"20190305135209963"</f>
        <v>20190305135209963</v>
      </c>
      <c r="B794" t="str">
        <f>"1551765129950211"</f>
        <v>1551765129950211</v>
      </c>
      <c r="C794" t="s">
        <v>40</v>
      </c>
      <c r="D794">
        <v>4.5098390000000004</v>
      </c>
      <c r="E794">
        <v>0.49727090000000002</v>
      </c>
      <c r="F794" t="s">
        <v>42</v>
      </c>
      <c r="G794">
        <v>-215.6942</v>
      </c>
      <c r="H794" s="1">
        <v>-3.056874E-6</v>
      </c>
      <c r="I794">
        <v>374.22930000000002</v>
      </c>
      <c r="J794">
        <v>-291.26389999999998</v>
      </c>
      <c r="K794">
        <v>1.0594239999999999</v>
      </c>
      <c r="L794">
        <v>368.22649999999999</v>
      </c>
      <c r="M794">
        <v>0.99986220000000003</v>
      </c>
      <c r="N794">
        <v>-1.4068860000000001E-2</v>
      </c>
      <c r="O794">
        <v>8.8158190000000008E-3</v>
      </c>
      <c r="P794">
        <v>0.99547370000000002</v>
      </c>
      <c r="Q794">
        <v>-6.1445960000000001E-2</v>
      </c>
      <c r="R794">
        <v>7.2501869999999996E-2</v>
      </c>
      <c r="S794">
        <v>2.9938959999999999</v>
      </c>
      <c r="T794">
        <v>-4.18216E-2</v>
      </c>
      <c r="U794">
        <v>0.23706050000000001</v>
      </c>
      <c r="V794">
        <v>-6.371984E-2</v>
      </c>
      <c r="W794">
        <v>-4.742975E-2</v>
      </c>
      <c r="X794">
        <v>0.99684010000000001</v>
      </c>
      <c r="Y794">
        <v>-7.0128280000000001E-2</v>
      </c>
      <c r="Z794">
        <v>9.8409179999999993E-4</v>
      </c>
      <c r="AA794">
        <v>0.99753749999999997</v>
      </c>
      <c r="AB794">
        <v>28</v>
      </c>
      <c r="AC794">
        <v>75.569699999999898</v>
      </c>
      <c r="AD794">
        <v>-1.0594270568740001</v>
      </c>
      <c r="AE794">
        <v>6.0028000000000299</v>
      </c>
      <c r="AF794">
        <v>-5.3352499637912096</v>
      </c>
      <c r="AG794">
        <v>-1.0594270568740001</v>
      </c>
      <c r="AH794">
        <v>75.604921531803299</v>
      </c>
      <c r="AI794">
        <v>90.800823268714595</v>
      </c>
      <c r="AJ794">
        <v>94.036528211061295</v>
      </c>
      <c r="AK794">
        <v>75.800339298021001</v>
      </c>
      <c r="AL794">
        <v>92.718544434710097</v>
      </c>
      <c r="AM794">
        <v>93.657474817429303</v>
      </c>
      <c r="AN794">
        <v>0.99999999208134904</v>
      </c>
    </row>
    <row r="795" spans="1:40" x14ac:dyDescent="0.25">
      <c r="A795" t="str">
        <f>"20190305135209988"</f>
        <v>20190305135209988</v>
      </c>
      <c r="B795" t="str">
        <f>"1551765129980467"</f>
        <v>1551765129980467</v>
      </c>
      <c r="C795" t="s">
        <v>40</v>
      </c>
      <c r="D795">
        <v>4.5254399999999997</v>
      </c>
      <c r="E795">
        <v>0.49744290000000002</v>
      </c>
      <c r="F795" t="s">
        <v>42</v>
      </c>
      <c r="G795">
        <v>-221.0558</v>
      </c>
      <c r="H795" s="1">
        <v>-4.6743810000000002E-6</v>
      </c>
      <c r="I795">
        <v>373.8877</v>
      </c>
      <c r="J795">
        <v>-290.97269999999997</v>
      </c>
      <c r="K795">
        <v>1.0594030000000001</v>
      </c>
      <c r="L795">
        <v>368.22910000000002</v>
      </c>
      <c r="M795">
        <v>0.99986240000000004</v>
      </c>
      <c r="N795">
        <v>-1.406574E-2</v>
      </c>
      <c r="O795">
        <v>8.8187159999999903E-3</v>
      </c>
      <c r="P795">
        <v>0.99538850000000001</v>
      </c>
      <c r="Q795">
        <v>-6.1154189999999997E-2</v>
      </c>
      <c r="R795">
        <v>7.3904910000000004E-2</v>
      </c>
      <c r="S795">
        <v>2.9932859999999999</v>
      </c>
      <c r="T795">
        <v>-4.5168159999999999E-2</v>
      </c>
      <c r="U795">
        <v>0.24136350000000001</v>
      </c>
      <c r="V795">
        <v>-6.5123379999999995E-2</v>
      </c>
      <c r="W795">
        <v>-4.713792E-2</v>
      </c>
      <c r="X795">
        <v>0.99676319999999996</v>
      </c>
      <c r="Y795">
        <v>-7.1564230000000006E-2</v>
      </c>
      <c r="Z795">
        <v>1.03426E-3</v>
      </c>
      <c r="AA795">
        <v>0.99743550000000003</v>
      </c>
      <c r="AB795">
        <v>28</v>
      </c>
      <c r="AC795">
        <v>69.916899999999899</v>
      </c>
      <c r="AD795">
        <v>-1.0594076743809999</v>
      </c>
      <c r="AE795">
        <v>5.6585999999999697</v>
      </c>
      <c r="AF795">
        <v>-5.0405920027712297</v>
      </c>
      <c r="AG795">
        <v>-1.0594076743809999</v>
      </c>
      <c r="AH795">
        <v>69.948132000643994</v>
      </c>
      <c r="AI795">
        <v>90.865469733918701</v>
      </c>
      <c r="AJ795">
        <v>94.121715324789193</v>
      </c>
      <c r="AK795">
        <v>70.137515515866795</v>
      </c>
      <c r="AL795">
        <v>92.701805177620301</v>
      </c>
      <c r="AM795">
        <v>93.738098666896605</v>
      </c>
      <c r="AN795">
        <v>0.99999995749939397</v>
      </c>
    </row>
    <row r="796" spans="1:40" x14ac:dyDescent="0.25">
      <c r="A796" t="str">
        <f>"20190305135210009"</f>
        <v>20190305135210009</v>
      </c>
      <c r="B796" t="str">
        <f>"1551765129999987"</f>
        <v>1551765129999987</v>
      </c>
      <c r="C796" t="s">
        <v>40</v>
      </c>
      <c r="D796">
        <v>4.5132560000000002</v>
      </c>
      <c r="E796">
        <v>0.4974655</v>
      </c>
      <c r="F796" t="s">
        <v>42</v>
      </c>
      <c r="G796">
        <v>-221.06549999999999</v>
      </c>
      <c r="H796" s="1">
        <v>-4.6797509999999998E-6</v>
      </c>
      <c r="I796">
        <v>373.93639999999999</v>
      </c>
      <c r="J796">
        <v>-290.69990000000001</v>
      </c>
      <c r="K796">
        <v>1.0593779999999999</v>
      </c>
      <c r="L796">
        <v>368.23149999999998</v>
      </c>
      <c r="M796">
        <v>0.99986269999999999</v>
      </c>
      <c r="N796">
        <v>-1.406282E-2</v>
      </c>
      <c r="O796">
        <v>8.77584E-3</v>
      </c>
      <c r="P796">
        <v>0.99534820000000002</v>
      </c>
      <c r="Q796">
        <v>-6.0597430000000001E-2</v>
      </c>
      <c r="R796">
        <v>7.4902010000000005E-2</v>
      </c>
      <c r="S796">
        <v>2.9930110000000001</v>
      </c>
      <c r="T796">
        <v>-4.5357469999999997E-2</v>
      </c>
      <c r="U796">
        <v>0.24435419999999999</v>
      </c>
      <c r="V796">
        <v>-6.6166909999999995E-2</v>
      </c>
      <c r="W796">
        <v>-4.658027E-2</v>
      </c>
      <c r="X796">
        <v>0.99672070000000001</v>
      </c>
      <c r="Y796">
        <v>-7.2604139999999998E-2</v>
      </c>
      <c r="Z796">
        <v>1.0511069999999999E-3</v>
      </c>
      <c r="AA796">
        <v>0.99736029999999998</v>
      </c>
      <c r="AB796">
        <v>28</v>
      </c>
      <c r="AC796">
        <v>69.634399999999999</v>
      </c>
      <c r="AD796">
        <v>-1.059382679751</v>
      </c>
      <c r="AE796">
        <v>5.7049000000000003</v>
      </c>
      <c r="AF796">
        <v>-5.0923487734043302</v>
      </c>
      <c r="AG796">
        <v>-1.059382679751</v>
      </c>
      <c r="AH796">
        <v>69.665771522662098</v>
      </c>
      <c r="AI796">
        <v>90.868891589379402</v>
      </c>
      <c r="AJ796">
        <v>94.180705799306693</v>
      </c>
      <c r="AK796">
        <v>69.859673843641005</v>
      </c>
      <c r="AL796">
        <v>92.6698190207549</v>
      </c>
      <c r="AM796">
        <v>93.797985101047203</v>
      </c>
      <c r="AN796">
        <v>0.99999996767035504</v>
      </c>
    </row>
    <row r="797" spans="1:40" x14ac:dyDescent="0.25">
      <c r="A797" t="str">
        <f>"20190305135210032"</f>
        <v>20190305135210032</v>
      </c>
      <c r="B797" t="str">
        <f>"1551765130020483"</f>
        <v>1551765130020483</v>
      </c>
      <c r="C797" t="s">
        <v>40</v>
      </c>
      <c r="D797">
        <v>4.4825169999999996</v>
      </c>
      <c r="E797">
        <v>0.49775999999999998</v>
      </c>
      <c r="F797" t="s">
        <v>42</v>
      </c>
      <c r="G797">
        <v>-219.196</v>
      </c>
      <c r="H797" s="1">
        <v>-1.5290009999999999E-6</v>
      </c>
      <c r="I797">
        <v>374.13310000000001</v>
      </c>
      <c r="J797">
        <v>-290.428</v>
      </c>
      <c r="K797">
        <v>1.059353</v>
      </c>
      <c r="L797">
        <v>368.23390000000001</v>
      </c>
      <c r="M797">
        <v>0.99986339999999996</v>
      </c>
      <c r="N797">
        <v>-1.405992E-2</v>
      </c>
      <c r="O797">
        <v>8.697504E-3</v>
      </c>
      <c r="P797">
        <v>0.99532509999999996</v>
      </c>
      <c r="Q797">
        <v>-6.0759460000000001E-2</v>
      </c>
      <c r="R797">
        <v>7.5074550000000004E-2</v>
      </c>
      <c r="S797">
        <v>2.9927670000000002</v>
      </c>
      <c r="T797">
        <v>-4.4339900000000002E-2</v>
      </c>
      <c r="U797">
        <v>0.24700929999999999</v>
      </c>
      <c r="V797">
        <v>-6.6420679999999996E-2</v>
      </c>
      <c r="W797">
        <v>-4.6741270000000001E-2</v>
      </c>
      <c r="X797">
        <v>0.99669629999999998</v>
      </c>
      <c r="Y797">
        <v>-7.3568030000000006E-2</v>
      </c>
      <c r="Z797">
        <v>1.0556400000000001E-3</v>
      </c>
      <c r="AA797">
        <v>0.99728969999999995</v>
      </c>
      <c r="AB797">
        <v>27</v>
      </c>
      <c r="AC797">
        <v>71.231999999999999</v>
      </c>
      <c r="AD797">
        <v>-1.059354529001</v>
      </c>
      <c r="AE797">
        <v>5.8992000000000004</v>
      </c>
      <c r="AF797">
        <v>-5.2782155728515097</v>
      </c>
      <c r="AG797">
        <v>-1.059354529001</v>
      </c>
      <c r="AH797">
        <v>71.264964044782701</v>
      </c>
      <c r="AI797">
        <v>90.849313752935899</v>
      </c>
      <c r="AJ797">
        <v>94.2358585480942</v>
      </c>
      <c r="AK797">
        <v>71.4680130684754</v>
      </c>
      <c r="AL797">
        <v>92.679053656950302</v>
      </c>
      <c r="AM797">
        <v>93.812601697240794</v>
      </c>
      <c r="AN797">
        <v>0.99999998374328203</v>
      </c>
    </row>
    <row r="798" spans="1:40" x14ac:dyDescent="0.25">
      <c r="A798" t="str">
        <f>"20190305135210054"</f>
        <v>20190305135210054</v>
      </c>
      <c r="B798" t="str">
        <f>"1551765130040003"</f>
        <v>1551765130040003</v>
      </c>
      <c r="C798" t="s">
        <v>40</v>
      </c>
      <c r="D798">
        <v>4.5290290000000004</v>
      </c>
      <c r="E798">
        <v>0.49820429999999999</v>
      </c>
      <c r="F798" t="s">
        <v>42</v>
      </c>
      <c r="G798">
        <v>-223.37479999999999</v>
      </c>
      <c r="H798" s="1">
        <v>-3.858353E-6</v>
      </c>
      <c r="I798">
        <v>373.73610000000002</v>
      </c>
      <c r="J798">
        <v>-290.15350000000001</v>
      </c>
      <c r="K798">
        <v>1.0593239999999999</v>
      </c>
      <c r="L798">
        <v>368.23610000000002</v>
      </c>
      <c r="M798">
        <v>0.99986439999999999</v>
      </c>
      <c r="N798">
        <v>-1.4057E-2</v>
      </c>
      <c r="O798">
        <v>8.5847570000000002E-3</v>
      </c>
      <c r="P798">
        <v>0.99535499999999999</v>
      </c>
      <c r="Q798">
        <v>-6.0141880000000002E-2</v>
      </c>
      <c r="R798">
        <v>7.5177359999999999E-2</v>
      </c>
      <c r="S798">
        <v>2.9926759999999999</v>
      </c>
      <c r="T798">
        <v>-4.7280429999999998E-2</v>
      </c>
      <c r="U798">
        <v>0.24557499999999999</v>
      </c>
      <c r="V798">
        <v>-6.6638379999999997E-2</v>
      </c>
      <c r="W798">
        <v>-4.6121820000000001E-2</v>
      </c>
      <c r="X798">
        <v>0.99671069999999995</v>
      </c>
      <c r="Y798">
        <v>-7.3206729999999998E-2</v>
      </c>
      <c r="Z798">
        <v>1.0778739999999999E-3</v>
      </c>
      <c r="AA798">
        <v>0.99731619999999999</v>
      </c>
      <c r="AB798">
        <v>27</v>
      </c>
      <c r="AC798">
        <v>66.778700000000001</v>
      </c>
      <c r="AD798">
        <v>-1.0593278583529999</v>
      </c>
      <c r="AE798">
        <v>5.5</v>
      </c>
      <c r="AF798">
        <v>-4.9252307102160398</v>
      </c>
      <c r="AG798">
        <v>-1.0593278583529999</v>
      </c>
      <c r="AH798">
        <v>66.806761381560307</v>
      </c>
      <c r="AI798">
        <v>90.905981595335902</v>
      </c>
      <c r="AJ798">
        <v>94.216419560340199</v>
      </c>
      <c r="AK798">
        <v>66.996443482867704</v>
      </c>
      <c r="AL798">
        <v>92.643523269222499</v>
      </c>
      <c r="AM798">
        <v>93.825005721903693</v>
      </c>
      <c r="AN798">
        <v>1.00000005773181</v>
      </c>
    </row>
    <row r="799" spans="1:40" x14ac:dyDescent="0.25">
      <c r="A799" t="str">
        <f>"20190305135210077"</f>
        <v>20190305135210077</v>
      </c>
      <c r="B799" t="str">
        <f>"1551765130070259"</f>
        <v>1551765130070259</v>
      </c>
      <c r="C799" t="s">
        <v>40</v>
      </c>
      <c r="D799">
        <v>4.5262140000000004</v>
      </c>
      <c r="E799">
        <v>0.49851259999999997</v>
      </c>
      <c r="F799" t="s">
        <v>42</v>
      </c>
      <c r="G799">
        <v>-223.88630000000001</v>
      </c>
      <c r="H799" s="1">
        <v>-3.6607360000000001E-6</v>
      </c>
      <c r="I799">
        <v>373.60340000000002</v>
      </c>
      <c r="J799">
        <v>-289.88080000000002</v>
      </c>
      <c r="K799">
        <v>1.0592870000000001</v>
      </c>
      <c r="L799">
        <v>368.23829999999998</v>
      </c>
      <c r="M799">
        <v>0.99986580000000003</v>
      </c>
      <c r="N799">
        <v>-1.405409E-2</v>
      </c>
      <c r="O799">
        <v>8.4398219999999996E-3</v>
      </c>
      <c r="P799">
        <v>0.99532509999999996</v>
      </c>
      <c r="Q799">
        <v>-6.0617230000000001E-2</v>
      </c>
      <c r="R799">
        <v>7.5192599999999998E-2</v>
      </c>
      <c r="S799">
        <v>2.9928279999999998</v>
      </c>
      <c r="T799">
        <v>-4.7842379999999997E-2</v>
      </c>
      <c r="U799">
        <v>0.24240110000000001</v>
      </c>
      <c r="V799">
        <v>-6.6801819999999998E-2</v>
      </c>
      <c r="W799">
        <v>-4.659601E-2</v>
      </c>
      <c r="X799">
        <v>0.99667760000000005</v>
      </c>
      <c r="Y799">
        <v>-7.2296379999999993E-2</v>
      </c>
      <c r="Z799">
        <v>1.0695800000000001E-3</v>
      </c>
      <c r="AA799">
        <v>0.99738260000000001</v>
      </c>
      <c r="AB799">
        <v>27</v>
      </c>
      <c r="AC799">
        <v>65.994500000000002</v>
      </c>
      <c r="AD799">
        <v>-1.059290660736</v>
      </c>
      <c r="AE799">
        <v>5.3651000000000399</v>
      </c>
      <c r="AF799">
        <v>-4.8066418766402199</v>
      </c>
      <c r="AG799">
        <v>-1.059290660736</v>
      </c>
      <c r="AH799">
        <v>66.020536123448494</v>
      </c>
      <c r="AI799">
        <v>90.916798068707294</v>
      </c>
      <c r="AJ799">
        <v>94.164086736773996</v>
      </c>
      <c r="AK799">
        <v>66.203754371347898</v>
      </c>
      <c r="AL799">
        <v>92.670721870984295</v>
      </c>
      <c r="AM799">
        <v>93.834486095950496</v>
      </c>
      <c r="AN799">
        <v>0.99999995482249504</v>
      </c>
    </row>
    <row r="800" spans="1:40" x14ac:dyDescent="0.25">
      <c r="A800" t="str">
        <f>"20190305135210099"</f>
        <v>20190305135210099</v>
      </c>
      <c r="B800" t="str">
        <f>"1551765130090754"</f>
        <v>1551765130090754</v>
      </c>
      <c r="C800" t="s">
        <v>40</v>
      </c>
      <c r="D800">
        <v>4.494281</v>
      </c>
      <c r="E800">
        <v>0.49873030000000002</v>
      </c>
      <c r="F800" t="s">
        <v>42</v>
      </c>
      <c r="G800">
        <v>-228.16499999999999</v>
      </c>
      <c r="H800" s="1">
        <v>-1.7196279999999999E-6</v>
      </c>
      <c r="I800">
        <v>373.18720000000002</v>
      </c>
      <c r="J800">
        <v>-289.59809999999999</v>
      </c>
      <c r="K800">
        <v>1.0592569999999999</v>
      </c>
      <c r="L800">
        <v>368.24059999999997</v>
      </c>
      <c r="M800">
        <v>0.99986710000000001</v>
      </c>
      <c r="N800">
        <v>-1.4051070000000001E-2</v>
      </c>
      <c r="O800">
        <v>8.2593960000000004E-3</v>
      </c>
      <c r="P800">
        <v>0.99530850000000004</v>
      </c>
      <c r="Q800">
        <v>-6.106466E-2</v>
      </c>
      <c r="R800">
        <v>7.5045979999999998E-2</v>
      </c>
      <c r="S800">
        <v>2.9928279999999998</v>
      </c>
      <c r="T800">
        <v>-5.1368829999999997E-2</v>
      </c>
      <c r="U800">
        <v>0.23999019999999999</v>
      </c>
      <c r="V800">
        <v>-6.6837969999999997E-2</v>
      </c>
      <c r="W800">
        <v>-4.7042639999999997E-2</v>
      </c>
      <c r="X800">
        <v>0.99665420000000005</v>
      </c>
      <c r="Y800">
        <v>-7.1676249999999997E-2</v>
      </c>
      <c r="Z800">
        <v>1.0929259999999999E-3</v>
      </c>
      <c r="AA800">
        <v>0.99742730000000002</v>
      </c>
      <c r="AB800">
        <v>27</v>
      </c>
      <c r="AC800">
        <v>61.433100000000003</v>
      </c>
      <c r="AD800">
        <v>-1.0592587196279999</v>
      </c>
      <c r="AE800">
        <v>4.9466000000000401</v>
      </c>
      <c r="AF800">
        <v>-4.43766997745597</v>
      </c>
      <c r="AG800">
        <v>-1.0592587196279999</v>
      </c>
      <c r="AH800">
        <v>61.453711427224803</v>
      </c>
      <c r="AI800">
        <v>90.984927824819394</v>
      </c>
      <c r="AJ800">
        <v>94.1302499933973</v>
      </c>
      <c r="AK800">
        <v>61.622833365924897</v>
      </c>
      <c r="AL800">
        <v>92.696339967775202</v>
      </c>
      <c r="AM800">
        <v>93.836644751676602</v>
      </c>
      <c r="AN800">
        <v>0.99999995929476404</v>
      </c>
    </row>
    <row r="801" spans="1:40" x14ac:dyDescent="0.25">
      <c r="A801" t="str">
        <f>"20190305135210121"</f>
        <v>20190305135210121</v>
      </c>
      <c r="B801" t="str">
        <f>"1551765130110274"</f>
        <v>1551765130110274</v>
      </c>
      <c r="C801" t="s">
        <v>40</v>
      </c>
      <c r="D801">
        <v>4.4899519999999997</v>
      </c>
      <c r="E801">
        <v>0.49886950000000002</v>
      </c>
      <c r="F801" t="s">
        <v>42</v>
      </c>
      <c r="G801">
        <v>-230.61869999999999</v>
      </c>
      <c r="H801" s="1">
        <v>-4.6533029999999999E-6</v>
      </c>
      <c r="I801">
        <v>372.93020000000001</v>
      </c>
      <c r="J801">
        <v>-289.33460000000002</v>
      </c>
      <c r="K801">
        <v>1.0592330000000001</v>
      </c>
      <c r="L801">
        <v>368.24259999999998</v>
      </c>
      <c r="M801">
        <v>0.99986889999999995</v>
      </c>
      <c r="N801">
        <v>-1.404825E-2</v>
      </c>
      <c r="O801">
        <v>8.0699250000000004E-3</v>
      </c>
      <c r="P801">
        <v>0.99528839999999996</v>
      </c>
      <c r="Q801">
        <v>-6.1969999999999997E-2</v>
      </c>
      <c r="R801">
        <v>7.4571890000000002E-2</v>
      </c>
      <c r="S801">
        <v>2.9928889999999999</v>
      </c>
      <c r="T801">
        <v>-5.375183E-2</v>
      </c>
      <c r="U801">
        <v>0.2379761</v>
      </c>
      <c r="V801">
        <v>-6.6555169999999997E-2</v>
      </c>
      <c r="W801">
        <v>-4.794839E-2</v>
      </c>
      <c r="X801">
        <v>0.99663000000000002</v>
      </c>
      <c r="Y801">
        <v>-7.1195410000000001E-2</v>
      </c>
      <c r="Z801">
        <v>1.107762E-3</v>
      </c>
      <c r="AA801">
        <v>0.99746179999999995</v>
      </c>
      <c r="AB801">
        <v>27</v>
      </c>
      <c r="AC801">
        <v>58.715899999999998</v>
      </c>
      <c r="AD801">
        <v>-1.0592376533029999</v>
      </c>
      <c r="AE801">
        <v>4.68760000000003</v>
      </c>
      <c r="AF801">
        <v>-4.21220557546512</v>
      </c>
      <c r="AG801">
        <v>-1.0592376533029999</v>
      </c>
      <c r="AH801">
        <v>58.732826851496597</v>
      </c>
      <c r="AI801">
        <v>91.030562344848803</v>
      </c>
      <c r="AJ801">
        <v>94.102119858825901</v>
      </c>
      <c r="AK801">
        <v>58.893205127451097</v>
      </c>
      <c r="AL801">
        <v>92.748294150942499</v>
      </c>
      <c r="AM801">
        <v>93.820552086328902</v>
      </c>
      <c r="AN801">
        <v>0.99999999782866</v>
      </c>
    </row>
    <row r="802" spans="1:40" x14ac:dyDescent="0.25">
      <c r="A802" t="str">
        <f>"20190305135210143"</f>
        <v>20190305135210143</v>
      </c>
      <c r="B802" t="str">
        <f>"1551765130130771"</f>
        <v>1551765130130771</v>
      </c>
      <c r="C802" t="s">
        <v>40</v>
      </c>
      <c r="D802">
        <v>4.5072159999999997</v>
      </c>
      <c r="E802">
        <v>0.50406799999999996</v>
      </c>
      <c r="F802" t="s">
        <v>42</v>
      </c>
      <c r="G802">
        <v>-233.76519999999999</v>
      </c>
      <c r="H802" s="1">
        <v>-3.454726E-6</v>
      </c>
      <c r="I802">
        <v>372.61439999999999</v>
      </c>
      <c r="J802">
        <v>-289.06639999999999</v>
      </c>
      <c r="K802">
        <v>1.059221</v>
      </c>
      <c r="L802">
        <v>368.24450000000002</v>
      </c>
      <c r="M802">
        <v>0.9998705</v>
      </c>
      <c r="N802">
        <v>-1.404539E-2</v>
      </c>
      <c r="O802">
        <v>7.8640559999999995E-3</v>
      </c>
      <c r="P802">
        <v>0.99526550000000003</v>
      </c>
      <c r="Q802">
        <v>-6.2833490000000006E-2</v>
      </c>
      <c r="R802">
        <v>7.4154139999999993E-2</v>
      </c>
      <c r="S802">
        <v>2.993042</v>
      </c>
      <c r="T802">
        <v>-5.7051780000000003E-2</v>
      </c>
      <c r="U802">
        <v>0.23547360000000001</v>
      </c>
      <c r="V802">
        <v>-6.6344239999999999E-2</v>
      </c>
      <c r="W802">
        <v>-4.8813410000000002E-2</v>
      </c>
      <c r="X802">
        <v>0.99660210000000005</v>
      </c>
      <c r="Y802">
        <v>-7.0566210000000004E-2</v>
      </c>
      <c r="Z802">
        <v>1.128534E-3</v>
      </c>
      <c r="AA802">
        <v>0.99750640000000002</v>
      </c>
      <c r="AB802">
        <v>27</v>
      </c>
      <c r="AC802">
        <v>55.301200000000001</v>
      </c>
      <c r="AD802">
        <v>-1.0592244547259999</v>
      </c>
      <c r="AE802">
        <v>4.3698999999999701</v>
      </c>
      <c r="AF802">
        <v>-3.9333961665051298</v>
      </c>
      <c r="AG802">
        <v>-1.0592244547259999</v>
      </c>
      <c r="AH802">
        <v>55.313691394797303</v>
      </c>
      <c r="AI802">
        <v>91.094283599587996</v>
      </c>
      <c r="AJ802">
        <v>94.067497008082995</v>
      </c>
      <c r="AK802">
        <v>55.463483640743597</v>
      </c>
      <c r="AL802">
        <v>92.797914174855407</v>
      </c>
      <c r="AM802">
        <v>93.808585795587305</v>
      </c>
      <c r="AN802">
        <v>1.0000000264507001</v>
      </c>
    </row>
    <row r="803" spans="1:40" x14ac:dyDescent="0.25">
      <c r="A803" t="str">
        <f>"20190305135210166"</f>
        <v>20190305135210166</v>
      </c>
      <c r="B803" t="str">
        <f>"1551765130160052"</f>
        <v>1551765130160052</v>
      </c>
      <c r="C803" t="s">
        <v>40</v>
      </c>
      <c r="D803">
        <v>4.5041949999999904</v>
      </c>
      <c r="E803">
        <v>0.50186699999999995</v>
      </c>
      <c r="F803" t="s">
        <v>42</v>
      </c>
      <c r="G803">
        <v>-232.61490000000001</v>
      </c>
      <c r="H803" s="1">
        <v>-3.7521879999999999E-6</v>
      </c>
      <c r="I803">
        <v>371.8777</v>
      </c>
      <c r="J803">
        <v>-288.78989999999999</v>
      </c>
      <c r="K803">
        <v>1.0592060000000001</v>
      </c>
      <c r="L803">
        <v>368.24650000000003</v>
      </c>
      <c r="M803">
        <v>0.99987230000000005</v>
      </c>
      <c r="N803">
        <v>-1.404243E-2</v>
      </c>
      <c r="O803">
        <v>7.6431519999999899E-3</v>
      </c>
      <c r="P803">
        <v>0.99519939999999996</v>
      </c>
      <c r="Q803">
        <v>-6.4381079999999993E-2</v>
      </c>
      <c r="R803">
        <v>7.3712299999999994E-2</v>
      </c>
      <c r="S803">
        <v>2.9963380000000002</v>
      </c>
      <c r="T803">
        <v>-5.6221489999999999E-2</v>
      </c>
      <c r="U803">
        <v>0.1928406</v>
      </c>
      <c r="V803">
        <v>-6.6124329999999995E-2</v>
      </c>
      <c r="W803">
        <v>-5.0364140000000002E-2</v>
      </c>
      <c r="X803">
        <v>0.99653950000000002</v>
      </c>
      <c r="Y803">
        <v>-5.6578599999999903E-2</v>
      </c>
      <c r="Z803">
        <v>8.9193689999999995E-4</v>
      </c>
      <c r="AA803">
        <v>0.9983978</v>
      </c>
      <c r="AB803">
        <v>27</v>
      </c>
      <c r="AC803">
        <v>56.174999999999898</v>
      </c>
      <c r="AD803">
        <v>-1.059209752188</v>
      </c>
      <c r="AE803">
        <v>3.63119999999997</v>
      </c>
      <c r="AF803">
        <v>-3.20056439454806</v>
      </c>
      <c r="AG803">
        <v>-1.059209752188</v>
      </c>
      <c r="AH803">
        <v>56.181224323567598</v>
      </c>
      <c r="AI803">
        <v>91.078346985243797</v>
      </c>
      <c r="AJ803">
        <v>93.260534798056298</v>
      </c>
      <c r="AK803">
        <v>56.282284106437999</v>
      </c>
      <c r="AL803">
        <v>92.886874061617405</v>
      </c>
      <c r="AM803">
        <v>93.796236276308804</v>
      </c>
      <c r="AN803">
        <v>0.99999997433806898</v>
      </c>
    </row>
    <row r="804" spans="1:40" x14ac:dyDescent="0.25">
      <c r="A804" t="str">
        <f>"20190305135210188"</f>
        <v>20190305135210188</v>
      </c>
      <c r="B804" t="str">
        <f>"1551765130180547"</f>
        <v>1551765130180547</v>
      </c>
      <c r="C804" t="s">
        <v>40</v>
      </c>
      <c r="D804">
        <v>4.4807839999999999</v>
      </c>
      <c r="E804">
        <v>0.50139609999999901</v>
      </c>
      <c r="F804" t="s">
        <v>42</v>
      </c>
      <c r="G804">
        <v>-242.71889999999999</v>
      </c>
      <c r="H804" s="1">
        <v>-3.9150720000000001E-6</v>
      </c>
      <c r="I804">
        <v>371.4683</v>
      </c>
      <c r="J804">
        <v>-288.52199999999999</v>
      </c>
      <c r="K804">
        <v>1.0591999999999999</v>
      </c>
      <c r="L804">
        <v>368.24829999999997</v>
      </c>
      <c r="M804">
        <v>0.99987389999999998</v>
      </c>
      <c r="N804">
        <v>-1.403956E-2</v>
      </c>
      <c r="O804">
        <v>7.4273319999999896E-3</v>
      </c>
      <c r="P804">
        <v>0.99508419999999997</v>
      </c>
      <c r="Q804">
        <v>-6.5876539999999997E-2</v>
      </c>
      <c r="R804">
        <v>7.3945899999999995E-2</v>
      </c>
      <c r="S804">
        <v>2.9945369999999998</v>
      </c>
      <c r="T804">
        <v>-6.8846939999999995E-2</v>
      </c>
      <c r="U804">
        <v>0.2094116</v>
      </c>
      <c r="V804">
        <v>-6.6574449999999993E-2</v>
      </c>
      <c r="W804">
        <v>-5.186371E-2</v>
      </c>
      <c r="X804">
        <v>0.99643269999999995</v>
      </c>
      <c r="Y804">
        <v>-6.2322809999999999E-2</v>
      </c>
      <c r="Z804">
        <v>1.087239E-3</v>
      </c>
      <c r="AA804">
        <v>0.99805549999999998</v>
      </c>
      <c r="AB804">
        <v>27</v>
      </c>
      <c r="AC804">
        <v>45.803100000000001</v>
      </c>
      <c r="AD804">
        <v>-1.0592039150719901</v>
      </c>
      <c r="AE804">
        <v>3.2200000000000202</v>
      </c>
      <c r="AF804">
        <v>-2.87815122962287</v>
      </c>
      <c r="AG804">
        <v>-1.0592039150719901</v>
      </c>
      <c r="AH804">
        <v>45.801381846252802</v>
      </c>
      <c r="AI804">
        <v>91.322180466614697</v>
      </c>
      <c r="AJ804">
        <v>93.595729251801004</v>
      </c>
      <c r="AK804">
        <v>45.903945870268501</v>
      </c>
      <c r="AL804">
        <v>92.972905295972296</v>
      </c>
      <c r="AM804">
        <v>93.822410030786102</v>
      </c>
      <c r="AN804">
        <v>1.00000006371852</v>
      </c>
    </row>
    <row r="805" spans="1:40" x14ac:dyDescent="0.25">
      <c r="A805" t="str">
        <f>"20190305135210210"</f>
        <v>20190305135210210</v>
      </c>
      <c r="B805" t="str">
        <f>"1551765130200067"</f>
        <v>1551765130200067</v>
      </c>
      <c r="C805" t="s">
        <v>40</v>
      </c>
      <c r="D805">
        <v>4.4801799999999998</v>
      </c>
      <c r="E805">
        <v>0.50136069999999999</v>
      </c>
      <c r="F805" t="s">
        <v>42</v>
      </c>
      <c r="G805">
        <v>-246.4041</v>
      </c>
      <c r="H805" s="1">
        <v>-2.1159949999999998E-6</v>
      </c>
      <c r="I805">
        <v>371.25389999999999</v>
      </c>
      <c r="J805">
        <v>-288.24810000000002</v>
      </c>
      <c r="K805">
        <v>1.0591839999999999</v>
      </c>
      <c r="L805">
        <v>368.25009999999997</v>
      </c>
      <c r="M805">
        <v>0.99987550000000003</v>
      </c>
      <c r="N805">
        <v>-1.403662E-2</v>
      </c>
      <c r="O805">
        <v>7.2090440000000004E-3</v>
      </c>
      <c r="P805">
        <v>0.9948766</v>
      </c>
      <c r="Q805">
        <v>-6.892392E-2</v>
      </c>
      <c r="R805">
        <v>7.3960429999999994E-2</v>
      </c>
      <c r="S805">
        <v>2.9939580000000001</v>
      </c>
      <c r="T805">
        <v>-7.5293540000000006E-2</v>
      </c>
      <c r="U805">
        <v>0.2136536</v>
      </c>
      <c r="V805">
        <v>-6.6809640000000003E-2</v>
      </c>
      <c r="W805">
        <v>-5.4916850000000003E-2</v>
      </c>
      <c r="X805">
        <v>0.99625330000000001</v>
      </c>
      <c r="Y805">
        <v>-6.3956289999999999E-2</v>
      </c>
      <c r="Z805">
        <v>1.1726639999999999E-3</v>
      </c>
      <c r="AA805">
        <v>0.99795199999999995</v>
      </c>
      <c r="AB805">
        <v>27</v>
      </c>
      <c r="AC805">
        <v>41.844000000000001</v>
      </c>
      <c r="AD805">
        <v>-1.059186115995</v>
      </c>
      <c r="AE805">
        <v>3.0038000000000098</v>
      </c>
      <c r="AF805">
        <v>-2.7003156572821898</v>
      </c>
      <c r="AG805">
        <v>-1.059186115995</v>
      </c>
      <c r="AH805">
        <v>41.837899552074397</v>
      </c>
      <c r="AI805">
        <v>91.447204726495301</v>
      </c>
      <c r="AJ805">
        <v>93.692881154240794</v>
      </c>
      <c r="AK805">
        <v>41.938328755527998</v>
      </c>
      <c r="AL805">
        <v>93.148087407523505</v>
      </c>
      <c r="AM805">
        <v>93.836562036865899</v>
      </c>
      <c r="AN805">
        <v>1.0000000130858699</v>
      </c>
    </row>
    <row r="806" spans="1:40" x14ac:dyDescent="0.25">
      <c r="A806" t="str">
        <f>"20190305135210233"</f>
        <v>20190305135210233</v>
      </c>
      <c r="B806" t="str">
        <f>"1551765130220563"</f>
        <v>1551765130220563</v>
      </c>
      <c r="C806" t="s">
        <v>40</v>
      </c>
      <c r="D806">
        <v>4.4574569999999998</v>
      </c>
      <c r="E806">
        <v>0.50127790000000005</v>
      </c>
      <c r="F806" t="s">
        <v>42</v>
      </c>
      <c r="G806">
        <v>-250.45</v>
      </c>
      <c r="H806" s="1">
        <v>-4.3604849999999998E-6</v>
      </c>
      <c r="I806">
        <v>370.95580000000001</v>
      </c>
      <c r="J806">
        <v>-287.97449999999998</v>
      </c>
      <c r="K806">
        <v>1.0591710000000001</v>
      </c>
      <c r="L806">
        <v>368.25189999999998</v>
      </c>
      <c r="M806">
        <v>0.99987720000000002</v>
      </c>
      <c r="N806">
        <v>-1.40337E-2</v>
      </c>
      <c r="O806">
        <v>6.9972760000000002E-3</v>
      </c>
      <c r="P806">
        <v>0.9946547</v>
      </c>
      <c r="Q806">
        <v>-7.1618929999999997E-2</v>
      </c>
      <c r="R806">
        <v>7.4386049999999995E-2</v>
      </c>
      <c r="S806">
        <v>2.9936829999999999</v>
      </c>
      <c r="T806">
        <v>-8.3889599999999995E-2</v>
      </c>
      <c r="U806">
        <v>0.2142944</v>
      </c>
      <c r="V806">
        <v>-6.7448259999999996E-2</v>
      </c>
      <c r="W806">
        <v>-5.761782E-2</v>
      </c>
      <c r="X806">
        <v>0.99605770000000005</v>
      </c>
      <c r="Y806">
        <v>-6.4380549999999995E-2</v>
      </c>
      <c r="Z806">
        <v>1.255492E-3</v>
      </c>
      <c r="AA806">
        <v>0.99792460000000005</v>
      </c>
      <c r="AB806">
        <v>27</v>
      </c>
      <c r="AC806">
        <v>37.524499999999897</v>
      </c>
      <c r="AD806">
        <v>-1.0591753604849901</v>
      </c>
      <c r="AE806">
        <v>2.7039000000000302</v>
      </c>
      <c r="AF806">
        <v>-2.4393052859806899</v>
      </c>
      <c r="AG806">
        <v>-1.0591753604849901</v>
      </c>
      <c r="AH806">
        <v>37.512770159433501</v>
      </c>
      <c r="AI806">
        <v>91.613913433139203</v>
      </c>
      <c r="AJ806">
        <v>93.720477231629502</v>
      </c>
      <c r="AK806">
        <v>37.606914095109701</v>
      </c>
      <c r="AL806">
        <v>93.303087200668699</v>
      </c>
      <c r="AM806">
        <v>93.873882140384396</v>
      </c>
      <c r="AN806">
        <v>1.00000001134393</v>
      </c>
    </row>
    <row r="807" spans="1:40" x14ac:dyDescent="0.25">
      <c r="A807" t="str">
        <f>"20190305135210255"</f>
        <v>20190305135210255</v>
      </c>
      <c r="B807" t="str">
        <f>"1551765130240084"</f>
        <v>1551765130240084</v>
      </c>
      <c r="C807" t="s">
        <v>40</v>
      </c>
      <c r="D807">
        <v>4.4758440000000004</v>
      </c>
      <c r="E807">
        <v>0.50126939999999998</v>
      </c>
      <c r="F807" t="s">
        <v>42</v>
      </c>
      <c r="G807">
        <v>-252.898</v>
      </c>
      <c r="H807" s="1">
        <v>-3.341351E-6</v>
      </c>
      <c r="I807">
        <v>370.7901</v>
      </c>
      <c r="J807">
        <v>-287.70549999999997</v>
      </c>
      <c r="K807">
        <v>1.059169</v>
      </c>
      <c r="L807">
        <v>368.25360000000001</v>
      </c>
      <c r="M807">
        <v>0.9998785</v>
      </c>
      <c r="N807">
        <v>-1.4030809999999999E-2</v>
      </c>
      <c r="O807">
        <v>6.7991459999999998E-3</v>
      </c>
      <c r="P807">
        <v>0.99453309999999995</v>
      </c>
      <c r="Q807">
        <v>-7.3330820000000005E-2</v>
      </c>
      <c r="R807">
        <v>7.4342759999999994E-2</v>
      </c>
      <c r="S807">
        <v>2.993439</v>
      </c>
      <c r="T807">
        <v>-9.038997E-2</v>
      </c>
      <c r="U807">
        <v>0.2166138</v>
      </c>
      <c r="V807">
        <v>-6.7602469999999998E-2</v>
      </c>
      <c r="W807">
        <v>-5.9335039999999999E-2</v>
      </c>
      <c r="X807">
        <v>0.99594640000000001</v>
      </c>
      <c r="Y807">
        <v>-6.5347810000000006E-2</v>
      </c>
      <c r="Z807">
        <v>1.334619E-3</v>
      </c>
      <c r="AA807">
        <v>0.99786169999999996</v>
      </c>
      <c r="AB807">
        <v>27</v>
      </c>
      <c r="AC807">
        <v>34.807499999999898</v>
      </c>
      <c r="AD807">
        <v>-1.0591723413509999</v>
      </c>
      <c r="AE807">
        <v>2.5364999999999802</v>
      </c>
      <c r="AF807">
        <v>-2.29764053599364</v>
      </c>
      <c r="AG807">
        <v>-1.0591723413509999</v>
      </c>
      <c r="AH807">
        <v>34.791897626123003</v>
      </c>
      <c r="AI807">
        <v>91.739933500343696</v>
      </c>
      <c r="AJ807">
        <v>93.778300007174593</v>
      </c>
      <c r="AK807">
        <v>34.883766117034199</v>
      </c>
      <c r="AL807">
        <v>93.401645409299903</v>
      </c>
      <c r="AM807">
        <v>93.883144689104697</v>
      </c>
      <c r="AN807">
        <v>0.99999998629743103</v>
      </c>
    </row>
    <row r="808" spans="1:40" x14ac:dyDescent="0.25">
      <c r="A808" t="str">
        <f>"20190305135210278"</f>
        <v>20190305135210278</v>
      </c>
      <c r="B808" t="str">
        <f>"1551765130270340"</f>
        <v>1551765130270340</v>
      </c>
      <c r="C808" t="s">
        <v>40</v>
      </c>
      <c r="D808">
        <v>4.4396969999999998</v>
      </c>
      <c r="E808">
        <v>0.50129000000000001</v>
      </c>
      <c r="F808" t="s">
        <v>42</v>
      </c>
      <c r="G808">
        <v>-254.13319999999999</v>
      </c>
      <c r="H808" s="1">
        <v>-2.7835320000000002E-6</v>
      </c>
      <c r="I808">
        <v>370.68509999999998</v>
      </c>
      <c r="J808">
        <v>-287.43990000000002</v>
      </c>
      <c r="K808">
        <v>1.0591759999999999</v>
      </c>
      <c r="L808">
        <v>368.2552</v>
      </c>
      <c r="M808">
        <v>0.99987979999999999</v>
      </c>
      <c r="N808">
        <v>-1.4027950000000001E-2</v>
      </c>
      <c r="O808">
        <v>6.6177120000000004E-3</v>
      </c>
      <c r="P808">
        <v>0.99460579999999998</v>
      </c>
      <c r="Q808">
        <v>-7.2352420000000001E-2</v>
      </c>
      <c r="R808">
        <v>7.4328420000000006E-2</v>
      </c>
      <c r="S808">
        <v>2.9933169999999998</v>
      </c>
      <c r="T808">
        <v>-9.4435930000000001E-2</v>
      </c>
      <c r="U808">
        <v>0.21679689999999999</v>
      </c>
      <c r="V808">
        <v>-6.7767350000000004E-2</v>
      </c>
      <c r="W808">
        <v>-5.8360099999999998E-2</v>
      </c>
      <c r="X808">
        <v>0.99599280000000001</v>
      </c>
      <c r="Y808">
        <v>-6.5589149999999999E-2</v>
      </c>
      <c r="Z808">
        <v>1.37812E-3</v>
      </c>
      <c r="AA808">
        <v>0.9978458</v>
      </c>
      <c r="AB808">
        <v>27</v>
      </c>
      <c r="AC808">
        <v>33.306699999999999</v>
      </c>
      <c r="AD808">
        <v>-1.0591787835319999</v>
      </c>
      <c r="AE808">
        <v>2.4298999999999702</v>
      </c>
      <c r="AF808">
        <v>-2.2071906735904299</v>
      </c>
      <c r="AG808">
        <v>-1.0591787835319999</v>
      </c>
      <c r="AH808">
        <v>33.288566353303302</v>
      </c>
      <c r="AI808">
        <v>91.818437601718799</v>
      </c>
      <c r="AJ808">
        <v>93.793430829752893</v>
      </c>
      <c r="AK808">
        <v>33.378469111439799</v>
      </c>
      <c r="AL808">
        <v>93.345688484452396</v>
      </c>
      <c r="AM808">
        <v>93.892405674000898</v>
      </c>
      <c r="AN808">
        <v>0.99999998632493603</v>
      </c>
    </row>
    <row r="809" spans="1:40" x14ac:dyDescent="0.25">
      <c r="A809" t="str">
        <f>"20190305135210300"</f>
        <v>20190305135210300</v>
      </c>
      <c r="B809" t="str">
        <f>"1551765130289861"</f>
        <v>1551765130289861</v>
      </c>
      <c r="C809" t="s">
        <v>40</v>
      </c>
      <c r="D809">
        <v>4.4580769999999896</v>
      </c>
      <c r="E809">
        <v>0.50131619999999999</v>
      </c>
      <c r="F809" t="s">
        <v>42</v>
      </c>
      <c r="G809">
        <v>-251.62809999999999</v>
      </c>
      <c r="H809" s="1">
        <v>-3.900832E-6</v>
      </c>
      <c r="I809">
        <v>370.84530000000001</v>
      </c>
      <c r="J809">
        <v>-287.16219999999998</v>
      </c>
      <c r="K809">
        <v>1.05919599999999</v>
      </c>
      <c r="L809">
        <v>368.2568</v>
      </c>
      <c r="M809">
        <v>0.99988089999999996</v>
      </c>
      <c r="N809">
        <v>-1.4024989999999999E-2</v>
      </c>
      <c r="O809">
        <v>6.4479469999999999E-3</v>
      </c>
      <c r="P809">
        <v>0.99470219999999998</v>
      </c>
      <c r="Q809">
        <v>-7.0643639999999994E-2</v>
      </c>
      <c r="R809">
        <v>7.4680460000000004E-2</v>
      </c>
      <c r="S809">
        <v>2.993652</v>
      </c>
      <c r="T809">
        <v>-8.854091E-2</v>
      </c>
      <c r="U809">
        <v>0.2165222</v>
      </c>
      <c r="V809">
        <v>-6.8284120000000004E-2</v>
      </c>
      <c r="W809">
        <v>-5.6655480000000001E-2</v>
      </c>
      <c r="X809">
        <v>0.99605600000000005</v>
      </c>
      <c r="Y809">
        <v>-6.5663990000000005E-2</v>
      </c>
      <c r="Z809">
        <v>1.330719E-3</v>
      </c>
      <c r="AA809">
        <v>0.99784090000000003</v>
      </c>
      <c r="AB809">
        <v>27</v>
      </c>
      <c r="AC809">
        <v>35.534099999999903</v>
      </c>
      <c r="AD809">
        <v>-1.0591999008320001</v>
      </c>
      <c r="AE809">
        <v>2.58850000000001</v>
      </c>
      <c r="AF809">
        <v>-2.3572182877913801</v>
      </c>
      <c r="AG809">
        <v>-1.0591999008320001</v>
      </c>
      <c r="AH809">
        <v>35.518661001605103</v>
      </c>
      <c r="AI809">
        <v>91.704360859286098</v>
      </c>
      <c r="AJ809">
        <v>93.796902638084504</v>
      </c>
      <c r="AK809">
        <v>35.612549218402897</v>
      </c>
      <c r="AL809">
        <v>93.247858798476301</v>
      </c>
      <c r="AM809">
        <v>93.921747432801396</v>
      </c>
      <c r="AN809">
        <v>1.0000000597970999</v>
      </c>
    </row>
    <row r="810" spans="1:40" x14ac:dyDescent="0.25">
      <c r="A810" t="str">
        <f>"20190305135210316"</f>
        <v>20190305135210316</v>
      </c>
      <c r="B810" t="str">
        <f>"1551765130310356"</f>
        <v>1551765130310356</v>
      </c>
      <c r="C810" t="s">
        <v>40</v>
      </c>
      <c r="D810">
        <v>4.4297690000000003</v>
      </c>
      <c r="E810">
        <v>0.50141550000000001</v>
      </c>
      <c r="F810" t="s">
        <v>42</v>
      </c>
      <c r="G810">
        <v>-248.578</v>
      </c>
      <c r="H810" s="1">
        <v>-1.0356300000000001E-6</v>
      </c>
      <c r="I810">
        <v>371.05560000000003</v>
      </c>
      <c r="J810">
        <v>-286.97590000000002</v>
      </c>
      <c r="K810">
        <v>1.0592090000000001</v>
      </c>
      <c r="L810">
        <v>368.25790000000001</v>
      </c>
      <c r="M810">
        <v>0.99988160000000004</v>
      </c>
      <c r="N810">
        <v>-1.4022990000000001E-2</v>
      </c>
      <c r="O810">
        <v>6.3497329999999998E-3</v>
      </c>
      <c r="P810">
        <v>0.99474110000000004</v>
      </c>
      <c r="Q810">
        <v>-7.0202749999999994E-2</v>
      </c>
      <c r="R810">
        <v>7.4578969999999994E-2</v>
      </c>
      <c r="S810">
        <v>2.9938349999999998</v>
      </c>
      <c r="T810">
        <v>-8.2185510000000003E-2</v>
      </c>
      <c r="U810">
        <v>0.2171631</v>
      </c>
      <c r="V810">
        <v>-6.8278710000000006E-2</v>
      </c>
      <c r="W810">
        <v>-5.6218400000000002E-2</v>
      </c>
      <c r="X810">
        <v>0.99608110000000005</v>
      </c>
      <c r="Y810">
        <v>-6.5974649999999996E-2</v>
      </c>
      <c r="Z810">
        <v>1.282428E-3</v>
      </c>
      <c r="AA810">
        <v>0.9978205</v>
      </c>
      <c r="AB810">
        <v>27</v>
      </c>
      <c r="AC810">
        <v>38.3979</v>
      </c>
      <c r="AD810">
        <v>-1.05921003563</v>
      </c>
      <c r="AE810">
        <v>2.7977000000000198</v>
      </c>
      <c r="AF810">
        <v>-2.55187165889651</v>
      </c>
      <c r="AG810">
        <v>-1.05921003563</v>
      </c>
      <c r="AH810">
        <v>38.385837153721198</v>
      </c>
      <c r="AI810">
        <v>91.577126119121402</v>
      </c>
      <c r="AJ810">
        <v>93.803398883634401</v>
      </c>
      <c r="AK810">
        <v>38.485146080729201</v>
      </c>
      <c r="AL810">
        <v>93.222776097273098</v>
      </c>
      <c r="AM810">
        <v>93.921339183809593</v>
      </c>
      <c r="AN810">
        <v>1.00000002425751</v>
      </c>
    </row>
    <row r="811" spans="1:40" x14ac:dyDescent="0.25">
      <c r="A811" t="str">
        <f>"20190305135210333"</f>
        <v>20190305135210333</v>
      </c>
      <c r="B811" t="str">
        <f>"1551765130320115"</f>
        <v>1551765130320115</v>
      </c>
      <c r="C811" t="s">
        <v>40</v>
      </c>
      <c r="D811">
        <v>4.411206</v>
      </c>
      <c r="E811">
        <v>0.50151619999999997</v>
      </c>
      <c r="F811" t="s">
        <v>42</v>
      </c>
      <c r="G811">
        <v>-247.3432</v>
      </c>
      <c r="H811" s="1">
        <v>-1.636579E-6</v>
      </c>
      <c r="I811">
        <v>371.12040000000002</v>
      </c>
      <c r="J811">
        <v>-286.76170000000002</v>
      </c>
      <c r="K811">
        <v>1.059223</v>
      </c>
      <c r="L811">
        <v>368.25909999999999</v>
      </c>
      <c r="M811">
        <v>0.9998823</v>
      </c>
      <c r="N811">
        <v>-1.4020670000000001E-2</v>
      </c>
      <c r="O811">
        <v>6.2529069999999898E-3</v>
      </c>
      <c r="P811">
        <v>0.99468460000000003</v>
      </c>
      <c r="Q811">
        <v>-7.0843929999999999E-2</v>
      </c>
      <c r="R811">
        <v>7.4728169999999997E-2</v>
      </c>
      <c r="S811">
        <v>2.9940190000000002</v>
      </c>
      <c r="T811">
        <v>-8.0017089999999999E-2</v>
      </c>
      <c r="U811">
        <v>0.21624760000000001</v>
      </c>
      <c r="V811">
        <v>-6.852221E-2</v>
      </c>
      <c r="W811">
        <v>-5.6865539999999999E-2</v>
      </c>
      <c r="X811">
        <v>0.99602760000000001</v>
      </c>
      <c r="Y811">
        <v>-6.5765030000000002E-2</v>
      </c>
      <c r="Z811">
        <v>1.2599919999999999E-3</v>
      </c>
      <c r="AA811">
        <v>0.99783429999999995</v>
      </c>
      <c r="AB811">
        <v>27</v>
      </c>
      <c r="AC811">
        <v>39.418500000000002</v>
      </c>
      <c r="AD811">
        <v>-1.0592246365789999</v>
      </c>
      <c r="AE811">
        <v>2.8613000000000199</v>
      </c>
      <c r="AF811">
        <v>-2.6128628763691499</v>
      </c>
      <c r="AG811">
        <v>-1.0592246365789999</v>
      </c>
      <c r="AH811">
        <v>39.407316949919696</v>
      </c>
      <c r="AI811">
        <v>91.536304155904702</v>
      </c>
      <c r="AJ811">
        <v>93.7933872045096</v>
      </c>
      <c r="AK811">
        <v>39.508045236797898</v>
      </c>
      <c r="AL811">
        <v>93.2599140397339</v>
      </c>
      <c r="AM811">
        <v>93.935490571342996</v>
      </c>
      <c r="AN811">
        <v>0.99999998143226698</v>
      </c>
    </row>
    <row r="812" spans="1:40" x14ac:dyDescent="0.25">
      <c r="A812" t="str">
        <f>"20190305135210356"</f>
        <v>20190305135210356</v>
      </c>
      <c r="B812" t="str">
        <f>"1551765130350371"</f>
        <v>1551765130350371</v>
      </c>
      <c r="C812" t="s">
        <v>40</v>
      </c>
      <c r="D812">
        <v>4.396547</v>
      </c>
      <c r="E812">
        <v>0.50156619999999996</v>
      </c>
      <c r="F812" t="s">
        <v>42</v>
      </c>
      <c r="G812">
        <v>-247.3991</v>
      </c>
      <c r="H812" s="1">
        <v>-1.605272E-6</v>
      </c>
      <c r="I812">
        <v>371.10210000000001</v>
      </c>
      <c r="J812">
        <v>-286.49669999999998</v>
      </c>
      <c r="K812">
        <v>1.059242</v>
      </c>
      <c r="L812">
        <v>368.26069999999999</v>
      </c>
      <c r="M812">
        <v>0.99988279999999996</v>
      </c>
      <c r="N812">
        <v>-1.401781E-2</v>
      </c>
      <c r="O812">
        <v>6.160591E-3</v>
      </c>
      <c r="P812">
        <v>0.9945638</v>
      </c>
      <c r="Q812">
        <v>-7.2176519999999994E-2</v>
      </c>
      <c r="R812">
        <v>7.5055319999999995E-2</v>
      </c>
      <c r="S812">
        <v>2.994049</v>
      </c>
      <c r="T812">
        <v>-8.0568189999999998E-2</v>
      </c>
      <c r="U812">
        <v>0.21624760000000001</v>
      </c>
      <c r="V812">
        <v>-6.8939100000000003E-2</v>
      </c>
      <c r="W812">
        <v>-5.8206399999999998E-2</v>
      </c>
      <c r="X812">
        <v>0.99592139999999996</v>
      </c>
      <c r="Y812">
        <v>-6.5855960000000005E-2</v>
      </c>
      <c r="Z812">
        <v>1.267815E-3</v>
      </c>
      <c r="AA812">
        <v>0.9978283</v>
      </c>
      <c r="AB812">
        <v>27</v>
      </c>
      <c r="AC812">
        <v>39.0975999999999</v>
      </c>
      <c r="AD812">
        <v>-1.059243605272</v>
      </c>
      <c r="AE812">
        <v>2.8414000000000201</v>
      </c>
      <c r="AF812">
        <v>-2.59856078334052</v>
      </c>
      <c r="AG812">
        <v>-1.059243605272</v>
      </c>
      <c r="AH812">
        <v>39.085826366927598</v>
      </c>
      <c r="AI812">
        <v>91.548943866447402</v>
      </c>
      <c r="AJ812">
        <v>93.803623907302097</v>
      </c>
      <c r="AK812">
        <v>39.186430533357303</v>
      </c>
      <c r="AL812">
        <v>93.336867049233803</v>
      </c>
      <c r="AM812">
        <v>93.959779085049107</v>
      </c>
      <c r="AN812">
        <v>1.0000000097438599</v>
      </c>
    </row>
    <row r="813" spans="1:40" x14ac:dyDescent="0.25">
      <c r="A813" t="str">
        <f>"20190305135210380"</f>
        <v>20190305135210380</v>
      </c>
      <c r="B813" t="str">
        <f>"1551765130369891"</f>
        <v>1551765130369891</v>
      </c>
      <c r="C813" t="s">
        <v>40</v>
      </c>
      <c r="D813">
        <v>4.3876220000000004</v>
      </c>
      <c r="E813">
        <v>0.50156769999999995</v>
      </c>
      <c r="F813" t="s">
        <v>42</v>
      </c>
      <c r="G813">
        <v>-248.34829999999999</v>
      </c>
      <c r="H813" s="1">
        <v>-1.1349229999999999E-6</v>
      </c>
      <c r="I813">
        <v>371.02069999999998</v>
      </c>
      <c r="J813">
        <v>-286.19450000000001</v>
      </c>
      <c r="K813">
        <v>1.0592629999999901</v>
      </c>
      <c r="L813">
        <v>368.26249999999999</v>
      </c>
      <c r="M813">
        <v>0.99988319999999997</v>
      </c>
      <c r="N813">
        <v>-1.401457E-2</v>
      </c>
      <c r="O813">
        <v>6.0887490000000001E-3</v>
      </c>
      <c r="P813">
        <v>0.9944887</v>
      </c>
      <c r="Q813">
        <v>-7.3169919999999999E-2</v>
      </c>
      <c r="R813">
        <v>7.5090160000000003E-2</v>
      </c>
      <c r="S813">
        <v>2.9940190000000002</v>
      </c>
      <c r="T813">
        <v>-8.3132979999999995E-2</v>
      </c>
      <c r="U813">
        <v>0.2166138</v>
      </c>
      <c r="V813">
        <v>-6.9042820000000005E-2</v>
      </c>
      <c r="W813">
        <v>-5.9208219999999999E-2</v>
      </c>
      <c r="X813">
        <v>0.99585520000000005</v>
      </c>
      <c r="Y813">
        <v>-6.6047819999999993E-2</v>
      </c>
      <c r="Z813">
        <v>1.295579E-3</v>
      </c>
      <c r="AA813">
        <v>0.99781560000000002</v>
      </c>
      <c r="AB813">
        <v>27</v>
      </c>
      <c r="AC813">
        <v>37.846200000000003</v>
      </c>
      <c r="AD813">
        <v>-1.0592641349230001</v>
      </c>
      <c r="AE813">
        <v>2.75819999999998</v>
      </c>
      <c r="AF813">
        <v>-2.5257220965810898</v>
      </c>
      <c r="AG813">
        <v>-1.0592641349230001</v>
      </c>
      <c r="AH813">
        <v>37.8328136516743</v>
      </c>
      <c r="AI813">
        <v>91.600219880462902</v>
      </c>
      <c r="AJ813">
        <v>93.819403957915398</v>
      </c>
      <c r="AK813">
        <v>37.931821751914399</v>
      </c>
      <c r="AL813">
        <v>93.394366138350804</v>
      </c>
      <c r="AM813">
        <v>93.965980424410901</v>
      </c>
      <c r="AN813">
        <v>1.0000000518380701</v>
      </c>
    </row>
    <row r="814" spans="1:40" x14ac:dyDescent="0.25">
      <c r="A814" t="str">
        <f>"20190305135210401"</f>
        <v>20190305135210401</v>
      </c>
      <c r="B814" t="str">
        <f>"1551765130390388"</f>
        <v>1551765130390388</v>
      </c>
      <c r="C814" t="s">
        <v>40</v>
      </c>
      <c r="D814">
        <v>4.3951229999999999</v>
      </c>
      <c r="E814">
        <v>0.50166650000000002</v>
      </c>
      <c r="F814" t="s">
        <v>42</v>
      </c>
      <c r="G814">
        <v>-249.054</v>
      </c>
      <c r="H814" s="1">
        <v>-7.8393919999999897E-7</v>
      </c>
      <c r="I814">
        <v>370.95530000000002</v>
      </c>
      <c r="J814">
        <v>-285.95780000000002</v>
      </c>
      <c r="K814">
        <v>1.059277</v>
      </c>
      <c r="L814">
        <v>368.26389999999998</v>
      </c>
      <c r="M814">
        <v>0.99988370000000004</v>
      </c>
      <c r="N814">
        <v>-1.401202E-2</v>
      </c>
      <c r="O814">
        <v>6.0547750000000001E-3</v>
      </c>
      <c r="P814">
        <v>0.99448829999999999</v>
      </c>
      <c r="Q814">
        <v>-7.3325570000000007E-2</v>
      </c>
      <c r="R814">
        <v>7.4943159999999995E-2</v>
      </c>
      <c r="S814">
        <v>2.9939580000000001</v>
      </c>
      <c r="T814">
        <v>-8.5388779999999997E-2</v>
      </c>
      <c r="U814">
        <v>0.2170715</v>
      </c>
      <c r="V814">
        <v>-6.8926769999999998E-2</v>
      </c>
      <c r="W814">
        <v>-5.9369180000000001E-2</v>
      </c>
      <c r="X814">
        <v>0.99585360000000001</v>
      </c>
      <c r="Y814">
        <v>-6.6233169999999994E-2</v>
      </c>
      <c r="Z814">
        <v>1.3201860000000001E-3</v>
      </c>
      <c r="AA814">
        <v>0.99780329999999995</v>
      </c>
      <c r="AB814">
        <v>27</v>
      </c>
      <c r="AC814">
        <v>36.903799999999997</v>
      </c>
      <c r="AD814">
        <v>-1.05927778393919</v>
      </c>
      <c r="AE814">
        <v>2.6914000000000402</v>
      </c>
      <c r="AF814">
        <v>-2.4658636673572198</v>
      </c>
      <c r="AG814">
        <v>-1.05927778393919</v>
      </c>
      <c r="AH814">
        <v>36.889188411790002</v>
      </c>
      <c r="AI814">
        <v>91.641143245486205</v>
      </c>
      <c r="AJ814">
        <v>93.824256323363997</v>
      </c>
      <c r="AK814">
        <v>36.986683748750401</v>
      </c>
      <c r="AL814">
        <v>93.403604908976405</v>
      </c>
      <c r="AM814">
        <v>93.959341802586906</v>
      </c>
      <c r="AN814">
        <v>0.99999999589473199</v>
      </c>
    </row>
    <row r="815" spans="1:40" x14ac:dyDescent="0.25">
      <c r="A815" t="str">
        <f>"20190305135210415"</f>
        <v>20190305135210415</v>
      </c>
      <c r="B815" t="str">
        <f>"1551765130409908"</f>
        <v>1551765130409908</v>
      </c>
      <c r="C815" t="s">
        <v>40</v>
      </c>
      <c r="D815">
        <v>4.3999220000000001</v>
      </c>
      <c r="E815">
        <v>0.50180000000000002</v>
      </c>
      <c r="F815" t="s">
        <v>42</v>
      </c>
      <c r="G815">
        <v>-248.0967</v>
      </c>
      <c r="H815" s="1">
        <v>-1.248224E-6</v>
      </c>
      <c r="I815">
        <v>370.99950000000001</v>
      </c>
      <c r="J815">
        <v>-285.77429999999998</v>
      </c>
      <c r="K815">
        <v>1.059291</v>
      </c>
      <c r="L815">
        <v>368.26499999999999</v>
      </c>
      <c r="M815">
        <v>0.99988370000000004</v>
      </c>
      <c r="N815">
        <v>-1.401005E-2</v>
      </c>
      <c r="O815">
        <v>6.0396989999999999E-3</v>
      </c>
      <c r="P815">
        <v>0.99449379999999998</v>
      </c>
      <c r="Q815">
        <v>-7.3121740000000005E-2</v>
      </c>
      <c r="R815">
        <v>7.5069670000000005E-2</v>
      </c>
      <c r="S815">
        <v>2.9941409999999999</v>
      </c>
      <c r="T815">
        <v>-8.3770159999999996E-2</v>
      </c>
      <c r="U815">
        <v>0.21633910000000001</v>
      </c>
      <c r="V815">
        <v>-6.9067199999999995E-2</v>
      </c>
      <c r="W815">
        <v>-5.916888E-2</v>
      </c>
      <c r="X815">
        <v>0.99585579999999996</v>
      </c>
      <c r="Y815">
        <v>-6.6002359999999996E-2</v>
      </c>
      <c r="Z815">
        <v>1.3008259999999999E-3</v>
      </c>
      <c r="AA815">
        <v>0.9978186</v>
      </c>
      <c r="AB815">
        <v>27</v>
      </c>
      <c r="AC815">
        <v>37.677599999999899</v>
      </c>
      <c r="AD815">
        <v>-1.0592922482239999</v>
      </c>
      <c r="AE815">
        <v>2.7345000000000201</v>
      </c>
      <c r="AF815">
        <v>-2.5048968565544798</v>
      </c>
      <c r="AG815">
        <v>-1.0592922482239999</v>
      </c>
      <c r="AH815">
        <v>37.6638150979771</v>
      </c>
      <c r="AI815">
        <v>91.607465994656295</v>
      </c>
      <c r="AJ815">
        <v>93.804951096729297</v>
      </c>
      <c r="AK815">
        <v>37.761879932859898</v>
      </c>
      <c r="AL815">
        <v>93.392108324852998</v>
      </c>
      <c r="AM815">
        <v>93.967374014310806</v>
      </c>
      <c r="AN815">
        <v>1.00000000443496</v>
      </c>
    </row>
    <row r="816" spans="1:40" x14ac:dyDescent="0.25">
      <c r="A816" t="str">
        <f>"20190305135210430"</f>
        <v>20190305135210430</v>
      </c>
      <c r="B816" t="str">
        <f>"1551765130420644"</f>
        <v>1551765130420644</v>
      </c>
      <c r="C816" t="s">
        <v>40</v>
      </c>
      <c r="D816">
        <v>4.3924909999999997</v>
      </c>
      <c r="E816">
        <v>0.50183370000000005</v>
      </c>
      <c r="F816" t="s">
        <v>42</v>
      </c>
      <c r="G816">
        <v>-246.6865</v>
      </c>
      <c r="H816" s="1">
        <v>-1.936507E-6</v>
      </c>
      <c r="I816">
        <v>371.08109999999999</v>
      </c>
      <c r="J816">
        <v>-285.6019</v>
      </c>
      <c r="K816">
        <v>1.0592969999999999</v>
      </c>
      <c r="L816">
        <v>368.26600000000002</v>
      </c>
      <c r="M816">
        <v>0.99988370000000004</v>
      </c>
      <c r="N816">
        <v>-1.400821E-2</v>
      </c>
      <c r="O816">
        <v>6.0308979999999998E-3</v>
      </c>
      <c r="P816">
        <v>0.99447759999999996</v>
      </c>
      <c r="Q816">
        <v>-7.3243870000000003E-2</v>
      </c>
      <c r="R816">
        <v>7.5165419999999997E-2</v>
      </c>
      <c r="S816">
        <v>2.994354</v>
      </c>
      <c r="T816">
        <v>-8.1148150000000002E-2</v>
      </c>
      <c r="U816">
        <v>0.2157288</v>
      </c>
      <c r="V816">
        <v>-6.9170690000000007E-2</v>
      </c>
      <c r="W816">
        <v>-5.9294300000000001E-2</v>
      </c>
      <c r="X816">
        <v>0.99584110000000003</v>
      </c>
      <c r="Y816">
        <v>-6.5805719999999998E-2</v>
      </c>
      <c r="Z816">
        <v>1.273206E-3</v>
      </c>
      <c r="AA816">
        <v>0.99783160000000004</v>
      </c>
      <c r="AB816">
        <v>27</v>
      </c>
      <c r="AC816">
        <v>38.915399999999998</v>
      </c>
      <c r="AD816">
        <v>-1.059298936507</v>
      </c>
      <c r="AE816">
        <v>2.8151000000000201</v>
      </c>
      <c r="AF816">
        <v>-2.5784303925133298</v>
      </c>
      <c r="AG816">
        <v>-1.059298936507</v>
      </c>
      <c r="AH816">
        <v>38.902995929715502</v>
      </c>
      <c r="AI816">
        <v>91.55632211503</v>
      </c>
      <c r="AJ816">
        <v>93.791929688181398</v>
      </c>
      <c r="AK816">
        <v>39.0027372095008</v>
      </c>
      <c r="AL816">
        <v>93.399307194515401</v>
      </c>
      <c r="AM816">
        <v>93.973358147985394</v>
      </c>
      <c r="AN816">
        <v>0.99999994740838605</v>
      </c>
    </row>
    <row r="817" spans="1:40" x14ac:dyDescent="0.25">
      <c r="A817" t="str">
        <f>"20190305135210446"</f>
        <v>20190305135210446</v>
      </c>
      <c r="B817" t="str">
        <f>"1551765130440163"</f>
        <v>1551765130440163</v>
      </c>
      <c r="C817" t="s">
        <v>40</v>
      </c>
      <c r="D817">
        <v>4.3974690000000001</v>
      </c>
      <c r="E817">
        <v>0.50183750000000005</v>
      </c>
      <c r="F817" t="s">
        <v>42</v>
      </c>
      <c r="G817">
        <v>-246.2901</v>
      </c>
      <c r="H817" s="1">
        <v>-2.1286869999999999E-6</v>
      </c>
      <c r="I817">
        <v>371.09899999999999</v>
      </c>
      <c r="J817">
        <v>-285.39859999999999</v>
      </c>
      <c r="K817">
        <v>1.0593049999999999</v>
      </c>
      <c r="L817">
        <v>368.2672</v>
      </c>
      <c r="M817">
        <v>0.99988379999999999</v>
      </c>
      <c r="N817">
        <v>-1.4006029999999999E-2</v>
      </c>
      <c r="O817">
        <v>6.0258400000000002E-3</v>
      </c>
      <c r="P817">
        <v>0.9943727</v>
      </c>
      <c r="Q817">
        <v>-7.4086310000000002E-2</v>
      </c>
      <c r="R817">
        <v>7.5723799999999994E-2</v>
      </c>
      <c r="S817">
        <v>2.9944459999999999</v>
      </c>
      <c r="T817">
        <v>-8.0688599999999999E-2</v>
      </c>
      <c r="U817">
        <v>0.2157898</v>
      </c>
      <c r="V817">
        <v>-6.9733610000000001E-2</v>
      </c>
      <c r="W817">
        <v>-6.014133E-2</v>
      </c>
      <c r="X817">
        <v>0.9957511</v>
      </c>
      <c r="Y817">
        <v>-6.582913E-2</v>
      </c>
      <c r="Z817">
        <v>1.269526E-3</v>
      </c>
      <c r="AA817">
        <v>0.99783010000000005</v>
      </c>
      <c r="AB817">
        <v>27</v>
      </c>
      <c r="AC817">
        <v>39.1084999999999</v>
      </c>
      <c r="AD817">
        <v>-1.0593071286869999</v>
      </c>
      <c r="AE817">
        <v>2.8317999999999799</v>
      </c>
      <c r="AF817">
        <v>-2.5941705648889699</v>
      </c>
      <c r="AG817">
        <v>-1.0593071286869999</v>
      </c>
      <c r="AH817">
        <v>39.096321232832103</v>
      </c>
      <c r="AI817">
        <v>91.548634417725296</v>
      </c>
      <c r="AJ817">
        <v>93.796200244653804</v>
      </c>
      <c r="AK817">
        <v>39.1966093744525</v>
      </c>
      <c r="AL817">
        <v>93.447925014067806</v>
      </c>
      <c r="AM817">
        <v>94.005949876806397</v>
      </c>
      <c r="AN817">
        <v>1.0000000045445001</v>
      </c>
    </row>
    <row r="818" spans="1:40" x14ac:dyDescent="0.25">
      <c r="A818" t="str">
        <f>"20190305135210462"</f>
        <v>20190305135210462</v>
      </c>
      <c r="B818" t="str">
        <f>"1551765130450901"</f>
        <v>1551765130450901</v>
      </c>
      <c r="C818" t="s">
        <v>40</v>
      </c>
      <c r="D818">
        <v>4.3758860000000004</v>
      </c>
      <c r="E818">
        <v>0.50185599999999997</v>
      </c>
      <c r="F818" t="s">
        <v>42</v>
      </c>
      <c r="G818">
        <v>-246.81540000000001</v>
      </c>
      <c r="H818" s="1">
        <v>-1.8728150000000001E-6</v>
      </c>
      <c r="I818">
        <v>371.07060000000001</v>
      </c>
      <c r="J818">
        <v>-285.20609999999999</v>
      </c>
      <c r="K818">
        <v>1.0593060000000001</v>
      </c>
      <c r="L818">
        <v>368.26839999999999</v>
      </c>
      <c r="M818">
        <v>0.99988379999999999</v>
      </c>
      <c r="N818">
        <v>-1.4003959999999999E-2</v>
      </c>
      <c r="O818">
        <v>6.0247240000000004E-3</v>
      </c>
      <c r="P818">
        <v>0.99434909999999999</v>
      </c>
      <c r="Q818">
        <v>-7.4393600000000004E-2</v>
      </c>
      <c r="R818">
        <v>7.5734410000000002E-2</v>
      </c>
      <c r="S818">
        <v>2.9942630000000001</v>
      </c>
      <c r="T818">
        <v>-8.2207920000000004E-2</v>
      </c>
      <c r="U818">
        <v>0.2175598</v>
      </c>
      <c r="V818">
        <v>-6.9745130000000002E-2</v>
      </c>
      <c r="W818">
        <v>-6.0451579999999998E-2</v>
      </c>
      <c r="X818">
        <v>0.99573149999999999</v>
      </c>
      <c r="Y818">
        <v>-6.6419969999999995E-2</v>
      </c>
      <c r="Z818">
        <v>1.2953610000000001E-3</v>
      </c>
      <c r="AA818">
        <v>0.99779090000000004</v>
      </c>
      <c r="AB818">
        <v>27</v>
      </c>
      <c r="AC818">
        <v>38.390699999999903</v>
      </c>
      <c r="AD818">
        <v>-1.0593078728149901</v>
      </c>
      <c r="AE818">
        <v>2.80220000000002</v>
      </c>
      <c r="AF818">
        <v>-2.5688875879781898</v>
      </c>
      <c r="AG818">
        <v>-1.0593078728149901</v>
      </c>
      <c r="AH818">
        <v>38.377822612179699</v>
      </c>
      <c r="AI818">
        <v>91.577553057373706</v>
      </c>
      <c r="AJ818">
        <v>93.829482014459202</v>
      </c>
      <c r="AK818">
        <v>38.478287189803602</v>
      </c>
      <c r="AL818">
        <v>93.465733453192598</v>
      </c>
      <c r="AM818">
        <v>94.006688114363598</v>
      </c>
      <c r="AN818">
        <v>0.99999999838773102</v>
      </c>
    </row>
    <row r="819" spans="1:40" x14ac:dyDescent="0.25">
      <c r="A819" t="str">
        <f>"20190305135210480"</f>
        <v>20190305135210480</v>
      </c>
      <c r="B819" t="str">
        <f>"1551765130470419"</f>
        <v>1551765130470419</v>
      </c>
      <c r="C819" t="s">
        <v>40</v>
      </c>
      <c r="D819">
        <v>4.356814</v>
      </c>
      <c r="E819">
        <v>0.50189240000000002</v>
      </c>
      <c r="F819" t="s">
        <v>42</v>
      </c>
      <c r="G819">
        <v>-246.62549999999999</v>
      </c>
      <c r="H819" s="1">
        <v>-1.9630320000000001E-6</v>
      </c>
      <c r="I819">
        <v>371.07240000000002</v>
      </c>
      <c r="J819">
        <v>-285.00850000000003</v>
      </c>
      <c r="K819">
        <v>1.059304</v>
      </c>
      <c r="L819">
        <v>368.26960000000003</v>
      </c>
      <c r="M819">
        <v>0.99988390000000005</v>
      </c>
      <c r="N819">
        <v>-1.400184E-2</v>
      </c>
      <c r="O819">
        <v>6.0237629999999997E-3</v>
      </c>
      <c r="P819">
        <v>0.99422219999999994</v>
      </c>
      <c r="Q819">
        <v>-7.5595850000000006E-2</v>
      </c>
      <c r="R819">
        <v>7.620818E-2</v>
      </c>
      <c r="S819">
        <v>2.9943240000000002</v>
      </c>
      <c r="T819">
        <v>-8.221531E-2</v>
      </c>
      <c r="U819">
        <v>0.2176208</v>
      </c>
      <c r="V819">
        <v>-7.022043E-2</v>
      </c>
      <c r="W819">
        <v>-6.1657910000000003E-2</v>
      </c>
      <c r="X819">
        <v>0.99562410000000001</v>
      </c>
      <c r="Y819">
        <v>-6.6439659999999998E-2</v>
      </c>
      <c r="Z819">
        <v>1.29575E-3</v>
      </c>
      <c r="AA819">
        <v>0.99778960000000005</v>
      </c>
      <c r="AB819">
        <v>27</v>
      </c>
      <c r="AC819">
        <v>38.383000000000003</v>
      </c>
      <c r="AD819">
        <v>-1.0593059630320001</v>
      </c>
      <c r="AE819">
        <v>2.8027999999999902</v>
      </c>
      <c r="AF819">
        <v>-2.5695696179195999</v>
      </c>
      <c r="AG819">
        <v>-1.0593059630320001</v>
      </c>
      <c r="AH819">
        <v>38.370118301405199</v>
      </c>
      <c r="AI819">
        <v>91.577863528605803</v>
      </c>
      <c r="AJ819">
        <v>93.831262533364296</v>
      </c>
      <c r="AK819">
        <v>38.470648494774402</v>
      </c>
      <c r="AL819">
        <v>93.534980334452399</v>
      </c>
      <c r="AM819">
        <v>94.034336814391395</v>
      </c>
      <c r="AN819">
        <v>0.99999997757788095</v>
      </c>
    </row>
    <row r="820" spans="1:40" x14ac:dyDescent="0.25">
      <c r="A820" t="str">
        <f>"20190305135210501"</f>
        <v>20190305135210501</v>
      </c>
      <c r="B820" t="str">
        <f>"1551765130489939"</f>
        <v>1551765130489939</v>
      </c>
      <c r="C820" t="s">
        <v>40</v>
      </c>
      <c r="D820">
        <v>4.3341949999999896</v>
      </c>
      <c r="E820">
        <v>0.50201439999999997</v>
      </c>
      <c r="F820" t="s">
        <v>42</v>
      </c>
      <c r="G820">
        <v>-247.05539999999999</v>
      </c>
      <c r="H820" s="1">
        <v>-1.751818E-6</v>
      </c>
      <c r="I820">
        <v>371.04219999999998</v>
      </c>
      <c r="J820">
        <v>-284.75369999999998</v>
      </c>
      <c r="K820">
        <v>1.0592969999999999</v>
      </c>
      <c r="L820">
        <v>368.27109999999999</v>
      </c>
      <c r="M820">
        <v>0.999884</v>
      </c>
      <c r="N820">
        <v>-1.399912E-2</v>
      </c>
      <c r="O820">
        <v>6.0214780000000002E-3</v>
      </c>
      <c r="P820">
        <v>0.99409130000000001</v>
      </c>
      <c r="Q820">
        <v>-7.6780269999999998E-2</v>
      </c>
      <c r="R820">
        <v>7.6732449999999994E-2</v>
      </c>
      <c r="S820">
        <v>2.994354</v>
      </c>
      <c r="T820">
        <v>-8.3575010000000005E-2</v>
      </c>
      <c r="U820">
        <v>0.21875</v>
      </c>
      <c r="V820">
        <v>-7.0747379999999999E-2</v>
      </c>
      <c r="W820">
        <v>-6.2846879999999994E-2</v>
      </c>
      <c r="X820">
        <v>0.99551250000000002</v>
      </c>
      <c r="Y820">
        <v>-6.6814239999999997E-2</v>
      </c>
      <c r="Z820">
        <v>1.3158379999999999E-3</v>
      </c>
      <c r="AA820">
        <v>0.9977646</v>
      </c>
      <c r="AB820">
        <v>27</v>
      </c>
      <c r="AC820">
        <v>37.698299999999897</v>
      </c>
      <c r="AD820">
        <v>-1.0592987518179999</v>
      </c>
      <c r="AE820">
        <v>2.7710999999999899</v>
      </c>
      <c r="AF820">
        <v>-2.5420317118672799</v>
      </c>
      <c r="AG820">
        <v>-1.0592987518179999</v>
      </c>
      <c r="AH820">
        <v>37.684709181755899</v>
      </c>
      <c r="AI820">
        <v>91.606483509454407</v>
      </c>
      <c r="AJ820">
        <v>93.8590553974431</v>
      </c>
      <c r="AK820">
        <v>37.785200081291798</v>
      </c>
      <c r="AL820">
        <v>93.603235499767607</v>
      </c>
      <c r="AM820">
        <v>94.064964417431398</v>
      </c>
      <c r="AN820">
        <v>1.00000002987942</v>
      </c>
    </row>
    <row r="821" spans="1:40" x14ac:dyDescent="0.25">
      <c r="A821" t="str">
        <f>"20190305135210523"</f>
        <v>20190305135210523</v>
      </c>
      <c r="B821" t="str">
        <f>"1551765130510436"</f>
        <v>1551765130510436</v>
      </c>
      <c r="C821" t="s">
        <v>40</v>
      </c>
      <c r="D821">
        <v>4.2844819999999997</v>
      </c>
      <c r="E821">
        <v>0.50215750000000003</v>
      </c>
      <c r="F821" t="s">
        <v>42</v>
      </c>
      <c r="G821">
        <v>-247.85380000000001</v>
      </c>
      <c r="H821" s="1">
        <v>-1.3556739999999999E-6</v>
      </c>
      <c r="I821">
        <v>370.97179999999997</v>
      </c>
      <c r="J821">
        <v>-284.49220000000003</v>
      </c>
      <c r="K821">
        <v>1.0592809999999999</v>
      </c>
      <c r="L821">
        <v>368.27269999999999</v>
      </c>
      <c r="M821">
        <v>0.99988390000000005</v>
      </c>
      <c r="N821">
        <v>-1.3996339999999999E-2</v>
      </c>
      <c r="O821">
        <v>6.0169069999999897E-3</v>
      </c>
      <c r="P821">
        <v>0.99395109999999998</v>
      </c>
      <c r="Q821">
        <v>-7.8111E-2</v>
      </c>
      <c r="R821">
        <v>7.7199069999999995E-2</v>
      </c>
      <c r="S821">
        <v>2.9942319999999998</v>
      </c>
      <c r="T821">
        <v>-8.5956450000000004E-2</v>
      </c>
      <c r="U821">
        <v>0.2191467</v>
      </c>
      <c r="V821">
        <v>-7.1219790000000005E-2</v>
      </c>
      <c r="W821">
        <v>-6.4182130000000004E-2</v>
      </c>
      <c r="X821">
        <v>0.99539359999999999</v>
      </c>
      <c r="Y821">
        <v>-6.695139E-2</v>
      </c>
      <c r="Z821">
        <v>1.340497E-3</v>
      </c>
      <c r="AA821">
        <v>0.99775530000000001</v>
      </c>
      <c r="AB821">
        <v>27</v>
      </c>
      <c r="AC821">
        <v>36.638399999999997</v>
      </c>
      <c r="AD821">
        <v>-1.0592823556740001</v>
      </c>
      <c r="AE821">
        <v>2.6990999999999801</v>
      </c>
      <c r="AF821">
        <v>-2.4765207497382602</v>
      </c>
      <c r="AG821">
        <v>-1.0592823556740001</v>
      </c>
      <c r="AH821">
        <v>36.623530382166699</v>
      </c>
      <c r="AI821">
        <v>91.652962450092105</v>
      </c>
      <c r="AJ821">
        <v>93.868510258680203</v>
      </c>
      <c r="AK821">
        <v>36.722448335948599</v>
      </c>
      <c r="AL821">
        <v>93.679894541113299</v>
      </c>
      <c r="AM821">
        <v>94.092503123268799</v>
      </c>
      <c r="AN821">
        <v>1.0000000116099701</v>
      </c>
    </row>
    <row r="822" spans="1:40" x14ac:dyDescent="0.25">
      <c r="A822" t="str">
        <f>"20190305135210544"</f>
        <v>20190305135210544</v>
      </c>
      <c r="B822" t="str">
        <f>"1551765130540691"</f>
        <v>1551765130540691</v>
      </c>
      <c r="C822" t="s">
        <v>40</v>
      </c>
      <c r="D822">
        <v>4.2938460000000003</v>
      </c>
      <c r="E822">
        <v>0.50225690000000001</v>
      </c>
      <c r="F822" t="s">
        <v>42</v>
      </c>
      <c r="G822">
        <v>-248.87790000000001</v>
      </c>
      <c r="H822" s="1">
        <v>-8.4840579999999997E-7</v>
      </c>
      <c r="I822">
        <v>370.88479999999998</v>
      </c>
      <c r="J822">
        <v>-284.23230000000001</v>
      </c>
      <c r="K822">
        <v>1.0592710000000001</v>
      </c>
      <c r="L822">
        <v>368.27429999999998</v>
      </c>
      <c r="M822">
        <v>0.99988410000000005</v>
      </c>
      <c r="N822">
        <v>-1.399356E-2</v>
      </c>
      <c r="O822">
        <v>6.009403E-3</v>
      </c>
      <c r="P822">
        <v>0.99389499999999997</v>
      </c>
      <c r="Q822">
        <v>-7.8735269999999996E-2</v>
      </c>
      <c r="R822">
        <v>7.7290380000000006E-2</v>
      </c>
      <c r="S822">
        <v>2.994202</v>
      </c>
      <c r="T822">
        <v>-8.9057090000000005E-2</v>
      </c>
      <c r="U822">
        <v>0.21960450000000001</v>
      </c>
      <c r="V822">
        <v>-7.1318469999999995E-2</v>
      </c>
      <c r="W822">
        <v>-6.4809749999999999E-2</v>
      </c>
      <c r="X822">
        <v>0.99534579999999995</v>
      </c>
      <c r="Y822">
        <v>-6.7108840000000003E-2</v>
      </c>
      <c r="Z822">
        <v>1.3723380000000001E-3</v>
      </c>
      <c r="AA822">
        <v>0.99774470000000004</v>
      </c>
      <c r="AB822">
        <v>27</v>
      </c>
      <c r="AC822">
        <v>35.354399999999998</v>
      </c>
      <c r="AD822">
        <v>-1.0592718484057999</v>
      </c>
      <c r="AE822">
        <v>2.6105</v>
      </c>
      <c r="AF822">
        <v>-2.3958341655160602</v>
      </c>
      <c r="AG822">
        <v>-1.0592718484057999</v>
      </c>
      <c r="AH822">
        <v>35.337899999754001</v>
      </c>
      <c r="AI822">
        <v>91.713026390675097</v>
      </c>
      <c r="AJ822">
        <v>93.878596057388606</v>
      </c>
      <c r="AK822">
        <v>35.434859313818201</v>
      </c>
      <c r="AL822">
        <v>93.7159297933256</v>
      </c>
      <c r="AM822">
        <v>94.0983504027393</v>
      </c>
      <c r="AN822">
        <v>0.99999994471791998</v>
      </c>
    </row>
    <row r="823" spans="1:40" x14ac:dyDescent="0.25">
      <c r="A823" t="str">
        <f>"20190305135210559"</f>
        <v>20190305135210559</v>
      </c>
      <c r="B823" t="str">
        <f>"1551765130550452"</f>
        <v>1551765130550452</v>
      </c>
      <c r="C823" t="s">
        <v>40</v>
      </c>
      <c r="D823">
        <v>4.3124379999999896</v>
      </c>
      <c r="E823">
        <v>0.50227129999999998</v>
      </c>
      <c r="F823" t="s">
        <v>42</v>
      </c>
      <c r="G823">
        <v>-248.86879999999999</v>
      </c>
      <c r="H823" s="1">
        <v>-8.4774209999999999E-7</v>
      </c>
      <c r="I823">
        <v>370.86610000000002</v>
      </c>
      <c r="J823">
        <v>-284.06020000000001</v>
      </c>
      <c r="K823">
        <v>1.0592649999999999</v>
      </c>
      <c r="L823">
        <v>368.27530000000002</v>
      </c>
      <c r="M823">
        <v>0.99988410000000005</v>
      </c>
      <c r="N823">
        <v>-1.3991719999999999E-2</v>
      </c>
      <c r="O823">
        <v>6.0023139999999999E-3</v>
      </c>
      <c r="P823">
        <v>0.99384830000000002</v>
      </c>
      <c r="Q823">
        <v>-7.9069130000000001E-2</v>
      </c>
      <c r="R823">
        <v>7.7547080000000004E-2</v>
      </c>
      <c r="S823">
        <v>2.9942630000000001</v>
      </c>
      <c r="T823">
        <v>-8.9689489999999997E-2</v>
      </c>
      <c r="U823">
        <v>0.21945190000000001</v>
      </c>
      <c r="V823">
        <v>-7.1582670000000001E-2</v>
      </c>
      <c r="W823">
        <v>-6.5145949999999994E-2</v>
      </c>
      <c r="X823">
        <v>0.99530490000000005</v>
      </c>
      <c r="Y823">
        <v>-6.7063380000000006E-2</v>
      </c>
      <c r="Z823">
        <v>1.3771720000000001E-3</v>
      </c>
      <c r="AA823">
        <v>0.99774779999999996</v>
      </c>
      <c r="AB823">
        <v>27</v>
      </c>
      <c r="AC823">
        <v>35.191400000000002</v>
      </c>
      <c r="AD823">
        <v>-1.0592658477421</v>
      </c>
      <c r="AE823">
        <v>2.5908000000000002</v>
      </c>
      <c r="AF823">
        <v>-2.3773604888105502</v>
      </c>
      <c r="AG823">
        <v>-1.0592658477421</v>
      </c>
      <c r="AH823">
        <v>35.174621208047</v>
      </c>
      <c r="AI823">
        <v>91.720988051814999</v>
      </c>
      <c r="AJ823">
        <v>93.866591176347598</v>
      </c>
      <c r="AK823">
        <v>35.270779182767399</v>
      </c>
      <c r="AL823">
        <v>93.735233377490502</v>
      </c>
      <c r="AM823">
        <v>94.113649217582605</v>
      </c>
      <c r="AN823">
        <v>0.99999995870486902</v>
      </c>
    </row>
    <row r="824" spans="1:40" x14ac:dyDescent="0.25">
      <c r="A824" t="str">
        <f>"20190305135210575"</f>
        <v>20190305135210575</v>
      </c>
      <c r="B824" t="str">
        <f>"1551765130569971"</f>
        <v>1551765130569971</v>
      </c>
      <c r="C824" t="s">
        <v>40</v>
      </c>
      <c r="D824">
        <v>4.2787040000000003</v>
      </c>
      <c r="E824">
        <v>0.50228240000000002</v>
      </c>
      <c r="F824" t="s">
        <v>42</v>
      </c>
      <c r="G824">
        <v>-248.80529999999999</v>
      </c>
      <c r="H824" s="1">
        <v>-8.7792689999999995E-7</v>
      </c>
      <c r="I824">
        <v>370.86680000000001</v>
      </c>
      <c r="J824">
        <v>-283.8725</v>
      </c>
      <c r="K824">
        <v>1.059261</v>
      </c>
      <c r="L824">
        <v>368.27640000000002</v>
      </c>
      <c r="M824">
        <v>0.9998842</v>
      </c>
      <c r="N824">
        <v>-1.3988850000000001E-2</v>
      </c>
      <c r="O824">
        <v>5.9939190000000003E-3</v>
      </c>
      <c r="P824">
        <v>0.99384340000000004</v>
      </c>
      <c r="Q824">
        <v>-7.9351350000000001E-2</v>
      </c>
      <c r="R824">
        <v>7.7322509999999997E-2</v>
      </c>
      <c r="S824">
        <v>2.994202</v>
      </c>
      <c r="T824">
        <v>-8.9963559999999998E-2</v>
      </c>
      <c r="U824">
        <v>0.22009280000000001</v>
      </c>
      <c r="V824">
        <v>-7.1366819999999997E-2</v>
      </c>
      <c r="W824">
        <v>-6.5430989999999994E-2</v>
      </c>
      <c r="X824">
        <v>0.99530169999999996</v>
      </c>
      <c r="Y824">
        <v>-6.7285289999999998E-2</v>
      </c>
      <c r="Z824">
        <v>1.3846049999999999E-3</v>
      </c>
      <c r="AA824">
        <v>0.99773279999999998</v>
      </c>
      <c r="AB824">
        <v>27</v>
      </c>
      <c r="AC824">
        <v>35.0672</v>
      </c>
      <c r="AD824">
        <v>-1.0592618779269001</v>
      </c>
      <c r="AE824">
        <v>2.5903999999999798</v>
      </c>
      <c r="AF824">
        <v>-2.37798494157289</v>
      </c>
      <c r="AG824">
        <v>-1.0592618779269001</v>
      </c>
      <c r="AH824">
        <v>35.050290372223003</v>
      </c>
      <c r="AI824">
        <v>91.727052636691297</v>
      </c>
      <c r="AJ824">
        <v>93.881281073008793</v>
      </c>
      <c r="AK824">
        <v>35.146830629311701</v>
      </c>
      <c r="AL824">
        <v>93.751599897432996</v>
      </c>
      <c r="AM824">
        <v>94.101300474726102</v>
      </c>
      <c r="AN824">
        <v>0.99999995573609002</v>
      </c>
    </row>
    <row r="825" spans="1:40" x14ac:dyDescent="0.25">
      <c r="A825" t="str">
        <f>"20190305135210591"</f>
        <v>20190305135210591</v>
      </c>
      <c r="B825" t="str">
        <f>"1551765130580708"</f>
        <v>1551765130580708</v>
      </c>
      <c r="C825" t="s">
        <v>40</v>
      </c>
      <c r="D825">
        <v>4.4722970000000002</v>
      </c>
      <c r="E825">
        <v>0.50232100000000002</v>
      </c>
      <c r="F825" t="s">
        <v>42</v>
      </c>
      <c r="G825">
        <v>-248.71789999999999</v>
      </c>
      <c r="H825" s="1">
        <v>-9.1563939999999995E-7</v>
      </c>
      <c r="I825">
        <v>370.85329999999999</v>
      </c>
      <c r="J825">
        <v>-283.6825</v>
      </c>
      <c r="K825">
        <v>1.059253</v>
      </c>
      <c r="L825">
        <v>368.27749999999997</v>
      </c>
      <c r="M825">
        <v>0.99988440000000001</v>
      </c>
      <c r="N825">
        <v>-1.398361E-2</v>
      </c>
      <c r="O825">
        <v>5.9847030000000001E-3</v>
      </c>
      <c r="P825">
        <v>0.99380009999999996</v>
      </c>
      <c r="Q825">
        <v>-8.0186110000000005E-2</v>
      </c>
      <c r="R825">
        <v>7.7016550000000003E-2</v>
      </c>
      <c r="S825">
        <v>2.9942929999999999</v>
      </c>
      <c r="T825">
        <v>-9.0222839999999999E-2</v>
      </c>
      <c r="U825">
        <v>0.21948239999999999</v>
      </c>
      <c r="V825">
        <v>-7.1070510000000003E-2</v>
      </c>
      <c r="W825">
        <v>-6.6271389999999999E-2</v>
      </c>
      <c r="X825">
        <v>0.99526729999999997</v>
      </c>
      <c r="Y825">
        <v>-6.7089889999999999E-2</v>
      </c>
      <c r="Z825">
        <v>1.382606E-3</v>
      </c>
      <c r="AA825">
        <v>0.99774600000000002</v>
      </c>
      <c r="AB825">
        <v>27</v>
      </c>
      <c r="AC825">
        <v>34.964599999999997</v>
      </c>
      <c r="AD825">
        <v>-1.0592539156394001</v>
      </c>
      <c r="AE825">
        <v>2.5758000000000099</v>
      </c>
      <c r="AF825">
        <v>-2.3643224348532401</v>
      </c>
      <c r="AG825">
        <v>-1.0592539156394001</v>
      </c>
      <c r="AH825">
        <v>34.947489315090102</v>
      </c>
      <c r="AI825">
        <v>91.732139150046905</v>
      </c>
      <c r="AJ825">
        <v>93.870366356754801</v>
      </c>
      <c r="AK825">
        <v>35.043388090509801</v>
      </c>
      <c r="AL825">
        <v>93.799856013350805</v>
      </c>
      <c r="AM825">
        <v>94.0844706035912</v>
      </c>
      <c r="AN825">
        <v>0.99999995648674</v>
      </c>
    </row>
    <row r="826" spans="1:40" x14ac:dyDescent="0.25">
      <c r="A826" t="str">
        <f>"20190305135210608"</f>
        <v>20190305135210608</v>
      </c>
      <c r="B826" t="str">
        <f>"1551765130600227"</f>
        <v>1551765130600227</v>
      </c>
      <c r="C826" t="s">
        <v>40</v>
      </c>
      <c r="D826">
        <v>4.5441900000000004</v>
      </c>
      <c r="E826">
        <v>0.53653809999999902</v>
      </c>
      <c r="F826" t="s">
        <v>42</v>
      </c>
      <c r="G826">
        <v>-249.9922</v>
      </c>
      <c r="H826" s="1">
        <v>-4.4766819999999998E-6</v>
      </c>
      <c r="I826">
        <v>370.73270000000002</v>
      </c>
      <c r="J826">
        <v>-283.49200000000002</v>
      </c>
      <c r="K826">
        <v>1.0592490000000001</v>
      </c>
      <c r="L826">
        <v>368.27870000000001</v>
      </c>
      <c r="M826">
        <v>0.99988449999999995</v>
      </c>
      <c r="N826">
        <v>-1.39747E-2</v>
      </c>
      <c r="O826">
        <v>5.9751539999999999E-3</v>
      </c>
      <c r="P826">
        <v>0.99377170000000004</v>
      </c>
      <c r="Q826">
        <v>-8.0607849999999995E-2</v>
      </c>
      <c r="R826">
        <v>7.6942940000000001E-2</v>
      </c>
      <c r="S826">
        <v>2.994202</v>
      </c>
      <c r="T826">
        <v>-9.4140769999999999E-2</v>
      </c>
      <c r="U826">
        <v>0.2182007</v>
      </c>
      <c r="V826">
        <v>-7.1006310000000003E-2</v>
      </c>
      <c r="W826">
        <v>-6.6702220000000007E-2</v>
      </c>
      <c r="X826">
        <v>0.99524310000000005</v>
      </c>
      <c r="Y826">
        <v>-6.6673940000000001E-2</v>
      </c>
      <c r="Z826">
        <v>1.4090120000000001E-3</v>
      </c>
      <c r="AA826">
        <v>0.99777380000000004</v>
      </c>
      <c r="AB826">
        <v>27</v>
      </c>
      <c r="AC826">
        <v>33.4998</v>
      </c>
      <c r="AD826">
        <v>-1.0592534766820001</v>
      </c>
      <c r="AE826">
        <v>2.4540000000000002</v>
      </c>
      <c r="AF826">
        <v>-2.2515310955215302</v>
      </c>
      <c r="AG826">
        <v>-1.0592534766820001</v>
      </c>
      <c r="AH826">
        <v>33.480570946626699</v>
      </c>
      <c r="AI826">
        <v>91.808030162148597</v>
      </c>
      <c r="AJ826">
        <v>93.847284647292099</v>
      </c>
      <c r="AK826">
        <v>33.572906354887799</v>
      </c>
      <c r="AL826">
        <v>93.824595501357607</v>
      </c>
      <c r="AM826">
        <v>94.080892348487097</v>
      </c>
      <c r="AN826">
        <v>0.99999995515517603</v>
      </c>
    </row>
    <row r="827" spans="1:40" x14ac:dyDescent="0.25">
      <c r="A827" t="str">
        <f>"20190305135210624"</f>
        <v>20190305135210624</v>
      </c>
      <c r="B827" t="str">
        <f>"1551765130609988"</f>
        <v>1551765130609988</v>
      </c>
      <c r="C827" t="s">
        <v>40</v>
      </c>
      <c r="D827">
        <v>4.374339</v>
      </c>
      <c r="E827">
        <v>0.53653809999999902</v>
      </c>
      <c r="F827" t="s">
        <v>41</v>
      </c>
      <c r="G827">
        <v>-282.55419999999998</v>
      </c>
      <c r="H827">
        <v>0.97246619999999995</v>
      </c>
      <c r="I827">
        <v>368.2593</v>
      </c>
      <c r="J827">
        <v>-283.28930000000003</v>
      </c>
      <c r="K827">
        <v>1.0592520000000001</v>
      </c>
      <c r="L827">
        <v>368.2799</v>
      </c>
      <c r="M827">
        <v>0.99988469999999996</v>
      </c>
      <c r="N827">
        <v>-1.3962E-2</v>
      </c>
      <c r="O827">
        <v>5.9649760000000003E-3</v>
      </c>
      <c r="P827">
        <v>0.99371770000000004</v>
      </c>
      <c r="Q827">
        <v>-8.1346150000000006E-2</v>
      </c>
      <c r="R827">
        <v>7.6863239999999999E-2</v>
      </c>
      <c r="S827">
        <v>3.0010379999999999</v>
      </c>
      <c r="T827">
        <v>-0.27778079999999999</v>
      </c>
      <c r="U827">
        <v>-6.1248780000000003E-2</v>
      </c>
      <c r="V827">
        <v>-7.0937689999999998E-2</v>
      </c>
      <c r="W827">
        <v>-6.7453699999999894E-2</v>
      </c>
      <c r="X827">
        <v>0.99519740000000001</v>
      </c>
      <c r="Y827">
        <v>2.6221499999999998E-2</v>
      </c>
      <c r="Z827">
        <v>-1.86214E-3</v>
      </c>
      <c r="AA827">
        <v>0.99965440000000005</v>
      </c>
      <c r="AB827">
        <v>27</v>
      </c>
      <c r="AC827">
        <v>0.73510000000004505</v>
      </c>
      <c r="AD827">
        <v>-8.6785799999999996E-2</v>
      </c>
      <c r="AE827">
        <v>-2.06000000000017E-2</v>
      </c>
      <c r="AF827">
        <v>2.4641724855074699E-2</v>
      </c>
      <c r="AG827">
        <v>-8.6785799999999996E-2</v>
      </c>
      <c r="AH827">
        <v>0.72486864401744899</v>
      </c>
      <c r="AI827">
        <v>96.823406119329803</v>
      </c>
      <c r="AJ827">
        <v>88.052994357850395</v>
      </c>
      <c r="AK827">
        <v>0.73046118361290702</v>
      </c>
      <c r="AL827">
        <v>93.867749113238403</v>
      </c>
      <c r="AM827">
        <v>94.077148492672094</v>
      </c>
      <c r="AN827">
        <v>1.00000001123649</v>
      </c>
    </row>
    <row r="828" spans="1:40" x14ac:dyDescent="0.25">
      <c r="A828" t="str">
        <f>"20190305135210647"</f>
        <v>20190305135210647</v>
      </c>
      <c r="B828" t="str">
        <f>"1551765130640244"</f>
        <v>1551765130640244</v>
      </c>
      <c r="C828" t="s">
        <v>40</v>
      </c>
      <c r="D828">
        <v>4.5143430000000002</v>
      </c>
      <c r="E828">
        <v>0.57586059999999994</v>
      </c>
      <c r="F828" t="s">
        <v>41</v>
      </c>
      <c r="G828">
        <v>-282.54469999999998</v>
      </c>
      <c r="H828">
        <v>0.98982780000000004</v>
      </c>
      <c r="I828">
        <v>368.2645</v>
      </c>
      <c r="J828">
        <v>-283.03129999999999</v>
      </c>
      <c r="K828">
        <v>1.0592440000000001</v>
      </c>
      <c r="L828">
        <v>368.28140000000002</v>
      </c>
      <c r="M828">
        <v>0.99988520000000003</v>
      </c>
      <c r="N828">
        <v>-1.393932E-2</v>
      </c>
      <c r="O828">
        <v>5.9520010000000002E-3</v>
      </c>
      <c r="P828">
        <v>0.99376679999999995</v>
      </c>
      <c r="Q828">
        <v>-8.0892030000000004E-2</v>
      </c>
      <c r="R828">
        <v>7.6709570000000005E-2</v>
      </c>
      <c r="S828">
        <v>3.0007320000000002</v>
      </c>
      <c r="T828">
        <v>-0.27992119999999998</v>
      </c>
      <c r="U828">
        <v>-6.1431880000000001E-2</v>
      </c>
      <c r="V828">
        <v>-7.0796940000000003E-2</v>
      </c>
      <c r="W828">
        <v>-6.7021330000000004E-2</v>
      </c>
      <c r="X828">
        <v>0.99523660000000003</v>
      </c>
      <c r="Y828">
        <v>2.626916E-2</v>
      </c>
      <c r="Z828">
        <v>-1.8772050000000001E-3</v>
      </c>
      <c r="AA828">
        <v>0.99965320000000002</v>
      </c>
      <c r="AB828">
        <v>27</v>
      </c>
      <c r="AC828">
        <v>0.48660000000000903</v>
      </c>
      <c r="AD828">
        <v>-6.9416199999999997E-2</v>
      </c>
      <c r="AE828">
        <v>-1.6900000000020999E-2</v>
      </c>
      <c r="AF828">
        <v>1.94018614320083E-2</v>
      </c>
      <c r="AG828">
        <v>-6.9416199999999997E-2</v>
      </c>
      <c r="AH828">
        <v>0.47679931300380202</v>
      </c>
      <c r="AI828">
        <v>98.276619278825606</v>
      </c>
      <c r="AJ828">
        <v>87.669812458504595</v>
      </c>
      <c r="AK828">
        <v>0.482216368376649</v>
      </c>
      <c r="AL828">
        <v>93.842920077810405</v>
      </c>
      <c r="AM828">
        <v>94.068926344154093</v>
      </c>
      <c r="AN828">
        <v>0.999999977683946</v>
      </c>
    </row>
    <row r="829" spans="1:40" x14ac:dyDescent="0.25">
      <c r="A829" t="str">
        <f>"20190305135210669"</f>
        <v>20190305135210669</v>
      </c>
      <c r="B829" t="str">
        <f>"1551765130660740"</f>
        <v>1551765130660740</v>
      </c>
      <c r="C829" t="s">
        <v>40</v>
      </c>
      <c r="D829">
        <v>4.2946140000000002</v>
      </c>
      <c r="E829">
        <v>0.57387639999999995</v>
      </c>
      <c r="F829" t="s">
        <v>41</v>
      </c>
      <c r="G829">
        <v>-282.12799999999999</v>
      </c>
      <c r="H829">
        <v>0.87423309999999999</v>
      </c>
      <c r="I829">
        <v>368.16419999999999</v>
      </c>
      <c r="J829">
        <v>-282.75729999999999</v>
      </c>
      <c r="K829">
        <v>1.0592330000000001</v>
      </c>
      <c r="L829">
        <v>368.28309999999999</v>
      </c>
      <c r="M829">
        <v>0.99988650000000001</v>
      </c>
      <c r="N829">
        <v>-1.3862050000000001E-2</v>
      </c>
      <c r="O829">
        <v>5.9381049999999999E-3</v>
      </c>
      <c r="P829">
        <v>0.99383200000000005</v>
      </c>
      <c r="Q829">
        <v>-8.0287399999999995E-2</v>
      </c>
      <c r="R829">
        <v>7.6500940000000003E-2</v>
      </c>
      <c r="S829">
        <v>2.9987789999999999</v>
      </c>
      <c r="T829">
        <v>-0.61428059999999995</v>
      </c>
      <c r="U829">
        <v>-0.38830569999999998</v>
      </c>
      <c r="V829">
        <v>-7.0602010000000007E-2</v>
      </c>
      <c r="W829">
        <v>-6.6492640000000006E-2</v>
      </c>
      <c r="X829">
        <v>0.99528589999999995</v>
      </c>
      <c r="Y829">
        <v>0.1313269</v>
      </c>
      <c r="Z829">
        <v>-1.530069E-2</v>
      </c>
      <c r="AA829">
        <v>0.99122100000000002</v>
      </c>
      <c r="AB829">
        <v>26</v>
      </c>
      <c r="AC829">
        <v>0.62929999999999997</v>
      </c>
      <c r="AD829">
        <v>-0.18499989999999999</v>
      </c>
      <c r="AE829">
        <v>-0.118899999999996</v>
      </c>
      <c r="AF829">
        <v>0.113190095811927</v>
      </c>
      <c r="AG829">
        <v>-0.18499989999999999</v>
      </c>
      <c r="AH829">
        <v>0.58017109552760104</v>
      </c>
      <c r="AI829">
        <v>107.378584981934</v>
      </c>
      <c r="AJ829">
        <v>78.960393650807205</v>
      </c>
      <c r="AK829">
        <v>0.61938312931143102</v>
      </c>
      <c r="AL829">
        <v>93.812560680912895</v>
      </c>
      <c r="AM829">
        <v>94.057560245395706</v>
      </c>
      <c r="AN829">
        <v>0.99999996886450904</v>
      </c>
    </row>
    <row r="830" spans="1:40" x14ac:dyDescent="0.25">
      <c r="A830" t="str">
        <f>"20190305135210690"</f>
        <v>20190305135210690</v>
      </c>
      <c r="B830" t="str">
        <f>"1551765130680259"</f>
        <v>1551765130680259</v>
      </c>
      <c r="C830" t="s">
        <v>40</v>
      </c>
      <c r="D830">
        <v>4.2953199999999896</v>
      </c>
      <c r="E830">
        <v>0.5732583</v>
      </c>
      <c r="F830" t="s">
        <v>41</v>
      </c>
      <c r="G830">
        <v>-281.88929999999999</v>
      </c>
      <c r="H830">
        <v>0.88019389999999997</v>
      </c>
      <c r="I830">
        <v>368.17489999999998</v>
      </c>
      <c r="J830">
        <v>-282.5095</v>
      </c>
      <c r="K830">
        <v>1.0592189999999999</v>
      </c>
      <c r="L830">
        <v>368.28449999999998</v>
      </c>
      <c r="M830">
        <v>0.99988779999999999</v>
      </c>
      <c r="N830">
        <v>-1.375727E-2</v>
      </c>
      <c r="O830">
        <v>5.9257149999999998E-3</v>
      </c>
      <c r="P830">
        <v>0.99393399999999998</v>
      </c>
      <c r="Q830">
        <v>-7.9580289999999998E-2</v>
      </c>
      <c r="R830">
        <v>7.5910099999999994E-2</v>
      </c>
      <c r="S830">
        <v>2.9974059999999998</v>
      </c>
      <c r="T830">
        <v>-0.61825669999999899</v>
      </c>
      <c r="U830">
        <v>-0.37323000000000001</v>
      </c>
      <c r="V830">
        <v>-7.0022959999999995E-2</v>
      </c>
      <c r="W830">
        <v>-6.5888509999999997E-2</v>
      </c>
      <c r="X830">
        <v>0.995367</v>
      </c>
      <c r="Y830">
        <v>0.12653049999999999</v>
      </c>
      <c r="Z830">
        <v>-1.4873259999999999E-2</v>
      </c>
      <c r="AA830">
        <v>0.99185120000000004</v>
      </c>
      <c r="AB830">
        <v>26</v>
      </c>
      <c r="AC830">
        <v>0.62020000000001096</v>
      </c>
      <c r="AD830">
        <v>-0.17902509999999999</v>
      </c>
      <c r="AE830">
        <v>-0.1096</v>
      </c>
      <c r="AF830">
        <v>0.104805323219662</v>
      </c>
      <c r="AG830">
        <v>-0.17902509999999999</v>
      </c>
      <c r="AH830">
        <v>0.57322336886133196</v>
      </c>
      <c r="AI830">
        <v>107.07801610906699</v>
      </c>
      <c r="AJ830">
        <v>79.638765786556306</v>
      </c>
      <c r="AK830">
        <v>0.60960575195278699</v>
      </c>
      <c r="AL830">
        <v>93.777870433237595</v>
      </c>
      <c r="AM830">
        <v>94.024064702191097</v>
      </c>
      <c r="AN830">
        <v>0.99999998768308995</v>
      </c>
    </row>
    <row r="831" spans="1:40" x14ac:dyDescent="0.25">
      <c r="A831" t="str">
        <f>"20190305135210704"</f>
        <v>20190305135210704</v>
      </c>
      <c r="B831" t="str">
        <f>"1551765130690021"</f>
        <v>1551765130690021</v>
      </c>
      <c r="C831" t="s">
        <v>40</v>
      </c>
      <c r="D831">
        <v>4.3077310000000004</v>
      </c>
      <c r="E831">
        <v>0.57281319999999902</v>
      </c>
      <c r="F831" t="s">
        <v>41</v>
      </c>
      <c r="G831">
        <v>-281.65019999999998</v>
      </c>
      <c r="H831">
        <v>0.88615189999999999</v>
      </c>
      <c r="I831">
        <v>368.17829999999998</v>
      </c>
      <c r="J831">
        <v>-282.33609999999999</v>
      </c>
      <c r="K831">
        <v>1.0591999999999999</v>
      </c>
      <c r="L831">
        <v>368.28550000000001</v>
      </c>
      <c r="M831">
        <v>0.99988909999999998</v>
      </c>
      <c r="N831">
        <v>-1.3665760000000001E-2</v>
      </c>
      <c r="O831">
        <v>5.9167500000000001E-3</v>
      </c>
      <c r="P831">
        <v>0.99397860000000005</v>
      </c>
      <c r="Q831">
        <v>-7.9116279999999997E-2</v>
      </c>
      <c r="R831">
        <v>7.5810829999999996E-2</v>
      </c>
      <c r="S831">
        <v>2.998138</v>
      </c>
      <c r="T831">
        <v>-0.60396039999999995</v>
      </c>
      <c r="U831">
        <v>-0.36959839999999999</v>
      </c>
      <c r="V831">
        <v>-6.9932129999999995E-2</v>
      </c>
      <c r="W831">
        <v>-6.5515019999999993E-2</v>
      </c>
      <c r="X831">
        <v>0.99539800000000001</v>
      </c>
      <c r="Y831">
        <v>0.1254614</v>
      </c>
      <c r="Z831">
        <v>-1.443088E-2</v>
      </c>
      <c r="AA831">
        <v>0.99199349999999997</v>
      </c>
      <c r="AB831">
        <v>26</v>
      </c>
      <c r="AC831">
        <v>0.68590000000000295</v>
      </c>
      <c r="AD831">
        <v>-0.17304809999999901</v>
      </c>
      <c r="AE831">
        <v>-0.107200000000034</v>
      </c>
      <c r="AF831">
        <v>0.10474834089464501</v>
      </c>
      <c r="AG831">
        <v>-0.17304809999999901</v>
      </c>
      <c r="AH831">
        <v>0.64516670390076103</v>
      </c>
      <c r="AI831">
        <v>104.829135851036</v>
      </c>
      <c r="AJ831">
        <v>80.778009022940694</v>
      </c>
      <c r="AK831">
        <v>0.67613455440168302</v>
      </c>
      <c r="AL831">
        <v>93.756424837982294</v>
      </c>
      <c r="AM831">
        <v>94.018737267276705</v>
      </c>
      <c r="AN831">
        <v>0.999999949527967</v>
      </c>
    </row>
    <row r="832" spans="1:40" x14ac:dyDescent="0.25">
      <c r="A832" t="str">
        <f>"20190305135210725"</f>
        <v>20190305135210725</v>
      </c>
      <c r="B832" t="str">
        <f>"1551765130710516"</f>
        <v>1551765130710516</v>
      </c>
      <c r="C832" t="s">
        <v>40</v>
      </c>
      <c r="D832">
        <v>4.3385040000000004</v>
      </c>
      <c r="E832">
        <v>0.57242490000000001</v>
      </c>
      <c r="F832" t="s">
        <v>41</v>
      </c>
      <c r="G832">
        <v>-281.63490000000002</v>
      </c>
      <c r="H832">
        <v>0.91922999999999999</v>
      </c>
      <c r="I832">
        <v>368.19959999999998</v>
      </c>
      <c r="J832">
        <v>-282.10590000000002</v>
      </c>
      <c r="K832">
        <v>1.059164</v>
      </c>
      <c r="L832">
        <v>368.2869</v>
      </c>
      <c r="M832">
        <v>0.99989150000000004</v>
      </c>
      <c r="N832">
        <v>-1.350788E-2</v>
      </c>
      <c r="O832">
        <v>5.9047269999999898E-3</v>
      </c>
      <c r="P832">
        <v>0.99399150000000003</v>
      </c>
      <c r="Q832">
        <v>-7.9270569999999999E-2</v>
      </c>
      <c r="R832">
        <v>7.5482019999999997E-2</v>
      </c>
      <c r="S832">
        <v>2.9984739999999999</v>
      </c>
      <c r="T832">
        <v>-0.59865210000000002</v>
      </c>
      <c r="U832">
        <v>-0.36627199999999999</v>
      </c>
      <c r="V832">
        <v>-6.9615529999999995E-2</v>
      </c>
      <c r="W832">
        <v>-6.5826389999999999E-2</v>
      </c>
      <c r="X832">
        <v>0.9953997</v>
      </c>
      <c r="Y832">
        <v>0.12442209999999999</v>
      </c>
      <c r="Z832">
        <v>-1.419165E-2</v>
      </c>
      <c r="AA832">
        <v>0.99212789999999995</v>
      </c>
      <c r="AB832">
        <v>26</v>
      </c>
      <c r="AC832">
        <v>0.47100000000000303</v>
      </c>
      <c r="AD832">
        <v>-0.139934</v>
      </c>
      <c r="AE832">
        <v>-8.7300000000027397E-2</v>
      </c>
      <c r="AF832">
        <v>8.2997164347349606E-2</v>
      </c>
      <c r="AG832">
        <v>-0.139934</v>
      </c>
      <c r="AH832">
        <v>0.43348420362385698</v>
      </c>
      <c r="AI832">
        <v>107.591380356757</v>
      </c>
      <c r="AJ832">
        <v>79.161026811624396</v>
      </c>
      <c r="AK832">
        <v>0.463010376165708</v>
      </c>
      <c r="AL832">
        <v>93.774303432126203</v>
      </c>
      <c r="AM832">
        <v>94.000595852362693</v>
      </c>
      <c r="AN832">
        <v>0.99999999919885096</v>
      </c>
    </row>
    <row r="833" spans="1:40" x14ac:dyDescent="0.25">
      <c r="A833" t="str">
        <f>"20190305135210747"</f>
        <v>20190305135210747</v>
      </c>
      <c r="B833" t="str">
        <f>"1551765130740772"</f>
        <v>1551765130740772</v>
      </c>
      <c r="C833" t="s">
        <v>40</v>
      </c>
      <c r="D833">
        <v>4.3380739999999998</v>
      </c>
      <c r="E833">
        <v>0.57157849999999999</v>
      </c>
      <c r="F833" t="s">
        <v>41</v>
      </c>
      <c r="G833">
        <v>-281.39870000000002</v>
      </c>
      <c r="H833">
        <v>0.91892989999999997</v>
      </c>
      <c r="I833">
        <v>368.20100000000002</v>
      </c>
      <c r="J833">
        <v>-281.84230000000002</v>
      </c>
      <c r="K833">
        <v>1.0591189999999999</v>
      </c>
      <c r="L833">
        <v>368.28840000000002</v>
      </c>
      <c r="M833">
        <v>0.99989439999999996</v>
      </c>
      <c r="N833">
        <v>-1.32876E-2</v>
      </c>
      <c r="O833">
        <v>5.8912649999999997E-3</v>
      </c>
      <c r="P833">
        <v>0.99392380000000002</v>
      </c>
      <c r="Q833">
        <v>-8.0157939999999997E-2</v>
      </c>
      <c r="R833">
        <v>7.543329E-2</v>
      </c>
      <c r="S833">
        <v>2.9983520000000001</v>
      </c>
      <c r="T833">
        <v>-0.5945165</v>
      </c>
      <c r="U833">
        <v>-0.36386109999999999</v>
      </c>
      <c r="V833">
        <v>-6.9580489999999995E-2</v>
      </c>
      <c r="W833">
        <v>-6.6933969999999995E-2</v>
      </c>
      <c r="X833">
        <v>0.99532830000000005</v>
      </c>
      <c r="Y833">
        <v>0.1236806</v>
      </c>
      <c r="Z833">
        <v>-1.400908E-2</v>
      </c>
      <c r="AA833">
        <v>0.99222319999999997</v>
      </c>
      <c r="AB833">
        <v>26</v>
      </c>
      <c r="AC833">
        <v>0.44360000000000299</v>
      </c>
      <c r="AD833">
        <v>-0.14018910000000001</v>
      </c>
      <c r="AE833">
        <v>-8.7400000000059194E-2</v>
      </c>
      <c r="AF833">
        <v>8.2117293356097298E-2</v>
      </c>
      <c r="AG833">
        <v>-0.14018910000000001</v>
      </c>
      <c r="AH833">
        <v>0.40421589982009698</v>
      </c>
      <c r="AI833">
        <v>108.771605018404</v>
      </c>
      <c r="AJ833">
        <v>78.516519579841599</v>
      </c>
      <c r="AK833">
        <v>0.43564518509253802</v>
      </c>
      <c r="AL833">
        <v>93.837903318263599</v>
      </c>
      <c r="AM833">
        <v>93.998874650793098</v>
      </c>
      <c r="AN833">
        <v>1.0000000128547399</v>
      </c>
    </row>
    <row r="834" spans="1:40" x14ac:dyDescent="0.25">
      <c r="A834" t="str">
        <f>"20190305135210770"</f>
        <v>20190305135210770</v>
      </c>
      <c r="B834" t="str">
        <f>"1551765130760292"</f>
        <v>1551765130760292</v>
      </c>
      <c r="C834" t="s">
        <v>40</v>
      </c>
      <c r="D834">
        <v>4.3530110000000004</v>
      </c>
      <c r="E834">
        <v>0.57164569999999904</v>
      </c>
      <c r="F834" t="s">
        <v>41</v>
      </c>
      <c r="G834">
        <v>-280.9427</v>
      </c>
      <c r="H834">
        <v>0.88166299999999997</v>
      </c>
      <c r="I834">
        <v>368.18130000000002</v>
      </c>
      <c r="J834">
        <v>-281.57299999999998</v>
      </c>
      <c r="K834">
        <v>1.0590759999999999</v>
      </c>
      <c r="L834">
        <v>368.29</v>
      </c>
      <c r="M834">
        <v>0.99989749999999999</v>
      </c>
      <c r="N834">
        <v>-1.305244E-2</v>
      </c>
      <c r="O834">
        <v>5.8773979999999998E-3</v>
      </c>
      <c r="P834">
        <v>0.99390120000000004</v>
      </c>
      <c r="Q834">
        <v>-8.0312129999999995E-2</v>
      </c>
      <c r="R834">
        <v>7.5566610000000006E-2</v>
      </c>
      <c r="S834">
        <v>2.9977109999999998</v>
      </c>
      <c r="T834">
        <v>-0.59133169999999902</v>
      </c>
      <c r="U834">
        <v>-0.35684199999999999</v>
      </c>
      <c r="V834">
        <v>-6.9727670000000005E-2</v>
      </c>
      <c r="W834">
        <v>-6.7322549999999995E-2</v>
      </c>
      <c r="X834">
        <v>0.99529179999999995</v>
      </c>
      <c r="Y834">
        <v>0.1214746</v>
      </c>
      <c r="Z834">
        <v>-1.3698480000000001E-2</v>
      </c>
      <c r="AA834">
        <v>0.99250000000000005</v>
      </c>
      <c r="AB834">
        <v>26</v>
      </c>
      <c r="AC834">
        <v>0.63029999999997699</v>
      </c>
      <c r="AD834">
        <v>-0.17741299999999999</v>
      </c>
      <c r="AE834">
        <v>-0.10869999999999801</v>
      </c>
      <c r="AF834">
        <v>0.10437261053331499</v>
      </c>
      <c r="AG834">
        <v>-0.17741299999999999</v>
      </c>
      <c r="AH834">
        <v>0.58466638512714997</v>
      </c>
      <c r="AI834">
        <v>106.631970373012</v>
      </c>
      <c r="AJ834">
        <v>79.878376983888998</v>
      </c>
      <c r="AK834">
        <v>0.61984175101084305</v>
      </c>
      <c r="AL834">
        <v>93.860217616070003</v>
      </c>
      <c r="AM834">
        <v>94.007452213856695</v>
      </c>
      <c r="AN834">
        <v>1.0000000204246799</v>
      </c>
    </row>
    <row r="835" spans="1:40" x14ac:dyDescent="0.25">
      <c r="A835" t="str">
        <f>"20190305135210791"</f>
        <v>20190305135210791</v>
      </c>
      <c r="B835" t="str">
        <f>"1551765130780787"</f>
        <v>1551765130780787</v>
      </c>
      <c r="C835" t="s">
        <v>40</v>
      </c>
      <c r="D835">
        <v>4.3403470000000004</v>
      </c>
      <c r="E835">
        <v>0.57146519999999901</v>
      </c>
      <c r="F835" t="s">
        <v>41</v>
      </c>
      <c r="G835">
        <v>-280.7029</v>
      </c>
      <c r="H835">
        <v>0.88827119999999904</v>
      </c>
      <c r="I835">
        <v>368.18619999999999</v>
      </c>
      <c r="J835">
        <v>-281.31240000000003</v>
      </c>
      <c r="K835">
        <v>1.059045</v>
      </c>
      <c r="L835">
        <v>368.29149999999998</v>
      </c>
      <c r="M835">
        <v>0.99990049999999997</v>
      </c>
      <c r="N835">
        <v>-1.283694E-2</v>
      </c>
      <c r="O835">
        <v>5.8643269999999999E-3</v>
      </c>
      <c r="P835">
        <v>0.99384919999999999</v>
      </c>
      <c r="Q835">
        <v>-8.0719979999999997E-2</v>
      </c>
      <c r="R835">
        <v>7.5817380000000004E-2</v>
      </c>
      <c r="S835">
        <v>2.997986</v>
      </c>
      <c r="T835">
        <v>-0.5885937</v>
      </c>
      <c r="U835">
        <v>-0.35690309999999997</v>
      </c>
      <c r="V835">
        <v>-6.9991919999999999E-2</v>
      </c>
      <c r="W835">
        <v>-6.7945519999999995E-2</v>
      </c>
      <c r="X835">
        <v>0.99523090000000003</v>
      </c>
      <c r="Y835">
        <v>0.1214963</v>
      </c>
      <c r="Z835">
        <v>-1.362614E-2</v>
      </c>
      <c r="AA835">
        <v>0.99249830000000006</v>
      </c>
      <c r="AB835">
        <v>26</v>
      </c>
      <c r="AC835">
        <v>0.60950000000002502</v>
      </c>
      <c r="AD835">
        <v>-0.1707738</v>
      </c>
      <c r="AE835">
        <v>-0.10529999999999901</v>
      </c>
      <c r="AF835">
        <v>0.101161330067985</v>
      </c>
      <c r="AG835">
        <v>-0.1707738</v>
      </c>
      <c r="AH835">
        <v>0.56574554878730299</v>
      </c>
      <c r="AI835">
        <v>106.548961815317</v>
      </c>
      <c r="AJ835">
        <v>79.862046001685101</v>
      </c>
      <c r="AK835">
        <v>0.599554277309579</v>
      </c>
      <c r="AL835">
        <v>93.895993152763594</v>
      </c>
      <c r="AM835">
        <v>94.022835008986704</v>
      </c>
      <c r="AN835">
        <v>1.0000000034340799</v>
      </c>
    </row>
    <row r="836" spans="1:40" x14ac:dyDescent="0.25">
      <c r="A836" t="str">
        <f>"20190305135210812"</f>
        <v>20190305135210812</v>
      </c>
      <c r="B836" t="str">
        <f>"1551765130800308"</f>
        <v>1551765130800308</v>
      </c>
      <c r="C836" t="s">
        <v>40</v>
      </c>
      <c r="D836">
        <v>4.4770260000000004</v>
      </c>
      <c r="E836">
        <v>0.57201190000000002</v>
      </c>
      <c r="F836" t="s">
        <v>41</v>
      </c>
      <c r="G836">
        <v>-280.46379999999999</v>
      </c>
      <c r="H836">
        <v>0.89295949999999902</v>
      </c>
      <c r="I836">
        <v>368.19099999999997</v>
      </c>
      <c r="J836">
        <v>-281.05410000000001</v>
      </c>
      <c r="K836">
        <v>1.059121</v>
      </c>
      <c r="L836">
        <v>368.29300000000001</v>
      </c>
      <c r="M836">
        <v>0.99989810000000001</v>
      </c>
      <c r="N836">
        <v>-1.303153E-2</v>
      </c>
      <c r="O836">
        <v>5.8523300000000002E-3</v>
      </c>
      <c r="P836">
        <v>0.99371730000000003</v>
      </c>
      <c r="Q836">
        <v>-8.1992510000000005E-2</v>
      </c>
      <c r="R836">
        <v>7.6179460000000004E-2</v>
      </c>
      <c r="S836">
        <v>2.997986</v>
      </c>
      <c r="T836">
        <v>-0.58675739999999998</v>
      </c>
      <c r="U836">
        <v>-0.3549194</v>
      </c>
      <c r="V836">
        <v>-7.0366330000000005E-2</v>
      </c>
      <c r="W836">
        <v>-6.9025989999999995E-2</v>
      </c>
      <c r="X836">
        <v>0.99513010000000002</v>
      </c>
      <c r="Y836">
        <v>0.1208626</v>
      </c>
      <c r="Z836">
        <v>-1.35303E-2</v>
      </c>
      <c r="AA836">
        <v>0.99257700000000004</v>
      </c>
      <c r="AB836">
        <v>26</v>
      </c>
      <c r="AC836">
        <v>0.59030000000001304</v>
      </c>
      <c r="AD836">
        <v>-0.16616149999999999</v>
      </c>
      <c r="AE836">
        <v>-0.102000000000032</v>
      </c>
      <c r="AF836">
        <v>9.7919495137869295E-2</v>
      </c>
      <c r="AG836">
        <v>-0.16616149999999999</v>
      </c>
      <c r="AH836">
        <v>0.54756464645648795</v>
      </c>
      <c r="AI836">
        <v>106.631764938278</v>
      </c>
      <c r="AJ836">
        <v>79.861122893645501</v>
      </c>
      <c r="AK836">
        <v>0.58053846871617698</v>
      </c>
      <c r="AL836">
        <v>93.958045383919696</v>
      </c>
      <c r="AM836">
        <v>94.044691568395095</v>
      </c>
      <c r="AN836">
        <v>0.99999996180957795</v>
      </c>
    </row>
    <row r="837" spans="1:40" x14ac:dyDescent="0.25">
      <c r="A837" t="str">
        <f>"20190305135210835"</f>
        <v>20190305135210835</v>
      </c>
      <c r="B837" t="str">
        <f>"1551765130830564"</f>
        <v>1551765130830564</v>
      </c>
      <c r="C837" t="s">
        <v>40</v>
      </c>
      <c r="D837">
        <v>4.4104039999999998</v>
      </c>
      <c r="E837">
        <v>0.57341919999999902</v>
      </c>
      <c r="F837" t="s">
        <v>41</v>
      </c>
      <c r="G837">
        <v>-280.22899999999998</v>
      </c>
      <c r="H837">
        <v>0.89591739999999997</v>
      </c>
      <c r="I837">
        <v>368.19409999999999</v>
      </c>
      <c r="J837">
        <v>-280.80099999999999</v>
      </c>
      <c r="K837">
        <v>1.0595600000000001</v>
      </c>
      <c r="L837">
        <v>368.2944</v>
      </c>
      <c r="M837">
        <v>0.99988440000000001</v>
      </c>
      <c r="N837">
        <v>-1.404919E-2</v>
      </c>
      <c r="O837">
        <v>5.8416789999999998E-3</v>
      </c>
      <c r="P837">
        <v>0.99352169999999895</v>
      </c>
      <c r="Q837">
        <v>-8.4199750000000004E-2</v>
      </c>
      <c r="R837">
        <v>7.6324920000000004E-2</v>
      </c>
      <c r="S837">
        <v>2.9974980000000002</v>
      </c>
      <c r="T837">
        <v>-0.59295520000000002</v>
      </c>
      <c r="U837">
        <v>-0.35818480000000003</v>
      </c>
      <c r="V837">
        <v>-7.0524130000000004E-2</v>
      </c>
      <c r="W837">
        <v>-7.0222969999999996E-2</v>
      </c>
      <c r="X837">
        <v>0.99503520000000001</v>
      </c>
      <c r="Y837">
        <v>0.1218539</v>
      </c>
      <c r="Z837">
        <v>-1.3822940000000001E-2</v>
      </c>
      <c r="AA837">
        <v>0.9924518</v>
      </c>
      <c r="AB837">
        <v>27</v>
      </c>
      <c r="AC837">
        <v>0.571999999999945</v>
      </c>
      <c r="AD837">
        <v>-0.163642599999999</v>
      </c>
      <c r="AE837">
        <v>-0.100300000000004</v>
      </c>
      <c r="AF837">
        <v>9.6015905413299393E-2</v>
      </c>
      <c r="AG837">
        <v>-0.163642599999999</v>
      </c>
      <c r="AH837">
        <v>0.52936961320967002</v>
      </c>
      <c r="AI837">
        <v>106.91790429115299</v>
      </c>
      <c r="AJ837">
        <v>79.719579013796704</v>
      </c>
      <c r="AK837">
        <v>0.56234343778233198</v>
      </c>
      <c r="AL837">
        <v>94.026794038598595</v>
      </c>
      <c r="AM837">
        <v>94.0541171149805</v>
      </c>
      <c r="AN837">
        <v>0.99999998383345801</v>
      </c>
    </row>
    <row r="838" spans="1:40" x14ac:dyDescent="0.25">
      <c r="A838" t="str">
        <f>"20190305135210859"</f>
        <v>20190305135210859</v>
      </c>
      <c r="B838" t="str">
        <f>"1551765130850084"</f>
        <v>1551765130850084</v>
      </c>
      <c r="C838" t="s">
        <v>40</v>
      </c>
      <c r="D838">
        <v>4.419054</v>
      </c>
      <c r="E838">
        <v>0.57418409999999998</v>
      </c>
      <c r="F838" t="s">
        <v>41</v>
      </c>
      <c r="G838">
        <v>-279.9984</v>
      </c>
      <c r="H838">
        <v>0.89744259999999998</v>
      </c>
      <c r="I838">
        <v>368.19549999999998</v>
      </c>
      <c r="J838">
        <v>-280.52629999999999</v>
      </c>
      <c r="K838">
        <v>1.0602009999999999</v>
      </c>
      <c r="L838">
        <v>368.29599999999999</v>
      </c>
      <c r="M838">
        <v>0.99988279999999996</v>
      </c>
      <c r="N838">
        <v>-1.416195E-2</v>
      </c>
      <c r="O838">
        <v>5.8292469999999897E-3</v>
      </c>
      <c r="P838">
        <v>0.99341400000000002</v>
      </c>
      <c r="Q838">
        <v>-8.4990510000000005E-2</v>
      </c>
      <c r="R838">
        <v>7.6848340000000001E-2</v>
      </c>
      <c r="S838">
        <v>2.996613</v>
      </c>
      <c r="T838">
        <v>-0.60527739999999997</v>
      </c>
      <c r="U838">
        <v>-0.36898799999999998</v>
      </c>
      <c r="V838">
        <v>-7.1060170000000006E-2</v>
      </c>
      <c r="W838">
        <v>-7.0902839999999995E-2</v>
      </c>
      <c r="X838">
        <v>0.99494890000000002</v>
      </c>
      <c r="Y838">
        <v>0.12522339999999901</v>
      </c>
      <c r="Z838">
        <v>-1.4454089999999999E-2</v>
      </c>
      <c r="AA838">
        <v>0.99202330000000005</v>
      </c>
      <c r="AB838">
        <v>26</v>
      </c>
      <c r="AC838">
        <v>0.52789999999998805</v>
      </c>
      <c r="AD838">
        <v>-0.162758399999999</v>
      </c>
      <c r="AE838">
        <v>-0.10050000000001</v>
      </c>
      <c r="AF838">
        <v>9.4872956647541196E-2</v>
      </c>
      <c r="AG838">
        <v>-0.162758399999999</v>
      </c>
      <c r="AH838">
        <v>0.48299861398363703</v>
      </c>
      <c r="AI838">
        <v>108.296800559665</v>
      </c>
      <c r="AJ838">
        <v>78.887161755834697</v>
      </c>
      <c r="AK838">
        <v>0.51843884478665403</v>
      </c>
      <c r="AL838">
        <v>94.065844846154306</v>
      </c>
      <c r="AM838">
        <v>94.085180851679198</v>
      </c>
      <c r="AN838">
        <v>1.0000000370458499</v>
      </c>
    </row>
    <row r="839" spans="1:40" x14ac:dyDescent="0.25">
      <c r="A839" t="str">
        <f>"20190305135210881"</f>
        <v>20190305135210881</v>
      </c>
      <c r="B839" t="str">
        <f>"1551765130870580"</f>
        <v>1551765130870580</v>
      </c>
      <c r="C839" t="s">
        <v>40</v>
      </c>
      <c r="D839">
        <v>4.3912250000000004</v>
      </c>
      <c r="E839">
        <v>0.57476450000000001</v>
      </c>
      <c r="F839" t="s">
        <v>41</v>
      </c>
      <c r="G839">
        <v>-279.7636</v>
      </c>
      <c r="H839">
        <v>0.90352569999999999</v>
      </c>
      <c r="I839">
        <v>368.20060000000001</v>
      </c>
      <c r="J839">
        <v>-280.27460000000002</v>
      </c>
      <c r="K839">
        <v>1.060767</v>
      </c>
      <c r="L839">
        <v>368.29750000000001</v>
      </c>
      <c r="M839">
        <v>0.99990500000000004</v>
      </c>
      <c r="N839">
        <v>-1.250455E-2</v>
      </c>
      <c r="O839">
        <v>5.8182210000000002E-3</v>
      </c>
      <c r="P839">
        <v>0.99354279999999995</v>
      </c>
      <c r="Q839">
        <v>-8.3521689999999996E-2</v>
      </c>
      <c r="R839">
        <v>7.679445E-2</v>
      </c>
      <c r="S839">
        <v>2.996124</v>
      </c>
      <c r="T839">
        <v>-0.61553669999999905</v>
      </c>
      <c r="U839">
        <v>-0.37344359999999999</v>
      </c>
      <c r="V839">
        <v>-7.1017029999999995E-2</v>
      </c>
      <c r="W839">
        <v>-7.1081409999999998E-2</v>
      </c>
      <c r="X839">
        <v>0.99493920000000002</v>
      </c>
      <c r="Y839">
        <v>0.12658349999999999</v>
      </c>
      <c r="Z839">
        <v>-1.4730409999999999E-2</v>
      </c>
      <c r="AA839">
        <v>0.99184660000000002</v>
      </c>
      <c r="AB839">
        <v>26</v>
      </c>
      <c r="AC839">
        <v>0.51100000000002399</v>
      </c>
      <c r="AD839">
        <v>-0.1572413</v>
      </c>
      <c r="AE839">
        <v>-9.6900000000005093E-2</v>
      </c>
      <c r="AF839">
        <v>9.1507833685737894E-2</v>
      </c>
      <c r="AG839">
        <v>-0.1572413</v>
      </c>
      <c r="AH839">
        <v>0.46768118835100903</v>
      </c>
      <c r="AI839">
        <v>108.260719472433</v>
      </c>
      <c r="AJ839">
        <v>78.929208341930604</v>
      </c>
      <c r="AK839">
        <v>0.50182088835455796</v>
      </c>
      <c r="AL839">
        <v>94.076102190479801</v>
      </c>
      <c r="AM839">
        <v>94.082748832779004</v>
      </c>
      <c r="AN839">
        <v>0.99999999854712396</v>
      </c>
    </row>
    <row r="840" spans="1:40" x14ac:dyDescent="0.25">
      <c r="A840" t="str">
        <f>"20190305135210902"</f>
        <v>20190305135210902</v>
      </c>
      <c r="B840" t="str">
        <f>"1551765130890100"</f>
        <v>1551765130890100</v>
      </c>
      <c r="C840" t="s">
        <v>40</v>
      </c>
      <c r="D840">
        <v>4.4764679999999997</v>
      </c>
      <c r="E840">
        <v>0.57506849999999998</v>
      </c>
      <c r="F840" t="s">
        <v>41</v>
      </c>
      <c r="G840">
        <v>-279.52690000000001</v>
      </c>
      <c r="H840">
        <v>0.9069874</v>
      </c>
      <c r="I840">
        <v>368.20299999999997</v>
      </c>
      <c r="J840">
        <v>-280.01409999999998</v>
      </c>
      <c r="K840">
        <v>1.06162</v>
      </c>
      <c r="L840">
        <v>368.29899999999998</v>
      </c>
      <c r="M840">
        <v>0.99993140000000003</v>
      </c>
      <c r="N840">
        <v>-1.0190070000000001E-2</v>
      </c>
      <c r="O840">
        <v>5.8074759999999998E-3</v>
      </c>
      <c r="P840">
        <v>0.99378339999999998</v>
      </c>
      <c r="Q840">
        <v>-8.0903470000000005E-2</v>
      </c>
      <c r="R840">
        <v>7.6481129999999994E-2</v>
      </c>
      <c r="S840">
        <v>2.9969480000000002</v>
      </c>
      <c r="T840">
        <v>-0.61630790000000002</v>
      </c>
      <c r="U840">
        <v>-0.37841799999999998</v>
      </c>
      <c r="V840">
        <v>-7.0712629999999999E-2</v>
      </c>
      <c r="W840">
        <v>-7.0763519999999996E-2</v>
      </c>
      <c r="X840">
        <v>0.99498359999999997</v>
      </c>
      <c r="Y840">
        <v>0.12814919999999999</v>
      </c>
      <c r="Z840">
        <v>-1.477183E-2</v>
      </c>
      <c r="AA840">
        <v>0.99164490000000005</v>
      </c>
      <c r="AB840">
        <v>26</v>
      </c>
      <c r="AC840">
        <v>0.48719999999997199</v>
      </c>
      <c r="AD840">
        <v>-0.15463260000000001</v>
      </c>
      <c r="AE840">
        <v>-9.6000000000003596E-2</v>
      </c>
      <c r="AF840">
        <v>9.0091602972401194E-2</v>
      </c>
      <c r="AG840">
        <v>-0.15463260000000001</v>
      </c>
      <c r="AH840">
        <v>0.44361607705207701</v>
      </c>
      <c r="AI840">
        <v>108.86015882283399</v>
      </c>
      <c r="AJ840">
        <v>78.520230523345404</v>
      </c>
      <c r="AK840">
        <v>0.47835443107383302</v>
      </c>
      <c r="AL840">
        <v>94.057842212126701</v>
      </c>
      <c r="AM840">
        <v>94.0651269618659</v>
      </c>
      <c r="AN840">
        <v>1.0000000580366299</v>
      </c>
    </row>
    <row r="841" spans="1:40" x14ac:dyDescent="0.25">
      <c r="A841" t="str">
        <f>"20190305135210927"</f>
        <v>20190305135210927</v>
      </c>
      <c r="B841" t="str">
        <f>"1551765130920357"</f>
        <v>1551765130920357</v>
      </c>
      <c r="C841" t="s">
        <v>40</v>
      </c>
      <c r="D841">
        <v>4.3963369999999999</v>
      </c>
      <c r="E841">
        <v>0.57554439999999996</v>
      </c>
      <c r="F841" t="s">
        <v>41</v>
      </c>
      <c r="G841">
        <v>-279.28840000000002</v>
      </c>
      <c r="H841">
        <v>0.9114525</v>
      </c>
      <c r="I841">
        <v>368.2063</v>
      </c>
      <c r="J841">
        <v>-279.75259999999997</v>
      </c>
      <c r="K841">
        <v>1.062856</v>
      </c>
      <c r="L841">
        <v>368.3005</v>
      </c>
      <c r="M841">
        <v>0.99995089999999998</v>
      </c>
      <c r="N841">
        <v>-8.0590019999999991E-3</v>
      </c>
      <c r="O841">
        <v>5.7959300000000004E-3</v>
      </c>
      <c r="P841">
        <v>0.99402869999999999</v>
      </c>
      <c r="Q841">
        <v>-7.8553730000000002E-2</v>
      </c>
      <c r="R841">
        <v>7.5741390000000006E-2</v>
      </c>
      <c r="S841">
        <v>2.9975890000000001</v>
      </c>
      <c r="T841">
        <v>-0.62044929999999998</v>
      </c>
      <c r="U841">
        <v>-0.3818665</v>
      </c>
      <c r="V841">
        <v>-6.9983600000000007E-2</v>
      </c>
      <c r="W841">
        <v>-7.0532319999999996E-2</v>
      </c>
      <c r="X841">
        <v>0.99505149999999998</v>
      </c>
      <c r="Y841">
        <v>0.1292015</v>
      </c>
      <c r="Z841">
        <v>-1.484421E-2</v>
      </c>
      <c r="AA841">
        <v>0.99150720000000003</v>
      </c>
      <c r="AB841">
        <v>26</v>
      </c>
      <c r="AC841">
        <v>0.46419999999994799</v>
      </c>
      <c r="AD841">
        <v>-0.1514035</v>
      </c>
      <c r="AE841">
        <v>-9.42000000000007E-2</v>
      </c>
      <c r="AF841">
        <v>8.7907241334417602E-2</v>
      </c>
      <c r="AG841">
        <v>-0.1514035</v>
      </c>
      <c r="AH841">
        <v>0.42066560212730503</v>
      </c>
      <c r="AI841">
        <v>109.40756078627101</v>
      </c>
      <c r="AJ841">
        <v>78.196656666232698</v>
      </c>
      <c r="AK841">
        <v>0.45564267985385798</v>
      </c>
      <c r="AL841">
        <v>94.044562481130299</v>
      </c>
      <c r="AM841">
        <v>94.023081199540599</v>
      </c>
      <c r="AN841">
        <v>1.0000000000428899</v>
      </c>
    </row>
    <row r="842" spans="1:40" x14ac:dyDescent="0.25">
      <c r="A842" t="str">
        <f>"20190305135210947"</f>
        <v>20190305135210947</v>
      </c>
      <c r="B842" t="str">
        <f>"1551765130940851"</f>
        <v>1551765130940851</v>
      </c>
      <c r="C842" t="s">
        <v>40</v>
      </c>
      <c r="D842">
        <v>4.4493929999999997</v>
      </c>
      <c r="E842">
        <v>0.57577929999999999</v>
      </c>
      <c r="F842" t="s">
        <v>41</v>
      </c>
      <c r="G842">
        <v>-279.04910000000001</v>
      </c>
      <c r="H842">
        <v>0.9173867</v>
      </c>
      <c r="I842">
        <v>368.20940000000002</v>
      </c>
      <c r="J842">
        <v>-279.48090000000002</v>
      </c>
      <c r="K842">
        <v>1.064435</v>
      </c>
      <c r="L842">
        <v>368.30200000000002</v>
      </c>
      <c r="M842">
        <v>0.99996470000000004</v>
      </c>
      <c r="N842">
        <v>-6.1081169999999997E-3</v>
      </c>
      <c r="O842">
        <v>5.78328E-3</v>
      </c>
      <c r="P842">
        <v>0.99431219999999998</v>
      </c>
      <c r="Q842">
        <v>-7.5861440000000002E-2</v>
      </c>
      <c r="R842">
        <v>7.475569E-2</v>
      </c>
      <c r="S842">
        <v>2.9985659999999998</v>
      </c>
      <c r="T842">
        <v>-0.62011149999999904</v>
      </c>
      <c r="U842">
        <v>-0.3879089</v>
      </c>
      <c r="V842">
        <v>-6.9008860000000005E-2</v>
      </c>
      <c r="W842">
        <v>-6.9779740000000007E-2</v>
      </c>
      <c r="X842">
        <v>0.99517259999999996</v>
      </c>
      <c r="Y842">
        <v>0.131103</v>
      </c>
      <c r="Z842">
        <v>-1.4910670000000001E-2</v>
      </c>
      <c r="AA842">
        <v>0.99125660000000004</v>
      </c>
      <c r="AB842">
        <v>27</v>
      </c>
      <c r="AC842">
        <v>0.43180000000000901</v>
      </c>
      <c r="AD842">
        <v>-0.14704829999999999</v>
      </c>
      <c r="AE842">
        <v>-9.2599999999947599E-2</v>
      </c>
      <c r="AF842">
        <v>8.5604457774534404E-2</v>
      </c>
      <c r="AG842">
        <v>-0.14704829999999999</v>
      </c>
      <c r="AH842">
        <v>0.38821455563532498</v>
      </c>
      <c r="AI842">
        <v>110.29917639559901</v>
      </c>
      <c r="AJ842">
        <v>77.564815897982896</v>
      </c>
      <c r="AK842">
        <v>0.42386538774815602</v>
      </c>
      <c r="AL842">
        <v>94.0013364374623</v>
      </c>
      <c r="AM842">
        <v>93.966746202869103</v>
      </c>
      <c r="AN842">
        <v>0.99999996933186297</v>
      </c>
    </row>
    <row r="843" spans="1:40" x14ac:dyDescent="0.25">
      <c r="A843" t="str">
        <f>"20190305135210971"</f>
        <v>20190305135210971</v>
      </c>
      <c r="B843" t="str">
        <f>"1551765130960372"</f>
        <v>1551765130960372</v>
      </c>
      <c r="C843" t="s">
        <v>40</v>
      </c>
      <c r="D843">
        <v>4.4442349999999999</v>
      </c>
      <c r="E843">
        <v>0.57598729999999998</v>
      </c>
      <c r="F843" t="s">
        <v>41</v>
      </c>
      <c r="G843">
        <v>-278.59059999999999</v>
      </c>
      <c r="H843">
        <v>0.88207349999999995</v>
      </c>
      <c r="I843">
        <v>368.18540000000002</v>
      </c>
      <c r="J843">
        <v>-279.20659999999998</v>
      </c>
      <c r="K843">
        <v>1.0661</v>
      </c>
      <c r="L843">
        <v>368.30360000000002</v>
      </c>
      <c r="M843">
        <v>0.99997460000000005</v>
      </c>
      <c r="N843">
        <v>-4.2001870000000002E-3</v>
      </c>
      <c r="O843">
        <v>5.7696319999999898E-3</v>
      </c>
      <c r="P843">
        <v>0.99449860000000001</v>
      </c>
      <c r="Q843">
        <v>-7.3996870000000006E-2</v>
      </c>
      <c r="R843">
        <v>7.4142449999999999E-2</v>
      </c>
      <c r="S843">
        <v>2.9998170000000002</v>
      </c>
      <c r="T843">
        <v>-0.61452019999999996</v>
      </c>
      <c r="U843">
        <v>-0.39282230000000001</v>
      </c>
      <c r="V843">
        <v>-6.840744E-2</v>
      </c>
      <c r="W843">
        <v>-6.9813169999999994E-2</v>
      </c>
      <c r="X843">
        <v>0.99521179999999998</v>
      </c>
      <c r="Y843">
        <v>0.13267860000000001</v>
      </c>
      <c r="Z843">
        <v>-1.481855E-2</v>
      </c>
      <c r="AA843">
        <v>0.99104829999999999</v>
      </c>
      <c r="AB843">
        <v>27</v>
      </c>
      <c r="AC843">
        <v>0.615999999999985</v>
      </c>
      <c r="AD843">
        <v>-0.18402650000000001</v>
      </c>
      <c r="AE843">
        <v>-0.118200000000001</v>
      </c>
      <c r="AF843">
        <v>0.11210250558358099</v>
      </c>
      <c r="AG843">
        <v>-0.18402650000000001</v>
      </c>
      <c r="AH843">
        <v>0.56654062195350796</v>
      </c>
      <c r="AI843">
        <v>107.674310818854</v>
      </c>
      <c r="AJ843">
        <v>78.807353319828195</v>
      </c>
      <c r="AK843">
        <v>0.60613612397202898</v>
      </c>
      <c r="AL843">
        <v>94.003256428304397</v>
      </c>
      <c r="AM843">
        <v>93.932130090768894</v>
      </c>
      <c r="AN843">
        <v>0.99999999170602105</v>
      </c>
    </row>
    <row r="844" spans="1:40" x14ac:dyDescent="0.25">
      <c r="A844" t="str">
        <f>"20190305135210992"</f>
        <v>20190305135210992</v>
      </c>
      <c r="B844" t="str">
        <f>"1551765130979893"</f>
        <v>1551765130979893</v>
      </c>
      <c r="C844" t="s">
        <v>40</v>
      </c>
      <c r="D844">
        <v>4.4344440000000001</v>
      </c>
      <c r="E844">
        <v>0.57616559999999895</v>
      </c>
      <c r="F844" t="s">
        <v>41</v>
      </c>
      <c r="G844">
        <v>-278.34840000000003</v>
      </c>
      <c r="H844">
        <v>0.89151610000000003</v>
      </c>
      <c r="I844">
        <v>368.19009999999997</v>
      </c>
      <c r="J844">
        <v>-278.94900000000001</v>
      </c>
      <c r="K844">
        <v>1.067647</v>
      </c>
      <c r="L844">
        <v>368.30509999999998</v>
      </c>
      <c r="M844">
        <v>0.99998050000000005</v>
      </c>
      <c r="N844">
        <v>-2.465737E-3</v>
      </c>
      <c r="O844">
        <v>5.7569780000000003E-3</v>
      </c>
      <c r="P844">
        <v>0.99468840000000003</v>
      </c>
      <c r="Q844">
        <v>-7.263493E-2</v>
      </c>
      <c r="R844">
        <v>7.2933579999999998E-2</v>
      </c>
      <c r="S844">
        <v>3.000702</v>
      </c>
      <c r="T844">
        <v>-0.61049350000000002</v>
      </c>
      <c r="U844">
        <v>-0.3960571</v>
      </c>
      <c r="V844">
        <v>-6.7210279999999997E-2</v>
      </c>
      <c r="W844">
        <v>-7.017698E-2</v>
      </c>
      <c r="X844">
        <v>0.99526780000000004</v>
      </c>
      <c r="Y844">
        <v>0.13371830000000001</v>
      </c>
      <c r="Z844">
        <v>-1.471605E-2</v>
      </c>
      <c r="AA844">
        <v>0.99091010000000002</v>
      </c>
      <c r="AB844">
        <v>27</v>
      </c>
      <c r="AC844">
        <v>0.60059999999998503</v>
      </c>
      <c r="AD844">
        <v>-0.17613089999999901</v>
      </c>
      <c r="AE844">
        <v>-0.115000000000009</v>
      </c>
      <c r="AF844">
        <v>0.109381571081224</v>
      </c>
      <c r="AG844">
        <v>-0.17613089999999901</v>
      </c>
      <c r="AH844">
        <v>0.55397115746680403</v>
      </c>
      <c r="AI844">
        <v>107.323753277666</v>
      </c>
      <c r="AJ844">
        <v>78.830624394097796</v>
      </c>
      <c r="AK844">
        <v>0.59149849140307897</v>
      </c>
      <c r="AL844">
        <v>94.024152375304297</v>
      </c>
      <c r="AM844">
        <v>93.863309627655298</v>
      </c>
      <c r="AN844">
        <v>1.00000001198821</v>
      </c>
    </row>
    <row r="845" spans="1:40" x14ac:dyDescent="0.25">
      <c r="A845" t="str">
        <f>"20190305135211014"</f>
        <v>20190305135211014</v>
      </c>
      <c r="B845" t="str">
        <f>"1551765131000388"</f>
        <v>1551765131000388</v>
      </c>
      <c r="C845" t="s">
        <v>40</v>
      </c>
      <c r="D845">
        <v>4.4056170000000003</v>
      </c>
      <c r="E845">
        <v>0.57625289999999996</v>
      </c>
      <c r="F845" t="s">
        <v>41</v>
      </c>
      <c r="G845">
        <v>-278.1071</v>
      </c>
      <c r="H845">
        <v>0.89694419999999897</v>
      </c>
      <c r="I845">
        <v>368.19240000000002</v>
      </c>
      <c r="J845">
        <v>-278.68329999999997</v>
      </c>
      <c r="K845">
        <v>1.0692870000000001</v>
      </c>
      <c r="L845">
        <v>368.3066</v>
      </c>
      <c r="M845">
        <v>0.99998299999999996</v>
      </c>
      <c r="N845">
        <v>-1.0974589999999901E-3</v>
      </c>
      <c r="O845">
        <v>5.7436429999999997E-3</v>
      </c>
      <c r="P845">
        <v>0.99479289999999998</v>
      </c>
      <c r="Q845">
        <v>-7.1627499999999997E-2</v>
      </c>
      <c r="R845">
        <v>7.2505680000000003E-2</v>
      </c>
      <c r="S845">
        <v>3.001007</v>
      </c>
      <c r="T845">
        <v>-0.60849189999999997</v>
      </c>
      <c r="U845">
        <v>-0.40136719999999998</v>
      </c>
      <c r="V845">
        <v>-6.6795229999999997E-2</v>
      </c>
      <c r="W845">
        <v>-7.0531220000000006E-2</v>
      </c>
      <c r="X845">
        <v>0.99527069999999995</v>
      </c>
      <c r="Y845">
        <v>0.1354176</v>
      </c>
      <c r="Z845">
        <v>-1.474924E-2</v>
      </c>
      <c r="AA845">
        <v>0.99067879999999997</v>
      </c>
      <c r="AB845">
        <v>27</v>
      </c>
      <c r="AC845">
        <v>0.57619999999997096</v>
      </c>
      <c r="AD845">
        <v>-0.17234279999999999</v>
      </c>
      <c r="AE845">
        <v>-0.114199999999982</v>
      </c>
      <c r="AF845">
        <v>0.108194157302254</v>
      </c>
      <c r="AG845">
        <v>-0.17234279999999999</v>
      </c>
      <c r="AH845">
        <v>0.52991870535317698</v>
      </c>
      <c r="AI845">
        <v>107.674540006629</v>
      </c>
      <c r="AJ845">
        <v>78.460450786884707</v>
      </c>
      <c r="AK845">
        <v>0.56764588492243395</v>
      </c>
      <c r="AL845">
        <v>94.044499253980206</v>
      </c>
      <c r="AM845">
        <v>93.839512592418799</v>
      </c>
      <c r="AN845">
        <v>1.00000001101196</v>
      </c>
    </row>
    <row r="846" spans="1:40" x14ac:dyDescent="0.25">
      <c r="A846" t="str">
        <f>"20190305135211036"</f>
        <v>20190305135211036</v>
      </c>
      <c r="B846" t="str">
        <f>"1551765131030644"</f>
        <v>1551765131030644</v>
      </c>
      <c r="C846" t="s">
        <v>40</v>
      </c>
      <c r="D846">
        <v>4.424614</v>
      </c>
      <c r="E846">
        <v>0.5763161</v>
      </c>
      <c r="F846" t="s">
        <v>41</v>
      </c>
      <c r="G846">
        <v>-277.86689999999999</v>
      </c>
      <c r="H846">
        <v>0.90381900000000004</v>
      </c>
      <c r="I846">
        <v>368.19690000000003</v>
      </c>
      <c r="J846">
        <v>-278.41890000000001</v>
      </c>
      <c r="K846">
        <v>1.0712489999999999</v>
      </c>
      <c r="L846">
        <v>368.30810000000002</v>
      </c>
      <c r="M846">
        <v>0.99998339999999997</v>
      </c>
      <c r="N846">
        <v>-7.1782559999999896E-4</v>
      </c>
      <c r="O846">
        <v>5.7301790000000002E-3</v>
      </c>
      <c r="P846">
        <v>0.99479819999999997</v>
      </c>
      <c r="Q846">
        <v>-7.1952160000000001E-2</v>
      </c>
      <c r="R846">
        <v>7.2107619999999997E-2</v>
      </c>
      <c r="S846">
        <v>3.0012819999999998</v>
      </c>
      <c r="T846">
        <v>-0.60830890000000004</v>
      </c>
      <c r="U846">
        <v>-0.40304570000000001</v>
      </c>
      <c r="V846">
        <v>-6.6410819999999995E-2</v>
      </c>
      <c r="W846">
        <v>-7.1233820000000003E-2</v>
      </c>
      <c r="X846">
        <v>0.99524639999999998</v>
      </c>
      <c r="Y846">
        <v>0.13593379999999999</v>
      </c>
      <c r="Z846">
        <v>-1.476823E-2</v>
      </c>
      <c r="AA846">
        <v>0.99060789999999999</v>
      </c>
      <c r="AB846">
        <v>27</v>
      </c>
      <c r="AC846">
        <v>0.55200000000002003</v>
      </c>
      <c r="AD846">
        <v>-0.167429999999999</v>
      </c>
      <c r="AE846">
        <v>-0.111199999999996</v>
      </c>
      <c r="AF846">
        <v>0.105071621171412</v>
      </c>
      <c r="AG846">
        <v>-0.167429999999999</v>
      </c>
      <c r="AH846">
        <v>0.50656703811246695</v>
      </c>
      <c r="AI846">
        <v>107.93316424093101</v>
      </c>
      <c r="AJ846">
        <v>78.281929278280103</v>
      </c>
      <c r="AK846">
        <v>0.54376742691855595</v>
      </c>
      <c r="AL846">
        <v>94.084856722585101</v>
      </c>
      <c r="AM846">
        <v>93.817574456201697</v>
      </c>
      <c r="AN846">
        <v>1.0000000254189101</v>
      </c>
    </row>
    <row r="847" spans="1:40" x14ac:dyDescent="0.25">
      <c r="A847" t="str">
        <f>"20190305135211060"</f>
        <v>20190305135211060</v>
      </c>
      <c r="B847" t="str">
        <f>"1551765131050164"</f>
        <v>1551765131050164</v>
      </c>
      <c r="C847" t="s">
        <v>40</v>
      </c>
      <c r="D847">
        <v>4.4006639999999999</v>
      </c>
      <c r="E847">
        <v>0.57643120000000003</v>
      </c>
      <c r="F847" t="s">
        <v>41</v>
      </c>
      <c r="G847">
        <v>-277.62849999999997</v>
      </c>
      <c r="H847">
        <v>0.90988250000000004</v>
      </c>
      <c r="I847">
        <v>368.2013</v>
      </c>
      <c r="J847">
        <v>-278.13400000000001</v>
      </c>
      <c r="K847">
        <v>1.0738080000000001</v>
      </c>
      <c r="L847">
        <v>368.30970000000002</v>
      </c>
      <c r="M847">
        <v>0.99998330000000002</v>
      </c>
      <c r="N847">
        <v>-8.8751089999999997E-4</v>
      </c>
      <c r="O847">
        <v>5.7153239999999999E-3</v>
      </c>
      <c r="P847">
        <v>0.99479130000000004</v>
      </c>
      <c r="Q847">
        <v>-7.2512430000000003E-2</v>
      </c>
      <c r="R847">
        <v>7.1639980000000006E-2</v>
      </c>
      <c r="S847">
        <v>3.0007630000000001</v>
      </c>
      <c r="T847">
        <v>-0.61263540000000005</v>
      </c>
      <c r="U847">
        <v>-0.40493770000000001</v>
      </c>
      <c r="V847">
        <v>-6.5957639999999998E-2</v>
      </c>
      <c r="W847">
        <v>-7.1625229999999998E-2</v>
      </c>
      <c r="X847">
        <v>0.99524840000000003</v>
      </c>
      <c r="Y847">
        <v>0.13650090000000001</v>
      </c>
      <c r="Z847">
        <v>-1.4937829999999999E-2</v>
      </c>
      <c r="AA847">
        <v>0.9905273</v>
      </c>
      <c r="AB847">
        <v>27</v>
      </c>
      <c r="AC847">
        <v>0.50550000000004003</v>
      </c>
      <c r="AD847">
        <v>-0.1639255</v>
      </c>
      <c r="AE847">
        <v>-0.108400000000017</v>
      </c>
      <c r="AF847">
        <v>0.10112094594983199</v>
      </c>
      <c r="AG847">
        <v>-0.1639255</v>
      </c>
      <c r="AH847">
        <v>0.45875084009677602</v>
      </c>
      <c r="AI847">
        <v>109.23659817778</v>
      </c>
      <c r="AJ847">
        <v>77.569262667310994</v>
      </c>
      <c r="AK847">
        <v>0.49754331323969803</v>
      </c>
      <c r="AL847">
        <v>94.107340477831698</v>
      </c>
      <c r="AM847">
        <v>93.791592406631906</v>
      </c>
      <c r="AN847">
        <v>0.99999998077474095</v>
      </c>
    </row>
    <row r="848" spans="1:40" x14ac:dyDescent="0.25">
      <c r="A848" t="str">
        <f>"20190305135211081"</f>
        <v>20190305135211081</v>
      </c>
      <c r="B848" t="str">
        <f>"1551765131070661"</f>
        <v>1551765131070661</v>
      </c>
      <c r="C848" t="s">
        <v>40</v>
      </c>
      <c r="D848">
        <v>4.4135410000000004</v>
      </c>
      <c r="E848">
        <v>0.57650429999999997</v>
      </c>
      <c r="F848" t="s">
        <v>41</v>
      </c>
      <c r="G848">
        <v>-277.38749999999999</v>
      </c>
      <c r="H848">
        <v>0.92058519999999999</v>
      </c>
      <c r="I848">
        <v>368.2081</v>
      </c>
      <c r="J848">
        <v>-277.88260000000002</v>
      </c>
      <c r="K848">
        <v>1.0762149999999999</v>
      </c>
      <c r="L848">
        <v>368.31110000000001</v>
      </c>
      <c r="M848">
        <v>0.99998339999999997</v>
      </c>
      <c r="N848">
        <v>-8.0048589999999996E-4</v>
      </c>
      <c r="O848">
        <v>5.7020710000000004E-3</v>
      </c>
      <c r="P848">
        <v>0.99481929999999996</v>
      </c>
      <c r="Q848">
        <v>-7.2651240000000006E-2</v>
      </c>
      <c r="R848">
        <v>7.1106820000000001E-2</v>
      </c>
      <c r="S848">
        <v>3.0001220000000002</v>
      </c>
      <c r="T848">
        <v>-0.61589479999999996</v>
      </c>
      <c r="U848">
        <v>-0.40747070000000002</v>
      </c>
      <c r="V848">
        <v>-6.5437850000000006E-2</v>
      </c>
      <c r="W848">
        <v>-7.1850579999999997E-2</v>
      </c>
      <c r="X848">
        <v>0.99526650000000005</v>
      </c>
      <c r="Y848">
        <v>0.13729089999999999</v>
      </c>
      <c r="Z848">
        <v>-1.5089709999999999E-2</v>
      </c>
      <c r="AA848">
        <v>0.99041579999999996</v>
      </c>
      <c r="AB848">
        <v>26</v>
      </c>
      <c r="AC848">
        <v>0.49510000000003601</v>
      </c>
      <c r="AD848">
        <v>-0.15562980000000001</v>
      </c>
      <c r="AE848">
        <v>-0.103000000000008</v>
      </c>
      <c r="AF848">
        <v>9.6666113303904094E-2</v>
      </c>
      <c r="AG848">
        <v>-0.15562980000000001</v>
      </c>
      <c r="AH848">
        <v>0.451721782758643</v>
      </c>
      <c r="AI848">
        <v>108.618578803202</v>
      </c>
      <c r="AJ848">
        <v>77.921180169754507</v>
      </c>
      <c r="AK848">
        <v>0.48746029697604099</v>
      </c>
      <c r="AL848">
        <v>94.120285305431594</v>
      </c>
      <c r="AM848">
        <v>93.761730059517603</v>
      </c>
      <c r="AN848">
        <v>1.0000000120406001</v>
      </c>
    </row>
    <row r="849" spans="1:40" x14ac:dyDescent="0.25">
      <c r="A849" t="str">
        <f>"20190305135211102"</f>
        <v>20190305135211102</v>
      </c>
      <c r="B849" t="str">
        <f>"1551765131099940"</f>
        <v>1551765131099940</v>
      </c>
      <c r="C849" t="s">
        <v>40</v>
      </c>
      <c r="D849">
        <v>4.4790190000000001</v>
      </c>
      <c r="E849">
        <v>0.57650570000000001</v>
      </c>
      <c r="F849" t="s">
        <v>41</v>
      </c>
      <c r="G849">
        <v>-277.14690000000002</v>
      </c>
      <c r="H849">
        <v>0.92460450000000005</v>
      </c>
      <c r="I849">
        <v>368.21039999999999</v>
      </c>
      <c r="J849">
        <v>-277.62099999999998</v>
      </c>
      <c r="K849">
        <v>1.078837</v>
      </c>
      <c r="L849">
        <v>368.31259999999997</v>
      </c>
      <c r="M849">
        <v>0.99998370000000003</v>
      </c>
      <c r="N849">
        <v>-6.0421539999999999E-4</v>
      </c>
      <c r="O849">
        <v>5.688556E-3</v>
      </c>
      <c r="P849">
        <v>0.99487809999999999</v>
      </c>
      <c r="Q849">
        <v>-7.2424959999999997E-2</v>
      </c>
      <c r="R849">
        <v>7.0516679999999998E-2</v>
      </c>
      <c r="S849">
        <v>2.9997560000000001</v>
      </c>
      <c r="T849">
        <v>-0.61828240000000001</v>
      </c>
      <c r="U849">
        <v>-0.40951539999999997</v>
      </c>
      <c r="V849">
        <v>-6.4860440000000005E-2</v>
      </c>
      <c r="W849">
        <v>-7.1819610000000006E-2</v>
      </c>
      <c r="X849">
        <v>0.99530649999999998</v>
      </c>
      <c r="Y849">
        <v>0.1379232</v>
      </c>
      <c r="Z849">
        <v>-1.519704E-2</v>
      </c>
      <c r="AA849">
        <v>0.99032629999999999</v>
      </c>
      <c r="AB849">
        <v>27</v>
      </c>
      <c r="AC849">
        <v>0.47409999999996399</v>
      </c>
      <c r="AD849">
        <v>-0.15423249999999999</v>
      </c>
      <c r="AE849">
        <v>-0.102199999999982</v>
      </c>
      <c r="AF849">
        <v>9.5261383720453299E-2</v>
      </c>
      <c r="AG849">
        <v>-0.15423249999999999</v>
      </c>
      <c r="AH849">
        <v>0.43002225014441697</v>
      </c>
      <c r="AI849">
        <v>109.29884496826899</v>
      </c>
      <c r="AJ849">
        <v>77.509176387979906</v>
      </c>
      <c r="AK849">
        <v>0.46667068785585097</v>
      </c>
      <c r="AL849">
        <v>94.118506387097</v>
      </c>
      <c r="AM849">
        <v>93.728481958447304</v>
      </c>
      <c r="AN849">
        <v>0.99999998099989695</v>
      </c>
    </row>
    <row r="850" spans="1:40" x14ac:dyDescent="0.25">
      <c r="A850" t="str">
        <f>"20190305135211126"</f>
        <v>20190305135211126</v>
      </c>
      <c r="B850" t="str">
        <f>"1551765131120436"</f>
        <v>1551765131120436</v>
      </c>
      <c r="C850" t="s">
        <v>40</v>
      </c>
      <c r="D850">
        <v>4.4719720000000001</v>
      </c>
      <c r="E850">
        <v>0.57655400000000001</v>
      </c>
      <c r="F850" t="s">
        <v>41</v>
      </c>
      <c r="G850">
        <v>-276.90440000000001</v>
      </c>
      <c r="H850">
        <v>0.92915579999999998</v>
      </c>
      <c r="I850">
        <v>368.21409999999997</v>
      </c>
      <c r="J850">
        <v>-277.34570000000002</v>
      </c>
      <c r="K850">
        <v>1.081728</v>
      </c>
      <c r="L850">
        <v>368.3141</v>
      </c>
      <c r="M850">
        <v>0.99998379999999998</v>
      </c>
      <c r="N850">
        <v>-6.4349950000000002E-4</v>
      </c>
      <c r="O850">
        <v>5.6759059999999997E-3</v>
      </c>
      <c r="P850">
        <v>0.99488290000000001</v>
      </c>
      <c r="Q850">
        <v>-7.2879349999999996E-2</v>
      </c>
      <c r="R850">
        <v>6.9976559999999993E-2</v>
      </c>
      <c r="S850">
        <v>2.998993</v>
      </c>
      <c r="T850">
        <v>-0.62645550000000005</v>
      </c>
      <c r="U850">
        <v>-0.41171259999999998</v>
      </c>
      <c r="V850">
        <v>-6.4333100000000004E-2</v>
      </c>
      <c r="W850">
        <v>-7.2234850000000003E-2</v>
      </c>
      <c r="X850">
        <v>0.99531069999999999</v>
      </c>
      <c r="Y850">
        <v>0.1385634</v>
      </c>
      <c r="Z850">
        <v>-1.546234E-2</v>
      </c>
      <c r="AA850">
        <v>0.99023280000000002</v>
      </c>
      <c r="AB850">
        <v>27</v>
      </c>
      <c r="AC850">
        <v>0.44130000000001202</v>
      </c>
      <c r="AD850">
        <v>-0.15257219999999899</v>
      </c>
      <c r="AE850">
        <v>-0.100000000000022</v>
      </c>
      <c r="AF850">
        <v>9.2038928845050397E-2</v>
      </c>
      <c r="AG850">
        <v>-0.15257219999999899</v>
      </c>
      <c r="AH850">
        <v>0.39573298948126701</v>
      </c>
      <c r="AI850">
        <v>110.582190836412</v>
      </c>
      <c r="AJ850">
        <v>76.907007952668394</v>
      </c>
      <c r="AK850">
        <v>0.43399774146827702</v>
      </c>
      <c r="AL850">
        <v>94.1423597412589</v>
      </c>
      <c r="AM850">
        <v>93.698236892834302</v>
      </c>
      <c r="AN850">
        <v>1.0000000054223099</v>
      </c>
    </row>
    <row r="851" spans="1:40" x14ac:dyDescent="0.25">
      <c r="A851" t="str">
        <f>"20190305135211148"</f>
        <v>20190305135211148</v>
      </c>
      <c r="B851" t="str">
        <f>"1551765131139956"</f>
        <v>1551765131139956</v>
      </c>
      <c r="C851" t="s">
        <v>40</v>
      </c>
      <c r="D851">
        <v>4.2832489999999996</v>
      </c>
      <c r="E851">
        <v>0.57719419999999899</v>
      </c>
      <c r="F851" t="s">
        <v>41</v>
      </c>
      <c r="G851">
        <v>-276.43630000000002</v>
      </c>
      <c r="H851">
        <v>0.89073590000000002</v>
      </c>
      <c r="I851">
        <v>368.18860000000001</v>
      </c>
      <c r="J851">
        <v>-277.06689999999998</v>
      </c>
      <c r="K851">
        <v>1.0846960000000001</v>
      </c>
      <c r="L851">
        <v>368.31569999999999</v>
      </c>
      <c r="M851">
        <v>0.99998359999999997</v>
      </c>
      <c r="N851">
        <v>-1.0234440000000001E-3</v>
      </c>
      <c r="O851">
        <v>5.6633369999999897E-3</v>
      </c>
      <c r="P851">
        <v>0.99488109999999996</v>
      </c>
      <c r="Q851">
        <v>-7.3162140000000001E-2</v>
      </c>
      <c r="R851">
        <v>6.9707519999999995E-2</v>
      </c>
      <c r="S851">
        <v>2.998383</v>
      </c>
      <c r="T851">
        <v>-0.62973669999999904</v>
      </c>
      <c r="U851">
        <v>-0.41372680000000001</v>
      </c>
      <c r="V851">
        <v>-6.4076789999999995E-2</v>
      </c>
      <c r="W851">
        <v>-7.2139460000000002E-2</v>
      </c>
      <c r="X851">
        <v>0.9953341</v>
      </c>
      <c r="Y851">
        <v>0.1391801</v>
      </c>
      <c r="Z851">
        <v>-1.5629899999999999E-2</v>
      </c>
      <c r="AA851">
        <v>0.99014369999999996</v>
      </c>
      <c r="AB851">
        <v>27</v>
      </c>
      <c r="AC851">
        <v>0.63059999999995797</v>
      </c>
      <c r="AD851">
        <v>-0.193960099999999</v>
      </c>
      <c r="AE851">
        <v>-0.127099999999984</v>
      </c>
      <c r="AF851">
        <v>0.119779797333066</v>
      </c>
      <c r="AG851">
        <v>-0.193960099999999</v>
      </c>
      <c r="AH851">
        <v>0.57737916493439601</v>
      </c>
      <c r="AI851">
        <v>108.207503803582</v>
      </c>
      <c r="AJ851">
        <v>78.279988733903295</v>
      </c>
      <c r="AK851">
        <v>0.62075310739576794</v>
      </c>
      <c r="AL851">
        <v>94.136880215296301</v>
      </c>
      <c r="AM851">
        <v>93.6834570048796</v>
      </c>
      <c r="AN851">
        <v>0.99999995366430094</v>
      </c>
    </row>
    <row r="852" spans="1:40" x14ac:dyDescent="0.25">
      <c r="A852" t="str">
        <f>"20190305135211169"</f>
        <v>20190305135211169</v>
      </c>
      <c r="B852" t="str">
        <f>"1551765131160224"</f>
        <v>1551765131160224</v>
      </c>
      <c r="C852" t="s">
        <v>40</v>
      </c>
      <c r="D852">
        <v>4.4686690000000002</v>
      </c>
      <c r="E852">
        <v>0.57716529999999999</v>
      </c>
      <c r="F852" t="s">
        <v>41</v>
      </c>
      <c r="G852">
        <v>-276.18920000000003</v>
      </c>
      <c r="H852">
        <v>0.90064129999999998</v>
      </c>
      <c r="I852">
        <v>368.19279999999998</v>
      </c>
      <c r="J852">
        <v>-276.80669999999998</v>
      </c>
      <c r="K852">
        <v>1.087375</v>
      </c>
      <c r="L852">
        <v>368.31720000000001</v>
      </c>
      <c r="M852">
        <v>0.99998290000000001</v>
      </c>
      <c r="N852">
        <v>-1.51273799999999E-3</v>
      </c>
      <c r="O852">
        <v>5.6515649999999999E-3</v>
      </c>
      <c r="P852">
        <v>0.9948574</v>
      </c>
      <c r="Q852">
        <v>-7.352409E-2</v>
      </c>
      <c r="R852">
        <v>6.9663370000000002E-2</v>
      </c>
      <c r="S852">
        <v>2.998596</v>
      </c>
      <c r="T852">
        <v>-0.62882689999999997</v>
      </c>
      <c r="U852">
        <v>-0.41970829999999998</v>
      </c>
      <c r="V852">
        <v>-6.4044149999999994E-2</v>
      </c>
      <c r="W852">
        <v>-7.2014449999999994E-2</v>
      </c>
      <c r="X852">
        <v>0.99534529999999999</v>
      </c>
      <c r="Y852">
        <v>0.14105980000000001</v>
      </c>
      <c r="Z852">
        <v>-1.5829699999999999E-2</v>
      </c>
      <c r="AA852">
        <v>0.98987449999999999</v>
      </c>
      <c r="AB852">
        <v>27</v>
      </c>
      <c r="AC852">
        <v>0.61749999999994998</v>
      </c>
      <c r="AD852">
        <v>-0.186733699999999</v>
      </c>
      <c r="AE852">
        <v>-0.124400000000036</v>
      </c>
      <c r="AF852">
        <v>0.117556869989527</v>
      </c>
      <c r="AG852">
        <v>-0.186733699999999</v>
      </c>
      <c r="AH852">
        <v>0.56696202196704104</v>
      </c>
      <c r="AI852">
        <v>107.87445422294201</v>
      </c>
      <c r="AJ852">
        <v>78.285980994510496</v>
      </c>
      <c r="AK852">
        <v>0.60838723421056495</v>
      </c>
      <c r="AL852">
        <v>94.129698799237502</v>
      </c>
      <c r="AM852">
        <v>93.681544542096205</v>
      </c>
      <c r="AN852">
        <v>1.00000000019505</v>
      </c>
    </row>
    <row r="853" spans="1:40" x14ac:dyDescent="0.25">
      <c r="A853" t="str">
        <f>"20190305135211191"</f>
        <v>20190305135211191</v>
      </c>
      <c r="B853" t="str">
        <f>"1551765131180720"</f>
        <v>1551765131180720</v>
      </c>
      <c r="C853" t="s">
        <v>40</v>
      </c>
      <c r="D853">
        <v>4.4880940000000002</v>
      </c>
      <c r="E853">
        <v>0.57708249999999905</v>
      </c>
      <c r="F853" t="s">
        <v>41</v>
      </c>
      <c r="G853">
        <v>-275.94349999999997</v>
      </c>
      <c r="H853">
        <v>0.90562469999999995</v>
      </c>
      <c r="I853">
        <v>368.19639999999998</v>
      </c>
      <c r="J853">
        <v>-276.53710000000001</v>
      </c>
      <c r="K853">
        <v>1.0899669999999999</v>
      </c>
      <c r="L853">
        <v>368.31869999999998</v>
      </c>
      <c r="M853">
        <v>0.99998209999999998</v>
      </c>
      <c r="N853">
        <v>-2.0713810000000002E-3</v>
      </c>
      <c r="O853">
        <v>5.6387669999999898E-3</v>
      </c>
      <c r="P853">
        <v>0.99480539999999995</v>
      </c>
      <c r="Q853">
        <v>-7.4602909999999995E-2</v>
      </c>
      <c r="R853">
        <v>6.9261539999999996E-2</v>
      </c>
      <c r="S853">
        <v>2.99823</v>
      </c>
      <c r="T853">
        <v>-0.63140339999999995</v>
      </c>
      <c r="U853">
        <v>-0.41912840000000001</v>
      </c>
      <c r="V853">
        <v>-6.3655859999999995E-2</v>
      </c>
      <c r="W853">
        <v>-7.2537359999999995E-2</v>
      </c>
      <c r="X853">
        <v>0.9953322</v>
      </c>
      <c r="Y853">
        <v>0.14084679999999999</v>
      </c>
      <c r="Z853">
        <v>-1.5906859999999998E-2</v>
      </c>
      <c r="AA853">
        <v>0.98990359999999999</v>
      </c>
      <c r="AB853">
        <v>27</v>
      </c>
      <c r="AC853">
        <v>0.59360000000003699</v>
      </c>
      <c r="AD853">
        <v>-0.18434229999999999</v>
      </c>
      <c r="AE853">
        <v>-0.122299999999995</v>
      </c>
      <c r="AF853">
        <v>0.115005604986821</v>
      </c>
      <c r="AG853">
        <v>-0.18434229999999999</v>
      </c>
      <c r="AH853">
        <v>0.54269413108204501</v>
      </c>
      <c r="AI853">
        <v>108.38166387692</v>
      </c>
      <c r="AJ853">
        <v>78.035115958661294</v>
      </c>
      <c r="AK853">
        <v>0.58457274368428302</v>
      </c>
      <c r="AL853">
        <v>94.159738053704501</v>
      </c>
      <c r="AM853">
        <v>93.659332755675607</v>
      </c>
      <c r="AN853">
        <v>0.99999996273247305</v>
      </c>
    </row>
    <row r="854" spans="1:40" x14ac:dyDescent="0.25">
      <c r="A854" t="str">
        <f>"20190305135211213"</f>
        <v>20190305135211213</v>
      </c>
      <c r="B854" t="str">
        <f>"1551765131200240"</f>
        <v>1551765131200240</v>
      </c>
      <c r="C854" t="s">
        <v>40</v>
      </c>
      <c r="D854">
        <v>4.5076739999999997</v>
      </c>
      <c r="E854">
        <v>0.57699609999999901</v>
      </c>
      <c r="F854" t="s">
        <v>41</v>
      </c>
      <c r="G854">
        <v>-275.69670000000002</v>
      </c>
      <c r="H854">
        <v>0.91153139999999999</v>
      </c>
      <c r="I854">
        <v>368.2011</v>
      </c>
      <c r="J854">
        <v>-276.26690000000002</v>
      </c>
      <c r="K854">
        <v>1.0923700000000001</v>
      </c>
      <c r="L854">
        <v>368.3202</v>
      </c>
      <c r="M854">
        <v>0.9999806</v>
      </c>
      <c r="N854">
        <v>-2.6523979999999998E-3</v>
      </c>
      <c r="O854">
        <v>5.6259589999999998E-3</v>
      </c>
      <c r="P854">
        <v>0.99471449999999995</v>
      </c>
      <c r="Q854">
        <v>-7.5821799999999995E-2</v>
      </c>
      <c r="R854">
        <v>6.9241910000000004E-2</v>
      </c>
      <c r="S854">
        <v>2.9971920000000001</v>
      </c>
      <c r="T854">
        <v>-0.63636110000000001</v>
      </c>
      <c r="U854">
        <v>-0.4194946</v>
      </c>
      <c r="V854">
        <v>-6.3649070000000002E-2</v>
      </c>
      <c r="W854">
        <v>-7.317825E-2</v>
      </c>
      <c r="X854">
        <v>0.99528570000000005</v>
      </c>
      <c r="Y854">
        <v>0.14093839999999999</v>
      </c>
      <c r="Z854">
        <v>-1.607865E-2</v>
      </c>
      <c r="AA854">
        <v>0.98988779999999998</v>
      </c>
      <c r="AB854">
        <v>27</v>
      </c>
      <c r="AC854">
        <v>0.57019999999999904</v>
      </c>
      <c r="AD854">
        <v>-0.18083859999999999</v>
      </c>
      <c r="AE854">
        <v>-0.119100000000003</v>
      </c>
      <c r="AF854">
        <v>0.11155454415761901</v>
      </c>
      <c r="AG854">
        <v>-0.18083859999999999</v>
      </c>
      <c r="AH854">
        <v>0.51945629555351103</v>
      </c>
      <c r="AI854">
        <v>108.79704897175399</v>
      </c>
      <c r="AJ854">
        <v>77.879674045170603</v>
      </c>
      <c r="AK854">
        <v>0.56123244610620204</v>
      </c>
      <c r="AL854">
        <v>94.196556283056395</v>
      </c>
      <c r="AM854">
        <v>93.659113967220094</v>
      </c>
      <c r="AN854">
        <v>0.99999994250470703</v>
      </c>
    </row>
    <row r="855" spans="1:40" x14ac:dyDescent="0.25">
      <c r="A855" t="str">
        <f>"20190305135211237"</f>
        <v>20190305135211237</v>
      </c>
      <c r="B855" t="str">
        <f>"1551765131230499"</f>
        <v>1551765131230499</v>
      </c>
      <c r="C855" t="s">
        <v>40</v>
      </c>
      <c r="D855">
        <v>4.5554360000000003</v>
      </c>
      <c r="E855">
        <v>0.57690450000000004</v>
      </c>
      <c r="F855" t="s">
        <v>41</v>
      </c>
      <c r="G855">
        <v>-275.44920000000002</v>
      </c>
      <c r="H855">
        <v>0.91728770000000004</v>
      </c>
      <c r="I855">
        <v>368.2056</v>
      </c>
      <c r="J855">
        <v>-275.9837</v>
      </c>
      <c r="K855">
        <v>1.0946469999999999</v>
      </c>
      <c r="L855">
        <v>368.3218</v>
      </c>
      <c r="M855">
        <v>0.99997899999999995</v>
      </c>
      <c r="N855">
        <v>-3.2595189999999998E-3</v>
      </c>
      <c r="O855">
        <v>5.6125819999999996E-3</v>
      </c>
      <c r="P855">
        <v>0.99464859999999999</v>
      </c>
      <c r="Q855">
        <v>-7.6788079999999995E-2</v>
      </c>
      <c r="R855">
        <v>6.9121230000000006E-2</v>
      </c>
      <c r="S855">
        <v>2.9961850000000001</v>
      </c>
      <c r="T855">
        <v>-0.64162680000000005</v>
      </c>
      <c r="U855">
        <v>-0.41909790000000002</v>
      </c>
      <c r="V855">
        <v>-6.3542009999999996E-2</v>
      </c>
      <c r="W855">
        <v>-7.3540499999999995E-2</v>
      </c>
      <c r="X855">
        <v>0.99526590000000004</v>
      </c>
      <c r="Y855">
        <v>0.140782399999999</v>
      </c>
      <c r="Z855">
        <v>-1.623343E-2</v>
      </c>
      <c r="AA855">
        <v>0.98990739999999999</v>
      </c>
      <c r="AB855">
        <v>27</v>
      </c>
      <c r="AC855">
        <v>0.53449999999997999</v>
      </c>
      <c r="AD855">
        <v>-0.177359299999999</v>
      </c>
      <c r="AE855">
        <v>-0.116199999999992</v>
      </c>
      <c r="AF855">
        <v>0.10785818837802701</v>
      </c>
      <c r="AG855">
        <v>-0.177359299999999</v>
      </c>
      <c r="AH855">
        <v>0.48305254024609201</v>
      </c>
      <c r="AI855">
        <v>109.714609451534</v>
      </c>
      <c r="AJ855">
        <v>77.413200601852097</v>
      </c>
      <c r="AK855">
        <v>0.52576560056253496</v>
      </c>
      <c r="AL855">
        <v>94.217367504424502</v>
      </c>
      <c r="AM855">
        <v>93.653048362891894</v>
      </c>
      <c r="AN855">
        <v>1.0000000019389499</v>
      </c>
    </row>
    <row r="856" spans="1:40" x14ac:dyDescent="0.25">
      <c r="A856" t="str">
        <f>"20190305135211260"</f>
        <v>20190305135211260</v>
      </c>
      <c r="B856" t="str">
        <f>"1551765131250016"</f>
        <v>1551765131250016</v>
      </c>
      <c r="C856" t="s">
        <v>40</v>
      </c>
      <c r="D856">
        <v>4.3720410000000003</v>
      </c>
      <c r="E856">
        <v>0.57737299999999903</v>
      </c>
      <c r="F856" t="s">
        <v>41</v>
      </c>
      <c r="G856">
        <v>-275.20010000000002</v>
      </c>
      <c r="H856">
        <v>0.92556510000000003</v>
      </c>
      <c r="I856">
        <v>368.2122</v>
      </c>
      <c r="J856">
        <v>-275.70429999999999</v>
      </c>
      <c r="K856">
        <v>1.096646</v>
      </c>
      <c r="L856">
        <v>368.32330000000002</v>
      </c>
      <c r="M856">
        <v>0.99997709999999995</v>
      </c>
      <c r="N856">
        <v>-3.832841E-3</v>
      </c>
      <c r="O856">
        <v>5.5994419999999996E-3</v>
      </c>
      <c r="P856">
        <v>0.99457810000000002</v>
      </c>
      <c r="Q856">
        <v>-7.7785729999999997E-2</v>
      </c>
      <c r="R856">
        <v>6.9022860000000005E-2</v>
      </c>
      <c r="S856">
        <v>2.9953310000000002</v>
      </c>
      <c r="T856">
        <v>-0.64632800000000001</v>
      </c>
      <c r="U856">
        <v>-0.41876219999999997</v>
      </c>
      <c r="V856">
        <v>-6.3457429999999995E-2</v>
      </c>
      <c r="W856">
        <v>-7.3967809999999995E-2</v>
      </c>
      <c r="X856">
        <v>0.9952396</v>
      </c>
      <c r="Y856">
        <v>0.14064499999999999</v>
      </c>
      <c r="Z856">
        <v>-1.6373080000000002E-2</v>
      </c>
      <c r="AA856">
        <v>0.98992469999999999</v>
      </c>
      <c r="AB856">
        <v>27</v>
      </c>
      <c r="AC856">
        <v>0.50419999999996801</v>
      </c>
      <c r="AD856">
        <v>-0.17108089999999901</v>
      </c>
      <c r="AE856">
        <v>-0.111100000000021</v>
      </c>
      <c r="AF856">
        <v>0.10265039148607499</v>
      </c>
      <c r="AG856">
        <v>-0.17108089999999901</v>
      </c>
      <c r="AH856">
        <v>0.45374796744006701</v>
      </c>
      <c r="AI856">
        <v>110.190819713599</v>
      </c>
      <c r="AJ856">
        <v>77.252677685989298</v>
      </c>
      <c r="AK856">
        <v>0.495674283348498</v>
      </c>
      <c r="AL856">
        <v>94.2419175547371</v>
      </c>
      <c r="AM856">
        <v>93.648295121354295</v>
      </c>
      <c r="AN856">
        <v>0.99999997187328005</v>
      </c>
    </row>
    <row r="857" spans="1:40" x14ac:dyDescent="0.25">
      <c r="A857" t="str">
        <f>"20190305135211281"</f>
        <v>20190305135211281</v>
      </c>
      <c r="B857" t="str">
        <f>"1551765131270044"</f>
        <v>1551765131270044</v>
      </c>
      <c r="C857" t="s">
        <v>40</v>
      </c>
      <c r="D857">
        <v>4.3786519999999998</v>
      </c>
      <c r="E857">
        <v>0.57783479999999998</v>
      </c>
      <c r="F857" t="s">
        <v>41</v>
      </c>
      <c r="G857">
        <v>-274.9504</v>
      </c>
      <c r="H857">
        <v>0.93367960000000005</v>
      </c>
      <c r="I857">
        <v>368.2167</v>
      </c>
      <c r="J857">
        <v>-275.43560000000002</v>
      </c>
      <c r="K857">
        <v>1.098347</v>
      </c>
      <c r="L857">
        <v>368.32479999999998</v>
      </c>
      <c r="M857">
        <v>0.9999749</v>
      </c>
      <c r="N857">
        <v>-4.3462300000000004E-3</v>
      </c>
      <c r="O857">
        <v>5.5867479999999999E-3</v>
      </c>
      <c r="P857">
        <v>0.99449600000000005</v>
      </c>
      <c r="Q857">
        <v>-7.8780870000000003E-2</v>
      </c>
      <c r="R857">
        <v>6.9072339999999996E-2</v>
      </c>
      <c r="S857">
        <v>2.9950559999999999</v>
      </c>
      <c r="T857">
        <v>-0.64756250000000004</v>
      </c>
      <c r="U857">
        <v>-0.4230042</v>
      </c>
      <c r="V857">
        <v>-6.3519660000000006E-2</v>
      </c>
      <c r="W857">
        <v>-7.4452340000000006E-2</v>
      </c>
      <c r="X857">
        <v>0.99519950000000001</v>
      </c>
      <c r="Y857">
        <v>0.1419696</v>
      </c>
      <c r="Z857">
        <v>-1.6578160000000002E-2</v>
      </c>
      <c r="AA857">
        <v>0.98973219999999995</v>
      </c>
      <c r="AB857">
        <v>28</v>
      </c>
      <c r="AC857">
        <v>0.48520000000002</v>
      </c>
      <c r="AD857">
        <v>-0.16466739999999899</v>
      </c>
      <c r="AE857">
        <v>-0.108099999999979</v>
      </c>
      <c r="AF857">
        <v>9.9852038591535699E-2</v>
      </c>
      <c r="AG857">
        <v>-0.16466739999999899</v>
      </c>
      <c r="AH857">
        <v>0.43667153823617</v>
      </c>
      <c r="AI857">
        <v>110.183849827983</v>
      </c>
      <c r="AJ857">
        <v>77.1198359917354</v>
      </c>
      <c r="AK857">
        <v>0.47725026405355597</v>
      </c>
      <c r="AL857">
        <v>94.269755842006205</v>
      </c>
      <c r="AM857">
        <v>93.652009920062696</v>
      </c>
      <c r="AN857">
        <v>0.99999997146912001</v>
      </c>
    </row>
    <row r="858" spans="1:40" x14ac:dyDescent="0.25">
      <c r="A858" t="str">
        <f>"20190305135211294"</f>
        <v>20190305135211294</v>
      </c>
      <c r="B858" t="str">
        <f>"1551765131290538"</f>
        <v>1551765131290538</v>
      </c>
      <c r="C858" t="s">
        <v>40</v>
      </c>
      <c r="D858">
        <v>4.4612230000000004</v>
      </c>
      <c r="E858">
        <v>0.57825159999999998</v>
      </c>
      <c r="F858" t="s">
        <v>41</v>
      </c>
      <c r="G858">
        <v>-274.70119999999997</v>
      </c>
      <c r="H858">
        <v>0.93918100000000004</v>
      </c>
      <c r="I858">
        <v>368.22039999999998</v>
      </c>
      <c r="J858">
        <v>-275.28890000000001</v>
      </c>
      <c r="K858">
        <v>1.0991740000000001</v>
      </c>
      <c r="L858">
        <v>368.32569999999998</v>
      </c>
      <c r="M858">
        <v>0.99997389999999997</v>
      </c>
      <c r="N858">
        <v>-4.6072120000000003E-3</v>
      </c>
      <c r="O858">
        <v>5.579596E-3</v>
      </c>
      <c r="P858">
        <v>0.99447589999999997</v>
      </c>
      <c r="Q858">
        <v>-7.9162709999999997E-2</v>
      </c>
      <c r="R858">
        <v>6.8928119999999996E-2</v>
      </c>
      <c r="S858">
        <v>2.994812</v>
      </c>
      <c r="T858">
        <v>-0.64906359999999996</v>
      </c>
      <c r="U858">
        <v>-0.4265137</v>
      </c>
      <c r="V858">
        <v>-6.3382889999999997E-2</v>
      </c>
      <c r="W858">
        <v>-7.4574550000000003E-2</v>
      </c>
      <c r="X858">
        <v>0.9951991</v>
      </c>
      <c r="Y858">
        <v>0.1430662</v>
      </c>
      <c r="Z858">
        <v>-1.6750480000000002E-2</v>
      </c>
      <c r="AA858">
        <v>0.98957139999999999</v>
      </c>
      <c r="AB858">
        <v>28</v>
      </c>
      <c r="AC858">
        <v>0.58770000000003997</v>
      </c>
      <c r="AD858">
        <v>-0.159992999999999</v>
      </c>
      <c r="AE858">
        <v>-0.10529999999999901</v>
      </c>
      <c r="AF858">
        <v>0.101303230079964</v>
      </c>
      <c r="AG858">
        <v>-0.159992999999999</v>
      </c>
      <c r="AH858">
        <v>0.54776955600486399</v>
      </c>
      <c r="AI858">
        <v>106.024624942269</v>
      </c>
      <c r="AJ858">
        <v>79.522234484261602</v>
      </c>
      <c r="AK858">
        <v>0.57957880478792501</v>
      </c>
      <c r="AL858">
        <v>94.276777351068503</v>
      </c>
      <c r="AM858">
        <v>93.644169116032401</v>
      </c>
      <c r="AN858">
        <v>1.0000000014466299</v>
      </c>
    </row>
    <row r="859" spans="1:40" x14ac:dyDescent="0.25">
      <c r="A859" t="str">
        <f>"20190305135211305"</f>
        <v>20190305135211305</v>
      </c>
      <c r="B859" t="str">
        <f>"1551765131300299"</f>
        <v>1551765131300299</v>
      </c>
      <c r="C859" t="s">
        <v>40</v>
      </c>
      <c r="D859">
        <v>4.440741</v>
      </c>
      <c r="E859">
        <v>0.57845970000000002</v>
      </c>
      <c r="F859" t="s">
        <v>41</v>
      </c>
      <c r="G859">
        <v>-274.4622</v>
      </c>
      <c r="H859">
        <v>0.92001630000000001</v>
      </c>
      <c r="I859">
        <v>368.20659999999998</v>
      </c>
      <c r="J859">
        <v>-275.13670000000002</v>
      </c>
      <c r="K859">
        <v>1.0999909999999999</v>
      </c>
      <c r="L859">
        <v>368.32650000000001</v>
      </c>
      <c r="M859">
        <v>0.99997259999999999</v>
      </c>
      <c r="N859">
        <v>-4.8705600000000003E-3</v>
      </c>
      <c r="O859">
        <v>5.5725829999999999E-3</v>
      </c>
      <c r="P859">
        <v>0.9944269</v>
      </c>
      <c r="Q859">
        <v>-7.9732029999999995E-2</v>
      </c>
      <c r="R859">
        <v>6.8979079999999998E-2</v>
      </c>
      <c r="S859">
        <v>2.9947810000000001</v>
      </c>
      <c r="T859">
        <v>-0.64916430000000003</v>
      </c>
      <c r="U859">
        <v>-0.43002319999999999</v>
      </c>
      <c r="V859">
        <v>-6.3441220000000006E-2</v>
      </c>
      <c r="W859">
        <v>-7.4881980000000001E-2</v>
      </c>
      <c r="X859">
        <v>0.99517230000000001</v>
      </c>
      <c r="Y859">
        <v>0.1441672</v>
      </c>
      <c r="Z859">
        <v>-1.6888210000000001E-2</v>
      </c>
      <c r="AA859">
        <v>0.98940919999999999</v>
      </c>
      <c r="AB859">
        <v>28</v>
      </c>
      <c r="AC859">
        <v>0.67450000000002297</v>
      </c>
      <c r="AD859">
        <v>-0.17997469999999899</v>
      </c>
      <c r="AE859">
        <v>-0.119900000000029</v>
      </c>
      <c r="AF859">
        <v>0.11567359310785599</v>
      </c>
      <c r="AG859">
        <v>-0.17997469999999899</v>
      </c>
      <c r="AH859">
        <v>0.63031941410389702</v>
      </c>
      <c r="AI859">
        <v>105.686837394024</v>
      </c>
      <c r="AJ859">
        <v>79.601026008155998</v>
      </c>
      <c r="AK859">
        <v>0.66563791702310005</v>
      </c>
      <c r="AL859">
        <v>94.294441175135205</v>
      </c>
      <c r="AM859">
        <v>93.647611684525103</v>
      </c>
      <c r="AN859">
        <v>1.00000000300554</v>
      </c>
    </row>
    <row r="860" spans="1:40" x14ac:dyDescent="0.25">
      <c r="A860" t="str">
        <f>"20190305135211315"</f>
        <v>20190305135211315</v>
      </c>
      <c r="B860" t="str">
        <f>"1551765131310059"</f>
        <v>1551765131310059</v>
      </c>
      <c r="C860" t="s">
        <v>40</v>
      </c>
      <c r="D860">
        <v>4.6200830000000002</v>
      </c>
      <c r="E860">
        <v>0.57841169999999997</v>
      </c>
      <c r="F860" t="s">
        <v>41</v>
      </c>
      <c r="G860">
        <v>-274.44880000000001</v>
      </c>
      <c r="H860">
        <v>0.9506867</v>
      </c>
      <c r="I860">
        <v>368.22710000000001</v>
      </c>
      <c r="J860">
        <v>-275.00400000000002</v>
      </c>
      <c r="K860">
        <v>1.1006199999999999</v>
      </c>
      <c r="L860">
        <v>368.32729999999998</v>
      </c>
      <c r="M860">
        <v>0.99997159999999996</v>
      </c>
      <c r="N860">
        <v>-5.0813009999999999E-3</v>
      </c>
      <c r="O860">
        <v>5.5663269999999898E-3</v>
      </c>
      <c r="P860">
        <v>0.99441880000000005</v>
      </c>
      <c r="Q860">
        <v>-7.9805799999999996E-2</v>
      </c>
      <c r="R860">
        <v>6.9010169999999996E-2</v>
      </c>
      <c r="S860">
        <v>2.9945979999999999</v>
      </c>
      <c r="T860">
        <v>-0.65008659999999996</v>
      </c>
      <c r="U860">
        <v>-0.43148799999999998</v>
      </c>
      <c r="V860">
        <v>-6.3478409999999999E-2</v>
      </c>
      <c r="W860">
        <v>-7.4746049999999994E-2</v>
      </c>
      <c r="X860">
        <v>0.99518010000000001</v>
      </c>
      <c r="Y860">
        <v>0.14462030000000001</v>
      </c>
      <c r="Z860">
        <v>-1.6974199999999998E-2</v>
      </c>
      <c r="AA860">
        <v>0.98934160000000004</v>
      </c>
      <c r="AB860">
        <v>28</v>
      </c>
      <c r="AC860">
        <v>0.55520000000001302</v>
      </c>
      <c r="AD860">
        <v>-0.14993329999999999</v>
      </c>
      <c r="AE860">
        <v>-0.10019999999997201</v>
      </c>
      <c r="AF860">
        <v>9.6475066854923394E-2</v>
      </c>
      <c r="AG860">
        <v>-0.14993329999999999</v>
      </c>
      <c r="AH860">
        <v>0.51804513022922505</v>
      </c>
      <c r="AI860">
        <v>105.88261319242901</v>
      </c>
      <c r="AJ860">
        <v>79.450706284498295</v>
      </c>
      <c r="AK860">
        <v>0.54786694546008796</v>
      </c>
      <c r="AL860">
        <v>94.286631274017594</v>
      </c>
      <c r="AM860">
        <v>93.649715651514299</v>
      </c>
      <c r="AN860">
        <v>0.99999995598136904</v>
      </c>
    </row>
    <row r="861" spans="1:40" x14ac:dyDescent="0.25">
      <c r="A861" t="str">
        <f>"20190305135211327"</f>
        <v>20190305135211327</v>
      </c>
      <c r="B861" t="str">
        <f>"1551765131320795"</f>
        <v>1551765131320795</v>
      </c>
      <c r="C861" t="s">
        <v>40</v>
      </c>
      <c r="D861">
        <v>4.6437390000000001</v>
      </c>
      <c r="E861">
        <v>0.57837309999999997</v>
      </c>
      <c r="F861" t="s">
        <v>41</v>
      </c>
      <c r="G861">
        <v>-274.21089999999998</v>
      </c>
      <c r="H861">
        <v>0.9282532</v>
      </c>
      <c r="I861">
        <v>368.21300000000002</v>
      </c>
      <c r="J861">
        <v>-274.86470000000003</v>
      </c>
      <c r="K861">
        <v>1.1012660000000001</v>
      </c>
      <c r="L861">
        <v>368.32810000000001</v>
      </c>
      <c r="M861">
        <v>0.99997040000000004</v>
      </c>
      <c r="N861">
        <v>-5.2993190000000003E-3</v>
      </c>
      <c r="O861">
        <v>5.5599100000000004E-3</v>
      </c>
      <c r="P861">
        <v>0.99437949999999997</v>
      </c>
      <c r="Q861">
        <v>-8.0228350000000004E-2</v>
      </c>
      <c r="R861">
        <v>6.9086330000000001E-2</v>
      </c>
      <c r="S861">
        <v>2.9945369999999998</v>
      </c>
      <c r="T861">
        <v>-0.65084390000000003</v>
      </c>
      <c r="U861">
        <v>-0.43136600000000003</v>
      </c>
      <c r="V861">
        <v>-6.3561400000000004E-2</v>
      </c>
      <c r="W861">
        <v>-7.4951840000000006E-2</v>
      </c>
      <c r="X861">
        <v>0.99515940000000003</v>
      </c>
      <c r="Y861">
        <v>0.14456739999999901</v>
      </c>
      <c r="Z861">
        <v>-1.7001220000000001E-2</v>
      </c>
      <c r="AA861">
        <v>0.98934889999999998</v>
      </c>
      <c r="AB861">
        <v>28</v>
      </c>
      <c r="AC861">
        <v>0.65380000000004601</v>
      </c>
      <c r="AD861">
        <v>-0.17301279999999999</v>
      </c>
      <c r="AE861">
        <v>-0.11509999999998401</v>
      </c>
      <c r="AF861">
        <v>0.111181651949395</v>
      </c>
      <c r="AG861">
        <v>-0.17301279999999999</v>
      </c>
      <c r="AH861">
        <v>0.61160823360841299</v>
      </c>
      <c r="AI861">
        <v>105.55297086838</v>
      </c>
      <c r="AJ861">
        <v>79.696953146996506</v>
      </c>
      <c r="AK861">
        <v>0.64525918832019702</v>
      </c>
      <c r="AL861">
        <v>94.298455019355103</v>
      </c>
      <c r="AM861">
        <v>93.654550080933006</v>
      </c>
      <c r="AN861">
        <v>1.0000000306488499</v>
      </c>
    </row>
    <row r="862" spans="1:40" x14ac:dyDescent="0.25">
      <c r="A862" t="str">
        <f>"20190305135211338"</f>
        <v>20190305135211338</v>
      </c>
      <c r="B862" t="str">
        <f>"1551765131330555"</f>
        <v>1551765131330555</v>
      </c>
      <c r="C862" t="s">
        <v>40</v>
      </c>
      <c r="D862">
        <v>4.642652</v>
      </c>
      <c r="E862">
        <v>0.57834980000000002</v>
      </c>
      <c r="F862" t="s">
        <v>41</v>
      </c>
      <c r="G862">
        <v>-273.97140000000002</v>
      </c>
      <c r="H862">
        <v>0.90650189999999997</v>
      </c>
      <c r="I862">
        <v>368.1995</v>
      </c>
      <c r="J862">
        <v>-274.72219999999999</v>
      </c>
      <c r="K862">
        <v>1.101861</v>
      </c>
      <c r="L862">
        <v>368.3288</v>
      </c>
      <c r="M862">
        <v>0.99996960000000001</v>
      </c>
      <c r="N862">
        <v>-5.5059849999999997E-3</v>
      </c>
      <c r="O862">
        <v>5.5529050000000003E-3</v>
      </c>
      <c r="P862">
        <v>0.99436720000000001</v>
      </c>
      <c r="Q862">
        <v>-8.0447669999999999E-2</v>
      </c>
      <c r="R862">
        <v>6.9011840000000005E-2</v>
      </c>
      <c r="S862">
        <v>2.994202</v>
      </c>
      <c r="T862">
        <v>-0.65284180000000003</v>
      </c>
      <c r="U862">
        <v>-0.43066409999999999</v>
      </c>
      <c r="V862">
        <v>-6.3493969999999997E-2</v>
      </c>
      <c r="W862">
        <v>-7.4965539999999997E-2</v>
      </c>
      <c r="X862">
        <v>0.99516269999999996</v>
      </c>
      <c r="Y862">
        <v>0.1443296</v>
      </c>
      <c r="Z862">
        <v>-1.7039680000000001E-2</v>
      </c>
      <c r="AA862">
        <v>0.98938300000000001</v>
      </c>
      <c r="AB862">
        <v>28</v>
      </c>
      <c r="AC862">
        <v>0.75079999999996905</v>
      </c>
      <c r="AD862">
        <v>-0.19535910000000001</v>
      </c>
      <c r="AE862">
        <v>-0.1293</v>
      </c>
      <c r="AF862">
        <v>0.125232582374002</v>
      </c>
      <c r="AG862">
        <v>-0.19535910000000001</v>
      </c>
      <c r="AH862">
        <v>0.70379286486382997</v>
      </c>
      <c r="AI862">
        <v>105.284997605378</v>
      </c>
      <c r="AJ862">
        <v>79.910417624454595</v>
      </c>
      <c r="AK862">
        <v>0.74106192337355203</v>
      </c>
      <c r="AL862">
        <v>94.299242068530802</v>
      </c>
      <c r="AM862">
        <v>93.650671517465895</v>
      </c>
      <c r="AN862">
        <v>1.0000000579425601</v>
      </c>
    </row>
    <row r="863" spans="1:40" x14ac:dyDescent="0.25">
      <c r="A863" t="str">
        <f>"20190305135211350"</f>
        <v>20190305135211350</v>
      </c>
      <c r="B863" t="str">
        <f>"1551765131340315"</f>
        <v>1551765131340315</v>
      </c>
      <c r="C863" t="s">
        <v>40</v>
      </c>
      <c r="D863">
        <v>4.6508789999999998</v>
      </c>
      <c r="E863">
        <v>0.57830539999999997</v>
      </c>
      <c r="F863" t="s">
        <v>41</v>
      </c>
      <c r="G863">
        <v>-273.95960000000002</v>
      </c>
      <c r="H863">
        <v>0.93531889999999995</v>
      </c>
      <c r="I863">
        <v>368.21899999999999</v>
      </c>
      <c r="J863">
        <v>-274.58600000000001</v>
      </c>
      <c r="K863">
        <v>1.1023969999999901</v>
      </c>
      <c r="L863">
        <v>368.32960000000003</v>
      </c>
      <c r="M863">
        <v>0.99996859999999999</v>
      </c>
      <c r="N863">
        <v>-5.6963489999999999E-3</v>
      </c>
      <c r="O863">
        <v>5.5465209999999996E-3</v>
      </c>
      <c r="P863">
        <v>0.99434639999999996</v>
      </c>
      <c r="Q863">
        <v>-8.0716990000000002E-2</v>
      </c>
      <c r="R863">
        <v>6.8996180000000004E-2</v>
      </c>
      <c r="S863">
        <v>2.9939879999999999</v>
      </c>
      <c r="T863">
        <v>-0.65385990000000005</v>
      </c>
      <c r="U863">
        <v>-0.43084719999999999</v>
      </c>
      <c r="V863">
        <v>-6.3484579999999999E-2</v>
      </c>
      <c r="W863">
        <v>-7.5045520000000004E-2</v>
      </c>
      <c r="X863">
        <v>0.99515719999999996</v>
      </c>
      <c r="Y863">
        <v>0.14437749999999999</v>
      </c>
      <c r="Z863">
        <v>-1.7083060000000001E-2</v>
      </c>
      <c r="AA863">
        <v>0.98937520000000001</v>
      </c>
      <c r="AB863">
        <v>28</v>
      </c>
      <c r="AC863">
        <v>0.62639999999998897</v>
      </c>
      <c r="AD863">
        <v>-0.16707809999999901</v>
      </c>
      <c r="AE863">
        <v>-0.11060000000003301</v>
      </c>
      <c r="AF863">
        <v>0.10671045232574899</v>
      </c>
      <c r="AG863">
        <v>-0.16707809999999901</v>
      </c>
      <c r="AH863">
        <v>0.58538931680732698</v>
      </c>
      <c r="AI863">
        <v>105.684028545499</v>
      </c>
      <c r="AJ863">
        <v>79.669003324664899</v>
      </c>
      <c r="AK863">
        <v>0.61804762305774197</v>
      </c>
      <c r="AL863">
        <v>94.303837834013905</v>
      </c>
      <c r="AM863">
        <v>93.650153205337105</v>
      </c>
      <c r="AN863">
        <v>0.99999998734084306</v>
      </c>
    </row>
    <row r="864" spans="1:40" x14ac:dyDescent="0.25">
      <c r="A864" t="str">
        <f>"20190305135211362"</f>
        <v>20190305135211362</v>
      </c>
      <c r="B864" t="str">
        <f>"1551765131350075"</f>
        <v>1551765131350075</v>
      </c>
      <c r="C864" t="s">
        <v>40</v>
      </c>
      <c r="D864">
        <v>4.6460369999999998</v>
      </c>
      <c r="E864">
        <v>0.57825139999999997</v>
      </c>
      <c r="F864" t="s">
        <v>41</v>
      </c>
      <c r="G864">
        <v>-273.72019999999998</v>
      </c>
      <c r="H864">
        <v>0.91284419999999999</v>
      </c>
      <c r="I864">
        <v>368.20510000000002</v>
      </c>
      <c r="J864">
        <v>-274.42489999999998</v>
      </c>
      <c r="K864">
        <v>1.1029789999999999</v>
      </c>
      <c r="L864">
        <v>368.33049999999997</v>
      </c>
      <c r="M864">
        <v>0.99996719999999895</v>
      </c>
      <c r="N864">
        <v>-5.9087089999999998E-3</v>
      </c>
      <c r="O864">
        <v>5.5391579999999998E-3</v>
      </c>
      <c r="P864">
        <v>0.99432509999999996</v>
      </c>
      <c r="Q864">
        <v>-8.1059259999999994E-2</v>
      </c>
      <c r="R864">
        <v>6.8899360000000007E-2</v>
      </c>
      <c r="S864">
        <v>2.9937130000000001</v>
      </c>
      <c r="T864">
        <v>-0.65538540000000001</v>
      </c>
      <c r="U864">
        <v>-0.43066409999999999</v>
      </c>
      <c r="V864">
        <v>-6.3395199999999999E-2</v>
      </c>
      <c r="W864">
        <v>-7.5176560000000003E-2</v>
      </c>
      <c r="X864">
        <v>0.99515299999999995</v>
      </c>
      <c r="Y864">
        <v>0.14430560000000001</v>
      </c>
      <c r="Z864">
        <v>-1.7127650000000001E-2</v>
      </c>
      <c r="AA864">
        <v>0.98938490000000001</v>
      </c>
      <c r="AB864">
        <v>28</v>
      </c>
      <c r="AC864">
        <v>0.70470000000000199</v>
      </c>
      <c r="AD864">
        <v>-0.19013479999999999</v>
      </c>
      <c r="AE864">
        <v>-0.12539999999995599</v>
      </c>
      <c r="AF864">
        <v>0.120779079623968</v>
      </c>
      <c r="AG864">
        <v>-0.19013479999999999</v>
      </c>
      <c r="AH864">
        <v>0.657592968938152</v>
      </c>
      <c r="AI864">
        <v>105.874725833835</v>
      </c>
      <c r="AJ864">
        <v>79.592567036290404</v>
      </c>
      <c r="AK864">
        <v>0.695102396084739</v>
      </c>
      <c r="AL864">
        <v>94.311367173815796</v>
      </c>
      <c r="AM864">
        <v>93.645043357824605</v>
      </c>
      <c r="AN864">
        <v>0.99999997998273604</v>
      </c>
    </row>
    <row r="865" spans="1:40" x14ac:dyDescent="0.25">
      <c r="A865" t="str">
        <f>"20190305135211377"</f>
        <v>20190305135211377</v>
      </c>
      <c r="B865" t="str">
        <f>"1551765131370103"</f>
        <v>1551765131370103</v>
      </c>
      <c r="C865" t="s">
        <v>40</v>
      </c>
      <c r="D865">
        <v>4.6701600000000001</v>
      </c>
      <c r="E865">
        <v>0.57817229999999997</v>
      </c>
      <c r="F865" t="s">
        <v>41</v>
      </c>
      <c r="G865">
        <v>-273.70639999999997</v>
      </c>
      <c r="H865">
        <v>0.94533800000000001</v>
      </c>
      <c r="I865">
        <v>368.22719999999998</v>
      </c>
      <c r="J865">
        <v>-274.25189999999998</v>
      </c>
      <c r="K865">
        <v>1.1035379999999999</v>
      </c>
      <c r="L865">
        <v>368.33139999999997</v>
      </c>
      <c r="M865">
        <v>0.99996609999999997</v>
      </c>
      <c r="N865">
        <v>-6.11934E-3</v>
      </c>
      <c r="O865">
        <v>5.5309440000000003E-3</v>
      </c>
      <c r="P865">
        <v>0.99430770000000002</v>
      </c>
      <c r="Q865">
        <v>-8.1296919999999995E-2</v>
      </c>
      <c r="R865">
        <v>6.8871100000000005E-2</v>
      </c>
      <c r="S865">
        <v>2.993439</v>
      </c>
      <c r="T865">
        <v>-0.65675530000000004</v>
      </c>
      <c r="U865">
        <v>-0.430481</v>
      </c>
      <c r="V865">
        <v>-6.3375150000000005E-2</v>
      </c>
      <c r="W865">
        <v>-7.5204690000000005E-2</v>
      </c>
      <c r="X865">
        <v>0.99515220000000004</v>
      </c>
      <c r="Y865">
        <v>0.14423449999999999</v>
      </c>
      <c r="Z865">
        <v>-1.716809E-2</v>
      </c>
      <c r="AA865">
        <v>0.98939460000000001</v>
      </c>
      <c r="AB865">
        <v>28</v>
      </c>
      <c r="AC865">
        <v>0.54550000000000398</v>
      </c>
      <c r="AD865">
        <v>-0.15820000000000001</v>
      </c>
      <c r="AE865">
        <v>-0.10419999999999099</v>
      </c>
      <c r="AF865">
        <v>9.9168601419649297E-2</v>
      </c>
      <c r="AG865">
        <v>-0.15820000000000001</v>
      </c>
      <c r="AH865">
        <v>0.50401708502048403</v>
      </c>
      <c r="AI865">
        <v>107.117448120489</v>
      </c>
      <c r="AJ865">
        <v>78.868873644518004</v>
      </c>
      <c r="AK865">
        <v>0.53748941710518805</v>
      </c>
      <c r="AL865">
        <v>94.312983271676998</v>
      </c>
      <c r="AM865">
        <v>93.643896567888603</v>
      </c>
      <c r="AN865">
        <v>1.00000002810017</v>
      </c>
    </row>
    <row r="866" spans="1:40" x14ac:dyDescent="0.25">
      <c r="A866" t="str">
        <f>"20190305135211389"</f>
        <v>20190305135211389</v>
      </c>
      <c r="B866" t="str">
        <f>"1551765131379864"</f>
        <v>1551765131379864</v>
      </c>
      <c r="C866" t="s">
        <v>40</v>
      </c>
      <c r="D866">
        <v>4.6671990000000001</v>
      </c>
      <c r="E866">
        <v>0.5781326</v>
      </c>
      <c r="F866" t="s">
        <v>41</v>
      </c>
      <c r="G866">
        <v>-273.46390000000002</v>
      </c>
      <c r="H866">
        <v>0.93015809999999999</v>
      </c>
      <c r="I866">
        <v>368.21809999999999</v>
      </c>
      <c r="J866">
        <v>-274.08839999999998</v>
      </c>
      <c r="K866">
        <v>1.1040299999999901</v>
      </c>
      <c r="L866">
        <v>368.33229999999998</v>
      </c>
      <c r="M866">
        <v>0.99996479999999999</v>
      </c>
      <c r="N866">
        <v>-6.308424E-3</v>
      </c>
      <c r="O866">
        <v>5.5233139999999997E-3</v>
      </c>
      <c r="P866">
        <v>0.99431429999999998</v>
      </c>
      <c r="Q866">
        <v>-8.1408899999999895E-2</v>
      </c>
      <c r="R866">
        <v>6.8642850000000005E-2</v>
      </c>
      <c r="S866">
        <v>2.9931030000000001</v>
      </c>
      <c r="T866">
        <v>-0.6586535</v>
      </c>
      <c r="U866">
        <v>-0.42993160000000002</v>
      </c>
      <c r="V866">
        <v>-6.3154370000000001E-2</v>
      </c>
      <c r="W866">
        <v>-7.5128479999999997E-2</v>
      </c>
      <c r="X866">
        <v>0.99517199999999995</v>
      </c>
      <c r="Y866">
        <v>0.14404549999999999</v>
      </c>
      <c r="Z866">
        <v>-1.720764E-2</v>
      </c>
      <c r="AA866">
        <v>0.98942140000000001</v>
      </c>
      <c r="AB866">
        <v>28</v>
      </c>
      <c r="AC866">
        <v>0.62449999999995398</v>
      </c>
      <c r="AD866">
        <v>-0.173871899999999</v>
      </c>
      <c r="AE866">
        <v>-0.114199999999982</v>
      </c>
      <c r="AF866">
        <v>0.10943882923757201</v>
      </c>
      <c r="AG866">
        <v>-0.173871899999999</v>
      </c>
      <c r="AH866">
        <v>0.580330188901508</v>
      </c>
      <c r="AI866">
        <v>106.405439208749</v>
      </c>
      <c r="AJ866">
        <v>79.320563095825904</v>
      </c>
      <c r="AK866">
        <v>0.61562279287316901</v>
      </c>
      <c r="AL866">
        <v>94.3086043372261</v>
      </c>
      <c r="AM866">
        <v>93.631164296021495</v>
      </c>
      <c r="AN866">
        <v>1.0000000362706001</v>
      </c>
    </row>
    <row r="867" spans="1:40" x14ac:dyDescent="0.25">
      <c r="A867" t="str">
        <f>"20190305135211403"</f>
        <v>20190305135211403</v>
      </c>
      <c r="B867" t="str">
        <f>"1551765131390600"</f>
        <v>1551765131390600</v>
      </c>
      <c r="C867" t="s">
        <v>40</v>
      </c>
      <c r="D867">
        <v>4.4950070000000002</v>
      </c>
      <c r="E867">
        <v>0.57830459999999995</v>
      </c>
      <c r="F867" t="s">
        <v>41</v>
      </c>
      <c r="G867">
        <v>-273.22120000000001</v>
      </c>
      <c r="H867">
        <v>0.91292669999999998</v>
      </c>
      <c r="I867">
        <v>368.20760000000001</v>
      </c>
      <c r="J867">
        <v>-273.911</v>
      </c>
      <c r="K867">
        <v>1.104514</v>
      </c>
      <c r="L867">
        <v>368.33330000000001</v>
      </c>
      <c r="M867">
        <v>0.99996379999999996</v>
      </c>
      <c r="N867">
        <v>-6.4997889999999997E-3</v>
      </c>
      <c r="O867">
        <v>5.5147629999999998E-3</v>
      </c>
      <c r="P867">
        <v>0.99430700000000005</v>
      </c>
      <c r="Q867">
        <v>-8.1582950000000001E-2</v>
      </c>
      <c r="R867">
        <v>6.8541690000000002E-2</v>
      </c>
      <c r="S867">
        <v>2.9928889999999999</v>
      </c>
      <c r="T867">
        <v>-0.65946280000000002</v>
      </c>
      <c r="U867">
        <v>-0.4301758</v>
      </c>
      <c r="V867">
        <v>-6.3062389999999996E-2</v>
      </c>
      <c r="W867">
        <v>-7.5112129999999999E-2</v>
      </c>
      <c r="X867">
        <v>0.99517909999999998</v>
      </c>
      <c r="Y867">
        <v>0.14411270000000001</v>
      </c>
      <c r="Z867">
        <v>-1.724755E-2</v>
      </c>
      <c r="AA867">
        <v>0.98941089999999998</v>
      </c>
      <c r="AB867">
        <v>28</v>
      </c>
      <c r="AC867">
        <v>0.68979999999999098</v>
      </c>
      <c r="AD867">
        <v>-0.19158729999999999</v>
      </c>
      <c r="AE867">
        <v>-0.12569999999999401</v>
      </c>
      <c r="AF867">
        <v>0.120505094855726</v>
      </c>
      <c r="AG867">
        <v>-0.19158729999999999</v>
      </c>
      <c r="AH867">
        <v>0.64122138876128398</v>
      </c>
      <c r="AI867">
        <v>106.364585674528</v>
      </c>
      <c r="AJ867">
        <v>79.356515121417303</v>
      </c>
      <c r="AK867">
        <v>0.67999414763101296</v>
      </c>
      <c r="AL867">
        <v>94.307664755208606</v>
      </c>
      <c r="AM867">
        <v>93.625864073978093</v>
      </c>
      <c r="AN867">
        <v>1.0000000690912201</v>
      </c>
    </row>
    <row r="868" spans="1:40" x14ac:dyDescent="0.25">
      <c r="A868" t="str">
        <f>"20190305135211415"</f>
        <v>20190305135211415</v>
      </c>
      <c r="B868" t="str">
        <f>"1551765131410120"</f>
        <v>1551765131410120</v>
      </c>
      <c r="C868" t="s">
        <v>40</v>
      </c>
      <c r="D868">
        <v>4.5009730000000001</v>
      </c>
      <c r="E868">
        <v>0.57864510000000002</v>
      </c>
      <c r="F868" t="s">
        <v>41</v>
      </c>
      <c r="G868">
        <v>-273.20569999999998</v>
      </c>
      <c r="H868">
        <v>0.94917189999999996</v>
      </c>
      <c r="I868">
        <v>368.23140000000001</v>
      </c>
      <c r="J868">
        <v>-273.76240000000001</v>
      </c>
      <c r="K868">
        <v>1.1048709999999999</v>
      </c>
      <c r="L868">
        <v>368.33409999999998</v>
      </c>
      <c r="M868">
        <v>0.99996280000000004</v>
      </c>
      <c r="N868">
        <v>-6.646524E-3</v>
      </c>
      <c r="O868">
        <v>5.507896E-3</v>
      </c>
      <c r="P868">
        <v>0.99432679999999996</v>
      </c>
      <c r="Q868">
        <v>-8.1428410000000007E-2</v>
      </c>
      <c r="R868">
        <v>6.8437390000000001E-2</v>
      </c>
      <c r="S868">
        <v>2.9928590000000002</v>
      </c>
      <c r="T868">
        <v>-0.65913009999999905</v>
      </c>
      <c r="U868">
        <v>-0.43173220000000001</v>
      </c>
      <c r="V868">
        <v>-6.2964640000000002E-2</v>
      </c>
      <c r="W868">
        <v>-7.4811429999999998E-2</v>
      </c>
      <c r="X868">
        <v>0.99520779999999998</v>
      </c>
      <c r="Y868">
        <v>0.14460129999999999</v>
      </c>
      <c r="Z868">
        <v>-1.7301919999999998E-2</v>
      </c>
      <c r="AA868">
        <v>0.98933870000000002</v>
      </c>
      <c r="AB868">
        <v>28</v>
      </c>
      <c r="AC868">
        <v>0.55670000000003395</v>
      </c>
      <c r="AD868">
        <v>-0.15569909999999901</v>
      </c>
      <c r="AE868">
        <v>-0.10269999999997</v>
      </c>
      <c r="AF868">
        <v>9.83265809307039E-2</v>
      </c>
      <c r="AG868">
        <v>-0.15569909999999901</v>
      </c>
      <c r="AH868">
        <v>0.51701491995053295</v>
      </c>
      <c r="AI868">
        <v>106.48071385211399</v>
      </c>
      <c r="AJ868">
        <v>79.232006239039094</v>
      </c>
      <c r="AK868">
        <v>0.54883035057273299</v>
      </c>
      <c r="AL868">
        <v>94.290387899178896</v>
      </c>
      <c r="AM868">
        <v>93.620154629629496</v>
      </c>
      <c r="AN868">
        <v>0.99999993056490399</v>
      </c>
    </row>
    <row r="869" spans="1:40" x14ac:dyDescent="0.25">
      <c r="A869" t="str">
        <f>"20190305135211429"</f>
        <v>20190305135211429</v>
      </c>
      <c r="B869" t="str">
        <f>"1551765131419880"</f>
        <v>1551765131419880</v>
      </c>
      <c r="C869" t="s">
        <v>40</v>
      </c>
      <c r="D869">
        <v>4.4929800000000002</v>
      </c>
      <c r="E869">
        <v>0.57882270000000002</v>
      </c>
      <c r="F869" t="s">
        <v>41</v>
      </c>
      <c r="G869">
        <v>-272.964</v>
      </c>
      <c r="H869">
        <v>0.92956669999999997</v>
      </c>
      <c r="I869">
        <v>368.21780000000001</v>
      </c>
      <c r="J869">
        <v>-273.58420000000001</v>
      </c>
      <c r="K869">
        <v>1.1052690000000001</v>
      </c>
      <c r="L869">
        <v>368.33510000000001</v>
      </c>
      <c r="M869">
        <v>0.99996169999999995</v>
      </c>
      <c r="N869">
        <v>-6.8144829999999997E-3</v>
      </c>
      <c r="O869">
        <v>5.4993949999999998E-3</v>
      </c>
      <c r="P869">
        <v>0.99434449999999996</v>
      </c>
      <c r="Q869">
        <v>-8.1350969999999995E-2</v>
      </c>
      <c r="R869">
        <v>6.8271189999999995E-2</v>
      </c>
      <c r="S869">
        <v>2.9931950000000001</v>
      </c>
      <c r="T869">
        <v>-0.65732800000000002</v>
      </c>
      <c r="U869">
        <v>-0.43499759999999998</v>
      </c>
      <c r="V869">
        <v>-6.2806349999999997E-2</v>
      </c>
      <c r="W869">
        <v>-7.4566720000000003E-2</v>
      </c>
      <c r="X869">
        <v>0.99523620000000002</v>
      </c>
      <c r="Y869">
        <v>0.14562800000000001</v>
      </c>
      <c r="Z869">
        <v>-1.737791E-2</v>
      </c>
      <c r="AA869">
        <v>0.98918680000000003</v>
      </c>
      <c r="AB869">
        <v>28</v>
      </c>
      <c r="AC869">
        <v>0.62020000000001096</v>
      </c>
      <c r="AD869">
        <v>-0.17570230000000001</v>
      </c>
      <c r="AE869">
        <v>-0.1173</v>
      </c>
      <c r="AF869">
        <v>0.112028317213414</v>
      </c>
      <c r="AG869">
        <v>-0.17570230000000001</v>
      </c>
      <c r="AH869">
        <v>0.57499130638041496</v>
      </c>
      <c r="AI869">
        <v>106.695776140034</v>
      </c>
      <c r="AJ869">
        <v>78.974909711138395</v>
      </c>
      <c r="AK869">
        <v>0.61158535340213704</v>
      </c>
      <c r="AL869">
        <v>94.276327634846297</v>
      </c>
      <c r="AM869">
        <v>93.610975077860203</v>
      </c>
      <c r="AN869">
        <v>0.99999996356115906</v>
      </c>
    </row>
    <row r="870" spans="1:40" x14ac:dyDescent="0.25">
      <c r="A870" t="str">
        <f>"20190305135211440"</f>
        <v>20190305135211440</v>
      </c>
      <c r="B870" t="str">
        <f>"1551765131430616"</f>
        <v>1551765131430616</v>
      </c>
      <c r="C870" t="s">
        <v>40</v>
      </c>
      <c r="D870">
        <v>4.5060129999999896</v>
      </c>
      <c r="E870">
        <v>0.57895949999999996</v>
      </c>
      <c r="F870" t="s">
        <v>41</v>
      </c>
      <c r="G870">
        <v>-272.71890000000002</v>
      </c>
      <c r="H870">
        <v>0.91556689999999996</v>
      </c>
      <c r="I870">
        <v>368.20859999999999</v>
      </c>
      <c r="J870">
        <v>-273.4402</v>
      </c>
      <c r="K870">
        <v>1.1055600000000001</v>
      </c>
      <c r="L870">
        <v>368.33589999999998</v>
      </c>
      <c r="M870">
        <v>0.99996099999999999</v>
      </c>
      <c r="N870">
        <v>-6.9406009999999898E-3</v>
      </c>
      <c r="O870">
        <v>5.4923979999999999E-3</v>
      </c>
      <c r="P870">
        <v>0.99432129999999996</v>
      </c>
      <c r="Q870">
        <v>-8.1646789999999997E-2</v>
      </c>
      <c r="R870">
        <v>6.8259349999999996E-2</v>
      </c>
      <c r="S870">
        <v>2.993347</v>
      </c>
      <c r="T870">
        <v>-0.65633960000000002</v>
      </c>
      <c r="U870">
        <v>-0.43707279999999998</v>
      </c>
      <c r="V870">
        <v>-6.2801739999999995E-2</v>
      </c>
      <c r="W870">
        <v>-7.4737150000000002E-2</v>
      </c>
      <c r="X870">
        <v>0.99522379999999999</v>
      </c>
      <c r="Y870">
        <v>0.146279399999999</v>
      </c>
      <c r="Z870">
        <v>-1.7431149999999999E-2</v>
      </c>
      <c r="AA870">
        <v>0.98908969999999896</v>
      </c>
      <c r="AB870">
        <v>28</v>
      </c>
      <c r="AC870">
        <v>0.72129999999998495</v>
      </c>
      <c r="AD870">
        <v>-0.1899931</v>
      </c>
      <c r="AE870">
        <v>-0.127299999999991</v>
      </c>
      <c r="AF870">
        <v>0.12298472465252</v>
      </c>
      <c r="AG870">
        <v>-0.1899931</v>
      </c>
      <c r="AH870">
        <v>0.67516120831940696</v>
      </c>
      <c r="AI870">
        <v>105.474669498068</v>
      </c>
      <c r="AJ870">
        <v>79.676413573011999</v>
      </c>
      <c r="AK870">
        <v>0.712085161876575</v>
      </c>
      <c r="AL870">
        <v>94.286119481269097</v>
      </c>
      <c r="AM870">
        <v>93.610755601356502</v>
      </c>
      <c r="AN870">
        <v>1.0000000561117901</v>
      </c>
    </row>
    <row r="871" spans="1:40" x14ac:dyDescent="0.25">
      <c r="A871" t="str">
        <f>"20190305135211454"</f>
        <v>20190305135211454</v>
      </c>
      <c r="B871" t="str">
        <f>"1551765131440375"</f>
        <v>1551765131440375</v>
      </c>
      <c r="C871" t="s">
        <v>40</v>
      </c>
      <c r="D871">
        <v>4.5049720000000004</v>
      </c>
      <c r="E871">
        <v>0.57895949999999996</v>
      </c>
      <c r="F871" t="s">
        <v>41</v>
      </c>
      <c r="G871">
        <v>-272.70659999999998</v>
      </c>
      <c r="H871">
        <v>0.94463920000000001</v>
      </c>
      <c r="I871">
        <v>368.22840000000002</v>
      </c>
      <c r="J871">
        <v>-273.28980000000001</v>
      </c>
      <c r="K871">
        <v>1.105831</v>
      </c>
      <c r="L871">
        <v>368.33670000000001</v>
      </c>
      <c r="M871">
        <v>0.99996010000000002</v>
      </c>
      <c r="N871">
        <v>-7.0636700000000002E-3</v>
      </c>
      <c r="O871">
        <v>5.4857609999999996E-3</v>
      </c>
      <c r="P871">
        <v>0.99432980000000004</v>
      </c>
      <c r="Q871">
        <v>-8.1718849999999996E-2</v>
      </c>
      <c r="R871">
        <v>6.8048020000000001E-2</v>
      </c>
      <c r="S871">
        <v>2.9932560000000001</v>
      </c>
      <c r="T871">
        <v>-0.6567404</v>
      </c>
      <c r="U871">
        <v>-0.43792720000000002</v>
      </c>
      <c r="V871">
        <v>-6.2597449999999999E-2</v>
      </c>
      <c r="W871">
        <v>-7.468669E-2</v>
      </c>
      <c r="X871">
        <v>0.99524040000000003</v>
      </c>
      <c r="Y871">
        <v>0.14654120000000001</v>
      </c>
      <c r="Z871">
        <v>-1.747773E-2</v>
      </c>
      <c r="AA871">
        <v>0.98905010000000004</v>
      </c>
      <c r="AB871">
        <v>28</v>
      </c>
      <c r="AC871">
        <v>0.58320000000003303</v>
      </c>
      <c r="AD871">
        <v>-0.1611918</v>
      </c>
      <c r="AE871">
        <v>-0.10829999999998501</v>
      </c>
      <c r="AF871">
        <v>0.10383029438591899</v>
      </c>
      <c r="AG871">
        <v>-0.1611918</v>
      </c>
      <c r="AH871">
        <v>0.54253319829704405</v>
      </c>
      <c r="AI871">
        <v>106.267961011235</v>
      </c>
      <c r="AJ871">
        <v>79.165709361737797</v>
      </c>
      <c r="AK871">
        <v>0.575417933048602</v>
      </c>
      <c r="AL871">
        <v>94.283220482398093</v>
      </c>
      <c r="AM871">
        <v>93.598981097190801</v>
      </c>
      <c r="AN871">
        <v>0.999999998100909</v>
      </c>
    </row>
    <row r="872" spans="1:40" x14ac:dyDescent="0.25">
      <c r="A872" t="str">
        <f>"20190305135211467"</f>
        <v>20190305135211467</v>
      </c>
      <c r="B872" t="str">
        <f>"1551765131460402"</f>
        <v>1551765131460402</v>
      </c>
      <c r="C872" t="s">
        <v>40</v>
      </c>
      <c r="D872">
        <v>4.5162149999999999</v>
      </c>
      <c r="E872">
        <v>0.5916517</v>
      </c>
      <c r="F872" t="s">
        <v>41</v>
      </c>
      <c r="G872">
        <v>-272.46420000000001</v>
      </c>
      <c r="H872">
        <v>0.92453940000000001</v>
      </c>
      <c r="I872">
        <v>368.21550000000002</v>
      </c>
      <c r="J872">
        <v>-273.11869999999999</v>
      </c>
      <c r="K872">
        <v>1.10612</v>
      </c>
      <c r="L872">
        <v>368.33760000000001</v>
      </c>
      <c r="M872">
        <v>0.9999593</v>
      </c>
      <c r="N872">
        <v>-7.1971609999999997E-3</v>
      </c>
      <c r="O872">
        <v>5.4777059999999997E-3</v>
      </c>
      <c r="P872">
        <v>0.99430560000000001</v>
      </c>
      <c r="Q872">
        <v>-8.2038630000000001E-2</v>
      </c>
      <c r="R872">
        <v>6.8019919999999998E-2</v>
      </c>
      <c r="S872">
        <v>2.9931030000000001</v>
      </c>
      <c r="T872">
        <v>-0.6572268</v>
      </c>
      <c r="U872">
        <v>-0.43847659999999999</v>
      </c>
      <c r="V872">
        <v>-6.2577110000000005E-2</v>
      </c>
      <c r="W872">
        <v>-7.4873739999999994E-2</v>
      </c>
      <c r="X872">
        <v>0.99522759999999999</v>
      </c>
      <c r="Y872">
        <v>0.1467069</v>
      </c>
      <c r="Z872">
        <v>-1.75167E-2</v>
      </c>
      <c r="AA872">
        <v>0.98902489999999998</v>
      </c>
      <c r="AB872">
        <v>28</v>
      </c>
      <c r="AC872">
        <v>0.65449999999998398</v>
      </c>
      <c r="AD872">
        <v>-0.18158060000000001</v>
      </c>
      <c r="AE872">
        <v>-0.122099999999989</v>
      </c>
      <c r="AF872">
        <v>0.116982167076848</v>
      </c>
      <c r="AG872">
        <v>-0.18158060000000001</v>
      </c>
      <c r="AH872">
        <v>0.60855630286110596</v>
      </c>
      <c r="AI872">
        <v>106.33135835397999</v>
      </c>
      <c r="AJ872">
        <v>79.118821173166694</v>
      </c>
      <c r="AK872">
        <v>0.64575313817459201</v>
      </c>
      <c r="AL872">
        <v>94.293967854802204</v>
      </c>
      <c r="AM872">
        <v>93.5978608916258</v>
      </c>
      <c r="AN872">
        <v>0.99999997371964899</v>
      </c>
    </row>
    <row r="873" spans="1:40" x14ac:dyDescent="0.25">
      <c r="A873" t="str">
        <f>"20190305135211481"</f>
        <v>20190305135211481</v>
      </c>
      <c r="B873" t="str">
        <f>"1551765131470161"</f>
        <v>1551765131470161</v>
      </c>
      <c r="C873" t="s">
        <v>40</v>
      </c>
      <c r="D873">
        <v>4.5065600000000003</v>
      </c>
      <c r="E873">
        <v>0.59178109999999995</v>
      </c>
      <c r="F873" t="s">
        <v>41</v>
      </c>
      <c r="G873">
        <v>-272.21190000000001</v>
      </c>
      <c r="H873">
        <v>0.91988840000000005</v>
      </c>
      <c r="I873">
        <v>368.17500000000001</v>
      </c>
      <c r="J873">
        <v>-272.92309999999998</v>
      </c>
      <c r="K873">
        <v>1.106401</v>
      </c>
      <c r="L873">
        <v>368.33870000000002</v>
      </c>
      <c r="M873">
        <v>0.99995820000000002</v>
      </c>
      <c r="N873">
        <v>-7.3360880000000002E-3</v>
      </c>
      <c r="O873">
        <v>5.468611E-3</v>
      </c>
      <c r="P873">
        <v>0.99427030000000005</v>
      </c>
      <c r="Q873">
        <v>-8.2677009999999995E-2</v>
      </c>
      <c r="R873">
        <v>6.7759710000000001E-2</v>
      </c>
      <c r="S873">
        <v>3.0031430000000001</v>
      </c>
      <c r="T873">
        <v>-0.61680040000000003</v>
      </c>
      <c r="U873">
        <v>-0.53799439999999998</v>
      </c>
      <c r="V873">
        <v>-6.2326550000000001E-2</v>
      </c>
      <c r="W873">
        <v>-7.5374120000000003E-2</v>
      </c>
      <c r="X873">
        <v>0.99520560000000002</v>
      </c>
      <c r="Y873">
        <v>0.17788019999999999</v>
      </c>
      <c r="Z873">
        <v>-1.9667980000000002E-2</v>
      </c>
      <c r="AA873">
        <v>0.98385560000000005</v>
      </c>
      <c r="AB873">
        <v>28</v>
      </c>
      <c r="AC873">
        <v>0.71119999999996197</v>
      </c>
      <c r="AD873">
        <v>-0.186512599999999</v>
      </c>
      <c r="AE873">
        <v>-0.16370000000000501</v>
      </c>
      <c r="AF873">
        <v>0.157312099766279</v>
      </c>
      <c r="AG873">
        <v>-0.186512599999999</v>
      </c>
      <c r="AH873">
        <v>0.66674566547519598</v>
      </c>
      <c r="AI873">
        <v>105.230213311131</v>
      </c>
      <c r="AJ873">
        <v>76.724409745743998</v>
      </c>
      <c r="AK873">
        <v>0.70998861196613405</v>
      </c>
      <c r="AL873">
        <v>94.322718555098803</v>
      </c>
      <c r="AM873">
        <v>93.583571608538506</v>
      </c>
      <c r="AN873">
        <v>1.0000000215360101</v>
      </c>
    </row>
    <row r="874" spans="1:40" x14ac:dyDescent="0.25">
      <c r="A874" t="str">
        <f>"20190305135211504"</f>
        <v>20190305135211504</v>
      </c>
      <c r="B874" t="str">
        <f>"1551765131490657"</f>
        <v>1551765131490657</v>
      </c>
      <c r="C874" t="s">
        <v>40</v>
      </c>
      <c r="D874">
        <v>4.6865620000000003</v>
      </c>
      <c r="E874">
        <v>0.58907679999999996</v>
      </c>
      <c r="F874" t="s">
        <v>41</v>
      </c>
      <c r="G874">
        <v>-272.19709999999998</v>
      </c>
      <c r="H874">
        <v>0.95688770000000001</v>
      </c>
      <c r="I874">
        <v>368.20800000000003</v>
      </c>
      <c r="J874">
        <v>-272.64760000000001</v>
      </c>
      <c r="K874">
        <v>1.106754</v>
      </c>
      <c r="L874">
        <v>368.34019999999998</v>
      </c>
      <c r="M874">
        <v>0.99995690000000004</v>
      </c>
      <c r="N874">
        <v>-7.5144719999999899E-3</v>
      </c>
      <c r="O874">
        <v>5.4556600000000002E-3</v>
      </c>
      <c r="P874">
        <v>0.99426170000000003</v>
      </c>
      <c r="Q874">
        <v>-8.2741949999999995E-2</v>
      </c>
      <c r="R874">
        <v>6.7806420000000006E-2</v>
      </c>
      <c r="S874">
        <v>3.0026860000000002</v>
      </c>
      <c r="T874">
        <v>-0.61842109999999995</v>
      </c>
      <c r="U874">
        <v>-0.54010009999999997</v>
      </c>
      <c r="V874">
        <v>-6.2385929999999999E-2</v>
      </c>
      <c r="W874">
        <v>-7.5261590000000003E-2</v>
      </c>
      <c r="X874">
        <v>0.99521029999999999</v>
      </c>
      <c r="Y874">
        <v>0.17852509999999999</v>
      </c>
      <c r="Z874">
        <v>-1.979914E-2</v>
      </c>
      <c r="AA874">
        <v>0.98373619999999995</v>
      </c>
      <c r="AB874">
        <v>28</v>
      </c>
      <c r="AC874">
        <v>0.45050000000003299</v>
      </c>
      <c r="AD874">
        <v>-0.14986629999999901</v>
      </c>
      <c r="AE874">
        <v>-0.13219999999995399</v>
      </c>
      <c r="AF874">
        <v>0.12220416613228199</v>
      </c>
      <c r="AG874">
        <v>-0.14986629999999901</v>
      </c>
      <c r="AH874">
        <v>0.40818134380551402</v>
      </c>
      <c r="AI874">
        <v>109.378360319579</v>
      </c>
      <c r="AJ874">
        <v>73.332986319481904</v>
      </c>
      <c r="AK874">
        <v>0.45166998519566398</v>
      </c>
      <c r="AL874">
        <v>94.3162531076226</v>
      </c>
      <c r="AM874">
        <v>93.586959957927405</v>
      </c>
      <c r="AN874">
        <v>0.99999992620868805</v>
      </c>
    </row>
    <row r="875" spans="1:40" x14ac:dyDescent="0.25">
      <c r="A875" t="str">
        <f>"20190305135211517"</f>
        <v>20190305135211517</v>
      </c>
      <c r="B875" t="str">
        <f>"1551765131510178"</f>
        <v>1551765131510178</v>
      </c>
      <c r="C875" t="s">
        <v>40</v>
      </c>
      <c r="D875">
        <v>4.7263780000000004</v>
      </c>
      <c r="E875">
        <v>0.58488430000000002</v>
      </c>
      <c r="F875" t="s">
        <v>41</v>
      </c>
      <c r="G875">
        <v>-271.94470000000001</v>
      </c>
      <c r="H875">
        <v>0.95807540000000002</v>
      </c>
      <c r="I875">
        <v>368.2183</v>
      </c>
      <c r="J875">
        <v>-272.50200000000001</v>
      </c>
      <c r="K875">
        <v>1.1069100000000001</v>
      </c>
      <c r="L875">
        <v>368.34100000000001</v>
      </c>
      <c r="M875">
        <v>0.99995639999999997</v>
      </c>
      <c r="N875">
        <v>-7.5989269999999897E-3</v>
      </c>
      <c r="O875">
        <v>5.448601E-3</v>
      </c>
      <c r="P875">
        <v>0.99422940000000004</v>
      </c>
      <c r="Q875">
        <v>-8.3043930000000002E-2</v>
      </c>
      <c r="R875">
        <v>6.7911260000000001E-2</v>
      </c>
      <c r="S875">
        <v>2.9999389999999999</v>
      </c>
      <c r="T875">
        <v>-0.63465709999999997</v>
      </c>
      <c r="U875">
        <v>-0.51919559999999998</v>
      </c>
      <c r="V875">
        <v>-6.2498320000000003E-2</v>
      </c>
      <c r="W875">
        <v>-7.5479710000000005E-2</v>
      </c>
      <c r="X875">
        <v>0.99518680000000004</v>
      </c>
      <c r="Y875">
        <v>0.1719551</v>
      </c>
      <c r="Z875">
        <v>-1.961829E-2</v>
      </c>
      <c r="AA875">
        <v>0.98490940000000005</v>
      </c>
      <c r="AB875">
        <v>28</v>
      </c>
      <c r="AC875">
        <v>0.55729999999999702</v>
      </c>
      <c r="AD875">
        <v>-0.14883459999999901</v>
      </c>
      <c r="AE875">
        <v>-0.122700000000008</v>
      </c>
      <c r="AF875">
        <v>0.117726371957556</v>
      </c>
      <c r="AG875">
        <v>-0.14883459999999901</v>
      </c>
      <c r="AH875">
        <v>0.52117027827860996</v>
      </c>
      <c r="AI875">
        <v>105.565671302081</v>
      </c>
      <c r="AJ875">
        <v>77.271171483527596</v>
      </c>
      <c r="AK875">
        <v>0.55464375573195901</v>
      </c>
      <c r="AL875">
        <v>94.328785807062403</v>
      </c>
      <c r="AM875">
        <v>93.593489681253899</v>
      </c>
      <c r="AN875">
        <v>0.99999999675937301</v>
      </c>
    </row>
    <row r="876" spans="1:40" x14ac:dyDescent="0.25">
      <c r="A876" t="str">
        <f>"20190305135211528"</f>
        <v>20190305135211528</v>
      </c>
      <c r="B876" t="str">
        <f>"1551765131519938"</f>
        <v>1551765131519938</v>
      </c>
      <c r="C876" t="s">
        <v>40</v>
      </c>
      <c r="D876">
        <v>4.7075259999999997</v>
      </c>
      <c r="E876">
        <v>0.5837156</v>
      </c>
      <c r="F876" t="s">
        <v>41</v>
      </c>
      <c r="G876">
        <v>-271.70359999999999</v>
      </c>
      <c r="H876">
        <v>0.93268280000000003</v>
      </c>
      <c r="I876">
        <v>368.21129999999999</v>
      </c>
      <c r="J876">
        <v>-272.3383</v>
      </c>
      <c r="K876">
        <v>1.1070759999999999</v>
      </c>
      <c r="L876">
        <v>368.34190000000001</v>
      </c>
      <c r="M876">
        <v>0.9999557</v>
      </c>
      <c r="N876">
        <v>-7.6904349999999998E-3</v>
      </c>
      <c r="O876">
        <v>5.4406769999999997E-3</v>
      </c>
      <c r="P876">
        <v>0.99421269999999995</v>
      </c>
      <c r="Q876">
        <v>-8.3172049999999997E-2</v>
      </c>
      <c r="R876">
        <v>6.7998649999999994E-2</v>
      </c>
      <c r="S876">
        <v>2.9960330000000002</v>
      </c>
      <c r="T876">
        <v>-0.65378879999999995</v>
      </c>
      <c r="U876">
        <v>-0.4861145</v>
      </c>
      <c r="V876">
        <v>-6.2593529999999994E-2</v>
      </c>
      <c r="W876">
        <v>-7.5516879999999995E-2</v>
      </c>
      <c r="X876">
        <v>0.99517800000000001</v>
      </c>
      <c r="Y876">
        <v>0.16156760000000001</v>
      </c>
      <c r="Z876">
        <v>-1.9071830000000001E-2</v>
      </c>
      <c r="AA876">
        <v>0.98667729999999998</v>
      </c>
      <c r="AB876">
        <v>28</v>
      </c>
      <c r="AC876">
        <v>0.63470000000000903</v>
      </c>
      <c r="AD876">
        <v>-0.174393199999999</v>
      </c>
      <c r="AE876">
        <v>-0.13060000000001501</v>
      </c>
      <c r="AF876">
        <v>0.12499788888417</v>
      </c>
      <c r="AG876">
        <v>-0.174393199999999</v>
      </c>
      <c r="AH876">
        <v>0.59116268402679994</v>
      </c>
      <c r="AI876">
        <v>106.099145765042</v>
      </c>
      <c r="AJ876">
        <v>78.060995333082005</v>
      </c>
      <c r="AK876">
        <v>0.62889647750445299</v>
      </c>
      <c r="AL876">
        <v>94.330921570958196</v>
      </c>
      <c r="AM876">
        <v>93.598981370227605</v>
      </c>
      <c r="AN876">
        <v>1.00000000042339</v>
      </c>
    </row>
    <row r="877" spans="1:40" x14ac:dyDescent="0.25">
      <c r="A877" t="str">
        <f>"20190305135211540"</f>
        <v>20190305135211540</v>
      </c>
      <c r="B877" t="str">
        <f>"1551765131530674"</f>
        <v>1551765131530674</v>
      </c>
      <c r="C877" t="s">
        <v>40</v>
      </c>
      <c r="D877">
        <v>4.7290010000000002</v>
      </c>
      <c r="E877">
        <v>0.58263609999999999</v>
      </c>
      <c r="F877" t="s">
        <v>41</v>
      </c>
      <c r="G877">
        <v>-271.45819999999998</v>
      </c>
      <c r="H877">
        <v>0.91310429999999998</v>
      </c>
      <c r="I877">
        <v>368.20150000000001</v>
      </c>
      <c r="J877">
        <v>-272.18060000000003</v>
      </c>
      <c r="K877">
        <v>1.1072090000000001</v>
      </c>
      <c r="L877">
        <v>368.34280000000001</v>
      </c>
      <c r="M877">
        <v>0.99995520000000004</v>
      </c>
      <c r="N877">
        <v>-7.771816E-3</v>
      </c>
      <c r="O877">
        <v>5.4331450000000003E-3</v>
      </c>
      <c r="P877">
        <v>0.99420459999999999</v>
      </c>
      <c r="Q877">
        <v>-8.3350899999999895E-2</v>
      </c>
      <c r="R877">
        <v>6.7898470000000002E-2</v>
      </c>
      <c r="S877">
        <v>2.9948429999999999</v>
      </c>
      <c r="T877">
        <v>-0.66010809999999998</v>
      </c>
      <c r="U877">
        <v>-0.47689819999999999</v>
      </c>
      <c r="V877">
        <v>-6.2500520000000004E-2</v>
      </c>
      <c r="W877">
        <v>-7.5614799999999996E-2</v>
      </c>
      <c r="X877">
        <v>0.99517639999999996</v>
      </c>
      <c r="Y877">
        <v>0.15865090000000001</v>
      </c>
      <c r="Z877">
        <v>-1.8935339999999998E-2</v>
      </c>
      <c r="AA877">
        <v>0.98715319999999995</v>
      </c>
      <c r="AB877">
        <v>28</v>
      </c>
      <c r="AC877">
        <v>0.72240000000005</v>
      </c>
      <c r="AD877">
        <v>-0.19410469999999999</v>
      </c>
      <c r="AE877">
        <v>-0.14130000000000101</v>
      </c>
      <c r="AF877">
        <v>0.13578122276441301</v>
      </c>
      <c r="AG877">
        <v>-0.19410469999999999</v>
      </c>
      <c r="AH877">
        <v>0.67470516174399797</v>
      </c>
      <c r="AI877">
        <v>105.750241987539</v>
      </c>
      <c r="AJ877">
        <v>78.621479423862695</v>
      </c>
      <c r="AK877">
        <v>0.71508057609019404</v>
      </c>
      <c r="AL877">
        <v>94.336548105945695</v>
      </c>
      <c r="AM877">
        <v>93.593653300357701</v>
      </c>
      <c r="AN877">
        <v>0.999999990048135</v>
      </c>
    </row>
    <row r="878" spans="1:40" x14ac:dyDescent="0.25">
      <c r="A878" t="str">
        <f>"20190305135211559"</f>
        <v>20190305135211559</v>
      </c>
      <c r="B878" t="str">
        <f>"1551765131550194"</f>
        <v>1551765131550194</v>
      </c>
      <c r="C878" t="s">
        <v>40</v>
      </c>
      <c r="D878">
        <v>4.7680249999999997</v>
      </c>
      <c r="E878">
        <v>0.58112240000000004</v>
      </c>
      <c r="F878" t="s">
        <v>41</v>
      </c>
      <c r="G878">
        <v>-271.44560000000001</v>
      </c>
      <c r="H878">
        <v>0.94424079999999999</v>
      </c>
      <c r="I878">
        <v>368.22739999999999</v>
      </c>
      <c r="J878">
        <v>-271.9425</v>
      </c>
      <c r="K878">
        <v>1.1073930000000001</v>
      </c>
      <c r="L878">
        <v>368.34399999999999</v>
      </c>
      <c r="M878">
        <v>0.99995429999999996</v>
      </c>
      <c r="N878">
        <v>-7.8848570000000003E-3</v>
      </c>
      <c r="O878">
        <v>5.4217889999999998E-3</v>
      </c>
      <c r="P878">
        <v>0.99411899999999997</v>
      </c>
      <c r="Q878">
        <v>-8.4330269999999999E-2</v>
      </c>
      <c r="R878">
        <v>6.7939639999999996E-2</v>
      </c>
      <c r="S878">
        <v>2.9938349999999998</v>
      </c>
      <c r="T878">
        <v>-0.66396549999999999</v>
      </c>
      <c r="U878">
        <v>-0.46868900000000002</v>
      </c>
      <c r="V878">
        <v>-6.2553789999999998E-2</v>
      </c>
      <c r="W878">
        <v>-7.6482339999999996E-2</v>
      </c>
      <c r="X878">
        <v>0.99510679999999996</v>
      </c>
      <c r="Y878">
        <v>0.1560619</v>
      </c>
      <c r="Z878">
        <v>-1.8763579999999998E-2</v>
      </c>
      <c r="AA878">
        <v>0.98756900000000003</v>
      </c>
      <c r="AB878">
        <v>28</v>
      </c>
      <c r="AC878">
        <v>0.49689999999998202</v>
      </c>
      <c r="AD878">
        <v>-0.163152199999999</v>
      </c>
      <c r="AE878">
        <v>-0.11660000000000501</v>
      </c>
      <c r="AF878">
        <v>0.10823310558112401</v>
      </c>
      <c r="AG878">
        <v>-0.163152199999999</v>
      </c>
      <c r="AH878">
        <v>0.45025323635613201</v>
      </c>
      <c r="AI878">
        <v>109.408393702528</v>
      </c>
      <c r="AJ878">
        <v>76.483533601483202</v>
      </c>
      <c r="AK878">
        <v>0.49097965574730801</v>
      </c>
      <c r="AL878">
        <v>94.386398656643493</v>
      </c>
      <c r="AM878">
        <v>93.596959082073894</v>
      </c>
      <c r="AN878">
        <v>1.00000003419073</v>
      </c>
    </row>
    <row r="879" spans="1:40" x14ac:dyDescent="0.25">
      <c r="A879" t="str">
        <f>"20190305135211573"</f>
        <v>20190305135211573</v>
      </c>
      <c r="B879" t="str">
        <f>"1551765131559955"</f>
        <v>1551765131559955</v>
      </c>
      <c r="C879" t="s">
        <v>40</v>
      </c>
      <c r="D879">
        <v>4.7514710000000004</v>
      </c>
      <c r="E879">
        <v>0.58055819999999903</v>
      </c>
      <c r="F879" t="s">
        <v>41</v>
      </c>
      <c r="G879">
        <v>-271.19439999999997</v>
      </c>
      <c r="H879">
        <v>0.93934850000000003</v>
      </c>
      <c r="I879">
        <v>368.22980000000001</v>
      </c>
      <c r="J879">
        <v>-271.76780000000002</v>
      </c>
      <c r="K879">
        <v>1.1075090000000001</v>
      </c>
      <c r="L879">
        <v>368.34500000000003</v>
      </c>
      <c r="M879">
        <v>0.9999536</v>
      </c>
      <c r="N879">
        <v>-7.9607700000000007E-3</v>
      </c>
      <c r="O879">
        <v>5.4137339999999999E-3</v>
      </c>
      <c r="P879">
        <v>0.99410489999999996</v>
      </c>
      <c r="Q879">
        <v>-8.4438159999999998E-2</v>
      </c>
      <c r="R879">
        <v>6.8012399999999903E-2</v>
      </c>
      <c r="S879">
        <v>2.9919129999999998</v>
      </c>
      <c r="T879">
        <v>-0.67211869999999996</v>
      </c>
      <c r="U879">
        <v>-0.45623780000000003</v>
      </c>
      <c r="V879">
        <v>-6.2634770000000006E-2</v>
      </c>
      <c r="W879">
        <v>-7.6514760000000001E-2</v>
      </c>
      <c r="X879">
        <v>0.99509919999999996</v>
      </c>
      <c r="Y879">
        <v>0.15213080000000001</v>
      </c>
      <c r="Z879">
        <v>-1.8552800000000001E-2</v>
      </c>
      <c r="AA879">
        <v>0.98818620000000001</v>
      </c>
      <c r="AB879">
        <v>28</v>
      </c>
      <c r="AC879">
        <v>0.57340000000004898</v>
      </c>
      <c r="AD879">
        <v>-0.16816049999999999</v>
      </c>
      <c r="AE879">
        <v>-0.115200000000015</v>
      </c>
      <c r="AF879">
        <v>0.10926935736716099</v>
      </c>
      <c r="AG879">
        <v>-0.16816049999999999</v>
      </c>
      <c r="AH879">
        <v>0.52903281903217003</v>
      </c>
      <c r="AI879">
        <v>107.291016334102</v>
      </c>
      <c r="AJ879">
        <v>78.329919338099103</v>
      </c>
      <c r="AK879">
        <v>0.56576803535796105</v>
      </c>
      <c r="AL879">
        <v>94.388261705622497</v>
      </c>
      <c r="AM879">
        <v>93.601630768278397</v>
      </c>
      <c r="AN879">
        <v>1.00000002037572</v>
      </c>
    </row>
    <row r="880" spans="1:40" x14ac:dyDescent="0.25">
      <c r="A880" t="str">
        <f>"20190305135211587"</f>
        <v>20190305135211587</v>
      </c>
      <c r="B880" t="str">
        <f>"1551765131580451"</f>
        <v>1551765131580451</v>
      </c>
      <c r="C880" t="s">
        <v>40</v>
      </c>
      <c r="D880">
        <v>4.7593769999999997</v>
      </c>
      <c r="E880">
        <v>0.57950259999999998</v>
      </c>
      <c r="F880" t="s">
        <v>41</v>
      </c>
      <c r="G880">
        <v>-270.94749999999999</v>
      </c>
      <c r="H880">
        <v>0.92269350000000006</v>
      </c>
      <c r="I880">
        <v>368.2208</v>
      </c>
      <c r="J880">
        <v>-271.60390000000001</v>
      </c>
      <c r="K880">
        <v>1.1076109999999999</v>
      </c>
      <c r="L880">
        <v>368.34589999999997</v>
      </c>
      <c r="M880">
        <v>0.99995319999999999</v>
      </c>
      <c r="N880">
        <v>-8.0282659999999992E-3</v>
      </c>
      <c r="O880">
        <v>5.406068E-3</v>
      </c>
      <c r="P880">
        <v>0.99407860000000003</v>
      </c>
      <c r="Q880">
        <v>-8.4644559999999994E-2</v>
      </c>
      <c r="R880">
        <v>6.8143399999999896E-2</v>
      </c>
      <c r="S880">
        <v>2.9914550000000002</v>
      </c>
      <c r="T880">
        <v>-0.67408279999999998</v>
      </c>
      <c r="U880">
        <v>-0.45175169999999998</v>
      </c>
      <c r="V880">
        <v>-6.2773590000000004E-2</v>
      </c>
      <c r="W880">
        <v>-7.6654150000000004E-2</v>
      </c>
      <c r="X880">
        <v>0.99507970000000001</v>
      </c>
      <c r="Y880">
        <v>0.1507076</v>
      </c>
      <c r="Z880">
        <v>-1.8448570000000001E-2</v>
      </c>
      <c r="AA880">
        <v>0.98840620000000001</v>
      </c>
      <c r="AB880">
        <v>28</v>
      </c>
      <c r="AC880">
        <v>0.65640000000001897</v>
      </c>
      <c r="AD880">
        <v>-0.18491750000000001</v>
      </c>
      <c r="AE880">
        <v>-0.12509999999997401</v>
      </c>
      <c r="AF880">
        <v>0.119495670824931</v>
      </c>
      <c r="AG880">
        <v>-0.18491750000000001</v>
      </c>
      <c r="AH880">
        <v>0.60907054778010605</v>
      </c>
      <c r="AI880">
        <v>106.590178862451</v>
      </c>
      <c r="AJ880">
        <v>78.899929331522301</v>
      </c>
      <c r="AK880">
        <v>0.64764236220718996</v>
      </c>
      <c r="AL880">
        <v>94.396271796816805</v>
      </c>
      <c r="AM880">
        <v>93.609662676726401</v>
      </c>
      <c r="AN880">
        <v>0.9999999958329</v>
      </c>
    </row>
    <row r="881" spans="1:40" x14ac:dyDescent="0.25">
      <c r="A881" t="str">
        <f>"20190305135211604"</f>
        <v>20190305135211604</v>
      </c>
      <c r="B881" t="str">
        <f>"1551765131590211"</f>
        <v>1551765131590211</v>
      </c>
      <c r="C881" t="s">
        <v>40</v>
      </c>
      <c r="D881">
        <v>4.7419409999999997</v>
      </c>
      <c r="E881">
        <v>0.57910919999999999</v>
      </c>
      <c r="F881" t="s">
        <v>41</v>
      </c>
      <c r="G881">
        <v>-270.70069999999998</v>
      </c>
      <c r="H881">
        <v>0.9030435</v>
      </c>
      <c r="I881">
        <v>368.21190000000001</v>
      </c>
      <c r="J881">
        <v>-271.36950000000002</v>
      </c>
      <c r="K881">
        <v>1.107737</v>
      </c>
      <c r="L881">
        <v>368.34719999999999</v>
      </c>
      <c r="M881">
        <v>0.99995259999999997</v>
      </c>
      <c r="N881">
        <v>-8.1158169999999905E-3</v>
      </c>
      <c r="O881">
        <v>5.3949209999999996E-3</v>
      </c>
      <c r="P881">
        <v>0.99402880000000005</v>
      </c>
      <c r="Q881">
        <v>-8.536204E-2</v>
      </c>
      <c r="R881">
        <v>6.7973130000000007E-2</v>
      </c>
      <c r="S881">
        <v>2.99057</v>
      </c>
      <c r="T881">
        <v>-0.67740129999999998</v>
      </c>
      <c r="U881">
        <v>-0.44317630000000002</v>
      </c>
      <c r="V881">
        <v>-6.2614439999999993E-2</v>
      </c>
      <c r="W881">
        <v>-7.7284889999999995E-2</v>
      </c>
      <c r="X881">
        <v>0.99504099999999995</v>
      </c>
      <c r="Y881">
        <v>0.1479934</v>
      </c>
      <c r="Z881">
        <v>-1.8233860000000001E-2</v>
      </c>
      <c r="AA881">
        <v>0.98882029999999999</v>
      </c>
      <c r="AB881">
        <v>28</v>
      </c>
      <c r="AC881">
        <v>0.66880000000003204</v>
      </c>
      <c r="AD881">
        <v>-0.2046935</v>
      </c>
      <c r="AE881">
        <v>-0.135299999999972</v>
      </c>
      <c r="AF881">
        <v>0.12743808452333599</v>
      </c>
      <c r="AG881">
        <v>-0.2046935</v>
      </c>
      <c r="AH881">
        <v>0.612904836043762</v>
      </c>
      <c r="AI881">
        <v>108.10667905132</v>
      </c>
      <c r="AJ881">
        <v>78.254149225594404</v>
      </c>
      <c r="AK881">
        <v>0.65862905521625603</v>
      </c>
      <c r="AL881">
        <v>94.4325177923848</v>
      </c>
      <c r="AM881">
        <v>93.600674863558893</v>
      </c>
      <c r="AN881">
        <v>1.0000000569999099</v>
      </c>
    </row>
    <row r="882" spans="1:40" x14ac:dyDescent="0.25">
      <c r="A882" t="str">
        <f>"20190305135211617"</f>
        <v>20190305135211617</v>
      </c>
      <c r="B882" t="str">
        <f>"1551765131610708"</f>
        <v>1551765131610708</v>
      </c>
      <c r="C882" t="s">
        <v>40</v>
      </c>
      <c r="D882">
        <v>4.7460389999999997</v>
      </c>
      <c r="E882">
        <v>0.57852720000000002</v>
      </c>
      <c r="F882" t="s">
        <v>41</v>
      </c>
      <c r="G882">
        <v>-270.68079999999998</v>
      </c>
      <c r="H882">
        <v>0.9511039</v>
      </c>
      <c r="I882">
        <v>368.24549999999999</v>
      </c>
      <c r="J882">
        <v>-271.21030000000002</v>
      </c>
      <c r="K882">
        <v>1.107809</v>
      </c>
      <c r="L882">
        <v>368.34800000000001</v>
      </c>
      <c r="M882">
        <v>0.99995210000000001</v>
      </c>
      <c r="N882">
        <v>-8.1696069999999902E-3</v>
      </c>
      <c r="O882">
        <v>5.3874860000000004E-3</v>
      </c>
      <c r="P882">
        <v>0.99401799999999996</v>
      </c>
      <c r="Q882">
        <v>-8.5449410000000003E-2</v>
      </c>
      <c r="R882">
        <v>6.8019209999999997E-2</v>
      </c>
      <c r="S882">
        <v>2.989716</v>
      </c>
      <c r="T882">
        <v>-0.68000539999999998</v>
      </c>
      <c r="U882">
        <v>-0.44039919999999999</v>
      </c>
      <c r="V882">
        <v>-6.2667899999999999E-2</v>
      </c>
      <c r="W882">
        <v>-7.7318849999999995E-2</v>
      </c>
      <c r="X882">
        <v>0.99503490000000006</v>
      </c>
      <c r="Y882">
        <v>0.14711779999999999</v>
      </c>
      <c r="Z882">
        <v>-1.8206900000000002E-2</v>
      </c>
      <c r="AA882">
        <v>0.98895140000000004</v>
      </c>
      <c r="AB882">
        <v>28</v>
      </c>
      <c r="AC882">
        <v>0.52950000000004105</v>
      </c>
      <c r="AD882">
        <v>-0.15670509999999899</v>
      </c>
      <c r="AE882">
        <v>-0.10250000000002001</v>
      </c>
      <c r="AF882">
        <v>9.7149674086627197E-2</v>
      </c>
      <c r="AG882">
        <v>-0.15670509999999899</v>
      </c>
      <c r="AH882">
        <v>0.48776204345646201</v>
      </c>
      <c r="AI882">
        <v>107.48884105938799</v>
      </c>
      <c r="AJ882">
        <v>78.735563096197694</v>
      </c>
      <c r="AK882">
        <v>0.521446410072954</v>
      </c>
      <c r="AL882">
        <v>94.434469822173696</v>
      </c>
      <c r="AM882">
        <v>93.603763043979797</v>
      </c>
      <c r="AN882">
        <v>0.99999996123686996</v>
      </c>
    </row>
    <row r="883" spans="1:40" x14ac:dyDescent="0.25">
      <c r="A883" t="str">
        <f>"20190305135211631"</f>
        <v>20190305135211631</v>
      </c>
      <c r="B883" t="str">
        <f>"1551765131620467"</f>
        <v>1551765131620467</v>
      </c>
      <c r="C883" t="s">
        <v>40</v>
      </c>
      <c r="D883">
        <v>4.737501</v>
      </c>
      <c r="E883">
        <v>0.57827869999999904</v>
      </c>
      <c r="F883" t="s">
        <v>41</v>
      </c>
      <c r="G883">
        <v>-270.43490000000003</v>
      </c>
      <c r="H883">
        <v>0.93054910000000002</v>
      </c>
      <c r="I883">
        <v>368.23469999999998</v>
      </c>
      <c r="J883">
        <v>-271.0428</v>
      </c>
      <c r="K883">
        <v>1.10788</v>
      </c>
      <c r="L883">
        <v>368.34890000000001</v>
      </c>
      <c r="M883">
        <v>0.99995179999999995</v>
      </c>
      <c r="N883">
        <v>-8.2237009999999999E-3</v>
      </c>
      <c r="O883">
        <v>5.3793340000000004E-3</v>
      </c>
      <c r="P883">
        <v>0.9940078</v>
      </c>
      <c r="Q883">
        <v>-8.5510849999999999E-2</v>
      </c>
      <c r="R883">
        <v>6.8092819999999998E-2</v>
      </c>
      <c r="S883">
        <v>2.989166</v>
      </c>
      <c r="T883">
        <v>-0.68335440000000003</v>
      </c>
      <c r="U883">
        <v>-0.43566890000000003</v>
      </c>
      <c r="V883">
        <v>-6.2749449999999998E-2</v>
      </c>
      <c r="W883">
        <v>-7.7326519999999996E-2</v>
      </c>
      <c r="X883">
        <v>0.99502919999999995</v>
      </c>
      <c r="Y883">
        <v>0.1456025</v>
      </c>
      <c r="Z883">
        <v>-1.8122249999999999E-2</v>
      </c>
      <c r="AA883">
        <v>0.98917719999999998</v>
      </c>
      <c r="AB883">
        <v>28</v>
      </c>
      <c r="AC883">
        <v>0.60789999999997202</v>
      </c>
      <c r="AD883">
        <v>-0.17733089999999899</v>
      </c>
      <c r="AE883">
        <v>-0.11420000000003901</v>
      </c>
      <c r="AF883">
        <v>0.108546634699377</v>
      </c>
      <c r="AG883">
        <v>-0.17733089999999899</v>
      </c>
      <c r="AH883">
        <v>0.56115323652784099</v>
      </c>
      <c r="AI883">
        <v>107.23704330266</v>
      </c>
      <c r="AJ883">
        <v>79.052203604858406</v>
      </c>
      <c r="AK883">
        <v>0.59843259843113605</v>
      </c>
      <c r="AL883">
        <v>94.4349104437037</v>
      </c>
      <c r="AM883">
        <v>93.608460869521394</v>
      </c>
      <c r="AN883">
        <v>0.99999999651162597</v>
      </c>
    </row>
    <row r="884" spans="1:40" x14ac:dyDescent="0.25">
      <c r="A884" t="str">
        <f>"20190305135211650"</f>
        <v>20190305135211650</v>
      </c>
      <c r="B884" t="str">
        <f>"1551765131639986"</f>
        <v>1551765131639986</v>
      </c>
      <c r="C884" t="s">
        <v>40</v>
      </c>
      <c r="D884">
        <v>4.5681390000000004</v>
      </c>
      <c r="E884">
        <v>0.57795659999999904</v>
      </c>
      <c r="F884" t="s">
        <v>41</v>
      </c>
      <c r="G884">
        <v>-270.18700000000001</v>
      </c>
      <c r="H884">
        <v>0.91193869999999999</v>
      </c>
      <c r="I884">
        <v>368.22460000000001</v>
      </c>
      <c r="J884">
        <v>-270.79109999999997</v>
      </c>
      <c r="K884">
        <v>1.10797099999999</v>
      </c>
      <c r="L884">
        <v>368.3503</v>
      </c>
      <c r="M884">
        <v>0.99995120000000004</v>
      </c>
      <c r="N884">
        <v>-8.2976639999999997E-3</v>
      </c>
      <c r="O884">
        <v>5.3672829999999996E-3</v>
      </c>
      <c r="P884">
        <v>0.99401839999999997</v>
      </c>
      <c r="Q884">
        <v>-8.5637409999999997E-2</v>
      </c>
      <c r="R884">
        <v>6.7777680000000007E-2</v>
      </c>
      <c r="S884">
        <v>2.988861</v>
      </c>
      <c r="T884">
        <v>-0.68446490000000004</v>
      </c>
      <c r="U884">
        <v>-0.4335022</v>
      </c>
      <c r="V884">
        <v>-6.2446479999999999E-2</v>
      </c>
      <c r="W884">
        <v>-7.7379420000000004E-2</v>
      </c>
      <c r="X884">
        <v>0.99504420000000005</v>
      </c>
      <c r="Y884">
        <v>0.14490639999999999</v>
      </c>
      <c r="Z884">
        <v>-1.807392E-2</v>
      </c>
      <c r="AA884">
        <v>0.9892803</v>
      </c>
      <c r="AB884">
        <v>29</v>
      </c>
      <c r="AC884">
        <v>0.604099999999959</v>
      </c>
      <c r="AD884">
        <v>-0.19603229999999899</v>
      </c>
      <c r="AE884">
        <v>-0.12569999999999401</v>
      </c>
      <c r="AF884">
        <v>0.117119540706906</v>
      </c>
      <c r="AG884">
        <v>-0.19603229999999899</v>
      </c>
      <c r="AH884">
        <v>0.54809605337275802</v>
      </c>
      <c r="AI884">
        <v>109.278015599783</v>
      </c>
      <c r="AJ884">
        <v>77.938190747046505</v>
      </c>
      <c r="AK884">
        <v>0.59376336463399304</v>
      </c>
      <c r="AL884">
        <v>94.437950266953607</v>
      </c>
      <c r="AM884">
        <v>93.591030029043495</v>
      </c>
      <c r="AN884">
        <v>1.0000000487287799</v>
      </c>
    </row>
    <row r="885" spans="1:40" x14ac:dyDescent="0.25">
      <c r="A885" t="str">
        <f>"20190305135211664"</f>
        <v>20190305135211664</v>
      </c>
      <c r="B885" t="str">
        <f>"1551765131660013"</f>
        <v>1551765131660013</v>
      </c>
      <c r="C885" t="s">
        <v>40</v>
      </c>
      <c r="D885">
        <v>4.5433199999999996</v>
      </c>
      <c r="E885">
        <v>0.57805909999999905</v>
      </c>
      <c r="F885" t="s">
        <v>41</v>
      </c>
      <c r="G885">
        <v>-269.9316</v>
      </c>
      <c r="H885">
        <v>0.91074069999999996</v>
      </c>
      <c r="I885">
        <v>368.22570000000002</v>
      </c>
      <c r="J885">
        <v>-270.60599999999999</v>
      </c>
      <c r="K885">
        <v>1.1080289999999999</v>
      </c>
      <c r="L885">
        <v>368.35129999999998</v>
      </c>
      <c r="M885">
        <v>0.99995089999999998</v>
      </c>
      <c r="N885">
        <v>-8.3477759999999995E-3</v>
      </c>
      <c r="O885">
        <v>5.3584879999999998E-3</v>
      </c>
      <c r="P885">
        <v>0.99402000000000001</v>
      </c>
      <c r="Q885">
        <v>-8.553682E-2</v>
      </c>
      <c r="R885">
        <v>6.7883910000000006E-2</v>
      </c>
      <c r="S885">
        <v>2.988464</v>
      </c>
      <c r="T885">
        <v>-0.68589119999999903</v>
      </c>
      <c r="U885">
        <v>-0.43203740000000002</v>
      </c>
      <c r="V885">
        <v>-6.256109E-2</v>
      </c>
      <c r="W885">
        <v>-7.7228959999999999E-2</v>
      </c>
      <c r="X885">
        <v>0.99504859999999995</v>
      </c>
      <c r="Y885">
        <v>0.14443599999999901</v>
      </c>
      <c r="Z885">
        <v>-1.8058850000000001E-2</v>
      </c>
      <c r="AA885">
        <v>0.98934940000000005</v>
      </c>
      <c r="AB885">
        <v>29</v>
      </c>
      <c r="AC885">
        <v>0.67439999999999101</v>
      </c>
      <c r="AD885">
        <v>-0.1972883</v>
      </c>
      <c r="AE885">
        <v>-0.12559999999996299</v>
      </c>
      <c r="AF885">
        <v>0.11934133553238099</v>
      </c>
      <c r="AG885">
        <v>-0.1972883</v>
      </c>
      <c r="AH885">
        <v>0.62225075573408095</v>
      </c>
      <c r="AI885">
        <v>107.295588219736</v>
      </c>
      <c r="AJ885">
        <v>79.143091601728003</v>
      </c>
      <c r="AK885">
        <v>0.66359703939603099</v>
      </c>
      <c r="AL885">
        <v>94.429304066788802</v>
      </c>
      <c r="AM885">
        <v>93.597587600022194</v>
      </c>
      <c r="AN885">
        <v>0.99999995930331398</v>
      </c>
    </row>
    <row r="886" spans="1:40" x14ac:dyDescent="0.25">
      <c r="A886" t="str">
        <f>"20190305135211677"</f>
        <v>20190305135211677</v>
      </c>
      <c r="B886" t="str">
        <f>"1551765131670750"</f>
        <v>1551765131670750</v>
      </c>
      <c r="C886" t="s">
        <v>40</v>
      </c>
      <c r="D886">
        <v>4.5191030000000003</v>
      </c>
      <c r="E886">
        <v>0.55954999999999999</v>
      </c>
      <c r="F886" t="s">
        <v>41</v>
      </c>
      <c r="G886">
        <v>-269.91419999999999</v>
      </c>
      <c r="H886">
        <v>0.95157840000000005</v>
      </c>
      <c r="I886">
        <v>368.25080000000003</v>
      </c>
      <c r="J886">
        <v>-270.44200000000001</v>
      </c>
      <c r="K886">
        <v>1.108079</v>
      </c>
      <c r="L886">
        <v>368.35210000000001</v>
      </c>
      <c r="M886">
        <v>0.99995049999999996</v>
      </c>
      <c r="N886">
        <v>-8.3878349999999997E-3</v>
      </c>
      <c r="O886">
        <v>5.3505699999999998E-3</v>
      </c>
      <c r="P886">
        <v>0.99404789999999998</v>
      </c>
      <c r="Q886">
        <v>-8.5316459999999997E-2</v>
      </c>
      <c r="R886">
        <v>6.7748279999999994E-2</v>
      </c>
      <c r="S886">
        <v>2.9894099999999999</v>
      </c>
      <c r="T886">
        <v>-0.6762319</v>
      </c>
      <c r="U886">
        <v>-0.4325562</v>
      </c>
      <c r="V886">
        <v>-6.243377E-2</v>
      </c>
      <c r="W886">
        <v>-7.6968529999999993E-2</v>
      </c>
      <c r="X886">
        <v>0.99507679999999998</v>
      </c>
      <c r="Y886">
        <v>0.1446557</v>
      </c>
      <c r="Z886">
        <v>-1.7839250000000001E-2</v>
      </c>
      <c r="AA886">
        <v>0.98932120000000001</v>
      </c>
      <c r="AB886">
        <v>29</v>
      </c>
      <c r="AC886">
        <v>0.52780000000001304</v>
      </c>
      <c r="AD886">
        <v>-0.15650059999999999</v>
      </c>
      <c r="AE886">
        <v>-0.10129999999998</v>
      </c>
      <c r="AF886">
        <v>9.5983520248067195E-2</v>
      </c>
      <c r="AG886">
        <v>-0.15650059999999999</v>
      </c>
      <c r="AH886">
        <v>0.48603580521658002</v>
      </c>
      <c r="AI886">
        <v>107.530966235856</v>
      </c>
      <c r="AJ886">
        <v>78.828833964877404</v>
      </c>
      <c r="AK886">
        <v>0.51955372957192802</v>
      </c>
      <c r="AL886">
        <v>94.414337869589204</v>
      </c>
      <c r="AM886">
        <v>93.590183728034106</v>
      </c>
      <c r="AN886">
        <v>0.99999998407250601</v>
      </c>
    </row>
    <row r="887" spans="1:40" x14ac:dyDescent="0.25">
      <c r="A887" t="str">
        <f>"20190305135211690"</f>
        <v>20190305135211690</v>
      </c>
      <c r="B887" t="str">
        <f>"1551765131680509"</f>
        <v>1551765131680509</v>
      </c>
      <c r="C887" t="s">
        <v>40</v>
      </c>
      <c r="D887">
        <v>4.573493</v>
      </c>
      <c r="E887">
        <v>0.55891480000000004</v>
      </c>
      <c r="F887" t="s">
        <v>41</v>
      </c>
      <c r="G887">
        <v>-269.63279999999997</v>
      </c>
      <c r="H887">
        <v>1.00421</v>
      </c>
      <c r="I887">
        <v>368.27789999999999</v>
      </c>
      <c r="J887">
        <v>-270.2756</v>
      </c>
      <c r="K887">
        <v>1.1081219999999901</v>
      </c>
      <c r="L887">
        <v>368.35300000000001</v>
      </c>
      <c r="M887">
        <v>0.99995020000000001</v>
      </c>
      <c r="N887">
        <v>-8.4266129999999995E-3</v>
      </c>
      <c r="O887">
        <v>5.342538E-3</v>
      </c>
      <c r="P887">
        <v>0.99404179999999998</v>
      </c>
      <c r="Q887">
        <v>-8.5411689999999998E-2</v>
      </c>
      <c r="R887">
        <v>6.7717360000000004E-2</v>
      </c>
      <c r="S887">
        <v>3.0036320000000001</v>
      </c>
      <c r="T887">
        <v>-0.38554110000000003</v>
      </c>
      <c r="U887">
        <v>-0.27520749999999999</v>
      </c>
      <c r="V887">
        <v>-6.2410710000000001E-2</v>
      </c>
      <c r="W887">
        <v>-7.7025239999999995E-2</v>
      </c>
      <c r="X887">
        <v>0.99507389999999996</v>
      </c>
      <c r="Y887">
        <v>9.569337E-2</v>
      </c>
      <c r="Z887">
        <v>-7.1464129999999999E-3</v>
      </c>
      <c r="AA887">
        <v>0.99538519999999997</v>
      </c>
      <c r="AB887">
        <v>29</v>
      </c>
      <c r="AC887">
        <v>0.64280000000002202</v>
      </c>
      <c r="AD887">
        <v>-0.10391199999999901</v>
      </c>
      <c r="AE887">
        <v>-7.5100000000020303E-2</v>
      </c>
      <c r="AF887">
        <v>7.6559489958897095E-2</v>
      </c>
      <c r="AG887">
        <v>-0.10391199999999901</v>
      </c>
      <c r="AH887">
        <v>0.62624467221542601</v>
      </c>
      <c r="AI887">
        <v>99.352792914704196</v>
      </c>
      <c r="AJ887">
        <v>83.030077894102206</v>
      </c>
      <c r="AK887">
        <v>0.639407107189913</v>
      </c>
      <c r="AL887">
        <v>94.417596605051301</v>
      </c>
      <c r="AM887">
        <v>93.588871586901902</v>
      </c>
      <c r="AN887">
        <v>1.0000000253904799</v>
      </c>
    </row>
    <row r="888" spans="1:40" x14ac:dyDescent="0.25">
      <c r="A888" t="str">
        <f>"20190305135211705"</f>
        <v>20190305135211705</v>
      </c>
      <c r="B888" t="str">
        <f>"1551765131700035"</f>
        <v>1551765131700035</v>
      </c>
      <c r="C888" t="s">
        <v>40</v>
      </c>
      <c r="D888">
        <v>4.5063319999999996</v>
      </c>
      <c r="E888">
        <v>0.55915740000000003</v>
      </c>
      <c r="F888" t="s">
        <v>41</v>
      </c>
      <c r="G888">
        <v>-269.37079999999997</v>
      </c>
      <c r="H888">
        <v>1.014605</v>
      </c>
      <c r="I888">
        <v>368.2722</v>
      </c>
      <c r="J888">
        <v>-270.08449999999999</v>
      </c>
      <c r="K888">
        <v>1.108169</v>
      </c>
      <c r="L888">
        <v>368.35399999999998</v>
      </c>
      <c r="M888">
        <v>0.99995000000000001</v>
      </c>
      <c r="N888">
        <v>-8.4682309999999997E-3</v>
      </c>
      <c r="O888">
        <v>5.3329440000000001E-3</v>
      </c>
      <c r="P888">
        <v>0.99405169999999998</v>
      </c>
      <c r="Q888">
        <v>-8.5616010000000006E-2</v>
      </c>
      <c r="R888">
        <v>6.7312940000000002E-2</v>
      </c>
      <c r="S888">
        <v>3.00943</v>
      </c>
      <c r="T888">
        <v>-0.3112357</v>
      </c>
      <c r="U888">
        <v>-0.26788329999999999</v>
      </c>
      <c r="V888">
        <v>-6.2015630000000002E-2</v>
      </c>
      <c r="W888">
        <v>-7.7188119999999999E-2</v>
      </c>
      <c r="X888">
        <v>0.99508600000000003</v>
      </c>
      <c r="Y888">
        <v>9.3415799999999993E-2</v>
      </c>
      <c r="Z888">
        <v>-5.7097709999999998E-3</v>
      </c>
      <c r="AA888">
        <v>0.99561080000000002</v>
      </c>
      <c r="AB888">
        <v>29</v>
      </c>
      <c r="AC888">
        <v>0.71370000000001699</v>
      </c>
      <c r="AD888">
        <v>-9.3563999999999897E-2</v>
      </c>
      <c r="AE888">
        <v>-8.1800000000043796E-2</v>
      </c>
      <c r="AF888">
        <v>8.4177146783254095E-2</v>
      </c>
      <c r="AG888">
        <v>-9.3563999999999897E-2</v>
      </c>
      <c r="AH888">
        <v>0.701356069469803</v>
      </c>
      <c r="AI888">
        <v>97.545126453116694</v>
      </c>
      <c r="AJ888">
        <v>83.156065426858504</v>
      </c>
      <c r="AK888">
        <v>0.71255901532343302</v>
      </c>
      <c r="AL888">
        <v>94.426956717538303</v>
      </c>
      <c r="AM888">
        <v>93.566168432180305</v>
      </c>
      <c r="AN888">
        <v>1.00000004581471</v>
      </c>
    </row>
    <row r="889" spans="1:40" x14ac:dyDescent="0.25">
      <c r="A889" t="str">
        <f>"20190305135211717"</f>
        <v>20190305135211717</v>
      </c>
      <c r="B889" t="str">
        <f>"1551765131710765"</f>
        <v>1551765131710765</v>
      </c>
      <c r="C889" t="s">
        <v>40</v>
      </c>
      <c r="D889">
        <v>4.4908419999999998</v>
      </c>
      <c r="E889">
        <v>0.55943240000000005</v>
      </c>
      <c r="F889" t="s">
        <v>41</v>
      </c>
      <c r="G889">
        <v>-269.10050000000001</v>
      </c>
      <c r="H889">
        <v>1.0410299999999999</v>
      </c>
      <c r="I889">
        <v>368.26690000000002</v>
      </c>
      <c r="J889">
        <v>-269.92970000000003</v>
      </c>
      <c r="K889">
        <v>1.108198</v>
      </c>
      <c r="L889">
        <v>368.35480000000001</v>
      </c>
      <c r="M889">
        <v>0.9999498</v>
      </c>
      <c r="N889">
        <v>-8.4986390000000005E-3</v>
      </c>
      <c r="O889">
        <v>5.3250659999999998E-3</v>
      </c>
      <c r="P889">
        <v>0.99402959999999996</v>
      </c>
      <c r="Q889">
        <v>-8.5908750000000006E-2</v>
      </c>
      <c r="R889">
        <v>6.726936E-2</v>
      </c>
      <c r="S889">
        <v>3.0182799999999999</v>
      </c>
      <c r="T889">
        <v>-0.20592379999999999</v>
      </c>
      <c r="U889">
        <v>-0.26715090000000002</v>
      </c>
      <c r="V889">
        <v>-6.1979729999999997E-2</v>
      </c>
      <c r="W889">
        <v>-7.7450790000000005E-2</v>
      </c>
      <c r="X889">
        <v>0.99506779999999995</v>
      </c>
      <c r="Y889">
        <v>9.3218099999999998E-2</v>
      </c>
      <c r="Z889">
        <v>-3.884546E-3</v>
      </c>
      <c r="AA889">
        <v>0.99563809999999997</v>
      </c>
      <c r="AB889">
        <v>29</v>
      </c>
      <c r="AC889">
        <v>0.82920000000001404</v>
      </c>
      <c r="AD889">
        <v>-6.7168000000000103E-2</v>
      </c>
      <c r="AE889">
        <v>-8.78999999999905E-2</v>
      </c>
      <c r="AF889">
        <v>9.1719324409941502E-2</v>
      </c>
      <c r="AG889">
        <v>-6.7168000000000103E-2</v>
      </c>
      <c r="AH889">
        <v>0.823377557742763</v>
      </c>
      <c r="AI889">
        <v>94.635101511925896</v>
      </c>
      <c r="AJ889">
        <v>83.643797748889597</v>
      </c>
      <c r="AK889">
        <v>0.83118865324825797</v>
      </c>
      <c r="AL889">
        <v>94.442051906812793</v>
      </c>
      <c r="AM889">
        <v>93.5641743692413</v>
      </c>
      <c r="AN889">
        <v>1.0000000191996601</v>
      </c>
    </row>
    <row r="890" spans="1:40" x14ac:dyDescent="0.25">
      <c r="A890" t="str">
        <f>"20190305135211729"</f>
        <v>20190305135211729</v>
      </c>
      <c r="B890" t="str">
        <f>"1551765131720525"</f>
        <v>1551765131720525</v>
      </c>
      <c r="C890" t="s">
        <v>40</v>
      </c>
      <c r="D890">
        <v>4.5146139999999999</v>
      </c>
      <c r="E890">
        <v>0.55972060000000001</v>
      </c>
      <c r="F890" t="s">
        <v>42</v>
      </c>
      <c r="G890">
        <v>-251.03749999999999</v>
      </c>
      <c r="H890" s="1">
        <v>-4.3489209999999999E-6</v>
      </c>
      <c r="I890">
        <v>366.67509999999999</v>
      </c>
      <c r="J890">
        <v>-269.77890000000002</v>
      </c>
      <c r="K890">
        <v>1.108223</v>
      </c>
      <c r="L890">
        <v>368.35559999999998</v>
      </c>
      <c r="M890">
        <v>0.99994950000000005</v>
      </c>
      <c r="N890">
        <v>-8.5273019999999901E-3</v>
      </c>
      <c r="O890">
        <v>5.317553E-3</v>
      </c>
      <c r="P890">
        <v>0.99402970000000002</v>
      </c>
      <c r="Q890">
        <v>-8.5987960000000002E-2</v>
      </c>
      <c r="R890">
        <v>6.7165740000000002E-2</v>
      </c>
      <c r="S890">
        <v>3.020905</v>
      </c>
      <c r="T890">
        <v>-0.17720350000000001</v>
      </c>
      <c r="U890">
        <v>-0.26858520000000002</v>
      </c>
      <c r="V890">
        <v>-6.1884099999999997E-2</v>
      </c>
      <c r="W890">
        <v>-7.7501509999999996E-2</v>
      </c>
      <c r="X890">
        <v>0.9950698</v>
      </c>
      <c r="Y890">
        <v>9.366534E-2</v>
      </c>
      <c r="Z890">
        <v>-3.4057950000000001E-3</v>
      </c>
      <c r="AA890">
        <v>0.99559790000000004</v>
      </c>
      <c r="AB890">
        <v>29</v>
      </c>
      <c r="AC890">
        <v>18.741399999999999</v>
      </c>
      <c r="AD890">
        <v>-1.1082273489209999</v>
      </c>
      <c r="AE890">
        <v>-1.6804999999999899</v>
      </c>
      <c r="AF890">
        <v>1.7739847018834001</v>
      </c>
      <c r="AG890">
        <v>-1.1082273489209999</v>
      </c>
      <c r="AH890">
        <v>18.667445423007401</v>
      </c>
      <c r="AI890">
        <v>93.382279514075705</v>
      </c>
      <c r="AJ890">
        <v>84.571431190818103</v>
      </c>
      <c r="AK890">
        <v>18.784267571571</v>
      </c>
      <c r="AL890">
        <v>94.444966722557695</v>
      </c>
      <c r="AM890">
        <v>93.558682128694102</v>
      </c>
      <c r="AN890">
        <v>1.0000000163785601</v>
      </c>
    </row>
    <row r="891" spans="1:40" x14ac:dyDescent="0.25">
      <c r="A891" t="str">
        <f>"20190305135211740"</f>
        <v>20190305135211740</v>
      </c>
      <c r="B891" t="str">
        <f>"1551765131730285"</f>
        <v>1551765131730285</v>
      </c>
      <c r="C891" t="s">
        <v>40</v>
      </c>
      <c r="D891">
        <v>4.5177659999999999</v>
      </c>
      <c r="E891">
        <v>0.56003169999999902</v>
      </c>
      <c r="F891" t="s">
        <v>42</v>
      </c>
      <c r="G891">
        <v>-248.11449999999999</v>
      </c>
      <c r="H891" s="1">
        <v>-1.558752E-6</v>
      </c>
      <c r="I891">
        <v>366.42</v>
      </c>
      <c r="J891">
        <v>-269.63560000000001</v>
      </c>
      <c r="K891">
        <v>1.1082399999999999</v>
      </c>
      <c r="L891">
        <v>368.35629999999998</v>
      </c>
      <c r="M891">
        <v>0.99994930000000004</v>
      </c>
      <c r="N891">
        <v>-8.5527280000000008E-3</v>
      </c>
      <c r="O891">
        <v>5.3104110000000001E-3</v>
      </c>
      <c r="P891">
        <v>0.99401620000000002</v>
      </c>
      <c r="Q891">
        <v>-8.6225609999999994E-2</v>
      </c>
      <c r="R891">
        <v>6.7060750000000002E-2</v>
      </c>
      <c r="S891">
        <v>3.0229189999999999</v>
      </c>
      <c r="T891">
        <v>-0.1546351</v>
      </c>
      <c r="U891">
        <v>-0.270080599999999</v>
      </c>
      <c r="V891">
        <v>-6.1786290000000001E-2</v>
      </c>
      <c r="W891">
        <v>-7.7714000000000005E-2</v>
      </c>
      <c r="X891">
        <v>0.99505929999999998</v>
      </c>
      <c r="Y891">
        <v>9.4130640000000002E-2</v>
      </c>
      <c r="Z891">
        <v>-3.0305409999999999E-3</v>
      </c>
      <c r="AA891">
        <v>0.99555519999999997</v>
      </c>
      <c r="AB891">
        <v>29</v>
      </c>
      <c r="AC891">
        <v>21.521100000000001</v>
      </c>
      <c r="AD891">
        <v>-1.10824155875199</v>
      </c>
      <c r="AE891">
        <v>-1.9362999999999599</v>
      </c>
      <c r="AF891">
        <v>2.0451829088698599</v>
      </c>
      <c r="AG891">
        <v>-1.10824155875199</v>
      </c>
      <c r="AH891">
        <v>21.454078622031599</v>
      </c>
      <c r="AI891">
        <v>92.943746516984604</v>
      </c>
      <c r="AJ891">
        <v>84.554540650363606</v>
      </c>
      <c r="AK891">
        <v>21.579816079002899</v>
      </c>
      <c r="AL891">
        <v>94.457178357299398</v>
      </c>
      <c r="AM891">
        <v>93.553109322934603</v>
      </c>
      <c r="AN891">
        <v>1.00000001097222</v>
      </c>
    </row>
    <row r="892" spans="1:40" x14ac:dyDescent="0.25">
      <c r="A892" t="str">
        <f>"20190305135211751"</f>
        <v>20190305135211751</v>
      </c>
      <c r="B892" t="str">
        <f>"1551765131740045"</f>
        <v>1551765131740045</v>
      </c>
      <c r="C892" t="s">
        <v>40</v>
      </c>
      <c r="D892">
        <v>4.5039280000000002</v>
      </c>
      <c r="E892">
        <v>0.56029030000000002</v>
      </c>
      <c r="F892" t="s">
        <v>42</v>
      </c>
      <c r="G892">
        <v>-245.7449</v>
      </c>
      <c r="H892" s="1">
        <v>-2.5971679999999998E-6</v>
      </c>
      <c r="I892">
        <v>366.20400000000001</v>
      </c>
      <c r="J892">
        <v>-269.49059999999997</v>
      </c>
      <c r="K892">
        <v>1.1082590000000001</v>
      </c>
      <c r="L892">
        <v>368.3571</v>
      </c>
      <c r="M892">
        <v>0.99994919999999998</v>
      </c>
      <c r="N892">
        <v>-8.5770559999999996E-3</v>
      </c>
      <c r="O892">
        <v>5.3032130000000002E-3</v>
      </c>
      <c r="P892">
        <v>0.99403140000000001</v>
      </c>
      <c r="Q892">
        <v>-8.6178480000000002E-2</v>
      </c>
      <c r="R892">
        <v>6.6893010000000003E-2</v>
      </c>
      <c r="S892">
        <v>3.0242610000000001</v>
      </c>
      <c r="T892">
        <v>-0.14028979999999999</v>
      </c>
      <c r="U892">
        <v>-0.27246090000000001</v>
      </c>
      <c r="V892">
        <v>-6.1625300000000001E-2</v>
      </c>
      <c r="W892">
        <v>-7.7642569999999994E-2</v>
      </c>
      <c r="X892">
        <v>0.99507489999999998</v>
      </c>
      <c r="Y892">
        <v>9.4885239999999996E-2</v>
      </c>
      <c r="Z892">
        <v>-2.803177E-3</v>
      </c>
      <c r="AA892">
        <v>0.99548429999999999</v>
      </c>
      <c r="AB892">
        <v>29</v>
      </c>
      <c r="AC892">
        <v>23.7456999999999</v>
      </c>
      <c r="AD892">
        <v>-1.1082615971680001</v>
      </c>
      <c r="AE892">
        <v>-2.15309999999999</v>
      </c>
      <c r="AF892">
        <v>2.27408963233857</v>
      </c>
      <c r="AG892">
        <v>-1.1082615971680001</v>
      </c>
      <c r="AH892">
        <v>23.682780136180401</v>
      </c>
      <c r="AI892">
        <v>92.667014629274405</v>
      </c>
      <c r="AJ892">
        <v>84.515108499152603</v>
      </c>
      <c r="AK892">
        <v>23.8175104157073</v>
      </c>
      <c r="AL892">
        <v>94.453073135754494</v>
      </c>
      <c r="AM892">
        <v>93.543819570121201</v>
      </c>
      <c r="AN892">
        <v>1.00000005144315</v>
      </c>
    </row>
    <row r="893" spans="1:40" x14ac:dyDescent="0.25">
      <c r="A893" t="str">
        <f>"20190305135211763"</f>
        <v>20190305135211763</v>
      </c>
      <c r="B893" t="str">
        <f>"1551765131760542"</f>
        <v>1551765131760542</v>
      </c>
      <c r="C893" t="s">
        <v>40</v>
      </c>
      <c r="D893">
        <v>4.4985749999999998</v>
      </c>
      <c r="E893">
        <v>0.56072369999999905</v>
      </c>
      <c r="F893" t="s">
        <v>42</v>
      </c>
      <c r="G893">
        <v>-243.58709999999999</v>
      </c>
      <c r="H893" s="1">
        <v>-3.6524119999999999E-6</v>
      </c>
      <c r="I893">
        <v>366.00560000000002</v>
      </c>
      <c r="J893">
        <v>-269.33170000000001</v>
      </c>
      <c r="K893">
        <v>1.1082780000000001</v>
      </c>
      <c r="L893">
        <v>368.35789999999997</v>
      </c>
      <c r="M893">
        <v>0.99994910000000004</v>
      </c>
      <c r="N893">
        <v>-8.6024610000000005E-3</v>
      </c>
      <c r="O893">
        <v>5.2955320000000004E-3</v>
      </c>
      <c r="P893">
        <v>0.99405149999999998</v>
      </c>
      <c r="Q893">
        <v>-8.6083889999999996E-2</v>
      </c>
      <c r="R893">
        <v>6.6719550000000002E-2</v>
      </c>
      <c r="S893">
        <v>3.0252379999999999</v>
      </c>
      <c r="T893">
        <v>-0.129432399999999</v>
      </c>
      <c r="U893">
        <v>-0.27462769999999997</v>
      </c>
      <c r="V893">
        <v>-6.1459340000000001E-2</v>
      </c>
      <c r="W893">
        <v>-7.7522519999999998E-2</v>
      </c>
      <c r="X893">
        <v>0.99509449999999999</v>
      </c>
      <c r="Y893">
        <v>9.5572519999999994E-2</v>
      </c>
      <c r="Z893">
        <v>-2.6320979999999998E-3</v>
      </c>
      <c r="AA893">
        <v>0.99541900000000005</v>
      </c>
      <c r="AB893">
        <v>29</v>
      </c>
      <c r="AC893">
        <v>25.744599999999998</v>
      </c>
      <c r="AD893">
        <v>-1.1082816524120001</v>
      </c>
      <c r="AE893">
        <v>-2.3522999999999499</v>
      </c>
      <c r="AF893">
        <v>2.4840380305894598</v>
      </c>
      <c r="AG893">
        <v>-1.1082816524120001</v>
      </c>
      <c r="AH893">
        <v>25.6845766726669</v>
      </c>
      <c r="AI893">
        <v>92.459302224190296</v>
      </c>
      <c r="AJ893">
        <v>84.475921166507902</v>
      </c>
      <c r="AK893">
        <v>25.828205745126699</v>
      </c>
      <c r="AL893">
        <v>94.446174088793498</v>
      </c>
      <c r="AM893">
        <v>93.5342306739593</v>
      </c>
      <c r="AN893">
        <v>1.0000000277553101</v>
      </c>
    </row>
    <row r="894" spans="1:40" x14ac:dyDescent="0.25">
      <c r="A894" t="str">
        <f>"20190305135211776"</f>
        <v>20190305135211776</v>
      </c>
      <c r="B894" t="str">
        <f>"1551765131770301"</f>
        <v>1551765131770301</v>
      </c>
      <c r="C894" t="s">
        <v>40</v>
      </c>
      <c r="D894">
        <v>4.4936829999999999</v>
      </c>
      <c r="E894">
        <v>0.56082929999999998</v>
      </c>
      <c r="F894" t="s">
        <v>42</v>
      </c>
      <c r="G894">
        <v>-240.53</v>
      </c>
      <c r="H894" s="1">
        <v>-5.1500879999999997E-6</v>
      </c>
      <c r="I894">
        <v>365.70909999999998</v>
      </c>
      <c r="J894">
        <v>-269.1832</v>
      </c>
      <c r="K894">
        <v>1.108301</v>
      </c>
      <c r="L894">
        <v>368.3587</v>
      </c>
      <c r="M894">
        <v>0.99994890000000003</v>
      </c>
      <c r="N894">
        <v>-8.6241100000000008E-3</v>
      </c>
      <c r="O894">
        <v>5.288226E-3</v>
      </c>
      <c r="P894">
        <v>0.99405500000000002</v>
      </c>
      <c r="Q894">
        <v>-8.61952E-2</v>
      </c>
      <c r="R894">
        <v>6.6522520000000002E-2</v>
      </c>
      <c r="S894">
        <v>3.0265499999999999</v>
      </c>
      <c r="T894">
        <v>-0.1164613</v>
      </c>
      <c r="U894">
        <v>-0.27835079999999901</v>
      </c>
      <c r="V894">
        <v>-6.1269589999999999E-2</v>
      </c>
      <c r="W894">
        <v>-7.761229E-2</v>
      </c>
      <c r="X894">
        <v>0.99509919999999996</v>
      </c>
      <c r="Y894">
        <v>9.6758689999999994E-2</v>
      </c>
      <c r="Z894">
        <v>-2.432834E-3</v>
      </c>
      <c r="AA894">
        <v>0.99530490000000005</v>
      </c>
      <c r="AB894">
        <v>29</v>
      </c>
      <c r="AC894">
        <v>28.653199999999998</v>
      </c>
      <c r="AD894">
        <v>-1.108306150088</v>
      </c>
      <c r="AE894">
        <v>-2.6496000000000199</v>
      </c>
      <c r="AF894">
        <v>2.7969440198556401</v>
      </c>
      <c r="AG894">
        <v>-1.108306150088</v>
      </c>
      <c r="AH894">
        <v>28.596365595959401</v>
      </c>
      <c r="AI894">
        <v>92.208965087486405</v>
      </c>
      <c r="AJ894">
        <v>84.413800990041494</v>
      </c>
      <c r="AK894">
        <v>28.7541886282729</v>
      </c>
      <c r="AL894">
        <v>94.451333090853197</v>
      </c>
      <c r="AM894">
        <v>93.523329995720601</v>
      </c>
      <c r="AN894">
        <v>1.0000000240292199</v>
      </c>
    </row>
    <row r="895" spans="1:40" x14ac:dyDescent="0.25">
      <c r="A895" t="str">
        <f>"20190305135211795"</f>
        <v>20190305135211795</v>
      </c>
      <c r="B895" t="str">
        <f>"1551765131790797"</f>
        <v>1551765131790797</v>
      </c>
      <c r="C895" t="s">
        <v>40</v>
      </c>
      <c r="D895">
        <v>4.4868350000000001</v>
      </c>
      <c r="E895">
        <v>0.56105260000000001</v>
      </c>
      <c r="F895" t="s">
        <v>42</v>
      </c>
      <c r="G895">
        <v>-239.4684</v>
      </c>
      <c r="H895" s="1">
        <v>-1.231594E-6</v>
      </c>
      <c r="I895">
        <v>365.61520000000002</v>
      </c>
      <c r="J895">
        <v>-268.9282</v>
      </c>
      <c r="K895">
        <v>1.108322</v>
      </c>
      <c r="L895">
        <v>368.36</v>
      </c>
      <c r="M895">
        <v>0.99994870000000002</v>
      </c>
      <c r="N895">
        <v>-8.6589089999999994E-3</v>
      </c>
      <c r="O895">
        <v>5.2756169999999998E-3</v>
      </c>
      <c r="P895">
        <v>0.99406600000000001</v>
      </c>
      <c r="Q895">
        <v>-8.6322839999999998E-2</v>
      </c>
      <c r="R895">
        <v>6.6190579999999999E-2</v>
      </c>
      <c r="S895">
        <v>3.0268549999999999</v>
      </c>
      <c r="T895">
        <v>-0.1128953</v>
      </c>
      <c r="U895">
        <v>-0.27944950000000002</v>
      </c>
      <c r="V895">
        <v>-6.0949789999999997E-2</v>
      </c>
      <c r="W895">
        <v>-7.7705250000000003E-2</v>
      </c>
      <c r="X895">
        <v>0.99511159999999999</v>
      </c>
      <c r="Y895">
        <v>9.7099829999999998E-2</v>
      </c>
      <c r="Z895">
        <v>-2.3785350000000002E-3</v>
      </c>
      <c r="AA895">
        <v>0.99527180000000004</v>
      </c>
      <c r="AB895">
        <v>29</v>
      </c>
      <c r="AC895">
        <v>29.459800000000001</v>
      </c>
      <c r="AD895">
        <v>-1.1083232315939999</v>
      </c>
      <c r="AE895">
        <v>-2.7447999999999899</v>
      </c>
      <c r="AF895">
        <v>2.89612239368169</v>
      </c>
      <c r="AG895">
        <v>-1.1083232315939999</v>
      </c>
      <c r="AH895">
        <v>29.403649751707999</v>
      </c>
      <c r="AI895">
        <v>92.148264655664804</v>
      </c>
      <c r="AJ895">
        <v>84.3747767797215</v>
      </c>
      <c r="AK895">
        <v>29.5667131082573</v>
      </c>
      <c r="AL895">
        <v>94.456675370690306</v>
      </c>
      <c r="AM895">
        <v>93.504942179681194</v>
      </c>
      <c r="AN895">
        <v>1.00000003961658</v>
      </c>
    </row>
    <row r="896" spans="1:40" x14ac:dyDescent="0.25">
      <c r="A896" t="str">
        <f>"20190305135211806"</f>
        <v>20190305135211806</v>
      </c>
      <c r="B896" t="str">
        <f>"1551765131800557"</f>
        <v>1551765131800557</v>
      </c>
      <c r="C896" t="s">
        <v>40</v>
      </c>
      <c r="D896">
        <v>4.4739820000000003</v>
      </c>
      <c r="E896">
        <v>0.56102450000000004</v>
      </c>
      <c r="F896" t="s">
        <v>42</v>
      </c>
      <c r="G896">
        <v>-238.40559999999999</v>
      </c>
      <c r="H896" s="1">
        <v>-1.619796E-6</v>
      </c>
      <c r="I896">
        <v>365.51549999999997</v>
      </c>
      <c r="J896">
        <v>-268.78199999999998</v>
      </c>
      <c r="K896">
        <v>1.1083369999999999</v>
      </c>
      <c r="L896">
        <v>368.36070000000001</v>
      </c>
      <c r="M896">
        <v>0.99994850000000002</v>
      </c>
      <c r="N896">
        <v>-8.6776449999999995E-3</v>
      </c>
      <c r="O896">
        <v>5.2683230000000001E-3</v>
      </c>
      <c r="P896">
        <v>0.99404360000000003</v>
      </c>
      <c r="Q896">
        <v>-8.6513590000000001E-2</v>
      </c>
      <c r="R896">
        <v>6.6278110000000001E-2</v>
      </c>
      <c r="S896">
        <v>3.027161</v>
      </c>
      <c r="T896">
        <v>-0.10992059999999999</v>
      </c>
      <c r="U896">
        <v>-0.28210449999999998</v>
      </c>
      <c r="V896">
        <v>-6.1044830000000001E-2</v>
      </c>
      <c r="W896">
        <v>-7.7877559999999998E-2</v>
      </c>
      <c r="X896">
        <v>0.99509230000000004</v>
      </c>
      <c r="Y896">
        <v>9.7952159999999996E-2</v>
      </c>
      <c r="Z896">
        <v>-2.3452949999999998E-3</v>
      </c>
      <c r="AA896">
        <v>0.99518839999999997</v>
      </c>
      <c r="AB896">
        <v>29</v>
      </c>
      <c r="AC896">
        <v>30.376399999999901</v>
      </c>
      <c r="AD896">
        <v>-1.1083386197959999</v>
      </c>
      <c r="AE896">
        <v>-2.8452000000000299</v>
      </c>
      <c r="AF896">
        <v>3.0012384525031099</v>
      </c>
      <c r="AG896">
        <v>-1.1083386197959999</v>
      </c>
      <c r="AH896">
        <v>30.320973494787101</v>
      </c>
      <c r="AI896">
        <v>92.083259507524502</v>
      </c>
      <c r="AJ896">
        <v>84.347147574367895</v>
      </c>
      <c r="AK896">
        <v>30.4892978013023</v>
      </c>
      <c r="AL896">
        <v>94.466578032592693</v>
      </c>
      <c r="AM896">
        <v>93.510461751454301</v>
      </c>
      <c r="AN896">
        <v>1.0000000355702801</v>
      </c>
    </row>
    <row r="897" spans="1:40" x14ac:dyDescent="0.25">
      <c r="A897" t="str">
        <f>"20190305135211818"</f>
        <v>20190305135211818</v>
      </c>
      <c r="B897" t="str">
        <f>"1551765131810317"</f>
        <v>1551765131810317</v>
      </c>
      <c r="C897" t="s">
        <v>40</v>
      </c>
      <c r="D897">
        <v>4.4741109999999997</v>
      </c>
      <c r="E897">
        <v>0.56113550000000001</v>
      </c>
      <c r="F897" t="s">
        <v>42</v>
      </c>
      <c r="G897">
        <v>-238.11330000000001</v>
      </c>
      <c r="H897" s="1">
        <v>-1.721465E-6</v>
      </c>
      <c r="I897">
        <v>365.50729999999999</v>
      </c>
      <c r="J897">
        <v>-268.62189999999998</v>
      </c>
      <c r="K897">
        <v>1.1083480000000001</v>
      </c>
      <c r="L897">
        <v>368.36160000000001</v>
      </c>
      <c r="M897">
        <v>0.99994839999999996</v>
      </c>
      <c r="N897">
        <v>-8.6965389999999997E-3</v>
      </c>
      <c r="O897">
        <v>5.2604919999999899E-3</v>
      </c>
      <c r="P897">
        <v>0.99403010000000003</v>
      </c>
      <c r="Q897">
        <v>-8.6760809999999994E-2</v>
      </c>
      <c r="R897">
        <v>6.6157640000000004E-2</v>
      </c>
      <c r="S897">
        <v>3.0272220000000001</v>
      </c>
      <c r="T897">
        <v>-0.1094005</v>
      </c>
      <c r="U897">
        <v>-0.28164670000000003</v>
      </c>
      <c r="V897">
        <v>-6.0932699999999999E-2</v>
      </c>
      <c r="W897">
        <v>-7.8106110000000006E-2</v>
      </c>
      <c r="X897">
        <v>0.9950812</v>
      </c>
      <c r="Y897">
        <v>9.7794140000000002E-2</v>
      </c>
      <c r="Z897">
        <v>-2.333051E-3</v>
      </c>
      <c r="AA897">
        <v>0.99520390000000003</v>
      </c>
      <c r="AB897">
        <v>29</v>
      </c>
      <c r="AC897">
        <v>30.508599999999898</v>
      </c>
      <c r="AD897">
        <v>-1.108349721465</v>
      </c>
      <c r="AE897">
        <v>-2.8543000000000198</v>
      </c>
      <c r="AF897">
        <v>3.0108176045086799</v>
      </c>
      <c r="AG897">
        <v>-1.108349721465</v>
      </c>
      <c r="AH897">
        <v>30.453318618553102</v>
      </c>
      <c r="AI897">
        <v>92.074258158989394</v>
      </c>
      <c r="AJ897">
        <v>84.353707269089995</v>
      </c>
      <c r="AK897">
        <v>30.6218561918738</v>
      </c>
      <c r="AL897">
        <v>94.479713256964104</v>
      </c>
      <c r="AM897">
        <v>93.504068641512504</v>
      </c>
      <c r="AN897">
        <v>0.99999997647103001</v>
      </c>
    </row>
    <row r="898" spans="1:40" x14ac:dyDescent="0.25">
      <c r="A898" t="str">
        <f>"20190305135211830"</f>
        <v>20190305135211830</v>
      </c>
      <c r="B898" t="str">
        <f>"1551765131820077"</f>
        <v>1551765131820077</v>
      </c>
      <c r="C898" t="s">
        <v>40</v>
      </c>
      <c r="D898">
        <v>4.444731</v>
      </c>
      <c r="E898">
        <v>0.56119980000000003</v>
      </c>
      <c r="F898" t="s">
        <v>42</v>
      </c>
      <c r="G898">
        <v>-237.80779999999999</v>
      </c>
      <c r="H898" s="1">
        <v>-1.8321349999999999E-6</v>
      </c>
      <c r="I898">
        <v>365.4821</v>
      </c>
      <c r="J898">
        <v>-268.46660000000003</v>
      </c>
      <c r="K898">
        <v>1.108357</v>
      </c>
      <c r="L898">
        <v>368.36239999999998</v>
      </c>
      <c r="M898">
        <v>0.99994839999999996</v>
      </c>
      <c r="N898">
        <v>-8.7140589999999997E-3</v>
      </c>
      <c r="O898">
        <v>5.2526669999999999E-3</v>
      </c>
      <c r="P898">
        <v>0.99401989999999996</v>
      </c>
      <c r="Q898">
        <v>-8.6923199999999895E-2</v>
      </c>
      <c r="R898">
        <v>6.6099959999999999E-2</v>
      </c>
      <c r="S898">
        <v>3.027374</v>
      </c>
      <c r="T898">
        <v>-0.108891</v>
      </c>
      <c r="U898">
        <v>-0.28289789999999998</v>
      </c>
      <c r="V898">
        <v>-6.088267E-2</v>
      </c>
      <c r="W898">
        <v>-7.8251150000000005E-2</v>
      </c>
      <c r="X898">
        <v>0.99507290000000004</v>
      </c>
      <c r="Y898">
        <v>9.818984E-2</v>
      </c>
      <c r="Z898">
        <v>-2.3332180000000002E-3</v>
      </c>
      <c r="AA898">
        <v>0.99516499999999997</v>
      </c>
      <c r="AB898">
        <v>29</v>
      </c>
      <c r="AC898">
        <v>30.658799999999999</v>
      </c>
      <c r="AD898">
        <v>-1.108358832135</v>
      </c>
      <c r="AE898">
        <v>-2.8802999999999699</v>
      </c>
      <c r="AF898">
        <v>3.0373719313886398</v>
      </c>
      <c r="AG898">
        <v>-1.108358832135</v>
      </c>
      <c r="AH898">
        <v>30.603600520476899</v>
      </c>
      <c r="AI898">
        <v>92.064020783467299</v>
      </c>
      <c r="AJ898">
        <v>84.3320220518779</v>
      </c>
      <c r="AK898">
        <v>30.773924877520798</v>
      </c>
      <c r="AL898">
        <v>94.488048802564293</v>
      </c>
      <c r="AM898">
        <v>93.501227847590201</v>
      </c>
      <c r="AN898">
        <v>1.0000000091485299</v>
      </c>
    </row>
    <row r="899" spans="1:40" x14ac:dyDescent="0.25">
      <c r="A899" t="str">
        <f>"20190305135211841"</f>
        <v>20190305135211841</v>
      </c>
      <c r="B899" t="str">
        <f>"1551765131829837"</f>
        <v>1551765131829837</v>
      </c>
      <c r="C899" t="s">
        <v>40</v>
      </c>
      <c r="D899">
        <v>4.477722</v>
      </c>
      <c r="E899">
        <v>0.56129960000000001</v>
      </c>
      <c r="F899" t="s">
        <v>42</v>
      </c>
      <c r="G899">
        <v>-237.48599999999999</v>
      </c>
      <c r="H899" s="1">
        <v>-1.9472249999999998E-6</v>
      </c>
      <c r="I899">
        <v>365.46109999999999</v>
      </c>
      <c r="J899">
        <v>-268.32279999999997</v>
      </c>
      <c r="K899">
        <v>1.108368</v>
      </c>
      <c r="L899">
        <v>368.36320000000001</v>
      </c>
      <c r="M899">
        <v>0.99994819999999995</v>
      </c>
      <c r="N899">
        <v>-8.7293549999999994E-3</v>
      </c>
      <c r="O899">
        <v>5.2455669999999996E-3</v>
      </c>
      <c r="P899">
        <v>0.99400449999999996</v>
      </c>
      <c r="Q899">
        <v>-8.7143410000000004E-2</v>
      </c>
      <c r="R899">
        <v>6.6040290000000001E-2</v>
      </c>
      <c r="S899">
        <v>3.0274350000000001</v>
      </c>
      <c r="T899">
        <v>-0.10830869999999999</v>
      </c>
      <c r="U899">
        <v>-0.28350829999999999</v>
      </c>
      <c r="V899">
        <v>-6.0830429999999998E-2</v>
      </c>
      <c r="W899">
        <v>-7.8456299999999896E-2</v>
      </c>
      <c r="X899">
        <v>0.9950599</v>
      </c>
      <c r="Y899">
        <v>9.8380419999999996E-2</v>
      </c>
      <c r="Z899">
        <v>-2.3274580000000001E-3</v>
      </c>
      <c r="AA899">
        <v>0.99514619999999998</v>
      </c>
      <c r="AB899">
        <v>29</v>
      </c>
      <c r="AC899">
        <v>30.836799999999901</v>
      </c>
      <c r="AD899">
        <v>-1.1083699472249999</v>
      </c>
      <c r="AE899">
        <v>-2.9021000000000101</v>
      </c>
      <c r="AF899">
        <v>3.0599043206467602</v>
      </c>
      <c r="AG899">
        <v>-1.1083699472249999</v>
      </c>
      <c r="AH899">
        <v>30.781733994857301</v>
      </c>
      <c r="AI899">
        <v>92.052075333348</v>
      </c>
      <c r="AJ899">
        <v>84.323077419347598</v>
      </c>
      <c r="AK899">
        <v>30.953297823036198</v>
      </c>
      <c r="AL899">
        <v>94.499839463754299</v>
      </c>
      <c r="AM899">
        <v>93.498276693549897</v>
      </c>
      <c r="AN899">
        <v>0.99999996840584204</v>
      </c>
    </row>
    <row r="900" spans="1:40" x14ac:dyDescent="0.25">
      <c r="A900" t="str">
        <f>"20190305135211853"</f>
        <v>20190305135211853</v>
      </c>
      <c r="B900" t="str">
        <f>"1551765131850333"</f>
        <v>1551765131850333</v>
      </c>
      <c r="C900" t="s">
        <v>40</v>
      </c>
      <c r="D900">
        <v>4.4665650000000001</v>
      </c>
      <c r="E900">
        <v>0.56146149999999995</v>
      </c>
      <c r="F900" t="s">
        <v>42</v>
      </c>
      <c r="G900">
        <v>-237.07820000000001</v>
      </c>
      <c r="H900" s="1">
        <v>-2.0948499999999999E-6</v>
      </c>
      <c r="I900">
        <v>365.42779999999999</v>
      </c>
      <c r="J900">
        <v>-268.17039999999997</v>
      </c>
      <c r="K900">
        <v>1.1083750000000001</v>
      </c>
      <c r="L900">
        <v>368.3639</v>
      </c>
      <c r="M900">
        <v>0.99994799999999995</v>
      </c>
      <c r="N900">
        <v>-8.7444979999999999E-3</v>
      </c>
      <c r="O900">
        <v>5.2382280000000002E-3</v>
      </c>
      <c r="P900">
        <v>0.99402550000000001</v>
      </c>
      <c r="Q900">
        <v>-8.6824570000000004E-2</v>
      </c>
      <c r="R900">
        <v>6.6144819999999993E-2</v>
      </c>
      <c r="S900">
        <v>3.0275569999999998</v>
      </c>
      <c r="T900">
        <v>-0.10739899999999999</v>
      </c>
      <c r="U900">
        <v>-0.2844238</v>
      </c>
      <c r="V900">
        <v>-6.0942110000000001E-2</v>
      </c>
      <c r="W900">
        <v>-7.8122170000000005E-2</v>
      </c>
      <c r="X900">
        <v>0.99507939999999995</v>
      </c>
      <c r="Y900">
        <v>9.866867E-2</v>
      </c>
      <c r="Z900">
        <v>-2.3178869999999998E-3</v>
      </c>
      <c r="AA900">
        <v>0.99511769999999999</v>
      </c>
      <c r="AB900">
        <v>29</v>
      </c>
      <c r="AC900">
        <v>31.092199999999899</v>
      </c>
      <c r="AD900">
        <v>-1.10837709485</v>
      </c>
      <c r="AE900">
        <v>-2.9361000000000099</v>
      </c>
      <c r="AF900">
        <v>3.0950356197534998</v>
      </c>
      <c r="AG900">
        <v>-1.10837709485</v>
      </c>
      <c r="AH900">
        <v>31.037299710074699</v>
      </c>
      <c r="AI900">
        <v>92.035142800280298</v>
      </c>
      <c r="AJ900">
        <v>84.305298422968505</v>
      </c>
      <c r="AK900">
        <v>31.2109230649293</v>
      </c>
      <c r="AL900">
        <v>94.480636082296797</v>
      </c>
      <c r="AM900">
        <v>93.504614759263603</v>
      </c>
      <c r="AN900">
        <v>1.00000001326056</v>
      </c>
    </row>
    <row r="901" spans="1:40" x14ac:dyDescent="0.25">
      <c r="A901" t="str">
        <f>"20190305135211866"</f>
        <v>20190305135211866</v>
      </c>
      <c r="B901" t="str">
        <f>"1551765131860092"</f>
        <v>1551765131860092</v>
      </c>
      <c r="C901" t="s">
        <v>40</v>
      </c>
      <c r="D901">
        <v>4.4497350000000004</v>
      </c>
      <c r="E901">
        <v>0.56155650000000001</v>
      </c>
      <c r="F901" t="s">
        <v>42</v>
      </c>
      <c r="G901">
        <v>-235.89500000000001</v>
      </c>
      <c r="H901" s="1">
        <v>-2.5261409999999999E-6</v>
      </c>
      <c r="I901">
        <v>365.32010000000002</v>
      </c>
      <c r="J901">
        <v>-268.00310000000002</v>
      </c>
      <c r="K901">
        <v>1.108385</v>
      </c>
      <c r="L901">
        <v>368.3648</v>
      </c>
      <c r="M901">
        <v>0.99994810000000001</v>
      </c>
      <c r="N901">
        <v>-8.7604710000000006E-3</v>
      </c>
      <c r="O901">
        <v>5.2301090000000001E-3</v>
      </c>
      <c r="P901">
        <v>0.99400310000000003</v>
      </c>
      <c r="Q901">
        <v>-8.7049660000000001E-2</v>
      </c>
      <c r="R901">
        <v>6.618396E-2</v>
      </c>
      <c r="S901">
        <v>3.0279539999999998</v>
      </c>
      <c r="T901">
        <v>-0.1039836</v>
      </c>
      <c r="U901">
        <v>-0.285553</v>
      </c>
      <c r="V901">
        <v>-6.0989500000000002E-2</v>
      </c>
      <c r="W901">
        <v>-7.833155E-2</v>
      </c>
      <c r="X901">
        <v>0.99505999999999994</v>
      </c>
      <c r="Y901">
        <v>9.9020499999999997E-2</v>
      </c>
      <c r="Z901">
        <v>-2.2643070000000001E-3</v>
      </c>
      <c r="AA901">
        <v>0.99508280000000005</v>
      </c>
      <c r="AB901">
        <v>29</v>
      </c>
      <c r="AC901">
        <v>32.1081</v>
      </c>
      <c r="AD901">
        <v>-1.1083875261409999</v>
      </c>
      <c r="AE901">
        <v>-3.04469999999997</v>
      </c>
      <c r="AF901">
        <v>3.2088038953231801</v>
      </c>
      <c r="AG901">
        <v>-1.1083875261409999</v>
      </c>
      <c r="AH901">
        <v>32.053879038608102</v>
      </c>
      <c r="AI901">
        <v>91.970593775090606</v>
      </c>
      <c r="AJ901">
        <v>84.283361353703398</v>
      </c>
      <c r="AK901">
        <v>32.233152293383696</v>
      </c>
      <c r="AL901">
        <v>94.492669710280893</v>
      </c>
      <c r="AM901">
        <v>93.507401438065699</v>
      </c>
      <c r="AN901">
        <v>0.99999997721782596</v>
      </c>
    </row>
    <row r="902" spans="1:40" x14ac:dyDescent="0.25">
      <c r="A902" t="str">
        <f>"20190305135211879"</f>
        <v>20190305135211879</v>
      </c>
      <c r="B902" t="str">
        <f>"1551765131869854"</f>
        <v>1551765131869854</v>
      </c>
      <c r="C902" t="s">
        <v>40</v>
      </c>
      <c r="D902">
        <v>4.4646150000000002</v>
      </c>
      <c r="E902">
        <v>0.56167100000000003</v>
      </c>
      <c r="F902" t="s">
        <v>42</v>
      </c>
      <c r="G902">
        <v>-235.37289999999999</v>
      </c>
      <c r="H902" s="1">
        <v>-2.7365700000000002E-6</v>
      </c>
      <c r="I902">
        <v>365.2799</v>
      </c>
      <c r="J902">
        <v>-267.82049999999998</v>
      </c>
      <c r="K902">
        <v>1.1083889999999901</v>
      </c>
      <c r="L902">
        <v>368.36579999999998</v>
      </c>
      <c r="M902">
        <v>0.9999479</v>
      </c>
      <c r="N902">
        <v>-8.7763679999999997E-3</v>
      </c>
      <c r="O902">
        <v>5.221453E-3</v>
      </c>
      <c r="P902">
        <v>0.99401309999999998</v>
      </c>
      <c r="Q902">
        <v>-8.7009810000000007E-2</v>
      </c>
      <c r="R902">
        <v>6.6086270000000003E-2</v>
      </c>
      <c r="S902">
        <v>3.0281980000000002</v>
      </c>
      <c r="T902">
        <v>-0.1028621</v>
      </c>
      <c r="U902">
        <v>-0.28628540000000002</v>
      </c>
      <c r="V902">
        <v>-6.0900089999999997E-2</v>
      </c>
      <c r="W902">
        <v>-7.8275769999999995E-2</v>
      </c>
      <c r="X902">
        <v>0.99506989999999995</v>
      </c>
      <c r="Y902">
        <v>9.9244200000000005E-2</v>
      </c>
      <c r="Z902">
        <v>-2.249189E-3</v>
      </c>
      <c r="AA902">
        <v>0.99506059999999996</v>
      </c>
      <c r="AB902">
        <v>29</v>
      </c>
      <c r="AC902">
        <v>32.447599999999902</v>
      </c>
      <c r="AD902">
        <v>-1.10839173656999</v>
      </c>
      <c r="AE902">
        <v>-3.0858999999999801</v>
      </c>
      <c r="AF902">
        <v>3.2515279742695999</v>
      </c>
      <c r="AG902">
        <v>-1.10839173656999</v>
      </c>
      <c r="AH902">
        <v>32.393583954377497</v>
      </c>
      <c r="AI902">
        <v>91.949899961582503</v>
      </c>
      <c r="AJ902">
        <v>84.268095970253697</v>
      </c>
      <c r="AK902">
        <v>32.575224447706603</v>
      </c>
      <c r="AL902">
        <v>94.489463754123506</v>
      </c>
      <c r="AM902">
        <v>93.502237672656705</v>
      </c>
      <c r="AN902">
        <v>1.0000000115085499</v>
      </c>
    </row>
    <row r="903" spans="1:40" x14ac:dyDescent="0.25">
      <c r="A903" t="str">
        <f>"20190305135211893"</f>
        <v>20190305135211893</v>
      </c>
      <c r="B903" t="str">
        <f>"1551765131890351"</f>
        <v>1551765131890351</v>
      </c>
      <c r="C903" t="s">
        <v>40</v>
      </c>
      <c r="D903">
        <v>4.4324949999999896</v>
      </c>
      <c r="E903">
        <v>0.56175450000000005</v>
      </c>
      <c r="F903" t="s">
        <v>42</v>
      </c>
      <c r="G903">
        <v>-234.60669999999999</v>
      </c>
      <c r="H903" s="1">
        <v>-3.0761530000000001E-6</v>
      </c>
      <c r="I903">
        <v>365.21839999999997</v>
      </c>
      <c r="J903">
        <v>-267.64960000000002</v>
      </c>
      <c r="K903">
        <v>1.1083970000000001</v>
      </c>
      <c r="L903">
        <v>368.36660000000001</v>
      </c>
      <c r="M903">
        <v>0.99994780000000005</v>
      </c>
      <c r="N903">
        <v>-8.7904579999999993E-3</v>
      </c>
      <c r="O903">
        <v>5.2135209999999996E-3</v>
      </c>
      <c r="P903">
        <v>0.9940156</v>
      </c>
      <c r="Q903">
        <v>-8.7040690000000004E-2</v>
      </c>
      <c r="R903">
        <v>6.6009139999999994E-2</v>
      </c>
      <c r="S903">
        <v>3.0282900000000001</v>
      </c>
      <c r="T903">
        <v>-0.1010581</v>
      </c>
      <c r="U903">
        <v>-0.28695680000000001</v>
      </c>
      <c r="V903">
        <v>-6.0831209999999997E-2</v>
      </c>
      <c r="W903">
        <v>-7.8292589999999995E-2</v>
      </c>
      <c r="X903">
        <v>0.99507279999999998</v>
      </c>
      <c r="Y903">
        <v>9.9454299999999995E-2</v>
      </c>
      <c r="Z903">
        <v>-2.2213990000000002E-3</v>
      </c>
      <c r="AA903">
        <v>0.99503960000000002</v>
      </c>
      <c r="AB903">
        <v>29</v>
      </c>
      <c r="AC903">
        <v>33.042900000000003</v>
      </c>
      <c r="AD903">
        <v>-1.108400076153</v>
      </c>
      <c r="AE903">
        <v>-3.1482000000000299</v>
      </c>
      <c r="AF903">
        <v>3.3167352375277099</v>
      </c>
      <c r="AG903">
        <v>-1.108400076153</v>
      </c>
      <c r="AH903">
        <v>32.989250875252601</v>
      </c>
      <c r="AI903">
        <v>91.914701398052401</v>
      </c>
      <c r="AJ903">
        <v>84.258782071956205</v>
      </c>
      <c r="AK903">
        <v>33.174085619275601</v>
      </c>
      <c r="AL903">
        <v>94.490430390697895</v>
      </c>
      <c r="AM903">
        <v>93.498276199730995</v>
      </c>
      <c r="AN903">
        <v>1.0000000215294</v>
      </c>
    </row>
    <row r="904" spans="1:40" x14ac:dyDescent="0.25">
      <c r="A904" t="str">
        <f>"20190305135211906"</f>
        <v>20190305135211906</v>
      </c>
      <c r="B904" t="str">
        <f>"1551765131900109"</f>
        <v>1551765131900109</v>
      </c>
      <c r="C904" t="s">
        <v>40</v>
      </c>
      <c r="D904">
        <v>4.4201519999999999</v>
      </c>
      <c r="E904">
        <v>0.56186259999999999</v>
      </c>
      <c r="F904" t="s">
        <v>42</v>
      </c>
      <c r="G904">
        <v>-233.5016</v>
      </c>
      <c r="H904" s="1">
        <v>-3.567655E-6</v>
      </c>
      <c r="I904">
        <v>365.12040000000002</v>
      </c>
      <c r="J904">
        <v>-267.47199999999998</v>
      </c>
      <c r="K904">
        <v>1.1084039999999999</v>
      </c>
      <c r="L904">
        <v>368.36759999999998</v>
      </c>
      <c r="M904">
        <v>0.99994780000000005</v>
      </c>
      <c r="N904">
        <v>-8.8044290000000008E-3</v>
      </c>
      <c r="O904">
        <v>5.2050530000000003E-3</v>
      </c>
      <c r="P904">
        <v>0.99399570000000004</v>
      </c>
      <c r="Q904">
        <v>-8.7289679999999994E-2</v>
      </c>
      <c r="R904">
        <v>6.5980140000000007E-2</v>
      </c>
      <c r="S904">
        <v>3.0285639999999998</v>
      </c>
      <c r="T904">
        <v>-9.8302840000000002E-2</v>
      </c>
      <c r="U904">
        <v>-0.28790280000000001</v>
      </c>
      <c r="V904">
        <v>-6.081015E-2</v>
      </c>
      <c r="W904">
        <v>-7.8527840000000002E-2</v>
      </c>
      <c r="X904">
        <v>0.99505560000000004</v>
      </c>
      <c r="Y904">
        <v>9.9748710000000004E-2</v>
      </c>
      <c r="Z904">
        <v>-2.1778639999999998E-3</v>
      </c>
      <c r="AA904">
        <v>0.99501030000000001</v>
      </c>
      <c r="AB904">
        <v>29</v>
      </c>
      <c r="AC904">
        <v>33.970399999999898</v>
      </c>
      <c r="AD904">
        <v>-1.108407567655</v>
      </c>
      <c r="AE904">
        <v>-3.2471999999999599</v>
      </c>
      <c r="AF904">
        <v>3.4203721255357098</v>
      </c>
      <c r="AG904">
        <v>-1.108407567655</v>
      </c>
      <c r="AH904">
        <v>33.917255000348703</v>
      </c>
      <c r="AI904">
        <v>91.862307044053495</v>
      </c>
      <c r="AJ904">
        <v>84.241497806301496</v>
      </c>
      <c r="AK904">
        <v>34.1072968669734</v>
      </c>
      <c r="AL904">
        <v>94.503950623902298</v>
      </c>
      <c r="AM904">
        <v>93.497128387563194</v>
      </c>
      <c r="AN904">
        <v>1.0000000715447199</v>
      </c>
    </row>
    <row r="905" spans="1:40" x14ac:dyDescent="0.25">
      <c r="A905" t="str">
        <f>"20190305135211919"</f>
        <v>20190305135211919</v>
      </c>
      <c r="B905" t="str">
        <f>"1551765131909869"</f>
        <v>1551765131909869</v>
      </c>
      <c r="C905" t="s">
        <v>40</v>
      </c>
      <c r="D905">
        <v>4.4216480000000002</v>
      </c>
      <c r="E905">
        <v>0.56193349999999997</v>
      </c>
      <c r="F905" t="s">
        <v>42</v>
      </c>
      <c r="G905">
        <v>-232.92009999999999</v>
      </c>
      <c r="H905" s="1">
        <v>-3.8254870000000003E-6</v>
      </c>
      <c r="I905">
        <v>365.07299999999998</v>
      </c>
      <c r="J905">
        <v>-267.30180000000001</v>
      </c>
      <c r="K905">
        <v>1.1084080000000001</v>
      </c>
      <c r="L905">
        <v>368.36840000000001</v>
      </c>
      <c r="M905">
        <v>0.99994769999999999</v>
      </c>
      <c r="N905">
        <v>-8.8167639999999995E-3</v>
      </c>
      <c r="O905">
        <v>5.1972479999999998E-3</v>
      </c>
      <c r="P905">
        <v>0.99403989999999998</v>
      </c>
      <c r="Q905">
        <v>-8.6973750000000002E-2</v>
      </c>
      <c r="R905">
        <v>6.5729460000000003E-2</v>
      </c>
      <c r="S905">
        <v>3.0287480000000002</v>
      </c>
      <c r="T905">
        <v>-9.7160579999999996E-2</v>
      </c>
      <c r="U905">
        <v>-0.28878779999999998</v>
      </c>
      <c r="V905">
        <v>-6.0567360000000001E-2</v>
      </c>
      <c r="W905">
        <v>-7.8199279999999996E-2</v>
      </c>
      <c r="X905">
        <v>0.99509619999999999</v>
      </c>
      <c r="Y905">
        <v>0.10002460000000001</v>
      </c>
      <c r="Z905">
        <v>-2.1630320000000001E-3</v>
      </c>
      <c r="AA905">
        <v>0.99498260000000005</v>
      </c>
      <c r="AB905">
        <v>29</v>
      </c>
      <c r="AC905">
        <v>34.381700000000002</v>
      </c>
      <c r="AD905">
        <v>-1.1084118254869999</v>
      </c>
      <c r="AE905">
        <v>-3.2953999999999701</v>
      </c>
      <c r="AF905">
        <v>3.4704785538655498</v>
      </c>
      <c r="AG905">
        <v>-1.1084118254869999</v>
      </c>
      <c r="AH905">
        <v>34.328754298250999</v>
      </c>
      <c r="AI905">
        <v>91.839959954076306</v>
      </c>
      <c r="AJ905">
        <v>84.227274213053903</v>
      </c>
      <c r="AK905">
        <v>34.5215319740797</v>
      </c>
      <c r="AL905">
        <v>94.485067822296102</v>
      </c>
      <c r="AM905">
        <v>93.483058468035594</v>
      </c>
      <c r="AN905">
        <v>0.99999998987216399</v>
      </c>
    </row>
    <row r="906" spans="1:40" x14ac:dyDescent="0.25">
      <c r="A906" t="str">
        <f>"20190305135211931"</f>
        <v>20190305135211931</v>
      </c>
      <c r="B906" t="str">
        <f>"1551765131920605"</f>
        <v>1551765131920605</v>
      </c>
      <c r="C906" t="s">
        <v>40</v>
      </c>
      <c r="D906">
        <v>4.4284100000000004</v>
      </c>
      <c r="E906">
        <v>0.56210179999999998</v>
      </c>
      <c r="F906" t="s">
        <v>42</v>
      </c>
      <c r="G906">
        <v>-231.79990000000001</v>
      </c>
      <c r="H906" s="1">
        <v>-4.3245349999999998E-6</v>
      </c>
      <c r="I906">
        <v>364.96879999999999</v>
      </c>
      <c r="J906">
        <v>-267.14819999999997</v>
      </c>
      <c r="K906">
        <v>1.108412</v>
      </c>
      <c r="L906">
        <v>368.36919999999998</v>
      </c>
      <c r="M906">
        <v>0.99994769999999999</v>
      </c>
      <c r="N906">
        <v>-8.8273529999999996E-3</v>
      </c>
      <c r="O906">
        <v>5.1898090000000001E-3</v>
      </c>
      <c r="P906">
        <v>0.99401249999999997</v>
      </c>
      <c r="Q906">
        <v>-8.7168079999999995E-2</v>
      </c>
      <c r="R906">
        <v>6.5889870000000003E-2</v>
      </c>
      <c r="S906">
        <v>3.0289000000000001</v>
      </c>
      <c r="T906">
        <v>-9.4565750000000004E-2</v>
      </c>
      <c r="U906">
        <v>-0.29003909999999899</v>
      </c>
      <c r="V906">
        <v>-6.0735879999999999E-2</v>
      </c>
      <c r="W906">
        <v>-7.8383250000000002E-2</v>
      </c>
      <c r="X906">
        <v>0.9950715</v>
      </c>
      <c r="Y906">
        <v>0.1004227</v>
      </c>
      <c r="Z906">
        <v>-2.1240260000000002E-3</v>
      </c>
      <c r="AA906">
        <v>0.99494260000000001</v>
      </c>
      <c r="AB906">
        <v>29</v>
      </c>
      <c r="AC906">
        <v>35.348299999999902</v>
      </c>
      <c r="AD906">
        <v>-1.1084163245350001</v>
      </c>
      <c r="AE906">
        <v>-3.4003999999999901</v>
      </c>
      <c r="AF906">
        <v>3.5803241381716702</v>
      </c>
      <c r="AG906">
        <v>-1.1084163245350001</v>
      </c>
      <c r="AH906">
        <v>35.2957890518773</v>
      </c>
      <c r="AI906">
        <v>91.789527825551204</v>
      </c>
      <c r="AJ906">
        <v>84.207859202316399</v>
      </c>
      <c r="AK906">
        <v>35.494225339870297</v>
      </c>
      <c r="AL906">
        <v>94.495640775188406</v>
      </c>
      <c r="AM906">
        <v>93.492812104522798</v>
      </c>
      <c r="AN906">
        <v>1.0000000355560901</v>
      </c>
    </row>
    <row r="907" spans="1:40" x14ac:dyDescent="0.25">
      <c r="A907" t="str">
        <f>"20190305135211943"</f>
        <v>20190305135211943</v>
      </c>
      <c r="B907" t="str">
        <f>"1551765131940125"</f>
        <v>1551765131940125</v>
      </c>
      <c r="C907" t="s">
        <v>40</v>
      </c>
      <c r="D907">
        <v>4.4206349999999999</v>
      </c>
      <c r="E907">
        <v>0.56231779999999998</v>
      </c>
      <c r="F907" t="s">
        <v>42</v>
      </c>
      <c r="G907">
        <v>-231.1541</v>
      </c>
      <c r="H907" s="1">
        <v>-4.611483E-6</v>
      </c>
      <c r="I907">
        <v>364.91289999999998</v>
      </c>
      <c r="J907">
        <v>-266.99029999999999</v>
      </c>
      <c r="K907">
        <v>1.1084179999999999</v>
      </c>
      <c r="L907">
        <v>368.37</v>
      </c>
      <c r="M907">
        <v>0.99994769999999999</v>
      </c>
      <c r="N907">
        <v>-8.8377400000000002E-3</v>
      </c>
      <c r="O907">
        <v>5.1823720000000002E-3</v>
      </c>
      <c r="P907">
        <v>0.9939926</v>
      </c>
      <c r="Q907">
        <v>-8.7303099999999995E-2</v>
      </c>
      <c r="R907">
        <v>6.6011059999999996E-2</v>
      </c>
      <c r="S907">
        <v>3.0291440000000001</v>
      </c>
      <c r="T907">
        <v>-9.3280550000000004E-2</v>
      </c>
      <c r="U907">
        <v>-0.29086299999999998</v>
      </c>
      <c r="V907">
        <v>-6.0863859999999999E-2</v>
      </c>
      <c r="W907">
        <v>-7.8508099999999997E-2</v>
      </c>
      <c r="X907">
        <v>0.99505379999999999</v>
      </c>
      <c r="Y907">
        <v>0.10067719999999999</v>
      </c>
      <c r="Z907">
        <v>-2.1057760000000002E-3</v>
      </c>
      <c r="AA907">
        <v>0.99491689999999999</v>
      </c>
      <c r="AB907">
        <v>29</v>
      </c>
      <c r="AC907">
        <v>35.836199999999899</v>
      </c>
      <c r="AD907">
        <v>-1.108422611483</v>
      </c>
      <c r="AE907">
        <v>-3.45710000000002</v>
      </c>
      <c r="AF907">
        <v>3.63932774080883</v>
      </c>
      <c r="AG907">
        <v>-1.108422611483</v>
      </c>
      <c r="AH907">
        <v>35.783883974284997</v>
      </c>
      <c r="AI907">
        <v>91.765097039368499</v>
      </c>
      <c r="AJ907">
        <v>84.192815582905993</v>
      </c>
      <c r="AK907">
        <v>35.985547923795103</v>
      </c>
      <c r="AL907">
        <v>94.502816434271395</v>
      </c>
      <c r="AM907">
        <v>93.500215833811197</v>
      </c>
      <c r="AN907">
        <v>0.99999999805707396</v>
      </c>
    </row>
    <row r="908" spans="1:40" x14ac:dyDescent="0.25">
      <c r="A908" t="str">
        <f>"20190305135211954"</f>
        <v>20190305135211954</v>
      </c>
      <c r="B908" t="str">
        <f>"1551765131950861"</f>
        <v>1551765131950861</v>
      </c>
      <c r="C908" t="s">
        <v>40</v>
      </c>
      <c r="D908">
        <v>4.4653619999999998</v>
      </c>
      <c r="E908">
        <v>0.56243669999999901</v>
      </c>
      <c r="F908" t="s">
        <v>42</v>
      </c>
      <c r="G908">
        <v>-229.99029999999999</v>
      </c>
      <c r="H908" s="1">
        <v>-5.1297929999999996E-6</v>
      </c>
      <c r="I908">
        <v>364.80560000000003</v>
      </c>
      <c r="J908">
        <v>-266.84390000000002</v>
      </c>
      <c r="K908">
        <v>1.108422</v>
      </c>
      <c r="L908">
        <v>368.37079999999997</v>
      </c>
      <c r="M908">
        <v>0.99994749999999999</v>
      </c>
      <c r="N908">
        <v>-8.8489050000000007E-3</v>
      </c>
      <c r="O908">
        <v>5.1758819999999997E-3</v>
      </c>
      <c r="P908">
        <v>0.99399150000000003</v>
      </c>
      <c r="Q908">
        <v>-8.7311070000000005E-2</v>
      </c>
      <c r="R908">
        <v>6.6013160000000001E-2</v>
      </c>
      <c r="S908">
        <v>3.0295100000000001</v>
      </c>
      <c r="T908">
        <v>-9.0755939999999993E-2</v>
      </c>
      <c r="U908">
        <v>-0.29183959999999998</v>
      </c>
      <c r="V908">
        <v>-6.0872419999999997E-2</v>
      </c>
      <c r="W908">
        <v>-7.8504969999999993E-2</v>
      </c>
      <c r="X908">
        <v>0.99505350000000004</v>
      </c>
      <c r="Y908">
        <v>0.1009799</v>
      </c>
      <c r="Z908">
        <v>-2.06565E-3</v>
      </c>
      <c r="AA908">
        <v>0.9948863</v>
      </c>
      <c r="AB908">
        <v>29</v>
      </c>
      <c r="AC908">
        <v>36.8536</v>
      </c>
      <c r="AD908">
        <v>-1.108427129793</v>
      </c>
      <c r="AE908">
        <v>-3.56519999999994</v>
      </c>
      <c r="AF908">
        <v>3.75254652125777</v>
      </c>
      <c r="AG908">
        <v>-1.108427129793</v>
      </c>
      <c r="AH908">
        <v>36.801670567142203</v>
      </c>
      <c r="AI908">
        <v>91.716272539571804</v>
      </c>
      <c r="AJ908">
        <v>84.177858299038306</v>
      </c>
      <c r="AK908">
        <v>37.009095809391603</v>
      </c>
      <c r="AL908">
        <v>94.502636647988496</v>
      </c>
      <c r="AM908">
        <v>93.500707938976802</v>
      </c>
      <c r="AN908">
        <v>0.99999997484680303</v>
      </c>
    </row>
    <row r="909" spans="1:40" x14ac:dyDescent="0.25">
      <c r="A909" t="str">
        <f>"20190305135211967"</f>
        <v>20190305135211967</v>
      </c>
      <c r="B909" t="str">
        <f>"1551765131960621"</f>
        <v>1551765131960621</v>
      </c>
      <c r="C909" t="s">
        <v>40</v>
      </c>
      <c r="D909">
        <v>4.4240579999999996</v>
      </c>
      <c r="E909">
        <v>0.562702699999999</v>
      </c>
      <c r="F909" t="s">
        <v>42</v>
      </c>
      <c r="G909">
        <v>-229.2347</v>
      </c>
      <c r="H909" s="1">
        <v>-1.544767E-6</v>
      </c>
      <c r="I909">
        <v>364.73700000000002</v>
      </c>
      <c r="J909">
        <v>-266.68049999999999</v>
      </c>
      <c r="K909">
        <v>1.1084290000000001</v>
      </c>
      <c r="L909">
        <v>368.3716</v>
      </c>
      <c r="M909">
        <v>0.99994749999999999</v>
      </c>
      <c r="N909">
        <v>-8.8618859999999994E-3</v>
      </c>
      <c r="O909">
        <v>5.1682519999999999E-3</v>
      </c>
      <c r="P909">
        <v>0.99398359999999997</v>
      </c>
      <c r="Q909">
        <v>-8.7281570000000003E-2</v>
      </c>
      <c r="R909">
        <v>6.6171530000000006E-2</v>
      </c>
      <c r="S909">
        <v>3.0297239999999999</v>
      </c>
      <c r="T909">
        <v>-8.9292410000000003E-2</v>
      </c>
      <c r="U909">
        <v>-0.292724599999999</v>
      </c>
      <c r="V909">
        <v>-6.103869E-2</v>
      </c>
      <c r="W909">
        <v>-7.8462580000000004E-2</v>
      </c>
      <c r="X909">
        <v>0.99504669999999895</v>
      </c>
      <c r="Y909">
        <v>0.1012551</v>
      </c>
      <c r="Z909">
        <v>-2.0444040000000001E-3</v>
      </c>
      <c r="AA909">
        <v>0.99485840000000003</v>
      </c>
      <c r="AB909">
        <v>29</v>
      </c>
      <c r="AC909">
        <v>37.445799999999899</v>
      </c>
      <c r="AD909">
        <v>-1.108430544767</v>
      </c>
      <c r="AE909">
        <v>-3.63460000000003</v>
      </c>
      <c r="AF909">
        <v>3.82476831982525</v>
      </c>
      <c r="AG909">
        <v>-1.108430544767</v>
      </c>
      <c r="AH909">
        <v>37.394055160071296</v>
      </c>
      <c r="AI909">
        <v>91.689051056842899</v>
      </c>
      <c r="AJ909">
        <v>84.159937061973395</v>
      </c>
      <c r="AK909">
        <v>37.605489390345198</v>
      </c>
      <c r="AL909">
        <v>94.500200176301405</v>
      </c>
      <c r="AM909">
        <v>93.510270001237004</v>
      </c>
      <c r="AN909">
        <v>1.0000000166590299</v>
      </c>
    </row>
    <row r="910" spans="1:40" x14ac:dyDescent="0.25">
      <c r="A910" t="str">
        <f>"20190305135211978"</f>
        <v>20190305135211978</v>
      </c>
      <c r="B910" t="str">
        <f>"1551765131970382"</f>
        <v>1551765131970382</v>
      </c>
      <c r="C910" t="s">
        <v>40</v>
      </c>
      <c r="D910">
        <v>4.395581</v>
      </c>
      <c r="E910">
        <v>0.56297369999999902</v>
      </c>
      <c r="F910" t="s">
        <v>42</v>
      </c>
      <c r="G910">
        <v>-228.1103</v>
      </c>
      <c r="H910" s="1">
        <v>-1.9570559999999999E-6</v>
      </c>
      <c r="I910">
        <v>364.62560000000002</v>
      </c>
      <c r="J910">
        <v>-266.52519999999998</v>
      </c>
      <c r="K910">
        <v>1.1084290000000001</v>
      </c>
      <c r="L910">
        <v>368.37240000000003</v>
      </c>
      <c r="M910">
        <v>0.99994720000000004</v>
      </c>
      <c r="N910">
        <v>-8.8753219999999997E-3</v>
      </c>
      <c r="O910">
        <v>5.1611590000000002E-3</v>
      </c>
      <c r="P910">
        <v>0.99401899999999999</v>
      </c>
      <c r="Q910">
        <v>-8.7119210000000002E-2</v>
      </c>
      <c r="R910">
        <v>6.5852999999999995E-2</v>
      </c>
      <c r="S910">
        <v>3.03009</v>
      </c>
      <c r="T910">
        <v>-8.707869E-2</v>
      </c>
      <c r="U910">
        <v>-0.29428100000000001</v>
      </c>
      <c r="V910">
        <v>-6.0727339999999998E-2</v>
      </c>
      <c r="W910">
        <v>-7.828657E-2</v>
      </c>
      <c r="X910">
        <v>0.99507959999999995</v>
      </c>
      <c r="Y910">
        <v>0.1017451</v>
      </c>
      <c r="Z910">
        <v>-2.0132040000000002E-3</v>
      </c>
      <c r="AA910">
        <v>0.99480849999999998</v>
      </c>
      <c r="AB910">
        <v>29</v>
      </c>
      <c r="AC910">
        <v>38.414899999999903</v>
      </c>
      <c r="AD910">
        <v>-1.108430957056</v>
      </c>
      <c r="AE910">
        <v>-3.7467999999999999</v>
      </c>
      <c r="AF910">
        <v>3.9417724736470401</v>
      </c>
      <c r="AG910">
        <v>-1.108430957056</v>
      </c>
      <c r="AH910">
        <v>38.363410694305003</v>
      </c>
      <c r="AI910">
        <v>91.6463193146637</v>
      </c>
      <c r="AJ910">
        <v>84.133546812630698</v>
      </c>
      <c r="AK910">
        <v>38.5813098471329</v>
      </c>
      <c r="AL910">
        <v>94.490084488840097</v>
      </c>
      <c r="AM910">
        <v>93.492293842620896</v>
      </c>
      <c r="AN910">
        <v>1.0000000036009999</v>
      </c>
    </row>
    <row r="911" spans="1:40" x14ac:dyDescent="0.25">
      <c r="A911" t="str">
        <f>"20190305135211989"</f>
        <v>20190305135211989</v>
      </c>
      <c r="B911" t="str">
        <f>"1551765131980142"</f>
        <v>1551765131980142</v>
      </c>
      <c r="C911" t="s">
        <v>40</v>
      </c>
      <c r="D911">
        <v>6.4015829999999996</v>
      </c>
      <c r="E911">
        <v>0.56297369999999902</v>
      </c>
      <c r="F911" t="s">
        <v>42</v>
      </c>
      <c r="G911">
        <v>-226.78</v>
      </c>
      <c r="H911" s="1">
        <v>-2.450705E-6</v>
      </c>
      <c r="I911">
        <v>364.47179999999997</v>
      </c>
      <c r="J911">
        <v>-266.38369999999998</v>
      </c>
      <c r="K911">
        <v>1.1084320000000001</v>
      </c>
      <c r="L911">
        <v>368.37310000000002</v>
      </c>
      <c r="M911">
        <v>0.99994720000000004</v>
      </c>
      <c r="N911">
        <v>-8.8874590000000003E-3</v>
      </c>
      <c r="O911">
        <v>5.1543680000000003E-3</v>
      </c>
      <c r="P911">
        <v>0.994004</v>
      </c>
      <c r="Q911">
        <v>-8.7316069999999996E-2</v>
      </c>
      <c r="R911">
        <v>6.5818879999999996E-2</v>
      </c>
      <c r="S911">
        <v>3.0303339999999999</v>
      </c>
      <c r="T911">
        <v>-8.4511039999999996E-2</v>
      </c>
      <c r="U911">
        <v>-0.29739379999999999</v>
      </c>
      <c r="V911">
        <v>-6.0699879999999998E-2</v>
      </c>
      <c r="W911">
        <v>-7.8471490000000005E-2</v>
      </c>
      <c r="X911">
        <v>0.99506669999999997</v>
      </c>
      <c r="Y911">
        <v>0.10274519999999999</v>
      </c>
      <c r="Z911">
        <v>-1.9844709999999998E-3</v>
      </c>
      <c r="AA911">
        <v>0.99470570000000003</v>
      </c>
      <c r="AB911">
        <v>29</v>
      </c>
      <c r="AC911">
        <v>39.603699999999897</v>
      </c>
      <c r="AD911">
        <v>-1.1084344507049999</v>
      </c>
      <c r="AE911">
        <v>-3.90130000000004</v>
      </c>
      <c r="AF911">
        <v>4.1022057567440404</v>
      </c>
      <c r="AG911">
        <v>-1.1084344507049999</v>
      </c>
      <c r="AH911">
        <v>39.552379271397001</v>
      </c>
      <c r="AI911">
        <v>91.596703279167798</v>
      </c>
      <c r="AJ911">
        <v>84.078694886051395</v>
      </c>
      <c r="AK911">
        <v>39.779987745480902</v>
      </c>
      <c r="AL911">
        <v>94.500712363633795</v>
      </c>
      <c r="AM911">
        <v>93.490763726572695</v>
      </c>
      <c r="AN911">
        <v>0.999999993811862</v>
      </c>
    </row>
    <row r="912" spans="1:40" x14ac:dyDescent="0.25">
      <c r="A912" t="str">
        <f>"20190305135212000"</f>
        <v>20190305135212000</v>
      </c>
      <c r="B912" t="str">
        <f>"1551765131990876"</f>
        <v>1551765131990876</v>
      </c>
      <c r="C912" t="s">
        <v>40</v>
      </c>
      <c r="D912">
        <v>4.4082299999999996</v>
      </c>
      <c r="E912">
        <v>0.56307790000000002</v>
      </c>
      <c r="F912" t="s">
        <v>42</v>
      </c>
      <c r="G912">
        <v>-226.96780000000001</v>
      </c>
      <c r="H912" s="1">
        <v>-2.3790559999999999E-6</v>
      </c>
      <c r="I912">
        <v>364.50080000000003</v>
      </c>
      <c r="J912">
        <v>-266.23419999999999</v>
      </c>
      <c r="K912">
        <v>1.1084350000000001</v>
      </c>
      <c r="L912">
        <v>368.37389999999999</v>
      </c>
      <c r="M912">
        <v>0.99994720000000004</v>
      </c>
      <c r="N912">
        <v>-8.9001380000000001E-3</v>
      </c>
      <c r="O912">
        <v>5.1472779999999999E-3</v>
      </c>
      <c r="P912">
        <v>0.99397740000000001</v>
      </c>
      <c r="Q912">
        <v>-8.7669899999999995E-2</v>
      </c>
      <c r="R912">
        <v>6.5753069999999997E-2</v>
      </c>
      <c r="S912">
        <v>3.0303040000000001</v>
      </c>
      <c r="T912">
        <v>-8.5216520000000004E-2</v>
      </c>
      <c r="U912">
        <v>-0.29769899999999999</v>
      </c>
      <c r="V912">
        <v>-6.0641300000000002E-2</v>
      </c>
      <c r="W912">
        <v>-7.8812930000000003E-2</v>
      </c>
      <c r="X912">
        <v>0.99504329999999996</v>
      </c>
      <c r="Y912">
        <v>0.1028374</v>
      </c>
      <c r="Z912">
        <v>-1.9997610000000001E-3</v>
      </c>
      <c r="AA912">
        <v>0.99469609999999997</v>
      </c>
      <c r="AB912">
        <v>29</v>
      </c>
      <c r="AC912">
        <v>39.266399999999898</v>
      </c>
      <c r="AD912">
        <v>-1.108437379056</v>
      </c>
      <c r="AE912">
        <v>-3.87309999999996</v>
      </c>
      <c r="AF912">
        <v>4.0719582570100297</v>
      </c>
      <c r="AG912">
        <v>-1.108437379056</v>
      </c>
      <c r="AH912">
        <v>39.214995441184598</v>
      </c>
      <c r="AI912">
        <v>91.610417474019499</v>
      </c>
      <c r="AJ912">
        <v>84.071836669421302</v>
      </c>
      <c r="AK912">
        <v>39.441416619110598</v>
      </c>
      <c r="AL912">
        <v>94.520336151813396</v>
      </c>
      <c r="AM912">
        <v>93.487485001802298</v>
      </c>
      <c r="AN912">
        <v>1.0000000070378801</v>
      </c>
    </row>
    <row r="913" spans="1:40" x14ac:dyDescent="0.25">
      <c r="A913" t="str">
        <f>"20190305135212011"</f>
        <v>20190305135212011</v>
      </c>
      <c r="B913" t="str">
        <f>"1551765132000637"</f>
        <v>1551765132000637</v>
      </c>
      <c r="C913" t="s">
        <v>40</v>
      </c>
      <c r="D913">
        <v>5.4020820000000001</v>
      </c>
      <c r="E913">
        <v>0.5632125</v>
      </c>
      <c r="F913" t="s">
        <v>42</v>
      </c>
      <c r="G913">
        <v>-226.50489999999999</v>
      </c>
      <c r="H913" s="1">
        <v>-2.5471959999999998E-6</v>
      </c>
      <c r="I913">
        <v>364.46100000000001</v>
      </c>
      <c r="J913">
        <v>-266.09010000000001</v>
      </c>
      <c r="K913">
        <v>1.1084400000000001</v>
      </c>
      <c r="L913">
        <v>368.37459999999999</v>
      </c>
      <c r="M913">
        <v>0.99994709999999998</v>
      </c>
      <c r="N913">
        <v>-8.9118740000000002E-3</v>
      </c>
      <c r="O913">
        <v>5.1404900000000002E-3</v>
      </c>
      <c r="P913">
        <v>0.99397519999999995</v>
      </c>
      <c r="Q913">
        <v>-8.7762270000000003E-2</v>
      </c>
      <c r="R913">
        <v>6.5658309999999998E-2</v>
      </c>
      <c r="S913">
        <v>3.0304259999999998</v>
      </c>
      <c r="T913">
        <v>-8.4547880000000006E-2</v>
      </c>
      <c r="U913">
        <v>-0.2984619</v>
      </c>
      <c r="V913">
        <v>-6.0553129999999997E-2</v>
      </c>
      <c r="W913">
        <v>-7.8893649999999996E-2</v>
      </c>
      <c r="X913">
        <v>0.99504230000000005</v>
      </c>
      <c r="Y913">
        <v>0.103075399999999</v>
      </c>
      <c r="Z913">
        <v>-1.9920300000000001E-3</v>
      </c>
      <c r="AA913">
        <v>0.99467150000000004</v>
      </c>
      <c r="AB913">
        <v>29</v>
      </c>
      <c r="AC913">
        <v>39.5852</v>
      </c>
      <c r="AD913">
        <v>-1.10844254719599</v>
      </c>
      <c r="AE913">
        <v>-3.91359999999997</v>
      </c>
      <c r="AF913">
        <v>4.1138493222180097</v>
      </c>
      <c r="AG913">
        <v>-1.10844254719599</v>
      </c>
      <c r="AH913">
        <v>39.533860640311097</v>
      </c>
      <c r="AI913">
        <v>91.5974061870659</v>
      </c>
      <c r="AJ913">
        <v>84.059246354632094</v>
      </c>
      <c r="AK913">
        <v>39.762778301495601</v>
      </c>
      <c r="AL913">
        <v>94.524975389944501</v>
      </c>
      <c r="AM913">
        <v>93.4824303184906</v>
      </c>
      <c r="AN913">
        <v>1.0000000341762001</v>
      </c>
    </row>
    <row r="914" spans="1:40" x14ac:dyDescent="0.25">
      <c r="A914" t="str">
        <f>"20190305135212023"</f>
        <v>20190305135212023</v>
      </c>
      <c r="B914" t="str">
        <f>"1551765132020157"</f>
        <v>1551765132020157</v>
      </c>
      <c r="C914" t="s">
        <v>40</v>
      </c>
      <c r="D914">
        <v>4.4642970000000002</v>
      </c>
      <c r="E914">
        <v>0.56309569999999998</v>
      </c>
      <c r="F914" t="s">
        <v>42</v>
      </c>
      <c r="G914">
        <v>-225.50409999999999</v>
      </c>
      <c r="H914" s="1">
        <v>-2.914722E-6</v>
      </c>
      <c r="I914">
        <v>364.35969999999998</v>
      </c>
      <c r="J914">
        <v>-265.93709999999999</v>
      </c>
      <c r="K914">
        <v>1.1084430000000001</v>
      </c>
      <c r="L914">
        <v>368.37540000000001</v>
      </c>
      <c r="M914">
        <v>0.99994709999999998</v>
      </c>
      <c r="N914">
        <v>-8.9240129999999997E-3</v>
      </c>
      <c r="O914">
        <v>5.1330439999999998E-3</v>
      </c>
      <c r="P914">
        <v>0.99395160000000005</v>
      </c>
      <c r="Q914">
        <v>-8.8012229999999997E-2</v>
      </c>
      <c r="R914">
        <v>6.5683530000000004E-2</v>
      </c>
      <c r="S914">
        <v>3.0306700000000002</v>
      </c>
      <c r="T914">
        <v>-8.277023E-2</v>
      </c>
      <c r="U914">
        <v>-0.29980469999999998</v>
      </c>
      <c r="V914">
        <v>-6.0585670000000001E-2</v>
      </c>
      <c r="W914">
        <v>-7.9131729999999997E-2</v>
      </c>
      <c r="X914">
        <v>0.99502139999999994</v>
      </c>
      <c r="Y914">
        <v>0.1034984</v>
      </c>
      <c r="Z914">
        <v>-1.9668120000000001E-3</v>
      </c>
      <c r="AA914">
        <v>0.9946277</v>
      </c>
      <c r="AB914">
        <v>29</v>
      </c>
      <c r="AC914">
        <v>40.4329999999999</v>
      </c>
      <c r="AD914">
        <v>-1.108445914722</v>
      </c>
      <c r="AE914">
        <v>-4.01570000000003</v>
      </c>
      <c r="AF914">
        <v>4.2200591045873397</v>
      </c>
      <c r="AG914">
        <v>-1.108445914722</v>
      </c>
      <c r="AH914">
        <v>40.381801251933098</v>
      </c>
      <c r="AI914">
        <v>91.563813525086701</v>
      </c>
      <c r="AJ914">
        <v>84.034018220819604</v>
      </c>
      <c r="AK914">
        <v>40.616836700347598</v>
      </c>
      <c r="AL914">
        <v>94.538659212662495</v>
      </c>
      <c r="AM914">
        <v>93.484370101264005</v>
      </c>
      <c r="AN914">
        <v>1.0000000202800501</v>
      </c>
    </row>
    <row r="915" spans="1:40" x14ac:dyDescent="0.25">
      <c r="A915" t="str">
        <f>"20190305135212035"</f>
        <v>20190305135212035</v>
      </c>
      <c r="B915" t="str">
        <f>"1551765132030894"</f>
        <v>1551765132030894</v>
      </c>
      <c r="C915" t="s">
        <v>40</v>
      </c>
      <c r="D915">
        <v>4.4281329999999999</v>
      </c>
      <c r="E915">
        <v>0.56315760000000004</v>
      </c>
      <c r="F915" t="s">
        <v>42</v>
      </c>
      <c r="G915">
        <v>-225.7885</v>
      </c>
      <c r="H915" s="1">
        <v>-2.8029049999999998E-6</v>
      </c>
      <c r="I915">
        <v>364.41609999999997</v>
      </c>
      <c r="J915">
        <v>-265.77719999999999</v>
      </c>
      <c r="K915">
        <v>1.1084449999999999</v>
      </c>
      <c r="L915">
        <v>368.37619999999998</v>
      </c>
      <c r="M915">
        <v>0.99994700000000003</v>
      </c>
      <c r="N915">
        <v>-8.9360350000000002E-3</v>
      </c>
      <c r="O915">
        <v>5.1254200000000003E-3</v>
      </c>
      <c r="P915">
        <v>0.99393779999999998</v>
      </c>
      <c r="Q915">
        <v>-8.8052939999999996E-2</v>
      </c>
      <c r="R915">
        <v>6.5835469999999993E-2</v>
      </c>
      <c r="S915">
        <v>3.0305789999999999</v>
      </c>
      <c r="T915">
        <v>-8.3669899999999894E-2</v>
      </c>
      <c r="U915">
        <v>-0.29885859999999997</v>
      </c>
      <c r="V915">
        <v>-6.0745899999999999E-2</v>
      </c>
      <c r="W915">
        <v>-7.9160579999999994E-2</v>
      </c>
      <c r="X915">
        <v>0.99500929999999999</v>
      </c>
      <c r="Y915">
        <v>0.1031854</v>
      </c>
      <c r="Z915">
        <v>-1.9784220000000001E-3</v>
      </c>
      <c r="AA915">
        <v>0.99466019999999999</v>
      </c>
      <c r="AB915">
        <v>29</v>
      </c>
      <c r="AC915">
        <v>39.988700000000001</v>
      </c>
      <c r="AD915">
        <v>-1.108447802905</v>
      </c>
      <c r="AE915">
        <v>-3.9601000000000099</v>
      </c>
      <c r="AF915">
        <v>4.1618483562789299</v>
      </c>
      <c r="AG915">
        <v>-1.108447802905</v>
      </c>
      <c r="AH915">
        <v>39.937488987698799</v>
      </c>
      <c r="AI915">
        <v>91.581253277030399</v>
      </c>
      <c r="AJ915">
        <v>84.050733829003406</v>
      </c>
      <c r="AK915">
        <v>40.169051083078699</v>
      </c>
      <c r="AL915">
        <v>94.540317560624501</v>
      </c>
      <c r="AM915">
        <v>93.493604747607193</v>
      </c>
      <c r="AN915">
        <v>0.99999998443961802</v>
      </c>
    </row>
    <row r="916" spans="1:40" x14ac:dyDescent="0.25">
      <c r="A916" t="str">
        <f>"20190305135212047"</f>
        <v>20190305135212047</v>
      </c>
      <c r="B916" t="str">
        <f>"1551765132040653"</f>
        <v>1551765132040653</v>
      </c>
      <c r="C916" t="s">
        <v>40</v>
      </c>
      <c r="D916">
        <v>4.4660289999999998</v>
      </c>
      <c r="E916">
        <v>0.56322510000000003</v>
      </c>
      <c r="F916" t="s">
        <v>42</v>
      </c>
      <c r="G916">
        <v>-225.4837</v>
      </c>
      <c r="H916" s="1">
        <v>-2.9096609999999998E-6</v>
      </c>
      <c r="I916">
        <v>364.40480000000002</v>
      </c>
      <c r="J916">
        <v>-265.62529999999998</v>
      </c>
      <c r="K916">
        <v>1.108444</v>
      </c>
      <c r="L916">
        <v>368.37700000000001</v>
      </c>
      <c r="M916">
        <v>0.99994700000000003</v>
      </c>
      <c r="N916">
        <v>-8.9472530000000005E-3</v>
      </c>
      <c r="O916">
        <v>5.1180970000000003E-3</v>
      </c>
      <c r="P916">
        <v>0.99391580000000002</v>
      </c>
      <c r="Q916">
        <v>-8.814611E-2</v>
      </c>
      <c r="R916">
        <v>6.6045069999999997E-2</v>
      </c>
      <c r="S916">
        <v>3.0306700000000002</v>
      </c>
      <c r="T916">
        <v>-8.3371520000000005E-2</v>
      </c>
      <c r="U916">
        <v>-0.29870609999999997</v>
      </c>
      <c r="V916">
        <v>-6.0962799999999998E-2</v>
      </c>
      <c r="W916">
        <v>-7.9242740000000006E-2</v>
      </c>
      <c r="X916">
        <v>0.99498949999999997</v>
      </c>
      <c r="Y916">
        <v>0.10312590000000001</v>
      </c>
      <c r="Z916">
        <v>-1.9721140000000001E-3</v>
      </c>
      <c r="AA916">
        <v>0.9946663</v>
      </c>
      <c r="AB916">
        <v>30</v>
      </c>
      <c r="AC916">
        <v>40.141599999999897</v>
      </c>
      <c r="AD916">
        <v>-1.1084469096609999</v>
      </c>
      <c r="AE916">
        <v>-3.9721999999999298</v>
      </c>
      <c r="AF916">
        <v>4.1744526120544796</v>
      </c>
      <c r="AG916">
        <v>-1.1084469096609999</v>
      </c>
      <c r="AH916">
        <v>40.090470690476799</v>
      </c>
      <c r="AI916">
        <v>91.575234639027201</v>
      </c>
      <c r="AJ916">
        <v>84.055452914754198</v>
      </c>
      <c r="AK916">
        <v>40.322457134279503</v>
      </c>
      <c r="AL916">
        <v>94.545039791189296</v>
      </c>
      <c r="AM916">
        <v>93.506117586326397</v>
      </c>
      <c r="AN916">
        <v>0.99999998996839801</v>
      </c>
    </row>
    <row r="917" spans="1:40" x14ac:dyDescent="0.25">
      <c r="A917" t="str">
        <f>"20190305135212062"</f>
        <v>20190305135212062</v>
      </c>
      <c r="B917" t="str">
        <f>"1551765132050413"</f>
        <v>1551765132050413</v>
      </c>
      <c r="C917" t="s">
        <v>40</v>
      </c>
      <c r="D917">
        <v>4.4690779999999997</v>
      </c>
      <c r="E917">
        <v>0.56327700000000003</v>
      </c>
      <c r="F917" t="s">
        <v>42</v>
      </c>
      <c r="G917">
        <v>-225.08</v>
      </c>
      <c r="H917" s="1">
        <v>-3.0535009999999999E-6</v>
      </c>
      <c r="I917">
        <v>364.38060000000002</v>
      </c>
      <c r="J917">
        <v>-265.41739999999999</v>
      </c>
      <c r="K917">
        <v>1.1084430000000001</v>
      </c>
      <c r="L917">
        <v>368.37810000000002</v>
      </c>
      <c r="M917">
        <v>0.99994680000000002</v>
      </c>
      <c r="N917">
        <v>-8.9618709999999997E-3</v>
      </c>
      <c r="O917">
        <v>5.1086109999999999E-3</v>
      </c>
      <c r="P917">
        <v>0.99391039999999997</v>
      </c>
      <c r="Q917">
        <v>-8.8351180000000001E-2</v>
      </c>
      <c r="R917">
        <v>6.5851560000000003E-2</v>
      </c>
      <c r="S917">
        <v>3.030853</v>
      </c>
      <c r="T917">
        <v>-8.2858559999999998E-2</v>
      </c>
      <c r="U917">
        <v>-0.29873660000000002</v>
      </c>
      <c r="V917">
        <v>-6.0778249999999999E-2</v>
      </c>
      <c r="W917">
        <v>-7.9433299999999998E-2</v>
      </c>
      <c r="X917">
        <v>0.99498560000000003</v>
      </c>
      <c r="Y917">
        <v>0.10312109999999999</v>
      </c>
      <c r="Z917">
        <v>-1.9628739999999999E-3</v>
      </c>
      <c r="AA917">
        <v>0.99466690000000002</v>
      </c>
      <c r="AB917">
        <v>30</v>
      </c>
      <c r="AC917">
        <v>40.337399999999903</v>
      </c>
      <c r="AD917">
        <v>-1.1084460535009999</v>
      </c>
      <c r="AE917">
        <v>-3.9975000000000001</v>
      </c>
      <c r="AF917">
        <v>4.20038326508298</v>
      </c>
      <c r="AG917">
        <v>-1.1084460535009999</v>
      </c>
      <c r="AH917">
        <v>40.286326137263003</v>
      </c>
      <c r="AI917">
        <v>91.567556923680698</v>
      </c>
      <c r="AJ917">
        <v>84.047662624538603</v>
      </c>
      <c r="AK917">
        <v>40.519871000103599</v>
      </c>
      <c r="AL917">
        <v>94.555992580067993</v>
      </c>
      <c r="AM917">
        <v>93.495543695373698</v>
      </c>
      <c r="AN917">
        <v>0.99999999451465604</v>
      </c>
    </row>
    <row r="918" spans="1:40" x14ac:dyDescent="0.25">
      <c r="A918" t="str">
        <f>"20190305135212077"</f>
        <v>20190305135212077</v>
      </c>
      <c r="B918" t="str">
        <f>"1551765132070909"</f>
        <v>1551765132070909</v>
      </c>
      <c r="C918" t="s">
        <v>40</v>
      </c>
      <c r="D918">
        <v>4.4728199999999996</v>
      </c>
      <c r="E918">
        <v>0.56342009999999998</v>
      </c>
      <c r="F918" t="s">
        <v>42</v>
      </c>
      <c r="G918">
        <v>-225.20179999999999</v>
      </c>
      <c r="H918" s="1">
        <v>-3.005897E-6</v>
      </c>
      <c r="I918">
        <v>364.40359999999998</v>
      </c>
      <c r="J918">
        <v>-265.23520000000002</v>
      </c>
      <c r="K918">
        <v>1.1084459999999901</v>
      </c>
      <c r="L918">
        <v>368.37900000000002</v>
      </c>
      <c r="M918">
        <v>0.99994680000000002</v>
      </c>
      <c r="N918">
        <v>-8.9740340000000005E-3</v>
      </c>
      <c r="O918">
        <v>5.1001509999999998E-3</v>
      </c>
      <c r="P918">
        <v>0.99388589999999999</v>
      </c>
      <c r="Q918">
        <v>-8.8590740000000001E-2</v>
      </c>
      <c r="R918">
        <v>6.5897289999999997E-2</v>
      </c>
      <c r="S918">
        <v>3.0308229999999998</v>
      </c>
      <c r="T918">
        <v>-8.3537219999999995E-2</v>
      </c>
      <c r="U918">
        <v>-0.29953000000000002</v>
      </c>
      <c r="V918">
        <v>-6.0832650000000002E-2</v>
      </c>
      <c r="W918">
        <v>-7.9660949999999994E-2</v>
      </c>
      <c r="X918">
        <v>0.99496410000000002</v>
      </c>
      <c r="Y918">
        <v>0.103370699999999</v>
      </c>
      <c r="Z918">
        <v>-1.9804919999999999E-3</v>
      </c>
      <c r="AA918">
        <v>0.99464090000000005</v>
      </c>
      <c r="AB918">
        <v>30</v>
      </c>
      <c r="AC918">
        <v>40.0334</v>
      </c>
      <c r="AD918">
        <v>-1.10844900589699</v>
      </c>
      <c r="AE918">
        <v>-3.9754000000000298</v>
      </c>
      <c r="AF918">
        <v>4.17636241829761</v>
      </c>
      <c r="AG918">
        <v>-1.10844900589699</v>
      </c>
      <c r="AH918">
        <v>39.9822509951196</v>
      </c>
      <c r="AI918">
        <v>91.579445462694096</v>
      </c>
      <c r="AJ918">
        <v>84.036771246594597</v>
      </c>
      <c r="AK918">
        <v>40.215060075603297</v>
      </c>
      <c r="AL918">
        <v>94.569077315495406</v>
      </c>
      <c r="AM918">
        <v>93.498740052426101</v>
      </c>
      <c r="AN918">
        <v>1.0000000192748599</v>
      </c>
    </row>
    <row r="919" spans="1:40" x14ac:dyDescent="0.25">
      <c r="A919" t="str">
        <f>"20190305135212097"</f>
        <v>20190305135212097</v>
      </c>
      <c r="B919" t="str">
        <f>"1551765132090428"</f>
        <v>1551765132090428</v>
      </c>
      <c r="C919" t="s">
        <v>40</v>
      </c>
      <c r="D919">
        <v>4.4851400000000003</v>
      </c>
      <c r="E919">
        <v>0.56349300000000002</v>
      </c>
      <c r="F919" t="s">
        <v>42</v>
      </c>
      <c r="G919">
        <v>-225.22049999999999</v>
      </c>
      <c r="H919" s="1">
        <v>-2.9974319999999999E-6</v>
      </c>
      <c r="I919">
        <v>364.41149999999999</v>
      </c>
      <c r="J919">
        <v>-264.96120000000002</v>
      </c>
      <c r="K919">
        <v>1.1084459999999901</v>
      </c>
      <c r="L919">
        <v>368.38040000000001</v>
      </c>
      <c r="M919">
        <v>0.99994669999999997</v>
      </c>
      <c r="N919">
        <v>-8.9914179999999993E-3</v>
      </c>
      <c r="O919">
        <v>5.0873159999999997E-3</v>
      </c>
      <c r="P919">
        <v>0.99385460000000003</v>
      </c>
      <c r="Q919">
        <v>-8.8790579999999994E-2</v>
      </c>
      <c r="R919">
        <v>6.609988E-2</v>
      </c>
      <c r="S919">
        <v>3.030853</v>
      </c>
      <c r="T919">
        <v>-8.3957550000000006E-2</v>
      </c>
      <c r="U919">
        <v>-0.30050660000000001</v>
      </c>
      <c r="V919">
        <v>-6.1048110000000003E-2</v>
      </c>
      <c r="W919">
        <v>-7.9843739999999996E-2</v>
      </c>
      <c r="X919">
        <v>0.99493620000000005</v>
      </c>
      <c r="Y919">
        <v>0.10367369999999999</v>
      </c>
      <c r="Z919">
        <v>-1.9944369999999999E-3</v>
      </c>
      <c r="AA919">
        <v>0.99460939999999998</v>
      </c>
      <c r="AB919">
        <v>30</v>
      </c>
      <c r="AC919">
        <v>39.740699999999997</v>
      </c>
      <c r="AD919">
        <v>-1.10844899743199</v>
      </c>
      <c r="AE919">
        <v>-3.9689000000000099</v>
      </c>
      <c r="AF919">
        <v>4.1678198951493304</v>
      </c>
      <c r="AG919">
        <v>-1.10844899743199</v>
      </c>
      <c r="AH919">
        <v>39.6894217518186</v>
      </c>
      <c r="AI919">
        <v>91.591001153910696</v>
      </c>
      <c r="AJ919">
        <v>84.005292198584797</v>
      </c>
      <c r="AK919">
        <v>39.9230457361665</v>
      </c>
      <c r="AL919">
        <v>94.579584111195601</v>
      </c>
      <c r="AM919">
        <v>93.511199324086803</v>
      </c>
      <c r="AN919">
        <v>0.99999996831109905</v>
      </c>
    </row>
    <row r="920" spans="1:40" x14ac:dyDescent="0.25">
      <c r="A920" t="str">
        <f>"20190305135212108"</f>
        <v>20190305135212108</v>
      </c>
      <c r="B920" t="str">
        <f>"1551765132100190"</f>
        <v>1551765132100190</v>
      </c>
      <c r="C920" t="s">
        <v>40</v>
      </c>
      <c r="D920">
        <v>4.5002370000000003</v>
      </c>
      <c r="E920">
        <v>0.56350559999999905</v>
      </c>
      <c r="F920" t="s">
        <v>42</v>
      </c>
      <c r="G920">
        <v>-225.43860000000001</v>
      </c>
      <c r="H920" s="1">
        <v>-2.9097139999999998E-6</v>
      </c>
      <c r="I920">
        <v>364.4622</v>
      </c>
      <c r="J920">
        <v>-264.80709999999999</v>
      </c>
      <c r="K920">
        <v>1.1084449999999999</v>
      </c>
      <c r="L920">
        <v>368.38119999999998</v>
      </c>
      <c r="M920">
        <v>0.99994660000000002</v>
      </c>
      <c r="N920">
        <v>-9.0007019999999993E-3</v>
      </c>
      <c r="O920">
        <v>5.0801800000000001E-3</v>
      </c>
      <c r="P920">
        <v>0.99386669999999999</v>
      </c>
      <c r="Q920">
        <v>-8.8683150000000002E-2</v>
      </c>
      <c r="R920">
        <v>6.6064100000000001E-2</v>
      </c>
      <c r="S920">
        <v>3.030945</v>
      </c>
      <c r="T920">
        <v>-8.5005520000000001E-2</v>
      </c>
      <c r="U920">
        <v>-0.30047610000000002</v>
      </c>
      <c r="V920">
        <v>-6.1019740000000003E-2</v>
      </c>
      <c r="W920">
        <v>-7.9726999999999895E-2</v>
      </c>
      <c r="X920">
        <v>0.99494729999999998</v>
      </c>
      <c r="Y920">
        <v>0.10365249999999999</v>
      </c>
      <c r="Z920">
        <v>-2.0139239999999998E-3</v>
      </c>
      <c r="AA920">
        <v>0.99461160000000004</v>
      </c>
      <c r="AB920">
        <v>30</v>
      </c>
      <c r="AC920">
        <v>39.368499999999898</v>
      </c>
      <c r="AD920">
        <v>-1.1084479097139901</v>
      </c>
      <c r="AE920">
        <v>-3.9189999999999801</v>
      </c>
      <c r="AF920">
        <v>4.1157258886535297</v>
      </c>
      <c r="AG920">
        <v>-1.1084479097139901</v>
      </c>
      <c r="AH920">
        <v>39.317219261480197</v>
      </c>
      <c r="AI920">
        <v>91.606108263825405</v>
      </c>
      <c r="AJ920">
        <v>84.024043266165805</v>
      </c>
      <c r="AK920">
        <v>39.547586358896702</v>
      </c>
      <c r="AL920">
        <v>94.572874018673303</v>
      </c>
      <c r="AM920">
        <v>93.509532638621494</v>
      </c>
      <c r="AN920">
        <v>0.99999996648797795</v>
      </c>
    </row>
    <row r="921" spans="1:40" x14ac:dyDescent="0.25">
      <c r="A921" t="str">
        <f>"20190305135212121"</f>
        <v>20190305135212121</v>
      </c>
      <c r="B921" t="str">
        <f>"1551765132110925"</f>
        <v>1551765132110925</v>
      </c>
      <c r="C921" t="s">
        <v>40</v>
      </c>
      <c r="D921">
        <v>4.5006440000000003</v>
      </c>
      <c r="E921">
        <v>0.56351399999999996</v>
      </c>
      <c r="F921" t="s">
        <v>42</v>
      </c>
      <c r="G921">
        <v>-225.30500000000001</v>
      </c>
      <c r="H921" s="1">
        <v>-2.955934E-6</v>
      </c>
      <c r="I921">
        <v>364.45940000000002</v>
      </c>
      <c r="J921">
        <v>-264.63679999999999</v>
      </c>
      <c r="K921">
        <v>1.1084480000000001</v>
      </c>
      <c r="L921">
        <v>368.38200000000001</v>
      </c>
      <c r="M921">
        <v>0.99994669999999997</v>
      </c>
      <c r="N921">
        <v>-9.0104299999999998E-3</v>
      </c>
      <c r="O921">
        <v>5.0720890000000001E-3</v>
      </c>
      <c r="P921">
        <v>0.9938515</v>
      </c>
      <c r="Q921">
        <v>-8.8798989999999994E-2</v>
      </c>
      <c r="R921">
        <v>6.6136329999999993E-2</v>
      </c>
      <c r="S921">
        <v>3.0308839999999999</v>
      </c>
      <c r="T921">
        <v>-8.5047960000000006E-2</v>
      </c>
      <c r="U921">
        <v>-0.30090329999999998</v>
      </c>
      <c r="V921">
        <v>-6.1099399999999998E-2</v>
      </c>
      <c r="W921">
        <v>-7.9833280000000006E-2</v>
      </c>
      <c r="X921">
        <v>0.99493390000000004</v>
      </c>
      <c r="Y921">
        <v>0.10378510000000001</v>
      </c>
      <c r="Z921">
        <v>-2.0175010000000001E-3</v>
      </c>
      <c r="AA921">
        <v>0.99459770000000003</v>
      </c>
      <c r="AB921">
        <v>30</v>
      </c>
      <c r="AC921">
        <v>39.331799999999902</v>
      </c>
      <c r="AD921">
        <v>-1.1084509559339999</v>
      </c>
      <c r="AE921">
        <v>-3.9225999999999299</v>
      </c>
      <c r="AF921">
        <v>4.1188129353761704</v>
      </c>
      <c r="AG921">
        <v>-1.1084509559339999</v>
      </c>
      <c r="AH921">
        <v>39.2805070055133</v>
      </c>
      <c r="AI921">
        <v>91.607583612873896</v>
      </c>
      <c r="AJ921">
        <v>84.014044576088395</v>
      </c>
      <c r="AK921">
        <v>39.511409923318503</v>
      </c>
      <c r="AL921">
        <v>94.578982836721593</v>
      </c>
      <c r="AM921">
        <v>93.514149996867999</v>
      </c>
      <c r="AN921">
        <v>0.99999997732256396</v>
      </c>
    </row>
    <row r="922" spans="1:40" x14ac:dyDescent="0.25">
      <c r="A922" t="str">
        <f>"20190305135212135"</f>
        <v>20190305135212135</v>
      </c>
      <c r="B922" t="str">
        <f>"1551765132130445"</f>
        <v>1551765132130445</v>
      </c>
      <c r="C922" t="s">
        <v>40</v>
      </c>
      <c r="D922">
        <v>4.5040250000000004</v>
      </c>
      <c r="E922">
        <v>0.56354649999999995</v>
      </c>
      <c r="F922" t="s">
        <v>42</v>
      </c>
      <c r="G922">
        <v>-225.45869999999999</v>
      </c>
      <c r="H922" s="1">
        <v>-2.8937969999999998E-6</v>
      </c>
      <c r="I922">
        <v>364.49639999999999</v>
      </c>
      <c r="J922">
        <v>-264.45940000000002</v>
      </c>
      <c r="K922">
        <v>1.108444</v>
      </c>
      <c r="L922">
        <v>368.38290000000001</v>
      </c>
      <c r="M922">
        <v>0.99994660000000002</v>
      </c>
      <c r="N922">
        <v>-9.0200120000000009E-3</v>
      </c>
      <c r="O922">
        <v>5.0638209999999996E-3</v>
      </c>
      <c r="P922">
        <v>0.99386160000000001</v>
      </c>
      <c r="Q922">
        <v>-8.854882E-2</v>
      </c>
      <c r="R922">
        <v>6.6320249999999997E-2</v>
      </c>
      <c r="S922">
        <v>3.0309140000000001</v>
      </c>
      <c r="T922">
        <v>-8.5752250000000002E-2</v>
      </c>
      <c r="U922">
        <v>-0.30059809999999998</v>
      </c>
      <c r="V922">
        <v>-6.1292340000000001E-2</v>
      </c>
      <c r="W922">
        <v>-7.9573469999999993E-2</v>
      </c>
      <c r="X922">
        <v>0.99494280000000002</v>
      </c>
      <c r="Y922">
        <v>0.103676</v>
      </c>
      <c r="Z922">
        <v>-2.0289459999999998E-3</v>
      </c>
      <c r="AA922">
        <v>0.99460910000000002</v>
      </c>
      <c r="AB922">
        <v>30</v>
      </c>
      <c r="AC922">
        <v>39.000700000000002</v>
      </c>
      <c r="AD922">
        <v>-1.108446893797</v>
      </c>
      <c r="AE922">
        <v>-3.8865000000000101</v>
      </c>
      <c r="AF922">
        <v>4.08068692002582</v>
      </c>
      <c r="AG922">
        <v>-1.108446893797</v>
      </c>
      <c r="AH922">
        <v>38.949366014645101</v>
      </c>
      <c r="AI922">
        <v>91.621252498645404</v>
      </c>
      <c r="AJ922">
        <v>84.018997209095602</v>
      </c>
      <c r="AK922">
        <v>39.1782308584554</v>
      </c>
      <c r="AL922">
        <v>94.564049519520907</v>
      </c>
      <c r="AM922">
        <v>93.525187603117899</v>
      </c>
      <c r="AN922">
        <v>0.99999993167117596</v>
      </c>
    </row>
    <row r="923" spans="1:40" x14ac:dyDescent="0.25">
      <c r="A923" t="str">
        <f>"20190305135212148"</f>
        <v>20190305135212148</v>
      </c>
      <c r="B923" t="str">
        <f>"1551765132140205"</f>
        <v>1551765132140205</v>
      </c>
      <c r="C923" t="s">
        <v>40</v>
      </c>
      <c r="D923">
        <v>4.4802989999999996</v>
      </c>
      <c r="E923">
        <v>0.56357199999999996</v>
      </c>
      <c r="F923" t="s">
        <v>42</v>
      </c>
      <c r="G923">
        <v>-225.25649999999999</v>
      </c>
      <c r="H923" s="1">
        <v>-2.9622880000000001E-6</v>
      </c>
      <c r="I923">
        <v>364.49759999999998</v>
      </c>
      <c r="J923">
        <v>-264.28590000000003</v>
      </c>
      <c r="K923">
        <v>1.1084449999999999</v>
      </c>
      <c r="L923">
        <v>368.38380000000001</v>
      </c>
      <c r="M923">
        <v>0.99994649999999996</v>
      </c>
      <c r="N923">
        <v>-9.029001E-3</v>
      </c>
      <c r="O923">
        <v>5.0556730000000001E-3</v>
      </c>
      <c r="P923">
        <v>0.99386300000000005</v>
      </c>
      <c r="Q923">
        <v>-8.8624610000000006E-2</v>
      </c>
      <c r="R923">
        <v>6.6197839999999994E-2</v>
      </c>
      <c r="S923">
        <v>3.0309140000000001</v>
      </c>
      <c r="T923">
        <v>-8.5697889999999999E-2</v>
      </c>
      <c r="U923">
        <v>-0.3003845</v>
      </c>
      <c r="V923">
        <v>-6.1178150000000001E-2</v>
      </c>
      <c r="W923">
        <v>-7.9640299999999997E-2</v>
      </c>
      <c r="X923">
        <v>0.99494459999999996</v>
      </c>
      <c r="Y923">
        <v>0.1035986</v>
      </c>
      <c r="Z923">
        <v>-2.0267559999999998E-3</v>
      </c>
      <c r="AA923">
        <v>0.99461710000000003</v>
      </c>
      <c r="AB923">
        <v>30</v>
      </c>
      <c r="AC923">
        <v>39.029400000000003</v>
      </c>
      <c r="AD923">
        <v>-1.1084479622879999</v>
      </c>
      <c r="AE923">
        <v>-3.8862000000000299</v>
      </c>
      <c r="AF923">
        <v>4.0802195383027398</v>
      </c>
      <c r="AG923">
        <v>-1.1084479622879999</v>
      </c>
      <c r="AH923">
        <v>38.978122713352498</v>
      </c>
      <c r="AI923">
        <v>91.620073569556695</v>
      </c>
      <c r="AJ923">
        <v>84.024057412374006</v>
      </c>
      <c r="AK923">
        <v>39.2067710813198</v>
      </c>
      <c r="AL923">
        <v>94.567890244840399</v>
      </c>
      <c r="AM923">
        <v>93.518630208058994</v>
      </c>
      <c r="AN923">
        <v>1.0000000502453299</v>
      </c>
    </row>
    <row r="924" spans="1:40" x14ac:dyDescent="0.25">
      <c r="A924" t="str">
        <f>"20190305135212162"</f>
        <v>20190305135212162</v>
      </c>
      <c r="B924" t="str">
        <f>"1551765132150941"</f>
        <v>1551765132150941</v>
      </c>
      <c r="C924" t="s">
        <v>40</v>
      </c>
      <c r="D924">
        <v>4.6829299999999998</v>
      </c>
      <c r="E924">
        <v>0.56357199999999996</v>
      </c>
      <c r="F924" t="s">
        <v>42</v>
      </c>
      <c r="G924">
        <v>-225.14609999999999</v>
      </c>
      <c r="H924" s="1">
        <v>-2.9998559999999999E-6</v>
      </c>
      <c r="I924">
        <v>364.49759999999998</v>
      </c>
      <c r="J924">
        <v>-264.08170000000001</v>
      </c>
      <c r="K924">
        <v>1.108444</v>
      </c>
      <c r="L924">
        <v>368.38479999999998</v>
      </c>
      <c r="M924">
        <v>0.99994640000000001</v>
      </c>
      <c r="N924">
        <v>-9.0388310000000006E-3</v>
      </c>
      <c r="O924">
        <v>5.0465659999999997E-3</v>
      </c>
      <c r="P924">
        <v>0.99388120000000002</v>
      </c>
      <c r="Q924">
        <v>-8.8692309999999996E-2</v>
      </c>
      <c r="R924">
        <v>6.5833240000000001E-2</v>
      </c>
      <c r="S924">
        <v>3.030945</v>
      </c>
      <c r="T924">
        <v>-8.5836770000000007E-2</v>
      </c>
      <c r="U924">
        <v>-0.30093379999999997</v>
      </c>
      <c r="V924">
        <v>-6.0822050000000003E-2</v>
      </c>
      <c r="W924">
        <v>-7.9698089999999999E-2</v>
      </c>
      <c r="X924">
        <v>0.99496169999999995</v>
      </c>
      <c r="Y924">
        <v>0.10376680000000001</v>
      </c>
      <c r="Z924">
        <v>-2.0327510000000002E-3</v>
      </c>
      <c r="AA924">
        <v>0.99459960000000003</v>
      </c>
      <c r="AB924">
        <v>30</v>
      </c>
      <c r="AC924">
        <v>38.935600000000001</v>
      </c>
      <c r="AD924">
        <v>-1.108446999856</v>
      </c>
      <c r="AE924">
        <v>-3.8872</v>
      </c>
      <c r="AF924">
        <v>4.0803752230054799</v>
      </c>
      <c r="AG924">
        <v>-1.108446999856</v>
      </c>
      <c r="AH924">
        <v>38.884282871752397</v>
      </c>
      <c r="AI924">
        <v>91.623936627972</v>
      </c>
      <c r="AJ924">
        <v>84.009513445152805</v>
      </c>
      <c r="AK924">
        <v>39.113496023271303</v>
      </c>
      <c r="AL924">
        <v>94.571212404246893</v>
      </c>
      <c r="AM924">
        <v>93.498140333198705</v>
      </c>
      <c r="AN924">
        <v>0.99999994589136798</v>
      </c>
    </row>
    <row r="925" spans="1:40" x14ac:dyDescent="0.25">
      <c r="A925" t="str">
        <f>"20190305135212176"</f>
        <v>20190305135212176</v>
      </c>
      <c r="B925" t="str">
        <f>"1551765132170462"</f>
        <v>1551765132170462</v>
      </c>
      <c r="C925" t="s">
        <v>40</v>
      </c>
      <c r="D925">
        <v>4.6337859999999997</v>
      </c>
      <c r="E925">
        <v>0.56367330000000004</v>
      </c>
      <c r="F925" t="s">
        <v>42</v>
      </c>
      <c r="G925">
        <v>-225.07669999999999</v>
      </c>
      <c r="H925" s="1">
        <v>-3.0228169999999999E-6</v>
      </c>
      <c r="I925">
        <v>364.50009999999997</v>
      </c>
      <c r="J925">
        <v>-263.9135</v>
      </c>
      <c r="K925">
        <v>1.1084430000000001</v>
      </c>
      <c r="L925">
        <v>368.38569999999999</v>
      </c>
      <c r="M925">
        <v>0.99994640000000001</v>
      </c>
      <c r="N925">
        <v>-9.0465279999999999E-3</v>
      </c>
      <c r="O925">
        <v>5.0387820000000003E-3</v>
      </c>
      <c r="P925">
        <v>0.99391669999999999</v>
      </c>
      <c r="Q925">
        <v>-8.8502449999999996E-2</v>
      </c>
      <c r="R925">
        <v>6.5551300000000007E-2</v>
      </c>
      <c r="S925">
        <v>3.0307919999999999</v>
      </c>
      <c r="T925">
        <v>-8.6128949999999996E-2</v>
      </c>
      <c r="U925">
        <v>-0.30184939999999999</v>
      </c>
      <c r="V925">
        <v>-6.0547829999999997E-2</v>
      </c>
      <c r="W925">
        <v>-7.9500269999999998E-2</v>
      </c>
      <c r="X925">
        <v>0.9949943</v>
      </c>
      <c r="Y925">
        <v>0.104061</v>
      </c>
      <c r="Z925">
        <v>-2.044003E-3</v>
      </c>
      <c r="AA925">
        <v>0.99456880000000003</v>
      </c>
      <c r="AB925">
        <v>30</v>
      </c>
      <c r="AC925">
        <v>38.836799999999997</v>
      </c>
      <c r="AD925">
        <v>-1.1084460228170001</v>
      </c>
      <c r="AE925">
        <v>-3.8856000000000099</v>
      </c>
      <c r="AF925">
        <v>4.0779598758226596</v>
      </c>
      <c r="AG925">
        <v>-1.1084460228170001</v>
      </c>
      <c r="AH925">
        <v>38.785446101536003</v>
      </c>
      <c r="AI925">
        <v>91.628036561070701</v>
      </c>
      <c r="AJ925">
        <v>83.997888378930497</v>
      </c>
      <c r="AK925">
        <v>39.014987359083797</v>
      </c>
      <c r="AL925">
        <v>94.559841850222796</v>
      </c>
      <c r="AM925">
        <v>93.482293833348706</v>
      </c>
      <c r="AN925">
        <v>0.99999999484013502</v>
      </c>
    </row>
    <row r="926" spans="1:40" x14ac:dyDescent="0.25">
      <c r="A926" t="str">
        <f>"20190305135212197"</f>
        <v>20190305135212197</v>
      </c>
      <c r="B926" t="str">
        <f>"1551765132190957"</f>
        <v>1551765132190957</v>
      </c>
      <c r="C926" t="s">
        <v>40</v>
      </c>
      <c r="D926">
        <v>4.6240129999999997</v>
      </c>
      <c r="E926">
        <v>0.57562780000000002</v>
      </c>
      <c r="F926" t="s">
        <v>42</v>
      </c>
      <c r="G926">
        <v>-225.27860000000001</v>
      </c>
      <c r="H926" s="1">
        <v>-2.9505329999999998E-6</v>
      </c>
      <c r="I926">
        <v>364.51350000000002</v>
      </c>
      <c r="J926">
        <v>-263.61360000000002</v>
      </c>
      <c r="K926">
        <v>1.1084499999999999</v>
      </c>
      <c r="L926">
        <v>368.38720000000001</v>
      </c>
      <c r="M926">
        <v>0.99994640000000001</v>
      </c>
      <c r="N926">
        <v>-9.0595620000000002E-3</v>
      </c>
      <c r="O926">
        <v>5.0247750000000004E-3</v>
      </c>
      <c r="P926">
        <v>0.99391790000000002</v>
      </c>
      <c r="Q926">
        <v>-8.8936479999999998E-2</v>
      </c>
      <c r="R926">
        <v>6.4940250000000005E-2</v>
      </c>
      <c r="S926">
        <v>3.03064</v>
      </c>
      <c r="T926">
        <v>-8.6949830000000006E-2</v>
      </c>
      <c r="U926">
        <v>-0.3037415</v>
      </c>
      <c r="V926">
        <v>-5.9950360000000001E-2</v>
      </c>
      <c r="W926">
        <v>-7.992138E-2</v>
      </c>
      <c r="X926">
        <v>0.99499669999999896</v>
      </c>
      <c r="Y926">
        <v>0.10466540000000001</v>
      </c>
      <c r="Z926">
        <v>-2.071196E-3</v>
      </c>
      <c r="AA926">
        <v>0.99450530000000004</v>
      </c>
      <c r="AB926">
        <v>30</v>
      </c>
      <c r="AC926">
        <v>38.335000000000001</v>
      </c>
      <c r="AD926">
        <v>-1.1084529505330001</v>
      </c>
      <c r="AE926">
        <v>-3.8736999999999799</v>
      </c>
      <c r="AF926">
        <v>4.0629211767471496</v>
      </c>
      <c r="AG926">
        <v>-1.1084529505330001</v>
      </c>
      <c r="AH926">
        <v>38.283366617452302</v>
      </c>
      <c r="AI926">
        <v>91.649216744326694</v>
      </c>
      <c r="AJ926">
        <v>83.942013311207603</v>
      </c>
      <c r="AK926">
        <v>38.5143110544414</v>
      </c>
      <c r="AL926">
        <v>94.584046888336701</v>
      </c>
      <c r="AM926">
        <v>93.448006494916996</v>
      </c>
      <c r="AN926">
        <v>0.99999995282805998</v>
      </c>
    </row>
    <row r="927" spans="1:40" x14ac:dyDescent="0.25">
      <c r="A927" t="str">
        <f>"20190305135212208"</f>
        <v>20190305135212208</v>
      </c>
      <c r="B927" t="str">
        <f>"1551765132200717"</f>
        <v>1551765132200717</v>
      </c>
      <c r="C927" t="s">
        <v>40</v>
      </c>
      <c r="D927">
        <v>4.6462909999999997</v>
      </c>
      <c r="E927">
        <v>0.57644469999999903</v>
      </c>
      <c r="F927" t="s">
        <v>42</v>
      </c>
      <c r="G927">
        <v>-240.76949999999999</v>
      </c>
      <c r="H927" s="1">
        <v>-5.1002680000000001E-6</v>
      </c>
      <c r="I927">
        <v>365.3519</v>
      </c>
      <c r="J927">
        <v>-263.46960000000001</v>
      </c>
      <c r="K927">
        <v>1.1084510000000001</v>
      </c>
      <c r="L927">
        <v>368.3879</v>
      </c>
      <c r="M927">
        <v>0.99994629999999995</v>
      </c>
      <c r="N927">
        <v>-9.0655070000000004E-3</v>
      </c>
      <c r="O927">
        <v>5.018191E-3</v>
      </c>
      <c r="P927">
        <v>0.99393679999999995</v>
      </c>
      <c r="Q927">
        <v>-8.8689850000000001E-2</v>
      </c>
      <c r="R927">
        <v>6.4990740000000005E-2</v>
      </c>
      <c r="S927">
        <v>3.0315249999999998</v>
      </c>
      <c r="T927">
        <v>-0.1470976</v>
      </c>
      <c r="U927">
        <v>-0.40280149999999998</v>
      </c>
      <c r="V927">
        <v>-6.0007560000000001E-2</v>
      </c>
      <c r="W927">
        <v>-7.966869E-2</v>
      </c>
      <c r="X927">
        <v>0.99501360000000005</v>
      </c>
      <c r="Y927">
        <v>0.1364948</v>
      </c>
      <c r="Z927">
        <v>-4.114024E-3</v>
      </c>
      <c r="AA927">
        <v>0.99063219999999996</v>
      </c>
      <c r="AB927">
        <v>30</v>
      </c>
      <c r="AC927">
        <v>22.700099999999999</v>
      </c>
      <c r="AD927">
        <v>-1.108456100268</v>
      </c>
      <c r="AE927">
        <v>-3.036</v>
      </c>
      <c r="AF927">
        <v>3.1425185052228799</v>
      </c>
      <c r="AG927">
        <v>-1.108456100268</v>
      </c>
      <c r="AH927">
        <v>22.631563606316998</v>
      </c>
      <c r="AI927">
        <v>92.777405409039801</v>
      </c>
      <c r="AJ927">
        <v>82.0947106044474</v>
      </c>
      <c r="AK927">
        <v>22.875571440920599</v>
      </c>
      <c r="AL927">
        <v>94.569522123097698</v>
      </c>
      <c r="AM927">
        <v>93.451229890491206</v>
      </c>
      <c r="AN927">
        <v>1.00000003580421</v>
      </c>
    </row>
    <row r="928" spans="1:40" x14ac:dyDescent="0.25">
      <c r="A928" t="str">
        <f>"20190305135212220"</f>
        <v>20190305135212220</v>
      </c>
      <c r="B928" t="str">
        <f>"1551765132210478"</f>
        <v>1551765132210478</v>
      </c>
      <c r="C928" t="s">
        <v>40</v>
      </c>
      <c r="D928">
        <v>4.6792600000000002</v>
      </c>
      <c r="E928">
        <v>0.57652579999999998</v>
      </c>
      <c r="F928" t="s">
        <v>42</v>
      </c>
      <c r="G928">
        <v>-239.23679999999999</v>
      </c>
      <c r="H928" s="1">
        <v>-1.4419089999999999E-6</v>
      </c>
      <c r="I928">
        <v>365.12099999999998</v>
      </c>
      <c r="J928">
        <v>-263.30700000000002</v>
      </c>
      <c r="K928">
        <v>1.1084529999999999</v>
      </c>
      <c r="L928">
        <v>368.38869999999997</v>
      </c>
      <c r="M928">
        <v>0.99994640000000001</v>
      </c>
      <c r="N928">
        <v>-9.0719289999999994E-3</v>
      </c>
      <c r="O928">
        <v>5.0104140000000004E-3</v>
      </c>
      <c r="P928">
        <v>0.99395639999999996</v>
      </c>
      <c r="Q928">
        <v>-8.8474880000000006E-2</v>
      </c>
      <c r="R928">
        <v>6.4984719999999996E-2</v>
      </c>
      <c r="S928">
        <v>3.032654</v>
      </c>
      <c r="T928">
        <v>-0.1387187</v>
      </c>
      <c r="U928">
        <v>-0.40884399999999999</v>
      </c>
      <c r="V928">
        <v>-6.0009100000000003E-2</v>
      </c>
      <c r="W928">
        <v>-7.9447169999999998E-2</v>
      </c>
      <c r="X928">
        <v>0.9950312</v>
      </c>
      <c r="Y928">
        <v>0.1383952</v>
      </c>
      <c r="Z928">
        <v>-3.9631479999999997E-3</v>
      </c>
      <c r="AA928">
        <v>0.9903691</v>
      </c>
      <c r="AB928">
        <v>30</v>
      </c>
      <c r="AC928">
        <v>24.0702</v>
      </c>
      <c r="AD928">
        <v>-1.1084544419089899</v>
      </c>
      <c r="AE928">
        <v>-3.2676999999999898</v>
      </c>
      <c r="AF928">
        <v>3.3812248434019798</v>
      </c>
      <c r="AG928">
        <v>-1.1084544419089899</v>
      </c>
      <c r="AH928">
        <v>24.0035418543312</v>
      </c>
      <c r="AI928">
        <v>92.618159859664502</v>
      </c>
      <c r="AJ928">
        <v>81.981867025032201</v>
      </c>
      <c r="AK928">
        <v>24.265847898724999</v>
      </c>
      <c r="AL928">
        <v>94.556789689621198</v>
      </c>
      <c r="AM928">
        <v>93.451257347836602</v>
      </c>
      <c r="AN928">
        <v>1.0000000169386201</v>
      </c>
    </row>
    <row r="929" spans="1:40" x14ac:dyDescent="0.25">
      <c r="A929" t="str">
        <f>"20190305135212231"</f>
        <v>20190305135212231</v>
      </c>
      <c r="B929" t="str">
        <f>"1551765132220237"</f>
        <v>1551765132220237</v>
      </c>
      <c r="C929" t="s">
        <v>40</v>
      </c>
      <c r="D929">
        <v>4.6019670000000001</v>
      </c>
      <c r="E929">
        <v>0.5768993</v>
      </c>
      <c r="F929" t="s">
        <v>42</v>
      </c>
      <c r="G929">
        <v>-239.26900000000001</v>
      </c>
      <c r="H929" s="1">
        <v>-1.4253430000000001E-6</v>
      </c>
      <c r="I929">
        <v>365.14210000000003</v>
      </c>
      <c r="J929">
        <v>-263.161</v>
      </c>
      <c r="K929">
        <v>1.1084529999999999</v>
      </c>
      <c r="L929">
        <v>368.38940000000002</v>
      </c>
      <c r="M929">
        <v>0.99994649999999996</v>
      </c>
      <c r="N929">
        <v>-9.0789410000000001E-3</v>
      </c>
      <c r="O929">
        <v>5.0035280000000001E-3</v>
      </c>
      <c r="P929">
        <v>0.9939945</v>
      </c>
      <c r="Q929">
        <v>-8.8334270000000006E-2</v>
      </c>
      <c r="R929">
        <v>6.4595029999999998E-2</v>
      </c>
      <c r="S929">
        <v>3.032562</v>
      </c>
      <c r="T929">
        <v>-0.139838299999999</v>
      </c>
      <c r="U929">
        <v>-0.40957640000000001</v>
      </c>
      <c r="V929">
        <v>-5.9626430000000001E-2</v>
      </c>
      <c r="W929">
        <v>-7.929928E-2</v>
      </c>
      <c r="X929">
        <v>0.99506600000000001</v>
      </c>
      <c r="Y929">
        <v>0.13862439999999901</v>
      </c>
      <c r="Z929">
        <v>-3.9969439999999997E-3</v>
      </c>
      <c r="AA929">
        <v>0.99033700000000002</v>
      </c>
      <c r="AB929">
        <v>30</v>
      </c>
      <c r="AC929">
        <v>23.891999999999999</v>
      </c>
      <c r="AD929">
        <v>-1.108454425343</v>
      </c>
      <c r="AE929">
        <v>-3.2472999999999899</v>
      </c>
      <c r="AF929">
        <v>3.3597081407251199</v>
      </c>
      <c r="AG929">
        <v>-1.108454425343</v>
      </c>
      <c r="AH929">
        <v>23.825100381535101</v>
      </c>
      <c r="AI929">
        <v>92.637686013540403</v>
      </c>
      <c r="AJ929">
        <v>81.973332910265597</v>
      </c>
      <c r="AK929">
        <v>24.086338829181599</v>
      </c>
      <c r="AL929">
        <v>94.5482894040681</v>
      </c>
      <c r="AM929">
        <v>93.429182187105596</v>
      </c>
      <c r="AN929">
        <v>1.0000000156595299</v>
      </c>
    </row>
    <row r="930" spans="1:40" x14ac:dyDescent="0.25">
      <c r="A930" t="str">
        <f>"20190305135212242"</f>
        <v>20190305135212242</v>
      </c>
      <c r="B930" t="str">
        <f>"1551765132240733"</f>
        <v>1551765132240733</v>
      </c>
      <c r="C930" t="s">
        <v>40</v>
      </c>
      <c r="D930">
        <v>4.6845559999999997</v>
      </c>
      <c r="E930">
        <v>0.57672760000000001</v>
      </c>
      <c r="F930" t="s">
        <v>42</v>
      </c>
      <c r="G930">
        <v>-237.0641</v>
      </c>
      <c r="H930" s="1">
        <v>-2.2581290000000002E-6</v>
      </c>
      <c r="I930">
        <v>364.8322</v>
      </c>
      <c r="J930">
        <v>-263.00869999999998</v>
      </c>
      <c r="K930">
        <v>1.1084480000000001</v>
      </c>
      <c r="L930">
        <v>368.39019999999999</v>
      </c>
      <c r="M930">
        <v>0.99994640000000001</v>
      </c>
      <c r="N930">
        <v>-9.0871270000000004E-3</v>
      </c>
      <c r="O930">
        <v>4.9962189999999997E-3</v>
      </c>
      <c r="P930">
        <v>0.99399870000000001</v>
      </c>
      <c r="Q930">
        <v>-8.8245850000000001E-2</v>
      </c>
      <c r="R930">
        <v>6.4649239999999997E-2</v>
      </c>
      <c r="S930">
        <v>3.0335079999999999</v>
      </c>
      <c r="T930">
        <v>-0.1288463</v>
      </c>
      <c r="U930">
        <v>-0.41348269999999998</v>
      </c>
      <c r="V930">
        <v>-5.9687629999999998E-2</v>
      </c>
      <c r="W930">
        <v>-7.9202690000000006E-2</v>
      </c>
      <c r="X930">
        <v>0.99507000000000001</v>
      </c>
      <c r="Y930">
        <v>0.139851799999999</v>
      </c>
      <c r="Z930">
        <v>-3.7597640000000001E-3</v>
      </c>
      <c r="AA930">
        <v>0.99016530000000003</v>
      </c>
      <c r="AB930">
        <v>30</v>
      </c>
      <c r="AC930">
        <v>25.944599999999902</v>
      </c>
      <c r="AD930">
        <v>-1.1084502581290001</v>
      </c>
      <c r="AE930">
        <v>-3.5579999999999901</v>
      </c>
      <c r="AF930">
        <v>3.68099087496224</v>
      </c>
      <c r="AG930">
        <v>-1.1084502581290001</v>
      </c>
      <c r="AH930">
        <v>25.8801314437321</v>
      </c>
      <c r="AI930">
        <v>92.428081279853401</v>
      </c>
      <c r="AJ930">
        <v>81.904984998024901</v>
      </c>
      <c r="AK930">
        <v>26.1640891173599</v>
      </c>
      <c r="AL930">
        <v>94.542737850437803</v>
      </c>
      <c r="AM930">
        <v>93.432679689170897</v>
      </c>
      <c r="AN930">
        <v>0.99999999208912604</v>
      </c>
    </row>
    <row r="931" spans="1:40" x14ac:dyDescent="0.25">
      <c r="A931" t="str">
        <f>"20190305135212254"</f>
        <v>20190305135212254</v>
      </c>
      <c r="B931" t="str">
        <f>"1551765132250494"</f>
        <v>1551765132250494</v>
      </c>
      <c r="C931" t="s">
        <v>40</v>
      </c>
      <c r="D931">
        <v>4.6930540000000001</v>
      </c>
      <c r="E931">
        <v>0.576750599999999</v>
      </c>
      <c r="F931" t="s">
        <v>42</v>
      </c>
      <c r="G931">
        <v>-237.21170000000001</v>
      </c>
      <c r="H931" s="1">
        <v>-2.1931849999999998E-6</v>
      </c>
      <c r="I931">
        <v>364.88749999999999</v>
      </c>
      <c r="J931">
        <v>-262.86059999999998</v>
      </c>
      <c r="K931">
        <v>1.108447</v>
      </c>
      <c r="L931">
        <v>368.39089999999999</v>
      </c>
      <c r="M931">
        <v>0.99994620000000001</v>
      </c>
      <c r="N931">
        <v>-9.0962999999999999E-3</v>
      </c>
      <c r="O931">
        <v>4.9896200000000002E-3</v>
      </c>
      <c r="P931">
        <v>0.99400630000000001</v>
      </c>
      <c r="Q931">
        <v>-8.8242719999999997E-2</v>
      </c>
      <c r="R931">
        <v>6.4537499999999998E-2</v>
      </c>
      <c r="S931">
        <v>3.0333559999999999</v>
      </c>
      <c r="T931">
        <v>-0.1303375</v>
      </c>
      <c r="U931">
        <v>-0.41186519999999999</v>
      </c>
      <c r="V931">
        <v>-5.9582349999999999E-2</v>
      </c>
      <c r="W931">
        <v>-7.9190369999999996E-2</v>
      </c>
      <c r="X931">
        <v>0.99507730000000005</v>
      </c>
      <c r="Y931">
        <v>0.1393308</v>
      </c>
      <c r="Z931">
        <v>-3.78349E-3</v>
      </c>
      <c r="AA931">
        <v>0.99023870000000003</v>
      </c>
      <c r="AB931">
        <v>30</v>
      </c>
      <c r="AC931">
        <v>25.648899999999902</v>
      </c>
      <c r="AD931">
        <v>-1.108449193185</v>
      </c>
      <c r="AE931">
        <v>-3.5033999999999899</v>
      </c>
      <c r="AF931">
        <v>3.6246942913959401</v>
      </c>
      <c r="AG931">
        <v>-1.108449193185</v>
      </c>
      <c r="AH931">
        <v>25.5841923141104</v>
      </c>
      <c r="AI931">
        <v>92.4563205117839</v>
      </c>
      <c r="AJ931">
        <v>81.936167550239503</v>
      </c>
      <c r="AK931">
        <v>25.863448429885299</v>
      </c>
      <c r="AL931">
        <v>94.542029696921603</v>
      </c>
      <c r="AM931">
        <v>93.426614320266395</v>
      </c>
      <c r="AN931">
        <v>1.00000000205377</v>
      </c>
    </row>
    <row r="932" spans="1:40" x14ac:dyDescent="0.25">
      <c r="A932" t="str">
        <f>"20190305135212268"</f>
        <v>20190305135212268</v>
      </c>
      <c r="B932" t="str">
        <f>"1551765132260254"</f>
        <v>1551765132260254</v>
      </c>
      <c r="C932" t="s">
        <v>40</v>
      </c>
      <c r="D932">
        <v>4.6749960000000002</v>
      </c>
      <c r="E932">
        <v>0.57674740000000002</v>
      </c>
      <c r="F932" t="s">
        <v>42</v>
      </c>
      <c r="G932">
        <v>-237.4325</v>
      </c>
      <c r="H932" s="1">
        <v>-2.106749E-6</v>
      </c>
      <c r="I932">
        <v>364.92989999999998</v>
      </c>
      <c r="J932">
        <v>-262.68020000000001</v>
      </c>
      <c r="K932">
        <v>1.108452</v>
      </c>
      <c r="L932">
        <v>368.39179999999999</v>
      </c>
      <c r="M932">
        <v>0.99994629999999995</v>
      </c>
      <c r="N932">
        <v>-9.1078570000000005E-3</v>
      </c>
      <c r="O932">
        <v>4.9813399999999999E-3</v>
      </c>
      <c r="P932">
        <v>0.99399020000000005</v>
      </c>
      <c r="Q932">
        <v>-8.8484179999999996E-2</v>
      </c>
      <c r="R932">
        <v>6.4453469999999999E-2</v>
      </c>
      <c r="S932">
        <v>3.0331730000000001</v>
      </c>
      <c r="T932">
        <v>-0.13222010000000001</v>
      </c>
      <c r="U932">
        <v>-0.41284179999999998</v>
      </c>
      <c r="V932">
        <v>-5.950627E-2</v>
      </c>
      <c r="W932">
        <v>-7.9420450000000004E-2</v>
      </c>
      <c r="X932">
        <v>0.99506349999999999</v>
      </c>
      <c r="Y932">
        <v>0.13963900000000001</v>
      </c>
      <c r="Z932">
        <v>-3.8382619999999998E-3</v>
      </c>
      <c r="AA932">
        <v>0.99019500000000005</v>
      </c>
      <c r="AB932">
        <v>30</v>
      </c>
      <c r="AC932">
        <v>25.247699999999998</v>
      </c>
      <c r="AD932">
        <v>-1.1084541067489999</v>
      </c>
      <c r="AE932">
        <v>-3.4619000000000102</v>
      </c>
      <c r="AF932">
        <v>3.5808549317307699</v>
      </c>
      <c r="AG932">
        <v>-1.1084541067489999</v>
      </c>
      <c r="AH932">
        <v>25.1824978889431</v>
      </c>
      <c r="AI932">
        <v>92.495284015220093</v>
      </c>
      <c r="AJ932">
        <v>81.907014207892402</v>
      </c>
      <c r="AK932">
        <v>25.4599566471644</v>
      </c>
      <c r="AL932">
        <v>94.555254032288403</v>
      </c>
      <c r="AM932">
        <v>93.422296671087594</v>
      </c>
      <c r="AN932">
        <v>0.99999998653988198</v>
      </c>
    </row>
    <row r="933" spans="1:40" x14ac:dyDescent="0.25">
      <c r="A933" t="str">
        <f>"20190305135212280"</f>
        <v>20190305135212280</v>
      </c>
      <c r="B933" t="str">
        <f>"1551765132270013"</f>
        <v>1551765132270013</v>
      </c>
      <c r="C933" t="s">
        <v>40</v>
      </c>
      <c r="D933">
        <v>4.6881659999999998</v>
      </c>
      <c r="E933">
        <v>0.57685109999999995</v>
      </c>
      <c r="F933" t="s">
        <v>42</v>
      </c>
      <c r="G933">
        <v>-237.53639999999999</v>
      </c>
      <c r="H933" s="1">
        <v>-2.061243E-6</v>
      </c>
      <c r="I933">
        <v>364.96800000000002</v>
      </c>
      <c r="J933">
        <v>-262.49689999999998</v>
      </c>
      <c r="K933">
        <v>1.108457</v>
      </c>
      <c r="L933">
        <v>368.39269999999999</v>
      </c>
      <c r="M933">
        <v>0.99994609999999995</v>
      </c>
      <c r="N933">
        <v>-9.1196599999999999E-3</v>
      </c>
      <c r="O933">
        <v>4.9725259999999997E-3</v>
      </c>
      <c r="P933">
        <v>0.99401039999999996</v>
      </c>
      <c r="Q933">
        <v>-8.8409100000000004E-2</v>
      </c>
      <c r="R933">
        <v>6.4244809999999999E-2</v>
      </c>
      <c r="S933">
        <v>3.03302</v>
      </c>
      <c r="T933">
        <v>-0.13370899999999999</v>
      </c>
      <c r="U933">
        <v>-0.41299439999999998</v>
      </c>
      <c r="V933">
        <v>-5.9306459999999998E-2</v>
      </c>
      <c r="W933">
        <v>-7.9333479999999998E-2</v>
      </c>
      <c r="X933">
        <v>0.99508240000000003</v>
      </c>
      <c r="Y933">
        <v>0.13968239999999901</v>
      </c>
      <c r="Z933">
        <v>-3.8765340000000001E-3</v>
      </c>
      <c r="AA933">
        <v>0.99018879999999998</v>
      </c>
      <c r="AB933">
        <v>30</v>
      </c>
      <c r="AC933">
        <v>24.9605</v>
      </c>
      <c r="AD933">
        <v>-1.1084590612430001</v>
      </c>
      <c r="AE933">
        <v>-3.4246999999999699</v>
      </c>
      <c r="AF933">
        <v>3.5419235242685501</v>
      </c>
      <c r="AG933">
        <v>-1.1084590612430001</v>
      </c>
      <c r="AH933">
        <v>24.894972619626198</v>
      </c>
      <c r="AI933">
        <v>92.524050005890601</v>
      </c>
      <c r="AJ933">
        <v>81.902607186223904</v>
      </c>
      <c r="AK933">
        <v>25.1700926790935</v>
      </c>
      <c r="AL933">
        <v>94.550255092800299</v>
      </c>
      <c r="AM933">
        <v>93.410767837231006</v>
      </c>
      <c r="AN933">
        <v>1.0000000200182</v>
      </c>
    </row>
    <row r="934" spans="1:40" x14ac:dyDescent="0.25">
      <c r="A934" t="str">
        <f>"20190305135212296"</f>
        <v>20190305135212296</v>
      </c>
      <c r="B934" t="str">
        <f>"1551765132290509"</f>
        <v>1551765132290509</v>
      </c>
      <c r="C934" t="s">
        <v>40</v>
      </c>
      <c r="D934">
        <v>4.6973060000000002</v>
      </c>
      <c r="E934">
        <v>0.57731889999999997</v>
      </c>
      <c r="F934" t="s">
        <v>42</v>
      </c>
      <c r="G934">
        <v>-237.16829999999999</v>
      </c>
      <c r="H934" s="1">
        <v>-2.196082E-6</v>
      </c>
      <c r="I934">
        <v>364.93209999999999</v>
      </c>
      <c r="J934">
        <v>-262.2921</v>
      </c>
      <c r="K934">
        <v>1.108457</v>
      </c>
      <c r="L934">
        <v>368.39370000000002</v>
      </c>
      <c r="M934">
        <v>0.999946</v>
      </c>
      <c r="N934">
        <v>-9.1323910000000001E-3</v>
      </c>
      <c r="O934">
        <v>4.9630509999999996E-3</v>
      </c>
      <c r="P934">
        <v>0.99402469999999998</v>
      </c>
      <c r="Q934">
        <v>-8.828395E-2</v>
      </c>
      <c r="R934">
        <v>6.4195450000000001E-2</v>
      </c>
      <c r="S934">
        <v>3.0330509999999999</v>
      </c>
      <c r="T934">
        <v>-0.132735299999999</v>
      </c>
      <c r="U934">
        <v>-0.41439819999999999</v>
      </c>
      <c r="V934">
        <v>-5.926679E-2</v>
      </c>
      <c r="W934">
        <v>-7.9195580000000002E-2</v>
      </c>
      <c r="X934">
        <v>0.99509570000000003</v>
      </c>
      <c r="Y934">
        <v>0.14012330000000001</v>
      </c>
      <c r="Z934">
        <v>-3.8646679999999999E-3</v>
      </c>
      <c r="AA934">
        <v>0.99012659999999997</v>
      </c>
      <c r="AB934">
        <v>30</v>
      </c>
      <c r="AC934">
        <v>25.123799999999999</v>
      </c>
      <c r="AD934">
        <v>-1.1084591960820001</v>
      </c>
      <c r="AE934">
        <v>-3.46160000000003</v>
      </c>
      <c r="AF934">
        <v>3.5794155057500401</v>
      </c>
      <c r="AG934">
        <v>-1.1084591960820001</v>
      </c>
      <c r="AH934">
        <v>25.058440606254099</v>
      </c>
      <c r="AI934">
        <v>92.507407069855802</v>
      </c>
      <c r="AJ934">
        <v>81.870708182250794</v>
      </c>
      <c r="AK934">
        <v>25.337054737466001</v>
      </c>
      <c r="AL934">
        <v>94.542329284201898</v>
      </c>
      <c r="AM934">
        <v>93.408446311591902</v>
      </c>
      <c r="AN934">
        <v>0.99999997222346404</v>
      </c>
    </row>
    <row r="935" spans="1:40" x14ac:dyDescent="0.25">
      <c r="A935" t="str">
        <f>"20190305135212310"</f>
        <v>20190305135212310</v>
      </c>
      <c r="B935" t="str">
        <f>"1551765132300271"</f>
        <v>1551765132300271</v>
      </c>
      <c r="C935" t="s">
        <v>40</v>
      </c>
      <c r="D935">
        <v>4.7334110000000003</v>
      </c>
      <c r="E935">
        <v>0.57737169999999904</v>
      </c>
      <c r="F935" t="s">
        <v>42</v>
      </c>
      <c r="G935">
        <v>-236.7963</v>
      </c>
      <c r="H935" s="1">
        <v>-2.3372010000000001E-6</v>
      </c>
      <c r="I935">
        <v>364.8775</v>
      </c>
      <c r="J935">
        <v>-262.11020000000002</v>
      </c>
      <c r="K935">
        <v>1.108463</v>
      </c>
      <c r="L935">
        <v>368.39460000000003</v>
      </c>
      <c r="M935">
        <v>0.99994590000000005</v>
      </c>
      <c r="N935">
        <v>-9.143366E-3</v>
      </c>
      <c r="O935">
        <v>4.9542980000000002E-3</v>
      </c>
      <c r="P935">
        <v>0.99401530000000005</v>
      </c>
      <c r="Q935">
        <v>-8.8592939999999995E-2</v>
      </c>
      <c r="R935">
        <v>6.3912899999999995E-2</v>
      </c>
      <c r="S935">
        <v>3.033325</v>
      </c>
      <c r="T935">
        <v>-0.13187679999999999</v>
      </c>
      <c r="U935">
        <v>-0.41833500000000001</v>
      </c>
      <c r="V935">
        <v>-5.8993009999999999E-2</v>
      </c>
      <c r="W935">
        <v>-7.9493759999999997E-2</v>
      </c>
      <c r="X935">
        <v>0.99508819999999998</v>
      </c>
      <c r="Y935">
        <v>0.141364299999999</v>
      </c>
      <c r="Z935">
        <v>-3.8760029999999998E-3</v>
      </c>
      <c r="AA935">
        <v>0.98995010000000006</v>
      </c>
      <c r="AB935">
        <v>30</v>
      </c>
      <c r="AC935">
        <v>25.3139</v>
      </c>
      <c r="AD935">
        <v>-1.108465337201</v>
      </c>
      <c r="AE935">
        <v>-3.5171000000000201</v>
      </c>
      <c r="AF935">
        <v>3.6356355242091598</v>
      </c>
      <c r="AG935">
        <v>-1.108465337201</v>
      </c>
      <c r="AH935">
        <v>25.248667407600301</v>
      </c>
      <c r="AI935">
        <v>92.488151753786198</v>
      </c>
      <c r="AJ935">
        <v>81.8061203442345</v>
      </c>
      <c r="AK935">
        <v>25.533149960948499</v>
      </c>
      <c r="AL935">
        <v>94.559467740805104</v>
      </c>
      <c r="AM935">
        <v>93.392763538699697</v>
      </c>
      <c r="AN935">
        <v>0.99999997944351804</v>
      </c>
    </row>
    <row r="936" spans="1:40" x14ac:dyDescent="0.25">
      <c r="A936" t="str">
        <f>"20190305135212321"</f>
        <v>20190305135212321</v>
      </c>
      <c r="B936" t="str">
        <f>"1551765132311006"</f>
        <v>1551765132311006</v>
      </c>
      <c r="C936" t="s">
        <v>40</v>
      </c>
      <c r="D936">
        <v>4.7032769999999999</v>
      </c>
      <c r="E936">
        <v>0.57752890000000001</v>
      </c>
      <c r="F936" t="s">
        <v>42</v>
      </c>
      <c r="G936">
        <v>-237.06229999999999</v>
      </c>
      <c r="H936" s="1">
        <v>-2.2326500000000001E-6</v>
      </c>
      <c r="I936">
        <v>364.93029999999999</v>
      </c>
      <c r="J936">
        <v>-261.94189999999998</v>
      </c>
      <c r="K936">
        <v>1.1084620000000001</v>
      </c>
      <c r="L936">
        <v>368.3954</v>
      </c>
      <c r="M936">
        <v>0.99994590000000005</v>
      </c>
      <c r="N936">
        <v>-9.1532019999999992E-3</v>
      </c>
      <c r="O936">
        <v>4.9459700000000001E-3</v>
      </c>
      <c r="P936">
        <v>0.99402639999999998</v>
      </c>
      <c r="Q936">
        <v>-8.8509080000000004E-2</v>
      </c>
      <c r="R936">
        <v>6.385884E-2</v>
      </c>
      <c r="S936">
        <v>3.0330810000000001</v>
      </c>
      <c r="T936">
        <v>-0.13422500000000001</v>
      </c>
      <c r="U936">
        <v>-0.4194946</v>
      </c>
      <c r="V936">
        <v>-5.894696E-2</v>
      </c>
      <c r="W936">
        <v>-7.940005E-2</v>
      </c>
      <c r="X936">
        <v>0.99509840000000005</v>
      </c>
      <c r="Y936">
        <v>0.14173239999999901</v>
      </c>
      <c r="Z936">
        <v>-3.9445620000000004E-3</v>
      </c>
      <c r="AA936">
        <v>0.98989709999999997</v>
      </c>
      <c r="AB936">
        <v>30</v>
      </c>
      <c r="AC936">
        <v>24.8795999999999</v>
      </c>
      <c r="AD936">
        <v>-1.10846423265</v>
      </c>
      <c r="AE936">
        <v>-3.4651000000000001</v>
      </c>
      <c r="AF936">
        <v>3.5811432790075499</v>
      </c>
      <c r="AG936">
        <v>-1.10846423265</v>
      </c>
      <c r="AH936">
        <v>24.813838881942601</v>
      </c>
      <c r="AI936">
        <v>92.531577597570006</v>
      </c>
      <c r="AJ936">
        <v>81.787752555469794</v>
      </c>
      <c r="AK936">
        <v>25.095415521542002</v>
      </c>
      <c r="AL936">
        <v>94.554081576217598</v>
      </c>
      <c r="AM936">
        <v>93.390086655049998</v>
      </c>
      <c r="AN936">
        <v>0.99999996885790099</v>
      </c>
    </row>
    <row r="937" spans="1:40" x14ac:dyDescent="0.25">
      <c r="A937" t="str">
        <f>"20190305135212334"</f>
        <v>20190305135212334</v>
      </c>
      <c r="B937" t="str">
        <f>"1551765132330525"</f>
        <v>1551765132330525</v>
      </c>
      <c r="C937" t="s">
        <v>40</v>
      </c>
      <c r="D937">
        <v>4.7104520000000001</v>
      </c>
      <c r="E937">
        <v>0.57770509999999997</v>
      </c>
      <c r="F937" t="s">
        <v>42</v>
      </c>
      <c r="G937">
        <v>-237.11410000000001</v>
      </c>
      <c r="H937" s="1">
        <v>-2.209855E-6</v>
      </c>
      <c r="I937">
        <v>364.94970000000001</v>
      </c>
      <c r="J937">
        <v>-261.78190000000001</v>
      </c>
      <c r="K937">
        <v>1.1084609999999999</v>
      </c>
      <c r="L937">
        <v>368.39620000000002</v>
      </c>
      <c r="M937">
        <v>0.9999458</v>
      </c>
      <c r="N937">
        <v>-9.1622460000000006E-3</v>
      </c>
      <c r="O937">
        <v>4.9383600000000001E-3</v>
      </c>
      <c r="P937">
        <v>0.99404389999999998</v>
      </c>
      <c r="Q937">
        <v>-8.8586709999999999E-2</v>
      </c>
      <c r="R937">
        <v>6.3475539999999997E-2</v>
      </c>
      <c r="S937">
        <v>3.03302</v>
      </c>
      <c r="T937">
        <v>-0.1354117</v>
      </c>
      <c r="U937">
        <v>-0.420929</v>
      </c>
      <c r="V937">
        <v>-5.8571289999999998E-2</v>
      </c>
      <c r="W937">
        <v>-7.9468590000000006E-2</v>
      </c>
      <c r="X937">
        <v>0.99511519999999998</v>
      </c>
      <c r="Y937">
        <v>0.14218359999999999</v>
      </c>
      <c r="Z937">
        <v>-3.986458E-3</v>
      </c>
      <c r="AA937">
        <v>0.9898323</v>
      </c>
      <c r="AB937">
        <v>30</v>
      </c>
      <c r="AC937">
        <v>24.6678</v>
      </c>
      <c r="AD937">
        <v>-1.108463209855</v>
      </c>
      <c r="AE937">
        <v>-3.4465000000000101</v>
      </c>
      <c r="AF937">
        <v>3.5612283760686498</v>
      </c>
      <c r="AG937">
        <v>-1.108463209855</v>
      </c>
      <c r="AH937">
        <v>24.6017534209475</v>
      </c>
      <c r="AI937">
        <v>92.553213651879403</v>
      </c>
      <c r="AJ937">
        <v>81.763358097254297</v>
      </c>
      <c r="AK937">
        <v>24.882871812136599</v>
      </c>
      <c r="AL937">
        <v>94.558020674706199</v>
      </c>
      <c r="AM937">
        <v>93.368474745530193</v>
      </c>
      <c r="AN937">
        <v>1.0000000570399401</v>
      </c>
    </row>
    <row r="938" spans="1:40" x14ac:dyDescent="0.25">
      <c r="A938" t="str">
        <f>"20190305135212345"</f>
        <v>20190305135212345</v>
      </c>
      <c r="B938" t="str">
        <f>"1551765132340286"</f>
        <v>1551765132340286</v>
      </c>
      <c r="C938" t="s">
        <v>40</v>
      </c>
      <c r="D938">
        <v>4.963711</v>
      </c>
      <c r="E938">
        <v>0.57794009999999996</v>
      </c>
      <c r="F938" t="s">
        <v>42</v>
      </c>
      <c r="G938">
        <v>-237.34970000000001</v>
      </c>
      <c r="H938" s="1">
        <v>-2.1213150000000001E-6</v>
      </c>
      <c r="I938">
        <v>364.98099999999999</v>
      </c>
      <c r="J938">
        <v>-261.63099999999997</v>
      </c>
      <c r="K938">
        <v>1.1084579999999999</v>
      </c>
      <c r="L938">
        <v>368.39690000000002</v>
      </c>
      <c r="M938">
        <v>0.99994570000000005</v>
      </c>
      <c r="N938">
        <v>-9.1706619999999996E-3</v>
      </c>
      <c r="O938">
        <v>4.9309319999999998E-3</v>
      </c>
      <c r="P938">
        <v>0.99402029999999997</v>
      </c>
      <c r="Q938">
        <v>-8.8914049999999994E-2</v>
      </c>
      <c r="R938">
        <v>6.3385029999999995E-2</v>
      </c>
      <c r="S938">
        <v>3.0327760000000001</v>
      </c>
      <c r="T938">
        <v>-0.13759370000000001</v>
      </c>
      <c r="U938">
        <v>-0.42391970000000001</v>
      </c>
      <c r="V938">
        <v>-5.8488180000000001E-2</v>
      </c>
      <c r="W938">
        <v>-7.9787819999999995E-2</v>
      </c>
      <c r="X938">
        <v>0.99509449999999999</v>
      </c>
      <c r="Y938">
        <v>0.143138299999999</v>
      </c>
      <c r="Z938">
        <v>-4.0671479999999996E-3</v>
      </c>
      <c r="AA938">
        <v>0.98969439999999997</v>
      </c>
      <c r="AB938">
        <v>30</v>
      </c>
      <c r="AC938">
        <v>24.281299999999899</v>
      </c>
      <c r="AD938">
        <v>-1.108460121315</v>
      </c>
      <c r="AE938">
        <v>-3.4159000000000201</v>
      </c>
      <c r="AF938">
        <v>3.5283825302771001</v>
      </c>
      <c r="AG938">
        <v>-1.108460121315</v>
      </c>
      <c r="AH938">
        <v>24.214676617601</v>
      </c>
      <c r="AI938">
        <v>92.593612031708801</v>
      </c>
      <c r="AJ938">
        <v>81.709630823067698</v>
      </c>
      <c r="AK938">
        <v>24.495483886126902</v>
      </c>
      <c r="AL938">
        <v>94.576369668463897</v>
      </c>
      <c r="AM938">
        <v>93.363775826868803</v>
      </c>
      <c r="AN938">
        <v>1.0000000136751499</v>
      </c>
    </row>
    <row r="939" spans="1:40" x14ac:dyDescent="0.25">
      <c r="A939" t="str">
        <f>"20190305135212356"</f>
        <v>20190305135212356</v>
      </c>
      <c r="B939" t="str">
        <f>"1551765132350045"</f>
        <v>1551765132350045</v>
      </c>
      <c r="C939" t="s">
        <v>40</v>
      </c>
      <c r="D939">
        <v>4.7314379999999998</v>
      </c>
      <c r="E939">
        <v>0.57794080000000003</v>
      </c>
      <c r="F939" t="s">
        <v>42</v>
      </c>
      <c r="G939">
        <v>-236.9966</v>
      </c>
      <c r="H939" s="1">
        <v>-2.2531180000000002E-6</v>
      </c>
      <c r="I939">
        <v>364.93740000000003</v>
      </c>
      <c r="J939">
        <v>-261.46640000000002</v>
      </c>
      <c r="K939">
        <v>1.1084579999999999</v>
      </c>
      <c r="L939">
        <v>368.39769999999999</v>
      </c>
      <c r="M939">
        <v>0.99994590000000005</v>
      </c>
      <c r="N939">
        <v>-9.1793719999999999E-3</v>
      </c>
      <c r="O939">
        <v>4.9228450000000003E-3</v>
      </c>
      <c r="P939">
        <v>0.99401150000000005</v>
      </c>
      <c r="Q939">
        <v>-8.9119169999999998E-2</v>
      </c>
      <c r="R939">
        <v>6.3240329999999997E-2</v>
      </c>
      <c r="S939">
        <v>3.0329899999999999</v>
      </c>
      <c r="T939">
        <v>-0.13647310000000001</v>
      </c>
      <c r="U939">
        <v>-0.42593379999999997</v>
      </c>
      <c r="V939">
        <v>-5.8351569999999998E-2</v>
      </c>
      <c r="W939">
        <v>-7.9984340000000001E-2</v>
      </c>
      <c r="X939">
        <v>0.99508669999999999</v>
      </c>
      <c r="Y939">
        <v>0.14376720000000001</v>
      </c>
      <c r="Z939">
        <v>-4.0559599999999999E-3</v>
      </c>
      <c r="AA939">
        <v>0.98960320000000002</v>
      </c>
      <c r="AB939">
        <v>30</v>
      </c>
      <c r="AC939">
        <v>24.469799999999999</v>
      </c>
      <c r="AD939">
        <v>-1.1084602531179999</v>
      </c>
      <c r="AE939">
        <v>-3.4602999999999602</v>
      </c>
      <c r="AF939">
        <v>3.57353499096345</v>
      </c>
      <c r="AG939">
        <v>-1.1084602531179999</v>
      </c>
      <c r="AH939">
        <v>24.403374012991598</v>
      </c>
      <c r="AI939">
        <v>92.573318531076495</v>
      </c>
      <c r="AJ939">
        <v>81.669040983134593</v>
      </c>
      <c r="AK939">
        <v>24.688529718926901</v>
      </c>
      <c r="AL939">
        <v>94.587665735277994</v>
      </c>
      <c r="AM939">
        <v>93.355963327503403</v>
      </c>
      <c r="AN939">
        <v>0.99999997044179401</v>
      </c>
    </row>
    <row r="940" spans="1:40" x14ac:dyDescent="0.25">
      <c r="A940" t="str">
        <f>"20190305135212370"</f>
        <v>20190305135212370</v>
      </c>
      <c r="B940" t="str">
        <f>"1551765132360782"</f>
        <v>1551765132360782</v>
      </c>
      <c r="C940" t="s">
        <v>40</v>
      </c>
      <c r="D940">
        <v>6.09457</v>
      </c>
      <c r="E940">
        <v>0.57806749999999996</v>
      </c>
      <c r="F940" t="s">
        <v>42</v>
      </c>
      <c r="G940">
        <v>-237.04390000000001</v>
      </c>
      <c r="H940" s="1">
        <v>-2.2300470000000001E-6</v>
      </c>
      <c r="I940">
        <v>364.96359999999999</v>
      </c>
      <c r="J940">
        <v>-261.28859999999997</v>
      </c>
      <c r="K940">
        <v>1.108457</v>
      </c>
      <c r="L940">
        <v>368.39859999999999</v>
      </c>
      <c r="M940">
        <v>0.9999458</v>
      </c>
      <c r="N940">
        <v>-9.1886090000000004E-3</v>
      </c>
      <c r="O940">
        <v>4.9145159999999998E-3</v>
      </c>
      <c r="P940">
        <v>0.99400180000000005</v>
      </c>
      <c r="Q940">
        <v>-8.9250099999999999E-2</v>
      </c>
      <c r="R940">
        <v>6.3206230000000002E-2</v>
      </c>
      <c r="S940">
        <v>3.032867</v>
      </c>
      <c r="T940">
        <v>-0.13765169999999999</v>
      </c>
      <c r="U940">
        <v>-0.42645260000000001</v>
      </c>
      <c r="V940">
        <v>-5.8325370000000001E-2</v>
      </c>
      <c r="W940">
        <v>-8.0106150000000001E-2</v>
      </c>
      <c r="X940">
        <v>0.99507840000000003</v>
      </c>
      <c r="Y940">
        <v>0.14392739999999901</v>
      </c>
      <c r="Z940">
        <v>-4.0904080000000002E-3</v>
      </c>
      <c r="AA940">
        <v>0.98957980000000001</v>
      </c>
      <c r="AB940">
        <v>30</v>
      </c>
      <c r="AC940">
        <v>24.244699999999899</v>
      </c>
      <c r="AD940">
        <v>-1.108459230047</v>
      </c>
      <c r="AE940">
        <v>-3.4350000000000001</v>
      </c>
      <c r="AF940">
        <v>3.5468464680821099</v>
      </c>
      <c r="AG940">
        <v>-1.108459230047</v>
      </c>
      <c r="AH940">
        <v>24.177980729996399</v>
      </c>
      <c r="AI940">
        <v>92.597175332982701</v>
      </c>
      <c r="AJ940">
        <v>81.654385640298898</v>
      </c>
      <c r="AK940">
        <v>24.4618796071132</v>
      </c>
      <c r="AL940">
        <v>94.594667573060704</v>
      </c>
      <c r="AM940">
        <v>93.354487849162993</v>
      </c>
      <c r="AN940">
        <v>0.99999993310000701</v>
      </c>
    </row>
    <row r="941" spans="1:40" x14ac:dyDescent="0.25">
      <c r="A941" t="str">
        <f>"20190305135212382"</f>
        <v>20190305135212382</v>
      </c>
      <c r="B941" t="str">
        <f>"1551765132370542"</f>
        <v>1551765132370542</v>
      </c>
      <c r="C941" t="s">
        <v>40</v>
      </c>
      <c r="D941">
        <v>4.7014610000000001</v>
      </c>
      <c r="E941">
        <v>0.57824809999999904</v>
      </c>
      <c r="F941" t="s">
        <v>42</v>
      </c>
      <c r="G941">
        <v>-236.6421</v>
      </c>
      <c r="H941" s="1">
        <v>-2.3767099999999999E-6</v>
      </c>
      <c r="I941">
        <v>364.92619999999999</v>
      </c>
      <c r="J941">
        <v>-261.1268</v>
      </c>
      <c r="K941">
        <v>1.108455</v>
      </c>
      <c r="L941">
        <v>368.39940000000001</v>
      </c>
      <c r="M941">
        <v>0.99994559999999999</v>
      </c>
      <c r="N941">
        <v>-9.1967879999999991E-3</v>
      </c>
      <c r="O941">
        <v>4.9069669999999999E-3</v>
      </c>
      <c r="P941">
        <v>0.99396649999999998</v>
      </c>
      <c r="Q941">
        <v>-8.9624170000000003E-2</v>
      </c>
      <c r="R941">
        <v>6.3230919999999996E-2</v>
      </c>
      <c r="S941">
        <v>3.03302</v>
      </c>
      <c r="T941">
        <v>-0.13640749999999999</v>
      </c>
      <c r="U941">
        <v>-0.4273071</v>
      </c>
      <c r="V941">
        <v>-5.8358269999999997E-2</v>
      </c>
      <c r="W941">
        <v>-8.0472370000000001E-2</v>
      </c>
      <c r="X941">
        <v>0.99504700000000001</v>
      </c>
      <c r="Y941">
        <v>0.14418909999999999</v>
      </c>
      <c r="Z941">
        <v>-4.0661869999999998E-3</v>
      </c>
      <c r="AA941">
        <v>0.98954180000000003</v>
      </c>
      <c r="AB941">
        <v>30</v>
      </c>
      <c r="AC941">
        <v>24.4847</v>
      </c>
      <c r="AD941">
        <v>-1.1084573767100001</v>
      </c>
      <c r="AE941">
        <v>-3.4732000000000198</v>
      </c>
      <c r="AF941">
        <v>3.58610413115069</v>
      </c>
      <c r="AG941">
        <v>-1.1084573767100001</v>
      </c>
      <c r="AH941">
        <v>24.418303374947602</v>
      </c>
      <c r="AI941">
        <v>92.571583877744203</v>
      </c>
      <c r="AJ941">
        <v>81.645191073431306</v>
      </c>
      <c r="AK941">
        <v>24.7051079800598</v>
      </c>
      <c r="AL941">
        <v>94.615718034460599</v>
      </c>
      <c r="AM941">
        <v>93.356481386632495</v>
      </c>
      <c r="AN941">
        <v>1.0000000111099001</v>
      </c>
    </row>
    <row r="942" spans="1:40" x14ac:dyDescent="0.25">
      <c r="A942" t="str">
        <f>"20190305135212392"</f>
        <v>20190305135212392</v>
      </c>
      <c r="B942" t="str">
        <f>"1551765132390062"</f>
        <v>1551765132390062</v>
      </c>
      <c r="C942" t="s">
        <v>40</v>
      </c>
      <c r="D942">
        <v>4.6557250000000003</v>
      </c>
      <c r="E942">
        <v>0.57854469999999902</v>
      </c>
      <c r="F942" t="s">
        <v>42</v>
      </c>
      <c r="G942">
        <v>-236.4341</v>
      </c>
      <c r="H942" s="1">
        <v>-2.4521589999999999E-6</v>
      </c>
      <c r="I942">
        <v>364.90879999999999</v>
      </c>
      <c r="J942">
        <v>-260.97789999999998</v>
      </c>
      <c r="K942">
        <v>1.108455</v>
      </c>
      <c r="L942">
        <v>368.40010000000001</v>
      </c>
      <c r="M942">
        <v>0.9999458</v>
      </c>
      <c r="N942">
        <v>-9.2039129999999993E-3</v>
      </c>
      <c r="O942">
        <v>4.8998399999999999E-3</v>
      </c>
      <c r="P942">
        <v>0.99394850000000001</v>
      </c>
      <c r="Q942">
        <v>-8.9765440000000002E-2</v>
      </c>
      <c r="R942">
        <v>6.3312469999999996E-2</v>
      </c>
      <c r="S942">
        <v>3.0332340000000002</v>
      </c>
      <c r="T942">
        <v>-0.13616120000000001</v>
      </c>
      <c r="U942">
        <v>-0.42877199999999999</v>
      </c>
      <c r="V942">
        <v>-5.844684E-2</v>
      </c>
      <c r="W942">
        <v>-8.0606720000000007E-2</v>
      </c>
      <c r="X942">
        <v>0.99503090000000005</v>
      </c>
      <c r="Y942">
        <v>0.14464099999999999</v>
      </c>
      <c r="Z942">
        <v>-4.072048E-3</v>
      </c>
      <c r="AA942">
        <v>0.98947580000000002</v>
      </c>
      <c r="AB942">
        <v>30</v>
      </c>
      <c r="AC942">
        <v>24.543799999999901</v>
      </c>
      <c r="AD942">
        <v>-1.108457452159</v>
      </c>
      <c r="AE942">
        <v>-3.4913000000000198</v>
      </c>
      <c r="AF942">
        <v>3.6043181300120501</v>
      </c>
      <c r="AG942">
        <v>-1.108457452159</v>
      </c>
      <c r="AH942">
        <v>24.4774626666232</v>
      </c>
      <c r="AI942">
        <v>92.565233624075603</v>
      </c>
      <c r="AJ942">
        <v>81.623365512052501</v>
      </c>
      <c r="AK942">
        <v>24.7662263112794</v>
      </c>
      <c r="AL942">
        <v>94.623440935215299</v>
      </c>
      <c r="AM942">
        <v>93.361618092089898</v>
      </c>
      <c r="AN942">
        <v>0.99999998418497604</v>
      </c>
    </row>
    <row r="943" spans="1:40" x14ac:dyDescent="0.25">
      <c r="A943" t="str">
        <f>"20190305135212404"</f>
        <v>20190305135212404</v>
      </c>
      <c r="B943" t="str">
        <f>"1551765132400798"</f>
        <v>1551765132400798</v>
      </c>
      <c r="C943" t="s">
        <v>40</v>
      </c>
      <c r="D943">
        <v>4.6664969999999997</v>
      </c>
      <c r="E943">
        <v>0.57866280000000003</v>
      </c>
      <c r="F943" t="s">
        <v>42</v>
      </c>
      <c r="G943">
        <v>-236.06440000000001</v>
      </c>
      <c r="H943" s="1">
        <v>-2.589909E-6</v>
      </c>
      <c r="I943">
        <v>364.86380000000003</v>
      </c>
      <c r="J943">
        <v>-260.82119999999998</v>
      </c>
      <c r="K943">
        <v>1.1084540000000001</v>
      </c>
      <c r="L943">
        <v>368.4008</v>
      </c>
      <c r="M943">
        <v>0.99994559999999999</v>
      </c>
      <c r="N943">
        <v>-9.2112429999999992E-3</v>
      </c>
      <c r="O943">
        <v>4.8925929999999998E-3</v>
      </c>
      <c r="P943">
        <v>0.99394360000000004</v>
      </c>
      <c r="Q943">
        <v>-8.9817389999999997E-2</v>
      </c>
      <c r="R943">
        <v>6.3316639999999993E-2</v>
      </c>
      <c r="S943">
        <v>3.0335079999999999</v>
      </c>
      <c r="T943">
        <v>-0.13496710000000001</v>
      </c>
      <c r="U943">
        <v>-0.43057250000000002</v>
      </c>
      <c r="V943">
        <v>-5.8458019999999999E-2</v>
      </c>
      <c r="W943">
        <v>-8.0651399999999901E-2</v>
      </c>
      <c r="X943">
        <v>0.99502659999999998</v>
      </c>
      <c r="Y943">
        <v>0.14519939999999901</v>
      </c>
      <c r="Z943">
        <v>-4.0565990000000001E-3</v>
      </c>
      <c r="AA943">
        <v>0.98939410000000005</v>
      </c>
      <c r="AB943">
        <v>30</v>
      </c>
      <c r="AC943">
        <v>24.756799999999899</v>
      </c>
      <c r="AD943">
        <v>-1.108456589909</v>
      </c>
      <c r="AE943">
        <v>-3.5369999999999702</v>
      </c>
      <c r="AF943">
        <v>3.65091518135447</v>
      </c>
      <c r="AG943">
        <v>-1.108456589909</v>
      </c>
      <c r="AH943">
        <v>24.690690638023401</v>
      </c>
      <c r="AI943">
        <v>92.542881816594502</v>
      </c>
      <c r="AJ943">
        <v>81.588846885619006</v>
      </c>
      <c r="AK943">
        <v>24.983755959737799</v>
      </c>
      <c r="AL943">
        <v>94.626009377600795</v>
      </c>
      <c r="AM943">
        <v>93.362274140557204</v>
      </c>
      <c r="AN943">
        <v>0.99999996156591897</v>
      </c>
    </row>
    <row r="944" spans="1:40" x14ac:dyDescent="0.25">
      <c r="A944" t="str">
        <f>"20190305135212420"</f>
        <v>20190305135212420</v>
      </c>
      <c r="B944" t="str">
        <f>"1551765132410558"</f>
        <v>1551765132410558</v>
      </c>
      <c r="C944" t="s">
        <v>40</v>
      </c>
      <c r="D944">
        <v>4.7024860000000004</v>
      </c>
      <c r="E944">
        <v>0.57878399999999997</v>
      </c>
      <c r="F944" t="s">
        <v>42</v>
      </c>
      <c r="G944">
        <v>-235.8073</v>
      </c>
      <c r="H944" s="1">
        <v>-2.683239E-6</v>
      </c>
      <c r="I944">
        <v>364.84190000000001</v>
      </c>
      <c r="J944">
        <v>-260.61540000000002</v>
      </c>
      <c r="K944">
        <v>1.1084560000000001</v>
      </c>
      <c r="L944">
        <v>368.40179999999998</v>
      </c>
      <c r="M944">
        <v>0.99994559999999999</v>
      </c>
      <c r="N944">
        <v>-9.220153E-3</v>
      </c>
      <c r="O944">
        <v>4.8831320000000001E-3</v>
      </c>
      <c r="P944">
        <v>0.99393679999999995</v>
      </c>
      <c r="Q944">
        <v>-8.9871679999999995E-2</v>
      </c>
      <c r="R944">
        <v>6.3348790000000002E-2</v>
      </c>
      <c r="S944">
        <v>3.03363</v>
      </c>
      <c r="T944">
        <v>-0.13443060000000001</v>
      </c>
      <c r="U944">
        <v>-0.4316101</v>
      </c>
      <c r="V944">
        <v>-5.8499559999999999E-2</v>
      </c>
      <c r="W944">
        <v>-8.0696870000000004E-2</v>
      </c>
      <c r="X944">
        <v>0.99502049999999997</v>
      </c>
      <c r="Y944">
        <v>0.14551710000000001</v>
      </c>
      <c r="Z944">
        <v>-4.0515300000000002E-3</v>
      </c>
      <c r="AA944">
        <v>0.98934750000000005</v>
      </c>
      <c r="AB944">
        <v>30</v>
      </c>
      <c r="AC944">
        <v>24.8081</v>
      </c>
      <c r="AD944">
        <v>-1.108458683239</v>
      </c>
      <c r="AE944">
        <v>-3.5598999999999701</v>
      </c>
      <c r="AF944">
        <v>3.6738174229855298</v>
      </c>
      <c r="AG944">
        <v>-1.108458683239</v>
      </c>
      <c r="AH944">
        <v>24.742021128305598</v>
      </c>
      <c r="AI944">
        <v>92.537390574750802</v>
      </c>
      <c r="AJ944">
        <v>81.554149802220294</v>
      </c>
      <c r="AK944">
        <v>25.037835861419801</v>
      </c>
      <c r="AL944">
        <v>94.628623007223695</v>
      </c>
      <c r="AM944">
        <v>93.364678449664794</v>
      </c>
      <c r="AN944">
        <v>0.99999998938412005</v>
      </c>
    </row>
    <row r="945" spans="1:40" x14ac:dyDescent="0.25">
      <c r="A945" t="str">
        <f>"20190305135212432"</f>
        <v>20190305135212432</v>
      </c>
      <c r="B945" t="str">
        <f>"1551765132420317"</f>
        <v>1551765132420317</v>
      </c>
      <c r="C945" t="s">
        <v>40</v>
      </c>
      <c r="D945">
        <v>4.709111</v>
      </c>
      <c r="E945">
        <v>0.57879080000000005</v>
      </c>
      <c r="F945" t="s">
        <v>42</v>
      </c>
      <c r="G945">
        <v>-235.35820000000001</v>
      </c>
      <c r="H945" s="1">
        <v>-2.8464270000000001E-6</v>
      </c>
      <c r="I945">
        <v>364.80290000000002</v>
      </c>
      <c r="J945">
        <v>-260.45510000000002</v>
      </c>
      <c r="K945">
        <v>1.1084560000000001</v>
      </c>
      <c r="L945">
        <v>368.40260000000001</v>
      </c>
      <c r="M945">
        <v>0.99994570000000005</v>
      </c>
      <c r="N945">
        <v>-9.2268209999999996E-3</v>
      </c>
      <c r="O945">
        <v>4.8758289999999999E-3</v>
      </c>
      <c r="P945">
        <v>0.99394450000000001</v>
      </c>
      <c r="Q945">
        <v>-8.9916910000000003E-2</v>
      </c>
      <c r="R945">
        <v>6.3163109999999995E-2</v>
      </c>
      <c r="S945">
        <v>3.0338129999999999</v>
      </c>
      <c r="T945">
        <v>-0.13314409999999999</v>
      </c>
      <c r="U945">
        <v>-0.43228149999999999</v>
      </c>
      <c r="V945">
        <v>-5.8321449999999997E-2</v>
      </c>
      <c r="W945">
        <v>-8.0735420000000002E-2</v>
      </c>
      <c r="X945">
        <v>0.99502780000000002</v>
      </c>
      <c r="Y945">
        <v>0.14571889999999901</v>
      </c>
      <c r="Z945">
        <v>-4.0241089999999997E-3</v>
      </c>
      <c r="AA945">
        <v>0.98931780000000002</v>
      </c>
      <c r="AB945">
        <v>30</v>
      </c>
      <c r="AC945">
        <v>25.096900000000002</v>
      </c>
      <c r="AD945">
        <v>-1.108458846427</v>
      </c>
      <c r="AE945">
        <v>-3.5996999999999799</v>
      </c>
      <c r="AF945">
        <v>3.71492981699009</v>
      </c>
      <c r="AG945">
        <v>-1.108458846427</v>
      </c>
      <c r="AH945">
        <v>25.031204361189101</v>
      </c>
      <c r="AI945">
        <v>92.508140908380099</v>
      </c>
      <c r="AJ945">
        <v>81.558241497544799</v>
      </c>
      <c r="AK945">
        <v>25.3296382984636</v>
      </c>
      <c r="AL945">
        <v>94.630839120941602</v>
      </c>
      <c r="AM945">
        <v>93.354433095923497</v>
      </c>
      <c r="AN945">
        <v>0.99999996117275802</v>
      </c>
    </row>
    <row r="946" spans="1:40" x14ac:dyDescent="0.25">
      <c r="A946" t="str">
        <f>"20190305135212442"</f>
        <v>20190305135212442</v>
      </c>
      <c r="B946" t="str">
        <f>"1551765132431053"</f>
        <v>1551765132431053</v>
      </c>
      <c r="C946" t="s">
        <v>40</v>
      </c>
      <c r="D946">
        <v>4.6834899999999999</v>
      </c>
      <c r="E946">
        <v>0.57892270000000001</v>
      </c>
      <c r="F946" t="s">
        <v>42</v>
      </c>
      <c r="G946">
        <v>-235.04499999999999</v>
      </c>
      <c r="H946" s="1">
        <v>-2.9669649999999998E-6</v>
      </c>
      <c r="I946">
        <v>364.774</v>
      </c>
      <c r="J946">
        <v>-260.30079999999998</v>
      </c>
      <c r="K946">
        <v>1.108457</v>
      </c>
      <c r="L946">
        <v>368.40339999999998</v>
      </c>
      <c r="M946">
        <v>0.99994550000000004</v>
      </c>
      <c r="N946">
        <v>-9.2330280000000008E-3</v>
      </c>
      <c r="O946">
        <v>4.8687660000000001E-3</v>
      </c>
      <c r="P946">
        <v>0.99396410000000002</v>
      </c>
      <c r="Q946">
        <v>-8.9872320000000006E-2</v>
      </c>
      <c r="R946">
        <v>6.2917109999999998E-2</v>
      </c>
      <c r="S946">
        <v>3.0338440000000002</v>
      </c>
      <c r="T946">
        <v>-0.1323442</v>
      </c>
      <c r="U946">
        <v>-0.43322749999999999</v>
      </c>
      <c r="V946">
        <v>-5.8082549999999997E-2</v>
      </c>
      <c r="W946">
        <v>-8.0684480000000003E-2</v>
      </c>
      <c r="X946">
        <v>0.99504599999999999</v>
      </c>
      <c r="Y946">
        <v>0.14601439999999999</v>
      </c>
      <c r="Z946">
        <v>-4.0116129999999998E-3</v>
      </c>
      <c r="AA946">
        <v>0.98927430000000005</v>
      </c>
      <c r="AB946">
        <v>30</v>
      </c>
      <c r="AC946">
        <v>25.255799999999901</v>
      </c>
      <c r="AD946">
        <v>-1.1084599669649999</v>
      </c>
      <c r="AE946">
        <v>-3.6293999999999702</v>
      </c>
      <c r="AF946">
        <v>3.74525838653806</v>
      </c>
      <c r="AG946">
        <v>-1.1084599669649999</v>
      </c>
      <c r="AH946">
        <v>25.190287609132302</v>
      </c>
      <c r="AI946">
        <v>92.492227406415907</v>
      </c>
      <c r="AJ946">
        <v>81.543289580197694</v>
      </c>
      <c r="AK946">
        <v>25.4912972151497</v>
      </c>
      <c r="AL946">
        <v>94.627910485676907</v>
      </c>
      <c r="AM946">
        <v>93.340662675092204</v>
      </c>
      <c r="AN946">
        <v>1.0000000550216801</v>
      </c>
    </row>
    <row r="947" spans="1:40" x14ac:dyDescent="0.25">
      <c r="A947" t="str">
        <f>"20190305135212454"</f>
        <v>20190305135212454</v>
      </c>
      <c r="B947" t="str">
        <f>"1551765132450574"</f>
        <v>1551765132450574</v>
      </c>
      <c r="C947" t="s">
        <v>40</v>
      </c>
      <c r="D947">
        <v>4.7018300000000002</v>
      </c>
      <c r="E947">
        <v>0.57891049999999999</v>
      </c>
      <c r="F947" t="s">
        <v>42</v>
      </c>
      <c r="G947">
        <v>-234.62710000000001</v>
      </c>
      <c r="H947" s="1">
        <v>-3.1548510000000002E-6</v>
      </c>
      <c r="I947">
        <v>364.7253</v>
      </c>
      <c r="J947">
        <v>-260.15140000000002</v>
      </c>
      <c r="K947">
        <v>1.10846</v>
      </c>
      <c r="L947">
        <v>368.40410000000003</v>
      </c>
      <c r="M947">
        <v>0.99994550000000004</v>
      </c>
      <c r="N947">
        <v>-9.2425660000000007E-3</v>
      </c>
      <c r="O947">
        <v>4.8619850000000001E-3</v>
      </c>
      <c r="P947">
        <v>0.99397170000000001</v>
      </c>
      <c r="Q947">
        <v>-9.0041560000000007E-2</v>
      </c>
      <c r="R947">
        <v>6.2554650000000003E-2</v>
      </c>
      <c r="S947">
        <v>3.0339049999999999</v>
      </c>
      <c r="T947">
        <v>-0.13098850000000001</v>
      </c>
      <c r="U947">
        <v>-0.4346313</v>
      </c>
      <c r="V947">
        <v>-5.7726890000000003E-2</v>
      </c>
      <c r="W947">
        <v>-8.0844170000000007E-2</v>
      </c>
      <c r="X947">
        <v>0.99505370000000004</v>
      </c>
      <c r="Y947">
        <v>0.14645610000000001</v>
      </c>
      <c r="Z947">
        <v>-3.9888370000000003E-3</v>
      </c>
      <c r="AA947">
        <v>0.98920909999999995</v>
      </c>
      <c r="AB947">
        <v>30</v>
      </c>
      <c r="AC947">
        <v>25.5243</v>
      </c>
      <c r="AD947">
        <v>-1.108463154851</v>
      </c>
      <c r="AE947">
        <v>-3.6788000000000198</v>
      </c>
      <c r="AF947">
        <v>3.79584740616114</v>
      </c>
      <c r="AG947">
        <v>-1.108463154851</v>
      </c>
      <c r="AH947">
        <v>25.4590733310934</v>
      </c>
      <c r="AI947">
        <v>92.465805568972698</v>
      </c>
      <c r="AJ947">
        <v>81.519893626892596</v>
      </c>
      <c r="AK947">
        <v>25.7643467406902</v>
      </c>
      <c r="AL947">
        <v>94.637090199558997</v>
      </c>
      <c r="AM947">
        <v>93.320226885985093</v>
      </c>
      <c r="AN947">
        <v>1.00000001976787</v>
      </c>
    </row>
    <row r="948" spans="1:40" x14ac:dyDescent="0.25">
      <c r="A948" t="str">
        <f>"20190305135212466"</f>
        <v>20190305135212466</v>
      </c>
      <c r="B948" t="str">
        <f>"1551765132460334"</f>
        <v>1551765132460334</v>
      </c>
      <c r="C948" t="s">
        <v>40</v>
      </c>
      <c r="D948">
        <v>4.7289260000000004</v>
      </c>
      <c r="E948">
        <v>0.57896700000000001</v>
      </c>
      <c r="F948" t="s">
        <v>42</v>
      </c>
      <c r="G948">
        <v>-234.61410000000001</v>
      </c>
      <c r="H948" s="1">
        <v>-3.158449E-6</v>
      </c>
      <c r="I948">
        <v>364.73660000000001</v>
      </c>
      <c r="J948">
        <v>-259.98939999999999</v>
      </c>
      <c r="K948">
        <v>1.1084609999999999</v>
      </c>
      <c r="L948">
        <v>368.4049</v>
      </c>
      <c r="M948">
        <v>0.99994550000000004</v>
      </c>
      <c r="N948">
        <v>-9.254356E-3</v>
      </c>
      <c r="O948">
        <v>4.8547149999999999E-3</v>
      </c>
      <c r="P948">
        <v>0.99401070000000002</v>
      </c>
      <c r="Q948">
        <v>-8.9878089999999994E-2</v>
      </c>
      <c r="R948">
        <v>6.2169729999999999E-2</v>
      </c>
      <c r="S948">
        <v>3.0336910000000001</v>
      </c>
      <c r="T948">
        <v>-0.13167889999999999</v>
      </c>
      <c r="U948">
        <v>-0.43566890000000003</v>
      </c>
      <c r="V948">
        <v>-5.7348589999999998E-2</v>
      </c>
      <c r="W948">
        <v>-8.0668599999999993E-2</v>
      </c>
      <c r="X948">
        <v>0.99508980000000002</v>
      </c>
      <c r="Y948">
        <v>0.14678820000000001</v>
      </c>
      <c r="Z948">
        <v>-4.0159449999999999E-3</v>
      </c>
      <c r="AA948">
        <v>0.98915980000000003</v>
      </c>
      <c r="AB948">
        <v>31</v>
      </c>
      <c r="AC948">
        <v>25.3752999999999</v>
      </c>
      <c r="AD948">
        <v>-1.108464158449</v>
      </c>
      <c r="AE948">
        <v>-3.6682999999999799</v>
      </c>
      <c r="AF948">
        <v>3.7843784008674102</v>
      </c>
      <c r="AG948">
        <v>-1.108464158449</v>
      </c>
      <c r="AH948">
        <v>25.309884277328099</v>
      </c>
      <c r="AI948">
        <v>92.480170380946106</v>
      </c>
      <c r="AJ948">
        <v>81.496034535264997</v>
      </c>
      <c r="AK948">
        <v>25.6152387223555</v>
      </c>
      <c r="AL948">
        <v>94.626997922585204</v>
      </c>
      <c r="AM948">
        <v>93.298397338838498</v>
      </c>
      <c r="AN948">
        <v>0.99999999693249397</v>
      </c>
    </row>
    <row r="949" spans="1:40" x14ac:dyDescent="0.25">
      <c r="A949" t="str">
        <f>"20190305135212477"</f>
        <v>20190305135212477</v>
      </c>
      <c r="B949" t="str">
        <f>"1551765132470093"</f>
        <v>1551765132470093</v>
      </c>
      <c r="C949" t="s">
        <v>40</v>
      </c>
      <c r="D949">
        <v>4.7362669999999998</v>
      </c>
      <c r="E949">
        <v>0.57896329999999996</v>
      </c>
      <c r="F949" t="s">
        <v>42</v>
      </c>
      <c r="G949">
        <v>-234.4177</v>
      </c>
      <c r="H949" s="1">
        <v>-3.2458330000000002E-6</v>
      </c>
      <c r="I949">
        <v>364.71890000000002</v>
      </c>
      <c r="J949">
        <v>-259.81560000000002</v>
      </c>
      <c r="K949">
        <v>1.1084689999999999</v>
      </c>
      <c r="L949">
        <v>368.40570000000002</v>
      </c>
      <c r="M949">
        <v>0.99994530000000004</v>
      </c>
      <c r="N949">
        <v>-9.2791809999999992E-3</v>
      </c>
      <c r="O949">
        <v>4.846492E-3</v>
      </c>
      <c r="P949">
        <v>0.9940329</v>
      </c>
      <c r="Q949">
        <v>-8.9910240000000002E-2</v>
      </c>
      <c r="R949">
        <v>6.1765100000000003E-2</v>
      </c>
      <c r="S949">
        <v>3.0335390000000002</v>
      </c>
      <c r="T949">
        <v>-0.13149520000000001</v>
      </c>
      <c r="U949">
        <v>-0.43725589999999998</v>
      </c>
      <c r="V949">
        <v>-5.695236E-2</v>
      </c>
      <c r="W949">
        <v>-8.0675910000000003E-2</v>
      </c>
      <c r="X949">
        <v>0.99511190000000005</v>
      </c>
      <c r="Y949">
        <v>0.1472937</v>
      </c>
      <c r="Z949">
        <v>-4.0259980000000003E-3</v>
      </c>
      <c r="AA949">
        <v>0.98908459999999998</v>
      </c>
      <c r="AB949">
        <v>31</v>
      </c>
      <c r="AC949">
        <v>25.3979</v>
      </c>
      <c r="AD949">
        <v>-1.1084722458329901</v>
      </c>
      <c r="AE949">
        <v>-3.6867999999999999</v>
      </c>
      <c r="AF949">
        <v>3.8027586178316399</v>
      </c>
      <c r="AG949">
        <v>-1.1084722458329901</v>
      </c>
      <c r="AH949">
        <v>25.332474880257099</v>
      </c>
      <c r="AI949">
        <v>92.477764712108097</v>
      </c>
      <c r="AJ949">
        <v>81.462847649902002</v>
      </c>
      <c r="AK949">
        <v>25.640280173666898</v>
      </c>
      <c r="AL949">
        <v>94.627418417812294</v>
      </c>
      <c r="AM949">
        <v>93.275585425693606</v>
      </c>
      <c r="AN949">
        <v>0.99999993364275097</v>
      </c>
    </row>
    <row r="950" spans="1:40" x14ac:dyDescent="0.25">
      <c r="A950" t="str">
        <f>"20190305135212491"</f>
        <v>20190305135212491</v>
      </c>
      <c r="B950" t="str">
        <f>"1551765132480830"</f>
        <v>1551765132480830</v>
      </c>
      <c r="C950" t="s">
        <v>40</v>
      </c>
      <c r="D950">
        <v>4.7215230000000004</v>
      </c>
      <c r="E950">
        <v>0.57901879999999994</v>
      </c>
      <c r="F950" t="s">
        <v>42</v>
      </c>
      <c r="G950">
        <v>-234.2835</v>
      </c>
      <c r="H950" s="1">
        <v>-3.3040410000000001E-6</v>
      </c>
      <c r="I950">
        <v>364.71539999999999</v>
      </c>
      <c r="J950">
        <v>-259.63760000000002</v>
      </c>
      <c r="K950">
        <v>1.1084750000000001</v>
      </c>
      <c r="L950">
        <v>368.40660000000003</v>
      </c>
      <c r="M950">
        <v>0.99994510000000003</v>
      </c>
      <c r="N950">
        <v>-9.3092149999999992E-3</v>
      </c>
      <c r="O950">
        <v>4.8383039999999999E-3</v>
      </c>
      <c r="P950">
        <v>0.99403010000000003</v>
      </c>
      <c r="Q950">
        <v>-9.0064969999999994E-2</v>
      </c>
      <c r="R950">
        <v>6.1584239999999998E-2</v>
      </c>
      <c r="S950">
        <v>3.033325</v>
      </c>
      <c r="T950">
        <v>-0.131691</v>
      </c>
      <c r="U950">
        <v>-0.43841550000000001</v>
      </c>
      <c r="V950">
        <v>-5.6779530000000002E-2</v>
      </c>
      <c r="W950">
        <v>-8.0800819999999995E-2</v>
      </c>
      <c r="X950">
        <v>0.99511170000000004</v>
      </c>
      <c r="Y950">
        <v>0.14766489999999999</v>
      </c>
      <c r="Z950">
        <v>-4.0427459999999998E-3</v>
      </c>
      <c r="AA950">
        <v>0.98902920000000005</v>
      </c>
      <c r="AB950">
        <v>31</v>
      </c>
      <c r="AC950">
        <v>25.354099999999999</v>
      </c>
      <c r="AD950">
        <v>-1.108478304041</v>
      </c>
      <c r="AE950">
        <v>-3.69120000000003</v>
      </c>
      <c r="AF950">
        <v>3.8067077069097901</v>
      </c>
      <c r="AG950">
        <v>-1.108478304041</v>
      </c>
      <c r="AH950">
        <v>25.2886091910777</v>
      </c>
      <c r="AI950">
        <v>92.481919037683497</v>
      </c>
      <c r="AJ950">
        <v>81.439508545104303</v>
      </c>
      <c r="AK950">
        <v>25.597529227162401</v>
      </c>
      <c r="AL950">
        <v>94.634598406521206</v>
      </c>
      <c r="AM950">
        <v>93.265667399507194</v>
      </c>
      <c r="AN950">
        <v>0.999999991508291</v>
      </c>
    </row>
    <row r="951" spans="1:40" x14ac:dyDescent="0.25">
      <c r="A951" t="str">
        <f>"20190305135212505"</f>
        <v>20190305135212505</v>
      </c>
      <c r="B951" t="str">
        <f>"1551765132500350"</f>
        <v>1551765132500350</v>
      </c>
      <c r="C951" t="s">
        <v>40</v>
      </c>
      <c r="D951">
        <v>4.7695319999999999</v>
      </c>
      <c r="E951">
        <v>0.57915620000000001</v>
      </c>
      <c r="F951" t="s">
        <v>42</v>
      </c>
      <c r="G951">
        <v>-234.14930000000001</v>
      </c>
      <c r="H951" s="1">
        <v>-3.3618079999999999E-6</v>
      </c>
      <c r="I951">
        <v>364.71429999999998</v>
      </c>
      <c r="J951">
        <v>-259.44979999999998</v>
      </c>
      <c r="K951">
        <v>1.108481</v>
      </c>
      <c r="L951">
        <v>368.40750000000003</v>
      </c>
      <c r="M951">
        <v>0.99994470000000002</v>
      </c>
      <c r="N951">
        <v>-9.3464329999999995E-3</v>
      </c>
      <c r="O951">
        <v>4.8295459999999997E-3</v>
      </c>
      <c r="P951">
        <v>0.99405200000000005</v>
      </c>
      <c r="Q951">
        <v>-8.9958259999999998E-2</v>
      </c>
      <c r="R951">
        <v>6.138499E-2</v>
      </c>
      <c r="S951">
        <v>3.033264</v>
      </c>
      <c r="T951">
        <v>-0.13191520000000001</v>
      </c>
      <c r="U951">
        <v>-0.43939210000000001</v>
      </c>
      <c r="V951">
        <v>-5.6588489999999998E-2</v>
      </c>
      <c r="W951">
        <v>-8.065688E-2</v>
      </c>
      <c r="X951">
        <v>0.99513430000000003</v>
      </c>
      <c r="Y951">
        <v>0.14796999999999999</v>
      </c>
      <c r="Z951">
        <v>-4.0588489999999998E-3</v>
      </c>
      <c r="AA951">
        <v>0.98898350000000002</v>
      </c>
      <c r="AB951">
        <v>31</v>
      </c>
      <c r="AC951">
        <v>25.3004999999999</v>
      </c>
      <c r="AD951">
        <v>-1.108484361808</v>
      </c>
      <c r="AE951">
        <v>-3.69320000000004</v>
      </c>
      <c r="AF951">
        <v>3.80819465474262</v>
      </c>
      <c r="AG951">
        <v>-1.108484361808</v>
      </c>
      <c r="AH951">
        <v>25.2349383939078</v>
      </c>
      <c r="AI951">
        <v>92.487065876401999</v>
      </c>
      <c r="AJ951">
        <v>81.418271340502997</v>
      </c>
      <c r="AK951">
        <v>25.544729394791101</v>
      </c>
      <c r="AL951">
        <v>94.626324056945705</v>
      </c>
      <c r="AM951">
        <v>93.254629662714294</v>
      </c>
      <c r="AN951">
        <v>1.00000003226415</v>
      </c>
    </row>
    <row r="952" spans="1:40" x14ac:dyDescent="0.25">
      <c r="A952" t="str">
        <f>"20190305135212520"</f>
        <v>20190305135212520</v>
      </c>
      <c r="B952" t="str">
        <f>"1551765132510109"</f>
        <v>1551765132510109</v>
      </c>
      <c r="C952" t="s">
        <v>40</v>
      </c>
      <c r="D952">
        <v>4.7690029999999997</v>
      </c>
      <c r="E952">
        <v>0.57923259999999999</v>
      </c>
      <c r="F952" t="s">
        <v>42</v>
      </c>
      <c r="G952">
        <v>-233.9239</v>
      </c>
      <c r="H952" s="1">
        <v>-3.4617170000000001E-6</v>
      </c>
      <c r="I952">
        <v>364.69619999999998</v>
      </c>
      <c r="J952">
        <v>-259.2287</v>
      </c>
      <c r="K952">
        <v>1.108492</v>
      </c>
      <c r="L952">
        <v>368.4085</v>
      </c>
      <c r="M952">
        <v>0.9999441</v>
      </c>
      <c r="N952">
        <v>-9.4154370000000005E-3</v>
      </c>
      <c r="O952">
        <v>4.8191450000000004E-3</v>
      </c>
      <c r="P952">
        <v>0.99406729999999999</v>
      </c>
      <c r="Q952">
        <v>-9.0425720000000001E-2</v>
      </c>
      <c r="R952">
        <v>6.0443299999999998E-2</v>
      </c>
      <c r="S952">
        <v>3.0332949999999999</v>
      </c>
      <c r="T952">
        <v>-0.13172300000000001</v>
      </c>
      <c r="U952">
        <v>-0.4410095</v>
      </c>
      <c r="V952">
        <v>-5.5657560000000002E-2</v>
      </c>
      <c r="W952">
        <v>-8.1055630000000004E-2</v>
      </c>
      <c r="X952">
        <v>0.99515439999999999</v>
      </c>
      <c r="Y952">
        <v>0.14847439999999901</v>
      </c>
      <c r="Z952">
        <v>-4.0714840000000002E-3</v>
      </c>
      <c r="AA952">
        <v>0.98890789999999995</v>
      </c>
      <c r="AB952">
        <v>31</v>
      </c>
      <c r="AC952">
        <v>25.3048</v>
      </c>
      <c r="AD952">
        <v>-1.108495461717</v>
      </c>
      <c r="AE952">
        <v>-3.7123000000000199</v>
      </c>
      <c r="AF952">
        <v>3.8270206793573802</v>
      </c>
      <c r="AG952">
        <v>-1.108495461717</v>
      </c>
      <c r="AH952">
        <v>25.239203040276202</v>
      </c>
      <c r="AI952">
        <v>92.486406458043106</v>
      </c>
      <c r="AJ952">
        <v>81.377918550025498</v>
      </c>
      <c r="AK952">
        <v>25.551755704396601</v>
      </c>
      <c r="AL952">
        <v>94.649245812362096</v>
      </c>
      <c r="AM952">
        <v>93.201135926903802</v>
      </c>
      <c r="AN952">
        <v>1.0000000294896001</v>
      </c>
    </row>
    <row r="953" spans="1:40" x14ac:dyDescent="0.25">
      <c r="A953" t="str">
        <f>"20190305135212535"</f>
        <v>20190305135212535</v>
      </c>
      <c r="B953" t="str">
        <f>"1551765132530606"</f>
        <v>1551765132530606</v>
      </c>
      <c r="C953" t="s">
        <v>40</v>
      </c>
      <c r="D953">
        <v>4.7100039999999996</v>
      </c>
      <c r="E953">
        <v>0.57940119999999995</v>
      </c>
      <c r="F953" t="s">
        <v>42</v>
      </c>
      <c r="G953">
        <v>-233.8117</v>
      </c>
      <c r="H953" s="1">
        <v>-3.5116700000000002E-6</v>
      </c>
      <c r="I953">
        <v>364.68599999999998</v>
      </c>
      <c r="J953">
        <v>-259.03390000000002</v>
      </c>
      <c r="K953">
        <v>1.1085100000000001</v>
      </c>
      <c r="L953">
        <v>368.40949999999998</v>
      </c>
      <c r="M953">
        <v>0.99994329999999998</v>
      </c>
      <c r="N953">
        <v>-9.5047280000000005E-3</v>
      </c>
      <c r="O953">
        <v>4.8103119999999997E-3</v>
      </c>
      <c r="P953">
        <v>0.99410310000000002</v>
      </c>
      <c r="Q953">
        <v>-9.0222780000000002E-2</v>
      </c>
      <c r="R953">
        <v>6.0159499999999998E-2</v>
      </c>
      <c r="S953">
        <v>3.0328979999999999</v>
      </c>
      <c r="T953">
        <v>-0.13227120000000001</v>
      </c>
      <c r="U953">
        <v>-0.4441833</v>
      </c>
      <c r="V953">
        <v>-5.5382220000000003E-2</v>
      </c>
      <c r="W953">
        <v>-8.0763500000000002E-2</v>
      </c>
      <c r="X953">
        <v>0.99519349999999995</v>
      </c>
      <c r="Y953">
        <v>0.14949460000000001</v>
      </c>
      <c r="Z953">
        <v>-4.1188559999999997E-3</v>
      </c>
      <c r="AA953">
        <v>0.98875400000000002</v>
      </c>
      <c r="AB953">
        <v>31</v>
      </c>
      <c r="AC953">
        <v>25.222200000000001</v>
      </c>
      <c r="AD953">
        <v>-1.10851351167</v>
      </c>
      <c r="AE953">
        <v>-3.7235</v>
      </c>
      <c r="AF953">
        <v>3.83753458501615</v>
      </c>
      <c r="AG953">
        <v>-1.10851351167</v>
      </c>
      <c r="AH953">
        <v>25.156440531822799</v>
      </c>
      <c r="AI953">
        <v>92.494277255652406</v>
      </c>
      <c r="AJ953">
        <v>81.326577881579297</v>
      </c>
      <c r="AK953">
        <v>25.471591511483599</v>
      </c>
      <c r="AL953">
        <v>94.632452994518005</v>
      </c>
      <c r="AM953">
        <v>93.185207590219207</v>
      </c>
      <c r="AN953">
        <v>1.0000000178333099</v>
      </c>
    </row>
    <row r="954" spans="1:40" x14ac:dyDescent="0.25">
      <c r="A954" t="str">
        <f>"20190305135212548"</f>
        <v>20190305135212548</v>
      </c>
      <c r="B954" t="str">
        <f>"1551765132540365"</f>
        <v>1551765132540365</v>
      </c>
      <c r="C954" t="s">
        <v>40</v>
      </c>
      <c r="D954">
        <v>4.7466929999999996</v>
      </c>
      <c r="E954">
        <v>0.57946500000000001</v>
      </c>
      <c r="F954" t="s">
        <v>42</v>
      </c>
      <c r="G954">
        <v>-233.43809999999999</v>
      </c>
      <c r="H954" s="1">
        <v>-3.6800649999999998E-6</v>
      </c>
      <c r="I954">
        <v>364.64010000000002</v>
      </c>
      <c r="J954">
        <v>-258.85300000000001</v>
      </c>
      <c r="K954">
        <v>1.1085309999999999</v>
      </c>
      <c r="L954">
        <v>368.41030000000001</v>
      </c>
      <c r="M954">
        <v>0.99994249999999996</v>
      </c>
      <c r="N954">
        <v>-9.6075429999999996E-3</v>
      </c>
      <c r="O954">
        <v>4.8005089999999997E-3</v>
      </c>
      <c r="P954">
        <v>0.9940966</v>
      </c>
      <c r="Q954">
        <v>-9.0510279999999999E-2</v>
      </c>
      <c r="R954">
        <v>5.9835760000000002E-2</v>
      </c>
      <c r="S954">
        <v>3.0328979999999999</v>
      </c>
      <c r="T954">
        <v>-0.13134940000000001</v>
      </c>
      <c r="U954">
        <v>-0.44662479999999899</v>
      </c>
      <c r="V954">
        <v>-5.506867E-2</v>
      </c>
      <c r="W954">
        <v>-8.094867E-2</v>
      </c>
      <c r="X954">
        <v>0.99519590000000002</v>
      </c>
      <c r="Y954">
        <v>0.15026500000000001</v>
      </c>
      <c r="Z954">
        <v>-4.1219000000000004E-3</v>
      </c>
      <c r="AA954">
        <v>0.98863710000000005</v>
      </c>
      <c r="AB954">
        <v>31</v>
      </c>
      <c r="AC954">
        <v>25.414899999999999</v>
      </c>
      <c r="AD954">
        <v>-1.108534680065</v>
      </c>
      <c r="AE954">
        <v>-3.77019999999998</v>
      </c>
      <c r="AF954">
        <v>3.8849347297747401</v>
      </c>
      <c r="AG954">
        <v>-1.108534680065</v>
      </c>
      <c r="AH954">
        <v>25.3493191134516</v>
      </c>
      <c r="AI954">
        <v>92.475107696431607</v>
      </c>
      <c r="AJ954">
        <v>81.286873326370994</v>
      </c>
      <c r="AK954">
        <v>25.669233461619299</v>
      </c>
      <c r="AL954">
        <v>94.643097097811804</v>
      </c>
      <c r="AM954">
        <v>93.167203527884396</v>
      </c>
      <c r="AN954">
        <v>1.0000000624835701</v>
      </c>
    </row>
    <row r="955" spans="1:40" x14ac:dyDescent="0.25">
      <c r="A955" t="str">
        <f>"20190305135212559"</f>
        <v>20190305135212559</v>
      </c>
      <c r="B955" t="str">
        <f>"1551765132550126"</f>
        <v>1551765132550126</v>
      </c>
      <c r="C955" t="s">
        <v>40</v>
      </c>
      <c r="D955">
        <v>4.7504679999999997</v>
      </c>
      <c r="E955">
        <v>0.57944770000000001</v>
      </c>
      <c r="F955" t="s">
        <v>42</v>
      </c>
      <c r="G955">
        <v>-233.46530000000001</v>
      </c>
      <c r="H955" s="1">
        <v>-3.6648379999999998E-6</v>
      </c>
      <c r="I955">
        <v>364.66019999999997</v>
      </c>
      <c r="J955">
        <v>-258.69799999999998</v>
      </c>
      <c r="K955">
        <v>1.1085499999999999</v>
      </c>
      <c r="L955">
        <v>368.411</v>
      </c>
      <c r="M955">
        <v>0.99994130000000003</v>
      </c>
      <c r="N955">
        <v>-9.7193320000000007E-3</v>
      </c>
      <c r="O955">
        <v>4.7892100000000003E-3</v>
      </c>
      <c r="P955">
        <v>0.99412520000000004</v>
      </c>
      <c r="Q955">
        <v>-9.0489550000000002E-2</v>
      </c>
      <c r="R955">
        <v>5.9387910000000002E-2</v>
      </c>
      <c r="S955">
        <v>3.0327299999999999</v>
      </c>
      <c r="T955">
        <v>-0.1324215</v>
      </c>
      <c r="U955">
        <v>-0.44796750000000002</v>
      </c>
      <c r="V955">
        <v>-5.4632189999999997E-2</v>
      </c>
      <c r="W955">
        <v>-8.0816219999999994E-2</v>
      </c>
      <c r="X955">
        <v>0.99523070000000002</v>
      </c>
      <c r="Y955">
        <v>0.15068670000000001</v>
      </c>
      <c r="Z955">
        <v>-4.1688230000000003E-3</v>
      </c>
      <c r="AA955">
        <v>0.98857280000000003</v>
      </c>
      <c r="AB955">
        <v>31</v>
      </c>
      <c r="AC955">
        <v>25.232699999999902</v>
      </c>
      <c r="AD955">
        <v>-1.1085536648380001</v>
      </c>
      <c r="AE955">
        <v>-3.7508000000000199</v>
      </c>
      <c r="AF955">
        <v>3.86431002167931</v>
      </c>
      <c r="AG955">
        <v>-1.1085536648380001</v>
      </c>
      <c r="AH955">
        <v>25.166921145823601</v>
      </c>
      <c r="AI955">
        <v>92.492957528772195</v>
      </c>
      <c r="AJ955">
        <v>81.270571803438202</v>
      </c>
      <c r="AK955">
        <v>25.4859903306028</v>
      </c>
      <c r="AL955">
        <v>94.635483422464702</v>
      </c>
      <c r="AM955">
        <v>93.142040796028198</v>
      </c>
      <c r="AN955">
        <v>1.0000000419108801</v>
      </c>
    </row>
    <row r="956" spans="1:40" x14ac:dyDescent="0.25">
      <c r="A956" t="str">
        <f>"20190305135212572"</f>
        <v>20190305135212572</v>
      </c>
      <c r="B956" t="str">
        <f>"1551765132560863"</f>
        <v>1551765132560863</v>
      </c>
      <c r="C956" t="s">
        <v>40</v>
      </c>
      <c r="D956">
        <v>4.7195229999999997</v>
      </c>
      <c r="E956">
        <v>0.57949050000000002</v>
      </c>
      <c r="F956" t="s">
        <v>42</v>
      </c>
      <c r="G956">
        <v>-233.34379999999999</v>
      </c>
      <c r="H956" s="1">
        <v>-3.71787E-6</v>
      </c>
      <c r="I956">
        <v>364.65519999999998</v>
      </c>
      <c r="J956">
        <v>-258.53440000000001</v>
      </c>
      <c r="K956">
        <v>1.108576</v>
      </c>
      <c r="L956">
        <v>368.41180000000003</v>
      </c>
      <c r="M956">
        <v>0.99994000000000005</v>
      </c>
      <c r="N956">
        <v>-9.8533430000000005E-3</v>
      </c>
      <c r="O956">
        <v>4.7791120000000003E-3</v>
      </c>
      <c r="P956">
        <v>0.99409749999999997</v>
      </c>
      <c r="Q956">
        <v>-9.0716030000000003E-2</v>
      </c>
      <c r="R956">
        <v>5.9505130000000003E-2</v>
      </c>
      <c r="S956">
        <v>3.0325009999999999</v>
      </c>
      <c r="T956">
        <v>-0.1325886</v>
      </c>
      <c r="U956">
        <v>-0.44921879999999997</v>
      </c>
      <c r="V956">
        <v>-5.4759910000000002E-2</v>
      </c>
      <c r="W956">
        <v>-8.090936E-2</v>
      </c>
      <c r="X956">
        <v>0.99521610000000005</v>
      </c>
      <c r="Y956">
        <v>0.15108540000000001</v>
      </c>
      <c r="Z956">
        <v>-4.1932109999999996E-3</v>
      </c>
      <c r="AA956">
        <v>0.98851180000000005</v>
      </c>
      <c r="AB956">
        <v>31</v>
      </c>
      <c r="AC956">
        <v>25.1906</v>
      </c>
      <c r="AD956">
        <v>-1.1085797178700001</v>
      </c>
      <c r="AE956">
        <v>-3.7566000000000401</v>
      </c>
      <c r="AF956">
        <v>3.8696204808957702</v>
      </c>
      <c r="AG956">
        <v>-1.1085797178700001</v>
      </c>
      <c r="AH956">
        <v>25.124758278622799</v>
      </c>
      <c r="AI956">
        <v>92.497018651833997</v>
      </c>
      <c r="AJ956">
        <v>81.244318798110797</v>
      </c>
      <c r="AK956">
        <v>25.445164377859001</v>
      </c>
      <c r="AL956">
        <v>94.640837544499306</v>
      </c>
      <c r="AM956">
        <v>93.149417648160707</v>
      </c>
      <c r="AN956">
        <v>1.0000000289890101</v>
      </c>
    </row>
    <row r="957" spans="1:40" x14ac:dyDescent="0.25">
      <c r="A957" t="str">
        <f>"20190305135212587"</f>
        <v>20190305135212587</v>
      </c>
      <c r="B957" t="str">
        <f>"1551765132580382"</f>
        <v>1551765132580382</v>
      </c>
      <c r="C957" t="s">
        <v>40</v>
      </c>
      <c r="D957">
        <v>6.5607280000000001</v>
      </c>
      <c r="E957">
        <v>0.57948789999999994</v>
      </c>
      <c r="F957" t="s">
        <v>42</v>
      </c>
      <c r="G957">
        <v>-233.3261</v>
      </c>
      <c r="H957" s="1">
        <v>-3.7215580000000002E-6</v>
      </c>
      <c r="I957">
        <v>364.67700000000002</v>
      </c>
      <c r="J957">
        <v>-258.33429999999998</v>
      </c>
      <c r="K957">
        <v>1.1086069999999999</v>
      </c>
      <c r="L957">
        <v>368.4128</v>
      </c>
      <c r="M957">
        <v>0.99993840000000001</v>
      </c>
      <c r="N957">
        <v>-1.003713E-2</v>
      </c>
      <c r="O957">
        <v>4.768759E-3</v>
      </c>
      <c r="P957">
        <v>0.99406680000000003</v>
      </c>
      <c r="Q957">
        <v>-9.1083960000000005E-2</v>
      </c>
      <c r="R957">
        <v>5.9457160000000002E-2</v>
      </c>
      <c r="S957">
        <v>3.0325319999999998</v>
      </c>
      <c r="T957">
        <v>-0.13336039999999999</v>
      </c>
      <c r="U957">
        <v>-0.44927980000000001</v>
      </c>
      <c r="V957">
        <v>-5.472254E-2</v>
      </c>
      <c r="W957">
        <v>-8.1094589999999994E-2</v>
      </c>
      <c r="X957">
        <v>0.99520310000000001</v>
      </c>
      <c r="Y957">
        <v>0.15109069999999999</v>
      </c>
      <c r="Z957">
        <v>-4.2263689999999998E-3</v>
      </c>
      <c r="AA957">
        <v>0.98851080000000002</v>
      </c>
      <c r="AB957">
        <v>31</v>
      </c>
      <c r="AC957">
        <v>25.008199999999899</v>
      </c>
      <c r="AD957">
        <v>-1.1086107215579999</v>
      </c>
      <c r="AE957">
        <v>-3.73580000000003</v>
      </c>
      <c r="AF957">
        <v>3.8476255131798802</v>
      </c>
      <c r="AG957">
        <v>-1.1086107215579999</v>
      </c>
      <c r="AH957">
        <v>24.942154690793402</v>
      </c>
      <c r="AI957">
        <v>92.515253455221796</v>
      </c>
      <c r="AJ957">
        <v>81.230566447900898</v>
      </c>
      <c r="AK957">
        <v>25.261518569577198</v>
      </c>
      <c r="AL957">
        <v>94.651485335036696</v>
      </c>
      <c r="AM957">
        <v>93.147313731222496</v>
      </c>
      <c r="AN957">
        <v>1.00000004958046</v>
      </c>
    </row>
    <row r="958" spans="1:40" x14ac:dyDescent="0.25">
      <c r="A958" t="str">
        <f>"20190305135212598"</f>
        <v>20190305135212598</v>
      </c>
      <c r="B958" t="str">
        <f>"1551765132590142"</f>
        <v>1551765132590142</v>
      </c>
      <c r="C958" t="s">
        <v>40</v>
      </c>
      <c r="D958">
        <v>4.6568480000000001</v>
      </c>
      <c r="E958">
        <v>0.57974930000000002</v>
      </c>
      <c r="F958" t="s">
        <v>42</v>
      </c>
      <c r="G958">
        <v>-233.3235</v>
      </c>
      <c r="H958" s="1">
        <v>-3.7174370000000001E-6</v>
      </c>
      <c r="I958">
        <v>364.70670000000001</v>
      </c>
      <c r="J958">
        <v>-258.15519999999998</v>
      </c>
      <c r="K958">
        <v>1.1086469999999999</v>
      </c>
      <c r="L958">
        <v>368.41359999999997</v>
      </c>
      <c r="M958">
        <v>0.99993620000000005</v>
      </c>
      <c r="N958">
        <v>-1.0239760000000001E-2</v>
      </c>
      <c r="O958">
        <v>4.7604550000000002E-3</v>
      </c>
      <c r="P958">
        <v>0.99399320000000002</v>
      </c>
      <c r="Q958">
        <v>-9.1669089999999995E-2</v>
      </c>
      <c r="R958">
        <v>5.9786100000000002E-2</v>
      </c>
      <c r="S958">
        <v>3.0324550000000001</v>
      </c>
      <c r="T958">
        <v>-0.1344138</v>
      </c>
      <c r="U958">
        <v>-0.44934079999999899</v>
      </c>
      <c r="V958">
        <v>-5.5060110000000002E-2</v>
      </c>
      <c r="W958">
        <v>-8.1478809999999999E-2</v>
      </c>
      <c r="X958">
        <v>0.99515310000000001</v>
      </c>
      <c r="Y958">
        <v>0.15110229999999999</v>
      </c>
      <c r="Z958">
        <v>-4.2686449999999997E-3</v>
      </c>
      <c r="AA958">
        <v>0.98850890000000002</v>
      </c>
      <c r="AB958">
        <v>31</v>
      </c>
      <c r="AC958">
        <v>24.831699999999898</v>
      </c>
      <c r="AD958">
        <v>-1.1086507174369999</v>
      </c>
      <c r="AE958">
        <v>-3.7068999999999601</v>
      </c>
      <c r="AF958">
        <v>3.8176305192823601</v>
      </c>
      <c r="AG958">
        <v>-1.1086507174369999</v>
      </c>
      <c r="AH958">
        <v>24.7654817845705</v>
      </c>
      <c r="AI958">
        <v>92.533307021721896</v>
      </c>
      <c r="AJ958">
        <v>81.236760745124997</v>
      </c>
      <c r="AK958">
        <v>25.082513773880901</v>
      </c>
      <c r="AL958">
        <v>94.673572597749597</v>
      </c>
      <c r="AM958">
        <v>93.166848130786207</v>
      </c>
      <c r="AN958">
        <v>1.00000005231591</v>
      </c>
    </row>
    <row r="959" spans="1:40" x14ac:dyDescent="0.25">
      <c r="A959" t="str">
        <f>"20190305135212621"</f>
        <v>20190305135212621</v>
      </c>
      <c r="B959" t="str">
        <f>"1551765132610638"</f>
        <v>1551765132610638</v>
      </c>
      <c r="C959" t="s">
        <v>40</v>
      </c>
      <c r="D959">
        <v>4.7312669999999999</v>
      </c>
      <c r="E959">
        <v>0.57756240000000003</v>
      </c>
      <c r="F959" t="s">
        <v>42</v>
      </c>
      <c r="G959">
        <v>-232.81299999999999</v>
      </c>
      <c r="H959" s="1">
        <v>-3.9464619999999996E-6</v>
      </c>
      <c r="I959">
        <v>364.6499</v>
      </c>
      <c r="J959">
        <v>-257.85640000000001</v>
      </c>
      <c r="K959">
        <v>1.1087199999999999</v>
      </c>
      <c r="L959">
        <v>368.41500000000002</v>
      </c>
      <c r="M959">
        <v>0.99993259999999995</v>
      </c>
      <c r="N959">
        <v>-1.060739E-2</v>
      </c>
      <c r="O959">
        <v>4.7451309999999997E-3</v>
      </c>
      <c r="P959">
        <v>0.99389950000000005</v>
      </c>
      <c r="Q959">
        <v>-9.2352210000000004E-2</v>
      </c>
      <c r="R959">
        <v>6.0292150000000003E-2</v>
      </c>
      <c r="S959">
        <v>3.0329899999999999</v>
      </c>
      <c r="T959">
        <v>-0.13268479999999999</v>
      </c>
      <c r="U959">
        <v>-0.45043949999999999</v>
      </c>
      <c r="V959">
        <v>-5.5581100000000001E-2</v>
      </c>
      <c r="W959">
        <v>-8.1797239999999993E-2</v>
      </c>
      <c r="X959">
        <v>0.99509789999999998</v>
      </c>
      <c r="Y959">
        <v>0.1514151</v>
      </c>
      <c r="Z959">
        <v>-4.2566499999999998E-3</v>
      </c>
      <c r="AA959">
        <v>0.98846109999999998</v>
      </c>
      <c r="AB959">
        <v>31</v>
      </c>
      <c r="AC959">
        <v>25.043399999999998</v>
      </c>
      <c r="AD959">
        <v>-1.108723946462</v>
      </c>
      <c r="AE959">
        <v>-3.7651000000000101</v>
      </c>
      <c r="AF959">
        <v>3.87646848147264</v>
      </c>
      <c r="AG959">
        <v>-1.108723946462</v>
      </c>
      <c r="AH959">
        <v>24.9773770937949</v>
      </c>
      <c r="AI959">
        <v>92.511611976885703</v>
      </c>
      <c r="AJ959">
        <v>81.178122836625107</v>
      </c>
      <c r="AK959">
        <v>25.300704400528801</v>
      </c>
      <c r="AL959">
        <v>94.691878929343403</v>
      </c>
      <c r="AM959">
        <v>93.196928598249201</v>
      </c>
      <c r="AN959">
        <v>0.99999993886661598</v>
      </c>
    </row>
    <row r="960" spans="1:40" x14ac:dyDescent="0.25">
      <c r="A960" t="str">
        <f>"20190305135212636"</f>
        <v>20190305135212636</v>
      </c>
      <c r="B960" t="str">
        <f>"1551765132630159"</f>
        <v>1551765132630159</v>
      </c>
      <c r="C960" t="s">
        <v>40</v>
      </c>
      <c r="D960">
        <v>4.6588139999999996</v>
      </c>
      <c r="E960">
        <v>0.57566300000000004</v>
      </c>
      <c r="F960" t="s">
        <v>42</v>
      </c>
      <c r="G960">
        <v>-233.0504</v>
      </c>
      <c r="H960" s="1">
        <v>-3.8030650000000002E-6</v>
      </c>
      <c r="I960">
        <v>364.8843</v>
      </c>
      <c r="J960">
        <v>-257.66449999999998</v>
      </c>
      <c r="K960">
        <v>1.108762</v>
      </c>
      <c r="L960">
        <v>368.41590000000002</v>
      </c>
      <c r="M960">
        <v>0.99992990000000004</v>
      </c>
      <c r="N960">
        <v>-1.0851120000000001E-2</v>
      </c>
      <c r="O960">
        <v>4.734706E-3</v>
      </c>
      <c r="P960">
        <v>0.993865</v>
      </c>
      <c r="Q960">
        <v>-9.2708440000000003E-2</v>
      </c>
      <c r="R960">
        <v>6.0312350000000001E-2</v>
      </c>
      <c r="S960">
        <v>3.0319980000000002</v>
      </c>
      <c r="T960">
        <v>-0.1355172</v>
      </c>
      <c r="U960">
        <v>-0.43154910000000002</v>
      </c>
      <c r="V960">
        <v>-5.5611420000000002E-2</v>
      </c>
      <c r="W960">
        <v>-8.1911429999999993E-2</v>
      </c>
      <c r="X960">
        <v>0.99508680000000005</v>
      </c>
      <c r="Y960">
        <v>0.14541750000000001</v>
      </c>
      <c r="Z960">
        <v>-4.1846929999999997E-3</v>
      </c>
      <c r="AA960">
        <v>0.9893615</v>
      </c>
      <c r="AB960">
        <v>31</v>
      </c>
      <c r="AC960">
        <v>24.614099999999901</v>
      </c>
      <c r="AD960">
        <v>-1.1087658030650001</v>
      </c>
      <c r="AE960">
        <v>-3.5316000000000201</v>
      </c>
      <c r="AF960">
        <v>3.6408689920744099</v>
      </c>
      <c r="AG960">
        <v>-1.1087658030650001</v>
      </c>
      <c r="AH960">
        <v>24.5482948579705</v>
      </c>
      <c r="AI960">
        <v>92.558159105084201</v>
      </c>
      <c r="AJ960">
        <v>81.563702554476706</v>
      </c>
      <c r="AK960">
        <v>24.841579439668401</v>
      </c>
      <c r="AL960">
        <v>94.6984436244785</v>
      </c>
      <c r="AM960">
        <v>93.198704538238601</v>
      </c>
      <c r="AN960">
        <v>0.999999925966648</v>
      </c>
    </row>
    <row r="961" spans="1:40" x14ac:dyDescent="0.25">
      <c r="A961" t="str">
        <f>"20190305135212648"</f>
        <v>20190305135212648</v>
      </c>
      <c r="B961" t="str">
        <f>"1551765132640894"</f>
        <v>1551765132640894</v>
      </c>
      <c r="C961" t="s">
        <v>40</v>
      </c>
      <c r="D961">
        <v>4.6402460000000003</v>
      </c>
      <c r="E961">
        <v>0.57479199999999997</v>
      </c>
      <c r="F961" t="s">
        <v>42</v>
      </c>
      <c r="G961">
        <v>-233.0788</v>
      </c>
      <c r="H961" s="1">
        <v>-3.763121E-6</v>
      </c>
      <c r="I961">
        <v>365.04090000000002</v>
      </c>
      <c r="J961">
        <v>-257.4846</v>
      </c>
      <c r="K961">
        <v>1.1087990000000001</v>
      </c>
      <c r="L961">
        <v>368.41669999999999</v>
      </c>
      <c r="M961">
        <v>0.99992749999999997</v>
      </c>
      <c r="N961">
        <v>-1.1076829999999999E-2</v>
      </c>
      <c r="O961">
        <v>4.7248849999999998E-3</v>
      </c>
      <c r="P961">
        <v>0.99383429999999995</v>
      </c>
      <c r="Q961">
        <v>-9.2931860000000005E-2</v>
      </c>
      <c r="R961">
        <v>6.047462E-2</v>
      </c>
      <c r="S961">
        <v>3.031021</v>
      </c>
      <c r="T961">
        <v>-0.13669249999999999</v>
      </c>
      <c r="U961">
        <v>-0.41607670000000002</v>
      </c>
      <c r="V961">
        <v>-5.578367E-2</v>
      </c>
      <c r="W961">
        <v>-8.191068E-2</v>
      </c>
      <c r="X961">
        <v>0.99507730000000005</v>
      </c>
      <c r="Y961">
        <v>0.14049929999999999</v>
      </c>
      <c r="Z961">
        <v>-4.0939549999999998E-3</v>
      </c>
      <c r="AA961">
        <v>0.99007230000000002</v>
      </c>
      <c r="AB961">
        <v>31</v>
      </c>
      <c r="AC961">
        <v>24.405799999999999</v>
      </c>
      <c r="AD961">
        <v>-1.10880276312099</v>
      </c>
      <c r="AE961">
        <v>-3.3757999999999599</v>
      </c>
      <c r="AF961">
        <v>3.4840277422275299</v>
      </c>
      <c r="AG961">
        <v>-1.10880276312099</v>
      </c>
      <c r="AH961">
        <v>24.340279635525199</v>
      </c>
      <c r="AI961">
        <v>92.581981749459004</v>
      </c>
      <c r="AJ961">
        <v>81.854107886872001</v>
      </c>
      <c r="AK961">
        <v>24.613352181522899</v>
      </c>
      <c r="AL961">
        <v>94.6984001348535</v>
      </c>
      <c r="AM961">
        <v>93.208622058311803</v>
      </c>
      <c r="AN961">
        <v>1.0000000051560101</v>
      </c>
    </row>
    <row r="962" spans="1:40" x14ac:dyDescent="0.25">
      <c r="A962" t="str">
        <f>"20190305135212659"</f>
        <v>20190305135212659</v>
      </c>
      <c r="B962" t="str">
        <f>"1551765132650654"</f>
        <v>1551765132650654</v>
      </c>
      <c r="C962" t="s">
        <v>40</v>
      </c>
      <c r="D962">
        <v>4.621747</v>
      </c>
      <c r="E962">
        <v>0.57401630000000003</v>
      </c>
      <c r="F962" t="s">
        <v>42</v>
      </c>
      <c r="G962">
        <v>-233.071</v>
      </c>
      <c r="H962" s="1">
        <v>-3.751937E-6</v>
      </c>
      <c r="I962">
        <v>365.12270000000001</v>
      </c>
      <c r="J962">
        <v>-257.3261</v>
      </c>
      <c r="K962">
        <v>1.1088260000000001</v>
      </c>
      <c r="L962">
        <v>368.41750000000002</v>
      </c>
      <c r="M962">
        <v>0.99992530000000002</v>
      </c>
      <c r="N962">
        <v>-1.12682999999999E-2</v>
      </c>
      <c r="O962">
        <v>4.7165999999999996E-3</v>
      </c>
      <c r="P962">
        <v>0.99382280000000001</v>
      </c>
      <c r="Q962">
        <v>-9.3073630000000004E-2</v>
      </c>
      <c r="R962">
        <v>6.0444020000000001E-2</v>
      </c>
      <c r="S962">
        <v>3.030624</v>
      </c>
      <c r="T962">
        <v>-0.1376425</v>
      </c>
      <c r="U962">
        <v>-0.40890500000000002</v>
      </c>
      <c r="V962">
        <v>-5.5761100000000001E-2</v>
      </c>
      <c r="W962">
        <v>-8.1862110000000002E-2</v>
      </c>
      <c r="X962">
        <v>0.99508260000000004</v>
      </c>
      <c r="Y962">
        <v>0.13820789999999999</v>
      </c>
      <c r="Z962">
        <v>-4.0657509999999899E-3</v>
      </c>
      <c r="AA962">
        <v>0.99039489999999997</v>
      </c>
      <c r="AB962">
        <v>31</v>
      </c>
      <c r="AC962">
        <v>24.255099999999999</v>
      </c>
      <c r="AD962">
        <v>-1.1088297519370001</v>
      </c>
      <c r="AE962">
        <v>-3.2948</v>
      </c>
      <c r="AF962">
        <v>3.40219084045739</v>
      </c>
      <c r="AG962">
        <v>-1.1088297519370001</v>
      </c>
      <c r="AH962">
        <v>24.189651133512601</v>
      </c>
      <c r="AI962">
        <v>92.599000291313999</v>
      </c>
      <c r="AJ962">
        <v>81.994060684522594</v>
      </c>
      <c r="AK962">
        <v>24.4528858807037</v>
      </c>
      <c r="AL962">
        <v>94.6956077231645</v>
      </c>
      <c r="AM962">
        <v>93.207309517716993</v>
      </c>
      <c r="AN962">
        <v>1.0000000430748099</v>
      </c>
    </row>
    <row r="963" spans="1:40" x14ac:dyDescent="0.25">
      <c r="A963" t="str">
        <f>"20190305135212672"</f>
        <v>20190305135212672</v>
      </c>
      <c r="B963" t="str">
        <f>"1551765132660415"</f>
        <v>1551765132660415</v>
      </c>
      <c r="C963" t="s">
        <v>40</v>
      </c>
      <c r="D963">
        <v>4.6163699999999999</v>
      </c>
      <c r="E963">
        <v>0.57328199999999996</v>
      </c>
      <c r="F963" t="s">
        <v>42</v>
      </c>
      <c r="G963">
        <v>-232.9933</v>
      </c>
      <c r="H963" s="1">
        <v>-3.774744E-6</v>
      </c>
      <c r="I963">
        <v>365.18220000000002</v>
      </c>
      <c r="J963">
        <v>-257.16930000000002</v>
      </c>
      <c r="K963">
        <v>1.108849</v>
      </c>
      <c r="L963">
        <v>368.41829999999999</v>
      </c>
      <c r="M963">
        <v>0.99992329999999996</v>
      </c>
      <c r="N963">
        <v>-1.1450709999999999E-2</v>
      </c>
      <c r="O963">
        <v>4.7088219999999997E-3</v>
      </c>
      <c r="P963">
        <v>0.99382230000000005</v>
      </c>
      <c r="Q963">
        <v>-9.2994179999999996E-2</v>
      </c>
      <c r="R963">
        <v>6.0574549999999998E-2</v>
      </c>
      <c r="S963">
        <v>3.0302120000000001</v>
      </c>
      <c r="T963">
        <v>-0.13808419999999999</v>
      </c>
      <c r="U963">
        <v>-0.4028931</v>
      </c>
      <c r="V963">
        <v>-5.5899440000000002E-2</v>
      </c>
      <c r="W963">
        <v>-8.1601209999999993E-2</v>
      </c>
      <c r="X963">
        <v>0.99509619999999999</v>
      </c>
      <c r="Y963">
        <v>0.136288299999999</v>
      </c>
      <c r="Z963">
        <v>-4.0342099999999999E-3</v>
      </c>
      <c r="AA963">
        <v>0.99066100000000001</v>
      </c>
      <c r="AB963">
        <v>31</v>
      </c>
      <c r="AC963">
        <v>24.175999999999998</v>
      </c>
      <c r="AD963">
        <v>-1.108852774744</v>
      </c>
      <c r="AE963">
        <v>-3.23609999999996</v>
      </c>
      <c r="AF963">
        <v>3.34300326029022</v>
      </c>
      <c r="AG963">
        <v>-1.108852774744</v>
      </c>
      <c r="AH963">
        <v>24.1106644801378</v>
      </c>
      <c r="AI963">
        <v>92.608268314073399</v>
      </c>
      <c r="AJ963">
        <v>82.1061269953302</v>
      </c>
      <c r="AK963">
        <v>24.3665624770534</v>
      </c>
      <c r="AL963">
        <v>94.680609389355098</v>
      </c>
      <c r="AM963">
        <v>93.215206138712503</v>
      </c>
      <c r="AN963">
        <v>0.99999997606010804</v>
      </c>
    </row>
    <row r="964" spans="1:40" x14ac:dyDescent="0.25">
      <c r="A964" t="str">
        <f>"20190305135212687"</f>
        <v>20190305135212687</v>
      </c>
      <c r="B964" t="str">
        <f>"1551765132680910"</f>
        <v>1551765132680910</v>
      </c>
      <c r="C964" t="s">
        <v>40</v>
      </c>
      <c r="D964">
        <v>4.6350439999999997</v>
      </c>
      <c r="E964">
        <v>0.57189239999999997</v>
      </c>
      <c r="F964" t="s">
        <v>42</v>
      </c>
      <c r="G964">
        <v>-232.7835</v>
      </c>
      <c r="H964" s="1">
        <v>-3.8567979999999996E-6</v>
      </c>
      <c r="I964">
        <v>365.2269</v>
      </c>
      <c r="J964">
        <v>-256.96879999999999</v>
      </c>
      <c r="K964">
        <v>1.1088709999999999</v>
      </c>
      <c r="L964">
        <v>368.41919999999999</v>
      </c>
      <c r="M964">
        <v>0.9999207</v>
      </c>
      <c r="N964">
        <v>-1.16758E-2</v>
      </c>
      <c r="O964">
        <v>4.6992819999999999E-3</v>
      </c>
      <c r="P964">
        <v>0.99378569999999999</v>
      </c>
      <c r="Q964">
        <v>-9.3331609999999995E-2</v>
      </c>
      <c r="R964">
        <v>6.0656519999999998E-2</v>
      </c>
      <c r="S964">
        <v>3.029922</v>
      </c>
      <c r="T964">
        <v>-0.1377739</v>
      </c>
      <c r="U964">
        <v>-0.3965149</v>
      </c>
      <c r="V964">
        <v>-5.5991440000000003E-2</v>
      </c>
      <c r="W964">
        <v>-8.1715029999999994E-2</v>
      </c>
      <c r="X964">
        <v>0.99508169999999996</v>
      </c>
      <c r="Y964">
        <v>0.1342438</v>
      </c>
      <c r="Z964">
        <v>-3.9832260000000003E-3</v>
      </c>
      <c r="AA964">
        <v>0.9909403</v>
      </c>
      <c r="AB964">
        <v>30</v>
      </c>
      <c r="AC964">
        <v>24.185299999999899</v>
      </c>
      <c r="AD964">
        <v>-1.108874856798</v>
      </c>
      <c r="AE964">
        <v>-3.1922999999999799</v>
      </c>
      <c r="AF964">
        <v>3.29910960987077</v>
      </c>
      <c r="AG964">
        <v>-1.108874856798</v>
      </c>
      <c r="AH964">
        <v>24.1201945461079</v>
      </c>
      <c r="AI964">
        <v>92.6079507736153</v>
      </c>
      <c r="AJ964">
        <v>82.211532901608805</v>
      </c>
      <c r="AK964">
        <v>24.370012568894399</v>
      </c>
      <c r="AL964">
        <v>94.687152588203503</v>
      </c>
      <c r="AM964">
        <v>93.220533465173503</v>
      </c>
      <c r="AN964">
        <v>0.99999998857803196</v>
      </c>
    </row>
    <row r="965" spans="1:40" x14ac:dyDescent="0.25">
      <c r="A965" t="str">
        <f>"20190305135212700"</f>
        <v>20190305135212700</v>
      </c>
      <c r="B965" t="str">
        <f>"1551765132690670"</f>
        <v>1551765132690670</v>
      </c>
      <c r="C965" t="s">
        <v>40</v>
      </c>
      <c r="D965">
        <v>4.604622</v>
      </c>
      <c r="E965">
        <v>0.57122550000000005</v>
      </c>
      <c r="F965" t="s">
        <v>42</v>
      </c>
      <c r="G965">
        <v>-232.90360000000001</v>
      </c>
      <c r="H965" s="1">
        <v>-3.781862E-6</v>
      </c>
      <c r="I965">
        <v>365.35899999999998</v>
      </c>
      <c r="J965">
        <v>-256.77820000000003</v>
      </c>
      <c r="K965">
        <v>1.108889</v>
      </c>
      <c r="L965">
        <v>368.42009999999999</v>
      </c>
      <c r="M965">
        <v>0.99991859999999999</v>
      </c>
      <c r="N965">
        <v>-1.187563E-2</v>
      </c>
      <c r="O965">
        <v>4.6906980000000001E-3</v>
      </c>
      <c r="P965">
        <v>0.99377349999999998</v>
      </c>
      <c r="Q965">
        <v>-9.3454759999999998E-2</v>
      </c>
      <c r="R965">
        <v>6.0670120000000001E-2</v>
      </c>
      <c r="S965">
        <v>3.0291600000000001</v>
      </c>
      <c r="T965">
        <v>-0.13957639999999999</v>
      </c>
      <c r="U965">
        <v>-0.3851929</v>
      </c>
      <c r="V965">
        <v>-5.6013130000000001E-2</v>
      </c>
      <c r="W965">
        <v>-8.1639390000000006E-2</v>
      </c>
      <c r="X965">
        <v>0.99508669999999999</v>
      </c>
      <c r="Y965">
        <v>0.1306233</v>
      </c>
      <c r="Z965">
        <v>-3.9347449999999999E-3</v>
      </c>
      <c r="AA965">
        <v>0.99142430000000004</v>
      </c>
      <c r="AB965">
        <v>30</v>
      </c>
      <c r="AC965">
        <v>23.874600000000001</v>
      </c>
      <c r="AD965">
        <v>-1.108892781862</v>
      </c>
      <c r="AE965">
        <v>-3.06109999999995</v>
      </c>
      <c r="AF965">
        <v>3.1663425237521801</v>
      </c>
      <c r="AG965">
        <v>-1.108892781862</v>
      </c>
      <c r="AH965">
        <v>23.809444643751799</v>
      </c>
      <c r="AI965">
        <v>92.643308558650503</v>
      </c>
      <c r="AJ965">
        <v>82.424864017148195</v>
      </c>
      <c r="AK965">
        <v>24.044646439972201</v>
      </c>
      <c r="AL965">
        <v>94.682804150193405</v>
      </c>
      <c r="AM965">
        <v>93.221762255550701</v>
      </c>
      <c r="AN965">
        <v>1.0000000006244201</v>
      </c>
    </row>
    <row r="966" spans="1:40" x14ac:dyDescent="0.25">
      <c r="A966" t="str">
        <f>"20190305135212715"</f>
        <v>20190305135212715</v>
      </c>
      <c r="B966" t="str">
        <f>"1551765132710190"</f>
        <v>1551765132710190</v>
      </c>
      <c r="C966" t="s">
        <v>40</v>
      </c>
      <c r="D966">
        <v>4.6441499999999998</v>
      </c>
      <c r="E966">
        <v>0.57000419999999996</v>
      </c>
      <c r="F966" t="s">
        <v>42</v>
      </c>
      <c r="G966">
        <v>-232.86850000000001</v>
      </c>
      <c r="H966" s="1">
        <v>-3.7856790000000001E-6</v>
      </c>
      <c r="I966">
        <v>365.42239999999998</v>
      </c>
      <c r="J966">
        <v>-256.5874</v>
      </c>
      <c r="K966">
        <v>1.1089070000000001</v>
      </c>
      <c r="L966">
        <v>368.42099999999999</v>
      </c>
      <c r="M966">
        <v>0.99991640000000004</v>
      </c>
      <c r="N966">
        <v>-1.206458E-2</v>
      </c>
      <c r="O966">
        <v>4.6822809999999999E-3</v>
      </c>
      <c r="P966">
        <v>0.99378409999999995</v>
      </c>
      <c r="Q966">
        <v>-9.3542139999999996E-2</v>
      </c>
      <c r="R966">
        <v>6.0359250000000003E-2</v>
      </c>
      <c r="S966">
        <v>3.028778</v>
      </c>
      <c r="T966">
        <v>-0.14046919999999999</v>
      </c>
      <c r="U966">
        <v>-0.37973020000000002</v>
      </c>
      <c r="V966">
        <v>-5.57104E-2</v>
      </c>
      <c r="W966">
        <v>-8.1538630000000001E-2</v>
      </c>
      <c r="X966">
        <v>0.99511190000000005</v>
      </c>
      <c r="Y966">
        <v>0.12887000000000001</v>
      </c>
      <c r="Z966">
        <v>-3.9160690000000003E-3</v>
      </c>
      <c r="AA966">
        <v>0.99165369999999997</v>
      </c>
      <c r="AB966">
        <v>30</v>
      </c>
      <c r="AC966">
        <v>23.718899999999898</v>
      </c>
      <c r="AD966">
        <v>-1.1089107856789999</v>
      </c>
      <c r="AE966">
        <v>-2.9986000000000099</v>
      </c>
      <c r="AF966">
        <v>3.1029580940744301</v>
      </c>
      <c r="AG966">
        <v>-1.1089107856789999</v>
      </c>
      <c r="AH966">
        <v>23.653710445307201</v>
      </c>
      <c r="AI966">
        <v>92.661352450117207</v>
      </c>
      <c r="AJ966">
        <v>82.526459257793405</v>
      </c>
      <c r="AK966">
        <v>23.882128253039198</v>
      </c>
      <c r="AL966">
        <v>94.677011975680699</v>
      </c>
      <c r="AM966">
        <v>93.204305242871598</v>
      </c>
      <c r="AN966">
        <v>0.99999994518602198</v>
      </c>
    </row>
    <row r="967" spans="1:40" x14ac:dyDescent="0.25">
      <c r="A967" t="str">
        <f>"20190305135212732"</f>
        <v>20190305135212732</v>
      </c>
      <c r="B967" t="str">
        <f>"1551765132720927"</f>
        <v>1551765132720927</v>
      </c>
      <c r="C967" t="s">
        <v>40</v>
      </c>
      <c r="D967">
        <v>4.6348399999999996</v>
      </c>
      <c r="E967">
        <v>0.56944910000000004</v>
      </c>
      <c r="F967" t="s">
        <v>42</v>
      </c>
      <c r="G967">
        <v>-232.83240000000001</v>
      </c>
      <c r="H967" s="1">
        <v>-3.7854849999999998E-6</v>
      </c>
      <c r="I967">
        <v>365.51060000000001</v>
      </c>
      <c r="J967">
        <v>-256.33819999999997</v>
      </c>
      <c r="K967">
        <v>1.1089249999999999</v>
      </c>
      <c r="L967">
        <v>368.4221</v>
      </c>
      <c r="M967">
        <v>0.99991350000000001</v>
      </c>
      <c r="N967">
        <v>-1.229483E-2</v>
      </c>
      <c r="O967">
        <v>4.6716209999999999E-3</v>
      </c>
      <c r="P967">
        <v>0.99383339999999998</v>
      </c>
      <c r="Q967">
        <v>-9.327684E-2</v>
      </c>
      <c r="R967">
        <v>5.9954359999999998E-2</v>
      </c>
      <c r="S967">
        <v>3.028</v>
      </c>
      <c r="T967">
        <v>-0.14135</v>
      </c>
      <c r="U967">
        <v>-0.37097170000000002</v>
      </c>
      <c r="V967">
        <v>-5.531643E-2</v>
      </c>
      <c r="W967">
        <v>-8.104364E-2</v>
      </c>
      <c r="X967">
        <v>0.99517429999999996</v>
      </c>
      <c r="Y967">
        <v>0.1260665</v>
      </c>
      <c r="Z967">
        <v>-3.8683060000000002E-3</v>
      </c>
      <c r="AA967">
        <v>0.99201419999999996</v>
      </c>
      <c r="AB967">
        <v>30</v>
      </c>
      <c r="AC967">
        <v>23.505799999999901</v>
      </c>
      <c r="AD967">
        <v>-1.1089287854849901</v>
      </c>
      <c r="AE967">
        <v>-2.9114999999999802</v>
      </c>
      <c r="AF967">
        <v>3.0146784735428702</v>
      </c>
      <c r="AG967">
        <v>-1.1089287854849901</v>
      </c>
      <c r="AH967">
        <v>23.4405587957555</v>
      </c>
      <c r="AI967">
        <v>92.686442750323806</v>
      </c>
      <c r="AJ967">
        <v>82.671447665653204</v>
      </c>
      <c r="AK967">
        <v>23.659623961664899</v>
      </c>
      <c r="AL967">
        <v>94.648557017028395</v>
      </c>
      <c r="AM967">
        <v>93.181492828939994</v>
      </c>
      <c r="AN967">
        <v>0.99999993319643998</v>
      </c>
    </row>
    <row r="968" spans="1:40" x14ac:dyDescent="0.25">
      <c r="A968" t="str">
        <f>"20190305135212745"</f>
        <v>20190305135212745</v>
      </c>
      <c r="B968" t="str">
        <f>"1551765132740448"</f>
        <v>1551765132740448</v>
      </c>
      <c r="C968" t="s">
        <v>40</v>
      </c>
      <c r="D968">
        <v>4.6338670000000004</v>
      </c>
      <c r="E968">
        <v>0.56838919999999904</v>
      </c>
      <c r="F968" t="s">
        <v>42</v>
      </c>
      <c r="G968">
        <v>-232.4487</v>
      </c>
      <c r="H968" s="1">
        <v>-3.9486989999999997E-6</v>
      </c>
      <c r="I968">
        <v>365.51850000000002</v>
      </c>
      <c r="J968">
        <v>-256.16969999999998</v>
      </c>
      <c r="K968">
        <v>1.1089329999999999</v>
      </c>
      <c r="L968">
        <v>368.42290000000003</v>
      </c>
      <c r="M968">
        <v>0.99991180000000002</v>
      </c>
      <c r="N968">
        <v>-1.2441529999999999E-2</v>
      </c>
      <c r="O968">
        <v>4.6639680000000001E-3</v>
      </c>
      <c r="P968">
        <v>0.99387340000000002</v>
      </c>
      <c r="Q968">
        <v>-9.3088329999999997E-2</v>
      </c>
      <c r="R968">
        <v>5.9586279999999998E-2</v>
      </c>
      <c r="S968">
        <v>3.0276179999999999</v>
      </c>
      <c r="T968">
        <v>-0.14053889999999999</v>
      </c>
      <c r="U968">
        <v>-0.367981</v>
      </c>
      <c r="V968">
        <v>-5.4955370000000003E-2</v>
      </c>
      <c r="W968">
        <v>-8.0708680000000005E-2</v>
      </c>
      <c r="X968">
        <v>0.99522160000000004</v>
      </c>
      <c r="Y968">
        <v>0.125111</v>
      </c>
      <c r="Z968">
        <v>-3.8310829999999999E-3</v>
      </c>
      <c r="AA968">
        <v>0.99213530000000005</v>
      </c>
      <c r="AB968">
        <v>30</v>
      </c>
      <c r="AC968">
        <v>23.720999999999901</v>
      </c>
      <c r="AD968">
        <v>-1.1089369486989999</v>
      </c>
      <c r="AE968">
        <v>-2.9043999999999999</v>
      </c>
      <c r="AF968">
        <v>3.0085329590758301</v>
      </c>
      <c r="AG968">
        <v>-1.1089369486989999</v>
      </c>
      <c r="AH968">
        <v>23.656258123169401</v>
      </c>
      <c r="AI968">
        <v>92.662481737364004</v>
      </c>
      <c r="AJ968">
        <v>82.7522003621566</v>
      </c>
      <c r="AK968">
        <v>23.872569197973899</v>
      </c>
      <c r="AL968">
        <v>94.629301796459899</v>
      </c>
      <c r="AM968">
        <v>93.160618995514497</v>
      </c>
      <c r="AN968">
        <v>1.00000000841286</v>
      </c>
    </row>
    <row r="969" spans="1:40" x14ac:dyDescent="0.25">
      <c r="A969" t="str">
        <f>"20190305135212756"</f>
        <v>20190305135212756</v>
      </c>
      <c r="B969" t="str">
        <f>"1551765132750206"</f>
        <v>1551765132750206</v>
      </c>
      <c r="C969" t="s">
        <v>40</v>
      </c>
      <c r="D969">
        <v>4.6387400000000003</v>
      </c>
      <c r="E969">
        <v>0.56785359999999996</v>
      </c>
      <c r="F969" t="s">
        <v>42</v>
      </c>
      <c r="G969">
        <v>-232.2234</v>
      </c>
      <c r="H969" s="1">
        <v>-4.0357820000000003E-6</v>
      </c>
      <c r="I969">
        <v>365.57260000000002</v>
      </c>
      <c r="J969">
        <v>-256.02550000000002</v>
      </c>
      <c r="K969">
        <v>1.1089420000000001</v>
      </c>
      <c r="L969">
        <v>368.42360000000002</v>
      </c>
      <c r="M969">
        <v>0.99991039999999998</v>
      </c>
      <c r="N969">
        <v>-1.255473E-2</v>
      </c>
      <c r="O969">
        <v>4.6574119999999997E-3</v>
      </c>
      <c r="P969">
        <v>0.99391240000000003</v>
      </c>
      <c r="Q969">
        <v>-9.3044269999999998E-2</v>
      </c>
      <c r="R969">
        <v>5.9000289999999997E-2</v>
      </c>
      <c r="S969">
        <v>3.0269620000000002</v>
      </c>
      <c r="T969">
        <v>-0.14017560000000001</v>
      </c>
      <c r="U969">
        <v>-0.36029050000000001</v>
      </c>
      <c r="V969">
        <v>-5.4376140000000003E-2</v>
      </c>
      <c r="W969">
        <v>-8.055155E-2</v>
      </c>
      <c r="X969">
        <v>0.99526610000000004</v>
      </c>
      <c r="Y969">
        <v>0.1226488</v>
      </c>
      <c r="Z969">
        <v>-3.758132E-3</v>
      </c>
      <c r="AA969">
        <v>0.99244299999999996</v>
      </c>
      <c r="AB969">
        <v>30</v>
      </c>
      <c r="AC969">
        <v>23.802099999999999</v>
      </c>
      <c r="AD969">
        <v>-1.108946035782</v>
      </c>
      <c r="AE969">
        <v>-2.8509999999999902</v>
      </c>
      <c r="AF969">
        <v>2.9555093477938299</v>
      </c>
      <c r="AG969">
        <v>-1.108946035782</v>
      </c>
      <c r="AH969">
        <v>23.737764842180798</v>
      </c>
      <c r="AI969">
        <v>92.654251207556797</v>
      </c>
      <c r="AJ969">
        <v>82.902817886340003</v>
      </c>
      <c r="AK969">
        <v>23.946738327334899</v>
      </c>
      <c r="AL969">
        <v>94.620269711216594</v>
      </c>
      <c r="AM969">
        <v>93.127232973603398</v>
      </c>
      <c r="AN969">
        <v>0.99999996330895502</v>
      </c>
    </row>
    <row r="970" spans="1:40" x14ac:dyDescent="0.25">
      <c r="A970" t="str">
        <f>"20190305135212768"</f>
        <v>20190305135212768</v>
      </c>
      <c r="B970" t="str">
        <f>"1551765132760941"</f>
        <v>1551765132760941</v>
      </c>
      <c r="C970" t="s">
        <v>40</v>
      </c>
      <c r="D970">
        <v>4.6537989999999896</v>
      </c>
      <c r="E970">
        <v>0.56733480000000003</v>
      </c>
      <c r="F970" t="s">
        <v>42</v>
      </c>
      <c r="G970">
        <v>-232.04390000000001</v>
      </c>
      <c r="H970" s="1">
        <v>-4.1101660000000004E-6</v>
      </c>
      <c r="I970">
        <v>365.5872</v>
      </c>
      <c r="J970">
        <v>-255.8613</v>
      </c>
      <c r="K970">
        <v>1.108951</v>
      </c>
      <c r="L970">
        <v>368.42430000000002</v>
      </c>
      <c r="M970">
        <v>0.99990889999999999</v>
      </c>
      <c r="N970">
        <v>-1.268037E-2</v>
      </c>
      <c r="O970">
        <v>4.6496979999999999E-3</v>
      </c>
      <c r="P970">
        <v>0.99394450000000001</v>
      </c>
      <c r="Q970">
        <v>-9.3104560000000003E-2</v>
      </c>
      <c r="R970">
        <v>5.835808E-2</v>
      </c>
      <c r="S970">
        <v>3.0265200000000001</v>
      </c>
      <c r="T970">
        <v>-0.13995079999999999</v>
      </c>
      <c r="U970">
        <v>-0.3579407</v>
      </c>
      <c r="V970">
        <v>-5.3740959999999997E-2</v>
      </c>
      <c r="W970">
        <v>-8.0486450000000001E-2</v>
      </c>
      <c r="X970">
        <v>0.99530589999999997</v>
      </c>
      <c r="Y970">
        <v>0.1218994</v>
      </c>
      <c r="Z970">
        <v>-3.7386659999999999E-3</v>
      </c>
      <c r="AA970">
        <v>0.99253539999999996</v>
      </c>
      <c r="AB970">
        <v>30</v>
      </c>
      <c r="AC970">
        <v>23.8173999999999</v>
      </c>
      <c r="AD970">
        <v>-1.108955110166</v>
      </c>
      <c r="AE970">
        <v>-2.8371000000000199</v>
      </c>
      <c r="AF970">
        <v>2.9415342023351698</v>
      </c>
      <c r="AG970">
        <v>-1.108955110166</v>
      </c>
      <c r="AH970">
        <v>23.7531757170803</v>
      </c>
      <c r="AI970">
        <v>92.652770029557303</v>
      </c>
      <c r="AJ970">
        <v>82.940573914378504</v>
      </c>
      <c r="AK970">
        <v>23.9602955229347</v>
      </c>
      <c r="AL970">
        <v>94.616527449641396</v>
      </c>
      <c r="AM970">
        <v>93.090650947443805</v>
      </c>
      <c r="AN970">
        <v>0.99999999699506603</v>
      </c>
    </row>
    <row r="971" spans="1:40" x14ac:dyDescent="0.25">
      <c r="A971" t="str">
        <f>"20190305135212780"</f>
        <v>20190305135212780</v>
      </c>
      <c r="B971" t="str">
        <f>"1551765132770703"</f>
        <v>1551765132770703</v>
      </c>
      <c r="C971" t="s">
        <v>40</v>
      </c>
      <c r="D971">
        <v>4.6404480000000001</v>
      </c>
      <c r="E971">
        <v>0.56683090000000003</v>
      </c>
      <c r="F971" t="s">
        <v>42</v>
      </c>
      <c r="G971">
        <v>-231.92869999999999</v>
      </c>
      <c r="H971" s="1">
        <v>-4.1552079999999998E-6</v>
      </c>
      <c r="I971">
        <v>365.61189999999999</v>
      </c>
      <c r="J971">
        <v>-255.6893</v>
      </c>
      <c r="K971">
        <v>1.1089580000000001</v>
      </c>
      <c r="L971">
        <v>368.42509999999999</v>
      </c>
      <c r="M971">
        <v>0.9999074</v>
      </c>
      <c r="N971">
        <v>-1.2801089999999999E-2</v>
      </c>
      <c r="O971">
        <v>4.6415320000000003E-3</v>
      </c>
      <c r="P971">
        <v>0.99395100000000003</v>
      </c>
      <c r="Q971">
        <v>-9.3248079999999997E-2</v>
      </c>
      <c r="R971">
        <v>5.8021690000000001E-2</v>
      </c>
      <c r="S971">
        <v>3.0260159999999998</v>
      </c>
      <c r="T971">
        <v>-0.1402147</v>
      </c>
      <c r="U971">
        <v>-0.35559079999999998</v>
      </c>
      <c r="V971">
        <v>-5.3412910000000001E-2</v>
      </c>
      <c r="W971">
        <v>-8.0509739999999996E-2</v>
      </c>
      <c r="X971">
        <v>0.99532169999999998</v>
      </c>
      <c r="Y971">
        <v>0.12115040000000001</v>
      </c>
      <c r="Z971">
        <v>-3.7294199999999998E-3</v>
      </c>
      <c r="AA971">
        <v>0.99262709999999998</v>
      </c>
      <c r="AB971">
        <v>30</v>
      </c>
      <c r="AC971">
        <v>23.7606</v>
      </c>
      <c r="AD971">
        <v>-1.10896215520799</v>
      </c>
      <c r="AE971">
        <v>-2.8131999999999899</v>
      </c>
      <c r="AF971">
        <v>2.9171976028444799</v>
      </c>
      <c r="AG971">
        <v>-1.10896215520799</v>
      </c>
      <c r="AH971">
        <v>23.696381021183999</v>
      </c>
      <c r="AI971">
        <v>92.659371674392006</v>
      </c>
      <c r="AJ971">
        <v>82.981783487973502</v>
      </c>
      <c r="AK971">
        <v>23.901010698647401</v>
      </c>
      <c r="AL971">
        <v>94.617866097974499</v>
      </c>
      <c r="AM971">
        <v>93.071772313999304</v>
      </c>
      <c r="AN971">
        <v>1.0000000218402101</v>
      </c>
    </row>
    <row r="972" spans="1:40" x14ac:dyDescent="0.25">
      <c r="A972" t="str">
        <f>"20190305135212793"</f>
        <v>20190305135212793</v>
      </c>
      <c r="B972" t="str">
        <f>"1551765132790221"</f>
        <v>1551765132790221</v>
      </c>
      <c r="C972" t="s">
        <v>40</v>
      </c>
      <c r="D972">
        <v>4.6431149999999999</v>
      </c>
      <c r="E972">
        <v>0.56585669999999899</v>
      </c>
      <c r="F972" t="s">
        <v>42</v>
      </c>
      <c r="G972">
        <v>-231.81989999999999</v>
      </c>
      <c r="H972" s="1">
        <v>-4.1962419999999996E-6</v>
      </c>
      <c r="I972">
        <v>365.64389999999997</v>
      </c>
      <c r="J972">
        <v>-255.52680000000001</v>
      </c>
      <c r="K972">
        <v>1.1089629999999999</v>
      </c>
      <c r="L972">
        <v>368.42579999999998</v>
      </c>
      <c r="M972">
        <v>0.99990610000000002</v>
      </c>
      <c r="N972">
        <v>-1.2907409999999999E-2</v>
      </c>
      <c r="O972">
        <v>4.6335710000000004E-3</v>
      </c>
      <c r="P972">
        <v>0.99396830000000003</v>
      </c>
      <c r="Q972">
        <v>-9.3495289999999995E-2</v>
      </c>
      <c r="R972">
        <v>5.7324E-2</v>
      </c>
      <c r="S972">
        <v>3.025665</v>
      </c>
      <c r="T972">
        <v>-0.14057030000000001</v>
      </c>
      <c r="U972">
        <v>-0.35253909999999899</v>
      </c>
      <c r="V972">
        <v>-5.2723150000000003E-2</v>
      </c>
      <c r="W972">
        <v>-8.0651E-2</v>
      </c>
      <c r="X972">
        <v>0.99534699999999998</v>
      </c>
      <c r="Y972">
        <v>0.12016839999999999</v>
      </c>
      <c r="Z972">
        <v>-3.7141470000000001E-3</v>
      </c>
      <c r="AA972">
        <v>0.99274660000000003</v>
      </c>
      <c r="AB972">
        <v>30</v>
      </c>
      <c r="AC972">
        <v>23.706900000000001</v>
      </c>
      <c r="AD972">
        <v>-1.108967196242</v>
      </c>
      <c r="AE972">
        <v>-2.7818999999999998</v>
      </c>
      <c r="AF972">
        <v>2.8854985748918001</v>
      </c>
      <c r="AG972">
        <v>-1.108967196242</v>
      </c>
      <c r="AH972">
        <v>23.642721869727499</v>
      </c>
      <c r="AI972">
        <v>92.665751904184006</v>
      </c>
      <c r="AJ972">
        <v>83.041694177932001</v>
      </c>
      <c r="AK972">
        <v>23.8439553698067</v>
      </c>
      <c r="AL972">
        <v>94.625986287899096</v>
      </c>
      <c r="AM972">
        <v>93.032101847357595</v>
      </c>
      <c r="AN972">
        <v>0.99999998237796095</v>
      </c>
    </row>
    <row r="973" spans="1:40" x14ac:dyDescent="0.25">
      <c r="A973" t="str">
        <f>"20190305135212804"</f>
        <v>20190305135212804</v>
      </c>
      <c r="B973" t="str">
        <f>"1551765132800958"</f>
        <v>1551765132800958</v>
      </c>
      <c r="C973" t="s">
        <v>40</v>
      </c>
      <c r="D973">
        <v>4.6099839999999999</v>
      </c>
      <c r="E973">
        <v>0.56541770000000002</v>
      </c>
      <c r="F973" t="s">
        <v>42</v>
      </c>
      <c r="G973">
        <v>-231.87479999999999</v>
      </c>
      <c r="H973" s="1">
        <v>-4.1602600000000004E-6</v>
      </c>
      <c r="I973">
        <v>365.71379999999999</v>
      </c>
      <c r="J973">
        <v>-255.36439999999999</v>
      </c>
      <c r="K973">
        <v>1.108967</v>
      </c>
      <c r="L973">
        <v>368.42660000000001</v>
      </c>
      <c r="M973">
        <v>0.99990480000000004</v>
      </c>
      <c r="N973">
        <v>-1.300897E-2</v>
      </c>
      <c r="O973">
        <v>4.625695E-3</v>
      </c>
      <c r="P973">
        <v>0.99400189999999999</v>
      </c>
      <c r="Q973">
        <v>-9.3438010000000002E-2</v>
      </c>
      <c r="R973">
        <v>5.6835320000000002E-2</v>
      </c>
      <c r="S973">
        <v>3.0248569999999999</v>
      </c>
      <c r="T973">
        <v>-0.14182520000000001</v>
      </c>
      <c r="U973">
        <v>-0.34683229999999998</v>
      </c>
      <c r="V973">
        <v>-5.224256E-2</v>
      </c>
      <c r="W973">
        <v>-8.0492240000000007E-2</v>
      </c>
      <c r="X973">
        <v>0.99538519999999997</v>
      </c>
      <c r="Y973">
        <v>0.11834210000000001</v>
      </c>
      <c r="Z973">
        <v>-3.6927180000000002E-3</v>
      </c>
      <c r="AA973">
        <v>0.99296600000000002</v>
      </c>
      <c r="AB973">
        <v>30</v>
      </c>
      <c r="AC973">
        <v>23.489599999999999</v>
      </c>
      <c r="AD973">
        <v>-1.1089711602600001</v>
      </c>
      <c r="AE973">
        <v>-2.7128000000000099</v>
      </c>
      <c r="AF973">
        <v>2.81524359364272</v>
      </c>
      <c r="AG973">
        <v>-1.1089711602600001</v>
      </c>
      <c r="AH973">
        <v>23.425273805436699</v>
      </c>
      <c r="AI973">
        <v>92.691068991285107</v>
      </c>
      <c r="AJ973">
        <v>83.147073979972205</v>
      </c>
      <c r="AK973">
        <v>23.619882861384198</v>
      </c>
      <c r="AL973">
        <v>94.616860299439097</v>
      </c>
      <c r="AM973">
        <v>93.004398954329304</v>
      </c>
      <c r="AN973">
        <v>0.99999999107730497</v>
      </c>
    </row>
    <row r="974" spans="1:40" x14ac:dyDescent="0.25">
      <c r="A974" t="str">
        <f>"20190305135212816"</f>
        <v>20190305135212816</v>
      </c>
      <c r="B974" t="str">
        <f>"1551765132810718"</f>
        <v>1551765132810718</v>
      </c>
      <c r="C974" t="s">
        <v>40</v>
      </c>
      <c r="D974">
        <v>4.6091350000000002</v>
      </c>
      <c r="E974">
        <v>0.56494149999999999</v>
      </c>
      <c r="F974" t="s">
        <v>42</v>
      </c>
      <c r="G974">
        <v>-231.667</v>
      </c>
      <c r="H974" s="1">
        <v>-4.2475849999999996E-6</v>
      </c>
      <c r="I974">
        <v>365.72390000000001</v>
      </c>
      <c r="J974">
        <v>-255.21539999999999</v>
      </c>
      <c r="K974">
        <v>1.108976</v>
      </c>
      <c r="L974">
        <v>368.4273</v>
      </c>
      <c r="M974">
        <v>0.99990369999999995</v>
      </c>
      <c r="N974">
        <v>-1.309218E-2</v>
      </c>
      <c r="O974">
        <v>4.6187659999999998E-3</v>
      </c>
      <c r="P974">
        <v>0.99399919999999997</v>
      </c>
      <c r="Q974">
        <v>-9.3660090000000001E-2</v>
      </c>
      <c r="R974">
        <v>5.6510400000000002E-2</v>
      </c>
      <c r="S974">
        <v>3.024521</v>
      </c>
      <c r="T974">
        <v>-0.14153859999999999</v>
      </c>
      <c r="U974">
        <v>-0.34494019999999997</v>
      </c>
      <c r="V974">
        <v>-5.1923959999999998E-2</v>
      </c>
      <c r="W974">
        <v>-8.0631549999999996E-2</v>
      </c>
      <c r="X974">
        <v>0.99539060000000001</v>
      </c>
      <c r="Y974">
        <v>0.1177357</v>
      </c>
      <c r="Z974">
        <v>-3.673314E-3</v>
      </c>
      <c r="AA974">
        <v>0.99303819999999998</v>
      </c>
      <c r="AB974">
        <v>30</v>
      </c>
      <c r="AC974">
        <v>23.548399999999901</v>
      </c>
      <c r="AD974">
        <v>-1.1089802475849999</v>
      </c>
      <c r="AE974">
        <v>-2.7033999999999798</v>
      </c>
      <c r="AF974">
        <v>2.8060027864847501</v>
      </c>
      <c r="AG974">
        <v>-1.1089802475849999</v>
      </c>
      <c r="AH974">
        <v>23.484255168105701</v>
      </c>
      <c r="AI974">
        <v>92.684562343903906</v>
      </c>
      <c r="AJ974">
        <v>83.186349144064906</v>
      </c>
      <c r="AK974">
        <v>23.677282986609601</v>
      </c>
      <c r="AL974">
        <v>94.624868182783104</v>
      </c>
      <c r="AM974">
        <v>92.986093790678197</v>
      </c>
      <c r="AN974">
        <v>0.99999999552292196</v>
      </c>
    </row>
    <row r="975" spans="1:40" x14ac:dyDescent="0.25">
      <c r="A975" t="str">
        <f>"20190305135212829"</f>
        <v>20190305135212829</v>
      </c>
      <c r="B975" t="str">
        <f>"1551765132820479"</f>
        <v>1551765132820479</v>
      </c>
      <c r="C975" t="s">
        <v>40</v>
      </c>
      <c r="D975">
        <v>4.6289540000000002</v>
      </c>
      <c r="E975">
        <v>0.56448160000000003</v>
      </c>
      <c r="F975" t="s">
        <v>42</v>
      </c>
      <c r="G975">
        <v>-231.62569999999999</v>
      </c>
      <c r="H975" s="1">
        <v>-4.2587969999999999E-6</v>
      </c>
      <c r="I975">
        <v>365.76060000000001</v>
      </c>
      <c r="J975">
        <v>-255.03049999999999</v>
      </c>
      <c r="K975">
        <v>1.1089819999999999</v>
      </c>
      <c r="L975">
        <v>368.42809999999997</v>
      </c>
      <c r="M975">
        <v>0.99990230000000002</v>
      </c>
      <c r="N975">
        <v>-1.3191140000000001E-2</v>
      </c>
      <c r="O975">
        <v>4.6101809999999997E-3</v>
      </c>
      <c r="P975">
        <v>0.9940445</v>
      </c>
      <c r="Q975">
        <v>-9.356544E-2</v>
      </c>
      <c r="R975">
        <v>5.5868429999999997E-2</v>
      </c>
      <c r="S975">
        <v>3.0241549999999999</v>
      </c>
      <c r="T975">
        <v>-0.14216909999999999</v>
      </c>
      <c r="U975">
        <v>-0.34185789999999999</v>
      </c>
      <c r="V975">
        <v>-5.1290639999999998E-2</v>
      </c>
      <c r="W975">
        <v>-8.0437880000000003E-2</v>
      </c>
      <c r="X975">
        <v>0.99543910000000002</v>
      </c>
      <c r="Y975">
        <v>0.1167412</v>
      </c>
      <c r="Z975">
        <v>-3.6621990000000001E-3</v>
      </c>
      <c r="AA975">
        <v>0.99315560000000003</v>
      </c>
      <c r="AB975">
        <v>30</v>
      </c>
      <c r="AC975">
        <v>23.404799999999899</v>
      </c>
      <c r="AD975">
        <v>-1.1089862587970001</v>
      </c>
      <c r="AE975">
        <v>-2.66749999999996</v>
      </c>
      <c r="AF975">
        <v>2.76924380725726</v>
      </c>
      <c r="AG975">
        <v>-1.1089862587970001</v>
      </c>
      <c r="AH975">
        <v>23.340521849431301</v>
      </c>
      <c r="AI975">
        <v>92.701350070093</v>
      </c>
      <c r="AJ975">
        <v>83.233754128524495</v>
      </c>
      <c r="AK975">
        <v>23.530374454946799</v>
      </c>
      <c r="AL975">
        <v>94.613735564182093</v>
      </c>
      <c r="AM975">
        <v>92.949593459656498</v>
      </c>
      <c r="AN975">
        <v>0.99999999204965695</v>
      </c>
    </row>
    <row r="976" spans="1:40" x14ac:dyDescent="0.25">
      <c r="A976" t="str">
        <f>"20190305135212839"</f>
        <v>20190305135212839</v>
      </c>
      <c r="B976" t="str">
        <f>"1551765132830238"</f>
        <v>1551765132830238</v>
      </c>
      <c r="C976" t="s">
        <v>40</v>
      </c>
      <c r="D976">
        <v>4.6373110000000004</v>
      </c>
      <c r="E976">
        <v>0.56405289999999997</v>
      </c>
      <c r="F976" t="s">
        <v>42</v>
      </c>
      <c r="G976">
        <v>-231.43369999999999</v>
      </c>
      <c r="H976" s="1">
        <v>-4.3392150000000001E-6</v>
      </c>
      <c r="I976">
        <v>365.77170000000001</v>
      </c>
      <c r="J976">
        <v>-254.87450000000001</v>
      </c>
      <c r="K976">
        <v>1.1089869999999999</v>
      </c>
      <c r="L976">
        <v>368.42880000000002</v>
      </c>
      <c r="M976">
        <v>0.9999015</v>
      </c>
      <c r="N976">
        <v>-1.3267670000000001E-2</v>
      </c>
      <c r="O976">
        <v>4.6026390000000004E-3</v>
      </c>
      <c r="P976">
        <v>0.99408359999999996</v>
      </c>
      <c r="Q976">
        <v>-9.3598609999999999E-2</v>
      </c>
      <c r="R976">
        <v>5.5113860000000001E-2</v>
      </c>
      <c r="S976">
        <v>3.0237430000000001</v>
      </c>
      <c r="T976">
        <v>-0.1421076</v>
      </c>
      <c r="U976">
        <v>-0.340393099999999</v>
      </c>
      <c r="V976">
        <v>-5.054322E-2</v>
      </c>
      <c r="W976">
        <v>-8.0394450000000006E-2</v>
      </c>
      <c r="X976">
        <v>0.99548080000000005</v>
      </c>
      <c r="Y976">
        <v>0.1162743</v>
      </c>
      <c r="Z976">
        <v>-3.6512189999999998E-3</v>
      </c>
      <c r="AA976">
        <v>0.99321040000000005</v>
      </c>
      <c r="AB976">
        <v>30</v>
      </c>
      <c r="AC976">
        <v>23.440799999999999</v>
      </c>
      <c r="AD976">
        <v>-1.1089913392149999</v>
      </c>
      <c r="AE976">
        <v>-2.65710000000001</v>
      </c>
      <c r="AF976">
        <v>2.7588741227006501</v>
      </c>
      <c r="AG976">
        <v>-1.1089913392149999</v>
      </c>
      <c r="AH976">
        <v>23.376661536458698</v>
      </c>
      <c r="AI976">
        <v>92.697389437829798</v>
      </c>
      <c r="AJ976">
        <v>83.269183278297305</v>
      </c>
      <c r="AK976">
        <v>23.565006955346099</v>
      </c>
      <c r="AL976">
        <v>94.611239299612905</v>
      </c>
      <c r="AM976">
        <v>92.906563950973606</v>
      </c>
      <c r="AN976">
        <v>0.999999953923704</v>
      </c>
    </row>
    <row r="977" spans="1:40" x14ac:dyDescent="0.25">
      <c r="A977" t="str">
        <f>"20190305135212856"</f>
        <v>20190305135212856</v>
      </c>
      <c r="B977" t="str">
        <f>"1551765132850737"</f>
        <v>1551765132850737</v>
      </c>
      <c r="C977" t="s">
        <v>40</v>
      </c>
      <c r="D977">
        <v>4.7074210000000001</v>
      </c>
      <c r="E977">
        <v>0.56310830000000001</v>
      </c>
      <c r="F977" t="s">
        <v>42</v>
      </c>
      <c r="G977">
        <v>-231.3278</v>
      </c>
      <c r="H977" s="1">
        <v>-4.382079E-6</v>
      </c>
      <c r="I977">
        <v>365.78620000000001</v>
      </c>
      <c r="J977">
        <v>-254.67609999999999</v>
      </c>
      <c r="K977">
        <v>1.1089869999999999</v>
      </c>
      <c r="L977">
        <v>368.42970000000003</v>
      </c>
      <c r="M977">
        <v>0.99990040000000002</v>
      </c>
      <c r="N977">
        <v>-1.335688E-2</v>
      </c>
      <c r="O977">
        <v>4.5932780000000001E-3</v>
      </c>
      <c r="P977">
        <v>0.99415810000000004</v>
      </c>
      <c r="Q977">
        <v>-9.3671569999999996E-2</v>
      </c>
      <c r="R977">
        <v>5.3625539999999999E-2</v>
      </c>
      <c r="S977">
        <v>3.0232700000000001</v>
      </c>
      <c r="T977">
        <v>-0.14238799999999999</v>
      </c>
      <c r="U977">
        <v>-0.3392944</v>
      </c>
      <c r="V977">
        <v>-4.906365E-2</v>
      </c>
      <c r="W977">
        <v>-8.0377790000000005E-2</v>
      </c>
      <c r="X977">
        <v>0.9955562</v>
      </c>
      <c r="Y977">
        <v>0.1159255</v>
      </c>
      <c r="Z977">
        <v>-3.651474E-3</v>
      </c>
      <c r="AA977">
        <v>0.9932512</v>
      </c>
      <c r="AB977">
        <v>30</v>
      </c>
      <c r="AC977">
        <v>23.348299999999899</v>
      </c>
      <c r="AD977">
        <v>-1.1089913820790001</v>
      </c>
      <c r="AE977">
        <v>-2.6435000000000102</v>
      </c>
      <c r="AF977">
        <v>2.7446133174951002</v>
      </c>
      <c r="AG977">
        <v>-1.1089913820790001</v>
      </c>
      <c r="AH977">
        <v>23.284045465687299</v>
      </c>
      <c r="AI977">
        <v>92.708147899118998</v>
      </c>
      <c r="AJ977">
        <v>83.277266086050602</v>
      </c>
      <c r="AK977">
        <v>23.471462191271598</v>
      </c>
      <c r="AL977">
        <v>94.610281490139997</v>
      </c>
      <c r="AM977">
        <v>92.821405263956706</v>
      </c>
      <c r="AN977">
        <v>0.99999998911752297</v>
      </c>
    </row>
    <row r="978" spans="1:40" x14ac:dyDescent="0.25">
      <c r="A978" t="str">
        <f>"20190305135212868"</f>
        <v>20190305135212868</v>
      </c>
      <c r="B978" t="str">
        <f>"1551765132860495"</f>
        <v>1551765132860495</v>
      </c>
      <c r="C978" t="s">
        <v>40</v>
      </c>
      <c r="D978">
        <v>4.6778700000000004</v>
      </c>
      <c r="E978">
        <v>0.56310830000000001</v>
      </c>
      <c r="F978" t="s">
        <v>42</v>
      </c>
      <c r="G978">
        <v>-231.2876</v>
      </c>
      <c r="H978" s="1">
        <v>-4.3917580000000001E-6</v>
      </c>
      <c r="I978">
        <v>365.8288</v>
      </c>
      <c r="J978">
        <v>-254.50649999999999</v>
      </c>
      <c r="K978">
        <v>1.1089899999999999</v>
      </c>
      <c r="L978">
        <v>368.43049999999999</v>
      </c>
      <c r="M978">
        <v>0.99989939999999999</v>
      </c>
      <c r="N978">
        <v>-1.342815E-2</v>
      </c>
      <c r="O978">
        <v>4.5854059999999898E-3</v>
      </c>
      <c r="P978">
        <v>0.99413779999999996</v>
      </c>
      <c r="Q978">
        <v>-9.4312430000000003E-2</v>
      </c>
      <c r="R978">
        <v>5.2872049999999997E-2</v>
      </c>
      <c r="S978">
        <v>3.0222630000000001</v>
      </c>
      <c r="T978">
        <v>-0.14330379999999901</v>
      </c>
      <c r="U978">
        <v>-0.3360901</v>
      </c>
      <c r="V978">
        <v>-4.8317980000000003E-2</v>
      </c>
      <c r="W978">
        <v>-8.0948019999999996E-2</v>
      </c>
      <c r="X978">
        <v>0.9955465</v>
      </c>
      <c r="Y978">
        <v>0.1149134</v>
      </c>
      <c r="Z978">
        <v>-3.6442689999999999E-3</v>
      </c>
      <c r="AA978">
        <v>0.99336880000000005</v>
      </c>
      <c r="AB978">
        <v>30</v>
      </c>
      <c r="AC978">
        <v>23.218899999999898</v>
      </c>
      <c r="AD978">
        <v>-1.1089943917580001</v>
      </c>
      <c r="AE978">
        <v>-2.6016999999999899</v>
      </c>
      <c r="AF978">
        <v>2.7020626358671098</v>
      </c>
      <c r="AG978">
        <v>-1.1089943917580001</v>
      </c>
      <c r="AH978">
        <v>23.154558259300298</v>
      </c>
      <c r="AI978">
        <v>92.723648085057206</v>
      </c>
      <c r="AJ978">
        <v>83.3438721644591</v>
      </c>
      <c r="AK978">
        <v>23.338050030635198</v>
      </c>
      <c r="AL978">
        <v>94.643059924119697</v>
      </c>
      <c r="AM978">
        <v>92.778620256019394</v>
      </c>
      <c r="AN978">
        <v>1.00000002139772</v>
      </c>
    </row>
    <row r="979" spans="1:40" x14ac:dyDescent="0.25">
      <c r="A979" t="str">
        <f>"20190305135212880"</f>
        <v>20190305135212880</v>
      </c>
      <c r="B979" t="str">
        <f>"1551765132870254"</f>
        <v>1551765132870254</v>
      </c>
      <c r="C979" t="s">
        <v>40</v>
      </c>
      <c r="D979">
        <v>4.6704629999999998</v>
      </c>
      <c r="E979">
        <v>0.50780190000000003</v>
      </c>
      <c r="F979" t="s">
        <v>42</v>
      </c>
      <c r="G979">
        <v>-231.43860000000001</v>
      </c>
      <c r="H979" s="1">
        <v>-4.3237660000000003E-6</v>
      </c>
      <c r="I979">
        <v>365.84699999999998</v>
      </c>
      <c r="J979">
        <v>-254.3305</v>
      </c>
      <c r="K979">
        <v>1.1089869999999999</v>
      </c>
      <c r="L979">
        <v>368.43130000000002</v>
      </c>
      <c r="M979">
        <v>0.99989839999999997</v>
      </c>
      <c r="N979">
        <v>-1.3495139999999999E-2</v>
      </c>
      <c r="O979">
        <v>4.5770230000000004E-3</v>
      </c>
      <c r="P979">
        <v>0.99414619999999998</v>
      </c>
      <c r="Q979">
        <v>-9.4513920000000001E-2</v>
      </c>
      <c r="R979">
        <v>5.2351059999999998E-2</v>
      </c>
      <c r="S979">
        <v>3.0219269999999998</v>
      </c>
      <c r="T979">
        <v>-0.1452792</v>
      </c>
      <c r="U979">
        <v>-0.33843990000000002</v>
      </c>
      <c r="V979">
        <v>-4.7805710000000001E-2</v>
      </c>
      <c r="W979">
        <v>-8.1082779999999993E-2</v>
      </c>
      <c r="X979">
        <v>0.99556020000000001</v>
      </c>
      <c r="Y979">
        <v>0.1156746</v>
      </c>
      <c r="Z979">
        <v>-3.711537E-3</v>
      </c>
      <c r="AA979">
        <v>0.99328019999999995</v>
      </c>
      <c r="AB979">
        <v>30</v>
      </c>
      <c r="AC979">
        <v>22.8919</v>
      </c>
      <c r="AD979">
        <v>-1.1089913237660001</v>
      </c>
      <c r="AE979">
        <v>-2.5843000000000398</v>
      </c>
      <c r="AF979">
        <v>2.68284212696175</v>
      </c>
      <c r="AG979">
        <v>-1.1089913237660001</v>
      </c>
      <c r="AH979">
        <v>22.826932567686001</v>
      </c>
      <c r="AI979">
        <v>92.7624063260497</v>
      </c>
      <c r="AJ979">
        <v>83.296796664522702</v>
      </c>
      <c r="AK979">
        <v>23.0107877762599</v>
      </c>
      <c r="AL979">
        <v>94.650806865545405</v>
      </c>
      <c r="AM979">
        <v>92.749168827667503</v>
      </c>
      <c r="AN979">
        <v>0.99999995747258497</v>
      </c>
    </row>
    <row r="980" spans="1:40" x14ac:dyDescent="0.25">
      <c r="A980" t="str">
        <f>"20190305135212901"</f>
        <v>20190305135212901</v>
      </c>
      <c r="B980" t="str">
        <f>"1551765132890750"</f>
        <v>1551765132890750</v>
      </c>
      <c r="C980" t="s">
        <v>40</v>
      </c>
      <c r="D980">
        <v>4.6630969999999996</v>
      </c>
      <c r="E980">
        <v>0.50428919999999999</v>
      </c>
      <c r="F980" t="s">
        <v>42</v>
      </c>
      <c r="G980">
        <v>-235.5359</v>
      </c>
      <c r="H980" s="1">
        <v>-1.9968999999999999E-6</v>
      </c>
      <c r="I980">
        <v>369.05540000000002</v>
      </c>
      <c r="J980">
        <v>-254.0711</v>
      </c>
      <c r="K980">
        <v>1.1089910000000001</v>
      </c>
      <c r="L980">
        <v>368.4325</v>
      </c>
      <c r="M980">
        <v>0.99989749999999999</v>
      </c>
      <c r="N980">
        <v>-1.358433E-2</v>
      </c>
      <c r="O980">
        <v>4.564673E-3</v>
      </c>
      <c r="P980">
        <v>0.99418379999999995</v>
      </c>
      <c r="Q980">
        <v>-9.461282E-2</v>
      </c>
      <c r="R980">
        <v>5.1452190000000002E-2</v>
      </c>
      <c r="S980">
        <v>2.9956209999999999</v>
      </c>
      <c r="T980">
        <v>-0.1767582</v>
      </c>
      <c r="U980">
        <v>9.9487300000000001E-2</v>
      </c>
      <c r="V980">
        <v>-4.6918870000000001E-2</v>
      </c>
      <c r="W980">
        <v>-8.1092479999999995E-2</v>
      </c>
      <c r="X980">
        <v>0.99560170000000003</v>
      </c>
      <c r="Y980">
        <v>-2.8573290000000001E-2</v>
      </c>
      <c r="Z980">
        <v>8.2929779999999995E-4</v>
      </c>
      <c r="AA980">
        <v>0.99959140000000002</v>
      </c>
      <c r="AB980">
        <v>30</v>
      </c>
      <c r="AC980">
        <v>18.5352</v>
      </c>
      <c r="AD980">
        <v>-1.1089929969000001</v>
      </c>
      <c r="AE980">
        <v>0.622900000000015</v>
      </c>
      <c r="AF980">
        <v>-0.53636067407645305</v>
      </c>
      <c r="AG980">
        <v>-1.1089929969000001</v>
      </c>
      <c r="AH980">
        <v>18.471799056088301</v>
      </c>
      <c r="AI980">
        <v>93.434303619334102</v>
      </c>
      <c r="AJ980">
        <v>91.663214848569595</v>
      </c>
      <c r="AK980">
        <v>18.512830918267799</v>
      </c>
      <c r="AL980">
        <v>94.651364002876903</v>
      </c>
      <c r="AM980">
        <v>92.698132986328403</v>
      </c>
      <c r="AN980">
        <v>1.00000005785875</v>
      </c>
    </row>
    <row r="981" spans="1:40" x14ac:dyDescent="0.25">
      <c r="A981" t="str">
        <f>"20190305135212916"</f>
        <v>20190305135212916</v>
      </c>
      <c r="B981" t="str">
        <f>"1551765132910270"</f>
        <v>1551765132910270</v>
      </c>
      <c r="C981" t="s">
        <v>40</v>
      </c>
      <c r="D981">
        <v>4.6162330000000003</v>
      </c>
      <c r="E981">
        <v>0.50335779999999997</v>
      </c>
      <c r="F981" t="s">
        <v>42</v>
      </c>
      <c r="G981">
        <v>-235.8004</v>
      </c>
      <c r="H981" s="1">
        <v>-1.858919E-6</v>
      </c>
      <c r="I981">
        <v>369.1936</v>
      </c>
      <c r="J981">
        <v>-253.86420000000001</v>
      </c>
      <c r="K981">
        <v>1.109002</v>
      </c>
      <c r="L981">
        <v>368.43340000000001</v>
      </c>
      <c r="M981">
        <v>0.99989649999999997</v>
      </c>
      <c r="N981">
        <v>-1.3647619999999999E-2</v>
      </c>
      <c r="O981">
        <v>4.555295E-3</v>
      </c>
      <c r="P981">
        <v>0.99418410000000002</v>
      </c>
      <c r="Q981">
        <v>-9.4676070000000001E-2</v>
      </c>
      <c r="R981">
        <v>5.1327320000000003E-2</v>
      </c>
      <c r="S981">
        <v>2.9938199999999999</v>
      </c>
      <c r="T981">
        <v>-0.18171760000000001</v>
      </c>
      <c r="U981">
        <v>0.1247253</v>
      </c>
      <c r="V981">
        <v>-4.6803030000000002E-2</v>
      </c>
      <c r="W981">
        <v>-8.1092689999999995E-2</v>
      </c>
      <c r="X981">
        <v>0.99560709999999997</v>
      </c>
      <c r="Y981">
        <v>-3.6994359999999997E-2</v>
      </c>
      <c r="Z981">
        <v>1.160052E-3</v>
      </c>
      <c r="AA981">
        <v>0.99931479999999995</v>
      </c>
      <c r="AB981">
        <v>30</v>
      </c>
      <c r="AC981">
        <v>18.063800000000001</v>
      </c>
      <c r="AD981">
        <v>-1.1090038589190001</v>
      </c>
      <c r="AE981">
        <v>0.76019999999999699</v>
      </c>
      <c r="AF981">
        <v>-0.67535746051936296</v>
      </c>
      <c r="AG981">
        <v>-1.1090038589190001</v>
      </c>
      <c r="AH981">
        <v>17.999352788776299</v>
      </c>
      <c r="AI981">
        <v>93.523265882467001</v>
      </c>
      <c r="AJ981">
        <v>92.148798851969104</v>
      </c>
      <c r="AK981">
        <v>18.046126954928699</v>
      </c>
      <c r="AL981">
        <v>94.651376238273798</v>
      </c>
      <c r="AM981">
        <v>92.691466681662803</v>
      </c>
      <c r="AN981">
        <v>1.0000000227795101</v>
      </c>
    </row>
    <row r="982" spans="1:40" x14ac:dyDescent="0.25">
      <c r="A982" t="str">
        <f>"20190305135212933"</f>
        <v>20190305135212933</v>
      </c>
      <c r="B982" t="str">
        <f>"1551765132930765"</f>
        <v>1551765132930765</v>
      </c>
      <c r="C982" t="s">
        <v>40</v>
      </c>
      <c r="D982">
        <v>4.6135599999999997</v>
      </c>
      <c r="E982">
        <v>0.50309999999999999</v>
      </c>
      <c r="F982" t="s">
        <v>42</v>
      </c>
      <c r="G982">
        <v>-235.8699</v>
      </c>
      <c r="H982" s="1">
        <v>-1.823915E-6</v>
      </c>
      <c r="I982">
        <v>369.22300000000001</v>
      </c>
      <c r="J982">
        <v>-253.6266</v>
      </c>
      <c r="K982">
        <v>1.109005</v>
      </c>
      <c r="L982">
        <v>368.43450000000001</v>
      </c>
      <c r="M982">
        <v>0.99989570000000005</v>
      </c>
      <c r="N982">
        <v>-1.371314E-2</v>
      </c>
      <c r="O982">
        <v>4.5442319999999996E-3</v>
      </c>
      <c r="P982">
        <v>0.99424000000000001</v>
      </c>
      <c r="Q982">
        <v>-9.4202190000000005E-2</v>
      </c>
      <c r="R982">
        <v>5.1115870000000001E-2</v>
      </c>
      <c r="S982">
        <v>2.9932099999999999</v>
      </c>
      <c r="T982">
        <v>-0.18447350000000001</v>
      </c>
      <c r="U982">
        <v>0.13134770000000001</v>
      </c>
      <c r="V982">
        <v>-4.6602369999999997E-2</v>
      </c>
      <c r="W982">
        <v>-8.0552879999999993E-2</v>
      </c>
      <c r="X982">
        <v>0.99566030000000005</v>
      </c>
      <c r="Y982">
        <v>-3.9213310000000001E-2</v>
      </c>
      <c r="Z982">
        <v>1.258557E-3</v>
      </c>
      <c r="AA982">
        <v>0.99923010000000001</v>
      </c>
      <c r="AB982">
        <v>30</v>
      </c>
      <c r="AC982">
        <v>17.756699999999899</v>
      </c>
      <c r="AD982">
        <v>-1.1090068239149999</v>
      </c>
      <c r="AE982">
        <v>0.78849999999999898</v>
      </c>
      <c r="AF982">
        <v>-0.70504892858393997</v>
      </c>
      <c r="AG982">
        <v>-1.1090068239149999</v>
      </c>
      <c r="AH982">
        <v>17.6912275087812</v>
      </c>
      <c r="AI982">
        <v>93.584158953853503</v>
      </c>
      <c r="AJ982">
        <v>92.282202386653097</v>
      </c>
      <c r="AK982">
        <v>17.739969585505101</v>
      </c>
      <c r="AL982">
        <v>94.620346038616702</v>
      </c>
      <c r="AM982">
        <v>92.679801351122407</v>
      </c>
      <c r="AN982">
        <v>0.99999999018100005</v>
      </c>
    </row>
    <row r="983" spans="1:40" x14ac:dyDescent="0.25">
      <c r="A983" t="str">
        <f>"20190305135212947"</f>
        <v>20190305135212947</v>
      </c>
      <c r="B983" t="str">
        <f>"1551765132940527"</f>
        <v>1551765132940527</v>
      </c>
      <c r="C983" t="s">
        <v>40</v>
      </c>
      <c r="D983">
        <v>4.6271100000000001</v>
      </c>
      <c r="E983">
        <v>0.50298120000000002</v>
      </c>
      <c r="F983" t="s">
        <v>42</v>
      </c>
      <c r="G983">
        <v>-235.51349999999999</v>
      </c>
      <c r="H983" s="1">
        <v>-1.9739939999999999E-6</v>
      </c>
      <c r="I983">
        <v>369.2389</v>
      </c>
      <c r="J983">
        <v>-253.4478</v>
      </c>
      <c r="K983">
        <v>1.109011</v>
      </c>
      <c r="L983">
        <v>368.43529999999998</v>
      </c>
      <c r="M983">
        <v>0.99989519999999998</v>
      </c>
      <c r="N983">
        <v>-1.375822E-2</v>
      </c>
      <c r="O983">
        <v>4.5356959999999997E-3</v>
      </c>
      <c r="P983">
        <v>0.99423550000000005</v>
      </c>
      <c r="Q983">
        <v>-9.4302540000000004E-2</v>
      </c>
      <c r="R983">
        <v>5.1021299999999999E-2</v>
      </c>
      <c r="S983">
        <v>2.9931950000000001</v>
      </c>
      <c r="T983">
        <v>-0.18326219999999999</v>
      </c>
      <c r="U983">
        <v>0.13293460000000001</v>
      </c>
      <c r="V983">
        <v>-4.6516229999999999E-2</v>
      </c>
      <c r="W983">
        <v>-8.0608429999999995E-2</v>
      </c>
      <c r="X983">
        <v>0.99565979999999998</v>
      </c>
      <c r="Y983">
        <v>-3.9750479999999998E-2</v>
      </c>
      <c r="Z983">
        <v>1.2740920000000001E-3</v>
      </c>
      <c r="AA983">
        <v>0.99920880000000001</v>
      </c>
      <c r="AB983">
        <v>30</v>
      </c>
      <c r="AC983">
        <v>17.9343</v>
      </c>
      <c r="AD983">
        <v>-1.109012973994</v>
      </c>
      <c r="AE983">
        <v>0.80360000000001697</v>
      </c>
      <c r="AF983">
        <v>-0.71949376485234995</v>
      </c>
      <c r="AG983">
        <v>-1.109012973994</v>
      </c>
      <c r="AH983">
        <v>17.869566534421399</v>
      </c>
      <c r="AI983">
        <v>93.548442256598705</v>
      </c>
      <c r="AJ983">
        <v>92.305691119709095</v>
      </c>
      <c r="AK983">
        <v>17.918398064064199</v>
      </c>
      <c r="AL983">
        <v>94.623539352247406</v>
      </c>
      <c r="AM983">
        <v>92.674856538009493</v>
      </c>
      <c r="AN983">
        <v>0.99999995798825803</v>
      </c>
    </row>
    <row r="984" spans="1:40" x14ac:dyDescent="0.25">
      <c r="A984" t="str">
        <f>"20190305135212958"</f>
        <v>20190305135212958</v>
      </c>
      <c r="B984" t="str">
        <f>"1551765132950286"</f>
        <v>1551765132950286</v>
      </c>
      <c r="C984" t="s">
        <v>40</v>
      </c>
      <c r="D984">
        <v>4.6123139999999996</v>
      </c>
      <c r="E984">
        <v>0.50287389999999998</v>
      </c>
      <c r="F984" t="s">
        <v>42</v>
      </c>
      <c r="G984">
        <v>-235.25239999999999</v>
      </c>
      <c r="H984" s="1">
        <v>-2.0841449999999998E-6</v>
      </c>
      <c r="I984">
        <v>369.24930000000001</v>
      </c>
      <c r="J984">
        <v>-253.29490000000001</v>
      </c>
      <c r="K984">
        <v>1.109013</v>
      </c>
      <c r="L984">
        <v>368.43599999999998</v>
      </c>
      <c r="M984">
        <v>0.99989470000000003</v>
      </c>
      <c r="N984">
        <v>-1.3792489999999999E-2</v>
      </c>
      <c r="O984">
        <v>4.5282500000000002E-3</v>
      </c>
      <c r="P984">
        <v>0.99423640000000002</v>
      </c>
      <c r="Q984">
        <v>-9.4293399999999999E-2</v>
      </c>
      <c r="R984">
        <v>5.1018599999999997E-2</v>
      </c>
      <c r="S984">
        <v>2.9932400000000001</v>
      </c>
      <c r="T984">
        <v>-0.1824373</v>
      </c>
      <c r="U984">
        <v>0.13391110000000001</v>
      </c>
      <c r="V984">
        <v>-4.6520659999999998E-2</v>
      </c>
      <c r="W984">
        <v>-8.056518E-2</v>
      </c>
      <c r="X984">
        <v>0.99566310000000002</v>
      </c>
      <c r="Y984">
        <v>-4.008246E-2</v>
      </c>
      <c r="Z984">
        <v>1.283441E-3</v>
      </c>
      <c r="AA984">
        <v>0.99919559999999996</v>
      </c>
      <c r="AB984">
        <v>30</v>
      </c>
      <c r="AC984">
        <v>18.0425</v>
      </c>
      <c r="AD984">
        <v>-1.1090150841449999</v>
      </c>
      <c r="AE984">
        <v>0.813300000000026</v>
      </c>
      <c r="AF984">
        <v>-0.72883486522367802</v>
      </c>
      <c r="AG984">
        <v>-1.1090150841449999</v>
      </c>
      <c r="AH984">
        <v>17.978211161313599</v>
      </c>
      <c r="AI984">
        <v>93.527020353737996</v>
      </c>
      <c r="AJ984">
        <v>92.321493894308404</v>
      </c>
      <c r="AK984">
        <v>18.027123766103301</v>
      </c>
      <c r="AL984">
        <v>94.6210531942329</v>
      </c>
      <c r="AM984">
        <v>92.675102056046299</v>
      </c>
      <c r="AN984">
        <v>0.99999996436843797</v>
      </c>
    </row>
    <row r="985" spans="1:40" x14ac:dyDescent="0.25">
      <c r="A985" t="str">
        <f>"20190305135212968"</f>
        <v>20190305135212968</v>
      </c>
      <c r="B985" t="str">
        <f>"1551765132960046"</f>
        <v>1551765132960046</v>
      </c>
      <c r="C985" t="s">
        <v>40</v>
      </c>
      <c r="D985">
        <v>4.5956849999999996</v>
      </c>
      <c r="E985">
        <v>0.50282320000000003</v>
      </c>
      <c r="F985" t="s">
        <v>42</v>
      </c>
      <c r="G985">
        <v>-235.10820000000001</v>
      </c>
      <c r="H985" s="1">
        <v>-2.1454269999999999E-6</v>
      </c>
      <c r="I985">
        <v>369.25259999999997</v>
      </c>
      <c r="J985">
        <v>-253.15700000000001</v>
      </c>
      <c r="K985">
        <v>1.109016</v>
      </c>
      <c r="L985">
        <v>368.4366</v>
      </c>
      <c r="M985">
        <v>0.99989430000000001</v>
      </c>
      <c r="N985">
        <v>-1.3822020000000001E-2</v>
      </c>
      <c r="O985">
        <v>4.5214909999999999E-3</v>
      </c>
      <c r="P985">
        <v>0.99422440000000001</v>
      </c>
      <c r="Q985">
        <v>-9.453454E-2</v>
      </c>
      <c r="R985">
        <v>5.0806530000000003E-2</v>
      </c>
      <c r="S985">
        <v>2.9931640000000002</v>
      </c>
      <c r="T985">
        <v>-0.1825205</v>
      </c>
      <c r="U985">
        <v>0.1343994</v>
      </c>
      <c r="V985">
        <v>-4.6315719999999998E-2</v>
      </c>
      <c r="W985">
        <v>-8.0777109999999999E-2</v>
      </c>
      <c r="X985">
        <v>0.99565550000000003</v>
      </c>
      <c r="Y985">
        <v>-4.0252509999999998E-2</v>
      </c>
      <c r="Z985">
        <v>1.2912920000000001E-3</v>
      </c>
      <c r="AA985">
        <v>0.99918870000000004</v>
      </c>
      <c r="AB985">
        <v>30</v>
      </c>
      <c r="AC985">
        <v>18.0488</v>
      </c>
      <c r="AD985">
        <v>-1.1090181454269901</v>
      </c>
      <c r="AE985">
        <v>0.81599999999997397</v>
      </c>
      <c r="AF985">
        <v>-0.73161974316558398</v>
      </c>
      <c r="AG985">
        <v>-1.1090181454269901</v>
      </c>
      <c r="AH985">
        <v>17.984542264557302</v>
      </c>
      <c r="AI985">
        <v>93.525771531952202</v>
      </c>
      <c r="AJ985">
        <v>92.329535110087704</v>
      </c>
      <c r="AK985">
        <v>18.033550653188701</v>
      </c>
      <c r="AL985">
        <v>94.633235517008202</v>
      </c>
      <c r="AM985">
        <v>92.663354589638601</v>
      </c>
      <c r="AN985">
        <v>0.99999998104966004</v>
      </c>
    </row>
    <row r="986" spans="1:40" x14ac:dyDescent="0.25">
      <c r="A986" t="str">
        <f>"20190305135212980"</f>
        <v>20190305135212980</v>
      </c>
      <c r="B986" t="str">
        <f>"1551765132970782"</f>
        <v>1551765132970782</v>
      </c>
      <c r="C986" t="s">
        <v>40</v>
      </c>
      <c r="D986">
        <v>4.6104089999999998</v>
      </c>
      <c r="E986">
        <v>0.50286759999999997</v>
      </c>
      <c r="F986" t="s">
        <v>42</v>
      </c>
      <c r="G986">
        <v>-235.04239999999999</v>
      </c>
      <c r="H986" s="1">
        <v>-2.1742739999999998E-6</v>
      </c>
      <c r="I986">
        <v>369.24919999999997</v>
      </c>
      <c r="J986">
        <v>-252.99160000000001</v>
      </c>
      <c r="K986">
        <v>1.109019</v>
      </c>
      <c r="L986">
        <v>368.43729999999999</v>
      </c>
      <c r="M986">
        <v>0.99989399999999995</v>
      </c>
      <c r="N986">
        <v>-1.38543999999999E-2</v>
      </c>
      <c r="O986">
        <v>4.5131629999999997E-3</v>
      </c>
      <c r="P986">
        <v>0.99422169999999999</v>
      </c>
      <c r="Q986">
        <v>-9.4617000000000007E-2</v>
      </c>
      <c r="R986">
        <v>5.0706260000000003E-2</v>
      </c>
      <c r="S986">
        <v>2.9931640000000002</v>
      </c>
      <c r="T986">
        <v>-0.18324670000000001</v>
      </c>
      <c r="U986">
        <v>0.13427729999999999</v>
      </c>
      <c r="V986">
        <v>-4.6223889999999997E-2</v>
      </c>
      <c r="W986">
        <v>-8.0827389999999999E-2</v>
      </c>
      <c r="X986">
        <v>0.99565570000000003</v>
      </c>
      <c r="Y986">
        <v>-4.0219579999999998E-2</v>
      </c>
      <c r="Z986">
        <v>1.2950259999999999E-3</v>
      </c>
      <c r="AA986">
        <v>0.99919000000000002</v>
      </c>
      <c r="AB986">
        <v>30</v>
      </c>
      <c r="AC986">
        <v>17.949200000000001</v>
      </c>
      <c r="AD986">
        <v>-1.1090211742739999</v>
      </c>
      <c r="AE986">
        <v>0.81189999999997997</v>
      </c>
      <c r="AF986">
        <v>-0.72810237987061799</v>
      </c>
      <c r="AG986">
        <v>-1.1090211742739999</v>
      </c>
      <c r="AH986">
        <v>17.884545269650602</v>
      </c>
      <c r="AI986">
        <v>93.5454400982387</v>
      </c>
      <c r="AJ986">
        <v>92.331296000618593</v>
      </c>
      <c r="AK986">
        <v>17.933683964616499</v>
      </c>
      <c r="AL986">
        <v>94.636125739648605</v>
      </c>
      <c r="AM986">
        <v>92.658081014596405</v>
      </c>
      <c r="AN986">
        <v>0.99999999396171702</v>
      </c>
    </row>
    <row r="987" spans="1:40" x14ac:dyDescent="0.25">
      <c r="A987" t="str">
        <f>"20190305135212992"</f>
        <v>20190305135212992</v>
      </c>
      <c r="B987" t="str">
        <f>"1551765132980542"</f>
        <v>1551765132980542</v>
      </c>
      <c r="C987" t="s">
        <v>40</v>
      </c>
      <c r="D987">
        <v>4.5924940000000003</v>
      </c>
      <c r="E987">
        <v>0.50272640000000002</v>
      </c>
      <c r="F987" t="s">
        <v>42</v>
      </c>
      <c r="G987">
        <v>-234.83510000000001</v>
      </c>
      <c r="H987" s="1">
        <v>-2.2635029999999999E-6</v>
      </c>
      <c r="I987">
        <v>369.2475</v>
      </c>
      <c r="J987">
        <v>-252.84460000000001</v>
      </c>
      <c r="K987">
        <v>1.109019</v>
      </c>
      <c r="L987">
        <v>368.43799999999999</v>
      </c>
      <c r="M987">
        <v>0.99989360000000005</v>
      </c>
      <c r="N987">
        <v>-1.388084E-2</v>
      </c>
      <c r="O987">
        <v>4.5059469999999997E-3</v>
      </c>
      <c r="P987">
        <v>0.99423830000000002</v>
      </c>
      <c r="Q987">
        <v>-9.4392199999999996E-2</v>
      </c>
      <c r="R987">
        <v>5.0799740000000003E-2</v>
      </c>
      <c r="S987">
        <v>2.9932249999999998</v>
      </c>
      <c r="T987">
        <v>-0.18282789999999999</v>
      </c>
      <c r="U987">
        <v>0.13357539999999901</v>
      </c>
      <c r="V987">
        <v>-4.6324070000000002E-2</v>
      </c>
      <c r="W987">
        <v>-8.0576060000000005E-2</v>
      </c>
      <c r="X987">
        <v>0.99567150000000004</v>
      </c>
      <c r="Y987">
        <v>-3.999287E-2</v>
      </c>
      <c r="Z987">
        <v>1.285336E-3</v>
      </c>
      <c r="AA987">
        <v>0.99919919999999995</v>
      </c>
      <c r="AB987">
        <v>30</v>
      </c>
      <c r="AC987">
        <v>18.009499999999999</v>
      </c>
      <c r="AD987">
        <v>-1.1090212635029999</v>
      </c>
      <c r="AE987">
        <v>0.80949999999995703</v>
      </c>
      <c r="AF987">
        <v>-0.72558818286710602</v>
      </c>
      <c r="AG987">
        <v>-1.1090212635029999</v>
      </c>
      <c r="AH987">
        <v>17.945053344793902</v>
      </c>
      <c r="AI987">
        <v>93.533555620632995</v>
      </c>
      <c r="AJ987">
        <v>92.315429549440907</v>
      </c>
      <c r="AK987">
        <v>17.993925250526001</v>
      </c>
      <c r="AL987">
        <v>94.621678077403004</v>
      </c>
      <c r="AM987">
        <v>92.663791314271407</v>
      </c>
      <c r="AN987">
        <v>1.0000000784093599</v>
      </c>
    </row>
    <row r="988" spans="1:40" x14ac:dyDescent="0.25">
      <c r="A988" t="str">
        <f>"20190305135213003"</f>
        <v>20190305135213003</v>
      </c>
      <c r="B988" t="str">
        <f>"1551765133000062"</f>
        <v>1551765133000062</v>
      </c>
      <c r="C988" t="s">
        <v>40</v>
      </c>
      <c r="D988">
        <v>4.6118969999999999</v>
      </c>
      <c r="E988">
        <v>0.50264330000000002</v>
      </c>
      <c r="F988" t="s">
        <v>42</v>
      </c>
      <c r="G988">
        <v>-234.84370000000001</v>
      </c>
      <c r="H988" s="1">
        <v>-2.259726E-6</v>
      </c>
      <c r="I988">
        <v>369.24790000000002</v>
      </c>
      <c r="J988">
        <v>-252.68270000000001</v>
      </c>
      <c r="K988">
        <v>1.109022</v>
      </c>
      <c r="L988">
        <v>368.43869999999998</v>
      </c>
      <c r="M988">
        <v>0.99989320000000004</v>
      </c>
      <c r="N988">
        <v>-1.3908459999999999E-2</v>
      </c>
      <c r="O988">
        <v>4.4981839999999997E-3</v>
      </c>
      <c r="P988">
        <v>0.99423499999999998</v>
      </c>
      <c r="Q988">
        <v>-9.4411670000000003E-2</v>
      </c>
      <c r="R988">
        <v>5.082478E-2</v>
      </c>
      <c r="S988">
        <v>2.9929960000000002</v>
      </c>
      <c r="T988">
        <v>-0.18439510000000001</v>
      </c>
      <c r="U988">
        <v>0.13467409999999999</v>
      </c>
      <c r="V988">
        <v>-4.635686E-2</v>
      </c>
      <c r="W988">
        <v>-8.056808E-2</v>
      </c>
      <c r="X988">
        <v>0.99567059999999996</v>
      </c>
      <c r="Y988">
        <v>-4.0367819999999999E-2</v>
      </c>
      <c r="Z988">
        <v>1.3086829999999999E-3</v>
      </c>
      <c r="AA988">
        <v>0.99918399999999996</v>
      </c>
      <c r="AB988">
        <v>30</v>
      </c>
      <c r="AC988">
        <v>17.838999999999999</v>
      </c>
      <c r="AD988">
        <v>-1.1090242597260001</v>
      </c>
      <c r="AE988">
        <v>0.809200000000032</v>
      </c>
      <c r="AF988">
        <v>-0.72614023390126803</v>
      </c>
      <c r="AG988">
        <v>-1.1090242597260001</v>
      </c>
      <c r="AH988">
        <v>17.7739060164349</v>
      </c>
      <c r="AI988">
        <v>93.567442161313394</v>
      </c>
      <c r="AJ988">
        <v>92.339477137060101</v>
      </c>
      <c r="AK988">
        <v>17.823269888800201</v>
      </c>
      <c r="AL988">
        <v>94.621219456360294</v>
      </c>
      <c r="AM988">
        <v>92.6656765379078</v>
      </c>
      <c r="AN988">
        <v>1.00000005884415</v>
      </c>
    </row>
    <row r="989" spans="1:40" x14ac:dyDescent="0.25">
      <c r="A989" t="str">
        <f>"20190305135213016"</f>
        <v>20190305135213016</v>
      </c>
      <c r="B989" t="str">
        <f>"1551765133010798"</f>
        <v>1551765133010798</v>
      </c>
      <c r="C989" t="s">
        <v>40</v>
      </c>
      <c r="D989">
        <v>4.5924769999999997</v>
      </c>
      <c r="E989">
        <v>0.50258400000000003</v>
      </c>
      <c r="F989" t="s">
        <v>42</v>
      </c>
      <c r="G989">
        <v>-234.80500000000001</v>
      </c>
      <c r="H989" s="1">
        <v>-2.276218E-6</v>
      </c>
      <c r="I989">
        <v>369.2484</v>
      </c>
      <c r="J989">
        <v>-252.51859999999999</v>
      </c>
      <c r="K989">
        <v>1.109024</v>
      </c>
      <c r="L989">
        <v>368.43939999999998</v>
      </c>
      <c r="M989">
        <v>0.99989300000000003</v>
      </c>
      <c r="N989">
        <v>-1.393313E-2</v>
      </c>
      <c r="O989">
        <v>4.4904380000000002E-3</v>
      </c>
      <c r="P989">
        <v>0.99423550000000005</v>
      </c>
      <c r="Q989">
        <v>-9.4434400000000002E-2</v>
      </c>
      <c r="R989">
        <v>5.0773169999999999E-2</v>
      </c>
      <c r="S989">
        <v>2.9928279999999998</v>
      </c>
      <c r="T989">
        <v>-0.18565680000000001</v>
      </c>
      <c r="U989">
        <v>0.13555909999999999</v>
      </c>
      <c r="V989">
        <v>-4.6313180000000002E-2</v>
      </c>
      <c r="W989">
        <v>-8.0566239999999997E-2</v>
      </c>
      <c r="X989">
        <v>0.99567269999999997</v>
      </c>
      <c r="Y989">
        <v>-4.067109E-2</v>
      </c>
      <c r="Z989">
        <v>1.3278179999999999E-3</v>
      </c>
      <c r="AA989">
        <v>0.9991717</v>
      </c>
      <c r="AB989">
        <v>30</v>
      </c>
      <c r="AC989">
        <v>17.7135999999999</v>
      </c>
      <c r="AD989">
        <v>-1.1090262762180001</v>
      </c>
      <c r="AE989">
        <v>0.80900000000002503</v>
      </c>
      <c r="AF989">
        <v>-0.72660007131615401</v>
      </c>
      <c r="AG989">
        <v>-1.1090262762180001</v>
      </c>
      <c r="AH989">
        <v>17.648020803083</v>
      </c>
      <c r="AI989">
        <v>93.592782623160701</v>
      </c>
      <c r="AJ989">
        <v>92.357636512320198</v>
      </c>
      <c r="AK989">
        <v>17.697754807066001</v>
      </c>
      <c r="AL989">
        <v>94.621114064566498</v>
      </c>
      <c r="AM989">
        <v>92.663162798891605</v>
      </c>
      <c r="AN989">
        <v>0.99999997759736903</v>
      </c>
    </row>
    <row r="990" spans="1:40" x14ac:dyDescent="0.25">
      <c r="A990" t="str">
        <f>"20190305135213029"</f>
        <v>20190305135213029</v>
      </c>
      <c r="B990" t="str">
        <f>"1551765133020558"</f>
        <v>1551765133020558</v>
      </c>
      <c r="C990" t="s">
        <v>40</v>
      </c>
      <c r="D990">
        <v>4.592562</v>
      </c>
      <c r="E990">
        <v>0.50251290000000004</v>
      </c>
      <c r="F990" t="s">
        <v>42</v>
      </c>
      <c r="G990">
        <v>-234.78809999999999</v>
      </c>
      <c r="H990" s="1">
        <v>-2.284451E-6</v>
      </c>
      <c r="I990">
        <v>369.24310000000003</v>
      </c>
      <c r="J990">
        <v>-252.3502</v>
      </c>
      <c r="K990">
        <v>1.109029</v>
      </c>
      <c r="L990">
        <v>368.4402</v>
      </c>
      <c r="M990">
        <v>0.99989269999999997</v>
      </c>
      <c r="N990">
        <v>-1.395709E-2</v>
      </c>
      <c r="O990">
        <v>4.4823399999999996E-3</v>
      </c>
      <c r="P990">
        <v>0.99421320000000002</v>
      </c>
      <c r="Q990">
        <v>-9.4682160000000001E-2</v>
      </c>
      <c r="R990">
        <v>5.0751230000000001E-2</v>
      </c>
      <c r="S990">
        <v>2.9926910000000002</v>
      </c>
      <c r="T990">
        <v>-0.1871892</v>
      </c>
      <c r="U990">
        <v>0.13565060000000001</v>
      </c>
      <c r="V990">
        <v>-4.6299519999999997E-2</v>
      </c>
      <c r="W990">
        <v>-8.0790399999999998E-2</v>
      </c>
      <c r="X990">
        <v>0.99565519999999996</v>
      </c>
      <c r="Y990">
        <v>-4.0710290000000003E-2</v>
      </c>
      <c r="Z990">
        <v>1.3384390000000001E-3</v>
      </c>
      <c r="AA990">
        <v>0.99917009999999995</v>
      </c>
      <c r="AB990">
        <v>30</v>
      </c>
      <c r="AC990">
        <v>17.562100000000001</v>
      </c>
      <c r="AD990">
        <v>-1.109031284451</v>
      </c>
      <c r="AE990">
        <v>0.80290000000002204</v>
      </c>
      <c r="AF990">
        <v>-0.72129458499697996</v>
      </c>
      <c r="AG990">
        <v>-1.109031284451</v>
      </c>
      <c r="AH990">
        <v>17.4958979300505</v>
      </c>
      <c r="AI990">
        <v>93.6239463503792</v>
      </c>
      <c r="AJ990">
        <v>92.360767420304398</v>
      </c>
      <c r="AK990">
        <v>17.545844540716299</v>
      </c>
      <c r="AL990">
        <v>94.633999359935402</v>
      </c>
      <c r="AM990">
        <v>92.6624251611711</v>
      </c>
      <c r="AN990">
        <v>1.0000000057857099</v>
      </c>
    </row>
    <row r="991" spans="1:40" x14ac:dyDescent="0.25">
      <c r="A991" t="str">
        <f>"20190305135213041"</f>
        <v>20190305135213041</v>
      </c>
      <c r="B991" t="str">
        <f>"1551765133030319"</f>
        <v>1551765133030319</v>
      </c>
      <c r="C991" t="s">
        <v>40</v>
      </c>
      <c r="D991">
        <v>4.6068530000000001</v>
      </c>
      <c r="E991">
        <v>0.50249569999999999</v>
      </c>
      <c r="F991" t="s">
        <v>42</v>
      </c>
      <c r="G991">
        <v>-234.61600000000001</v>
      </c>
      <c r="H991" s="1">
        <v>-2.357389E-6</v>
      </c>
      <c r="I991">
        <v>369.24799999999999</v>
      </c>
      <c r="J991">
        <v>-252.18629999999999</v>
      </c>
      <c r="K991">
        <v>1.109032</v>
      </c>
      <c r="L991">
        <v>368.4409</v>
      </c>
      <c r="M991">
        <v>0.99989240000000001</v>
      </c>
      <c r="N991">
        <v>-1.397816E-2</v>
      </c>
      <c r="O991">
        <v>4.4748000000000001E-3</v>
      </c>
      <c r="P991">
        <v>0.99423010000000001</v>
      </c>
      <c r="Q991">
        <v>-9.4618599999999997E-2</v>
      </c>
      <c r="R991">
        <v>5.0536730000000002E-2</v>
      </c>
      <c r="S991">
        <v>2.9926759999999999</v>
      </c>
      <c r="T991">
        <v>-0.18715039999999999</v>
      </c>
      <c r="U991">
        <v>0.136322</v>
      </c>
      <c r="V991">
        <v>-4.6092359999999999E-2</v>
      </c>
      <c r="W991">
        <v>-8.0705689999999997E-2</v>
      </c>
      <c r="X991">
        <v>0.99567169999999905</v>
      </c>
      <c r="Y991">
        <v>-4.0941190000000002E-2</v>
      </c>
      <c r="Z991">
        <v>1.3479500000000001E-3</v>
      </c>
      <c r="AA991">
        <v>0.99916059999999995</v>
      </c>
      <c r="AB991">
        <v>30</v>
      </c>
      <c r="AC991">
        <v>17.5703</v>
      </c>
      <c r="AD991">
        <v>-1.109034357389</v>
      </c>
      <c r="AE991">
        <v>0.807100000000048</v>
      </c>
      <c r="AF991">
        <v>-0.72557597614292102</v>
      </c>
      <c r="AG991">
        <v>-1.109034357389</v>
      </c>
      <c r="AH991">
        <v>17.5041443698919</v>
      </c>
      <c r="AI991">
        <v>93.622220046636201</v>
      </c>
      <c r="AJ991">
        <v>92.373646737635596</v>
      </c>
      <c r="AK991">
        <v>17.5542441541937</v>
      </c>
      <c r="AL991">
        <v>94.6291298485542</v>
      </c>
      <c r="AM991">
        <v>92.650485719112694</v>
      </c>
      <c r="AN991">
        <v>1.0000000241148099</v>
      </c>
    </row>
    <row r="992" spans="1:40" x14ac:dyDescent="0.25">
      <c r="A992" t="str">
        <f>"20190305135213056"</f>
        <v>20190305135213056</v>
      </c>
      <c r="B992" t="str">
        <f>"1551765133050817"</f>
        <v>1551765133050817</v>
      </c>
      <c r="C992" t="s">
        <v>40</v>
      </c>
      <c r="D992">
        <v>4.5701499999999999</v>
      </c>
      <c r="E992">
        <v>0.50250240000000002</v>
      </c>
      <c r="F992" t="s">
        <v>42</v>
      </c>
      <c r="G992">
        <v>-234.40199999999999</v>
      </c>
      <c r="H992" s="1">
        <v>-2.4490869999999998E-6</v>
      </c>
      <c r="I992">
        <v>369.24860000000001</v>
      </c>
      <c r="J992">
        <v>-251.98060000000001</v>
      </c>
      <c r="K992">
        <v>1.109043</v>
      </c>
      <c r="L992">
        <v>368.4418</v>
      </c>
      <c r="M992">
        <v>0.99989209999999995</v>
      </c>
      <c r="N992">
        <v>-1.4001960000000001E-2</v>
      </c>
      <c r="O992">
        <v>4.4652140000000003E-3</v>
      </c>
      <c r="P992">
        <v>0.99425459999999999</v>
      </c>
      <c r="Q992">
        <v>-9.4477259999999993E-2</v>
      </c>
      <c r="R992">
        <v>5.0323519999999997E-2</v>
      </c>
      <c r="S992">
        <v>2.9927519999999999</v>
      </c>
      <c r="T992">
        <v>-0.18662819999999999</v>
      </c>
      <c r="U992">
        <v>0.1359253</v>
      </c>
      <c r="V992">
        <v>-4.5888829999999999E-2</v>
      </c>
      <c r="W992">
        <v>-8.054029E-2</v>
      </c>
      <c r="X992">
        <v>0.99569450000000004</v>
      </c>
      <c r="Y992">
        <v>-4.0818130000000001E-2</v>
      </c>
      <c r="Z992">
        <v>1.341507E-3</v>
      </c>
      <c r="AA992">
        <v>0.99916570000000005</v>
      </c>
      <c r="AB992">
        <v>30</v>
      </c>
      <c r="AC992">
        <v>17.578599999999899</v>
      </c>
      <c r="AD992">
        <v>-1.1090454490870001</v>
      </c>
      <c r="AE992">
        <v>0.80680000000000895</v>
      </c>
      <c r="AF992">
        <v>-0.72541067938708303</v>
      </c>
      <c r="AG992">
        <v>-1.1090454490870001</v>
      </c>
      <c r="AH992">
        <v>17.512466970412198</v>
      </c>
      <c r="AI992">
        <v>93.620543673072603</v>
      </c>
      <c r="AJ992">
        <v>92.371980101256796</v>
      </c>
      <c r="AK992">
        <v>17.562536885418599</v>
      </c>
      <c r="AL992">
        <v>94.619622148128002</v>
      </c>
      <c r="AM992">
        <v>92.638738211616499</v>
      </c>
      <c r="AN992">
        <v>1.00000003018115</v>
      </c>
    </row>
    <row r="993" spans="1:40" x14ac:dyDescent="0.25">
      <c r="A993" t="str">
        <f>"20190305135213069"</f>
        <v>20190305135213069</v>
      </c>
      <c r="B993" t="str">
        <f>"1551765133060574"</f>
        <v>1551765133060574</v>
      </c>
      <c r="C993" t="s">
        <v>40</v>
      </c>
      <c r="D993">
        <v>4.6224400000000001</v>
      </c>
      <c r="E993">
        <v>0.50244390000000005</v>
      </c>
      <c r="F993" t="s">
        <v>42</v>
      </c>
      <c r="G993">
        <v>-234.21600000000001</v>
      </c>
      <c r="H993" s="1">
        <v>-2.5298899999999998E-6</v>
      </c>
      <c r="I993">
        <v>369.24279999999999</v>
      </c>
      <c r="J993">
        <v>-251.8126</v>
      </c>
      <c r="K993">
        <v>1.109048</v>
      </c>
      <c r="L993">
        <v>368.44260000000003</v>
      </c>
      <c r="M993">
        <v>0.99989189999999994</v>
      </c>
      <c r="N993">
        <v>-1.401985E-2</v>
      </c>
      <c r="O993">
        <v>4.4573399999999997E-3</v>
      </c>
      <c r="P993">
        <v>0.99425580000000002</v>
      </c>
      <c r="Q993">
        <v>-9.4480980000000006E-2</v>
      </c>
      <c r="R993">
        <v>5.0286890000000001E-2</v>
      </c>
      <c r="S993">
        <v>2.9927519999999999</v>
      </c>
      <c r="T993">
        <v>-0.1868377</v>
      </c>
      <c r="U993">
        <v>0.1349487</v>
      </c>
      <c r="V993">
        <v>-4.5859450000000003E-2</v>
      </c>
      <c r="W993">
        <v>-8.0526230000000004E-2</v>
      </c>
      <c r="X993">
        <v>0.99569700000000005</v>
      </c>
      <c r="Y993">
        <v>-4.0501170000000003E-2</v>
      </c>
      <c r="Z993">
        <v>1.331346E-3</v>
      </c>
      <c r="AA993">
        <v>0.99917860000000003</v>
      </c>
      <c r="AB993">
        <v>30</v>
      </c>
      <c r="AC993">
        <v>17.596599999999999</v>
      </c>
      <c r="AD993">
        <v>-1.10905052989</v>
      </c>
      <c r="AE993">
        <v>0.80019999999996105</v>
      </c>
      <c r="AF993">
        <v>-0.71890050437289499</v>
      </c>
      <c r="AG993">
        <v>-1.10905052989</v>
      </c>
      <c r="AH993">
        <v>17.530499084068701</v>
      </c>
      <c r="AI993">
        <v>93.616907391017307</v>
      </c>
      <c r="AJ993">
        <v>92.348301558082696</v>
      </c>
      <c r="AK993">
        <v>17.580250542855499</v>
      </c>
      <c r="AL993">
        <v>94.618813901985803</v>
      </c>
      <c r="AM993">
        <v>92.637044551894903</v>
      </c>
      <c r="AN993">
        <v>1.0000000393406501</v>
      </c>
    </row>
    <row r="994" spans="1:40" x14ac:dyDescent="0.25">
      <c r="A994" t="str">
        <f>"20190305135213082"</f>
        <v>20190305135213082</v>
      </c>
      <c r="B994" t="str">
        <f>"1551765133070333"</f>
        <v>1551765133070333</v>
      </c>
      <c r="C994" t="s">
        <v>40</v>
      </c>
      <c r="D994">
        <v>4.6429819999999999</v>
      </c>
      <c r="E994">
        <v>0.50241740000000001</v>
      </c>
      <c r="F994" t="s">
        <v>42</v>
      </c>
      <c r="G994">
        <v>-234.029</v>
      </c>
      <c r="H994" s="1">
        <v>-2.6094220000000001E-6</v>
      </c>
      <c r="I994">
        <v>369.24680000000001</v>
      </c>
      <c r="J994">
        <v>-251.6481</v>
      </c>
      <c r="K994">
        <v>1.1090469999999999</v>
      </c>
      <c r="L994">
        <v>368.44330000000002</v>
      </c>
      <c r="M994">
        <v>0.99989159999999999</v>
      </c>
      <c r="N994">
        <v>-1.4035779999999999E-2</v>
      </c>
      <c r="O994">
        <v>4.4493040000000003E-3</v>
      </c>
      <c r="P994">
        <v>0.99426270000000005</v>
      </c>
      <c r="Q994">
        <v>-9.4455239999999996E-2</v>
      </c>
      <c r="R994">
        <v>5.0198989999999999E-2</v>
      </c>
      <c r="S994">
        <v>2.9927670000000002</v>
      </c>
      <c r="T994">
        <v>-0.18663920000000001</v>
      </c>
      <c r="U994">
        <v>0.13534549999999901</v>
      </c>
      <c r="V994">
        <v>-4.5779819999999999E-2</v>
      </c>
      <c r="W994">
        <v>-8.0484570000000005E-2</v>
      </c>
      <c r="X994">
        <v>0.99570400000000003</v>
      </c>
      <c r="Y994">
        <v>-4.0640950000000002E-2</v>
      </c>
      <c r="Z994">
        <v>1.3364119999999999E-3</v>
      </c>
      <c r="AA994">
        <v>0.99917290000000003</v>
      </c>
      <c r="AB994">
        <v>30</v>
      </c>
      <c r="AC994">
        <v>17.6190999999999</v>
      </c>
      <c r="AD994">
        <v>-1.1090496094219999</v>
      </c>
      <c r="AE994">
        <v>0.803499999999985</v>
      </c>
      <c r="AF994">
        <v>-0.722235899005777</v>
      </c>
      <c r="AG994">
        <v>-1.1090496094219999</v>
      </c>
      <c r="AH994">
        <v>17.553096699993201</v>
      </c>
      <c r="AI994">
        <v>93.612240107482407</v>
      </c>
      <c r="AJ994">
        <v>92.356150646672702</v>
      </c>
      <c r="AK994">
        <v>17.6029207658639</v>
      </c>
      <c r="AL994">
        <v>94.616419337752703</v>
      </c>
      <c r="AM994">
        <v>92.632453573907796</v>
      </c>
      <c r="AN994">
        <v>1.0000000067716499</v>
      </c>
    </row>
    <row r="995" spans="1:40" x14ac:dyDescent="0.25">
      <c r="A995" t="str">
        <f>"20190305135213097"</f>
        <v>20190305135213097</v>
      </c>
      <c r="B995" t="str">
        <f>"1551765133090830"</f>
        <v>1551765133090830</v>
      </c>
      <c r="C995" t="s">
        <v>40</v>
      </c>
      <c r="D995">
        <v>4.5859620000000003</v>
      </c>
      <c r="E995">
        <v>0.50232140000000003</v>
      </c>
      <c r="F995" t="s">
        <v>42</v>
      </c>
      <c r="G995">
        <v>-233.84270000000001</v>
      </c>
      <c r="H995" s="1">
        <v>-2.6892730000000001E-6</v>
      </c>
      <c r="I995">
        <v>369.24720000000002</v>
      </c>
      <c r="J995">
        <v>-251.4469</v>
      </c>
      <c r="K995">
        <v>1.1090530000000001</v>
      </c>
      <c r="L995">
        <v>368.44420000000002</v>
      </c>
      <c r="M995">
        <v>0.99989150000000004</v>
      </c>
      <c r="N995">
        <v>-1.405314E-2</v>
      </c>
      <c r="O995">
        <v>4.4391120000000003E-3</v>
      </c>
      <c r="P995">
        <v>0.9943282</v>
      </c>
      <c r="Q995">
        <v>-9.402431E-2</v>
      </c>
      <c r="R995">
        <v>4.9708950000000002E-2</v>
      </c>
      <c r="S995">
        <v>2.9927830000000002</v>
      </c>
      <c r="T995">
        <v>-0.1864111</v>
      </c>
      <c r="U995">
        <v>0.1351318</v>
      </c>
      <c r="V995">
        <v>-4.529909E-2</v>
      </c>
      <c r="W995">
        <v>-8.0035560000000006E-2</v>
      </c>
      <c r="X995">
        <v>0.99576220000000004</v>
      </c>
      <c r="Y995">
        <v>-4.0580030000000003E-2</v>
      </c>
      <c r="Z995">
        <v>1.3338E-3</v>
      </c>
      <c r="AA995">
        <v>0.99917540000000005</v>
      </c>
      <c r="AB995">
        <v>30</v>
      </c>
      <c r="AC995">
        <v>17.604199999999899</v>
      </c>
      <c r="AD995">
        <v>-1.1090556892729999</v>
      </c>
      <c r="AE995">
        <v>0.80299999999999705</v>
      </c>
      <c r="AF995">
        <v>-0.72197782715668601</v>
      </c>
      <c r="AG995">
        <v>-1.1090556892729999</v>
      </c>
      <c r="AH995">
        <v>17.5381282876059</v>
      </c>
      <c r="AI995">
        <v>93.615331647088794</v>
      </c>
      <c r="AJ995">
        <v>92.3573176260266</v>
      </c>
      <c r="AK995">
        <v>17.587984544493398</v>
      </c>
      <c r="AL995">
        <v>94.590609595936101</v>
      </c>
      <c r="AM995">
        <v>92.604696641206701</v>
      </c>
      <c r="AN995">
        <v>1.00000002868409</v>
      </c>
    </row>
    <row r="996" spans="1:40" x14ac:dyDescent="0.25">
      <c r="A996" t="str">
        <f>"20190305135213113"</f>
        <v>20190305135213113</v>
      </c>
      <c r="B996" t="str">
        <f>"1551765133110350"</f>
        <v>1551765133110350</v>
      </c>
      <c r="C996" t="s">
        <v>40</v>
      </c>
      <c r="D996">
        <v>4.5896460000000001</v>
      </c>
      <c r="E996">
        <v>0.50224499999999905</v>
      </c>
      <c r="F996" t="s">
        <v>42</v>
      </c>
      <c r="G996">
        <v>-233.53980000000001</v>
      </c>
      <c r="H996" s="1">
        <v>-2.8188509999999999E-6</v>
      </c>
      <c r="I996">
        <v>369.24919999999997</v>
      </c>
      <c r="J996">
        <v>-251.23599999999999</v>
      </c>
      <c r="K996">
        <v>1.1090660000000001</v>
      </c>
      <c r="L996">
        <v>368.44510000000002</v>
      </c>
      <c r="M996">
        <v>0.99989119999999998</v>
      </c>
      <c r="N996">
        <v>-1.406959E-2</v>
      </c>
      <c r="O996">
        <v>4.4289230000000004E-3</v>
      </c>
      <c r="P996">
        <v>0.99437909999999996</v>
      </c>
      <c r="Q996">
        <v>-9.3523549999999997E-2</v>
      </c>
      <c r="R996">
        <v>4.9634959999999999E-2</v>
      </c>
      <c r="S996">
        <v>2.9928590000000002</v>
      </c>
      <c r="T996">
        <v>-0.18535840000000001</v>
      </c>
      <c r="U996">
        <v>0.134552</v>
      </c>
      <c r="V996">
        <v>-4.5235440000000002E-2</v>
      </c>
      <c r="W996">
        <v>-7.95178E-2</v>
      </c>
      <c r="X996">
        <v>0.99580659999999999</v>
      </c>
      <c r="Y996">
        <v>-4.0397189999999999E-2</v>
      </c>
      <c r="Z996">
        <v>1.322171E-3</v>
      </c>
      <c r="AA996">
        <v>0.99918280000000004</v>
      </c>
      <c r="AB996">
        <v>30</v>
      </c>
      <c r="AC996">
        <v>17.696199999999902</v>
      </c>
      <c r="AD996">
        <v>-1.1090688188509901</v>
      </c>
      <c r="AE996">
        <v>0.80409999999994797</v>
      </c>
      <c r="AF996">
        <v>-0.72287573509348702</v>
      </c>
      <c r="AG996">
        <v>-1.1090688188509901</v>
      </c>
      <c r="AH996">
        <v>17.630480531489201</v>
      </c>
      <c r="AI996">
        <v>93.596510295553998</v>
      </c>
      <c r="AJ996">
        <v>92.347896453320303</v>
      </c>
      <c r="AK996">
        <v>17.680113878155701</v>
      </c>
      <c r="AL996">
        <v>94.560849159800796</v>
      </c>
      <c r="AM996">
        <v>92.600925984135102</v>
      </c>
      <c r="AN996">
        <v>1.0000000550761901</v>
      </c>
    </row>
    <row r="997" spans="1:40" x14ac:dyDescent="0.25">
      <c r="A997" t="str">
        <f>"20190305135213127"</f>
        <v>20190305135213127</v>
      </c>
      <c r="B997" t="str">
        <f>"1551765133120112"</f>
        <v>1551765133120112</v>
      </c>
      <c r="C997" t="s">
        <v>40</v>
      </c>
      <c r="D997">
        <v>4.6180969999999997</v>
      </c>
      <c r="E997">
        <v>0.50228109999999904</v>
      </c>
      <c r="F997" t="s">
        <v>42</v>
      </c>
      <c r="G997">
        <v>-233.20410000000001</v>
      </c>
      <c r="H997" s="1">
        <v>-2.9613860000000002E-6</v>
      </c>
      <c r="I997">
        <v>369.2577</v>
      </c>
      <c r="J997">
        <v>-251.04499999999999</v>
      </c>
      <c r="K997">
        <v>1.1090709999999999</v>
      </c>
      <c r="L997">
        <v>368.44589999999999</v>
      </c>
      <c r="M997">
        <v>0.99989099999999997</v>
      </c>
      <c r="N997">
        <v>-1.408308E-2</v>
      </c>
      <c r="O997">
        <v>4.4198839999999998E-3</v>
      </c>
      <c r="P997">
        <v>0.99439409999999895</v>
      </c>
      <c r="Q997">
        <v>-9.3458029999999997E-2</v>
      </c>
      <c r="R997">
        <v>4.945567E-2</v>
      </c>
      <c r="S997">
        <v>2.9929199999999998</v>
      </c>
      <c r="T997">
        <v>-0.18408079999999999</v>
      </c>
      <c r="U997">
        <v>0.1348877</v>
      </c>
      <c r="V997">
        <v>-4.5064779999999999E-2</v>
      </c>
      <c r="W997">
        <v>-7.9438629999999996E-2</v>
      </c>
      <c r="X997">
        <v>0.99582059999999994</v>
      </c>
      <c r="Y997">
        <v>-4.0517930000000001E-2</v>
      </c>
      <c r="Z997">
        <v>1.3207570000000001E-3</v>
      </c>
      <c r="AA997">
        <v>0.99917789999999995</v>
      </c>
      <c r="AB997">
        <v>30</v>
      </c>
      <c r="AC997">
        <v>17.840899999999898</v>
      </c>
      <c r="AD997">
        <v>-1.1090739613859999</v>
      </c>
      <c r="AE997">
        <v>0.81180000000000496</v>
      </c>
      <c r="AF997">
        <v>-0.73011387724378096</v>
      </c>
      <c r="AG997">
        <v>-1.1090739613859999</v>
      </c>
      <c r="AH997">
        <v>17.775762535583599</v>
      </c>
      <c r="AI997">
        <v>93.567198077982098</v>
      </c>
      <c r="AJ997">
        <v>92.352019674519497</v>
      </c>
      <c r="AK997">
        <v>17.8252866750307</v>
      </c>
      <c r="AL997">
        <v>94.556298914829995</v>
      </c>
      <c r="AM997">
        <v>92.591090476343695</v>
      </c>
      <c r="AN997">
        <v>0.99999999885854196</v>
      </c>
    </row>
    <row r="998" spans="1:40" x14ac:dyDescent="0.25">
      <c r="A998" t="str">
        <f>"20190305135213138"</f>
        <v>20190305135213138</v>
      </c>
      <c r="B998" t="str">
        <f>"1551765133130846"</f>
        <v>1551765133130846</v>
      </c>
      <c r="C998" t="s">
        <v>40</v>
      </c>
      <c r="D998">
        <v>4.5915330000000001</v>
      </c>
      <c r="E998">
        <v>0.50222029999999995</v>
      </c>
      <c r="F998" t="s">
        <v>42</v>
      </c>
      <c r="G998">
        <v>-232.96809999999999</v>
      </c>
      <c r="H998" s="1">
        <v>-3.0628429999999998E-6</v>
      </c>
      <c r="I998">
        <v>369.25650000000002</v>
      </c>
      <c r="J998">
        <v>-250.88650000000001</v>
      </c>
      <c r="K998">
        <v>1.1090739999999999</v>
      </c>
      <c r="L998">
        <v>368.44659999999999</v>
      </c>
      <c r="M998">
        <v>0.99989099999999997</v>
      </c>
      <c r="N998">
        <v>-1.409288E-2</v>
      </c>
      <c r="O998">
        <v>4.4122440000000001E-3</v>
      </c>
      <c r="P998">
        <v>0.99440519999999999</v>
      </c>
      <c r="Q998">
        <v>-9.3450420000000006E-2</v>
      </c>
      <c r="R998">
        <v>4.924779E-2</v>
      </c>
      <c r="S998">
        <v>2.9929960000000002</v>
      </c>
      <c r="T998">
        <v>-0.1836286</v>
      </c>
      <c r="U998">
        <v>0.13421629999999901</v>
      </c>
      <c r="V998">
        <v>-4.4864939999999999E-2</v>
      </c>
      <c r="W998">
        <v>-7.9421119999999998E-2</v>
      </c>
      <c r="X998">
        <v>0.99583100000000002</v>
      </c>
      <c r="Y998">
        <v>-4.0301610000000002E-2</v>
      </c>
      <c r="Z998">
        <v>1.310798E-3</v>
      </c>
      <c r="AA998">
        <v>0.99918669999999998</v>
      </c>
      <c r="AB998">
        <v>30</v>
      </c>
      <c r="AC998">
        <v>17.918399999999998</v>
      </c>
      <c r="AD998">
        <v>-1.10907706284299</v>
      </c>
      <c r="AE998">
        <v>0.80990000000002704</v>
      </c>
      <c r="AF998">
        <v>-0.72804039473098503</v>
      </c>
      <c r="AG998">
        <v>-1.10907706284299</v>
      </c>
      <c r="AH998">
        <v>17.853539898087099</v>
      </c>
      <c r="AI998">
        <v>93.551750378525099</v>
      </c>
      <c r="AJ998">
        <v>92.335141576772997</v>
      </c>
      <c r="AK998">
        <v>17.9027646367892</v>
      </c>
      <c r="AL998">
        <v>94.555292577200703</v>
      </c>
      <c r="AM998">
        <v>92.579588923986407</v>
      </c>
      <c r="AN998">
        <v>0.99999997885212799</v>
      </c>
    </row>
    <row r="999" spans="1:40" x14ac:dyDescent="0.25">
      <c r="A999" t="str">
        <f>"20190305135213150"</f>
        <v>20190305135213150</v>
      </c>
      <c r="B999" t="str">
        <f>"1551765133140607"</f>
        <v>1551765133140607</v>
      </c>
      <c r="C999" t="s">
        <v>40</v>
      </c>
      <c r="D999">
        <v>4.591253</v>
      </c>
      <c r="E999">
        <v>0.50217909999999999</v>
      </c>
      <c r="F999" t="s">
        <v>42</v>
      </c>
      <c r="G999">
        <v>-232.81639999999999</v>
      </c>
      <c r="H999" s="1">
        <v>-3.1282119999999999E-6</v>
      </c>
      <c r="I999">
        <v>369.25470000000001</v>
      </c>
      <c r="J999">
        <v>-250.7388</v>
      </c>
      <c r="K999">
        <v>1.1090739999999999</v>
      </c>
      <c r="L999">
        <v>368.44729999999998</v>
      </c>
      <c r="M999">
        <v>0.99989099999999997</v>
      </c>
      <c r="N999">
        <v>-1.4101320000000001E-2</v>
      </c>
      <c r="O999">
        <v>4.4049709999999997E-3</v>
      </c>
      <c r="P999">
        <v>0.99442549999999996</v>
      </c>
      <c r="Q999">
        <v>-9.3400490000000003E-2</v>
      </c>
      <c r="R999">
        <v>4.8935680000000002E-2</v>
      </c>
      <c r="S999">
        <v>2.992966</v>
      </c>
      <c r="T999">
        <v>-0.18369659999999999</v>
      </c>
      <c r="U999">
        <v>0.1338501</v>
      </c>
      <c r="V999">
        <v>-4.4559809999999998E-2</v>
      </c>
      <c r="W999">
        <v>-7.9362550000000004E-2</v>
      </c>
      <c r="X999">
        <v>0.9958494</v>
      </c>
      <c r="Y999">
        <v>-4.0187500000000001E-2</v>
      </c>
      <c r="Z999">
        <v>1.3074149999999999E-3</v>
      </c>
      <c r="AA999">
        <v>0.9991913</v>
      </c>
      <c r="AB999">
        <v>30</v>
      </c>
      <c r="AC999">
        <v>17.9224</v>
      </c>
      <c r="AD999">
        <v>-1.109077128212</v>
      </c>
      <c r="AE999">
        <v>0.80740000000002898</v>
      </c>
      <c r="AF999">
        <v>-0.72566344265973803</v>
      </c>
      <c r="AG999">
        <v>-1.109077128212</v>
      </c>
      <c r="AH999">
        <v>17.857537789266999</v>
      </c>
      <c r="AI999">
        <v>93.550977940741504</v>
      </c>
      <c r="AJ999">
        <v>92.327005551527805</v>
      </c>
      <c r="AK999">
        <v>17.906655059039799</v>
      </c>
      <c r="AL999">
        <v>94.551925998470907</v>
      </c>
      <c r="AM999">
        <v>92.5620211179846</v>
      </c>
      <c r="AN999">
        <v>1.0000000092450401</v>
      </c>
    </row>
    <row r="1000" spans="1:40" x14ac:dyDescent="0.25">
      <c r="A1000" t="str">
        <f>"20190305135213163"</f>
        <v>20190305135213163</v>
      </c>
      <c r="B1000" t="str">
        <f>"1551765133160127"</f>
        <v>1551765133160127</v>
      </c>
      <c r="C1000" t="s">
        <v>40</v>
      </c>
      <c r="D1000">
        <v>4.6004180000000003</v>
      </c>
      <c r="E1000">
        <v>0.50207970000000002</v>
      </c>
      <c r="F1000" t="s">
        <v>42</v>
      </c>
      <c r="G1000">
        <v>-232.64660000000001</v>
      </c>
      <c r="H1000" s="1">
        <v>-3.2012899999999999E-6</v>
      </c>
      <c r="I1000">
        <v>369.2534</v>
      </c>
      <c r="J1000">
        <v>-250.5692</v>
      </c>
      <c r="K1000">
        <v>1.109076</v>
      </c>
      <c r="L1000">
        <v>368.44799999999998</v>
      </c>
      <c r="M1000">
        <v>0.99989079999999997</v>
      </c>
      <c r="N1000">
        <v>-1.411015E-2</v>
      </c>
      <c r="O1000">
        <v>4.3971590000000003E-3</v>
      </c>
      <c r="P1000">
        <v>0.99442489999999994</v>
      </c>
      <c r="Q1000">
        <v>-9.3575599999999995E-2</v>
      </c>
      <c r="R1000">
        <v>4.8611500000000002E-2</v>
      </c>
      <c r="S1000">
        <v>2.9930270000000001</v>
      </c>
      <c r="T1000">
        <v>-0.18347630000000001</v>
      </c>
      <c r="U1000">
        <v>0.1333618</v>
      </c>
      <c r="V1000">
        <v>-4.4243440000000002E-2</v>
      </c>
      <c r="W1000">
        <v>-7.9528879999999996E-2</v>
      </c>
      <c r="X1000">
        <v>0.99585020000000002</v>
      </c>
      <c r="Y1000">
        <v>-4.0032230000000002E-2</v>
      </c>
      <c r="Z1000">
        <v>1.300982E-3</v>
      </c>
      <c r="AA1000">
        <v>0.99919749999999996</v>
      </c>
      <c r="AB1000">
        <v>30</v>
      </c>
      <c r="AC1000">
        <v>17.9225999999999</v>
      </c>
      <c r="AD1000">
        <v>-1.1090792012899999</v>
      </c>
      <c r="AE1000">
        <v>0.80539999999996303</v>
      </c>
      <c r="AF1000">
        <v>-0.72380972327029602</v>
      </c>
      <c r="AG1000">
        <v>-1.1090792012899999</v>
      </c>
      <c r="AH1000">
        <v>17.857723173697099</v>
      </c>
      <c r="AI1000">
        <v>93.550962749399901</v>
      </c>
      <c r="AJ1000">
        <v>92.321043617518697</v>
      </c>
      <c r="AK1000">
        <v>17.906765038348901</v>
      </c>
      <c r="AL1000">
        <v>94.561486390065895</v>
      </c>
      <c r="AM1000">
        <v>92.543852975087802</v>
      </c>
      <c r="AN1000">
        <v>0.99999997278856301</v>
      </c>
    </row>
    <row r="1001" spans="1:40" x14ac:dyDescent="0.25">
      <c r="A1001" t="str">
        <f>"20190305135213176"</f>
        <v>20190305135213176</v>
      </c>
      <c r="B1001" t="str">
        <f>"1551765133170393"</f>
        <v>1551765133170393</v>
      </c>
      <c r="C1001" t="s">
        <v>40</v>
      </c>
      <c r="D1001">
        <v>4.608981</v>
      </c>
      <c r="E1001">
        <v>0.5020405</v>
      </c>
      <c r="F1001" t="s">
        <v>42</v>
      </c>
      <c r="G1001">
        <v>-232.5179</v>
      </c>
      <c r="H1001" s="1">
        <v>-3.256765E-6</v>
      </c>
      <c r="I1001">
        <v>369.25200000000001</v>
      </c>
      <c r="J1001">
        <v>-250.40780000000001</v>
      </c>
      <c r="K1001">
        <v>1.1090789999999999</v>
      </c>
      <c r="L1001">
        <v>368.44869999999997</v>
      </c>
      <c r="M1001">
        <v>0.99989079999999997</v>
      </c>
      <c r="N1001">
        <v>-1.411747E-2</v>
      </c>
      <c r="O1001">
        <v>4.3895369999999998E-3</v>
      </c>
      <c r="P1001">
        <v>0.99443060000000005</v>
      </c>
      <c r="Q1001">
        <v>-9.3592339999999996E-2</v>
      </c>
      <c r="R1001">
        <v>4.8458149999999998E-2</v>
      </c>
      <c r="S1001">
        <v>2.9930270000000001</v>
      </c>
      <c r="T1001">
        <v>-0.1838921</v>
      </c>
      <c r="U1001">
        <v>0.133300799999999</v>
      </c>
      <c r="V1001">
        <v>-4.4097629999999999E-2</v>
      </c>
      <c r="W1001">
        <v>-7.9538289999999998E-2</v>
      </c>
      <c r="X1001">
        <v>0.99585590000000002</v>
      </c>
      <c r="Y1001">
        <v>-4.0019180000000001E-2</v>
      </c>
      <c r="Z1001">
        <v>1.3031919999999999E-3</v>
      </c>
      <c r="AA1001">
        <v>0.99919809999999998</v>
      </c>
      <c r="AB1001">
        <v>30</v>
      </c>
      <c r="AC1001">
        <v>17.889900000000001</v>
      </c>
      <c r="AD1001">
        <v>-1.1090822567649901</v>
      </c>
      <c r="AE1001">
        <v>0.80329999999997803</v>
      </c>
      <c r="AF1001">
        <v>-0.72198678635984104</v>
      </c>
      <c r="AG1001">
        <v>-1.1090822567649901</v>
      </c>
      <c r="AH1001">
        <v>17.824884382411899</v>
      </c>
      <c r="AI1001">
        <v>93.557501641120595</v>
      </c>
      <c r="AJ1001">
        <v>92.319465014982697</v>
      </c>
      <c r="AK1001">
        <v>17.873942811207101</v>
      </c>
      <c r="AL1001">
        <v>94.5620273286535</v>
      </c>
      <c r="AM1001">
        <v>92.535465842666795</v>
      </c>
      <c r="AN1001">
        <v>0.99999995705627398</v>
      </c>
    </row>
    <row r="1002" spans="1:40" x14ac:dyDescent="0.25">
      <c r="A1002" t="str">
        <f>"20190305135213190"</f>
        <v>20190305135213190</v>
      </c>
      <c r="B1002" t="str">
        <f>"1551765133180153"</f>
        <v>1551765133180153</v>
      </c>
      <c r="C1002" t="s">
        <v>40</v>
      </c>
      <c r="D1002">
        <v>4.611167</v>
      </c>
      <c r="E1002">
        <v>0.50199150000000003</v>
      </c>
      <c r="F1002" t="s">
        <v>42</v>
      </c>
      <c r="G1002">
        <v>-232.35589999999999</v>
      </c>
      <c r="H1002" s="1">
        <v>-3.3264750000000002E-6</v>
      </c>
      <c r="I1002">
        <v>369.25080000000003</v>
      </c>
      <c r="J1002">
        <v>-250.21260000000001</v>
      </c>
      <c r="K1002">
        <v>1.1090880000000001</v>
      </c>
      <c r="L1002">
        <v>368.4495</v>
      </c>
      <c r="M1002">
        <v>0.99989070000000002</v>
      </c>
      <c r="N1002">
        <v>-1.412564E-2</v>
      </c>
      <c r="O1002">
        <v>4.3805370000000003E-3</v>
      </c>
      <c r="P1002">
        <v>0.99442339999999996</v>
      </c>
      <c r="Q1002">
        <v>-9.3866270000000002E-2</v>
      </c>
      <c r="R1002">
        <v>4.807463E-2</v>
      </c>
      <c r="S1002">
        <v>2.9930270000000001</v>
      </c>
      <c r="T1002">
        <v>-0.18388660000000001</v>
      </c>
      <c r="U1002">
        <v>0.13299559999999999</v>
      </c>
      <c r="V1002">
        <v>-4.3723440000000002E-2</v>
      </c>
      <c r="W1002">
        <v>-7.980421E-2</v>
      </c>
      <c r="X1002">
        <v>0.99585119999999905</v>
      </c>
      <c r="Y1002">
        <v>-3.9926679999999999E-2</v>
      </c>
      <c r="Z1002">
        <v>1.300299E-3</v>
      </c>
      <c r="AA1002">
        <v>0.99920180000000003</v>
      </c>
      <c r="AB1002">
        <v>30</v>
      </c>
      <c r="AC1002">
        <v>17.8567</v>
      </c>
      <c r="AD1002">
        <v>-1.10909132647499</v>
      </c>
      <c r="AE1002">
        <v>0.80130000000002599</v>
      </c>
      <c r="AF1002">
        <v>-0.72028947474170901</v>
      </c>
      <c r="AG1002">
        <v>-1.10909132647499</v>
      </c>
      <c r="AH1002">
        <v>17.791542016491999</v>
      </c>
      <c r="AI1002">
        <v>93.564183305490403</v>
      </c>
      <c r="AJ1002">
        <v>92.318350016827793</v>
      </c>
      <c r="AK1002">
        <v>17.8406240872478</v>
      </c>
      <c r="AL1002">
        <v>94.577311667050097</v>
      </c>
      <c r="AM1002">
        <v>92.513990742961397</v>
      </c>
      <c r="AN1002">
        <v>1.00000003184029</v>
      </c>
    </row>
    <row r="1003" spans="1:40" x14ac:dyDescent="0.25">
      <c r="A1003" t="str">
        <f>"20190305135213203"</f>
        <v>20190305135213203</v>
      </c>
      <c r="B1003" t="str">
        <f>"1551765133200649"</f>
        <v>1551765133200649</v>
      </c>
      <c r="C1003" t="s">
        <v>40</v>
      </c>
      <c r="D1003">
        <v>4.6085859999999998</v>
      </c>
      <c r="E1003">
        <v>0.50191220000000003</v>
      </c>
      <c r="F1003" t="s">
        <v>42</v>
      </c>
      <c r="G1003">
        <v>-232.25739999999999</v>
      </c>
      <c r="H1003" s="1">
        <v>-3.369871E-6</v>
      </c>
      <c r="I1003">
        <v>369.24419999999998</v>
      </c>
      <c r="J1003">
        <v>-250.04169999999999</v>
      </c>
      <c r="K1003">
        <v>1.109091</v>
      </c>
      <c r="L1003">
        <v>368.45030000000003</v>
      </c>
      <c r="M1003">
        <v>0.99989059999999996</v>
      </c>
      <c r="N1003">
        <v>-1.413206E-2</v>
      </c>
      <c r="O1003">
        <v>4.3727990000000001E-3</v>
      </c>
      <c r="P1003">
        <v>0.99444880000000002</v>
      </c>
      <c r="Q1003">
        <v>-9.383379E-2</v>
      </c>
      <c r="R1003">
        <v>4.7613210000000003E-2</v>
      </c>
      <c r="S1003">
        <v>2.992966</v>
      </c>
      <c r="T1003">
        <v>-0.18487509999999999</v>
      </c>
      <c r="U1003">
        <v>0.13247679999999901</v>
      </c>
      <c r="V1003">
        <v>-4.3269139999999998E-2</v>
      </c>
      <c r="W1003">
        <v>-7.9765009999999997E-2</v>
      </c>
      <c r="X1003">
        <v>0.99587420000000004</v>
      </c>
      <c r="Y1003">
        <v>-3.9761989999999997E-2</v>
      </c>
      <c r="Z1003">
        <v>1.2997320000000001E-3</v>
      </c>
      <c r="AA1003">
        <v>0.99920830000000005</v>
      </c>
      <c r="AB1003">
        <v>30</v>
      </c>
      <c r="AC1003">
        <v>17.784300000000002</v>
      </c>
      <c r="AD1003">
        <v>-1.1090943698710001</v>
      </c>
      <c r="AE1003">
        <v>0.79389999999995098</v>
      </c>
      <c r="AF1003">
        <v>-0.71334861604840405</v>
      </c>
      <c r="AG1003">
        <v>-1.1090943698710001</v>
      </c>
      <c r="AH1003">
        <v>17.718826338106101</v>
      </c>
      <c r="AI1003">
        <v>93.578814546684697</v>
      </c>
      <c r="AJ1003">
        <v>92.305446408556804</v>
      </c>
      <c r="AK1003">
        <v>17.767829450139899</v>
      </c>
      <c r="AL1003">
        <v>94.575058412142496</v>
      </c>
      <c r="AM1003">
        <v>92.487845212150503</v>
      </c>
      <c r="AN1003">
        <v>1.00000004876113</v>
      </c>
    </row>
    <row r="1004" spans="1:40" x14ac:dyDescent="0.25">
      <c r="A1004" t="str">
        <f>"20190305135213215"</f>
        <v>20190305135213215</v>
      </c>
      <c r="B1004" t="str">
        <f>"1551765133210409"</f>
        <v>1551765133210409</v>
      </c>
      <c r="C1004" t="s">
        <v>40</v>
      </c>
      <c r="D1004">
        <v>4.5879760000000003</v>
      </c>
      <c r="E1004">
        <v>0.50191960000000002</v>
      </c>
      <c r="F1004" t="s">
        <v>42</v>
      </c>
      <c r="G1004">
        <v>-232.09379999999999</v>
      </c>
      <c r="H1004" s="1">
        <v>-3.4408449999999999E-6</v>
      </c>
      <c r="I1004">
        <v>369.23989999999998</v>
      </c>
      <c r="J1004">
        <v>-249.89330000000001</v>
      </c>
      <c r="K1004">
        <v>1.109094</v>
      </c>
      <c r="L1004">
        <v>368.45089999999999</v>
      </c>
      <c r="M1004">
        <v>0.99989059999999996</v>
      </c>
      <c r="N1004">
        <v>-1.4136869999999999E-2</v>
      </c>
      <c r="O1004">
        <v>4.3656750000000003E-3</v>
      </c>
      <c r="P1004">
        <v>0.99445890000000003</v>
      </c>
      <c r="Q1004">
        <v>-9.3676430000000005E-2</v>
      </c>
      <c r="R1004">
        <v>4.7710629999999997E-2</v>
      </c>
      <c r="S1004">
        <v>2.9929809999999999</v>
      </c>
      <c r="T1004">
        <v>-0.18495059999999999</v>
      </c>
      <c r="U1004">
        <v>0.131683299999999</v>
      </c>
      <c r="V1004">
        <v>-4.3373700000000001E-2</v>
      </c>
      <c r="W1004">
        <v>-7.9602729999999997E-2</v>
      </c>
      <c r="X1004">
        <v>0.99588259999999995</v>
      </c>
      <c r="Y1004">
        <v>-3.9505020000000002E-2</v>
      </c>
      <c r="Z1004">
        <v>1.29083E-3</v>
      </c>
      <c r="AA1004">
        <v>0.99921850000000001</v>
      </c>
      <c r="AB1004">
        <v>30</v>
      </c>
      <c r="AC1004">
        <v>17.799499999999998</v>
      </c>
      <c r="AD1004">
        <v>-1.1090974408450001</v>
      </c>
      <c r="AE1004">
        <v>0.78899999999998705</v>
      </c>
      <c r="AF1004">
        <v>-0.70853232599362204</v>
      </c>
      <c r="AG1004">
        <v>-1.1090974408450001</v>
      </c>
      <c r="AH1004">
        <v>17.734055804179601</v>
      </c>
      <c r="AI1004">
        <v>93.575802744767103</v>
      </c>
      <c r="AJ1004">
        <v>92.287933032275404</v>
      </c>
      <c r="AK1004">
        <v>17.782824591611501</v>
      </c>
      <c r="AL1004">
        <v>94.565730958247499</v>
      </c>
      <c r="AM1004">
        <v>92.493828507785594</v>
      </c>
      <c r="AN1004">
        <v>1.0000000127289499</v>
      </c>
    </row>
    <row r="1005" spans="1:40" x14ac:dyDescent="0.25">
      <c r="A1005" t="str">
        <f>"20190305135213226"</f>
        <v>20190305135213226</v>
      </c>
      <c r="B1005" t="str">
        <f>"1551765133220169"</f>
        <v>1551765133220169</v>
      </c>
      <c r="C1005" t="s">
        <v>40</v>
      </c>
      <c r="D1005">
        <v>4.5974589999999997</v>
      </c>
      <c r="E1005">
        <v>0.50194070000000002</v>
      </c>
      <c r="F1005" t="s">
        <v>42</v>
      </c>
      <c r="G1005">
        <v>-231.911</v>
      </c>
      <c r="H1005" s="1">
        <v>-3.518858E-6</v>
      </c>
      <c r="I1005">
        <v>369.24220000000003</v>
      </c>
      <c r="J1005">
        <v>-249.74430000000001</v>
      </c>
      <c r="K1005">
        <v>1.109094</v>
      </c>
      <c r="L1005">
        <v>368.45150000000001</v>
      </c>
      <c r="M1005">
        <v>0.99989070000000002</v>
      </c>
      <c r="N1005">
        <v>-1.414149E-2</v>
      </c>
      <c r="O1005">
        <v>4.3582539999999998E-3</v>
      </c>
      <c r="P1005">
        <v>0.99446069999999998</v>
      </c>
      <c r="Q1005">
        <v>-9.3890699999999994E-2</v>
      </c>
      <c r="R1005">
        <v>4.7253780000000002E-2</v>
      </c>
      <c r="S1005">
        <v>2.9930110000000001</v>
      </c>
      <c r="T1005">
        <v>-0.18459929999999999</v>
      </c>
      <c r="U1005">
        <v>0.13171389999999999</v>
      </c>
      <c r="V1005">
        <v>-4.2924219999999999E-2</v>
      </c>
      <c r="W1005">
        <v>-7.9812419999999995E-2</v>
      </c>
      <c r="X1005">
        <v>0.99588529999999997</v>
      </c>
      <c r="Y1005">
        <v>-3.9522410000000001E-2</v>
      </c>
      <c r="Z1005">
        <v>1.2901410000000001E-3</v>
      </c>
      <c r="AA1005">
        <v>0.99921789999999999</v>
      </c>
      <c r="AB1005">
        <v>30</v>
      </c>
      <c r="AC1005">
        <v>17.833300000000001</v>
      </c>
      <c r="AD1005">
        <v>-1.1090975188579999</v>
      </c>
      <c r="AE1005">
        <v>0.79070000000001495</v>
      </c>
      <c r="AF1005">
        <v>-0.710221001387771</v>
      </c>
      <c r="AG1005">
        <v>-1.1090975188579999</v>
      </c>
      <c r="AH1005">
        <v>17.7679869322786</v>
      </c>
      <c r="AI1005">
        <v>93.568989369517695</v>
      </c>
      <c r="AJ1005">
        <v>92.289005191532098</v>
      </c>
      <c r="AK1005">
        <v>17.816730081661198</v>
      </c>
      <c r="AL1005">
        <v>94.577783620827006</v>
      </c>
      <c r="AM1005">
        <v>92.4680104978396</v>
      </c>
      <c r="AN1005">
        <v>1.00000002090247</v>
      </c>
    </row>
    <row r="1006" spans="1:40" x14ac:dyDescent="0.25">
      <c r="A1006" t="str">
        <f>"20190305135213237"</f>
        <v>20190305135213237</v>
      </c>
      <c r="B1006" t="str">
        <f>"1551765133229928"</f>
        <v>1551765133229928</v>
      </c>
      <c r="C1006" t="s">
        <v>40</v>
      </c>
      <c r="D1006">
        <v>4.5931189999999997</v>
      </c>
      <c r="E1006">
        <v>0.5019074</v>
      </c>
      <c r="F1006" t="s">
        <v>42</v>
      </c>
      <c r="G1006">
        <v>-231.8459</v>
      </c>
      <c r="H1006" s="1">
        <v>-3.5488919999999998E-6</v>
      </c>
      <c r="I1006">
        <v>369.23039999999997</v>
      </c>
      <c r="J1006">
        <v>-249.58099999999999</v>
      </c>
      <c r="K1006">
        <v>1.109089</v>
      </c>
      <c r="L1006">
        <v>368.45229999999998</v>
      </c>
      <c r="M1006">
        <v>0.99989059999999996</v>
      </c>
      <c r="N1006">
        <v>-1.414574E-2</v>
      </c>
      <c r="O1006">
        <v>4.3504759999999998E-3</v>
      </c>
      <c r="P1006">
        <v>0.99447269999999999</v>
      </c>
      <c r="Q1006">
        <v>-9.375414E-2</v>
      </c>
      <c r="R1006">
        <v>4.7269890000000002E-2</v>
      </c>
      <c r="S1006">
        <v>2.9930270000000001</v>
      </c>
      <c r="T1006">
        <v>-0.1854652</v>
      </c>
      <c r="U1006">
        <v>0.130249</v>
      </c>
      <c r="V1006">
        <v>-4.2948449999999999E-2</v>
      </c>
      <c r="W1006">
        <v>-7.9671489999999998E-2</v>
      </c>
      <c r="X1006">
        <v>0.99589550000000004</v>
      </c>
      <c r="Y1006">
        <v>-3.9042239999999999E-2</v>
      </c>
      <c r="Z1006">
        <v>1.2768040000000001E-3</v>
      </c>
      <c r="AA1006">
        <v>0.99923680000000004</v>
      </c>
      <c r="AB1006">
        <v>29</v>
      </c>
      <c r="AC1006">
        <v>17.7350999999999</v>
      </c>
      <c r="AD1006">
        <v>-1.109092548892</v>
      </c>
      <c r="AE1006">
        <v>0.77809999999999402</v>
      </c>
      <c r="AF1006">
        <v>-0.69820349153905303</v>
      </c>
      <c r="AG1006">
        <v>-1.109092548892</v>
      </c>
      <c r="AH1006">
        <v>17.669348617479201</v>
      </c>
      <c r="AI1006">
        <v>93.588910027794299</v>
      </c>
      <c r="AJ1006">
        <v>92.262862792994397</v>
      </c>
      <c r="AK1006">
        <v>17.717885171871401</v>
      </c>
      <c r="AL1006">
        <v>94.569683312460597</v>
      </c>
      <c r="AM1006">
        <v>92.469376663744697</v>
      </c>
      <c r="AN1006">
        <v>0.99999998129823597</v>
      </c>
    </row>
    <row r="1007" spans="1:40" x14ac:dyDescent="0.25">
      <c r="A1007" t="str">
        <f>"20190305135213249"</f>
        <v>20190305135213249</v>
      </c>
      <c r="B1007" t="str">
        <f>"1551765133240665"</f>
        <v>1551765133240665</v>
      </c>
      <c r="C1007" t="s">
        <v>40</v>
      </c>
      <c r="D1007">
        <v>4.5933609999999998</v>
      </c>
      <c r="E1007">
        <v>0.5018726</v>
      </c>
      <c r="F1007" t="s">
        <v>42</v>
      </c>
      <c r="G1007">
        <v>-231.65639999999999</v>
      </c>
      <c r="H1007" s="1">
        <v>-3.6294430000000001E-6</v>
      </c>
      <c r="I1007">
        <v>369.23439999999999</v>
      </c>
      <c r="J1007">
        <v>-249.43090000000001</v>
      </c>
      <c r="K1007">
        <v>1.109091</v>
      </c>
      <c r="L1007">
        <v>368.4529</v>
      </c>
      <c r="M1007">
        <v>0.99989059999999996</v>
      </c>
      <c r="N1007">
        <v>-1.414935E-2</v>
      </c>
      <c r="O1007">
        <v>4.3434179999999999E-3</v>
      </c>
      <c r="P1007">
        <v>0.99449969999999999</v>
      </c>
      <c r="Q1007">
        <v>-9.3604229999999997E-2</v>
      </c>
      <c r="R1007">
        <v>4.699681E-2</v>
      </c>
      <c r="S1007">
        <v>2.993042</v>
      </c>
      <c r="T1007">
        <v>-0.185195</v>
      </c>
      <c r="U1007">
        <v>0.13061519999999999</v>
      </c>
      <c r="V1007">
        <v>-4.2682089999999999E-2</v>
      </c>
      <c r="W1007">
        <v>-7.9517660000000004E-2</v>
      </c>
      <c r="X1007">
        <v>0.99591929999999995</v>
      </c>
      <c r="Y1007">
        <v>-3.9170999999999997E-2</v>
      </c>
      <c r="Z1007">
        <v>1.280745E-3</v>
      </c>
      <c r="AA1007">
        <v>0.99923169999999994</v>
      </c>
      <c r="AB1007">
        <v>29</v>
      </c>
      <c r="AC1007">
        <v>17.7745</v>
      </c>
      <c r="AD1007">
        <v>-1.109094629443</v>
      </c>
      <c r="AE1007">
        <v>0.78149999999999398</v>
      </c>
      <c r="AF1007">
        <v>-0.70155657089053303</v>
      </c>
      <c r="AG1007">
        <v>-1.109094629443</v>
      </c>
      <c r="AH1007">
        <v>17.708910061578099</v>
      </c>
      <c r="AI1007">
        <v>93.5809057810079</v>
      </c>
      <c r="AJ1007">
        <v>92.268644533289006</v>
      </c>
      <c r="AK1007">
        <v>17.757470768335299</v>
      </c>
      <c r="AL1007">
        <v>94.560841201993199</v>
      </c>
      <c r="AM1007">
        <v>92.454022158372595</v>
      </c>
      <c r="AN1007">
        <v>1.0000000355855601</v>
      </c>
    </row>
    <row r="1008" spans="1:40" x14ac:dyDescent="0.25">
      <c r="A1008" t="str">
        <f>"20190305135213260"</f>
        <v>20190305135213260</v>
      </c>
      <c r="B1008" t="str">
        <f>"1551765133250427"</f>
        <v>1551765133250427</v>
      </c>
      <c r="C1008" t="s">
        <v>40</v>
      </c>
      <c r="D1008">
        <v>4.5927110000000004</v>
      </c>
      <c r="E1008">
        <v>0.5018494</v>
      </c>
      <c r="F1008" t="s">
        <v>42</v>
      </c>
      <c r="G1008">
        <v>-231.4753</v>
      </c>
      <c r="H1008" s="1">
        <v>-3.7074639999999999E-6</v>
      </c>
      <c r="I1008">
        <v>369.23259999999999</v>
      </c>
      <c r="J1008">
        <v>-249.28899999999999</v>
      </c>
      <c r="K1008">
        <v>1.109097</v>
      </c>
      <c r="L1008">
        <v>368.45350000000002</v>
      </c>
      <c r="M1008">
        <v>0.99989050000000002</v>
      </c>
      <c r="N1008">
        <v>-1.4152349999999999E-2</v>
      </c>
      <c r="O1008">
        <v>4.3366630000000001E-3</v>
      </c>
      <c r="P1008">
        <v>0.99445209999999995</v>
      </c>
      <c r="Q1008">
        <v>-9.3996979999999994E-2</v>
      </c>
      <c r="R1008">
        <v>4.7218969999999999E-2</v>
      </c>
      <c r="S1008">
        <v>2.9930569999999999</v>
      </c>
      <c r="T1008">
        <v>-0.1848766</v>
      </c>
      <c r="U1008">
        <v>0.12997439999999999</v>
      </c>
      <c r="V1008">
        <v>-4.2910589999999998E-2</v>
      </c>
      <c r="W1008">
        <v>-7.9908049999999994E-2</v>
      </c>
      <c r="X1008">
        <v>0.99587820000000005</v>
      </c>
      <c r="Y1008">
        <v>-3.8964720000000001E-2</v>
      </c>
      <c r="Z1008">
        <v>1.2716959999999999E-3</v>
      </c>
      <c r="AA1008">
        <v>0.99923980000000001</v>
      </c>
      <c r="AB1008">
        <v>29</v>
      </c>
      <c r="AC1008">
        <v>17.813700000000001</v>
      </c>
      <c r="AD1008">
        <v>-1.109100707464</v>
      </c>
      <c r="AE1008">
        <v>0.77909999999997104</v>
      </c>
      <c r="AF1008">
        <v>-0.699127967911362</v>
      </c>
      <c r="AG1008">
        <v>-1.109100707464</v>
      </c>
      <c r="AH1008">
        <v>17.7482427443109</v>
      </c>
      <c r="AI1008">
        <v>93.573041659234903</v>
      </c>
      <c r="AJ1008">
        <v>92.255794172536994</v>
      </c>
      <c r="AK1008">
        <v>17.796600934049099</v>
      </c>
      <c r="AL1008">
        <v>94.583280458190103</v>
      </c>
      <c r="AM1008">
        <v>92.467245351453499</v>
      </c>
      <c r="AN1008">
        <v>1.0000000022120901</v>
      </c>
    </row>
    <row r="1009" spans="1:40" x14ac:dyDescent="0.25">
      <c r="A1009" t="str">
        <f>"20190305135213271"</f>
        <v>20190305135213271</v>
      </c>
      <c r="B1009" t="str">
        <f>"1551765133260186"</f>
        <v>1551765133260186</v>
      </c>
      <c r="C1009" t="s">
        <v>40</v>
      </c>
      <c r="D1009">
        <v>4.6155359999999996</v>
      </c>
      <c r="E1009">
        <v>0.50185379999999902</v>
      </c>
      <c r="F1009" t="s">
        <v>42</v>
      </c>
      <c r="G1009">
        <v>-231.46260000000001</v>
      </c>
      <c r="H1009" s="1">
        <v>-3.7129800000000002E-6</v>
      </c>
      <c r="I1009">
        <v>369.23239999999998</v>
      </c>
      <c r="J1009">
        <v>-249.1387</v>
      </c>
      <c r="K1009">
        <v>1.1090990000000001</v>
      </c>
      <c r="L1009">
        <v>368.45420000000001</v>
      </c>
      <c r="M1009">
        <v>0.99989050000000002</v>
      </c>
      <c r="N1009">
        <v>-1.41552E-2</v>
      </c>
      <c r="O1009">
        <v>4.3293719999999997E-3</v>
      </c>
      <c r="P1009">
        <v>0.99447379999999996</v>
      </c>
      <c r="Q1009">
        <v>-9.3890790000000002E-2</v>
      </c>
      <c r="R1009">
        <v>4.6976339999999998E-2</v>
      </c>
      <c r="S1009">
        <v>2.9929199999999998</v>
      </c>
      <c r="T1009">
        <v>-0.1862087</v>
      </c>
      <c r="U1009">
        <v>0.13076779999999999</v>
      </c>
      <c r="V1009">
        <v>-4.2675440000000002E-2</v>
      </c>
      <c r="W1009">
        <v>-7.9798759999999996E-2</v>
      </c>
      <c r="X1009">
        <v>0.99589709999999998</v>
      </c>
      <c r="Y1009">
        <v>-3.9236630000000002E-2</v>
      </c>
      <c r="Z1009">
        <v>1.2892489999999999E-3</v>
      </c>
      <c r="AA1009">
        <v>0.99922909999999998</v>
      </c>
      <c r="AB1009">
        <v>29</v>
      </c>
      <c r="AC1009">
        <v>17.676099999999899</v>
      </c>
      <c r="AD1009">
        <v>-1.10910271298</v>
      </c>
      <c r="AE1009">
        <v>0.77819999999996903</v>
      </c>
      <c r="AF1009">
        <v>-0.69891230212093203</v>
      </c>
      <c r="AG1009">
        <v>-1.10910271298</v>
      </c>
      <c r="AH1009">
        <v>17.610106066391101</v>
      </c>
      <c r="AI1009">
        <v>93.600960165609493</v>
      </c>
      <c r="AJ1009">
        <v>92.272769931075004</v>
      </c>
      <c r="AK1009">
        <v>17.6588341320581</v>
      </c>
      <c r="AL1009">
        <v>94.576998393653298</v>
      </c>
      <c r="AM1009">
        <v>92.453694909918994</v>
      </c>
      <c r="AN1009">
        <v>1.0000000345325699</v>
      </c>
    </row>
    <row r="1010" spans="1:40" x14ac:dyDescent="0.25">
      <c r="A1010" t="str">
        <f>"20190305135213284"</f>
        <v>20190305135213284</v>
      </c>
      <c r="B1010" t="str">
        <f>"1551765133280681"</f>
        <v>1551765133280681</v>
      </c>
      <c r="C1010" t="s">
        <v>40</v>
      </c>
      <c r="D1010">
        <v>4.8962260000000004</v>
      </c>
      <c r="E1010">
        <v>0.52225359999999998</v>
      </c>
      <c r="F1010" t="s">
        <v>42</v>
      </c>
      <c r="G1010">
        <v>-231.2996</v>
      </c>
      <c r="H1010" s="1">
        <v>-3.7833569999999999E-6</v>
      </c>
      <c r="I1010">
        <v>369.22969999999998</v>
      </c>
      <c r="J1010">
        <v>-248.96799999999999</v>
      </c>
      <c r="K1010">
        <v>1.109103</v>
      </c>
      <c r="L1010">
        <v>368.45490000000001</v>
      </c>
      <c r="M1010">
        <v>0.99989059999999996</v>
      </c>
      <c r="N1010">
        <v>-1.4158169999999999E-2</v>
      </c>
      <c r="O1010">
        <v>4.3211259999999998E-3</v>
      </c>
      <c r="P1010">
        <v>0.99449169999999998</v>
      </c>
      <c r="Q1010">
        <v>-9.3758729999999998E-2</v>
      </c>
      <c r="R1010">
        <v>4.6858459999999998E-2</v>
      </c>
      <c r="S1010">
        <v>2.992966</v>
      </c>
      <c r="T1010">
        <v>-0.1860793</v>
      </c>
      <c r="U1010">
        <v>0.13012699999999999</v>
      </c>
      <c r="V1010">
        <v>-4.256571E-2</v>
      </c>
      <c r="W1010">
        <v>-7.9663520000000002E-2</v>
      </c>
      <c r="X1010">
        <v>0.99591260000000004</v>
      </c>
      <c r="Y1010">
        <v>-3.903123E-2</v>
      </c>
      <c r="Z1010">
        <v>1.281213E-3</v>
      </c>
      <c r="AA1010">
        <v>0.99923720000000005</v>
      </c>
      <c r="AB1010">
        <v>29</v>
      </c>
      <c r="AC1010">
        <v>17.668399999999899</v>
      </c>
      <c r="AD1010">
        <v>-1.1091067833570001</v>
      </c>
      <c r="AE1010">
        <v>0.77479999999996996</v>
      </c>
      <c r="AF1010">
        <v>-0.69570158563639295</v>
      </c>
      <c r="AG1010">
        <v>-1.1091067833570001</v>
      </c>
      <c r="AH1010">
        <v>17.602354257639401</v>
      </c>
      <c r="AI1010">
        <v>93.602578417743004</v>
      </c>
      <c r="AJ1010">
        <v>92.263335245607394</v>
      </c>
      <c r="AK1010">
        <v>17.650977139087299</v>
      </c>
      <c r="AL1010">
        <v>94.569225070883107</v>
      </c>
      <c r="AM1010">
        <v>92.447355439725996</v>
      </c>
      <c r="AN1010">
        <v>1.0000000114626699</v>
      </c>
    </row>
    <row r="1011" spans="1:40" x14ac:dyDescent="0.25">
      <c r="A1011" t="str">
        <f>"20190305135213298"</f>
        <v>20190305135213298</v>
      </c>
      <c r="B1011" t="str">
        <f>"1551765133290441"</f>
        <v>1551765133290441</v>
      </c>
      <c r="C1011" t="s">
        <v>40</v>
      </c>
      <c r="D1011">
        <v>4.8661519999999996</v>
      </c>
      <c r="E1011">
        <v>0.53242650000000002</v>
      </c>
      <c r="F1011" t="s">
        <v>42</v>
      </c>
      <c r="G1011">
        <v>-218.41739999999999</v>
      </c>
      <c r="H1011" s="1">
        <v>-9.210609E-7</v>
      </c>
      <c r="I1011">
        <v>368.15170000000001</v>
      </c>
      <c r="J1011">
        <v>-248.8058</v>
      </c>
      <c r="K1011">
        <v>1.109105</v>
      </c>
      <c r="L1011">
        <v>368.4556</v>
      </c>
      <c r="M1011">
        <v>0.99989059999999996</v>
      </c>
      <c r="N1011">
        <v>-1.416046E-2</v>
      </c>
      <c r="O1011">
        <v>4.3137160000000004E-3</v>
      </c>
      <c r="P1011">
        <v>0.99450249999999996</v>
      </c>
      <c r="Q1011">
        <v>-9.3705449999999996E-2</v>
      </c>
      <c r="R1011">
        <v>4.6738059999999998E-2</v>
      </c>
      <c r="S1011">
        <v>3.0077210000000001</v>
      </c>
      <c r="T1011">
        <v>-0.109191899999999</v>
      </c>
      <c r="U1011">
        <v>-2.9846190000000002E-2</v>
      </c>
      <c r="V1011">
        <v>-4.2452410000000003E-2</v>
      </c>
      <c r="W1011">
        <v>-7.9607810000000001E-2</v>
      </c>
      <c r="X1011">
        <v>0.99592190000000003</v>
      </c>
      <c r="Y1011">
        <v>1.4222469999999999E-2</v>
      </c>
      <c r="Z1011">
        <v>-4.543021E-4</v>
      </c>
      <c r="AA1011">
        <v>0.99989870000000003</v>
      </c>
      <c r="AB1011">
        <v>29</v>
      </c>
      <c r="AC1011">
        <v>30.388400000000001</v>
      </c>
      <c r="AD1011">
        <v>-1.1091059210609</v>
      </c>
      <c r="AE1011">
        <v>-0.30389999999999801</v>
      </c>
      <c r="AF1011">
        <v>0.434418599106692</v>
      </c>
      <c r="AG1011">
        <v>-1.1091059210609</v>
      </c>
      <c r="AH1011">
        <v>30.346386358105999</v>
      </c>
      <c r="AI1011">
        <v>92.092911946666504</v>
      </c>
      <c r="AJ1011">
        <v>89.179847908852494</v>
      </c>
      <c r="AK1011">
        <v>30.369754698693701</v>
      </c>
      <c r="AL1011">
        <v>94.566022910905801</v>
      </c>
      <c r="AM1011">
        <v>92.440826273821898</v>
      </c>
      <c r="AN1011">
        <v>1.0000000207137001</v>
      </c>
    </row>
    <row r="1012" spans="1:40" x14ac:dyDescent="0.25">
      <c r="A1012" t="str">
        <f>"20190305135213314"</f>
        <v>20190305135213314</v>
      </c>
      <c r="B1012" t="str">
        <f>"1551765133310936"</f>
        <v>1551765133310936</v>
      </c>
      <c r="C1012" t="s">
        <v>40</v>
      </c>
      <c r="D1012">
        <v>4.7314660000000002</v>
      </c>
      <c r="E1012">
        <v>0.54961230000000005</v>
      </c>
      <c r="F1012" t="s">
        <v>42</v>
      </c>
      <c r="G1012">
        <v>-217.92850000000001</v>
      </c>
      <c r="H1012" s="1">
        <v>-1.3032530000000001E-6</v>
      </c>
      <c r="I1012">
        <v>367.31540000000001</v>
      </c>
      <c r="J1012">
        <v>-248.5864</v>
      </c>
      <c r="K1012">
        <v>1.1091040000000001</v>
      </c>
      <c r="L1012">
        <v>368.45650000000001</v>
      </c>
      <c r="M1012">
        <v>0.99989059999999996</v>
      </c>
      <c r="N1012">
        <v>-1.416327E-2</v>
      </c>
      <c r="O1012">
        <v>4.3034429999999997E-3</v>
      </c>
      <c r="P1012">
        <v>0.99454350000000002</v>
      </c>
      <c r="Q1012">
        <v>-9.3381800000000001E-2</v>
      </c>
      <c r="R1012">
        <v>4.6512419999999999E-2</v>
      </c>
      <c r="S1012">
        <v>3.0116269999999998</v>
      </c>
      <c r="T1012">
        <v>-0.1081767</v>
      </c>
      <c r="U1012">
        <v>-0.1112061</v>
      </c>
      <c r="V1012">
        <v>-4.2236969999999999E-2</v>
      </c>
      <c r="W1012">
        <v>-7.928085E-2</v>
      </c>
      <c r="X1012">
        <v>0.99595710000000004</v>
      </c>
      <c r="Y1012">
        <v>4.1163030000000003E-2</v>
      </c>
      <c r="Z1012">
        <v>-1.1240969999999999E-3</v>
      </c>
      <c r="AA1012">
        <v>0.99915180000000003</v>
      </c>
      <c r="AB1012">
        <v>29</v>
      </c>
      <c r="AC1012">
        <v>30.657899999999898</v>
      </c>
      <c r="AD1012">
        <v>-1.1091053032529901</v>
      </c>
      <c r="AE1012">
        <v>-1.14109999999999</v>
      </c>
      <c r="AF1012">
        <v>1.2713755434008001</v>
      </c>
      <c r="AG1012">
        <v>-1.1091053032529901</v>
      </c>
      <c r="AH1012">
        <v>30.612695592024998</v>
      </c>
      <c r="AI1012">
        <v>92.073146703883197</v>
      </c>
      <c r="AJ1012">
        <v>87.621816261866798</v>
      </c>
      <c r="AK1012">
        <v>30.659152658807301</v>
      </c>
      <c r="AL1012">
        <v>94.547230270596302</v>
      </c>
      <c r="AM1012">
        <v>92.428368565814907</v>
      </c>
      <c r="AN1012">
        <v>0.99999997992595602</v>
      </c>
    </row>
    <row r="1013" spans="1:40" x14ac:dyDescent="0.25">
      <c r="A1013" t="str">
        <f>"20190305135213329"</f>
        <v>20190305135213329</v>
      </c>
      <c r="B1013" t="str">
        <f>"1551765133320698"</f>
        <v>1551765133320698</v>
      </c>
      <c r="C1013" t="s">
        <v>40</v>
      </c>
      <c r="D1013">
        <v>4.7046070000000002</v>
      </c>
      <c r="E1013">
        <v>0.55529490000000004</v>
      </c>
      <c r="F1013" t="s">
        <v>42</v>
      </c>
      <c r="G1013">
        <v>-224.9143</v>
      </c>
      <c r="H1013" s="1">
        <v>-2.7183369999999998E-6</v>
      </c>
      <c r="I1013">
        <v>366.49160000000001</v>
      </c>
      <c r="J1013">
        <v>-248.38290000000001</v>
      </c>
      <c r="K1013">
        <v>1.1091059999999999</v>
      </c>
      <c r="L1013">
        <v>368.45740000000001</v>
      </c>
      <c r="M1013">
        <v>0.99989039999999996</v>
      </c>
      <c r="N1013">
        <v>-1.416546E-2</v>
      </c>
      <c r="O1013">
        <v>4.2940110000000004E-3</v>
      </c>
      <c r="P1013">
        <v>0.99455760000000004</v>
      </c>
      <c r="Q1013">
        <v>-9.3404070000000006E-2</v>
      </c>
      <c r="R1013">
        <v>4.616468E-2</v>
      </c>
      <c r="S1013">
        <v>3.0148929999999998</v>
      </c>
      <c r="T1013">
        <v>-0.1412562</v>
      </c>
      <c r="U1013">
        <v>-0.25024410000000002</v>
      </c>
      <c r="V1013">
        <v>-4.189876E-2</v>
      </c>
      <c r="W1013">
        <v>-7.9300780000000001E-2</v>
      </c>
      <c r="X1013">
        <v>0.99596980000000002</v>
      </c>
      <c r="Y1013">
        <v>8.6871450000000003E-2</v>
      </c>
      <c r="Z1013">
        <v>-2.787337E-3</v>
      </c>
      <c r="AA1013">
        <v>0.99621559999999998</v>
      </c>
      <c r="AB1013">
        <v>29</v>
      </c>
      <c r="AC1013">
        <v>23.468599999999999</v>
      </c>
      <c r="AD1013">
        <v>-1.1091087183370001</v>
      </c>
      <c r="AE1013">
        <v>-1.9658</v>
      </c>
      <c r="AF1013">
        <v>2.0619931697159402</v>
      </c>
      <c r="AG1013">
        <v>-1.1091087183370001</v>
      </c>
      <c r="AH1013">
        <v>23.4080254637332</v>
      </c>
      <c r="AI1013">
        <v>92.702285877689903</v>
      </c>
      <c r="AJ1013">
        <v>84.965857539466299</v>
      </c>
      <c r="AK1013">
        <v>23.524829310577999</v>
      </c>
      <c r="AL1013">
        <v>94.548375776515002</v>
      </c>
      <c r="AM1013">
        <v>92.408915868677099</v>
      </c>
      <c r="AN1013">
        <v>0.99999998115509203</v>
      </c>
    </row>
    <row r="1014" spans="1:40" x14ac:dyDescent="0.25">
      <c r="A1014" t="str">
        <f>"20190305135213342"</f>
        <v>20190305135213342</v>
      </c>
      <c r="B1014" t="str">
        <f>"1551765133330457"</f>
        <v>1551765133330457</v>
      </c>
      <c r="C1014" t="s">
        <v>40</v>
      </c>
      <c r="D1014">
        <v>4.676488</v>
      </c>
      <c r="E1014">
        <v>0.55890709999999999</v>
      </c>
      <c r="F1014" t="s">
        <v>42</v>
      </c>
      <c r="G1014">
        <v>-225.3082</v>
      </c>
      <c r="H1014" s="1">
        <v>-2.6031149999999999E-6</v>
      </c>
      <c r="I1014">
        <v>366.18880000000001</v>
      </c>
      <c r="J1014">
        <v>-248.21780000000001</v>
      </c>
      <c r="K1014">
        <v>1.109113</v>
      </c>
      <c r="L1014">
        <v>368.4581</v>
      </c>
      <c r="M1014">
        <v>0.99989050000000002</v>
      </c>
      <c r="N1014">
        <v>-1.4166899999999901E-2</v>
      </c>
      <c r="O1014">
        <v>4.2858990000000001E-3</v>
      </c>
      <c r="P1014">
        <v>0.9945676</v>
      </c>
      <c r="Q1014">
        <v>-9.328285E-2</v>
      </c>
      <c r="R1014">
        <v>4.6191070000000001E-2</v>
      </c>
      <c r="S1014">
        <v>3.016556</v>
      </c>
      <c r="T1014">
        <v>-0.14499310000000001</v>
      </c>
      <c r="U1014">
        <v>-0.29656979999999999</v>
      </c>
      <c r="V1014">
        <v>-4.193289E-2</v>
      </c>
      <c r="W1014">
        <v>-7.9178029999999996E-2</v>
      </c>
      <c r="X1014">
        <v>0.99597820000000004</v>
      </c>
      <c r="Y1014">
        <v>0.1019535</v>
      </c>
      <c r="Z1014">
        <v>-3.3122899999999999E-3</v>
      </c>
      <c r="AA1014">
        <v>0.99478359999999999</v>
      </c>
      <c r="AB1014">
        <v>29</v>
      </c>
      <c r="AC1014">
        <v>22.909600000000001</v>
      </c>
      <c r="AD1014">
        <v>-1.109115603115</v>
      </c>
      <c r="AE1014">
        <v>-2.2692999999999799</v>
      </c>
      <c r="AF1014">
        <v>2.3619950071327498</v>
      </c>
      <c r="AG1014">
        <v>-1.109115603115</v>
      </c>
      <c r="AH1014">
        <v>22.846635167349099</v>
      </c>
      <c r="AI1014">
        <v>92.764593825816803</v>
      </c>
      <c r="AJ1014">
        <v>84.097456804779796</v>
      </c>
      <c r="AK1014">
        <v>22.995171151890698</v>
      </c>
      <c r="AL1014">
        <v>94.541320215885406</v>
      </c>
      <c r="AM1014">
        <v>92.410855506031496</v>
      </c>
      <c r="AN1014">
        <v>1.0000000512868299</v>
      </c>
    </row>
    <row r="1015" spans="1:40" x14ac:dyDescent="0.25">
      <c r="A1015" t="str">
        <f>"20190305135213354"</f>
        <v>20190305135213354</v>
      </c>
      <c r="B1015" t="str">
        <f>"1551765133349976"</f>
        <v>1551765133349976</v>
      </c>
      <c r="C1015" t="s">
        <v>40</v>
      </c>
      <c r="D1015">
        <v>4.6342100000000004</v>
      </c>
      <c r="E1015">
        <v>0.56376789999999999</v>
      </c>
      <c r="F1015" t="s">
        <v>42</v>
      </c>
      <c r="G1015">
        <v>-225.07390000000001</v>
      </c>
      <c r="H1015" s="1">
        <v>-2.743873E-6</v>
      </c>
      <c r="I1015">
        <v>365.96179999999998</v>
      </c>
      <c r="J1015">
        <v>-248.0583</v>
      </c>
      <c r="K1015">
        <v>1.109116</v>
      </c>
      <c r="L1015">
        <v>368.45870000000002</v>
      </c>
      <c r="M1015">
        <v>0.99989050000000002</v>
      </c>
      <c r="N1015">
        <v>-1.416799E-2</v>
      </c>
      <c r="O1015">
        <v>4.2780270000000002E-3</v>
      </c>
      <c r="P1015">
        <v>0.99453749999999996</v>
      </c>
      <c r="Q1015">
        <v>-9.3554880000000007E-2</v>
      </c>
      <c r="R1015">
        <v>4.6285449999999999E-2</v>
      </c>
      <c r="S1015">
        <v>3.0178989999999999</v>
      </c>
      <c r="T1015">
        <v>-0.1446249</v>
      </c>
      <c r="U1015">
        <v>-0.32550050000000003</v>
      </c>
      <c r="V1015">
        <v>-4.2035030000000001E-2</v>
      </c>
      <c r="W1015">
        <v>-7.9449389999999995E-2</v>
      </c>
      <c r="X1015">
        <v>0.99595219999999995</v>
      </c>
      <c r="Y1015">
        <v>0.11132110000000001</v>
      </c>
      <c r="Z1015">
        <v>-3.5935659999999999E-3</v>
      </c>
      <c r="AA1015">
        <v>0.99377800000000005</v>
      </c>
      <c r="AB1015">
        <v>29</v>
      </c>
      <c r="AC1015">
        <v>22.984399999999901</v>
      </c>
      <c r="AD1015">
        <v>-1.1091187438729999</v>
      </c>
      <c r="AE1015">
        <v>-2.4969000000000299</v>
      </c>
      <c r="AF1015">
        <v>2.5892559529059702</v>
      </c>
      <c r="AG1015">
        <v>-1.1091187438729999</v>
      </c>
      <c r="AH1015">
        <v>22.920756641651</v>
      </c>
      <c r="AI1015">
        <v>92.752858142498496</v>
      </c>
      <c r="AJ1015">
        <v>83.554873779046005</v>
      </c>
      <c r="AK1015">
        <v>23.0931911134745</v>
      </c>
      <c r="AL1015">
        <v>94.556917517634105</v>
      </c>
      <c r="AM1015">
        <v>92.416783921312401</v>
      </c>
      <c r="AN1015">
        <v>0.99999996700165505</v>
      </c>
    </row>
    <row r="1016" spans="1:40" x14ac:dyDescent="0.25">
      <c r="A1016" t="str">
        <f>"20190305135213369"</f>
        <v>20190305135213369</v>
      </c>
      <c r="B1016" t="str">
        <f>"1551765133360715"</f>
        <v>1551765133360715</v>
      </c>
      <c r="C1016" t="s">
        <v>40</v>
      </c>
      <c r="D1016">
        <v>4.654293</v>
      </c>
      <c r="E1016">
        <v>0.56530360000000002</v>
      </c>
      <c r="F1016" t="s">
        <v>42</v>
      </c>
      <c r="G1016">
        <v>-224.93010000000001</v>
      </c>
      <c r="H1016" s="1">
        <v>-2.856751E-6</v>
      </c>
      <c r="I1016">
        <v>365.67309999999998</v>
      </c>
      <c r="J1016">
        <v>-247.85939999999999</v>
      </c>
      <c r="K1016">
        <v>1.1091089999999999</v>
      </c>
      <c r="L1016">
        <v>368.45960000000002</v>
      </c>
      <c r="M1016">
        <v>0.99989050000000002</v>
      </c>
      <c r="N1016">
        <v>-1.41691E-2</v>
      </c>
      <c r="O1016">
        <v>4.2680690000000002E-3</v>
      </c>
      <c r="P1016">
        <v>0.99455369999999998</v>
      </c>
      <c r="Q1016">
        <v>-9.3406799999999998E-2</v>
      </c>
      <c r="R1016">
        <v>4.6241270000000001E-2</v>
      </c>
      <c r="S1016">
        <v>3.0197750000000001</v>
      </c>
      <c r="T1016">
        <v>-0.1448139</v>
      </c>
      <c r="U1016">
        <v>-0.36370849999999999</v>
      </c>
      <c r="V1016">
        <v>-4.2000870000000003E-2</v>
      </c>
      <c r="W1016">
        <v>-7.9300019999999999E-2</v>
      </c>
      <c r="X1016">
        <v>0.99596560000000001</v>
      </c>
      <c r="Y1016">
        <v>0.1236305</v>
      </c>
      <c r="Z1016">
        <v>-3.9753219999999999E-3</v>
      </c>
      <c r="AA1016">
        <v>0.99232039999999999</v>
      </c>
      <c r="AB1016">
        <v>29</v>
      </c>
      <c r="AC1016">
        <v>22.929299999999898</v>
      </c>
      <c r="AD1016">
        <v>-1.1091118567509901</v>
      </c>
      <c r="AE1016">
        <v>-2.7865000000000402</v>
      </c>
      <c r="AF1016">
        <v>2.8777131420429698</v>
      </c>
      <c r="AG1016">
        <v>-1.1091118567509901</v>
      </c>
      <c r="AH1016">
        <v>22.864478398160099</v>
      </c>
      <c r="AI1016">
        <v>92.755426965905897</v>
      </c>
      <c r="AJ1016">
        <v>82.826497431618904</v>
      </c>
      <c r="AK1016">
        <v>23.071535156088</v>
      </c>
      <c r="AL1016">
        <v>94.548331911096497</v>
      </c>
      <c r="AM1016">
        <v>92.414789783184602</v>
      </c>
      <c r="AN1016">
        <v>1.00000002131805</v>
      </c>
    </row>
    <row r="1017" spans="1:40" x14ac:dyDescent="0.25">
      <c r="A1017" t="str">
        <f>"20190305135213383"</f>
        <v>20190305135213383</v>
      </c>
      <c r="B1017" t="str">
        <f>"1551765133370473"</f>
        <v>1551765133370473</v>
      </c>
      <c r="C1017" t="s">
        <v>40</v>
      </c>
      <c r="D1017">
        <v>4.6557459999999997</v>
      </c>
      <c r="E1017">
        <v>0.56640659999999998</v>
      </c>
      <c r="F1017" t="s">
        <v>42</v>
      </c>
      <c r="G1017">
        <v>-225.1294</v>
      </c>
      <c r="H1017" s="1">
        <v>-2.7796649999999999E-6</v>
      </c>
      <c r="I1017">
        <v>365.62569999999999</v>
      </c>
      <c r="J1017">
        <v>-247.6875</v>
      </c>
      <c r="K1017">
        <v>1.1091120000000001</v>
      </c>
      <c r="L1017">
        <v>368.46030000000002</v>
      </c>
      <c r="M1017">
        <v>0.99989050000000002</v>
      </c>
      <c r="N1017">
        <v>-1.416982E-2</v>
      </c>
      <c r="O1017">
        <v>4.2596609999999997E-3</v>
      </c>
      <c r="P1017">
        <v>0.99454980000000004</v>
      </c>
      <c r="Q1017">
        <v>-9.3489589999999997E-2</v>
      </c>
      <c r="R1017">
        <v>4.6155990000000001E-2</v>
      </c>
      <c r="S1017">
        <v>3.0200960000000001</v>
      </c>
      <c r="T1017">
        <v>-0.14736529999999901</v>
      </c>
      <c r="U1017">
        <v>-0.37652590000000002</v>
      </c>
      <c r="V1017">
        <v>-4.1924129999999997E-2</v>
      </c>
      <c r="W1017">
        <v>-7.9382170000000002E-2</v>
      </c>
      <c r="X1017">
        <v>0.99596229999999997</v>
      </c>
      <c r="Y1017">
        <v>0.12774569999999999</v>
      </c>
      <c r="Z1017">
        <v>-4.1589579999999999E-3</v>
      </c>
      <c r="AA1017">
        <v>0.99179819999999996</v>
      </c>
      <c r="AB1017">
        <v>29</v>
      </c>
      <c r="AC1017">
        <v>22.5581</v>
      </c>
      <c r="AD1017">
        <v>-1.1091147796650001</v>
      </c>
      <c r="AE1017">
        <v>-2.83460000000002</v>
      </c>
      <c r="AF1017">
        <v>2.9237158710668298</v>
      </c>
      <c r="AG1017">
        <v>-1.1091147796650001</v>
      </c>
      <c r="AH1017">
        <v>22.492292053154799</v>
      </c>
      <c r="AI1017">
        <v>92.799504602597295</v>
      </c>
      <c r="AJ1017">
        <v>82.593794527510298</v>
      </c>
      <c r="AK1017">
        <v>22.708620651497402</v>
      </c>
      <c r="AL1017">
        <v>94.5530535942911</v>
      </c>
      <c r="AM1017">
        <v>92.410390894367197</v>
      </c>
      <c r="AN1017">
        <v>1.0000000323057201</v>
      </c>
    </row>
    <row r="1018" spans="1:40" x14ac:dyDescent="0.25">
      <c r="A1018" t="str">
        <f>"20190305135213395"</f>
        <v>20190305135213395</v>
      </c>
      <c r="B1018" t="str">
        <f>"1551765133390969"</f>
        <v>1551765133390969</v>
      </c>
      <c r="C1018" t="s">
        <v>40</v>
      </c>
      <c r="D1018">
        <v>4.6891489999999996</v>
      </c>
      <c r="E1018">
        <v>0.56807869999999905</v>
      </c>
      <c r="F1018" t="s">
        <v>42</v>
      </c>
      <c r="G1018">
        <v>-225.42609999999999</v>
      </c>
      <c r="H1018" s="1">
        <v>-2.6539920000000001E-6</v>
      </c>
      <c r="I1018">
        <v>365.61669999999998</v>
      </c>
      <c r="J1018">
        <v>-247.52440000000001</v>
      </c>
      <c r="K1018">
        <v>1.1091150000000001</v>
      </c>
      <c r="L1018">
        <v>368.46100000000001</v>
      </c>
      <c r="M1018">
        <v>0.99989059999999996</v>
      </c>
      <c r="N1018">
        <v>-1.417027E-2</v>
      </c>
      <c r="O1018">
        <v>4.2519070000000001E-3</v>
      </c>
      <c r="P1018">
        <v>0.99453420000000003</v>
      </c>
      <c r="Q1018">
        <v>-9.3567479999999995E-2</v>
      </c>
      <c r="R1018">
        <v>4.6336549999999997E-2</v>
      </c>
      <c r="S1018">
        <v>3.0201720000000001</v>
      </c>
      <c r="T1018">
        <v>-0.15047140000000001</v>
      </c>
      <c r="U1018">
        <v>-0.38577270000000002</v>
      </c>
      <c r="V1018">
        <v>-4.2112410000000003E-2</v>
      </c>
      <c r="W1018">
        <v>-7.9459760000000004E-2</v>
      </c>
      <c r="X1018">
        <v>0.9959481</v>
      </c>
      <c r="Y1018">
        <v>0.1307113</v>
      </c>
      <c r="Z1018">
        <v>-4.3225149999999999E-3</v>
      </c>
      <c r="AA1018">
        <v>0.99141100000000004</v>
      </c>
      <c r="AB1018">
        <v>29</v>
      </c>
      <c r="AC1018">
        <v>22.098299999999998</v>
      </c>
      <c r="AD1018">
        <v>-1.109117653992</v>
      </c>
      <c r="AE1018">
        <v>-2.8443000000000298</v>
      </c>
      <c r="AF1018">
        <v>2.9309806549824802</v>
      </c>
      <c r="AG1018">
        <v>-1.109117653992</v>
      </c>
      <c r="AH1018">
        <v>22.031411407378499</v>
      </c>
      <c r="AI1018">
        <v>92.856855024010102</v>
      </c>
      <c r="AJ1018">
        <v>82.422070596053103</v>
      </c>
      <c r="AK1018">
        <v>22.253176810771201</v>
      </c>
      <c r="AL1018">
        <v>94.557513576577193</v>
      </c>
      <c r="AM1018">
        <v>92.421237513151993</v>
      </c>
      <c r="AN1018">
        <v>0.99999996321443696</v>
      </c>
    </row>
    <row r="1019" spans="1:40" x14ac:dyDescent="0.25">
      <c r="A1019" t="str">
        <f>"20190305135213408"</f>
        <v>20190305135213408</v>
      </c>
      <c r="B1019" t="str">
        <f>"1551765133400728"</f>
        <v>1551765133400728</v>
      </c>
      <c r="C1019" t="s">
        <v>40</v>
      </c>
      <c r="D1019">
        <v>4.6755589999999998</v>
      </c>
      <c r="E1019">
        <v>0.56877250000000001</v>
      </c>
      <c r="F1019" t="s">
        <v>42</v>
      </c>
      <c r="G1019">
        <v>-225.30199999999999</v>
      </c>
      <c r="H1019" s="1">
        <v>-2.7227589999999999E-6</v>
      </c>
      <c r="I1019">
        <v>365.529</v>
      </c>
      <c r="J1019">
        <v>-247.35599999999999</v>
      </c>
      <c r="K1019">
        <v>1.1091169999999999</v>
      </c>
      <c r="L1019">
        <v>368.46170000000001</v>
      </c>
      <c r="M1019">
        <v>0.99989059999999996</v>
      </c>
      <c r="N1019">
        <v>-1.417062E-2</v>
      </c>
      <c r="O1019">
        <v>4.2439740000000002E-3</v>
      </c>
      <c r="P1019">
        <v>0.99455700000000002</v>
      </c>
      <c r="Q1019">
        <v>-9.3405310000000005E-2</v>
      </c>
      <c r="R1019">
        <v>4.6170700000000002E-2</v>
      </c>
      <c r="S1019">
        <v>3.0208889999999999</v>
      </c>
      <c r="T1019">
        <v>-0.15077170000000001</v>
      </c>
      <c r="U1019">
        <v>-0.39855960000000001</v>
      </c>
      <c r="V1019">
        <v>-4.1954329999999998E-2</v>
      </c>
      <c r="W1019">
        <v>-7.9296950000000005E-2</v>
      </c>
      <c r="X1019">
        <v>0.99596779999999996</v>
      </c>
      <c r="Y1019">
        <v>0.13479260000000001</v>
      </c>
      <c r="Z1019">
        <v>-4.4580660000000001E-3</v>
      </c>
      <c r="AA1019">
        <v>0.99086379999999996</v>
      </c>
      <c r="AB1019">
        <v>29</v>
      </c>
      <c r="AC1019">
        <v>22.053999999999899</v>
      </c>
      <c r="AD1019">
        <v>-1.1091197227589999</v>
      </c>
      <c r="AE1019">
        <v>-2.9327000000000099</v>
      </c>
      <c r="AF1019">
        <v>3.0187771775077699</v>
      </c>
      <c r="AG1019">
        <v>-1.1091197227589999</v>
      </c>
      <c r="AH1019">
        <v>21.9867113930062</v>
      </c>
      <c r="AI1019">
        <v>92.861041809663504</v>
      </c>
      <c r="AJ1019">
        <v>82.182165963193199</v>
      </c>
      <c r="AK1019">
        <v>22.2206804595675</v>
      </c>
      <c r="AL1019">
        <v>94.5481554845407</v>
      </c>
      <c r="AM1019">
        <v>92.412111861937504</v>
      </c>
      <c r="AN1019">
        <v>1.0000000153609401</v>
      </c>
    </row>
    <row r="1020" spans="1:40" x14ac:dyDescent="0.25">
      <c r="A1020" t="str">
        <f>"20190305135213419"</f>
        <v>20190305135213419</v>
      </c>
      <c r="B1020" t="str">
        <f>"1551765133410490"</f>
        <v>1551765133410490</v>
      </c>
      <c r="C1020" t="s">
        <v>40</v>
      </c>
      <c r="D1020">
        <v>4.674912</v>
      </c>
      <c r="E1020">
        <v>0.56938169999999899</v>
      </c>
      <c r="F1020" t="s">
        <v>42</v>
      </c>
      <c r="G1020">
        <v>-225.3861</v>
      </c>
      <c r="H1020" s="1">
        <v>-2.6884960000000001E-6</v>
      </c>
      <c r="I1020">
        <v>365.51889999999997</v>
      </c>
      <c r="J1020">
        <v>-247.20570000000001</v>
      </c>
      <c r="K1020">
        <v>1.1091200000000001</v>
      </c>
      <c r="L1020">
        <v>368.46230000000003</v>
      </c>
      <c r="M1020">
        <v>0.99989070000000002</v>
      </c>
      <c r="N1020">
        <v>-1.4170759999999999E-2</v>
      </c>
      <c r="O1020">
        <v>4.2369390000000003E-3</v>
      </c>
      <c r="P1020">
        <v>0.99458069999999998</v>
      </c>
      <c r="Q1020">
        <v>-9.3108499999999997E-2</v>
      </c>
      <c r="R1020">
        <v>4.6262060000000001E-2</v>
      </c>
      <c r="S1020">
        <v>3.0208740000000001</v>
      </c>
      <c r="T1020">
        <v>-0.15250369999999999</v>
      </c>
      <c r="U1020">
        <v>-0.40463260000000001</v>
      </c>
      <c r="V1020">
        <v>-4.2052220000000001E-2</v>
      </c>
      <c r="W1020">
        <v>-7.8999680000000003E-2</v>
      </c>
      <c r="X1020">
        <v>0.99598730000000002</v>
      </c>
      <c r="Y1020">
        <v>0.13673589999999999</v>
      </c>
      <c r="Z1020">
        <v>-4.5609800000000001E-3</v>
      </c>
      <c r="AA1020">
        <v>0.99059699999999995</v>
      </c>
      <c r="AB1020">
        <v>29</v>
      </c>
      <c r="AC1020">
        <v>21.819600000000001</v>
      </c>
      <c r="AD1020">
        <v>-1.1091226884959999</v>
      </c>
      <c r="AE1020">
        <v>-2.9434000000000502</v>
      </c>
      <c r="AF1020">
        <v>3.0281467533324098</v>
      </c>
      <c r="AG1020">
        <v>-1.1091226884959999</v>
      </c>
      <c r="AH1020">
        <v>21.7517333156201</v>
      </c>
      <c r="AI1020">
        <v>92.891154875131804</v>
      </c>
      <c r="AJ1020">
        <v>82.074560680297196</v>
      </c>
      <c r="AK1020">
        <v>21.989491311344899</v>
      </c>
      <c r="AL1020">
        <v>94.531069545309407</v>
      </c>
      <c r="AM1020">
        <v>92.417685974960904</v>
      </c>
      <c r="AN1020">
        <v>1.0000000202041599</v>
      </c>
    </row>
    <row r="1021" spans="1:40" x14ac:dyDescent="0.25">
      <c r="A1021" t="str">
        <f>"20190305135213430"</f>
        <v>20190305135213430</v>
      </c>
      <c r="B1021" t="str">
        <f>"1551765133420249"</f>
        <v>1551765133420249</v>
      </c>
      <c r="C1021" t="s">
        <v>40</v>
      </c>
      <c r="D1021">
        <v>4.650741</v>
      </c>
      <c r="E1021">
        <v>0.56985069999999904</v>
      </c>
      <c r="F1021" t="s">
        <v>42</v>
      </c>
      <c r="G1021">
        <v>-225.22489999999999</v>
      </c>
      <c r="H1021" s="1">
        <v>-2.7635910000000001E-6</v>
      </c>
      <c r="I1021">
        <v>365.48540000000003</v>
      </c>
      <c r="J1021">
        <v>-247.0607</v>
      </c>
      <c r="K1021">
        <v>1.109124</v>
      </c>
      <c r="L1021">
        <v>368.46300000000002</v>
      </c>
      <c r="M1021">
        <v>0.99989070000000002</v>
      </c>
      <c r="N1021">
        <v>-1.4170800000000001E-2</v>
      </c>
      <c r="O1021">
        <v>4.2300239999999998E-3</v>
      </c>
      <c r="P1021">
        <v>0.99459980000000003</v>
      </c>
      <c r="Q1021">
        <v>-9.2968969999999998E-2</v>
      </c>
      <c r="R1021">
        <v>4.6131989999999998E-2</v>
      </c>
      <c r="S1021">
        <v>3.021118</v>
      </c>
      <c r="T1021">
        <v>-0.15244099999999999</v>
      </c>
      <c r="U1021">
        <v>-0.40914919999999999</v>
      </c>
      <c r="V1021">
        <v>-4.19292E-2</v>
      </c>
      <c r="W1021">
        <v>-7.8859860000000004E-2</v>
      </c>
      <c r="X1021">
        <v>0.99600359999999999</v>
      </c>
      <c r="Y1021">
        <v>0.13817090000000001</v>
      </c>
      <c r="Z1021">
        <v>-4.6049200000000002E-3</v>
      </c>
      <c r="AA1021">
        <v>0.99039770000000005</v>
      </c>
      <c r="AB1021">
        <v>29</v>
      </c>
      <c r="AC1021">
        <v>21.835799999999999</v>
      </c>
      <c r="AD1021">
        <v>-1.109126763591</v>
      </c>
      <c r="AE1021">
        <v>-2.97759999999999</v>
      </c>
      <c r="AF1021">
        <v>3.0621922744381598</v>
      </c>
      <c r="AG1021">
        <v>-1.109126763591</v>
      </c>
      <c r="AH1021">
        <v>21.7678715951164</v>
      </c>
      <c r="AI1021">
        <v>92.888447429741007</v>
      </c>
      <c r="AJ1021">
        <v>81.992469830526403</v>
      </c>
      <c r="AK1021">
        <v>22.0101662302859</v>
      </c>
      <c r="AL1021">
        <v>94.523033228291297</v>
      </c>
      <c r="AM1021">
        <v>92.410582202947097</v>
      </c>
      <c r="AN1021">
        <v>1.0000000532724</v>
      </c>
    </row>
    <row r="1022" spans="1:40" x14ac:dyDescent="0.25">
      <c r="A1022" t="str">
        <f>"20190305135213441"</f>
        <v>20190305135213441</v>
      </c>
      <c r="B1022" t="str">
        <f>"1551765133430009"</f>
        <v>1551765133430009</v>
      </c>
      <c r="C1022" t="s">
        <v>40</v>
      </c>
      <c r="D1022">
        <v>4.6570660000000004</v>
      </c>
      <c r="E1022">
        <v>0.57031790000000004</v>
      </c>
      <c r="F1022" t="s">
        <v>42</v>
      </c>
      <c r="G1022">
        <v>-225.2971</v>
      </c>
      <c r="H1022" s="1">
        <v>-2.7330470000000002E-6</v>
      </c>
      <c r="I1022">
        <v>365.48289999999997</v>
      </c>
      <c r="J1022">
        <v>-246.91120000000001</v>
      </c>
      <c r="K1022">
        <v>1.109129</v>
      </c>
      <c r="L1022">
        <v>368.46359999999999</v>
      </c>
      <c r="M1022">
        <v>0.99989079999999997</v>
      </c>
      <c r="N1022">
        <v>-1.4170739999999999E-2</v>
      </c>
      <c r="O1022">
        <v>4.2231100000000004E-3</v>
      </c>
      <c r="P1022">
        <v>0.99460780000000004</v>
      </c>
      <c r="Q1022">
        <v>-9.2837180000000005E-2</v>
      </c>
      <c r="R1022">
        <v>4.6225519999999999E-2</v>
      </c>
      <c r="S1022">
        <v>3.0211030000000001</v>
      </c>
      <c r="T1022">
        <v>-0.15396260000000001</v>
      </c>
      <c r="U1022">
        <v>-0.41366579999999997</v>
      </c>
      <c r="V1022">
        <v>-4.2029850000000001E-2</v>
      </c>
      <c r="W1022">
        <v>-7.8728019999999996E-2</v>
      </c>
      <c r="X1022">
        <v>0.9960097</v>
      </c>
      <c r="Y1022">
        <v>0.13961189999999901</v>
      </c>
      <c r="Z1022">
        <v>-4.6879089999999997E-3</v>
      </c>
      <c r="AA1022">
        <v>0.99019520000000005</v>
      </c>
      <c r="AB1022">
        <v>29</v>
      </c>
      <c r="AC1022">
        <v>21.614100000000001</v>
      </c>
      <c r="AD1022">
        <v>-1.1091317330470001</v>
      </c>
      <c r="AE1022">
        <v>-2.9807000000000099</v>
      </c>
      <c r="AF1022">
        <v>3.0640434811992501</v>
      </c>
      <c r="AG1022">
        <v>-1.1091317330470001</v>
      </c>
      <c r="AH1022">
        <v>21.545641934740999</v>
      </c>
      <c r="AI1022">
        <v>92.9175809712643</v>
      </c>
      <c r="AJ1022">
        <v>81.9061395408755</v>
      </c>
      <c r="AK1022">
        <v>21.790668232892699</v>
      </c>
      <c r="AL1022">
        <v>94.515456189381595</v>
      </c>
      <c r="AM1022">
        <v>92.4163471134856</v>
      </c>
      <c r="AN1022">
        <v>0.999999965959115</v>
      </c>
    </row>
    <row r="1023" spans="1:40" x14ac:dyDescent="0.25">
      <c r="A1023" t="str">
        <f>"20190305135213454"</f>
        <v>20190305135213454</v>
      </c>
      <c r="B1023" t="str">
        <f>"1551765133450505"</f>
        <v>1551765133450505</v>
      </c>
      <c r="C1023" t="s">
        <v>40</v>
      </c>
      <c r="D1023">
        <v>4.6329390000000004</v>
      </c>
      <c r="E1023">
        <v>0.571191</v>
      </c>
      <c r="F1023" t="s">
        <v>42</v>
      </c>
      <c r="G1023">
        <v>-225.3039</v>
      </c>
      <c r="H1023" s="1">
        <v>-2.73041E-6</v>
      </c>
      <c r="I1023">
        <v>365.48140000000001</v>
      </c>
      <c r="J1023">
        <v>-246.75800000000001</v>
      </c>
      <c r="K1023">
        <v>1.109132</v>
      </c>
      <c r="L1023">
        <v>368.46420000000001</v>
      </c>
      <c r="M1023">
        <v>0.99989079999999997</v>
      </c>
      <c r="N1023">
        <v>-1.4170550000000001E-2</v>
      </c>
      <c r="O1023">
        <v>4.2158999999999999E-3</v>
      </c>
      <c r="P1023">
        <v>0.99464200000000003</v>
      </c>
      <c r="Q1023">
        <v>-9.2616039999999997E-2</v>
      </c>
      <c r="R1023">
        <v>4.5932710000000002E-2</v>
      </c>
      <c r="S1023">
        <v>3.0211640000000002</v>
      </c>
      <c r="T1023">
        <v>-0.15507960000000001</v>
      </c>
      <c r="U1023">
        <v>-0.41696169999999999</v>
      </c>
      <c r="V1023">
        <v>-4.1743719999999998E-2</v>
      </c>
      <c r="W1023">
        <v>-7.8506649999999997E-2</v>
      </c>
      <c r="X1023">
        <v>0.99603920000000001</v>
      </c>
      <c r="Y1023">
        <v>0.14065749999999999</v>
      </c>
      <c r="Z1023">
        <v>-4.7486960000000002E-3</v>
      </c>
      <c r="AA1023">
        <v>0.99004689999999995</v>
      </c>
      <c r="AB1023">
        <v>29</v>
      </c>
      <c r="AC1023">
        <v>21.454099999999901</v>
      </c>
      <c r="AD1023">
        <v>-1.1091347304100001</v>
      </c>
      <c r="AE1023">
        <v>-2.9827999999999899</v>
      </c>
      <c r="AF1023">
        <v>3.0651939513368198</v>
      </c>
      <c r="AG1023">
        <v>-1.1091347304100001</v>
      </c>
      <c r="AH1023">
        <v>21.3852606221967</v>
      </c>
      <c r="AI1023">
        <v>92.938971486151502</v>
      </c>
      <c r="AJ1023">
        <v>81.843231594188893</v>
      </c>
      <c r="AK1023">
        <v>21.6322667718571</v>
      </c>
      <c r="AL1023">
        <v>94.502733269461999</v>
      </c>
      <c r="AM1023">
        <v>92.399845456109006</v>
      </c>
      <c r="AN1023">
        <v>0.99999996009514902</v>
      </c>
    </row>
    <row r="1024" spans="1:40" x14ac:dyDescent="0.25">
      <c r="A1024" t="str">
        <f>"20190305135213466"</f>
        <v>20190305135213466</v>
      </c>
      <c r="B1024" t="str">
        <f>"1551765133460265"</f>
        <v>1551765133460265</v>
      </c>
      <c r="C1024" t="s">
        <v>40</v>
      </c>
      <c r="D1024">
        <v>4.6823810000000003</v>
      </c>
      <c r="E1024">
        <v>0.57162270000000004</v>
      </c>
      <c r="F1024" t="s">
        <v>42</v>
      </c>
      <c r="G1024">
        <v>-225.28649999999999</v>
      </c>
      <c r="H1024" s="1">
        <v>-2.7445109999999998E-6</v>
      </c>
      <c r="I1024">
        <v>365.44409999999999</v>
      </c>
      <c r="J1024">
        <v>-246.6009</v>
      </c>
      <c r="K1024">
        <v>1.1091310000000001</v>
      </c>
      <c r="L1024">
        <v>368.4649</v>
      </c>
      <c r="M1024">
        <v>0.99989070000000002</v>
      </c>
      <c r="N1024">
        <v>-1.41703E-2</v>
      </c>
      <c r="O1024">
        <v>4.2086900000000002E-3</v>
      </c>
      <c r="P1024">
        <v>0.99465360000000003</v>
      </c>
      <c r="Q1024">
        <v>-9.2586849999999998E-2</v>
      </c>
      <c r="R1024">
        <v>4.5736060000000002E-2</v>
      </c>
      <c r="S1024">
        <v>3.021255</v>
      </c>
      <c r="T1024">
        <v>-0.1560657</v>
      </c>
      <c r="U1024">
        <v>-0.42495729999999998</v>
      </c>
      <c r="V1024">
        <v>-4.1554300000000002E-2</v>
      </c>
      <c r="W1024">
        <v>-7.8477569999999996E-2</v>
      </c>
      <c r="X1024">
        <v>0.99604950000000003</v>
      </c>
      <c r="Y1024">
        <v>0.14320920000000001</v>
      </c>
      <c r="Z1024">
        <v>-4.8556939999999998E-3</v>
      </c>
      <c r="AA1024">
        <v>0.98968049999999996</v>
      </c>
      <c r="AB1024">
        <v>29</v>
      </c>
      <c r="AC1024">
        <v>21.314399999999999</v>
      </c>
      <c r="AD1024">
        <v>-1.1091337445110001</v>
      </c>
      <c r="AE1024">
        <v>-3.0207999999999999</v>
      </c>
      <c r="AF1024">
        <v>3.1022529852779299</v>
      </c>
      <c r="AG1024">
        <v>-1.1091337445110001</v>
      </c>
      <c r="AH1024">
        <v>21.245100919867301</v>
      </c>
      <c r="AI1024">
        <v>92.957198242319606</v>
      </c>
      <c r="AJ1024">
        <v>81.692268352612302</v>
      </c>
      <c r="AK1024">
        <v>21.499034032793698</v>
      </c>
      <c r="AL1024">
        <v>94.501061556784194</v>
      </c>
      <c r="AM1024">
        <v>92.388943675092406</v>
      </c>
      <c r="AN1024">
        <v>1.0000000476459201</v>
      </c>
    </row>
    <row r="1025" spans="1:40" x14ac:dyDescent="0.25">
      <c r="A1025" t="str">
        <f>"20190305135213480"</f>
        <v>20190305135213480</v>
      </c>
      <c r="B1025" t="str">
        <f>"1551765133470025"</f>
        <v>1551765133470025</v>
      </c>
      <c r="C1025" t="s">
        <v>40</v>
      </c>
      <c r="D1025">
        <v>4.6570640000000001</v>
      </c>
      <c r="E1025">
        <v>0.57201789999999997</v>
      </c>
      <c r="F1025" t="s">
        <v>42</v>
      </c>
      <c r="G1025">
        <v>-225.3288</v>
      </c>
      <c r="H1025" s="1">
        <v>-2.7262869999999999E-6</v>
      </c>
      <c r="I1025">
        <v>365.4443</v>
      </c>
      <c r="J1025">
        <v>-246.41059999999999</v>
      </c>
      <c r="K1025">
        <v>1.1091390000000001</v>
      </c>
      <c r="L1025">
        <v>368.46559999999999</v>
      </c>
      <c r="M1025">
        <v>0.99989090000000003</v>
      </c>
      <c r="N1025">
        <v>-1.416981E-2</v>
      </c>
      <c r="O1025">
        <v>4.199103E-3</v>
      </c>
      <c r="P1025">
        <v>0.99472890000000003</v>
      </c>
      <c r="Q1025">
        <v>-9.2142520000000006E-2</v>
      </c>
      <c r="R1025">
        <v>4.4995779999999999E-2</v>
      </c>
      <c r="S1025">
        <v>3.0211640000000002</v>
      </c>
      <c r="T1025">
        <v>-0.15752389999999999</v>
      </c>
      <c r="U1025">
        <v>-0.42898560000000002</v>
      </c>
      <c r="V1025">
        <v>-4.0823819999999997E-2</v>
      </c>
      <c r="W1025">
        <v>-7.8032850000000001E-2</v>
      </c>
      <c r="X1025">
        <v>0.99611459999999996</v>
      </c>
      <c r="Y1025">
        <v>0.14449129999999999</v>
      </c>
      <c r="Z1025">
        <v>-4.9338759999999898E-3</v>
      </c>
      <c r="AA1025">
        <v>0.98949379999999998</v>
      </c>
      <c r="AB1025">
        <v>29</v>
      </c>
      <c r="AC1025">
        <v>21.081799999999902</v>
      </c>
      <c r="AD1025">
        <v>-1.10914172628699</v>
      </c>
      <c r="AE1025">
        <v>-3.0212999999999899</v>
      </c>
      <c r="AF1025">
        <v>3.1013951362883501</v>
      </c>
      <c r="AG1025">
        <v>-1.10914172628699</v>
      </c>
      <c r="AH1025">
        <v>21.0119365148845</v>
      </c>
      <c r="AI1025">
        <v>92.989298395043605</v>
      </c>
      <c r="AJ1025">
        <v>81.603676604711097</v>
      </c>
      <c r="AK1025">
        <v>21.268528939866101</v>
      </c>
      <c r="AL1025">
        <v>94.475502798140397</v>
      </c>
      <c r="AM1025">
        <v>92.346842775833693</v>
      </c>
      <c r="AN1025">
        <v>1.00000000314583</v>
      </c>
    </row>
    <row r="1026" spans="1:40" x14ac:dyDescent="0.25">
      <c r="A1026" t="str">
        <f>"20190305135213493"</f>
        <v>20190305135213493</v>
      </c>
      <c r="B1026" t="str">
        <f>"1551765133480761"</f>
        <v>1551765133480761</v>
      </c>
      <c r="C1026" t="s">
        <v>40</v>
      </c>
      <c r="D1026">
        <v>4.6286009999999997</v>
      </c>
      <c r="E1026">
        <v>0.57235000000000003</v>
      </c>
      <c r="F1026" t="s">
        <v>42</v>
      </c>
      <c r="G1026">
        <v>-225.1318</v>
      </c>
      <c r="H1026" s="1">
        <v>-2.8177429999999998E-6</v>
      </c>
      <c r="I1026">
        <v>365.40519999999998</v>
      </c>
      <c r="J1026">
        <v>-246.2611</v>
      </c>
      <c r="K1026">
        <v>1.1091409999999999</v>
      </c>
      <c r="L1026">
        <v>368.46629999999999</v>
      </c>
      <c r="M1026">
        <v>0.99989090000000003</v>
      </c>
      <c r="N1026">
        <v>-1.4169340000000001E-2</v>
      </c>
      <c r="O1026">
        <v>4.1918370000000003E-3</v>
      </c>
      <c r="P1026">
        <v>0.99472680000000002</v>
      </c>
      <c r="Q1026">
        <v>-9.2284370000000004E-2</v>
      </c>
      <c r="R1026">
        <v>4.4747330000000002E-2</v>
      </c>
      <c r="S1026">
        <v>3.020966</v>
      </c>
      <c r="T1026">
        <v>-0.15746499999999999</v>
      </c>
      <c r="U1026">
        <v>-0.4344788</v>
      </c>
      <c r="V1026">
        <v>-4.0582559999999997E-2</v>
      </c>
      <c r="W1026">
        <v>-7.8175239999999993E-2</v>
      </c>
      <c r="X1026">
        <v>0.99611329999999998</v>
      </c>
      <c r="Y1026">
        <v>0.14625339999999901</v>
      </c>
      <c r="Z1026">
        <v>-4.9901959999999997E-3</v>
      </c>
      <c r="AA1026">
        <v>0.98923459999999996</v>
      </c>
      <c r="AB1026">
        <v>29</v>
      </c>
      <c r="AC1026">
        <v>21.129300000000001</v>
      </c>
      <c r="AD1026">
        <v>-1.109143817743</v>
      </c>
      <c r="AE1026">
        <v>-3.0611000000000099</v>
      </c>
      <c r="AF1026">
        <v>3.1411748938171198</v>
      </c>
      <c r="AG1026">
        <v>-1.109143817743</v>
      </c>
      <c r="AH1026">
        <v>21.0594443601167</v>
      </c>
      <c r="AI1026">
        <v>92.981900196697694</v>
      </c>
      <c r="AJ1026">
        <v>81.516447508971893</v>
      </c>
      <c r="AK1026">
        <v>21.3212892780628</v>
      </c>
      <c r="AL1026">
        <v>94.483686114524801</v>
      </c>
      <c r="AM1026">
        <v>92.332991851372796</v>
      </c>
      <c r="AN1026">
        <v>1.0000000093810499</v>
      </c>
    </row>
    <row r="1027" spans="1:40" x14ac:dyDescent="0.25">
      <c r="A1027" t="str">
        <f>"20190305135213507"</f>
        <v>20190305135213507</v>
      </c>
      <c r="B1027" t="str">
        <f>"1551765133500281"</f>
        <v>1551765133500281</v>
      </c>
      <c r="C1027" t="s">
        <v>40</v>
      </c>
      <c r="D1027">
        <v>4.630897</v>
      </c>
      <c r="E1027">
        <v>0.5730326</v>
      </c>
      <c r="F1027" t="s">
        <v>42</v>
      </c>
      <c r="G1027">
        <v>-225.0703</v>
      </c>
      <c r="H1027" s="1">
        <v>-2.8460579999999998E-6</v>
      </c>
      <c r="I1027">
        <v>365.39449999999999</v>
      </c>
      <c r="J1027">
        <v>-246.0813</v>
      </c>
      <c r="K1027">
        <v>1.10914</v>
      </c>
      <c r="L1027">
        <v>368.46699999999998</v>
      </c>
      <c r="M1027">
        <v>0.99989090000000003</v>
      </c>
      <c r="N1027">
        <v>-1.4168689999999999E-2</v>
      </c>
      <c r="O1027">
        <v>4.1833199999999999E-3</v>
      </c>
      <c r="P1027">
        <v>0.99477179999999998</v>
      </c>
      <c r="Q1027">
        <v>-9.1965119999999997E-2</v>
      </c>
      <c r="R1027">
        <v>4.4401740000000002E-2</v>
      </c>
      <c r="S1027">
        <v>3.0209199999999998</v>
      </c>
      <c r="T1027">
        <v>-0.15811610000000001</v>
      </c>
      <c r="U1027">
        <v>-0.43789670000000003</v>
      </c>
      <c r="V1027">
        <v>-4.02449E-2</v>
      </c>
      <c r="W1027">
        <v>-7.7856090000000003E-2</v>
      </c>
      <c r="X1027">
        <v>0.99615200000000004</v>
      </c>
      <c r="Y1027">
        <v>0.14733969999999999</v>
      </c>
      <c r="Z1027">
        <v>-5.0422100000000001E-3</v>
      </c>
      <c r="AA1027">
        <v>0.98907310000000004</v>
      </c>
      <c r="AB1027">
        <v>29</v>
      </c>
      <c r="AC1027">
        <v>21.010999999999999</v>
      </c>
      <c r="AD1027">
        <v>-1.109142846058</v>
      </c>
      <c r="AE1027">
        <v>-3.07249999999999</v>
      </c>
      <c r="AF1027">
        <v>3.1517786635115499</v>
      </c>
      <c r="AG1027">
        <v>-1.109142846058</v>
      </c>
      <c r="AH1027">
        <v>20.940828669133602</v>
      </c>
      <c r="AI1027">
        <v>92.998164629753902</v>
      </c>
      <c r="AJ1027">
        <v>81.440726800472703</v>
      </c>
      <c r="AK1027">
        <v>21.205711776470402</v>
      </c>
      <c r="AL1027">
        <v>94.465344238306002</v>
      </c>
      <c r="AM1027">
        <v>92.313512003467295</v>
      </c>
      <c r="AN1027">
        <v>1.0000000149150401</v>
      </c>
    </row>
    <row r="1028" spans="1:40" x14ac:dyDescent="0.25">
      <c r="A1028" t="str">
        <f>"20190305135213519"</f>
        <v>20190305135213519</v>
      </c>
      <c r="B1028" t="str">
        <f>"1551765133510041"</f>
        <v>1551765133510041</v>
      </c>
      <c r="C1028" t="s">
        <v>40</v>
      </c>
      <c r="D1028">
        <v>4.6126829999999996</v>
      </c>
      <c r="E1028">
        <v>0.57333859999999903</v>
      </c>
      <c r="F1028" t="s">
        <v>42</v>
      </c>
      <c r="G1028">
        <v>-224.8707</v>
      </c>
      <c r="H1028" s="1">
        <v>-2.9397750000000002E-6</v>
      </c>
      <c r="I1028">
        <v>365.34870000000001</v>
      </c>
      <c r="J1028">
        <v>-245.9016</v>
      </c>
      <c r="K1028">
        <v>1.109143</v>
      </c>
      <c r="L1028">
        <v>368.46769999999998</v>
      </c>
      <c r="M1028">
        <v>0.99989099999999997</v>
      </c>
      <c r="N1028">
        <v>-1.4167890000000001E-2</v>
      </c>
      <c r="O1028">
        <v>4.1743860000000004E-3</v>
      </c>
      <c r="P1028">
        <v>0.99477669999999996</v>
      </c>
      <c r="Q1028">
        <v>-9.2038049999999996E-2</v>
      </c>
      <c r="R1028">
        <v>4.414001E-2</v>
      </c>
      <c r="S1028">
        <v>3.0209959999999998</v>
      </c>
      <c r="T1028">
        <v>-0.15797349999999999</v>
      </c>
      <c r="U1028">
        <v>-0.44412230000000003</v>
      </c>
      <c r="V1028">
        <v>-3.999196E-2</v>
      </c>
      <c r="W1028">
        <v>-7.7929789999999999E-2</v>
      </c>
      <c r="X1028">
        <v>0.99615640000000005</v>
      </c>
      <c r="Y1028">
        <v>0.149319799999999</v>
      </c>
      <c r="Z1028">
        <v>-5.1032059999999999E-3</v>
      </c>
      <c r="AA1028">
        <v>0.98877579999999998</v>
      </c>
      <c r="AB1028">
        <v>29</v>
      </c>
      <c r="AC1028">
        <v>21.030899999999999</v>
      </c>
      <c r="AD1028">
        <v>-1.1091459397750001</v>
      </c>
      <c r="AE1028">
        <v>-3.11899999999997</v>
      </c>
      <c r="AF1028">
        <v>3.1980690787657098</v>
      </c>
      <c r="AG1028">
        <v>-1.1091459397750001</v>
      </c>
      <c r="AH1028">
        <v>20.960650475087199</v>
      </c>
      <c r="AI1028">
        <v>92.994427882663999</v>
      </c>
      <c r="AJ1028">
        <v>81.325004864922093</v>
      </c>
      <c r="AK1028">
        <v>21.232209467859199</v>
      </c>
      <c r="AL1028">
        <v>94.469579912441304</v>
      </c>
      <c r="AM1028">
        <v>92.298977041727298</v>
      </c>
      <c r="AN1028">
        <v>0.99999999114752203</v>
      </c>
    </row>
    <row r="1029" spans="1:40" x14ac:dyDescent="0.25">
      <c r="A1029" t="str">
        <f>"20190305135213533"</f>
        <v>20190305135213533</v>
      </c>
      <c r="B1029" t="str">
        <f>"1551765133530537"</f>
        <v>1551765133530537</v>
      </c>
      <c r="C1029" t="s">
        <v>40</v>
      </c>
      <c r="D1029">
        <v>4.6363779999999997</v>
      </c>
      <c r="E1029">
        <v>0.57389630000000003</v>
      </c>
      <c r="F1029" t="s">
        <v>42</v>
      </c>
      <c r="G1029">
        <v>-224.71780000000001</v>
      </c>
      <c r="H1029" s="1">
        <v>-3.0087370000000001E-6</v>
      </c>
      <c r="I1029">
        <v>365.32979999999998</v>
      </c>
      <c r="J1029">
        <v>-245.72839999999999</v>
      </c>
      <c r="K1029">
        <v>1.109143</v>
      </c>
      <c r="L1029">
        <v>368.46850000000001</v>
      </c>
      <c r="M1029">
        <v>0.99989099999999997</v>
      </c>
      <c r="N1029">
        <v>-1.4167040000000001E-2</v>
      </c>
      <c r="O1029">
        <v>4.1661659999999998E-3</v>
      </c>
      <c r="P1029">
        <v>0.99478480000000002</v>
      </c>
      <c r="Q1029">
        <v>-9.2038969999999998E-2</v>
      </c>
      <c r="R1029">
        <v>4.3960300000000001E-2</v>
      </c>
      <c r="S1029">
        <v>3.020966</v>
      </c>
      <c r="T1029">
        <v>-0.15817139999999999</v>
      </c>
      <c r="U1029">
        <v>-0.44747920000000002</v>
      </c>
      <c r="V1029">
        <v>-3.9820469999999997E-2</v>
      </c>
      <c r="W1029">
        <v>-7.7931440000000005E-2</v>
      </c>
      <c r="X1029">
        <v>0.99616309999999997</v>
      </c>
      <c r="Y1029">
        <v>0.15038599999999999</v>
      </c>
      <c r="Z1029">
        <v>-5.1431039999999999E-3</v>
      </c>
      <c r="AA1029">
        <v>0.98861399999999999</v>
      </c>
      <c r="AB1029">
        <v>29</v>
      </c>
      <c r="AC1029">
        <v>21.010599999999901</v>
      </c>
      <c r="AD1029">
        <v>-1.109146008737</v>
      </c>
      <c r="AE1029">
        <v>-3.13870000000002</v>
      </c>
      <c r="AF1029">
        <v>3.2174446452637002</v>
      </c>
      <c r="AG1029">
        <v>-1.109146008737</v>
      </c>
      <c r="AH1029">
        <v>20.940258217026599</v>
      </c>
      <c r="AI1029">
        <v>92.996858199282997</v>
      </c>
      <c r="AJ1029">
        <v>81.264886571013605</v>
      </c>
      <c r="AK1029">
        <v>21.215008110056999</v>
      </c>
      <c r="AL1029">
        <v>94.4696749209768</v>
      </c>
      <c r="AM1029">
        <v>92.289113900935902</v>
      </c>
      <c r="AN1029">
        <v>0.99999995048655099</v>
      </c>
    </row>
    <row r="1030" spans="1:40" x14ac:dyDescent="0.25">
      <c r="A1030" t="str">
        <f>"20190305135213549"</f>
        <v>20190305135213549</v>
      </c>
      <c r="B1030" t="str">
        <f>"1551765133540297"</f>
        <v>1551765133540297</v>
      </c>
      <c r="C1030" t="s">
        <v>40</v>
      </c>
      <c r="D1030">
        <v>4.6731170000000004</v>
      </c>
      <c r="E1030">
        <v>0.57365010000000005</v>
      </c>
      <c r="F1030" t="s">
        <v>42</v>
      </c>
      <c r="G1030">
        <v>-224.69579999999999</v>
      </c>
      <c r="H1030" s="1">
        <v>-3.0204509999999998E-6</v>
      </c>
      <c r="I1030">
        <v>365.31689999999998</v>
      </c>
      <c r="J1030">
        <v>-245.52629999999999</v>
      </c>
      <c r="K1030">
        <v>1.10914</v>
      </c>
      <c r="L1030">
        <v>368.46929999999998</v>
      </c>
      <c r="M1030">
        <v>0.99989099999999997</v>
      </c>
      <c r="N1030">
        <v>-1.416597E-2</v>
      </c>
      <c r="O1030">
        <v>4.1565780000000002E-3</v>
      </c>
      <c r="P1030">
        <v>0.99479050000000002</v>
      </c>
      <c r="Q1030">
        <v>-9.1988470000000003E-2</v>
      </c>
      <c r="R1030">
        <v>4.3929629999999997E-2</v>
      </c>
      <c r="S1030">
        <v>3.020966</v>
      </c>
      <c r="T1030">
        <v>-0.15930899999999901</v>
      </c>
      <c r="U1030">
        <v>-0.45266719999999999</v>
      </c>
      <c r="V1030">
        <v>-3.9799250000000001E-2</v>
      </c>
      <c r="W1030">
        <v>-7.7881950000000005E-2</v>
      </c>
      <c r="X1030">
        <v>0.99616780000000005</v>
      </c>
      <c r="Y1030">
        <v>0.1520311</v>
      </c>
      <c r="Z1030">
        <v>-5.2267850000000003E-3</v>
      </c>
      <c r="AA1030">
        <v>0.98836190000000002</v>
      </c>
      <c r="AB1030">
        <v>29</v>
      </c>
      <c r="AC1030">
        <v>20.830500000000001</v>
      </c>
      <c r="AD1030">
        <v>-1.109143020451</v>
      </c>
      <c r="AE1030">
        <v>-3.1524000000000001</v>
      </c>
      <c r="AF1030">
        <v>3.2300125230278298</v>
      </c>
      <c r="AG1030">
        <v>-1.109143020451</v>
      </c>
      <c r="AH1030">
        <v>20.7596765405684</v>
      </c>
      <c r="AI1030">
        <v>93.021985937821498</v>
      </c>
      <c r="AJ1030">
        <v>81.156219615771107</v>
      </c>
      <c r="AK1030">
        <v>21.0387107306451</v>
      </c>
      <c r="AL1030">
        <v>94.466830790473693</v>
      </c>
      <c r="AM1030">
        <v>92.287884564655798</v>
      </c>
      <c r="AN1030">
        <v>0.99999993209659999</v>
      </c>
    </row>
    <row r="1031" spans="1:40" x14ac:dyDescent="0.25">
      <c r="A1031" t="str">
        <f>"20190305135213562"</f>
        <v>20190305135213562</v>
      </c>
      <c r="B1031" t="str">
        <f>"1551765133550058"</f>
        <v>1551765133550058</v>
      </c>
      <c r="C1031" t="s">
        <v>40</v>
      </c>
      <c r="D1031">
        <v>4.6007629999999997</v>
      </c>
      <c r="E1031">
        <v>0.5738685</v>
      </c>
      <c r="F1031" t="s">
        <v>42</v>
      </c>
      <c r="G1031">
        <v>-225.1789</v>
      </c>
      <c r="H1031" s="1">
        <v>-2.7929439999999999E-6</v>
      </c>
      <c r="I1031">
        <v>365.43110000000001</v>
      </c>
      <c r="J1031">
        <v>-245.35319999999999</v>
      </c>
      <c r="K1031">
        <v>1.1091409999999999</v>
      </c>
      <c r="L1031">
        <v>368.47</v>
      </c>
      <c r="M1031">
        <v>0.99989099999999997</v>
      </c>
      <c r="N1031">
        <v>-1.4164960000000001E-2</v>
      </c>
      <c r="O1031">
        <v>4.1484790000000001E-3</v>
      </c>
      <c r="P1031">
        <v>0.9947684</v>
      </c>
      <c r="Q1031">
        <v>-9.2182189999999997E-2</v>
      </c>
      <c r="R1031">
        <v>4.4026450000000002E-2</v>
      </c>
      <c r="S1031">
        <v>3.020432</v>
      </c>
      <c r="T1031">
        <v>-0.1646444</v>
      </c>
      <c r="U1031">
        <v>-0.45098880000000002</v>
      </c>
      <c r="V1031">
        <v>-3.9904099999999998E-2</v>
      </c>
      <c r="W1031">
        <v>-7.8076939999999997E-2</v>
      </c>
      <c r="X1031">
        <v>0.99614840000000004</v>
      </c>
      <c r="Y1031">
        <v>0.15149609999999999</v>
      </c>
      <c r="Z1031">
        <v>-5.349543E-3</v>
      </c>
      <c r="AA1031">
        <v>0.98844339999999997</v>
      </c>
      <c r="AB1031">
        <v>29</v>
      </c>
      <c r="AC1031">
        <v>20.174299999999899</v>
      </c>
      <c r="AD1031">
        <v>-1.109143792944</v>
      </c>
      <c r="AE1031">
        <v>-3.0389000000000101</v>
      </c>
      <c r="AF1031">
        <v>3.1133732538982102</v>
      </c>
      <c r="AG1031">
        <v>-1.109143792944</v>
      </c>
      <c r="AH1031">
        <v>20.102105999412601</v>
      </c>
      <c r="AI1031">
        <v>93.120986073773096</v>
      </c>
      <c r="AJ1031">
        <v>81.196095229900806</v>
      </c>
      <c r="AK1031">
        <v>20.3719895587823</v>
      </c>
      <c r="AL1031">
        <v>94.478036757515099</v>
      </c>
      <c r="AM1031">
        <v>92.293950127702402</v>
      </c>
      <c r="AN1031">
        <v>0.99999999028956599</v>
      </c>
    </row>
    <row r="1032" spans="1:40" x14ac:dyDescent="0.25">
      <c r="A1032" t="str">
        <f>"20190305135213577"</f>
        <v>20190305135213577</v>
      </c>
      <c r="B1032" t="str">
        <f>"1551765133570555"</f>
        <v>1551765133570555</v>
      </c>
      <c r="C1032" t="s">
        <v>40</v>
      </c>
      <c r="D1032">
        <v>4.6402950000000001</v>
      </c>
      <c r="E1032">
        <v>0.57433809999999996</v>
      </c>
      <c r="F1032" t="s">
        <v>42</v>
      </c>
      <c r="G1032">
        <v>-225.1122</v>
      </c>
      <c r="H1032" s="1">
        <v>-2.8201080000000001E-6</v>
      </c>
      <c r="I1032">
        <v>365.43939999999998</v>
      </c>
      <c r="J1032">
        <v>-245.17609999999999</v>
      </c>
      <c r="K1032">
        <v>1.1091439999999999</v>
      </c>
      <c r="L1032">
        <v>368.47070000000002</v>
      </c>
      <c r="M1032">
        <v>0.99989130000000004</v>
      </c>
      <c r="N1032">
        <v>-1.416385E-2</v>
      </c>
      <c r="O1032">
        <v>4.1400830000000001E-3</v>
      </c>
      <c r="P1032">
        <v>0.99474640000000003</v>
      </c>
      <c r="Q1032">
        <v>-9.2406230000000006E-2</v>
      </c>
      <c r="R1032">
        <v>4.4056489999999997E-2</v>
      </c>
      <c r="S1032">
        <v>3.0204770000000001</v>
      </c>
      <c r="T1032">
        <v>-0.16551179999999999</v>
      </c>
      <c r="U1032">
        <v>-0.45223999999999998</v>
      </c>
      <c r="V1032">
        <v>-3.9942819999999997E-2</v>
      </c>
      <c r="W1032">
        <v>-7.8302380000000005E-2</v>
      </c>
      <c r="X1032">
        <v>0.99612920000000005</v>
      </c>
      <c r="Y1032">
        <v>0.15188279999999901</v>
      </c>
      <c r="Z1032">
        <v>-5.3850240000000004E-3</v>
      </c>
      <c r="AA1032">
        <v>0.98838380000000003</v>
      </c>
      <c r="AB1032">
        <v>29</v>
      </c>
      <c r="AC1032">
        <v>20.063899999999901</v>
      </c>
      <c r="AD1032">
        <v>-1.1091468201079999</v>
      </c>
      <c r="AE1032">
        <v>-3.0313000000000399</v>
      </c>
      <c r="AF1032">
        <v>3.1050713383973001</v>
      </c>
      <c r="AG1032">
        <v>-1.1091468201079999</v>
      </c>
      <c r="AH1032">
        <v>19.991447282996798</v>
      </c>
      <c r="AI1032">
        <v>93.138026120995605</v>
      </c>
      <c r="AJ1032">
        <v>81.171364097501097</v>
      </c>
      <c r="AK1032">
        <v>20.261531017026599</v>
      </c>
      <c r="AL1032">
        <v>94.490992972547801</v>
      </c>
      <c r="AM1032">
        <v>92.296217837087397</v>
      </c>
      <c r="AN1032">
        <v>1.0000000373379201</v>
      </c>
    </row>
    <row r="1033" spans="1:40" x14ac:dyDescent="0.25">
      <c r="A1033" t="str">
        <f>"20190305135213593"</f>
        <v>20190305135213593</v>
      </c>
      <c r="B1033" t="str">
        <f>"1551765133590073"</f>
        <v>1551765133590073</v>
      </c>
      <c r="C1033" t="s">
        <v>40</v>
      </c>
      <c r="D1033">
        <v>4.5790160000000002</v>
      </c>
      <c r="E1033">
        <v>0.5747989</v>
      </c>
      <c r="F1033" t="s">
        <v>42</v>
      </c>
      <c r="G1033">
        <v>-225.1078</v>
      </c>
      <c r="H1033" s="1">
        <v>-2.8218409999999999E-6</v>
      </c>
      <c r="I1033">
        <v>365.44029999999998</v>
      </c>
      <c r="J1033">
        <v>-244.9556</v>
      </c>
      <c r="K1033">
        <v>1.109143</v>
      </c>
      <c r="L1033">
        <v>368.4717</v>
      </c>
      <c r="M1033">
        <v>0.99989119999999998</v>
      </c>
      <c r="N1033">
        <v>-1.416239E-2</v>
      </c>
      <c r="O1033">
        <v>4.1300180000000001E-3</v>
      </c>
      <c r="P1033">
        <v>0.99475080000000005</v>
      </c>
      <c r="Q1033">
        <v>-9.2376860000000005E-2</v>
      </c>
      <c r="R1033">
        <v>4.4014270000000001E-2</v>
      </c>
      <c r="S1033">
        <v>3.0205380000000002</v>
      </c>
      <c r="T1033">
        <v>-0.16694020000000001</v>
      </c>
      <c r="U1033">
        <v>-0.45611570000000001</v>
      </c>
      <c r="V1033">
        <v>-3.9910130000000002E-2</v>
      </c>
      <c r="W1033">
        <v>-7.8274419999999997E-2</v>
      </c>
      <c r="X1033">
        <v>0.99613269999999998</v>
      </c>
      <c r="Y1033">
        <v>0.1531033</v>
      </c>
      <c r="Z1033">
        <v>-5.4639160000000001E-3</v>
      </c>
      <c r="AA1033">
        <v>0.98819509999999999</v>
      </c>
      <c r="AB1033">
        <v>29</v>
      </c>
      <c r="AC1033">
        <v>19.847799999999999</v>
      </c>
      <c r="AD1033">
        <v>-1.109145821841</v>
      </c>
      <c r="AE1033">
        <v>-3.0314000000000099</v>
      </c>
      <c r="AF1033">
        <v>3.1038820984523401</v>
      </c>
      <c r="AG1033">
        <v>-1.109145821841</v>
      </c>
      <c r="AH1033">
        <v>19.774763581525001</v>
      </c>
      <c r="AI1033">
        <v>93.171546458690599</v>
      </c>
      <c r="AJ1033">
        <v>81.079535091321802</v>
      </c>
      <c r="AK1033">
        <v>20.047582478703202</v>
      </c>
      <c r="AL1033">
        <v>94.489386085129794</v>
      </c>
      <c r="AM1033">
        <v>92.294332523014205</v>
      </c>
      <c r="AN1033">
        <v>1.00000002965612</v>
      </c>
    </row>
    <row r="1034" spans="1:40" x14ac:dyDescent="0.25">
      <c r="A1034" t="str">
        <f>"20190305135213606"</f>
        <v>20190305135213606</v>
      </c>
      <c r="B1034" t="str">
        <f>"1551765133600808"</f>
        <v>1551765133600808</v>
      </c>
      <c r="C1034" t="s">
        <v>40</v>
      </c>
      <c r="D1034">
        <v>4.6156790000000001</v>
      </c>
      <c r="E1034">
        <v>0.57505699999999904</v>
      </c>
      <c r="F1034" t="s">
        <v>42</v>
      </c>
      <c r="G1034">
        <v>-224.7457</v>
      </c>
      <c r="H1034" s="1">
        <v>-2.9854039999999999E-6</v>
      </c>
      <c r="I1034">
        <v>365.39400000000001</v>
      </c>
      <c r="J1034">
        <v>-244.78030000000001</v>
      </c>
      <c r="K1034">
        <v>1.1091409999999999</v>
      </c>
      <c r="L1034">
        <v>368.47239999999999</v>
      </c>
      <c r="M1034">
        <v>0.99989119999999998</v>
      </c>
      <c r="N1034">
        <v>-1.4161180000000001E-2</v>
      </c>
      <c r="O1034">
        <v>4.1219189999999999E-3</v>
      </c>
      <c r="P1034">
        <v>0.99472950000000004</v>
      </c>
      <c r="Q1034">
        <v>-9.2658580000000004E-2</v>
      </c>
      <c r="R1034">
        <v>4.390695E-2</v>
      </c>
      <c r="S1034">
        <v>3.0207820000000001</v>
      </c>
      <c r="T1034">
        <v>-0.1657835</v>
      </c>
      <c r="U1034">
        <v>-0.46002199999999999</v>
      </c>
      <c r="V1034">
        <v>-3.9811390000000002E-2</v>
      </c>
      <c r="W1034">
        <v>-7.8557619999999995E-2</v>
      </c>
      <c r="X1034">
        <v>0.99611430000000001</v>
      </c>
      <c r="Y1034">
        <v>0.154334</v>
      </c>
      <c r="Z1034">
        <v>-5.4744909999999997E-3</v>
      </c>
      <c r="AA1034">
        <v>0.98800359999999998</v>
      </c>
      <c r="AB1034">
        <v>29</v>
      </c>
      <c r="AC1034">
        <v>20.034600000000001</v>
      </c>
      <c r="AD1034">
        <v>-1.1091439854039999</v>
      </c>
      <c r="AE1034">
        <v>-3.0783999999999798</v>
      </c>
      <c r="AF1034">
        <v>3.15152683828605</v>
      </c>
      <c r="AG1034">
        <v>-1.1091439854039999</v>
      </c>
      <c r="AH1034">
        <v>19.961969541522201</v>
      </c>
      <c r="AI1034">
        <v>93.1414173819675</v>
      </c>
      <c r="AJ1034">
        <v>81.028390194185206</v>
      </c>
      <c r="AK1034">
        <v>20.2396282023523</v>
      </c>
      <c r="AL1034">
        <v>94.505662626482405</v>
      </c>
      <c r="AM1034">
        <v>92.288704484172101</v>
      </c>
      <c r="AN1034">
        <v>0.99999997254914197</v>
      </c>
    </row>
    <row r="1035" spans="1:40" x14ac:dyDescent="0.25">
      <c r="A1035" t="str">
        <f>"20190305135213619"</f>
        <v>20190305135213619</v>
      </c>
      <c r="B1035" t="str">
        <f>"1551765133610570"</f>
        <v>1551765133610570</v>
      </c>
      <c r="C1035" t="s">
        <v>40</v>
      </c>
      <c r="D1035">
        <v>4.5872809999999999</v>
      </c>
      <c r="E1035">
        <v>0.57495280000000004</v>
      </c>
      <c r="F1035" t="s">
        <v>42</v>
      </c>
      <c r="G1035">
        <v>-224.61699999999999</v>
      </c>
      <c r="H1035" s="1">
        <v>-3.0420069999999998E-6</v>
      </c>
      <c r="I1035">
        <v>365.3861</v>
      </c>
      <c r="J1035">
        <v>-244.61779999999999</v>
      </c>
      <c r="K1035">
        <v>1.1091420000000001</v>
      </c>
      <c r="L1035">
        <v>368.47300000000001</v>
      </c>
      <c r="M1035">
        <v>0.99989130000000004</v>
      </c>
      <c r="N1035">
        <v>-1.4160000000000001E-2</v>
      </c>
      <c r="O1035">
        <v>4.113706E-3</v>
      </c>
      <c r="P1035">
        <v>0.99471529999999997</v>
      </c>
      <c r="Q1035">
        <v>-9.2812450000000005E-2</v>
      </c>
      <c r="R1035">
        <v>4.3902110000000001E-2</v>
      </c>
      <c r="S1035">
        <v>3.0208279999999998</v>
      </c>
      <c r="T1035">
        <v>-0.1661685</v>
      </c>
      <c r="U1035">
        <v>-0.4623718</v>
      </c>
      <c r="V1035">
        <v>-3.9814700000000001E-2</v>
      </c>
      <c r="W1035">
        <v>-7.8712870000000004E-2</v>
      </c>
      <c r="X1035">
        <v>0.99610189999999998</v>
      </c>
      <c r="Y1035">
        <v>0.15507209999999999</v>
      </c>
      <c r="Z1035">
        <v>-5.5095209999999999E-3</v>
      </c>
      <c r="AA1035">
        <v>0.98788779999999998</v>
      </c>
      <c r="AB1035">
        <v>29</v>
      </c>
      <c r="AC1035">
        <v>20.000799999999899</v>
      </c>
      <c r="AD1035">
        <v>-1.1091450420069999</v>
      </c>
      <c r="AE1035">
        <v>-3.0869000000000102</v>
      </c>
      <c r="AF1035">
        <v>3.1596688027642501</v>
      </c>
      <c r="AG1035">
        <v>-1.1091450420069999</v>
      </c>
      <c r="AH1035">
        <v>19.928072690248499</v>
      </c>
      <c r="AI1035">
        <v>93.146424871183399</v>
      </c>
      <c r="AJ1035">
        <v>80.990542107256104</v>
      </c>
      <c r="AK1035">
        <v>20.207468688957501</v>
      </c>
      <c r="AL1035">
        <v>94.514585479911702</v>
      </c>
      <c r="AM1035">
        <v>92.288923032397605</v>
      </c>
      <c r="AN1035">
        <v>0.99999996071166697</v>
      </c>
    </row>
    <row r="1036" spans="1:40" x14ac:dyDescent="0.25">
      <c r="A1036" t="str">
        <f>"20190305135213632"</f>
        <v>20190305135213632</v>
      </c>
      <c r="B1036" t="str">
        <f>"1551765133620329"</f>
        <v>1551765133620329</v>
      </c>
      <c r="C1036" t="s">
        <v>40</v>
      </c>
      <c r="D1036">
        <v>4.5938080000000001</v>
      </c>
      <c r="E1036">
        <v>0.57515909999999904</v>
      </c>
      <c r="F1036" t="s">
        <v>42</v>
      </c>
      <c r="G1036">
        <v>-224.95740000000001</v>
      </c>
      <c r="H1036" s="1">
        <v>-2.8814480000000001E-6</v>
      </c>
      <c r="I1036">
        <v>365.46789999999999</v>
      </c>
      <c r="J1036">
        <v>-244.4614</v>
      </c>
      <c r="K1036">
        <v>1.10914</v>
      </c>
      <c r="L1036">
        <v>368.47370000000001</v>
      </c>
      <c r="M1036">
        <v>0.99989130000000004</v>
      </c>
      <c r="N1036">
        <v>-1.4158830000000001E-2</v>
      </c>
      <c r="O1036">
        <v>4.1061470000000001E-3</v>
      </c>
      <c r="P1036">
        <v>0.99473389999999995</v>
      </c>
      <c r="Q1036">
        <v>-9.260678E-2</v>
      </c>
      <c r="R1036">
        <v>4.3913840000000003E-2</v>
      </c>
      <c r="S1036">
        <v>3.0203859999999998</v>
      </c>
      <c r="T1036">
        <v>-0.17039480000000001</v>
      </c>
      <c r="U1036">
        <v>-0.46166990000000002</v>
      </c>
      <c r="V1036">
        <v>-3.983387E-2</v>
      </c>
      <c r="W1036">
        <v>-7.8508110000000006E-2</v>
      </c>
      <c r="X1036">
        <v>0.99611740000000004</v>
      </c>
      <c r="Y1036">
        <v>0.15484870000000001</v>
      </c>
      <c r="Z1036">
        <v>-5.615353E-3</v>
      </c>
      <c r="AA1036">
        <v>0.98792230000000003</v>
      </c>
      <c r="AB1036">
        <v>29</v>
      </c>
      <c r="AC1036">
        <v>19.503999999999898</v>
      </c>
      <c r="AD1036">
        <v>-1.109142881448</v>
      </c>
      <c r="AE1036">
        <v>-3.0058000000000198</v>
      </c>
      <c r="AF1036">
        <v>3.0761517749296901</v>
      </c>
      <c r="AG1036">
        <v>-1.109142881448</v>
      </c>
      <c r="AH1036">
        <v>19.430114597657301</v>
      </c>
      <c r="AI1036">
        <v>93.227004296066596</v>
      </c>
      <c r="AJ1036">
        <v>81.003670790372794</v>
      </c>
      <c r="AK1036">
        <v>19.703356590996499</v>
      </c>
      <c r="AL1036">
        <v>94.502816695403396</v>
      </c>
      <c r="AM1036">
        <v>92.289988335288996</v>
      </c>
      <c r="AN1036">
        <v>1.0000000675588501</v>
      </c>
    </row>
    <row r="1037" spans="1:40" x14ac:dyDescent="0.25">
      <c r="A1037" t="str">
        <f>"20190305135213647"</f>
        <v>20190305135213647</v>
      </c>
      <c r="B1037" t="str">
        <f>"1551765133640825"</f>
        <v>1551765133640825</v>
      </c>
      <c r="C1037" t="s">
        <v>40</v>
      </c>
      <c r="D1037">
        <v>4.5749690000000003</v>
      </c>
      <c r="E1037">
        <v>0.575567099999999</v>
      </c>
      <c r="F1037" t="s">
        <v>42</v>
      </c>
      <c r="G1037">
        <v>-224.63499999999999</v>
      </c>
      <c r="H1037" s="1">
        <v>-3.025767E-6</v>
      </c>
      <c r="I1037">
        <v>365.43389999999999</v>
      </c>
      <c r="J1037">
        <v>-244.26949999999999</v>
      </c>
      <c r="K1037">
        <v>1.109145</v>
      </c>
      <c r="L1037">
        <v>368.4744</v>
      </c>
      <c r="M1037">
        <v>0.99989150000000004</v>
      </c>
      <c r="N1037">
        <v>-1.4157350000000001E-2</v>
      </c>
      <c r="O1037">
        <v>4.0967410000000001E-3</v>
      </c>
      <c r="P1037">
        <v>0.99473590000000001</v>
      </c>
      <c r="Q1037">
        <v>-9.2679440000000002E-2</v>
      </c>
      <c r="R1037">
        <v>4.3717899999999997E-2</v>
      </c>
      <c r="S1037">
        <v>3.0205989999999998</v>
      </c>
      <c r="T1037">
        <v>-0.16898060000000001</v>
      </c>
      <c r="U1037">
        <v>-0.46310420000000002</v>
      </c>
      <c r="V1037">
        <v>-3.9647450000000001E-2</v>
      </c>
      <c r="W1037">
        <v>-7.8582269999999996E-2</v>
      </c>
      <c r="X1037">
        <v>0.99611890000000003</v>
      </c>
      <c r="Y1037">
        <v>0.15529109999999999</v>
      </c>
      <c r="Z1037">
        <v>-5.5919790000000004E-3</v>
      </c>
      <c r="AA1037">
        <v>0.98785290000000003</v>
      </c>
      <c r="AB1037">
        <v>29</v>
      </c>
      <c r="AC1037">
        <v>19.634499999999999</v>
      </c>
      <c r="AD1037">
        <v>-1.1091480257669999</v>
      </c>
      <c r="AE1037">
        <v>-3.0405000000000002</v>
      </c>
      <c r="AF1037">
        <v>3.1112242948092401</v>
      </c>
      <c r="AG1037">
        <v>-1.1091480257669999</v>
      </c>
      <c r="AH1037">
        <v>19.560918918292501</v>
      </c>
      <c r="AI1037">
        <v>93.205121667728804</v>
      </c>
      <c r="AJ1037">
        <v>80.962631457607003</v>
      </c>
      <c r="AK1037">
        <v>19.8378293894188</v>
      </c>
      <c r="AL1037">
        <v>94.507079321639395</v>
      </c>
      <c r="AM1037">
        <v>92.279279235221395</v>
      </c>
      <c r="AN1037">
        <v>0.99999997819353204</v>
      </c>
    </row>
    <row r="1038" spans="1:40" x14ac:dyDescent="0.25">
      <c r="A1038" t="str">
        <f>"20190305135213659"</f>
        <v>20190305135213659</v>
      </c>
      <c r="B1038" t="str">
        <f>"1551765133650585"</f>
        <v>1551765133650585</v>
      </c>
      <c r="C1038" t="s">
        <v>40</v>
      </c>
      <c r="D1038">
        <v>4.5871919999999999</v>
      </c>
      <c r="E1038">
        <v>0.57578549999999995</v>
      </c>
      <c r="F1038" t="s">
        <v>42</v>
      </c>
      <c r="G1038">
        <v>-224.31360000000001</v>
      </c>
      <c r="H1038" s="1">
        <v>-3.171666E-6</v>
      </c>
      <c r="I1038">
        <v>365.3888</v>
      </c>
      <c r="J1038">
        <v>-244.09950000000001</v>
      </c>
      <c r="K1038">
        <v>1.109143</v>
      </c>
      <c r="L1038">
        <v>368.4751</v>
      </c>
      <c r="M1038">
        <v>0.99989150000000004</v>
      </c>
      <c r="N1038">
        <v>-1.4156E-2</v>
      </c>
      <c r="O1038">
        <v>4.0886450000000001E-3</v>
      </c>
      <c r="P1038">
        <v>0.99476100000000001</v>
      </c>
      <c r="Q1038">
        <v>-9.2663999999999996E-2</v>
      </c>
      <c r="R1038">
        <v>4.3176329999999999E-2</v>
      </c>
      <c r="S1038">
        <v>3.0207670000000002</v>
      </c>
      <c r="T1038">
        <v>-0.16789379999999901</v>
      </c>
      <c r="U1038">
        <v>-0.46707149999999997</v>
      </c>
      <c r="V1038">
        <v>-3.9113599999999998E-2</v>
      </c>
      <c r="W1038">
        <v>-7.8567910000000005E-2</v>
      </c>
      <c r="X1038">
        <v>0.9961411</v>
      </c>
      <c r="Y1038">
        <v>0.1565433</v>
      </c>
      <c r="Z1038">
        <v>-5.6052699999999999E-3</v>
      </c>
      <c r="AA1038">
        <v>0.98765519999999996</v>
      </c>
      <c r="AB1038">
        <v>29</v>
      </c>
      <c r="AC1038">
        <v>19.785900000000002</v>
      </c>
      <c r="AD1038">
        <v>-1.109146171666</v>
      </c>
      <c r="AE1038">
        <v>-3.0862999999999898</v>
      </c>
      <c r="AF1038">
        <v>3.15749329690225</v>
      </c>
      <c r="AG1038">
        <v>-1.109146171666</v>
      </c>
      <c r="AH1038">
        <v>19.712640310632899</v>
      </c>
      <c r="AI1038">
        <v>93.179943745508695</v>
      </c>
      <c r="AJ1038">
        <v>80.899886969015</v>
      </c>
      <c r="AK1038">
        <v>19.994703227767399</v>
      </c>
      <c r="AL1038">
        <v>94.506254172043697</v>
      </c>
      <c r="AM1038">
        <v>92.248570565019705</v>
      </c>
      <c r="AN1038">
        <v>0.99999994064796704</v>
      </c>
    </row>
    <row r="1039" spans="1:40" x14ac:dyDescent="0.25">
      <c r="A1039" t="str">
        <f>"20190305135213673"</f>
        <v>20190305135213673</v>
      </c>
      <c r="B1039" t="str">
        <f>"1551765133660345"</f>
        <v>1551765133660345</v>
      </c>
      <c r="C1039" t="s">
        <v>40</v>
      </c>
      <c r="D1039">
        <v>4.5770569999999999</v>
      </c>
      <c r="E1039">
        <v>0.57593749999999999</v>
      </c>
      <c r="F1039" t="s">
        <v>42</v>
      </c>
      <c r="G1039">
        <v>-224.0761</v>
      </c>
      <c r="H1039" s="1">
        <v>-3.2791530000000001E-6</v>
      </c>
      <c r="I1039">
        <v>365.35719999999998</v>
      </c>
      <c r="J1039">
        <v>-243.9384</v>
      </c>
      <c r="K1039">
        <v>1.10914</v>
      </c>
      <c r="L1039">
        <v>368.47579999999999</v>
      </c>
      <c r="M1039">
        <v>0.99989159999999999</v>
      </c>
      <c r="N1039">
        <v>-1.4154679999999999E-2</v>
      </c>
      <c r="O1039">
        <v>4.0809660000000001E-3</v>
      </c>
      <c r="P1039">
        <v>0.99475409999999997</v>
      </c>
      <c r="Q1039">
        <v>-9.2817529999999995E-2</v>
      </c>
      <c r="R1039">
        <v>4.300238E-2</v>
      </c>
      <c r="S1039">
        <v>3.0206300000000001</v>
      </c>
      <c r="T1039">
        <v>-0.1673192</v>
      </c>
      <c r="U1039">
        <v>-0.4703369</v>
      </c>
      <c r="V1039">
        <v>-3.8946870000000001E-2</v>
      </c>
      <c r="W1039">
        <v>-7.8722860000000006E-2</v>
      </c>
      <c r="X1039">
        <v>0.99613549999999995</v>
      </c>
      <c r="Y1039">
        <v>0.157585</v>
      </c>
      <c r="Z1039">
        <v>-5.625316E-3</v>
      </c>
      <c r="AA1039">
        <v>0.98748939999999996</v>
      </c>
      <c r="AB1039">
        <v>29</v>
      </c>
      <c r="AC1039">
        <v>19.862300000000001</v>
      </c>
      <c r="AD1039">
        <v>-1.109143279153</v>
      </c>
      <c r="AE1039">
        <v>-3.11860000000001</v>
      </c>
      <c r="AF1039">
        <v>3.18993170441302</v>
      </c>
      <c r="AG1039">
        <v>-1.109143279153</v>
      </c>
      <c r="AH1039">
        <v>19.789182686570001</v>
      </c>
      <c r="AI1039">
        <v>93.167156056906194</v>
      </c>
      <c r="AJ1039">
        <v>80.842935497289204</v>
      </c>
      <c r="AK1039">
        <v>20.075298615337001</v>
      </c>
      <c r="AL1039">
        <v>94.515159283792897</v>
      </c>
      <c r="AM1039">
        <v>92.239007907090595</v>
      </c>
      <c r="AN1039">
        <v>1.00000004086481</v>
      </c>
    </row>
    <row r="1040" spans="1:40" x14ac:dyDescent="0.25">
      <c r="A1040" t="str">
        <f>"20190305135213683"</f>
        <v>20190305135213683</v>
      </c>
      <c r="B1040" t="str">
        <f>"1551765133680841"</f>
        <v>1551765133680841</v>
      </c>
      <c r="C1040" t="s">
        <v>40</v>
      </c>
      <c r="D1040">
        <v>4.6223340000000004</v>
      </c>
      <c r="E1040">
        <v>0.57626250000000001</v>
      </c>
      <c r="F1040" t="s">
        <v>42</v>
      </c>
      <c r="G1040">
        <v>-223.96770000000001</v>
      </c>
      <c r="H1040" s="1">
        <v>-3.326345E-6</v>
      </c>
      <c r="I1040">
        <v>365.35340000000002</v>
      </c>
      <c r="J1040">
        <v>-243.7859</v>
      </c>
      <c r="K1040">
        <v>1.10914</v>
      </c>
      <c r="L1040">
        <v>368.47640000000001</v>
      </c>
      <c r="M1040">
        <v>0.99989150000000004</v>
      </c>
      <c r="N1040">
        <v>-1.41534E-2</v>
      </c>
      <c r="O1040">
        <v>4.0737029999999997E-3</v>
      </c>
      <c r="P1040">
        <v>0.99475360000000002</v>
      </c>
      <c r="Q1040">
        <v>-9.2960600000000004E-2</v>
      </c>
      <c r="R1040">
        <v>4.2703070000000003E-2</v>
      </c>
      <c r="S1040">
        <v>3.0205839999999999</v>
      </c>
      <c r="T1040">
        <v>-0.1677585</v>
      </c>
      <c r="U1040">
        <v>-0.4722595</v>
      </c>
      <c r="V1040">
        <v>-3.8655250000000002E-2</v>
      </c>
      <c r="W1040">
        <v>-7.8867229999999997E-2</v>
      </c>
      <c r="X1040">
        <v>0.9961354</v>
      </c>
      <c r="Y1040">
        <v>0.1581911</v>
      </c>
      <c r="Z1040">
        <v>-5.65782E-3</v>
      </c>
      <c r="AA1040">
        <v>0.9873923</v>
      </c>
      <c r="AB1040">
        <v>29</v>
      </c>
      <c r="AC1040">
        <v>19.818199999999901</v>
      </c>
      <c r="AD1040">
        <v>-1.1091433263449999</v>
      </c>
      <c r="AE1040">
        <v>-3.12299999999999</v>
      </c>
      <c r="AF1040">
        <v>3.1939539921892801</v>
      </c>
      <c r="AG1040">
        <v>-1.1091433263449999</v>
      </c>
      <c r="AH1040">
        <v>19.744965789608798</v>
      </c>
      <c r="AI1040">
        <v>93.173952736882995</v>
      </c>
      <c r="AJ1040">
        <v>80.811403129971495</v>
      </c>
      <c r="AK1040">
        <v>20.032354206518502</v>
      </c>
      <c r="AL1040">
        <v>94.523457051115898</v>
      </c>
      <c r="AM1040">
        <v>92.222260124499201</v>
      </c>
      <c r="AN1040">
        <v>1.00000000172679</v>
      </c>
    </row>
    <row r="1041" spans="1:40" x14ac:dyDescent="0.25">
      <c r="A1041" t="str">
        <f>"20190305135213696"</f>
        <v>20190305135213696</v>
      </c>
      <c r="B1041" t="str">
        <f>"1551765133690601"</f>
        <v>1551765133690601</v>
      </c>
      <c r="C1041" t="s">
        <v>40</v>
      </c>
      <c r="D1041">
        <v>4.6279579999999996</v>
      </c>
      <c r="E1041">
        <v>0.57641640000000005</v>
      </c>
      <c r="F1041" t="s">
        <v>42</v>
      </c>
      <c r="G1041">
        <v>-223.9401</v>
      </c>
      <c r="H1041" s="1">
        <v>-3.3385680000000001E-6</v>
      </c>
      <c r="I1041">
        <v>365.35109999999997</v>
      </c>
      <c r="J1041">
        <v>-243.63929999999999</v>
      </c>
      <c r="K1041">
        <v>1.1091439999999999</v>
      </c>
      <c r="L1041">
        <v>368.47699999999998</v>
      </c>
      <c r="M1041">
        <v>0.99989159999999999</v>
      </c>
      <c r="N1041">
        <v>-1.4152140000000001E-2</v>
      </c>
      <c r="O1041">
        <v>4.0669740000000001E-3</v>
      </c>
      <c r="P1041">
        <v>0.99473849999999997</v>
      </c>
      <c r="Q1041">
        <v>-9.3244629999999995E-2</v>
      </c>
      <c r="R1041">
        <v>4.2433869999999999E-2</v>
      </c>
      <c r="S1041">
        <v>3.0204620000000002</v>
      </c>
      <c r="T1041">
        <v>-0.1688075</v>
      </c>
      <c r="U1041">
        <v>-0.47564699999999999</v>
      </c>
      <c r="V1041">
        <v>-3.8392660000000002E-2</v>
      </c>
      <c r="W1041">
        <v>-7.9152699999999895E-2</v>
      </c>
      <c r="X1041">
        <v>0.99612290000000003</v>
      </c>
      <c r="Y1041">
        <v>0.15926580000000001</v>
      </c>
      <c r="Z1041">
        <v>-5.7234729999999998E-3</v>
      </c>
      <c r="AA1041">
        <v>0.98721919999999996</v>
      </c>
      <c r="AB1041">
        <v>29</v>
      </c>
      <c r="AC1041">
        <v>19.699199999999902</v>
      </c>
      <c r="AD1041">
        <v>-1.109147338568</v>
      </c>
      <c r="AE1041">
        <v>-3.1259000000000001</v>
      </c>
      <c r="AF1041">
        <v>3.1961149622782998</v>
      </c>
      <c r="AG1041">
        <v>-1.109147338568</v>
      </c>
      <c r="AH1041">
        <v>19.625634527128199</v>
      </c>
      <c r="AI1041">
        <v>93.192672183760607</v>
      </c>
      <c r="AJ1041">
        <v>80.750348631478701</v>
      </c>
      <c r="AK1041">
        <v>19.9150919973561</v>
      </c>
      <c r="AL1041">
        <v>94.539864627604402</v>
      </c>
      <c r="AM1041">
        <v>92.207206681741994</v>
      </c>
      <c r="AN1041">
        <v>0.999999989081787</v>
      </c>
    </row>
    <row r="1042" spans="1:40" x14ac:dyDescent="0.25">
      <c r="A1042" t="str">
        <f>"20190305135213709"</f>
        <v>20190305135213709</v>
      </c>
      <c r="B1042" t="str">
        <f>"1551765133700361"</f>
        <v>1551765133700361</v>
      </c>
      <c r="C1042" t="s">
        <v>40</v>
      </c>
      <c r="D1042">
        <v>4.6229550000000001</v>
      </c>
      <c r="E1042">
        <v>0.57657769999999897</v>
      </c>
      <c r="F1042" t="s">
        <v>42</v>
      </c>
      <c r="G1042">
        <v>-223.89580000000001</v>
      </c>
      <c r="H1042" s="1">
        <v>-3.357137E-6</v>
      </c>
      <c r="I1042">
        <v>365.35359999999997</v>
      </c>
      <c r="J1042">
        <v>-243.4769</v>
      </c>
      <c r="K1042">
        <v>1.1091420000000001</v>
      </c>
      <c r="L1042">
        <v>368.4776</v>
      </c>
      <c r="M1042">
        <v>0.99989159999999999</v>
      </c>
      <c r="N1042">
        <v>-1.415073E-2</v>
      </c>
      <c r="O1042">
        <v>4.0595910000000004E-3</v>
      </c>
      <c r="P1042">
        <v>0.99477709999999997</v>
      </c>
      <c r="Q1042">
        <v>-9.2987150000000005E-2</v>
      </c>
      <c r="R1042">
        <v>4.2092669999999999E-2</v>
      </c>
      <c r="S1042">
        <v>3.0203549999999999</v>
      </c>
      <c r="T1042">
        <v>-0.16967689999999999</v>
      </c>
      <c r="U1042">
        <v>-0.47781370000000001</v>
      </c>
      <c r="V1042">
        <v>-3.8059040000000002E-2</v>
      </c>
      <c r="W1042">
        <v>-7.8896149999999998E-2</v>
      </c>
      <c r="X1042">
        <v>0.99615600000000004</v>
      </c>
      <c r="Y1042">
        <v>0.1599506</v>
      </c>
      <c r="Z1042">
        <v>-5.7709099999999998E-3</v>
      </c>
      <c r="AA1042">
        <v>0.98710819999999999</v>
      </c>
      <c r="AB1042">
        <v>29</v>
      </c>
      <c r="AC1042">
        <v>19.5810999999999</v>
      </c>
      <c r="AD1042">
        <v>-1.109145357137</v>
      </c>
      <c r="AE1042">
        <v>-3.1240000000000201</v>
      </c>
      <c r="AF1042">
        <v>3.1934815009866702</v>
      </c>
      <c r="AG1042">
        <v>-1.109145357137</v>
      </c>
      <c r="AH1042">
        <v>19.5072197327138</v>
      </c>
      <c r="AI1042">
        <v>93.211571399542706</v>
      </c>
      <c r="AJ1042">
        <v>80.702712407832706</v>
      </c>
      <c r="AK1042">
        <v>19.797983463493999</v>
      </c>
      <c r="AL1042">
        <v>94.525119528471606</v>
      </c>
      <c r="AM1042">
        <v>92.187972848573196</v>
      </c>
      <c r="AN1042">
        <v>0.99999993467326997</v>
      </c>
    </row>
    <row r="1043" spans="1:40" x14ac:dyDescent="0.25">
      <c r="A1043" t="str">
        <f>"20190305135213722"</f>
        <v>20190305135213722</v>
      </c>
      <c r="B1043" t="str">
        <f>"1551765133710121"</f>
        <v>1551765133710121</v>
      </c>
      <c r="C1043" t="s">
        <v>40</v>
      </c>
      <c r="D1043">
        <v>4.608924</v>
      </c>
      <c r="E1043">
        <v>0.57673540000000001</v>
      </c>
      <c r="F1043" t="s">
        <v>42</v>
      </c>
      <c r="G1043">
        <v>-223.64580000000001</v>
      </c>
      <c r="H1043" s="1">
        <v>-3.4694799999999999E-6</v>
      </c>
      <c r="I1043">
        <v>365.32499999999999</v>
      </c>
      <c r="J1043">
        <v>-243.29669999999999</v>
      </c>
      <c r="K1043">
        <v>1.109143</v>
      </c>
      <c r="L1043">
        <v>368.47840000000002</v>
      </c>
      <c r="M1043">
        <v>0.99989170000000005</v>
      </c>
      <c r="N1043">
        <v>-1.4149139999999999E-2</v>
      </c>
      <c r="O1043">
        <v>4.0510199999999998E-3</v>
      </c>
      <c r="P1043">
        <v>0.99482230000000005</v>
      </c>
      <c r="Q1043">
        <v>-9.2743790000000007E-2</v>
      </c>
      <c r="R1043">
        <v>4.156112E-2</v>
      </c>
      <c r="S1043">
        <v>3.0202789999999999</v>
      </c>
      <c r="T1043">
        <v>-0.16892219999999999</v>
      </c>
      <c r="U1043">
        <v>-0.48013309999999998</v>
      </c>
      <c r="V1043">
        <v>-3.7535829999999999E-2</v>
      </c>
      <c r="W1043">
        <v>-7.8653860000000006E-2</v>
      </c>
      <c r="X1043">
        <v>0.9961951</v>
      </c>
      <c r="Y1043">
        <v>0.16068650000000001</v>
      </c>
      <c r="Z1043">
        <v>-5.7751909999999998E-3</v>
      </c>
      <c r="AA1043">
        <v>0.98698859999999999</v>
      </c>
      <c r="AB1043">
        <v>29</v>
      </c>
      <c r="AC1043">
        <v>19.650899999999901</v>
      </c>
      <c r="AD1043">
        <v>-1.10914646948</v>
      </c>
      <c r="AE1043">
        <v>-3.1534000000000302</v>
      </c>
      <c r="AF1043">
        <v>3.2229784089846198</v>
      </c>
      <c r="AG1043">
        <v>-1.10914646948</v>
      </c>
      <c r="AH1043">
        <v>19.577160563675601</v>
      </c>
      <c r="AI1043">
        <v>93.199654344239207</v>
      </c>
      <c r="AJ1043">
        <v>80.651280877793994</v>
      </c>
      <c r="AK1043">
        <v>19.871663530048899</v>
      </c>
      <c r="AL1043">
        <v>94.511193660471903</v>
      </c>
      <c r="AM1043">
        <v>92.157838091423997</v>
      </c>
      <c r="AN1043">
        <v>1.0000000227453401</v>
      </c>
    </row>
    <row r="1044" spans="1:40" x14ac:dyDescent="0.25">
      <c r="A1044" t="str">
        <f>"20190305135213739"</f>
        <v>20190305135213739</v>
      </c>
      <c r="B1044" t="str">
        <f>"1551765133730618"</f>
        <v>1551765133730618</v>
      </c>
      <c r="C1044" t="s">
        <v>40</v>
      </c>
      <c r="D1044">
        <v>4.6111269999999998</v>
      </c>
      <c r="E1044">
        <v>0.57709489999999997</v>
      </c>
      <c r="F1044" t="s">
        <v>42</v>
      </c>
      <c r="G1044">
        <v>-223.33879999999999</v>
      </c>
      <c r="H1044" s="1">
        <v>-3.6078910000000002E-6</v>
      </c>
      <c r="I1044">
        <v>365.28710000000001</v>
      </c>
      <c r="J1044">
        <v>-243.08609999999999</v>
      </c>
      <c r="K1044">
        <v>1.109146</v>
      </c>
      <c r="L1044">
        <v>368.47919999999999</v>
      </c>
      <c r="M1044">
        <v>0.99989189999999994</v>
      </c>
      <c r="N1044">
        <v>-1.414725E-2</v>
      </c>
      <c r="O1044">
        <v>4.0409620000000004E-3</v>
      </c>
      <c r="P1044">
        <v>0.99489309999999997</v>
      </c>
      <c r="Q1044">
        <v>-9.2362929999999996E-2</v>
      </c>
      <c r="R1044">
        <v>4.0707550000000002E-2</v>
      </c>
      <c r="S1044">
        <v>3.0201259999999999</v>
      </c>
      <c r="T1044">
        <v>-0.16784079999999901</v>
      </c>
      <c r="U1044">
        <v>-0.48291020000000001</v>
      </c>
      <c r="V1044">
        <v>-3.6691849999999998E-2</v>
      </c>
      <c r="W1044">
        <v>-7.8273990000000002E-2</v>
      </c>
      <c r="X1044">
        <v>0.99625640000000004</v>
      </c>
      <c r="Y1044">
        <v>0.1615712</v>
      </c>
      <c r="Z1044">
        <v>-5.7753589999999999E-3</v>
      </c>
      <c r="AA1044">
        <v>0.9868441</v>
      </c>
      <c r="AB1044">
        <v>29</v>
      </c>
      <c r="AC1044">
        <v>19.747299999999999</v>
      </c>
      <c r="AD1044">
        <v>-1.1091496078909999</v>
      </c>
      <c r="AE1044">
        <v>-3.19209999999998</v>
      </c>
      <c r="AF1044">
        <v>3.2618517109907099</v>
      </c>
      <c r="AG1044">
        <v>-1.1091496078909999</v>
      </c>
      <c r="AH1044">
        <v>19.673753013351199</v>
      </c>
      <c r="AI1044">
        <v>93.1833897546543</v>
      </c>
      <c r="AJ1044">
        <v>80.586159102504297</v>
      </c>
      <c r="AK1044">
        <v>19.973143144420799</v>
      </c>
      <c r="AL1044">
        <v>94.489361676685604</v>
      </c>
      <c r="AM1044">
        <v>92.109234516052695</v>
      </c>
      <c r="AN1044">
        <v>0.99999996195395002</v>
      </c>
    </row>
    <row r="1045" spans="1:40" x14ac:dyDescent="0.25">
      <c r="A1045" t="str">
        <f>"20190305135213753"</f>
        <v>20190305135213753</v>
      </c>
      <c r="B1045" t="str">
        <f>"1551765133740378"</f>
        <v>1551765133740378</v>
      </c>
      <c r="C1045" t="s">
        <v>40</v>
      </c>
      <c r="D1045">
        <v>4.6407980000000002</v>
      </c>
      <c r="E1045">
        <v>0.57724330000000001</v>
      </c>
      <c r="F1045" t="s">
        <v>42</v>
      </c>
      <c r="G1045">
        <v>-222.96129999999999</v>
      </c>
      <c r="H1045" s="1">
        <v>-3.7805309999999999E-6</v>
      </c>
      <c r="I1045">
        <v>365.2269</v>
      </c>
      <c r="J1045">
        <v>-242.9117</v>
      </c>
      <c r="K1045">
        <v>1.1091470000000001</v>
      </c>
      <c r="L1045">
        <v>368.47989999999999</v>
      </c>
      <c r="M1045">
        <v>0.99989189999999994</v>
      </c>
      <c r="N1045">
        <v>-1.4145670000000001E-2</v>
      </c>
      <c r="O1045">
        <v>4.0325719999999999E-3</v>
      </c>
      <c r="P1045">
        <v>0.99490109999999998</v>
      </c>
      <c r="Q1045">
        <v>-9.238143E-2</v>
      </c>
      <c r="R1045">
        <v>4.0467080000000002E-2</v>
      </c>
      <c r="S1045">
        <v>3.0199280000000002</v>
      </c>
      <c r="T1045">
        <v>-0.166438</v>
      </c>
      <c r="U1045">
        <v>-0.4880371</v>
      </c>
      <c r="V1045">
        <v>-3.645996E-2</v>
      </c>
      <c r="W1045">
        <v>-7.8294000000000002E-2</v>
      </c>
      <c r="X1045">
        <v>0.99626340000000002</v>
      </c>
      <c r="Y1045">
        <v>0.16320770000000001</v>
      </c>
      <c r="Z1045">
        <v>-5.7920840000000003E-3</v>
      </c>
      <c r="AA1045">
        <v>0.98657470000000003</v>
      </c>
      <c r="AB1045">
        <v>29</v>
      </c>
      <c r="AC1045">
        <v>19.950399999999998</v>
      </c>
      <c r="AD1045">
        <v>-1.1091507805309999</v>
      </c>
      <c r="AE1045">
        <v>-3.2529999999999801</v>
      </c>
      <c r="AF1045">
        <v>3.3234268299327199</v>
      </c>
      <c r="AG1045">
        <v>-1.1091507805309999</v>
      </c>
      <c r="AH1045">
        <v>19.877271938742499</v>
      </c>
      <c r="AI1045">
        <v>93.150151851671794</v>
      </c>
      <c r="AJ1045">
        <v>80.508097225692296</v>
      </c>
      <c r="AK1045">
        <v>20.183689481226899</v>
      </c>
      <c r="AL1045">
        <v>94.490511430455101</v>
      </c>
      <c r="AM1045">
        <v>92.095901510255004</v>
      </c>
      <c r="AN1045">
        <v>1.00000002064938</v>
      </c>
    </row>
    <row r="1046" spans="1:40" x14ac:dyDescent="0.25">
      <c r="A1046" t="str">
        <f>"20190305135213765"</f>
        <v>20190305135213765</v>
      </c>
      <c r="B1046" t="str">
        <f>"1551765133760873"</f>
        <v>1551765133760873</v>
      </c>
      <c r="C1046" t="s">
        <v>40</v>
      </c>
      <c r="D1046">
        <v>4.6502359999999996</v>
      </c>
      <c r="E1046">
        <v>0.57756319999999906</v>
      </c>
      <c r="F1046" t="s">
        <v>42</v>
      </c>
      <c r="G1046">
        <v>-222.7749</v>
      </c>
      <c r="H1046" s="1">
        <v>-3.8629769999999997E-6</v>
      </c>
      <c r="I1046">
        <v>365.21300000000002</v>
      </c>
      <c r="J1046">
        <v>-242.7526</v>
      </c>
      <c r="K1046">
        <v>1.1091470000000001</v>
      </c>
      <c r="L1046">
        <v>368.48050000000001</v>
      </c>
      <c r="M1046">
        <v>0.99989189999999994</v>
      </c>
      <c r="N1046">
        <v>-1.4144210000000001E-2</v>
      </c>
      <c r="O1046">
        <v>4.0248380000000002E-3</v>
      </c>
      <c r="P1046">
        <v>0.99490480000000003</v>
      </c>
      <c r="Q1046">
        <v>-9.2337299999999997E-2</v>
      </c>
      <c r="R1046">
        <v>4.0478569999999998E-2</v>
      </c>
      <c r="S1046">
        <v>3.0198670000000001</v>
      </c>
      <c r="T1046">
        <v>-0.16633609999999999</v>
      </c>
      <c r="U1046">
        <v>-0.48992920000000001</v>
      </c>
      <c r="V1046">
        <v>-3.6479089999999999E-2</v>
      </c>
      <c r="W1046">
        <v>-7.8251310000000004E-2</v>
      </c>
      <c r="X1046">
        <v>0.99626599999999998</v>
      </c>
      <c r="Y1046">
        <v>0.1638047</v>
      </c>
      <c r="Z1046">
        <v>-5.8092880000000001E-3</v>
      </c>
      <c r="AA1046">
        <v>0.98647560000000001</v>
      </c>
      <c r="AB1046">
        <v>29</v>
      </c>
      <c r="AC1046">
        <v>19.977699999999999</v>
      </c>
      <c r="AD1046">
        <v>-1.1091508629769999</v>
      </c>
      <c r="AE1046">
        <v>-3.2674999999999801</v>
      </c>
      <c r="AF1046">
        <v>3.3378679637109698</v>
      </c>
      <c r="AG1046">
        <v>-1.1091508629769999</v>
      </c>
      <c r="AH1046">
        <v>19.9046299947934</v>
      </c>
      <c r="AI1046">
        <v>93.145577563448597</v>
      </c>
      <c r="AJ1046">
        <v>80.480469707558299</v>
      </c>
      <c r="AK1046">
        <v>20.213012477353299</v>
      </c>
      <c r="AL1046">
        <v>94.488058187008804</v>
      </c>
      <c r="AM1046">
        <v>92.096994749405894</v>
      </c>
      <c r="AN1046">
        <v>0.99999996713997097</v>
      </c>
    </row>
    <row r="1047" spans="1:40" x14ac:dyDescent="0.25">
      <c r="A1047" t="str">
        <f>"20190305135213777"</f>
        <v>20190305135213777</v>
      </c>
      <c r="B1047" t="str">
        <f>"1551765133770633"</f>
        <v>1551765133770633</v>
      </c>
      <c r="C1047" t="s">
        <v>40</v>
      </c>
      <c r="D1047">
        <v>4.6149290000000001</v>
      </c>
      <c r="E1047">
        <v>0.57774029999999998</v>
      </c>
      <c r="F1047" t="s">
        <v>42</v>
      </c>
      <c r="G1047">
        <v>-222.56569999999999</v>
      </c>
      <c r="H1047" s="1">
        <v>-3.9569540000000004E-6</v>
      </c>
      <c r="I1047">
        <v>365.18900000000002</v>
      </c>
      <c r="J1047">
        <v>-242.59180000000001</v>
      </c>
      <c r="K1047">
        <v>1.1091519999999999</v>
      </c>
      <c r="L1047">
        <v>368.48110000000003</v>
      </c>
      <c r="M1047">
        <v>0.999892</v>
      </c>
      <c r="N1047">
        <v>-1.4142689999999999E-2</v>
      </c>
      <c r="O1047">
        <v>4.0169230000000004E-3</v>
      </c>
      <c r="P1047">
        <v>0.99488900000000002</v>
      </c>
      <c r="Q1047">
        <v>-9.2741219999999999E-2</v>
      </c>
      <c r="R1047">
        <v>3.9939290000000002E-2</v>
      </c>
      <c r="S1047">
        <v>3.0199889999999998</v>
      </c>
      <c r="T1047">
        <v>-0.16592939999999901</v>
      </c>
      <c r="U1047">
        <v>-0.49240109999999898</v>
      </c>
      <c r="V1047">
        <v>-3.5947300000000001E-2</v>
      </c>
      <c r="W1047">
        <v>-7.8656989999999996E-2</v>
      </c>
      <c r="X1047">
        <v>0.99625339999999996</v>
      </c>
      <c r="Y1047">
        <v>0.16457720000000001</v>
      </c>
      <c r="Z1047">
        <v>-5.8235309999999998E-3</v>
      </c>
      <c r="AA1047">
        <v>0.98634699999999997</v>
      </c>
      <c r="AB1047">
        <v>29</v>
      </c>
      <c r="AC1047">
        <v>20.0261</v>
      </c>
      <c r="AD1047">
        <v>-1.1091559569539999</v>
      </c>
      <c r="AE1047">
        <v>-3.2921</v>
      </c>
      <c r="AF1047">
        <v>3.36248158533783</v>
      </c>
      <c r="AG1047">
        <v>-1.1091559569539999</v>
      </c>
      <c r="AH1047">
        <v>19.953116224441199</v>
      </c>
      <c r="AI1047">
        <v>93.137540549095405</v>
      </c>
      <c r="AJ1047">
        <v>80.434439752281094</v>
      </c>
      <c r="AK1047">
        <v>20.264830530123898</v>
      </c>
      <c r="AL1047">
        <v>94.511373729957995</v>
      </c>
      <c r="AM1047">
        <v>92.066477696198504</v>
      </c>
      <c r="AN1047">
        <v>0.99999998373235399</v>
      </c>
    </row>
    <row r="1048" spans="1:40" x14ac:dyDescent="0.25">
      <c r="A1048" t="str">
        <f>"20190305135213789"</f>
        <v>20190305135213789</v>
      </c>
      <c r="B1048" t="str">
        <f>"1551765133780393"</f>
        <v>1551765133780393</v>
      </c>
      <c r="C1048" t="s">
        <v>40</v>
      </c>
      <c r="D1048">
        <v>4.6349119999999999</v>
      </c>
      <c r="E1048">
        <v>0.57789119999999905</v>
      </c>
      <c r="F1048" t="s">
        <v>42</v>
      </c>
      <c r="G1048">
        <v>-222.53450000000001</v>
      </c>
      <c r="H1048" s="1">
        <v>-3.9704390000000002E-6</v>
      </c>
      <c r="I1048">
        <v>365.1884</v>
      </c>
      <c r="J1048">
        <v>-242.4375</v>
      </c>
      <c r="K1048">
        <v>1.109151</v>
      </c>
      <c r="L1048">
        <v>368.48180000000002</v>
      </c>
      <c r="M1048">
        <v>0.99989209999999995</v>
      </c>
      <c r="N1048">
        <v>-1.4141239999999999E-2</v>
      </c>
      <c r="O1048">
        <v>4.0095419999999996E-3</v>
      </c>
      <c r="P1048">
        <v>0.99487950000000003</v>
      </c>
      <c r="Q1048">
        <v>-9.2843060000000005E-2</v>
      </c>
      <c r="R1048">
        <v>3.9942539999999999E-2</v>
      </c>
      <c r="S1048">
        <v>3.0197449999999999</v>
      </c>
      <c r="T1048">
        <v>-0.166989</v>
      </c>
      <c r="U1048">
        <v>-0.49572749999999999</v>
      </c>
      <c r="V1048">
        <v>-3.5957929999999999E-2</v>
      </c>
      <c r="W1048">
        <v>-7.8760399999999994E-2</v>
      </c>
      <c r="X1048">
        <v>0.99624480000000004</v>
      </c>
      <c r="Y1048">
        <v>0.16563520000000001</v>
      </c>
      <c r="Z1048">
        <v>-5.8897840000000003E-3</v>
      </c>
      <c r="AA1048">
        <v>0.98616950000000003</v>
      </c>
      <c r="AB1048">
        <v>29</v>
      </c>
      <c r="AC1048">
        <v>19.902999999999899</v>
      </c>
      <c r="AD1048">
        <v>-1.109154970439</v>
      </c>
      <c r="AE1048">
        <v>-3.2934000000000201</v>
      </c>
      <c r="AF1048">
        <v>3.3630175275772198</v>
      </c>
      <c r="AG1048">
        <v>-1.109154970439</v>
      </c>
      <c r="AH1048">
        <v>19.829691568705201</v>
      </c>
      <c r="AI1048">
        <v>93.156470045890003</v>
      </c>
      <c r="AJ1048">
        <v>80.374506431506106</v>
      </c>
      <c r="AK1048">
        <v>20.143405356324902</v>
      </c>
      <c r="AL1048">
        <v>94.517317334644403</v>
      </c>
      <c r="AM1048">
        <v>92.067106074147802</v>
      </c>
      <c r="AN1048">
        <v>0.99999993743254001</v>
      </c>
    </row>
    <row r="1049" spans="1:40" x14ac:dyDescent="0.25">
      <c r="A1049" t="str">
        <f>"20190305135213806"</f>
        <v>20190305135213806</v>
      </c>
      <c r="B1049" t="str">
        <f>"1551765133800469"</f>
        <v>1551765133800469</v>
      </c>
      <c r="C1049" t="s">
        <v>40</v>
      </c>
      <c r="D1049">
        <v>4.6792230000000004</v>
      </c>
      <c r="E1049">
        <v>0.57812819999999898</v>
      </c>
      <c r="F1049" t="s">
        <v>42</v>
      </c>
      <c r="G1049">
        <v>-222.47219999999999</v>
      </c>
      <c r="H1049" s="1">
        <v>-3.995687E-6</v>
      </c>
      <c r="I1049">
        <v>365.19690000000003</v>
      </c>
      <c r="J1049">
        <v>-242.2345</v>
      </c>
      <c r="K1049">
        <v>1.1091530000000001</v>
      </c>
      <c r="L1049">
        <v>368.48259999999999</v>
      </c>
      <c r="M1049">
        <v>0.99989209999999995</v>
      </c>
      <c r="N1049">
        <v>-1.413935E-2</v>
      </c>
      <c r="O1049">
        <v>4.0001359999999996E-3</v>
      </c>
      <c r="P1049">
        <v>0.99483639999999995</v>
      </c>
      <c r="Q1049">
        <v>-9.3518400000000002E-2</v>
      </c>
      <c r="R1049">
        <v>3.9433450000000002E-2</v>
      </c>
      <c r="S1049">
        <v>3.01973</v>
      </c>
      <c r="T1049">
        <v>-0.16775760000000001</v>
      </c>
      <c r="U1049">
        <v>-0.4968262</v>
      </c>
      <c r="V1049">
        <v>-3.5459119999999997E-2</v>
      </c>
      <c r="W1049">
        <v>-7.9438250000000002E-2</v>
      </c>
      <c r="X1049">
        <v>0.99620889999999995</v>
      </c>
      <c r="Y1049">
        <v>0.165972799999999</v>
      </c>
      <c r="Z1049">
        <v>-5.9227949999999998E-3</v>
      </c>
      <c r="AA1049">
        <v>0.98611249999999995</v>
      </c>
      <c r="AB1049">
        <v>29</v>
      </c>
      <c r="AC1049">
        <v>19.7623</v>
      </c>
      <c r="AD1049">
        <v>-1.109156995687</v>
      </c>
      <c r="AE1049">
        <v>-3.2856999999999599</v>
      </c>
      <c r="AF1049">
        <v>3.3544511899491898</v>
      </c>
      <c r="AG1049">
        <v>-1.109156995687</v>
      </c>
      <c r="AH1049">
        <v>19.688646256442901</v>
      </c>
      <c r="AI1049">
        <v>93.178633186327701</v>
      </c>
      <c r="AJ1049">
        <v>80.331078981528705</v>
      </c>
      <c r="AK1049">
        <v>20.0031338404305</v>
      </c>
      <c r="AL1049">
        <v>94.556277165923504</v>
      </c>
      <c r="AM1049">
        <v>92.038528845277597</v>
      </c>
      <c r="AN1049">
        <v>0.99999997859672296</v>
      </c>
    </row>
    <row r="1050" spans="1:40" x14ac:dyDescent="0.25">
      <c r="A1050" t="str">
        <f>"20190305135213818"</f>
        <v>20190305135213818</v>
      </c>
      <c r="B1050" t="str">
        <f>"1551765133810230"</f>
        <v>1551765133810230</v>
      </c>
      <c r="C1050" t="s">
        <v>40</v>
      </c>
      <c r="D1050">
        <v>4.6322760000000001</v>
      </c>
      <c r="E1050">
        <v>0.57830269999999995</v>
      </c>
      <c r="F1050" t="s">
        <v>42</v>
      </c>
      <c r="G1050">
        <v>-222.5932</v>
      </c>
      <c r="H1050" s="1">
        <v>-3.9384289999999996E-6</v>
      </c>
      <c r="I1050">
        <v>365.22680000000003</v>
      </c>
      <c r="J1050">
        <v>-242.07550000000001</v>
      </c>
      <c r="K1050">
        <v>1.1091549999999999</v>
      </c>
      <c r="L1050">
        <v>368.48320000000001</v>
      </c>
      <c r="M1050">
        <v>0.99989220000000001</v>
      </c>
      <c r="N1050">
        <v>-1.4137800000000001E-2</v>
      </c>
      <c r="O1050">
        <v>3.9925769999999998E-3</v>
      </c>
      <c r="P1050">
        <v>0.99481090000000005</v>
      </c>
      <c r="Q1050">
        <v>-9.4011659999999997E-2</v>
      </c>
      <c r="R1050">
        <v>3.8901459999999999E-2</v>
      </c>
      <c r="S1050">
        <v>3.0193789999999998</v>
      </c>
      <c r="T1050">
        <v>-0.1705062</v>
      </c>
      <c r="U1050">
        <v>-0.5004883</v>
      </c>
      <c r="V1050">
        <v>-3.4934239999999998E-2</v>
      </c>
      <c r="W1050">
        <v>-7.993343E-2</v>
      </c>
      <c r="X1050">
        <v>0.99618790000000002</v>
      </c>
      <c r="Y1050">
        <v>0.16713620000000001</v>
      </c>
      <c r="Z1050">
        <v>-6.041945E-3</v>
      </c>
      <c r="AA1050">
        <v>0.98591530000000005</v>
      </c>
      <c r="AB1050">
        <v>28</v>
      </c>
      <c r="AC1050">
        <v>19.482299999999999</v>
      </c>
      <c r="AD1050">
        <v>-1.1091589384289999</v>
      </c>
      <c r="AE1050">
        <v>-3.2563999999999802</v>
      </c>
      <c r="AF1050">
        <v>3.3236864140323199</v>
      </c>
      <c r="AG1050">
        <v>-1.1091589384289999</v>
      </c>
      <c r="AH1050">
        <v>19.4079464202485</v>
      </c>
      <c r="AI1050">
        <v>93.224046125288993</v>
      </c>
      <c r="AJ1050">
        <v>80.282144243615704</v>
      </c>
      <c r="AK1050">
        <v>19.721701477832902</v>
      </c>
      <c r="AL1050">
        <v>94.584739103091493</v>
      </c>
      <c r="AM1050">
        <v>92.008420929816197</v>
      </c>
      <c r="AN1050">
        <v>1.00000004323117</v>
      </c>
    </row>
    <row r="1051" spans="1:40" x14ac:dyDescent="0.25">
      <c r="A1051" t="str">
        <f>"20190305135213828"</f>
        <v>20190305135213828</v>
      </c>
      <c r="B1051" t="str">
        <f>"1551765133819990"</f>
        <v>1551765133819990</v>
      </c>
      <c r="C1051" t="s">
        <v>40</v>
      </c>
      <c r="D1051">
        <v>4.6532600000000004</v>
      </c>
      <c r="E1051">
        <v>0.57848129999999998</v>
      </c>
      <c r="F1051" t="s">
        <v>42</v>
      </c>
      <c r="G1051">
        <v>-222.59200000000001</v>
      </c>
      <c r="H1051" s="1">
        <v>-3.9375739999999999E-6</v>
      </c>
      <c r="I1051">
        <v>365.2346</v>
      </c>
      <c r="J1051">
        <v>-241.9375</v>
      </c>
      <c r="K1051">
        <v>1.1091549999999999</v>
      </c>
      <c r="L1051">
        <v>368.48379999999997</v>
      </c>
      <c r="M1051">
        <v>0.99989220000000001</v>
      </c>
      <c r="N1051">
        <v>-1.413645E-2</v>
      </c>
      <c r="O1051">
        <v>3.9860299999999998E-3</v>
      </c>
      <c r="P1051">
        <v>0.99480650000000004</v>
      </c>
      <c r="Q1051">
        <v>-9.4169829999999996E-2</v>
      </c>
      <c r="R1051">
        <v>3.8628179999999998E-2</v>
      </c>
      <c r="S1051">
        <v>3.0190890000000001</v>
      </c>
      <c r="T1051">
        <v>-0.17187069999999999</v>
      </c>
      <c r="U1051">
        <v>-0.50338749999999999</v>
      </c>
      <c r="V1051">
        <v>-3.466731E-2</v>
      </c>
      <c r="W1051">
        <v>-8.0093010000000006E-2</v>
      </c>
      <c r="X1051">
        <v>0.99618430000000002</v>
      </c>
      <c r="Y1051">
        <v>0.1680596</v>
      </c>
      <c r="Z1051">
        <v>-6.113627E-3</v>
      </c>
      <c r="AA1051">
        <v>0.98575789999999996</v>
      </c>
      <c r="AB1051">
        <v>28</v>
      </c>
      <c r="AC1051">
        <v>19.345499999999902</v>
      </c>
      <c r="AD1051">
        <v>-1.1091589375740001</v>
      </c>
      <c r="AE1051">
        <v>-3.2491999999999699</v>
      </c>
      <c r="AF1051">
        <v>3.3156932705223401</v>
      </c>
      <c r="AG1051">
        <v>-1.1091589375740001</v>
      </c>
      <c r="AH1051">
        <v>19.270784392334701</v>
      </c>
      <c r="AI1051">
        <v>93.246510312755305</v>
      </c>
      <c r="AJ1051">
        <v>80.237389220023999</v>
      </c>
      <c r="AK1051">
        <v>19.5853819597382</v>
      </c>
      <c r="AL1051">
        <v>94.593912265797201</v>
      </c>
      <c r="AM1051">
        <v>91.993094352092996</v>
      </c>
      <c r="AN1051">
        <v>0.99999993609999105</v>
      </c>
    </row>
    <row r="1052" spans="1:40" x14ac:dyDescent="0.25">
      <c r="A1052" t="str">
        <f>"20190305135213840"</f>
        <v>20190305135213840</v>
      </c>
      <c r="B1052" t="str">
        <f>"1551765133830726"</f>
        <v>1551765133830726</v>
      </c>
      <c r="C1052" t="s">
        <v>40</v>
      </c>
      <c r="D1052">
        <v>4.6319350000000004</v>
      </c>
      <c r="E1052">
        <v>0.57854119999999998</v>
      </c>
      <c r="F1052" t="s">
        <v>42</v>
      </c>
      <c r="G1052">
        <v>-222.51779999999999</v>
      </c>
      <c r="H1052" s="1">
        <v>-3.9703160000000004E-6</v>
      </c>
      <c r="I1052">
        <v>365.2296</v>
      </c>
      <c r="J1052">
        <v>-241.7867</v>
      </c>
      <c r="K1052">
        <v>1.109156</v>
      </c>
      <c r="L1052">
        <v>368.48430000000002</v>
      </c>
      <c r="M1052">
        <v>0.99989229999999996</v>
      </c>
      <c r="N1052">
        <v>-1.413497E-2</v>
      </c>
      <c r="O1052">
        <v>3.9787700000000004E-3</v>
      </c>
      <c r="P1052">
        <v>0.99484499999999998</v>
      </c>
      <c r="Q1052">
        <v>-9.3957040000000006E-2</v>
      </c>
      <c r="R1052">
        <v>3.8154109999999998E-2</v>
      </c>
      <c r="S1052">
        <v>3.0189819999999998</v>
      </c>
      <c r="T1052">
        <v>-0.172429</v>
      </c>
      <c r="U1052">
        <v>-0.5058899</v>
      </c>
      <c r="V1052">
        <v>-3.4200469999999997E-2</v>
      </c>
      <c r="W1052">
        <v>-7.9881220000000003E-2</v>
      </c>
      <c r="X1052">
        <v>0.99621749999999998</v>
      </c>
      <c r="Y1052">
        <v>0.16884939999999901</v>
      </c>
      <c r="Z1052">
        <v>-6.1572569999999898E-3</v>
      </c>
      <c r="AA1052">
        <v>0.98562260000000002</v>
      </c>
      <c r="AB1052">
        <v>28</v>
      </c>
      <c r="AC1052">
        <v>19.268899999999999</v>
      </c>
      <c r="AD1052">
        <v>-1.109159970316</v>
      </c>
      <c r="AE1052">
        <v>-3.2547000000000099</v>
      </c>
      <c r="AF1052">
        <v>3.3206509462429898</v>
      </c>
      <c r="AG1052">
        <v>-1.109159970316</v>
      </c>
      <c r="AH1052">
        <v>19.193963208330899</v>
      </c>
      <c r="AI1052">
        <v>93.258963118911296</v>
      </c>
      <c r="AJ1052">
        <v>80.184702353744498</v>
      </c>
      <c r="AK1052">
        <v>19.510642792827099</v>
      </c>
      <c r="AL1052">
        <v>94.581738318532402</v>
      </c>
      <c r="AM1052">
        <v>91.966210503369297</v>
      </c>
      <c r="AN1052">
        <v>0.99999999438157905</v>
      </c>
    </row>
    <row r="1053" spans="1:40" x14ac:dyDescent="0.25">
      <c r="A1053" t="str">
        <f>"20190305135213853"</f>
        <v>20190305135213853</v>
      </c>
      <c r="B1053" t="str">
        <f>"1551765133850246"</f>
        <v>1551765133850246</v>
      </c>
      <c r="C1053" t="s">
        <v>40</v>
      </c>
      <c r="D1053">
        <v>4.524921</v>
      </c>
      <c r="E1053">
        <v>0.57834759999999996</v>
      </c>
      <c r="F1053" t="s">
        <v>42</v>
      </c>
      <c r="G1053">
        <v>-222.22329999999999</v>
      </c>
      <c r="H1053" s="1">
        <v>-4.1029969999999996E-6</v>
      </c>
      <c r="I1053">
        <v>365.19369999999998</v>
      </c>
      <c r="J1053">
        <v>-241.6371</v>
      </c>
      <c r="K1053">
        <v>1.1091569999999999</v>
      </c>
      <c r="L1053">
        <v>368.48489999999998</v>
      </c>
      <c r="M1053">
        <v>0.99989220000000001</v>
      </c>
      <c r="N1053">
        <v>-1.413349E-2</v>
      </c>
      <c r="O1053">
        <v>3.9719259999999998E-3</v>
      </c>
      <c r="P1053">
        <v>0.99490190000000001</v>
      </c>
      <c r="Q1053">
        <v>-9.356478E-2</v>
      </c>
      <c r="R1053">
        <v>3.7627439999999998E-2</v>
      </c>
      <c r="S1053">
        <v>3.0188600000000001</v>
      </c>
      <c r="T1053">
        <v>-0.1711558</v>
      </c>
      <c r="U1053">
        <v>-0.50778199999999996</v>
      </c>
      <c r="V1053">
        <v>-3.3680410000000001E-2</v>
      </c>
      <c r="W1053">
        <v>-7.9489749999999998E-2</v>
      </c>
      <c r="X1053">
        <v>0.99626650000000005</v>
      </c>
      <c r="Y1053">
        <v>0.1694533</v>
      </c>
      <c r="Z1053">
        <v>-6.1411909999999998E-3</v>
      </c>
      <c r="AA1053">
        <v>0.98551909999999998</v>
      </c>
      <c r="AB1053">
        <v>28</v>
      </c>
      <c r="AC1053">
        <v>19.413799999999998</v>
      </c>
      <c r="AD1053">
        <v>-1.1091611029970001</v>
      </c>
      <c r="AE1053">
        <v>-3.2911999999999999</v>
      </c>
      <c r="AF1053">
        <v>3.3576383143526698</v>
      </c>
      <c r="AG1053">
        <v>-1.1091611029970001</v>
      </c>
      <c r="AH1053">
        <v>19.339210873609101</v>
      </c>
      <c r="AI1053">
        <v>93.234209051594107</v>
      </c>
      <c r="AJ1053">
        <v>80.150593127964697</v>
      </c>
      <c r="AK1053">
        <v>19.659833433076901</v>
      </c>
      <c r="AL1053">
        <v>94.559237322731406</v>
      </c>
      <c r="AM1053">
        <v>91.936239638720906</v>
      </c>
      <c r="AN1053">
        <v>0.99999996469753905</v>
      </c>
    </row>
    <row r="1054" spans="1:40" x14ac:dyDescent="0.25">
      <c r="A1054" t="str">
        <f>"20190305135213864"</f>
        <v>20190305135213864</v>
      </c>
      <c r="B1054" t="str">
        <f>"1551765133860006"</f>
        <v>1551765133860006</v>
      </c>
      <c r="C1054" t="s">
        <v>40</v>
      </c>
      <c r="D1054">
        <v>4.5556989999999997</v>
      </c>
      <c r="E1054">
        <v>0.56346949999999996</v>
      </c>
      <c r="F1054" t="s">
        <v>42</v>
      </c>
      <c r="G1054">
        <v>-221.97880000000001</v>
      </c>
      <c r="H1054" s="1">
        <v>-4.2106050000000003E-6</v>
      </c>
      <c r="I1054">
        <v>365.17829999999998</v>
      </c>
      <c r="J1054">
        <v>-241.47929999999999</v>
      </c>
      <c r="K1054">
        <v>1.109156</v>
      </c>
      <c r="L1054">
        <v>368.48559999999998</v>
      </c>
      <c r="M1054">
        <v>0.99989240000000001</v>
      </c>
      <c r="N1054">
        <v>-1.4131919999999999E-2</v>
      </c>
      <c r="O1054">
        <v>3.9641889999999999E-3</v>
      </c>
      <c r="P1054">
        <v>0.99493469999999995</v>
      </c>
      <c r="Q1054">
        <v>-9.3393329999999997E-2</v>
      </c>
      <c r="R1054">
        <v>3.718544E-2</v>
      </c>
      <c r="S1054">
        <v>3.0185550000000001</v>
      </c>
      <c r="T1054">
        <v>-0.1703122</v>
      </c>
      <c r="U1054">
        <v>-0.50772090000000003</v>
      </c>
      <c r="V1054">
        <v>-3.3245709999999998E-2</v>
      </c>
      <c r="W1054">
        <v>-7.9319479999999998E-2</v>
      </c>
      <c r="X1054">
        <v>0.99629469999999998</v>
      </c>
      <c r="Y1054">
        <v>0.1694456</v>
      </c>
      <c r="Z1054">
        <v>-6.1164009999999996E-3</v>
      </c>
      <c r="AA1054">
        <v>0.98552050000000002</v>
      </c>
      <c r="AB1054">
        <v>28</v>
      </c>
      <c r="AC1054">
        <v>19.500499999999899</v>
      </c>
      <c r="AD1054">
        <v>-1.109160210605</v>
      </c>
      <c r="AE1054">
        <v>-3.3072999999999899</v>
      </c>
      <c r="AF1054">
        <v>3.37397520021532</v>
      </c>
      <c r="AG1054">
        <v>-1.109160210605</v>
      </c>
      <c r="AH1054">
        <v>19.426145008545099</v>
      </c>
      <c r="AI1054">
        <v>93.219728875230004</v>
      </c>
      <c r="AJ1054">
        <v>80.147032769363506</v>
      </c>
      <c r="AK1054">
        <v>19.748140543288599</v>
      </c>
      <c r="AL1054">
        <v>94.549450538407399</v>
      </c>
      <c r="AM1054">
        <v>91.911213941499895</v>
      </c>
      <c r="AN1054">
        <v>0.99999999319448196</v>
      </c>
    </row>
    <row r="1055" spans="1:40" x14ac:dyDescent="0.25">
      <c r="A1055" t="str">
        <f>"20190305135213876"</f>
        <v>20190305135213876</v>
      </c>
      <c r="B1055" t="str">
        <f>"1551765133870741"</f>
        <v>1551765133870741</v>
      </c>
      <c r="C1055" t="s">
        <v>40</v>
      </c>
      <c r="D1055">
        <v>4.5537999999999998</v>
      </c>
      <c r="E1055">
        <v>0.56281969999999903</v>
      </c>
      <c r="F1055" t="s">
        <v>52</v>
      </c>
      <c r="G1055">
        <v>-199.34469999999999</v>
      </c>
      <c r="H1055" s="1">
        <v>-9.620682E-6</v>
      </c>
      <c r="I1055">
        <v>363.08819999999997</v>
      </c>
      <c r="J1055">
        <v>-241.34110000000001</v>
      </c>
      <c r="K1055">
        <v>1.109156</v>
      </c>
      <c r="L1055">
        <v>368.48610000000002</v>
      </c>
      <c r="M1055">
        <v>0.99989240000000001</v>
      </c>
      <c r="N1055">
        <v>-1.413054E-2</v>
      </c>
      <c r="O1055">
        <v>3.9576439999999997E-3</v>
      </c>
      <c r="P1055">
        <v>0.99497420000000003</v>
      </c>
      <c r="Q1055">
        <v>-9.3196269999999998E-2</v>
      </c>
      <c r="R1055">
        <v>3.6622540000000002E-2</v>
      </c>
      <c r="S1055">
        <v>3.022278</v>
      </c>
      <c r="T1055">
        <v>-7.9559329999999998E-2</v>
      </c>
      <c r="U1055">
        <v>-0.38714599999999999</v>
      </c>
      <c r="V1055">
        <v>-3.2689429999999998E-2</v>
      </c>
      <c r="W1055">
        <v>-7.9123330000000006E-2</v>
      </c>
      <c r="X1055">
        <v>0.99632869999999996</v>
      </c>
      <c r="Y1055">
        <v>0.130915</v>
      </c>
      <c r="Z1055">
        <v>-2.6928759999999999E-3</v>
      </c>
      <c r="AA1055">
        <v>0.99138990000000005</v>
      </c>
      <c r="AB1055">
        <v>28</v>
      </c>
      <c r="AC1055">
        <v>41.996400000000001</v>
      </c>
      <c r="AD1055">
        <v>-1.109165620682</v>
      </c>
      <c r="AE1055">
        <v>-5.3979000000000497</v>
      </c>
      <c r="AF1055">
        <v>5.5602656321907196</v>
      </c>
      <c r="AG1055">
        <v>-1.109165620682</v>
      </c>
      <c r="AH1055">
        <v>41.945922531347001</v>
      </c>
      <c r="AI1055">
        <v>91.501576095836697</v>
      </c>
      <c r="AJ1055">
        <v>82.449011071198697</v>
      </c>
      <c r="AK1055">
        <v>42.327381436611297</v>
      </c>
      <c r="AL1055">
        <v>94.538176555135493</v>
      </c>
      <c r="AM1055">
        <v>91.879193816082704</v>
      </c>
      <c r="AN1055">
        <v>0.99999998931385103</v>
      </c>
    </row>
    <row r="1056" spans="1:40" x14ac:dyDescent="0.25">
      <c r="A1056" t="str">
        <f>"20190305135213888"</f>
        <v>20190305135213888</v>
      </c>
      <c r="B1056" t="str">
        <f>"1551765133880502"</f>
        <v>1551765133880502</v>
      </c>
      <c r="C1056" t="s">
        <v>40</v>
      </c>
      <c r="D1056">
        <v>4.5597849999999998</v>
      </c>
      <c r="E1056">
        <v>0.56284679999999998</v>
      </c>
      <c r="F1056" t="s">
        <v>52</v>
      </c>
      <c r="G1056">
        <v>-199.48670000000001</v>
      </c>
      <c r="H1056" s="1">
        <v>-9.6595699999999994E-6</v>
      </c>
      <c r="I1056">
        <v>363.17700000000002</v>
      </c>
      <c r="J1056">
        <v>-241.18539999999999</v>
      </c>
      <c r="K1056">
        <v>1.109156</v>
      </c>
      <c r="L1056">
        <v>368.48669999999998</v>
      </c>
      <c r="M1056">
        <v>0.99989240000000001</v>
      </c>
      <c r="N1056">
        <v>-1.4129009999999999E-2</v>
      </c>
      <c r="O1056">
        <v>3.9502649999999997E-3</v>
      </c>
      <c r="P1056">
        <v>0.99502990000000002</v>
      </c>
      <c r="Q1056">
        <v>-9.2911880000000002E-2</v>
      </c>
      <c r="R1056">
        <v>3.5820030000000003E-2</v>
      </c>
      <c r="S1056">
        <v>3.0217740000000002</v>
      </c>
      <c r="T1056">
        <v>-8.0078839999999998E-2</v>
      </c>
      <c r="U1056">
        <v>-0.3833008</v>
      </c>
      <c r="V1056">
        <v>-3.1894369999999998E-2</v>
      </c>
      <c r="W1056">
        <v>-7.8839839999999994E-2</v>
      </c>
      <c r="X1056">
        <v>0.99637690000000001</v>
      </c>
      <c r="Y1056">
        <v>0.12968689999999999</v>
      </c>
      <c r="Z1056">
        <v>-2.6800249999999999E-3</v>
      </c>
      <c r="AA1056">
        <v>0.99155139999999997</v>
      </c>
      <c r="AB1056">
        <v>28</v>
      </c>
      <c r="AC1056">
        <v>41.698699999999903</v>
      </c>
      <c r="AD1056">
        <v>-1.1091656595699999</v>
      </c>
      <c r="AE1056">
        <v>-5.3097000000000198</v>
      </c>
      <c r="AF1056">
        <v>5.4705870462342796</v>
      </c>
      <c r="AG1056">
        <v>-1.1091656595699999</v>
      </c>
      <c r="AH1056">
        <v>41.648400251524102</v>
      </c>
      <c r="AI1056">
        <v>91.512534452005497</v>
      </c>
      <c r="AJ1056">
        <v>82.516942993635396</v>
      </c>
      <c r="AK1056">
        <v>42.020790266271099</v>
      </c>
      <c r="AL1056">
        <v>94.521883056668401</v>
      </c>
      <c r="AM1056">
        <v>91.833431720819604</v>
      </c>
      <c r="AN1056">
        <v>0.99999994903126399</v>
      </c>
    </row>
    <row r="1057" spans="1:40" x14ac:dyDescent="0.25">
      <c r="A1057" t="str">
        <f>"20190305135213900"</f>
        <v>20190305135213900</v>
      </c>
      <c r="B1057" t="str">
        <f>"1551765133890262"</f>
        <v>1551765133890262</v>
      </c>
      <c r="C1057" t="s">
        <v>40</v>
      </c>
      <c r="D1057">
        <v>4.5476080000000003</v>
      </c>
      <c r="E1057">
        <v>0.56309370000000003</v>
      </c>
      <c r="F1057" t="s">
        <v>52</v>
      </c>
      <c r="G1057">
        <v>-198.9949</v>
      </c>
      <c r="H1057" s="1">
        <v>-9.4926839999999993E-6</v>
      </c>
      <c r="I1057">
        <v>363.09399999999999</v>
      </c>
      <c r="J1057">
        <v>-241.03960000000001</v>
      </c>
      <c r="K1057">
        <v>1.109154</v>
      </c>
      <c r="L1057">
        <v>368.4873</v>
      </c>
      <c r="M1057">
        <v>0.99989249999999996</v>
      </c>
      <c r="N1057">
        <v>-1.412767E-2</v>
      </c>
      <c r="O1057">
        <v>3.9431830000000003E-3</v>
      </c>
      <c r="P1057">
        <v>0.99504239999999999</v>
      </c>
      <c r="Q1057">
        <v>-9.2937309999999995E-2</v>
      </c>
      <c r="R1057">
        <v>3.5405560000000003E-2</v>
      </c>
      <c r="S1057">
        <v>3.0215000000000001</v>
      </c>
      <c r="T1057">
        <v>-7.9433680000000007E-2</v>
      </c>
      <c r="U1057">
        <v>-0.38619999999999999</v>
      </c>
      <c r="V1057">
        <v>-3.1486649999999998E-2</v>
      </c>
      <c r="W1057">
        <v>-7.8866439999999996E-2</v>
      </c>
      <c r="X1057">
        <v>0.99638780000000005</v>
      </c>
      <c r="Y1057">
        <v>0.13062770000000001</v>
      </c>
      <c r="Z1057">
        <v>-2.6843349999999999E-3</v>
      </c>
      <c r="AA1057">
        <v>0.99142779999999997</v>
      </c>
      <c r="AB1057">
        <v>28</v>
      </c>
      <c r="AC1057">
        <v>42.044699999999999</v>
      </c>
      <c r="AD1057">
        <v>-1.1091634926839999</v>
      </c>
      <c r="AE1057">
        <v>-5.3933000000000098</v>
      </c>
      <c r="AF1057">
        <v>5.5552610285763899</v>
      </c>
      <c r="AG1057">
        <v>-1.1091634926839999</v>
      </c>
      <c r="AH1057">
        <v>41.994351944058899</v>
      </c>
      <c r="AI1057">
        <v>91.499895415654905</v>
      </c>
      <c r="AJ1057">
        <v>82.464329422640802</v>
      </c>
      <c r="AK1057">
        <v>42.374718452759097</v>
      </c>
      <c r="AL1057">
        <v>94.5234117162302</v>
      </c>
      <c r="AM1057">
        <v>91.809990046485794</v>
      </c>
      <c r="AN1057">
        <v>0.99999998623766795</v>
      </c>
    </row>
    <row r="1058" spans="1:40" x14ac:dyDescent="0.25">
      <c r="A1058" t="str">
        <f>"20190305135213913"</f>
        <v>20190305135213913</v>
      </c>
      <c r="B1058" t="str">
        <f>"1551765133910757"</f>
        <v>1551765133910757</v>
      </c>
      <c r="C1058" t="s">
        <v>40</v>
      </c>
      <c r="D1058">
        <v>4.5176970000000001</v>
      </c>
      <c r="E1058">
        <v>0.56362449999999997</v>
      </c>
      <c r="F1058" t="s">
        <v>52</v>
      </c>
      <c r="G1058">
        <v>-199.2423</v>
      </c>
      <c r="H1058" s="1">
        <v>-9.5820390000000008E-6</v>
      </c>
      <c r="I1058">
        <v>363.09809999999999</v>
      </c>
      <c r="J1058">
        <v>-240.87450000000001</v>
      </c>
      <c r="K1058">
        <v>1.109146</v>
      </c>
      <c r="L1058">
        <v>368.48790000000002</v>
      </c>
      <c r="M1058">
        <v>0.99989249999999996</v>
      </c>
      <c r="N1058">
        <v>-1.4126059999999999E-2</v>
      </c>
      <c r="O1058">
        <v>3.9352679999999996E-3</v>
      </c>
      <c r="P1058">
        <v>0.99506879999999998</v>
      </c>
      <c r="Q1058">
        <v>-9.3040590000000006E-2</v>
      </c>
      <c r="R1058">
        <v>3.4372760000000002E-2</v>
      </c>
      <c r="S1058">
        <v>3.0213009999999998</v>
      </c>
      <c r="T1058">
        <v>-8.017552E-2</v>
      </c>
      <c r="U1058">
        <v>-0.38955689999999998</v>
      </c>
      <c r="V1058">
        <v>-3.046109E-2</v>
      </c>
      <c r="W1058">
        <v>-7.8971100000000002E-2</v>
      </c>
      <c r="X1058">
        <v>0.99641139999999995</v>
      </c>
      <c r="Y1058">
        <v>0.13170999999999999</v>
      </c>
      <c r="Z1058">
        <v>-2.723105E-3</v>
      </c>
      <c r="AA1058">
        <v>0.99128450000000001</v>
      </c>
      <c r="AB1058">
        <v>28</v>
      </c>
      <c r="AC1058">
        <v>41.632199999999997</v>
      </c>
      <c r="AD1058">
        <v>-1.109155582039</v>
      </c>
      <c r="AE1058">
        <v>-5.3898000000000303</v>
      </c>
      <c r="AF1058">
        <v>5.5497342872936901</v>
      </c>
      <c r="AG1058">
        <v>-1.109155582039</v>
      </c>
      <c r="AH1058">
        <v>41.581637678389399</v>
      </c>
      <c r="AI1058">
        <v>91.514531499555403</v>
      </c>
      <c r="AJ1058">
        <v>82.397889061644406</v>
      </c>
      <c r="AK1058">
        <v>41.965013627801703</v>
      </c>
      <c r="AL1058">
        <v>94.529427012803097</v>
      </c>
      <c r="AM1058">
        <v>91.751032254151497</v>
      </c>
      <c r="AN1058">
        <v>0.99999999534457895</v>
      </c>
    </row>
    <row r="1059" spans="1:40" x14ac:dyDescent="0.25">
      <c r="A1059" t="str">
        <f>"20190305135213929"</f>
        <v>20190305135213929</v>
      </c>
      <c r="B1059" t="str">
        <f>"1551765133920518"</f>
        <v>1551765133920518</v>
      </c>
      <c r="C1059" t="s">
        <v>40</v>
      </c>
      <c r="D1059">
        <v>4.5091099999999997</v>
      </c>
      <c r="E1059">
        <v>0.56355949999999999</v>
      </c>
      <c r="F1059" t="s">
        <v>52</v>
      </c>
      <c r="G1059">
        <v>-198.65039999999999</v>
      </c>
      <c r="H1059" s="1">
        <v>-9.3890990000000002E-6</v>
      </c>
      <c r="I1059">
        <v>362.94310000000002</v>
      </c>
      <c r="J1059">
        <v>-240.66970000000001</v>
      </c>
      <c r="K1059">
        <v>1.109143</v>
      </c>
      <c r="L1059">
        <v>368.48869999999999</v>
      </c>
      <c r="M1059">
        <v>0.99989249999999996</v>
      </c>
      <c r="N1059">
        <v>-1.412397E-2</v>
      </c>
      <c r="O1059">
        <v>3.92539E-3</v>
      </c>
      <c r="P1059">
        <v>0.99510710000000002</v>
      </c>
      <c r="Q1059">
        <v>-9.3248609999999996E-2</v>
      </c>
      <c r="R1059">
        <v>3.265535E-2</v>
      </c>
      <c r="S1059">
        <v>3.0211489999999999</v>
      </c>
      <c r="T1059">
        <v>-7.9360490000000006E-2</v>
      </c>
      <c r="U1059">
        <v>-0.39672849999999998</v>
      </c>
      <c r="V1059">
        <v>-2.8753910000000001E-2</v>
      </c>
      <c r="W1059">
        <v>-7.918087E-2</v>
      </c>
      <c r="X1059">
        <v>0.99644549999999998</v>
      </c>
      <c r="Y1059">
        <v>0.1340201</v>
      </c>
      <c r="Z1059">
        <v>-2.7506700000000002E-3</v>
      </c>
      <c r="AA1059">
        <v>0.99097480000000004</v>
      </c>
      <c r="AB1059">
        <v>28</v>
      </c>
      <c r="AC1059">
        <v>42.019300000000001</v>
      </c>
      <c r="AD1059">
        <v>-1.109152389099</v>
      </c>
      <c r="AE1059">
        <v>-5.5455999999999701</v>
      </c>
      <c r="AF1059">
        <v>5.7066077885595599</v>
      </c>
      <c r="AG1059">
        <v>-1.109152389099</v>
      </c>
      <c r="AH1059">
        <v>41.9684639525317</v>
      </c>
      <c r="AI1059">
        <v>91.500076444401998</v>
      </c>
      <c r="AJ1059">
        <v>82.256768353920094</v>
      </c>
      <c r="AK1059">
        <v>42.369181700967999</v>
      </c>
      <c r="AL1059">
        <v>94.541483609005397</v>
      </c>
      <c r="AM1059">
        <v>91.652895851187594</v>
      </c>
      <c r="AN1059">
        <v>1.00000001599224</v>
      </c>
    </row>
    <row r="1060" spans="1:40" x14ac:dyDescent="0.25">
      <c r="A1060" t="str">
        <f>"20190305135213950"</f>
        <v>20190305135213950</v>
      </c>
      <c r="B1060" t="str">
        <f>"1551765133940037"</f>
        <v>1551765133940037</v>
      </c>
      <c r="C1060" t="s">
        <v>40</v>
      </c>
      <c r="D1060">
        <v>4.5555849999999998</v>
      </c>
      <c r="E1060">
        <v>0.56399739999999998</v>
      </c>
      <c r="F1060" t="s">
        <v>52</v>
      </c>
      <c r="G1060">
        <v>-200.1592</v>
      </c>
      <c r="H1060" s="1">
        <v>-1.823085E-6</v>
      </c>
      <c r="I1060">
        <v>363.0985</v>
      </c>
      <c r="J1060">
        <v>-240.4024</v>
      </c>
      <c r="K1060">
        <v>1.109151</v>
      </c>
      <c r="L1060">
        <v>368.48970000000003</v>
      </c>
      <c r="M1060">
        <v>0.99989260000000002</v>
      </c>
      <c r="N1060">
        <v>-1.412103E-2</v>
      </c>
      <c r="O1060">
        <v>3.912418E-3</v>
      </c>
      <c r="P1060">
        <v>0.99516249999999995</v>
      </c>
      <c r="Q1060">
        <v>-9.3330289999999996E-2</v>
      </c>
      <c r="R1060">
        <v>3.0670960000000001E-2</v>
      </c>
      <c r="S1060">
        <v>3.020187</v>
      </c>
      <c r="T1060">
        <v>-8.2690479999999997E-2</v>
      </c>
      <c r="U1060">
        <v>-0.40185549999999998</v>
      </c>
      <c r="V1060">
        <v>-2.678183E-2</v>
      </c>
      <c r="W1060">
        <v>-7.9264920000000003E-2</v>
      </c>
      <c r="X1060">
        <v>0.99649379999999999</v>
      </c>
      <c r="Y1060">
        <v>0.13569519999999999</v>
      </c>
      <c r="Z1060">
        <v>-2.8633590000000002E-3</v>
      </c>
      <c r="AA1060">
        <v>0.99074649999999997</v>
      </c>
      <c r="AB1060">
        <v>28</v>
      </c>
      <c r="AC1060">
        <v>40.243200000000002</v>
      </c>
      <c r="AD1060">
        <v>-1.1091528230850001</v>
      </c>
      <c r="AE1060">
        <v>-5.39120000000002</v>
      </c>
      <c r="AF1060">
        <v>5.5444851952593499</v>
      </c>
      <c r="AG1060">
        <v>-1.1091528230850001</v>
      </c>
      <c r="AH1060">
        <v>40.191804873296199</v>
      </c>
      <c r="AI1060">
        <v>91.565938826537604</v>
      </c>
      <c r="AJ1060">
        <v>82.145584373229497</v>
      </c>
      <c r="AK1060">
        <v>40.587593117090897</v>
      </c>
      <c r="AL1060">
        <v>94.5463143768187</v>
      </c>
      <c r="AM1060">
        <v>91.539514367276098</v>
      </c>
      <c r="AN1060">
        <v>1.0000000436995899</v>
      </c>
    </row>
    <row r="1061" spans="1:40" x14ac:dyDescent="0.25">
      <c r="A1061" t="str">
        <f>"20190305135213963"</f>
        <v>20190305135213963</v>
      </c>
      <c r="B1061" t="str">
        <f>"1551765133960534"</f>
        <v>1551765133960534</v>
      </c>
      <c r="C1061" t="s">
        <v>40</v>
      </c>
      <c r="D1061">
        <v>4.5047779999999999</v>
      </c>
      <c r="E1061">
        <v>0.56451370000000001</v>
      </c>
      <c r="F1061" t="s">
        <v>52</v>
      </c>
      <c r="G1061">
        <v>-195.54939999999999</v>
      </c>
      <c r="H1061" s="1">
        <v>-8.3628629999999996E-6</v>
      </c>
      <c r="I1061">
        <v>362.38400000000001</v>
      </c>
      <c r="J1061">
        <v>-240.23560000000001</v>
      </c>
      <c r="K1061">
        <v>1.1091530000000001</v>
      </c>
      <c r="L1061">
        <v>368.49029999999999</v>
      </c>
      <c r="M1061">
        <v>0.99989280000000003</v>
      </c>
      <c r="N1061">
        <v>-1.411916E-2</v>
      </c>
      <c r="O1061">
        <v>3.9043849999999998E-3</v>
      </c>
      <c r="P1061">
        <v>0.99518629999999997</v>
      </c>
      <c r="Q1061">
        <v>-9.3296770000000001E-2</v>
      </c>
      <c r="R1061">
        <v>3.0003309999999998E-2</v>
      </c>
      <c r="S1061">
        <v>3.0202330000000002</v>
      </c>
      <c r="T1061">
        <v>-7.4686649999999993E-2</v>
      </c>
      <c r="U1061">
        <v>-0.41113280000000002</v>
      </c>
      <c r="V1061">
        <v>-2.6122369999999999E-2</v>
      </c>
      <c r="W1061">
        <v>-7.9233029999999996E-2</v>
      </c>
      <c r="X1061">
        <v>0.99651380000000001</v>
      </c>
      <c r="Y1061">
        <v>0.13868429999999901</v>
      </c>
      <c r="Z1061">
        <v>-2.7316760000000002E-3</v>
      </c>
      <c r="AA1061">
        <v>0.99033289999999996</v>
      </c>
      <c r="AB1061">
        <v>28</v>
      </c>
      <c r="AC1061">
        <v>44.686199999999999</v>
      </c>
      <c r="AD1061">
        <v>-1.1091613628629999</v>
      </c>
      <c r="AE1061">
        <v>-6.1062999999999699</v>
      </c>
      <c r="AF1061">
        <v>6.2769466883299598</v>
      </c>
      <c r="AG1061">
        <v>-1.1091613628629999</v>
      </c>
      <c r="AH1061">
        <v>44.635020587775003</v>
      </c>
      <c r="AI1061">
        <v>91.409618299270406</v>
      </c>
      <c r="AJ1061">
        <v>81.995086208312102</v>
      </c>
      <c r="AK1061">
        <v>45.087862685296002</v>
      </c>
      <c r="AL1061">
        <v>94.544481637637702</v>
      </c>
      <c r="AM1061">
        <v>91.501593724206103</v>
      </c>
      <c r="AN1061">
        <v>1.00000000242391</v>
      </c>
    </row>
    <row r="1062" spans="1:40" x14ac:dyDescent="0.25">
      <c r="A1062" t="str">
        <f>"20190305135213975"</f>
        <v>20190305135213975</v>
      </c>
      <c r="B1062" t="str">
        <f>"1551765133970293"</f>
        <v>1551765133970293</v>
      </c>
      <c r="C1062" t="s">
        <v>40</v>
      </c>
      <c r="D1062">
        <v>4.5439559999999997</v>
      </c>
      <c r="E1062">
        <v>0.56473580000000001</v>
      </c>
      <c r="F1062" t="s">
        <v>52</v>
      </c>
      <c r="G1062">
        <v>-191.2321</v>
      </c>
      <c r="H1062" s="1">
        <v>-6.9500660000000001E-6</v>
      </c>
      <c r="I1062">
        <v>361.72710000000001</v>
      </c>
      <c r="J1062">
        <v>-240.0986</v>
      </c>
      <c r="K1062">
        <v>1.109156</v>
      </c>
      <c r="L1062">
        <v>368.49090000000001</v>
      </c>
      <c r="M1062">
        <v>0.99989280000000003</v>
      </c>
      <c r="N1062">
        <v>-1.4117650000000001E-2</v>
      </c>
      <c r="O1062">
        <v>3.898019E-3</v>
      </c>
      <c r="P1062">
        <v>0.99522849999999996</v>
      </c>
      <c r="Q1062">
        <v>-9.3150120000000003E-2</v>
      </c>
      <c r="R1062">
        <v>2.9038709999999999E-2</v>
      </c>
      <c r="S1062">
        <v>3.0207060000000001</v>
      </c>
      <c r="T1062">
        <v>-6.8371650000000006E-2</v>
      </c>
      <c r="U1062">
        <v>-0.41690060000000001</v>
      </c>
      <c r="V1062">
        <v>-2.5164220000000001E-2</v>
      </c>
      <c r="W1062">
        <v>-7.9087409999999997E-2</v>
      </c>
      <c r="X1062">
        <v>0.99655000000000005</v>
      </c>
      <c r="Y1062">
        <v>0.14052120000000001</v>
      </c>
      <c r="Z1062">
        <v>-2.612488E-3</v>
      </c>
      <c r="AA1062">
        <v>0.99007420000000002</v>
      </c>
      <c r="AB1062">
        <v>28</v>
      </c>
      <c r="AC1062">
        <v>48.866500000000002</v>
      </c>
      <c r="AD1062">
        <v>-1.1091629500660001</v>
      </c>
      <c r="AE1062">
        <v>-6.7637999999999998</v>
      </c>
      <c r="AF1062">
        <v>6.9507364819558397</v>
      </c>
      <c r="AG1062">
        <v>-1.1091629500660001</v>
      </c>
      <c r="AH1062">
        <v>48.815084293463698</v>
      </c>
      <c r="AI1062">
        <v>91.288641624780993</v>
      </c>
      <c r="AJ1062">
        <v>81.896179261248605</v>
      </c>
      <c r="AK1062">
        <v>49.319929386297297</v>
      </c>
      <c r="AL1062">
        <v>94.536112065862994</v>
      </c>
      <c r="AM1062">
        <v>91.446487654577197</v>
      </c>
      <c r="AN1062">
        <v>0.99999997944435803</v>
      </c>
    </row>
    <row r="1063" spans="1:40" x14ac:dyDescent="0.25">
      <c r="A1063" t="str">
        <f>"20190305135213987"</f>
        <v>20190305135213987</v>
      </c>
      <c r="B1063" t="str">
        <f>"1551765133980054"</f>
        <v>1551765133980054</v>
      </c>
      <c r="C1063" t="s">
        <v>40</v>
      </c>
      <c r="D1063">
        <v>4.5256299999999996</v>
      </c>
      <c r="E1063">
        <v>0.56486650000000005</v>
      </c>
      <c r="F1063" t="s">
        <v>52</v>
      </c>
      <c r="G1063">
        <v>-188.1525</v>
      </c>
      <c r="H1063" s="1">
        <v>-5.9920109999999996E-6</v>
      </c>
      <c r="I1063">
        <v>361.24380000000002</v>
      </c>
      <c r="J1063">
        <v>-239.9365</v>
      </c>
      <c r="K1063">
        <v>1.1091580000000001</v>
      </c>
      <c r="L1063">
        <v>368.49149999999997</v>
      </c>
      <c r="M1063">
        <v>0.99989289999999997</v>
      </c>
      <c r="N1063">
        <v>-1.4115859999999999E-2</v>
      </c>
      <c r="O1063">
        <v>3.890105E-3</v>
      </c>
      <c r="P1063">
        <v>0.99527889999999997</v>
      </c>
      <c r="Q1063">
        <v>-9.2993409999999999E-2</v>
      </c>
      <c r="R1063">
        <v>2.7793999999999999E-2</v>
      </c>
      <c r="S1063">
        <v>3.0206599999999999</v>
      </c>
      <c r="T1063">
        <v>-6.449771E-2</v>
      </c>
      <c r="U1063">
        <v>-0.42141719999999999</v>
      </c>
      <c r="V1063">
        <v>-2.39271E-2</v>
      </c>
      <c r="W1063">
        <v>-7.8931929999999997E-2</v>
      </c>
      <c r="X1063">
        <v>0.99659279999999995</v>
      </c>
      <c r="Y1063">
        <v>0.1419724</v>
      </c>
      <c r="Z1063">
        <v>-2.543348E-3</v>
      </c>
      <c r="AA1063">
        <v>0.98986730000000001</v>
      </c>
      <c r="AB1063">
        <v>28</v>
      </c>
      <c r="AC1063">
        <v>51.783999999999899</v>
      </c>
      <c r="AD1063">
        <v>-1.1091639920109999</v>
      </c>
      <c r="AE1063">
        <v>-7.2476999999999503</v>
      </c>
      <c r="AF1063">
        <v>7.4457600945760696</v>
      </c>
      <c r="AG1063">
        <v>-1.1091639920109999</v>
      </c>
      <c r="AH1063">
        <v>51.732133515580401</v>
      </c>
      <c r="AI1063">
        <v>91.215739273201095</v>
      </c>
      <c r="AJ1063">
        <v>81.809715717752496</v>
      </c>
      <c r="AK1063">
        <v>52.276985626764997</v>
      </c>
      <c r="AL1063">
        <v>94.527175768521403</v>
      </c>
      <c r="AM1063">
        <v>91.375344598851299</v>
      </c>
      <c r="AN1063">
        <v>0.99999998234988696</v>
      </c>
    </row>
    <row r="1064" spans="1:40" x14ac:dyDescent="0.25">
      <c r="A1064" t="str">
        <f>"20190305135213998"</f>
        <v>20190305135213998</v>
      </c>
      <c r="B1064" t="str">
        <f>"1551765133990790"</f>
        <v>1551765133990790</v>
      </c>
      <c r="C1064" t="s">
        <v>40</v>
      </c>
      <c r="D1064">
        <v>4.5211959999999998</v>
      </c>
      <c r="E1064">
        <v>0.56490249999999997</v>
      </c>
      <c r="F1064" t="s">
        <v>52</v>
      </c>
      <c r="G1064">
        <v>-185.92070000000001</v>
      </c>
      <c r="H1064" s="1">
        <v>-5.9873219999999996E-6</v>
      </c>
      <c r="I1064">
        <v>360.87459999999999</v>
      </c>
      <c r="J1064">
        <v>-239.78399999999999</v>
      </c>
      <c r="K1064">
        <v>1.109156</v>
      </c>
      <c r="L1064">
        <v>368.49209999999999</v>
      </c>
      <c r="M1064">
        <v>0.99989280000000003</v>
      </c>
      <c r="N1064">
        <v>-1.411419E-2</v>
      </c>
      <c r="O1064">
        <v>3.8831999999999998E-3</v>
      </c>
      <c r="P1064">
        <v>0.99532779999999998</v>
      </c>
      <c r="Q1064">
        <v>-9.2763540000000005E-2</v>
      </c>
      <c r="R1064">
        <v>2.6788220000000001E-2</v>
      </c>
      <c r="S1064">
        <v>3.02034</v>
      </c>
      <c r="T1064">
        <v>-6.2019820000000003E-2</v>
      </c>
      <c r="U1064">
        <v>-0.42590329999999899</v>
      </c>
      <c r="V1064">
        <v>-2.2927650000000001E-2</v>
      </c>
      <c r="W1064">
        <v>-7.8703179999999998E-2</v>
      </c>
      <c r="X1064">
        <v>0.99663440000000003</v>
      </c>
      <c r="Y1064">
        <v>0.14342439999999901</v>
      </c>
      <c r="Z1064">
        <v>-2.5073180000000001E-3</v>
      </c>
      <c r="AA1064">
        <v>0.98965809999999999</v>
      </c>
      <c r="AB1064">
        <v>28</v>
      </c>
      <c r="AC1064">
        <v>53.863300000000002</v>
      </c>
      <c r="AD1064">
        <v>-1.109161987322</v>
      </c>
      <c r="AE1064">
        <v>-7.6174999999999997</v>
      </c>
      <c r="AF1064">
        <v>7.8233730155138801</v>
      </c>
      <c r="AG1064">
        <v>-1.109161987322</v>
      </c>
      <c r="AH1064">
        <v>53.810940157538298</v>
      </c>
      <c r="AI1064">
        <v>91.168543180422802</v>
      </c>
      <c r="AJ1064">
        <v>81.727936866706898</v>
      </c>
      <c r="AK1064">
        <v>54.387982921709401</v>
      </c>
      <c r="AL1064">
        <v>94.514028389775405</v>
      </c>
      <c r="AM1064">
        <v>91.317861302840797</v>
      </c>
      <c r="AN1064">
        <v>0.99999999746999702</v>
      </c>
    </row>
    <row r="1065" spans="1:40" x14ac:dyDescent="0.25">
      <c r="A1065" t="str">
        <f>"20190305135214011"</f>
        <v>20190305135214011</v>
      </c>
      <c r="B1065" t="str">
        <f>"1551765134000550"</f>
        <v>1551765134000550</v>
      </c>
      <c r="C1065" t="s">
        <v>40</v>
      </c>
      <c r="D1065">
        <v>4.4890530000000002</v>
      </c>
      <c r="E1065">
        <v>0.56500909999999904</v>
      </c>
      <c r="F1065" t="s">
        <v>52</v>
      </c>
      <c r="G1065">
        <v>-184.1944</v>
      </c>
      <c r="H1065" s="1">
        <v>-5.983247E-6</v>
      </c>
      <c r="I1065">
        <v>360.58780000000002</v>
      </c>
      <c r="J1065">
        <v>-239.6353</v>
      </c>
      <c r="K1065">
        <v>1.1091549999999999</v>
      </c>
      <c r="L1065">
        <v>368.49259999999998</v>
      </c>
      <c r="M1065">
        <v>0.99989309999999998</v>
      </c>
      <c r="N1065">
        <v>-1.411257E-2</v>
      </c>
      <c r="O1065">
        <v>3.8760000000000001E-3</v>
      </c>
      <c r="P1065">
        <v>0.99532750000000003</v>
      </c>
      <c r="Q1065">
        <v>-9.2978630000000007E-2</v>
      </c>
      <c r="R1065">
        <v>2.6049039999999999E-2</v>
      </c>
      <c r="S1065">
        <v>3.0200200000000001</v>
      </c>
      <c r="T1065">
        <v>-6.025755E-2</v>
      </c>
      <c r="U1065">
        <v>-0.42941279999999998</v>
      </c>
      <c r="V1065">
        <v>-2.2195880000000001E-2</v>
      </c>
      <c r="W1065">
        <v>-7.8919950000000003E-2</v>
      </c>
      <c r="X1065">
        <v>0.99663380000000001</v>
      </c>
      <c r="Y1065">
        <v>0.144561</v>
      </c>
      <c r="Z1065">
        <v>-2.4827479999999999E-3</v>
      </c>
      <c r="AA1065">
        <v>0.98949279999999995</v>
      </c>
      <c r="AB1065">
        <v>28</v>
      </c>
      <c r="AC1065">
        <v>55.440899999999999</v>
      </c>
      <c r="AD1065">
        <v>-1.109160983247</v>
      </c>
      <c r="AE1065">
        <v>-7.9047999999999599</v>
      </c>
      <c r="AF1065">
        <v>8.1164670274425301</v>
      </c>
      <c r="AG1065">
        <v>-1.109160983247</v>
      </c>
      <c r="AH1065">
        <v>55.388114155287802</v>
      </c>
      <c r="AI1065">
        <v>91.135089964126195</v>
      </c>
      <c r="AJ1065">
        <v>81.663321764008998</v>
      </c>
      <c r="AK1065">
        <v>55.990628365589203</v>
      </c>
      <c r="AL1065">
        <v>94.526487257492903</v>
      </c>
      <c r="AM1065">
        <v>91.275814701125995</v>
      </c>
      <c r="AN1065">
        <v>0.99999997344970804</v>
      </c>
    </row>
    <row r="1066" spans="1:40" x14ac:dyDescent="0.25">
      <c r="A1066" t="str">
        <f>"20190305135214022"</f>
        <v>20190305135214022</v>
      </c>
      <c r="B1066" t="str">
        <f>"1551765134020070"</f>
        <v>1551765134020070</v>
      </c>
      <c r="C1066" t="s">
        <v>40</v>
      </c>
      <c r="D1066">
        <v>5.3880720000000002</v>
      </c>
      <c r="E1066">
        <v>0.56519039999999998</v>
      </c>
      <c r="F1066" t="s">
        <v>52</v>
      </c>
      <c r="G1066">
        <v>-184.16</v>
      </c>
      <c r="H1066" s="1">
        <v>-5.969315E-6</v>
      </c>
      <c r="I1066">
        <v>360.54399999999998</v>
      </c>
      <c r="J1066">
        <v>-239.48179999999999</v>
      </c>
      <c r="K1066">
        <v>1.109156</v>
      </c>
      <c r="L1066">
        <v>368.4932</v>
      </c>
      <c r="M1066">
        <v>0.99989300000000003</v>
      </c>
      <c r="N1066">
        <v>-1.4110910000000001E-2</v>
      </c>
      <c r="O1066">
        <v>3.8686250000000001E-3</v>
      </c>
      <c r="P1066">
        <v>0.99538459999999995</v>
      </c>
      <c r="Q1066">
        <v>-9.2646720000000002E-2</v>
      </c>
      <c r="R1066">
        <v>2.5026340000000001E-2</v>
      </c>
      <c r="S1066">
        <v>3.0197750000000001</v>
      </c>
      <c r="T1066">
        <v>-6.0376760000000002E-2</v>
      </c>
      <c r="U1066">
        <v>-0.43267820000000001</v>
      </c>
      <c r="V1066">
        <v>-2.1180379999999999E-2</v>
      </c>
      <c r="W1066">
        <v>-7.8589069999999997E-2</v>
      </c>
      <c r="X1066">
        <v>0.99668199999999996</v>
      </c>
      <c r="Y1066">
        <v>0.14561289999999999</v>
      </c>
      <c r="Z1066">
        <v>-2.5035909999999999E-3</v>
      </c>
      <c r="AA1066">
        <v>0.98933850000000001</v>
      </c>
      <c r="AB1066">
        <v>28</v>
      </c>
      <c r="AC1066">
        <v>55.321800000000003</v>
      </c>
      <c r="AD1066">
        <v>-1.1091619693150001</v>
      </c>
      <c r="AE1066">
        <v>-7.9491999999999603</v>
      </c>
      <c r="AF1066">
        <v>8.1599673656706599</v>
      </c>
      <c r="AG1066">
        <v>-1.1091619693150001</v>
      </c>
      <c r="AH1066">
        <v>55.268863211758898</v>
      </c>
      <c r="AI1066">
        <v>91.13735883647</v>
      </c>
      <c r="AJ1066">
        <v>81.601449080995707</v>
      </c>
      <c r="AK1066">
        <v>55.878999171451703</v>
      </c>
      <c r="AL1066">
        <v>94.507470360321605</v>
      </c>
      <c r="AM1066">
        <v>91.217403096117295</v>
      </c>
      <c r="AN1066">
        <v>0.99999992977220198</v>
      </c>
    </row>
    <row r="1067" spans="1:40" x14ac:dyDescent="0.25">
      <c r="A1067" t="str">
        <f>"20190305135214035"</f>
        <v>20190305135214035</v>
      </c>
      <c r="B1067" t="str">
        <f>"1551765134030806"</f>
        <v>1551765134030806</v>
      </c>
      <c r="C1067" t="s">
        <v>40</v>
      </c>
      <c r="D1067">
        <v>4.5548760000000001</v>
      </c>
      <c r="E1067">
        <v>0.56525059999999905</v>
      </c>
      <c r="F1067" t="s">
        <v>52</v>
      </c>
      <c r="G1067">
        <v>-180</v>
      </c>
      <c r="H1067">
        <v>5.4013290000000001E-4</v>
      </c>
      <c r="I1067">
        <v>359.88659999999999</v>
      </c>
      <c r="J1067">
        <v>-239.33359999999999</v>
      </c>
      <c r="K1067">
        <v>1.1091580000000001</v>
      </c>
      <c r="L1067">
        <v>368.49369999999999</v>
      </c>
      <c r="M1067">
        <v>0.99989300000000003</v>
      </c>
      <c r="N1067">
        <v>-1.410932E-2</v>
      </c>
      <c r="O1067">
        <v>3.8611890000000001E-3</v>
      </c>
      <c r="P1067">
        <v>0.99541290000000004</v>
      </c>
      <c r="Q1067">
        <v>-9.2473730000000004E-2</v>
      </c>
      <c r="R1067">
        <v>2.4535439999999999E-2</v>
      </c>
      <c r="S1067">
        <v>3.0196230000000002</v>
      </c>
      <c r="T1067">
        <v>-5.6279419999999997E-2</v>
      </c>
      <c r="U1067">
        <v>-0.43692019999999998</v>
      </c>
      <c r="V1067">
        <v>-2.0696849999999999E-2</v>
      </c>
      <c r="W1067">
        <v>-7.8417349999999997E-2</v>
      </c>
      <c r="X1067">
        <v>0.99670579999999998</v>
      </c>
      <c r="Y1067">
        <v>0.14697869999999999</v>
      </c>
      <c r="Z1067">
        <v>-2.4223349999999999E-3</v>
      </c>
      <c r="AA1067">
        <v>0.98913669999999998</v>
      </c>
      <c r="AB1067">
        <v>28</v>
      </c>
      <c r="AC1067">
        <v>59.333599999999898</v>
      </c>
      <c r="AD1067">
        <v>-1.1086178671</v>
      </c>
      <c r="AE1067">
        <v>-8.6071000000000009</v>
      </c>
      <c r="AF1067">
        <v>8.8331366953764192</v>
      </c>
      <c r="AG1067">
        <v>-1.1086178671</v>
      </c>
      <c r="AH1067">
        <v>59.279652060728502</v>
      </c>
      <c r="AI1067">
        <v>91.059694512153499</v>
      </c>
      <c r="AJ1067">
        <v>81.524834563850902</v>
      </c>
      <c r="AK1067">
        <v>59.944394949782399</v>
      </c>
      <c r="AL1067">
        <v>94.497600546228298</v>
      </c>
      <c r="AM1067">
        <v>91.189590503946604</v>
      </c>
      <c r="AN1067">
        <v>1.00000004606729</v>
      </c>
    </row>
    <row r="1068" spans="1:40" x14ac:dyDescent="0.25">
      <c r="A1068" t="str">
        <f>"20190305135214050"</f>
        <v>20190305135214050</v>
      </c>
      <c r="B1068" t="str">
        <f>"1551765134040565"</f>
        <v>1551765134040565</v>
      </c>
      <c r="C1068" t="s">
        <v>40</v>
      </c>
      <c r="D1068">
        <v>4.5232279999999996</v>
      </c>
      <c r="E1068">
        <v>0.56528900000000004</v>
      </c>
      <c r="F1068" t="s">
        <v>52</v>
      </c>
      <c r="G1068">
        <v>-179.999</v>
      </c>
      <c r="H1068">
        <v>5.0978370000000002E-2</v>
      </c>
      <c r="I1068">
        <v>359.86700000000002</v>
      </c>
      <c r="J1068">
        <v>-239.14070000000001</v>
      </c>
      <c r="K1068">
        <v>1.109162</v>
      </c>
      <c r="L1068">
        <v>368.49439999999998</v>
      </c>
      <c r="M1068">
        <v>0.99989309999999998</v>
      </c>
      <c r="N1068">
        <v>-1.410725E-2</v>
      </c>
      <c r="O1068">
        <v>3.8513150000000001E-3</v>
      </c>
      <c r="P1068">
        <v>0.99544509999999997</v>
      </c>
      <c r="Q1068">
        <v>-9.2429319999999995E-2</v>
      </c>
      <c r="R1068">
        <v>2.337411E-2</v>
      </c>
      <c r="S1068">
        <v>3.019638</v>
      </c>
      <c r="T1068">
        <v>-5.3852560000000001E-2</v>
      </c>
      <c r="U1068">
        <v>-0.43902590000000002</v>
      </c>
      <c r="V1068">
        <v>-1.954533E-2</v>
      </c>
      <c r="W1068">
        <v>-7.8374689999999997E-2</v>
      </c>
      <c r="X1068">
        <v>0.99673239999999996</v>
      </c>
      <c r="Y1068">
        <v>0.14764650000000001</v>
      </c>
      <c r="Z1068">
        <v>-2.3709529999999999E-3</v>
      </c>
      <c r="AA1068">
        <v>0.98903730000000001</v>
      </c>
      <c r="AB1068">
        <v>28</v>
      </c>
      <c r="AC1068">
        <v>59.141699999999901</v>
      </c>
      <c r="AD1068">
        <v>-1.05818363</v>
      </c>
      <c r="AE1068">
        <v>-8.6274000000000193</v>
      </c>
      <c r="AF1068">
        <v>8.8523570739021196</v>
      </c>
      <c r="AG1068">
        <v>-1.05818363</v>
      </c>
      <c r="AH1068">
        <v>59.0895086395861</v>
      </c>
      <c r="AI1068">
        <v>91.014631078901203</v>
      </c>
      <c r="AJ1068">
        <v>81.479731698688695</v>
      </c>
      <c r="AK1068">
        <v>59.758296575675502</v>
      </c>
      <c r="AL1068">
        <v>94.495148769205798</v>
      </c>
      <c r="AM1068">
        <v>91.123392207574696</v>
      </c>
      <c r="AN1068">
        <v>1.0000000445835799</v>
      </c>
    </row>
    <row r="1069" spans="1:40" x14ac:dyDescent="0.25">
      <c r="A1069" t="str">
        <f>"20190305135214063"</f>
        <v>20190305135214063</v>
      </c>
      <c r="B1069" t="str">
        <f>"1551765134061062"</f>
        <v>1551765134061062</v>
      </c>
      <c r="C1069" t="s">
        <v>40</v>
      </c>
      <c r="D1069">
        <v>4.7102339999999998</v>
      </c>
      <c r="E1069">
        <v>0.56524680000000005</v>
      </c>
      <c r="F1069" t="s">
        <v>52</v>
      </c>
      <c r="G1069">
        <v>-179.98820000000001</v>
      </c>
      <c r="H1069">
        <v>6.1771220000000002E-2</v>
      </c>
      <c r="I1069">
        <v>359.82350000000002</v>
      </c>
      <c r="J1069">
        <v>-238.9708</v>
      </c>
      <c r="K1069">
        <v>1.1091629999999999</v>
      </c>
      <c r="L1069">
        <v>368.49509999999998</v>
      </c>
      <c r="M1069">
        <v>0.99989309999999998</v>
      </c>
      <c r="N1069">
        <v>-1.410544E-2</v>
      </c>
      <c r="O1069">
        <v>3.8427489999999999E-3</v>
      </c>
      <c r="P1069">
        <v>0.99547269999999999</v>
      </c>
      <c r="Q1069">
        <v>-9.2223330000000006E-2</v>
      </c>
      <c r="R1069">
        <v>2.2994850000000001E-2</v>
      </c>
      <c r="S1069">
        <v>3.0191499999999998</v>
      </c>
      <c r="T1069">
        <v>-5.3458930000000002E-2</v>
      </c>
      <c r="U1069">
        <v>-0.44256590000000001</v>
      </c>
      <c r="V1069">
        <v>-1.9173969999999999E-2</v>
      </c>
      <c r="W1069">
        <v>-7.8170219999999999E-2</v>
      </c>
      <c r="X1069">
        <v>0.99675559999999996</v>
      </c>
      <c r="Y1069">
        <v>0.14879629999999999</v>
      </c>
      <c r="Z1069">
        <v>-2.3791979999999999E-3</v>
      </c>
      <c r="AA1069">
        <v>0.98886499999999999</v>
      </c>
      <c r="AB1069">
        <v>28</v>
      </c>
      <c r="AC1069">
        <v>58.982599999999898</v>
      </c>
      <c r="AD1069">
        <v>-1.0473917800000001</v>
      </c>
      <c r="AE1069">
        <v>-8.67159999999995</v>
      </c>
      <c r="AF1069">
        <v>8.8954681526413104</v>
      </c>
      <c r="AG1069">
        <v>-1.0473917800000001</v>
      </c>
      <c r="AH1069">
        <v>58.930648664342698</v>
      </c>
      <c r="AI1069">
        <v>91.0068241488067</v>
      </c>
      <c r="AJ1069">
        <v>81.416116248350207</v>
      </c>
      <c r="AK1069">
        <v>59.607446977669397</v>
      </c>
      <c r="AL1069">
        <v>94.483397760051602</v>
      </c>
      <c r="AM1069">
        <v>91.102027499102505</v>
      </c>
      <c r="AN1069">
        <v>0.99999997527588402</v>
      </c>
    </row>
    <row r="1070" spans="1:40" x14ac:dyDescent="0.25">
      <c r="A1070" t="str">
        <f>"20190305135214076"</f>
        <v>20190305135214076</v>
      </c>
      <c r="B1070" t="str">
        <f>"1551765134069845"</f>
        <v>1551765134069845</v>
      </c>
      <c r="C1070" t="s">
        <v>40</v>
      </c>
      <c r="D1070">
        <v>4.5118839999999896</v>
      </c>
      <c r="E1070">
        <v>0.56529640000000003</v>
      </c>
      <c r="F1070" t="s">
        <v>52</v>
      </c>
      <c r="G1070">
        <v>-179.97579999999999</v>
      </c>
      <c r="H1070">
        <v>7.4171130000000002E-2</v>
      </c>
      <c r="I1070">
        <v>359.82760000000002</v>
      </c>
      <c r="J1070">
        <v>-238.82390000000001</v>
      </c>
      <c r="K1070">
        <v>1.109159</v>
      </c>
      <c r="L1070">
        <v>368.4957</v>
      </c>
      <c r="M1070">
        <v>0.99989329999999998</v>
      </c>
      <c r="N1070">
        <v>-1.4103879999999999E-2</v>
      </c>
      <c r="O1070">
        <v>3.8355479999999998E-3</v>
      </c>
      <c r="P1070">
        <v>0.99546299999999999</v>
      </c>
      <c r="Q1070">
        <v>-9.2470849999999993E-2</v>
      </c>
      <c r="R1070">
        <v>2.242386E-2</v>
      </c>
      <c r="S1070">
        <v>3.018967</v>
      </c>
      <c r="T1070">
        <v>-5.2963969999999999E-2</v>
      </c>
      <c r="U1070">
        <v>-0.44354250000000001</v>
      </c>
      <c r="V1070">
        <v>-1.8610379999999999E-2</v>
      </c>
      <c r="W1070">
        <v>-7.8419459999999996E-2</v>
      </c>
      <c r="X1070">
        <v>0.99674669999999999</v>
      </c>
      <c r="Y1070">
        <v>0.14911140000000001</v>
      </c>
      <c r="Z1070">
        <v>-2.3713649999999998E-3</v>
      </c>
      <c r="AA1070">
        <v>0.98881759999999996</v>
      </c>
      <c r="AB1070">
        <v>28</v>
      </c>
      <c r="AC1070">
        <v>58.848100000000002</v>
      </c>
      <c r="AD1070">
        <v>-1.0349878699999999</v>
      </c>
      <c r="AE1070">
        <v>-8.6680999999999795</v>
      </c>
      <c r="AF1070">
        <v>8.8910815916285699</v>
      </c>
      <c r="AG1070">
        <v>-1.0349878699999999</v>
      </c>
      <c r="AH1070">
        <v>58.796616161927098</v>
      </c>
      <c r="AI1070">
        <v>90.997130911865696</v>
      </c>
      <c r="AJ1070">
        <v>81.401019917767698</v>
      </c>
      <c r="AK1070">
        <v>59.474066649700603</v>
      </c>
      <c r="AL1070">
        <v>94.497722152283401</v>
      </c>
      <c r="AM1070">
        <v>91.0696522472319</v>
      </c>
      <c r="AN1070">
        <v>0.99999997095566195</v>
      </c>
    </row>
    <row r="1071" spans="1:40" x14ac:dyDescent="0.25">
      <c r="A1071" t="str">
        <f>"20190305135214088"</f>
        <v>20190305135214088</v>
      </c>
      <c r="B1071" t="str">
        <f>"1551765134080582"</f>
        <v>1551765134080582</v>
      </c>
      <c r="C1071" t="s">
        <v>40</v>
      </c>
      <c r="D1071">
        <v>4.5143409999999999</v>
      </c>
      <c r="E1071">
        <v>0.5653688</v>
      </c>
      <c r="F1071" t="s">
        <v>52</v>
      </c>
      <c r="G1071">
        <v>-179.9821</v>
      </c>
      <c r="H1071">
        <v>6.7850049999999995E-2</v>
      </c>
      <c r="I1071">
        <v>359.8073</v>
      </c>
      <c r="J1071">
        <v>-238.6711</v>
      </c>
      <c r="K1071">
        <v>1.1091599999999999</v>
      </c>
      <c r="L1071">
        <v>368.49619999999999</v>
      </c>
      <c r="M1071">
        <v>0.99989329999999998</v>
      </c>
      <c r="N1071">
        <v>-1.410228E-2</v>
      </c>
      <c r="O1071">
        <v>3.8282870000000001E-3</v>
      </c>
      <c r="P1071">
        <v>0.99544730000000003</v>
      </c>
      <c r="Q1071">
        <v>-9.2640139999999996E-2</v>
      </c>
      <c r="R1071">
        <v>2.2425939999999998E-2</v>
      </c>
      <c r="S1071">
        <v>3.0187680000000001</v>
      </c>
      <c r="T1071">
        <v>-5.3422450000000003E-2</v>
      </c>
      <c r="U1071">
        <v>-0.44573970000000002</v>
      </c>
      <c r="V1071">
        <v>-1.8619630000000002E-2</v>
      </c>
      <c r="W1071">
        <v>-7.8590530000000006E-2</v>
      </c>
      <c r="X1071">
        <v>0.99673310000000004</v>
      </c>
      <c r="Y1071">
        <v>0.14981729999999999</v>
      </c>
      <c r="Z1071">
        <v>-2.3943570000000002E-3</v>
      </c>
      <c r="AA1071">
        <v>0.9887108</v>
      </c>
      <c r="AB1071">
        <v>28</v>
      </c>
      <c r="AC1071">
        <v>58.688999999999901</v>
      </c>
      <c r="AD1071">
        <v>-1.04130995</v>
      </c>
      <c r="AE1071">
        <v>-8.6888999999999896</v>
      </c>
      <c r="AF1071">
        <v>8.9107919538302909</v>
      </c>
      <c r="AG1071">
        <v>-1.04130995</v>
      </c>
      <c r="AH1071">
        <v>58.637239360591003</v>
      </c>
      <c r="AI1071">
        <v>91.005835367331201</v>
      </c>
      <c r="AJ1071">
        <v>81.359172898115403</v>
      </c>
      <c r="AK1071">
        <v>59.319578382585199</v>
      </c>
      <c r="AL1071">
        <v>94.5075538762066</v>
      </c>
      <c r="AM1071">
        <v>91.070198376441297</v>
      </c>
      <c r="AN1071">
        <v>1.0000000173313099</v>
      </c>
    </row>
    <row r="1072" spans="1:40" x14ac:dyDescent="0.25">
      <c r="A1072" t="str">
        <f>"20190305135214099"</f>
        <v>20190305135214099</v>
      </c>
      <c r="B1072" t="str">
        <f>"1551765134090342"</f>
        <v>1551765134090342</v>
      </c>
      <c r="C1072" t="s">
        <v>40</v>
      </c>
      <c r="D1072">
        <v>4.4854969999999996</v>
      </c>
      <c r="E1072">
        <v>0.56542969999999904</v>
      </c>
      <c r="F1072" t="s">
        <v>52</v>
      </c>
      <c r="G1072">
        <v>-179.98169999999999</v>
      </c>
      <c r="H1072">
        <v>6.8294980000000005E-2</v>
      </c>
      <c r="I1072">
        <v>359.82040000000001</v>
      </c>
      <c r="J1072">
        <v>-238.52670000000001</v>
      </c>
      <c r="K1072">
        <v>1.1091610000000001</v>
      </c>
      <c r="L1072">
        <v>368.49680000000001</v>
      </c>
      <c r="M1072">
        <v>0.99989329999999998</v>
      </c>
      <c r="N1072">
        <v>-1.410084E-2</v>
      </c>
      <c r="O1072">
        <v>3.821559E-3</v>
      </c>
      <c r="P1072">
        <v>0.99544520000000003</v>
      </c>
      <c r="Q1072">
        <v>-9.2723730000000004E-2</v>
      </c>
      <c r="R1072">
        <v>2.21634E-2</v>
      </c>
      <c r="S1072">
        <v>3.018799</v>
      </c>
      <c r="T1072">
        <v>-5.3538799999999998E-2</v>
      </c>
      <c r="U1072">
        <v>-0.4462585</v>
      </c>
      <c r="V1072">
        <v>-1.8364289999999998E-2</v>
      </c>
      <c r="W1072">
        <v>-7.8675640000000005E-2</v>
      </c>
      <c r="X1072">
        <v>0.99673109999999998</v>
      </c>
      <c r="Y1072">
        <v>0.14997530000000001</v>
      </c>
      <c r="Z1072">
        <v>-2.3997440000000001E-3</v>
      </c>
      <c r="AA1072">
        <v>0.98868690000000004</v>
      </c>
      <c r="AB1072">
        <v>28</v>
      </c>
      <c r="AC1072">
        <v>58.545000000000002</v>
      </c>
      <c r="AD1072">
        <v>-1.0408660199999999</v>
      </c>
      <c r="AE1072">
        <v>-8.6763999999999992</v>
      </c>
      <c r="AF1072">
        <v>8.8973401288087093</v>
      </c>
      <c r="AG1072">
        <v>-1.0408660199999999</v>
      </c>
      <c r="AH1072">
        <v>58.493319971697602</v>
      </c>
      <c r="AI1072">
        <v>91.007858331531494</v>
      </c>
      <c r="AJ1072">
        <v>81.351112724933898</v>
      </c>
      <c r="AK1072">
        <v>59.175286604719503</v>
      </c>
      <c r="AL1072">
        <v>94.512445568936101</v>
      </c>
      <c r="AM1072">
        <v>91.055527688937701</v>
      </c>
      <c r="AN1072">
        <v>0.99999999459191102</v>
      </c>
    </row>
    <row r="1073" spans="1:40" x14ac:dyDescent="0.25">
      <c r="A1073" t="str">
        <f>"20190305135214110"</f>
        <v>20190305135214110</v>
      </c>
      <c r="B1073" t="str">
        <f>"1551765134100102"</f>
        <v>1551765134100102</v>
      </c>
      <c r="C1073" t="s">
        <v>40</v>
      </c>
      <c r="D1073">
        <v>4.5164879999999998</v>
      </c>
      <c r="E1073">
        <v>0.56549130000000003</v>
      </c>
      <c r="F1073" t="s">
        <v>52</v>
      </c>
      <c r="G1073">
        <v>-179.93289999999999</v>
      </c>
      <c r="H1073">
        <v>7.9987879999999997E-2</v>
      </c>
      <c r="I1073">
        <v>359.81490000000002</v>
      </c>
      <c r="J1073">
        <v>-238.38910000000001</v>
      </c>
      <c r="K1073">
        <v>1.109164</v>
      </c>
      <c r="L1073">
        <v>368.4973</v>
      </c>
      <c r="M1073">
        <v>0.99989340000000004</v>
      </c>
      <c r="N1073">
        <v>-1.4099449999999999E-2</v>
      </c>
      <c r="O1073">
        <v>3.8150100000000002E-3</v>
      </c>
      <c r="P1073">
        <v>0.99546089999999998</v>
      </c>
      <c r="Q1073">
        <v>-9.2538999999999996E-2</v>
      </c>
      <c r="R1073">
        <v>2.2232869999999998E-2</v>
      </c>
      <c r="S1073">
        <v>3.0187529999999998</v>
      </c>
      <c r="T1073">
        <v>-5.3022979999999997E-2</v>
      </c>
      <c r="U1073">
        <v>-0.44729609999999898</v>
      </c>
      <c r="V1073">
        <v>-1.8439649999999998E-2</v>
      </c>
      <c r="W1073">
        <v>-7.8492049999999994E-2</v>
      </c>
      <c r="X1073">
        <v>0.99674419999999997</v>
      </c>
      <c r="Y1073">
        <v>0.15030399999999999</v>
      </c>
      <c r="Z1073">
        <v>-2.3914470000000001E-3</v>
      </c>
      <c r="AA1073">
        <v>0.98863690000000004</v>
      </c>
      <c r="AB1073">
        <v>28</v>
      </c>
      <c r="AC1073">
        <v>58.456200000000003</v>
      </c>
      <c r="AD1073">
        <v>-1.02917612</v>
      </c>
      <c r="AE1073">
        <v>-8.6823999999999693</v>
      </c>
      <c r="AF1073">
        <v>8.9026699557049902</v>
      </c>
      <c r="AG1073">
        <v>-1.02917612</v>
      </c>
      <c r="AH1073">
        <v>58.404934827453602</v>
      </c>
      <c r="AI1073">
        <v>90.998001479108893</v>
      </c>
      <c r="AJ1073">
        <v>81.333112634726504</v>
      </c>
      <c r="AK1073">
        <v>59.088519595817303</v>
      </c>
      <c r="AL1073">
        <v>94.501893930165906</v>
      </c>
      <c r="AM1073">
        <v>91.059844257261503</v>
      </c>
      <c r="AN1073">
        <v>1.00000001141948</v>
      </c>
    </row>
    <row r="1074" spans="1:40" x14ac:dyDescent="0.25">
      <c r="A1074" t="str">
        <f>"20190305135214122"</f>
        <v>20190305135214122</v>
      </c>
      <c r="B1074" t="str">
        <f>"1551765134110838"</f>
        <v>1551765134110838</v>
      </c>
      <c r="C1074" t="s">
        <v>40</v>
      </c>
      <c r="D1074">
        <v>4.5615940000000004</v>
      </c>
      <c r="E1074">
        <v>0.56553140000000002</v>
      </c>
      <c r="F1074" t="s">
        <v>52</v>
      </c>
      <c r="G1074">
        <v>-178.70339999999999</v>
      </c>
      <c r="H1074">
        <v>7.9987939999999993E-2</v>
      </c>
      <c r="I1074">
        <v>359.6447</v>
      </c>
      <c r="J1074">
        <v>-238.24459999999999</v>
      </c>
      <c r="K1074">
        <v>1.109164</v>
      </c>
      <c r="L1074">
        <v>368.49779999999998</v>
      </c>
      <c r="M1074">
        <v>0.99989340000000004</v>
      </c>
      <c r="N1074">
        <v>-1.4097989999999999E-2</v>
      </c>
      <c r="O1074">
        <v>3.8082839999999999E-3</v>
      </c>
      <c r="P1074">
        <v>0.9954617</v>
      </c>
      <c r="Q1074">
        <v>-9.2517000000000002E-2</v>
      </c>
      <c r="R1074">
        <v>2.2294999999999999E-2</v>
      </c>
      <c r="S1074">
        <v>3.0188290000000002</v>
      </c>
      <c r="T1074">
        <v>-5.2054410000000002E-2</v>
      </c>
      <c r="U1074">
        <v>-0.44775389999999998</v>
      </c>
      <c r="V1074">
        <v>-1.8508589999999998E-2</v>
      </c>
      <c r="W1074">
        <v>-7.8471520000000003E-2</v>
      </c>
      <c r="X1074">
        <v>0.99674450000000003</v>
      </c>
      <c r="Y1074">
        <v>0.15044160000000001</v>
      </c>
      <c r="Z1074">
        <v>-2.3682389999999998E-3</v>
      </c>
      <c r="AA1074">
        <v>0.98861600000000005</v>
      </c>
      <c r="AB1074">
        <v>28</v>
      </c>
      <c r="AC1074">
        <v>59.541200000000003</v>
      </c>
      <c r="AD1074">
        <v>-1.0291760599999999</v>
      </c>
      <c r="AE1074">
        <v>-8.85309999999998</v>
      </c>
      <c r="AF1074">
        <v>9.0771547522054306</v>
      </c>
      <c r="AG1074">
        <v>-1.0291760599999999</v>
      </c>
      <c r="AH1074">
        <v>59.489660113523499</v>
      </c>
      <c r="AI1074">
        <v>90.979785165832695</v>
      </c>
      <c r="AJ1074">
        <v>81.324509777230205</v>
      </c>
      <c r="AK1074">
        <v>60.186988645225597</v>
      </c>
      <c r="AL1074">
        <v>94.500714182508105</v>
      </c>
      <c r="AM1074">
        <v>91.063805449628106</v>
      </c>
      <c r="AN1074">
        <v>0.99999997281757302</v>
      </c>
    </row>
    <row r="1075" spans="1:40" x14ac:dyDescent="0.25">
      <c r="A1075" t="str">
        <f>"20190305135214135"</f>
        <v>20190305135214135</v>
      </c>
      <c r="B1075" t="str">
        <f>"1551765134130358"</f>
        <v>1551765134130358</v>
      </c>
      <c r="C1075" t="s">
        <v>40</v>
      </c>
      <c r="D1075">
        <v>4.5759749999999997</v>
      </c>
      <c r="E1075">
        <v>0.56563339999999995</v>
      </c>
      <c r="F1075" t="s">
        <v>52</v>
      </c>
      <c r="G1075">
        <v>-178.1071</v>
      </c>
      <c r="H1075">
        <v>7.9987959999999997E-2</v>
      </c>
      <c r="I1075">
        <v>359.57780000000002</v>
      </c>
      <c r="J1075">
        <v>-238.08670000000001</v>
      </c>
      <c r="K1075">
        <v>1.1091629999999999</v>
      </c>
      <c r="L1075">
        <v>368.4984</v>
      </c>
      <c r="M1075">
        <v>0.99989340000000004</v>
      </c>
      <c r="N1075">
        <v>-1.409636E-2</v>
      </c>
      <c r="O1075">
        <v>3.8009049999999998E-3</v>
      </c>
      <c r="P1075">
        <v>0.99545720000000004</v>
      </c>
      <c r="Q1075">
        <v>-9.2542730000000004E-2</v>
      </c>
      <c r="R1075">
        <v>2.2386659999999999E-2</v>
      </c>
      <c r="S1075">
        <v>3.0188899999999999</v>
      </c>
      <c r="T1075">
        <v>-5.1664469999999997E-2</v>
      </c>
      <c r="U1075">
        <v>-0.44778440000000003</v>
      </c>
      <c r="V1075">
        <v>-1.8607889999999998E-2</v>
      </c>
      <c r="W1075">
        <v>-7.849892E-2</v>
      </c>
      <c r="X1075">
        <v>0.99674050000000003</v>
      </c>
      <c r="Y1075">
        <v>0.15044160000000001</v>
      </c>
      <c r="Z1075">
        <v>-2.3579220000000001E-3</v>
      </c>
      <c r="AA1075">
        <v>0.9886161</v>
      </c>
      <c r="AB1075">
        <v>28</v>
      </c>
      <c r="AC1075">
        <v>59.979599999999998</v>
      </c>
      <c r="AD1075">
        <v>-1.0291750399999999</v>
      </c>
      <c r="AE1075">
        <v>-8.9205999999999701</v>
      </c>
      <c r="AF1075">
        <v>9.1459004818682104</v>
      </c>
      <c r="AG1075">
        <v>-1.0291750399999999</v>
      </c>
      <c r="AH1075">
        <v>59.927994604614803</v>
      </c>
      <c r="AI1075">
        <v>90.972614581343393</v>
      </c>
      <c r="AJ1075">
        <v>81.322769125859693</v>
      </c>
      <c r="AK1075">
        <v>60.630613012057999</v>
      </c>
      <c r="AL1075">
        <v>94.502288915928304</v>
      </c>
      <c r="AM1075">
        <v>91.069515816058299</v>
      </c>
      <c r="AN1075">
        <v>0.99999997917583405</v>
      </c>
    </row>
    <row r="1076" spans="1:40" x14ac:dyDescent="0.25">
      <c r="A1076" t="str">
        <f>"20190305135214152"</f>
        <v>20190305135214152</v>
      </c>
      <c r="B1076" t="str">
        <f>"1551765134140117"</f>
        <v>1551765134140117</v>
      </c>
      <c r="C1076" t="s">
        <v>40</v>
      </c>
      <c r="D1076">
        <v>4.4994940000000003</v>
      </c>
      <c r="E1076">
        <v>0.56561169999999905</v>
      </c>
      <c r="F1076" t="s">
        <v>52</v>
      </c>
      <c r="G1076">
        <v>-177.03219999999999</v>
      </c>
      <c r="H1076">
        <v>7.9988000000000004E-2</v>
      </c>
      <c r="I1076">
        <v>359.42559999999997</v>
      </c>
      <c r="J1076">
        <v>-237.87700000000001</v>
      </c>
      <c r="K1076">
        <v>1.109162</v>
      </c>
      <c r="L1076">
        <v>368.49919999999997</v>
      </c>
      <c r="M1076">
        <v>0.99989360000000005</v>
      </c>
      <c r="N1076">
        <v>-1.409418E-2</v>
      </c>
      <c r="O1076">
        <v>3.790847E-3</v>
      </c>
      <c r="P1076">
        <v>0.99540600000000001</v>
      </c>
      <c r="Q1076">
        <v>-9.2925149999999998E-2</v>
      </c>
      <c r="R1076">
        <v>2.3061379999999999E-2</v>
      </c>
      <c r="S1076">
        <v>3.0190429999999999</v>
      </c>
      <c r="T1076">
        <v>-5.0891039999999998E-2</v>
      </c>
      <c r="U1076">
        <v>-0.44863890000000001</v>
      </c>
      <c r="V1076">
        <v>-1.9292650000000001E-2</v>
      </c>
      <c r="W1076">
        <v>-7.8884090000000004E-2</v>
      </c>
      <c r="X1076">
        <v>0.9966971</v>
      </c>
      <c r="Y1076">
        <v>0.1506991</v>
      </c>
      <c r="Z1076">
        <v>-2.3415150000000002E-3</v>
      </c>
      <c r="AA1076">
        <v>0.98857689999999998</v>
      </c>
      <c r="AB1076">
        <v>28</v>
      </c>
      <c r="AC1076">
        <v>60.844799999999999</v>
      </c>
      <c r="AD1076">
        <v>-1.029174</v>
      </c>
      <c r="AE1076">
        <v>-9.0736000000000008</v>
      </c>
      <c r="AF1076">
        <v>9.3016076320207706</v>
      </c>
      <c r="AG1076">
        <v>-1.029174</v>
      </c>
      <c r="AH1076">
        <v>60.792947701544499</v>
      </c>
      <c r="AI1076">
        <v>90.958722190249205</v>
      </c>
      <c r="AJ1076">
        <v>81.300939879826203</v>
      </c>
      <c r="AK1076">
        <v>61.509036684905602</v>
      </c>
      <c r="AL1076">
        <v>94.524426050484493</v>
      </c>
      <c r="AM1076">
        <v>91.1089120226451</v>
      </c>
      <c r="AN1076">
        <v>1.00000000757378</v>
      </c>
    </row>
    <row r="1077" spans="1:40" x14ac:dyDescent="0.25">
      <c r="A1077" t="str">
        <f>"20190305135214174"</f>
        <v>20190305135214174</v>
      </c>
      <c r="B1077" t="str">
        <f>"1551765134170373"</f>
        <v>1551765134170373</v>
      </c>
      <c r="C1077" t="s">
        <v>40</v>
      </c>
      <c r="D1077">
        <v>5.2707920000000001</v>
      </c>
      <c r="E1077">
        <v>0.565712199999999</v>
      </c>
      <c r="F1077" t="s">
        <v>52</v>
      </c>
      <c r="G1077">
        <v>-178.51929999999999</v>
      </c>
      <c r="H1077">
        <v>7.9987950000000002E-2</v>
      </c>
      <c r="I1077">
        <v>359.72059999999999</v>
      </c>
      <c r="J1077">
        <v>-237.60249999999999</v>
      </c>
      <c r="K1077">
        <v>1.1091549999999999</v>
      </c>
      <c r="L1077">
        <v>368.50020000000001</v>
      </c>
      <c r="M1077">
        <v>0.99989349999999999</v>
      </c>
      <c r="N1077">
        <v>-1.4091340000000001E-2</v>
      </c>
      <c r="O1077">
        <v>3.7775790000000001E-3</v>
      </c>
      <c r="P1077">
        <v>0.9953632</v>
      </c>
      <c r="Q1077">
        <v>-9.3245659999999994E-2</v>
      </c>
      <c r="R1077">
        <v>2.3604429999999999E-2</v>
      </c>
      <c r="S1077">
        <v>3.0193020000000002</v>
      </c>
      <c r="T1077">
        <v>-5.235016E-2</v>
      </c>
      <c r="U1077">
        <v>-0.44653320000000002</v>
      </c>
      <c r="V1077">
        <v>-1.9849149999999999E-2</v>
      </c>
      <c r="W1077">
        <v>-7.9207949999999999E-2</v>
      </c>
      <c r="X1077">
        <v>0.99666049999999995</v>
      </c>
      <c r="Y1077">
        <v>0.1499974</v>
      </c>
      <c r="Z1077">
        <v>-2.368181E-3</v>
      </c>
      <c r="AA1077">
        <v>0.9886836</v>
      </c>
      <c r="AB1077">
        <v>28</v>
      </c>
      <c r="AC1077">
        <v>59.083199999999998</v>
      </c>
      <c r="AD1077">
        <v>-1.0291670500000001</v>
      </c>
      <c r="AE1077">
        <v>-8.7796000000000092</v>
      </c>
      <c r="AF1077">
        <v>9.0000791748975999</v>
      </c>
      <c r="AG1077">
        <v>-1.0291670500000001</v>
      </c>
      <c r="AH1077">
        <v>59.032084890693397</v>
      </c>
      <c r="AI1077">
        <v>90.987387720566502</v>
      </c>
      <c r="AJ1077">
        <v>81.331393235486104</v>
      </c>
      <c r="AK1077">
        <v>59.723091484896003</v>
      </c>
      <c r="AL1077">
        <v>94.543040048165395</v>
      </c>
      <c r="AM1077">
        <v>91.140932341140996</v>
      </c>
      <c r="AN1077">
        <v>1.00000002017958</v>
      </c>
    </row>
    <row r="1078" spans="1:40" x14ac:dyDescent="0.25">
      <c r="A1078" t="str">
        <f>"20190305135214185"</f>
        <v>20190305135214185</v>
      </c>
      <c r="B1078" t="str">
        <f>"1551765134180134"</f>
        <v>1551765134180134</v>
      </c>
      <c r="C1078" t="s">
        <v>40</v>
      </c>
      <c r="D1078">
        <v>4.5511790000000003</v>
      </c>
      <c r="E1078">
        <v>0.56575140000000002</v>
      </c>
      <c r="F1078" t="s">
        <v>52</v>
      </c>
      <c r="G1078">
        <v>-179.15209999999999</v>
      </c>
      <c r="H1078">
        <v>7.9987909999999995E-2</v>
      </c>
      <c r="I1078">
        <v>359.87369999999999</v>
      </c>
      <c r="J1078">
        <v>-237.45269999999999</v>
      </c>
      <c r="K1078">
        <v>1.1091549999999999</v>
      </c>
      <c r="L1078">
        <v>368.50080000000003</v>
      </c>
      <c r="M1078">
        <v>0.99989349999999999</v>
      </c>
      <c r="N1078">
        <v>-1.40898E-2</v>
      </c>
      <c r="O1078">
        <v>3.769845E-3</v>
      </c>
      <c r="P1078">
        <v>0.99534259999999997</v>
      </c>
      <c r="Q1078">
        <v>-9.3473920000000002E-2</v>
      </c>
      <c r="R1078">
        <v>2.357658E-2</v>
      </c>
      <c r="S1078">
        <v>3.0195620000000001</v>
      </c>
      <c r="T1078">
        <v>-5.3166989999999997E-2</v>
      </c>
      <c r="U1078">
        <v>-0.44564819999999999</v>
      </c>
      <c r="V1078">
        <v>-1.9829300000000001E-2</v>
      </c>
      <c r="W1078">
        <v>-7.9438049999999996E-2</v>
      </c>
      <c r="X1078">
        <v>0.99664260000000005</v>
      </c>
      <c r="Y1078">
        <v>0.14969299999999999</v>
      </c>
      <c r="Z1078">
        <v>-2.3843039999999999E-3</v>
      </c>
      <c r="AA1078">
        <v>0.98872969999999905</v>
      </c>
      <c r="AB1078">
        <v>28</v>
      </c>
      <c r="AC1078">
        <v>58.300600000000003</v>
      </c>
      <c r="AD1078">
        <v>-1.0291670899999901</v>
      </c>
      <c r="AE1078">
        <v>-8.6271000000000395</v>
      </c>
      <c r="AF1078">
        <v>8.8441477965446804</v>
      </c>
      <c r="AG1078">
        <v>-1.0291670899999901</v>
      </c>
      <c r="AH1078">
        <v>58.249896680627202</v>
      </c>
      <c r="AI1078">
        <v>91.000737549667306</v>
      </c>
      <c r="AJ1078">
        <v>81.366654545018804</v>
      </c>
      <c r="AK1078">
        <v>58.926467724189997</v>
      </c>
      <c r="AL1078">
        <v>94.556265396787893</v>
      </c>
      <c r="AM1078">
        <v>91.139812126686394</v>
      </c>
      <c r="AN1078">
        <v>1.0000000385305201</v>
      </c>
    </row>
    <row r="1079" spans="1:40" x14ac:dyDescent="0.25">
      <c r="A1079" t="str">
        <f>"20190305135214197"</f>
        <v>20190305135214197</v>
      </c>
      <c r="B1079" t="str">
        <f>"1551765134190870"</f>
        <v>1551765134190870</v>
      </c>
      <c r="C1079" t="s">
        <v>40</v>
      </c>
      <c r="D1079">
        <v>4.4801070000000003</v>
      </c>
      <c r="E1079">
        <v>0.56580920000000001</v>
      </c>
      <c r="F1079" t="s">
        <v>52</v>
      </c>
      <c r="G1079">
        <v>-179.9144</v>
      </c>
      <c r="H1079">
        <v>7.9987879999999997E-2</v>
      </c>
      <c r="I1079">
        <v>359.99489999999997</v>
      </c>
      <c r="J1079">
        <v>-237.30369999999999</v>
      </c>
      <c r="K1079">
        <v>1.109156</v>
      </c>
      <c r="L1079">
        <v>368.50139999999999</v>
      </c>
      <c r="M1079">
        <v>0.99989380000000005</v>
      </c>
      <c r="N1079">
        <v>-1.408827E-2</v>
      </c>
      <c r="O1079">
        <v>3.7624659999999999E-3</v>
      </c>
      <c r="P1079">
        <v>0.99531950000000002</v>
      </c>
      <c r="Q1079">
        <v>-9.365474E-2</v>
      </c>
      <c r="R1079">
        <v>2.3838390000000001E-2</v>
      </c>
      <c r="S1079">
        <v>3.0195470000000002</v>
      </c>
      <c r="T1079">
        <v>-5.4009559999999998E-2</v>
      </c>
      <c r="U1079">
        <v>-0.44638060000000002</v>
      </c>
      <c r="V1079">
        <v>-2.0098459999999999E-2</v>
      </c>
      <c r="W1079">
        <v>-7.9620640000000006E-2</v>
      </c>
      <c r="X1079">
        <v>0.99662260000000003</v>
      </c>
      <c r="Y1079">
        <v>0.14992</v>
      </c>
      <c r="Z1079">
        <v>-2.4096130000000001E-3</v>
      </c>
      <c r="AA1079">
        <v>0.9886952</v>
      </c>
      <c r="AB1079">
        <v>28</v>
      </c>
      <c r="AC1079">
        <v>57.389299999999899</v>
      </c>
      <c r="AD1079">
        <v>-1.02916812</v>
      </c>
      <c r="AE1079">
        <v>-8.5065000000000097</v>
      </c>
      <c r="AF1079">
        <v>8.7196425551861694</v>
      </c>
      <c r="AG1079">
        <v>-1.02916812</v>
      </c>
      <c r="AH1079">
        <v>57.338841598993298</v>
      </c>
      <c r="AI1079">
        <v>91.016599555817294</v>
      </c>
      <c r="AJ1079">
        <v>81.3531553288407</v>
      </c>
      <c r="AK1079">
        <v>58.007190151082902</v>
      </c>
      <c r="AL1079">
        <v>94.566760448538702</v>
      </c>
      <c r="AM1079">
        <v>91.155302781293102</v>
      </c>
      <c r="AN1079">
        <v>1.00000000061957</v>
      </c>
    </row>
    <row r="1080" spans="1:40" x14ac:dyDescent="0.25">
      <c r="A1080" t="str">
        <f>"20190305135214208"</f>
        <v>20190305135214208</v>
      </c>
      <c r="B1080" t="str">
        <f>"1551765134200630"</f>
        <v>1551765134200630</v>
      </c>
      <c r="C1080" t="s">
        <v>40</v>
      </c>
      <c r="D1080">
        <v>4.5087859999999997</v>
      </c>
      <c r="E1080">
        <v>0.56580280000000005</v>
      </c>
      <c r="F1080" t="s">
        <v>52</v>
      </c>
      <c r="G1080">
        <v>-179.97810000000001</v>
      </c>
      <c r="H1080">
        <v>7.1860980000000005E-2</v>
      </c>
      <c r="I1080">
        <v>360.04039999999998</v>
      </c>
      <c r="J1080">
        <v>-237.17019999999999</v>
      </c>
      <c r="K1080">
        <v>1.1091530000000001</v>
      </c>
      <c r="L1080">
        <v>368.50189999999998</v>
      </c>
      <c r="M1080">
        <v>0.9998937</v>
      </c>
      <c r="N1080">
        <v>-1.4086899999999999E-2</v>
      </c>
      <c r="O1080">
        <v>3.7558600000000002E-3</v>
      </c>
      <c r="P1080">
        <v>0.99533170000000004</v>
      </c>
      <c r="Q1080">
        <v>-9.3505770000000002E-2</v>
      </c>
      <c r="R1080">
        <v>2.3911209999999999E-2</v>
      </c>
      <c r="S1080">
        <v>3.0196230000000002</v>
      </c>
      <c r="T1080">
        <v>-5.4639460000000001E-2</v>
      </c>
      <c r="U1080">
        <v>-0.44567869999999998</v>
      </c>
      <c r="V1080">
        <v>-2.0177110000000002E-2</v>
      </c>
      <c r="W1080">
        <v>-7.9472879999999996E-2</v>
      </c>
      <c r="X1080">
        <v>0.99663279999999999</v>
      </c>
      <c r="Y1080">
        <v>0.14968429999999999</v>
      </c>
      <c r="Z1080">
        <v>-2.4220000000000001E-3</v>
      </c>
      <c r="AA1080">
        <v>0.98873089999999997</v>
      </c>
      <c r="AB1080">
        <v>28</v>
      </c>
      <c r="AC1080">
        <v>57.192099999999897</v>
      </c>
      <c r="AD1080">
        <v>-1.03729202</v>
      </c>
      <c r="AE1080">
        <v>-8.4614999999999991</v>
      </c>
      <c r="AF1080">
        <v>8.6734751222735902</v>
      </c>
      <c r="AG1080">
        <v>-1.03729202</v>
      </c>
      <c r="AH1080">
        <v>57.141519083146498</v>
      </c>
      <c r="AI1080">
        <v>91.028203205980404</v>
      </c>
      <c r="AJ1080">
        <v>81.368993530551506</v>
      </c>
      <c r="AK1080">
        <v>57.805348788507899</v>
      </c>
      <c r="AL1080">
        <v>94.558267531241498</v>
      </c>
      <c r="AM1080">
        <v>91.159810653296404</v>
      </c>
      <c r="AN1080">
        <v>0.99999999622964297</v>
      </c>
    </row>
    <row r="1081" spans="1:40" x14ac:dyDescent="0.25">
      <c r="A1081" t="str">
        <f>"20190305135214220"</f>
        <v>20190305135214220</v>
      </c>
      <c r="B1081" t="str">
        <f>"1551765134210390"</f>
        <v>1551765134210390</v>
      </c>
      <c r="C1081" t="s">
        <v>40</v>
      </c>
      <c r="D1081">
        <v>4.543933</v>
      </c>
      <c r="E1081">
        <v>0.5657816</v>
      </c>
      <c r="F1081" t="s">
        <v>52</v>
      </c>
      <c r="G1081">
        <v>-179.98159999999999</v>
      </c>
      <c r="H1081">
        <v>6.8367239999999996E-2</v>
      </c>
      <c r="I1081">
        <v>360.0634</v>
      </c>
      <c r="J1081">
        <v>-237.02269999999999</v>
      </c>
      <c r="K1081">
        <v>1.109154</v>
      </c>
      <c r="L1081">
        <v>368.50240000000002</v>
      </c>
      <c r="M1081">
        <v>0.9998939</v>
      </c>
      <c r="N1081">
        <v>-1.408539E-2</v>
      </c>
      <c r="O1081">
        <v>3.7486590000000001E-3</v>
      </c>
      <c r="P1081">
        <v>0.99532129999999996</v>
      </c>
      <c r="Q1081">
        <v>-9.3615139999999999E-2</v>
      </c>
      <c r="R1081">
        <v>2.3924580000000001E-2</v>
      </c>
      <c r="S1081">
        <v>3.0196079999999998</v>
      </c>
      <c r="T1081">
        <v>-5.4954410000000002E-2</v>
      </c>
      <c r="U1081">
        <v>-0.44555660000000002</v>
      </c>
      <c r="V1081">
        <v>-2.0198319999999999E-2</v>
      </c>
      <c r="W1081">
        <v>-7.9583890000000004E-2</v>
      </c>
      <c r="X1081">
        <v>0.9966235</v>
      </c>
      <c r="Y1081">
        <v>0.1496384</v>
      </c>
      <c r="Z1081">
        <v>-2.4292820000000001E-3</v>
      </c>
      <c r="AA1081">
        <v>0.9887378</v>
      </c>
      <c r="AB1081">
        <v>28</v>
      </c>
      <c r="AC1081">
        <v>57.0411</v>
      </c>
      <c r="AD1081">
        <v>-1.04078676</v>
      </c>
      <c r="AE1081">
        <v>-8.4390000000000196</v>
      </c>
      <c r="AF1081">
        <v>8.6499713957508106</v>
      </c>
      <c r="AG1081">
        <v>-1.04078676</v>
      </c>
      <c r="AH1081">
        <v>56.990493849264901</v>
      </c>
      <c r="AI1081">
        <v>91.034401469058096</v>
      </c>
      <c r="AJ1081">
        <v>81.369563212855695</v>
      </c>
      <c r="AK1081">
        <v>57.652594316389603</v>
      </c>
      <c r="AL1081">
        <v>94.564648200657103</v>
      </c>
      <c r="AM1081">
        <v>91.161040333666307</v>
      </c>
      <c r="AN1081">
        <v>0.99999998421530201</v>
      </c>
    </row>
    <row r="1082" spans="1:40" x14ac:dyDescent="0.25">
      <c r="A1082" t="str">
        <f>"20190305135214231"</f>
        <v>20190305135214231</v>
      </c>
      <c r="B1082" t="str">
        <f>"1551765134220151"</f>
        <v>1551765134220151</v>
      </c>
      <c r="C1082" t="s">
        <v>40</v>
      </c>
      <c r="D1082">
        <v>4.5234220000000001</v>
      </c>
      <c r="E1082">
        <v>0.5657778</v>
      </c>
      <c r="F1082" t="s">
        <v>52</v>
      </c>
      <c r="G1082">
        <v>-179.99289999999999</v>
      </c>
      <c r="H1082">
        <v>5.7133490000000002E-2</v>
      </c>
      <c r="I1082">
        <v>360.08909999999997</v>
      </c>
      <c r="J1082">
        <v>-236.88679999999999</v>
      </c>
      <c r="K1082">
        <v>1.109154</v>
      </c>
      <c r="L1082">
        <v>368.50290000000001</v>
      </c>
      <c r="M1082">
        <v>0.99989399999999995</v>
      </c>
      <c r="N1082">
        <v>-1.4083999999999999E-2</v>
      </c>
      <c r="O1082">
        <v>3.7421120000000001E-3</v>
      </c>
      <c r="P1082">
        <v>0.99532560000000003</v>
      </c>
      <c r="Q1082">
        <v>-9.3553410000000004E-2</v>
      </c>
      <c r="R1082">
        <v>2.3981240000000001E-2</v>
      </c>
      <c r="S1082">
        <v>3.0195919999999998</v>
      </c>
      <c r="T1082">
        <v>-5.5701970000000003E-2</v>
      </c>
      <c r="U1082">
        <v>-0.4454651</v>
      </c>
      <c r="V1082">
        <v>-2.026114E-2</v>
      </c>
      <c r="W1082">
        <v>-7.9523499999999997E-2</v>
      </c>
      <c r="X1082">
        <v>0.99662700000000004</v>
      </c>
      <c r="Y1082">
        <v>0.1496024</v>
      </c>
      <c r="Z1082">
        <v>-2.4479219999999999E-3</v>
      </c>
      <c r="AA1082">
        <v>0.98874320000000004</v>
      </c>
      <c r="AB1082">
        <v>28</v>
      </c>
      <c r="AC1082">
        <v>56.893900000000002</v>
      </c>
      <c r="AD1082">
        <v>-1.05202051</v>
      </c>
      <c r="AE1082">
        <v>-8.4138000000000304</v>
      </c>
      <c r="AF1082">
        <v>8.6237800163818505</v>
      </c>
      <c r="AG1082">
        <v>-1.05202051</v>
      </c>
      <c r="AH1082">
        <v>56.842993605347303</v>
      </c>
      <c r="AI1082">
        <v>91.048286735963799</v>
      </c>
      <c r="AJ1082">
        <v>81.373311121662695</v>
      </c>
      <c r="AK1082">
        <v>57.5030629700885</v>
      </c>
      <c r="AL1082">
        <v>94.561177313859403</v>
      </c>
      <c r="AM1082">
        <v>91.164646272467095</v>
      </c>
      <c r="AN1082">
        <v>0.99999993898767303</v>
      </c>
    </row>
    <row r="1083" spans="1:40" x14ac:dyDescent="0.25">
      <c r="A1083" t="str">
        <f>"20190305135214243"</f>
        <v>20190305135214243</v>
      </c>
      <c r="B1083" t="str">
        <f>"1551765134240646"</f>
        <v>1551765134240646</v>
      </c>
      <c r="C1083" t="s">
        <v>40</v>
      </c>
      <c r="D1083">
        <v>4.5407149999999996</v>
      </c>
      <c r="E1083">
        <v>0.56581999999999999</v>
      </c>
      <c r="F1083" t="s">
        <v>52</v>
      </c>
      <c r="G1083">
        <v>-180</v>
      </c>
      <c r="H1083">
        <v>4.1406169999999999E-2</v>
      </c>
      <c r="I1083">
        <v>360.11439999999999</v>
      </c>
      <c r="J1083">
        <v>-236.7336</v>
      </c>
      <c r="K1083">
        <v>1.109162</v>
      </c>
      <c r="L1083">
        <v>368.50349999999997</v>
      </c>
      <c r="M1083">
        <v>0.99989399999999995</v>
      </c>
      <c r="N1083">
        <v>-1.408244E-2</v>
      </c>
      <c r="O1083">
        <v>3.7347320000000002E-3</v>
      </c>
      <c r="P1083">
        <v>0.99535059999999997</v>
      </c>
      <c r="Q1083">
        <v>-9.3318310000000002E-2</v>
      </c>
      <c r="R1083">
        <v>2.3852890000000002E-2</v>
      </c>
      <c r="S1083">
        <v>3.019485</v>
      </c>
      <c r="T1083">
        <v>-5.6674839999999997E-2</v>
      </c>
      <c r="U1083">
        <v>-0.44525150000000002</v>
      </c>
      <c r="V1083">
        <v>-2.0139859999999999E-2</v>
      </c>
      <c r="W1083">
        <v>-7.9289650000000003E-2</v>
      </c>
      <c r="X1083">
        <v>0.99664810000000004</v>
      </c>
      <c r="Y1083">
        <v>0.14953039999999901</v>
      </c>
      <c r="Z1083">
        <v>-2.4718159999999999E-3</v>
      </c>
      <c r="AA1083">
        <v>0.98875400000000002</v>
      </c>
      <c r="AB1083">
        <v>28</v>
      </c>
      <c r="AC1083">
        <v>56.733600000000003</v>
      </c>
      <c r="AD1083">
        <v>-1.0677558300000001</v>
      </c>
      <c r="AE1083">
        <v>-8.3890999999999796</v>
      </c>
      <c r="AF1083">
        <v>8.59796691956244</v>
      </c>
      <c r="AG1083">
        <v>-1.0677558300000001</v>
      </c>
      <c r="AH1083">
        <v>56.682222192132201</v>
      </c>
      <c r="AI1083">
        <v>91.066983688574794</v>
      </c>
      <c r="AJ1083">
        <v>81.3747162781697</v>
      </c>
      <c r="AK1083">
        <v>57.3405567665734</v>
      </c>
      <c r="AL1083">
        <v>94.547736207138897</v>
      </c>
      <c r="AM1083">
        <v>91.157652283390803</v>
      </c>
      <c r="AN1083">
        <v>0.99999994889577404</v>
      </c>
    </row>
    <row r="1084" spans="1:40" x14ac:dyDescent="0.25">
      <c r="A1084" t="str">
        <f>"20190305135214255"</f>
        <v>20190305135214255</v>
      </c>
      <c r="B1084" t="str">
        <f>"1551765134250406"</f>
        <v>1551765134250406</v>
      </c>
      <c r="C1084" t="s">
        <v>40</v>
      </c>
      <c r="D1084">
        <v>4.5429789999999999</v>
      </c>
      <c r="E1084">
        <v>0.5659054</v>
      </c>
      <c r="F1084" t="s">
        <v>52</v>
      </c>
      <c r="G1084">
        <v>-180</v>
      </c>
      <c r="H1084">
        <v>3.1304810000000002E-2</v>
      </c>
      <c r="I1084">
        <v>360.12389999999999</v>
      </c>
      <c r="J1084">
        <v>-236.59119999999999</v>
      </c>
      <c r="K1084">
        <v>1.1091629999999999</v>
      </c>
      <c r="L1084">
        <v>368.50400000000002</v>
      </c>
      <c r="M1084">
        <v>0.99989399999999995</v>
      </c>
      <c r="N1084">
        <v>-1.4081E-2</v>
      </c>
      <c r="O1084">
        <v>3.727466E-3</v>
      </c>
      <c r="P1084">
        <v>0.99536089999999999</v>
      </c>
      <c r="Q1084">
        <v>-9.3235509999999994E-2</v>
      </c>
      <c r="R1084">
        <v>2.375188E-2</v>
      </c>
      <c r="S1084">
        <v>3.0193180000000002</v>
      </c>
      <c r="T1084">
        <v>-5.7362679999999999E-2</v>
      </c>
      <c r="U1084">
        <v>-0.4459534</v>
      </c>
      <c r="V1084">
        <v>-2.0046850000000001E-2</v>
      </c>
      <c r="W1084">
        <v>-7.9208130000000002E-2</v>
      </c>
      <c r="X1084">
        <v>0.99665649999999995</v>
      </c>
      <c r="Y1084">
        <v>0.1497552</v>
      </c>
      <c r="Z1084">
        <v>-2.4932539999999999E-3</v>
      </c>
      <c r="AA1084">
        <v>0.98871989999999998</v>
      </c>
      <c r="AB1084">
        <v>28</v>
      </c>
      <c r="AC1084">
        <v>56.591199999999901</v>
      </c>
      <c r="AD1084">
        <v>-1.0778581899999999</v>
      </c>
      <c r="AE1084">
        <v>-8.3801000000000201</v>
      </c>
      <c r="AF1084">
        <v>8.5879558807298704</v>
      </c>
      <c r="AG1084">
        <v>-1.0778581899999999</v>
      </c>
      <c r="AH1084">
        <v>56.539496702106</v>
      </c>
      <c r="AI1084">
        <v>91.079761680261498</v>
      </c>
      <c r="AJ1084">
        <v>81.363187631567698</v>
      </c>
      <c r="AK1084">
        <v>57.198159514223697</v>
      </c>
      <c r="AL1084">
        <v>94.543050524374294</v>
      </c>
      <c r="AM1084">
        <v>91.152297743563807</v>
      </c>
      <c r="AN1084">
        <v>0.99999999152263397</v>
      </c>
    </row>
    <row r="1085" spans="1:40" x14ac:dyDescent="0.25">
      <c r="A1085" t="str">
        <f>"20190305135214268"</f>
        <v>20190305135214268</v>
      </c>
      <c r="B1085" t="str">
        <f>"1551765134260166"</f>
        <v>1551765134260166</v>
      </c>
      <c r="C1085" t="s">
        <v>40</v>
      </c>
      <c r="D1085">
        <v>4.4823719999999998</v>
      </c>
      <c r="E1085">
        <v>0.565986199999999</v>
      </c>
      <c r="F1085" t="s">
        <v>52</v>
      </c>
      <c r="G1085">
        <v>-180</v>
      </c>
      <c r="H1085">
        <v>3.4148789999999998E-2</v>
      </c>
      <c r="I1085">
        <v>360.12990000000002</v>
      </c>
      <c r="J1085">
        <v>-236.42259999999999</v>
      </c>
      <c r="K1085">
        <v>1.109165</v>
      </c>
      <c r="L1085">
        <v>368.50459999999998</v>
      </c>
      <c r="M1085">
        <v>0.99989399999999995</v>
      </c>
      <c r="N1085">
        <v>-1.407929E-2</v>
      </c>
      <c r="O1085">
        <v>3.718411E-3</v>
      </c>
      <c r="P1085">
        <v>0.99536570000000002</v>
      </c>
      <c r="Q1085">
        <v>-9.3226779999999995E-2</v>
      </c>
      <c r="R1085">
        <v>2.3578459999999999E-2</v>
      </c>
      <c r="S1085">
        <v>3.019272</v>
      </c>
      <c r="T1085">
        <v>-5.7354450000000001E-2</v>
      </c>
      <c r="U1085">
        <v>-0.44677729999999999</v>
      </c>
      <c r="V1085">
        <v>-1.9881949999999999E-2</v>
      </c>
      <c r="W1085">
        <v>-7.9201060000000004E-2</v>
      </c>
      <c r="X1085">
        <v>0.9966604</v>
      </c>
      <c r="Y1085">
        <v>0.15001239999999999</v>
      </c>
      <c r="Z1085">
        <v>-2.4971390000000002E-3</v>
      </c>
      <c r="AA1085">
        <v>0.98868100000000003</v>
      </c>
      <c r="AB1085">
        <v>28</v>
      </c>
      <c r="AC1085">
        <v>56.422599999999903</v>
      </c>
      <c r="AD1085">
        <v>-1.07501621</v>
      </c>
      <c r="AE1085">
        <v>-8.3746999999999598</v>
      </c>
      <c r="AF1085">
        <v>8.5814172714976298</v>
      </c>
      <c r="AG1085">
        <v>-1.07501621</v>
      </c>
      <c r="AH1085">
        <v>56.371043804508602</v>
      </c>
      <c r="AI1085">
        <v>91.080078492501102</v>
      </c>
      <c r="AJ1085">
        <v>81.344264500053598</v>
      </c>
      <c r="AK1085">
        <v>57.030614251024403</v>
      </c>
      <c r="AL1085">
        <v>94.542644007890502</v>
      </c>
      <c r="AM1085">
        <v>91.142817305468995</v>
      </c>
      <c r="AN1085">
        <v>1.0000000263845401</v>
      </c>
    </row>
    <row r="1086" spans="1:40" x14ac:dyDescent="0.25">
      <c r="A1086" t="str">
        <f>"20190305135214279"</f>
        <v>20190305135214279</v>
      </c>
      <c r="B1086" t="str">
        <f>"1551765134270901"</f>
        <v>1551765134270901</v>
      </c>
      <c r="C1086" t="s">
        <v>40</v>
      </c>
      <c r="D1086">
        <v>4.5189570000000003</v>
      </c>
      <c r="E1086">
        <v>0.56604219999999905</v>
      </c>
      <c r="F1086" t="s">
        <v>52</v>
      </c>
      <c r="G1086">
        <v>-180</v>
      </c>
      <c r="H1086">
        <v>4.8586959999999998E-2</v>
      </c>
      <c r="I1086">
        <v>360.12759999999997</v>
      </c>
      <c r="J1086">
        <v>-236.27610000000001</v>
      </c>
      <c r="K1086">
        <v>1.1091660000000001</v>
      </c>
      <c r="L1086">
        <v>368.5052</v>
      </c>
      <c r="M1086">
        <v>0.99989410000000001</v>
      </c>
      <c r="N1086">
        <v>-1.407779E-2</v>
      </c>
      <c r="O1086">
        <v>3.7098270000000002E-3</v>
      </c>
      <c r="P1086">
        <v>0.99538329999999997</v>
      </c>
      <c r="Q1086">
        <v>-9.3094759999999999E-2</v>
      </c>
      <c r="R1086">
        <v>2.3360949999999998E-2</v>
      </c>
      <c r="S1086">
        <v>3.0192869999999998</v>
      </c>
      <c r="T1086">
        <v>-5.6753640000000001E-2</v>
      </c>
      <c r="U1086">
        <v>-0.44827270000000002</v>
      </c>
      <c r="V1086">
        <v>-1.9673050000000001E-2</v>
      </c>
      <c r="W1086">
        <v>-7.9070290000000001E-2</v>
      </c>
      <c r="X1086">
        <v>0.99667490000000003</v>
      </c>
      <c r="Y1086">
        <v>0.1504829</v>
      </c>
      <c r="Z1086">
        <v>-2.4891190000000001E-3</v>
      </c>
      <c r="AA1086">
        <v>0.98860950000000003</v>
      </c>
      <c r="AB1086">
        <v>28</v>
      </c>
      <c r="AC1086">
        <v>56.2761</v>
      </c>
      <c r="AD1086">
        <v>-1.0605790399999999</v>
      </c>
      <c r="AE1086">
        <v>-8.3776000000000295</v>
      </c>
      <c r="AF1086">
        <v>8.5833551401512302</v>
      </c>
      <c r="AG1086">
        <v>-1.0605790399999999</v>
      </c>
      <c r="AH1086">
        <v>56.2250935410568</v>
      </c>
      <c r="AI1086">
        <v>91.068273746290004</v>
      </c>
      <c r="AJ1086">
        <v>81.320207562106901</v>
      </c>
      <c r="AK1086">
        <v>56.886377605386599</v>
      </c>
      <c r="AL1086">
        <v>94.535127996406004</v>
      </c>
      <c r="AM1086">
        <v>91.1307963911119</v>
      </c>
      <c r="AN1086">
        <v>0.99999999797349803</v>
      </c>
    </row>
    <row r="1087" spans="1:40" x14ac:dyDescent="0.25">
      <c r="A1087" t="str">
        <f>"20190305135214292"</f>
        <v>20190305135214292</v>
      </c>
      <c r="B1087" t="str">
        <f>"1551765134280662"</f>
        <v>1551765134280662</v>
      </c>
      <c r="C1087" t="s">
        <v>40</v>
      </c>
      <c r="D1087">
        <v>4.4978550000000004</v>
      </c>
      <c r="E1087">
        <v>0.5660849</v>
      </c>
      <c r="F1087" t="s">
        <v>52</v>
      </c>
      <c r="G1087">
        <v>-180</v>
      </c>
      <c r="H1087">
        <v>4.9815560000000002E-2</v>
      </c>
      <c r="I1087">
        <v>360.13240000000002</v>
      </c>
      <c r="J1087">
        <v>-236.1378</v>
      </c>
      <c r="K1087">
        <v>1.1091679999999999</v>
      </c>
      <c r="L1087">
        <v>368.50560000000002</v>
      </c>
      <c r="M1087">
        <v>0.99989410000000001</v>
      </c>
      <c r="N1087">
        <v>-1.407637E-2</v>
      </c>
      <c r="O1087">
        <v>3.7012410000000001E-3</v>
      </c>
      <c r="P1087">
        <v>0.99540340000000005</v>
      </c>
      <c r="Q1087">
        <v>-9.2910770000000004E-2</v>
      </c>
      <c r="R1087">
        <v>2.3234290000000001E-2</v>
      </c>
      <c r="S1087">
        <v>3.0191499999999998</v>
      </c>
      <c r="T1087">
        <v>-5.683303E-2</v>
      </c>
      <c r="U1087">
        <v>-0.44918819999999998</v>
      </c>
      <c r="V1087">
        <v>-1.9554990000000001E-2</v>
      </c>
      <c r="W1087">
        <v>-7.8887399999999996E-2</v>
      </c>
      <c r="X1087">
        <v>0.99669169999999996</v>
      </c>
      <c r="Y1087">
        <v>0.15077409999999999</v>
      </c>
      <c r="Z1087">
        <v>-2.4958860000000001E-3</v>
      </c>
      <c r="AA1087">
        <v>0.98856509999999997</v>
      </c>
      <c r="AB1087">
        <v>28</v>
      </c>
      <c r="AC1087">
        <v>56.137799999999999</v>
      </c>
      <c r="AD1087">
        <v>-1.0593524399999901</v>
      </c>
      <c r="AE1087">
        <v>-8.37319999999999</v>
      </c>
      <c r="AF1087">
        <v>8.5779546248789096</v>
      </c>
      <c r="AG1087">
        <v>-1.0593524399999901</v>
      </c>
      <c r="AH1087">
        <v>56.086883302467697</v>
      </c>
      <c r="AI1087">
        <v>91.0696226435266</v>
      </c>
      <c r="AJ1087">
        <v>81.304536344018302</v>
      </c>
      <c r="AK1087">
        <v>56.748938419350601</v>
      </c>
      <c r="AL1087">
        <v>94.524616407503999</v>
      </c>
      <c r="AM1087">
        <v>91.123993170446695</v>
      </c>
      <c r="AN1087">
        <v>0.99999998218077402</v>
      </c>
    </row>
    <row r="1088" spans="1:40" x14ac:dyDescent="0.25">
      <c r="A1088" t="str">
        <f>"20190305135214304"</f>
        <v>20190305135214304</v>
      </c>
      <c r="B1088" t="str">
        <f>"1551765134300182"</f>
        <v>1551765134300182</v>
      </c>
      <c r="C1088" t="s">
        <v>40</v>
      </c>
      <c r="D1088">
        <v>4.4820849999999997</v>
      </c>
      <c r="E1088">
        <v>0.56626589999999999</v>
      </c>
      <c r="F1088" t="s">
        <v>52</v>
      </c>
      <c r="G1088">
        <v>-179.99639999999999</v>
      </c>
      <c r="H1088">
        <v>5.3650610000000001E-2</v>
      </c>
      <c r="I1088">
        <v>360.13850000000002</v>
      </c>
      <c r="J1088">
        <v>-235.9853</v>
      </c>
      <c r="K1088">
        <v>1.109167</v>
      </c>
      <c r="L1088">
        <v>368.50619999999998</v>
      </c>
      <c r="M1088">
        <v>0.99989419999999996</v>
      </c>
      <c r="N1088">
        <v>-1.40747999999999E-2</v>
      </c>
      <c r="O1088">
        <v>3.6911629999999999E-3</v>
      </c>
      <c r="P1088">
        <v>0.99542569999999997</v>
      </c>
      <c r="Q1088">
        <v>-9.2691800000000005E-2</v>
      </c>
      <c r="R1088">
        <v>2.3153119999999999E-2</v>
      </c>
      <c r="S1088">
        <v>3.0190730000000001</v>
      </c>
      <c r="T1088">
        <v>-5.6761619999999999E-2</v>
      </c>
      <c r="U1088">
        <v>-0.4499512</v>
      </c>
      <c r="V1088">
        <v>-1.9484040000000001E-2</v>
      </c>
      <c r="W1088">
        <v>-7.866969E-2</v>
      </c>
      <c r="X1088">
        <v>0.99671030000000005</v>
      </c>
      <c r="Y1088">
        <v>0.15101220000000001</v>
      </c>
      <c r="Z1088">
        <v>-2.497806E-3</v>
      </c>
      <c r="AA1088">
        <v>0.98852870000000004</v>
      </c>
      <c r="AB1088">
        <v>28</v>
      </c>
      <c r="AC1088">
        <v>55.988900000000001</v>
      </c>
      <c r="AD1088">
        <v>-1.05551639</v>
      </c>
      <c r="AE1088">
        <v>-8.3676999999999495</v>
      </c>
      <c r="AF1088">
        <v>8.5713478386265294</v>
      </c>
      <c r="AG1088">
        <v>-1.05551639</v>
      </c>
      <c r="AH1088">
        <v>55.938182437682997</v>
      </c>
      <c r="AI1088">
        <v>91.068536640069496</v>
      </c>
      <c r="AJ1088">
        <v>81.288387589844106</v>
      </c>
      <c r="AK1088">
        <v>56.600904348356401</v>
      </c>
      <c r="AL1088">
        <v>94.512103642332804</v>
      </c>
      <c r="AM1088">
        <v>91.119895211433004</v>
      </c>
      <c r="AN1088">
        <v>0.999999985032753</v>
      </c>
    </row>
    <row r="1089" spans="1:40" x14ac:dyDescent="0.25">
      <c r="A1089" t="str">
        <f>"20190305135214318"</f>
        <v>20190305135214318</v>
      </c>
      <c r="B1089" t="str">
        <f>"1551765134310921"</f>
        <v>1551765134310921</v>
      </c>
      <c r="C1089" t="s">
        <v>40</v>
      </c>
      <c r="D1089">
        <v>4.4687929999999998</v>
      </c>
      <c r="E1089">
        <v>0.56637079999999995</v>
      </c>
      <c r="F1089" t="s">
        <v>52</v>
      </c>
      <c r="G1089">
        <v>-179.98689999999999</v>
      </c>
      <c r="H1089">
        <v>6.3127429999999998E-2</v>
      </c>
      <c r="I1089">
        <v>360.1275</v>
      </c>
      <c r="J1089">
        <v>-235.80549999999999</v>
      </c>
      <c r="K1089">
        <v>1.109165</v>
      </c>
      <c r="L1089">
        <v>368.5068</v>
      </c>
      <c r="M1089">
        <v>0.99989430000000001</v>
      </c>
      <c r="N1089">
        <v>-1.4072940000000001E-2</v>
      </c>
      <c r="O1089">
        <v>3.678522E-3</v>
      </c>
      <c r="P1089">
        <v>0.99542980000000003</v>
      </c>
      <c r="Q1089">
        <v>-9.2747579999999996E-2</v>
      </c>
      <c r="R1089">
        <v>2.2755569999999999E-2</v>
      </c>
      <c r="S1089">
        <v>3.0190579999999998</v>
      </c>
      <c r="T1089">
        <v>-5.639541E-2</v>
      </c>
      <c r="U1089">
        <v>-0.45172119999999999</v>
      </c>
      <c r="V1089">
        <v>-1.9099459999999999E-2</v>
      </c>
      <c r="W1089">
        <v>-7.8727259999999993E-2</v>
      </c>
      <c r="X1089">
        <v>0.99671319999999997</v>
      </c>
      <c r="Y1089">
        <v>0.1515676</v>
      </c>
      <c r="Z1089">
        <v>-2.4971419999999999E-3</v>
      </c>
      <c r="AA1089">
        <v>0.98844370000000004</v>
      </c>
      <c r="AB1089">
        <v>28</v>
      </c>
      <c r="AC1089">
        <v>55.818600000000004</v>
      </c>
      <c r="AD1089">
        <v>-1.04603757</v>
      </c>
      <c r="AE1089">
        <v>-8.3793000000000006</v>
      </c>
      <c r="AF1089">
        <v>8.5816462280273704</v>
      </c>
      <c r="AG1089">
        <v>-1.04603757</v>
      </c>
      <c r="AH1089">
        <v>55.768242397852298</v>
      </c>
      <c r="AI1089">
        <v>91.062065422543995</v>
      </c>
      <c r="AJ1089">
        <v>81.251914149960498</v>
      </c>
      <c r="AK1089">
        <v>56.434348642705899</v>
      </c>
      <c r="AL1089">
        <v>94.515412414046097</v>
      </c>
      <c r="AM1089">
        <v>91.097792759427506</v>
      </c>
      <c r="AN1089">
        <v>0.99999998694681902</v>
      </c>
    </row>
    <row r="1090" spans="1:40" x14ac:dyDescent="0.25">
      <c r="A1090" t="str">
        <f>"20190305135214332"</f>
        <v>20190305135214332</v>
      </c>
      <c r="B1090" t="str">
        <f>"1551765134320678"</f>
        <v>1551765134320678</v>
      </c>
      <c r="C1090" t="s">
        <v>40</v>
      </c>
      <c r="D1090">
        <v>4.5021069999999996</v>
      </c>
      <c r="E1090">
        <v>0.56647899999999995</v>
      </c>
      <c r="F1090" t="s">
        <v>52</v>
      </c>
      <c r="G1090">
        <v>-179.9915</v>
      </c>
      <c r="H1090">
        <v>5.8487560000000001E-2</v>
      </c>
      <c r="I1090">
        <v>360.11630000000002</v>
      </c>
      <c r="J1090">
        <v>-235.64080000000001</v>
      </c>
      <c r="K1090">
        <v>1.109165</v>
      </c>
      <c r="L1090">
        <v>368.50740000000002</v>
      </c>
      <c r="M1090">
        <v>0.99989439999999996</v>
      </c>
      <c r="N1090">
        <v>-1.407124E-2</v>
      </c>
      <c r="O1090">
        <v>3.6660590000000002E-3</v>
      </c>
      <c r="P1090">
        <v>0.99543329999999997</v>
      </c>
      <c r="Q1090">
        <v>-9.2737410000000006E-2</v>
      </c>
      <c r="R1090">
        <v>2.263911E-2</v>
      </c>
      <c r="S1090">
        <v>3.0188600000000001</v>
      </c>
      <c r="T1090">
        <v>-5.6828980000000001E-2</v>
      </c>
      <c r="U1090">
        <v>-0.45382689999999998</v>
      </c>
      <c r="V1090">
        <v>-1.8995390000000001E-2</v>
      </c>
      <c r="W1090">
        <v>-7.8718709999999997E-2</v>
      </c>
      <c r="X1090">
        <v>0.99671589999999999</v>
      </c>
      <c r="Y1090">
        <v>0.15223829999999999</v>
      </c>
      <c r="Z1090">
        <v>-2.519407E-3</v>
      </c>
      <c r="AA1090">
        <v>0.98834060000000001</v>
      </c>
      <c r="AB1090">
        <v>28</v>
      </c>
      <c r="AC1090">
        <v>55.649299999999997</v>
      </c>
      <c r="AD1090">
        <v>-1.0506774400000001</v>
      </c>
      <c r="AE1090">
        <v>-8.3910999999999891</v>
      </c>
      <c r="AF1090">
        <v>8.5920826862158002</v>
      </c>
      <c r="AG1090">
        <v>-1.0506774400000001</v>
      </c>
      <c r="AH1090">
        <v>55.598782112592801</v>
      </c>
      <c r="AI1090">
        <v>91.069920167031199</v>
      </c>
      <c r="AJ1090">
        <v>81.215160608892802</v>
      </c>
      <c r="AK1090">
        <v>56.268573647936599</v>
      </c>
      <c r="AL1090">
        <v>94.514920848178093</v>
      </c>
      <c r="AM1090">
        <v>91.091809551695604</v>
      </c>
      <c r="AN1090">
        <v>1.00000002272906</v>
      </c>
    </row>
    <row r="1091" spans="1:40" x14ac:dyDescent="0.25">
      <c r="A1091" t="str">
        <f>"20190305135214347"</f>
        <v>20190305135214347</v>
      </c>
      <c r="B1091" t="str">
        <f>"1551765134340198"</f>
        <v>1551765134340198</v>
      </c>
      <c r="C1091" t="s">
        <v>40</v>
      </c>
      <c r="D1091">
        <v>4.2361420000000001</v>
      </c>
      <c r="E1091">
        <v>0.56665239999999995</v>
      </c>
      <c r="F1091" t="s">
        <v>52</v>
      </c>
      <c r="G1091">
        <v>-179.9939</v>
      </c>
      <c r="H1091">
        <v>5.612222E-2</v>
      </c>
      <c r="I1091">
        <v>360.1182</v>
      </c>
      <c r="J1091">
        <v>-235.4598</v>
      </c>
      <c r="K1091">
        <v>1.1091629999999999</v>
      </c>
      <c r="L1091">
        <v>368.50810000000001</v>
      </c>
      <c r="M1091">
        <v>0.99989439999999996</v>
      </c>
      <c r="N1091">
        <v>-1.406936E-2</v>
      </c>
      <c r="O1091">
        <v>3.651269E-3</v>
      </c>
      <c r="P1091">
        <v>0.9954172</v>
      </c>
      <c r="Q1091">
        <v>-9.2987429999999996E-2</v>
      </c>
      <c r="R1091">
        <v>2.231066E-2</v>
      </c>
      <c r="S1091">
        <v>3.018799</v>
      </c>
      <c r="T1091">
        <v>-5.7126639999999999E-2</v>
      </c>
      <c r="U1091">
        <v>-0.45510859999999898</v>
      </c>
      <c r="V1091">
        <v>-1.8682279999999999E-2</v>
      </c>
      <c r="W1091">
        <v>-7.8970780000000004E-2</v>
      </c>
      <c r="X1091">
        <v>0.99670179999999997</v>
      </c>
      <c r="Y1091">
        <v>0.15263640000000001</v>
      </c>
      <c r="Z1091">
        <v>-2.5336030000000002E-3</v>
      </c>
      <c r="AA1091">
        <v>0.98827920000000002</v>
      </c>
      <c r="AB1091">
        <v>28</v>
      </c>
      <c r="AC1091">
        <v>55.465899999999998</v>
      </c>
      <c r="AD1091">
        <v>-1.0530407799999999</v>
      </c>
      <c r="AE1091">
        <v>-8.3899000000000097</v>
      </c>
      <c r="AF1091">
        <v>8.5893582886084801</v>
      </c>
      <c r="AG1091">
        <v>-1.0530407799999999</v>
      </c>
      <c r="AH1091">
        <v>55.415366018404498</v>
      </c>
      <c r="AI1091">
        <v>91.0757994644636</v>
      </c>
      <c r="AJ1091">
        <v>81.1892906850982</v>
      </c>
      <c r="AK1091">
        <v>56.0869749732339</v>
      </c>
      <c r="AL1091">
        <v>94.529408849668002</v>
      </c>
      <c r="AM1091">
        <v>91.073832174936598</v>
      </c>
      <c r="AN1091">
        <v>0.999999944901521</v>
      </c>
    </row>
    <row r="1092" spans="1:40" x14ac:dyDescent="0.25">
      <c r="A1092" t="str">
        <f>"20190305135214364"</f>
        <v>20190305135214364</v>
      </c>
      <c r="B1092" t="str">
        <f>"1551765134360694"</f>
        <v>1551765134360694</v>
      </c>
      <c r="C1092" t="s">
        <v>40</v>
      </c>
      <c r="D1092">
        <v>4.4424049999999999</v>
      </c>
      <c r="E1092">
        <v>0.56686409999999998</v>
      </c>
      <c r="F1092" t="s">
        <v>52</v>
      </c>
      <c r="G1092">
        <v>-179.9965</v>
      </c>
      <c r="H1092">
        <v>5.3490940000000001E-2</v>
      </c>
      <c r="I1092">
        <v>360.10469999999998</v>
      </c>
      <c r="J1092">
        <v>-235.24359999999999</v>
      </c>
      <c r="K1092">
        <v>1.1091599999999999</v>
      </c>
      <c r="L1092">
        <v>368.50889999999998</v>
      </c>
      <c r="M1092">
        <v>0.99989450000000002</v>
      </c>
      <c r="N1092">
        <v>-1.4067039999999999E-2</v>
      </c>
      <c r="O1092">
        <v>3.6313460000000001E-3</v>
      </c>
      <c r="P1092">
        <v>0.99541190000000002</v>
      </c>
      <c r="Q1092">
        <v>-9.3140310000000004E-2</v>
      </c>
      <c r="R1092">
        <v>2.1911859999999998E-2</v>
      </c>
      <c r="S1092">
        <v>3.0186920000000002</v>
      </c>
      <c r="T1092">
        <v>-5.7456849999999997E-2</v>
      </c>
      <c r="U1092">
        <v>-0.45736690000000002</v>
      </c>
      <c r="V1092">
        <v>-1.830327E-2</v>
      </c>
      <c r="W1092">
        <v>-7.9126020000000005E-2</v>
      </c>
      <c r="X1092">
        <v>0.99669660000000004</v>
      </c>
      <c r="Y1092">
        <v>0.15334400000000001</v>
      </c>
      <c r="Z1092">
        <v>-2.5537659999999998E-3</v>
      </c>
      <c r="AA1092">
        <v>0.98816959999999998</v>
      </c>
      <c r="AB1092">
        <v>28</v>
      </c>
      <c r="AC1092">
        <v>55.247099999999897</v>
      </c>
      <c r="AD1092">
        <v>-1.05566906</v>
      </c>
      <c r="AE1092">
        <v>-8.4041999999999994</v>
      </c>
      <c r="AF1092">
        <v>8.6017161245911709</v>
      </c>
      <c r="AG1092">
        <v>-1.05566906</v>
      </c>
      <c r="AH1092">
        <v>55.196516502127302</v>
      </c>
      <c r="AI1092">
        <v>91.0826212701879</v>
      </c>
      <c r="AJ1092">
        <v>81.142384172908393</v>
      </c>
      <c r="AK1092">
        <v>55.8727070350266</v>
      </c>
      <c r="AL1092">
        <v>94.538331005087201</v>
      </c>
      <c r="AM1092">
        <v>91.052057627505704</v>
      </c>
      <c r="AN1092">
        <v>1.0000000245926399</v>
      </c>
    </row>
    <row r="1093" spans="1:40" x14ac:dyDescent="0.25">
      <c r="A1093" t="str">
        <f>"20190305135214387"</f>
        <v>20190305135214387</v>
      </c>
      <c r="B1093" t="str">
        <f>"1551765134380214"</f>
        <v>1551765134380214</v>
      </c>
      <c r="C1093" t="s">
        <v>40</v>
      </c>
      <c r="D1093">
        <v>4.5983729999999996</v>
      </c>
      <c r="E1093">
        <v>0.56697540000000002</v>
      </c>
      <c r="F1093" t="s">
        <v>52</v>
      </c>
      <c r="G1093">
        <v>-179.9838</v>
      </c>
      <c r="H1093">
        <v>6.6199820000000006E-2</v>
      </c>
      <c r="I1093">
        <v>360.07870000000003</v>
      </c>
      <c r="J1093">
        <v>-234.97300000000001</v>
      </c>
      <c r="K1093">
        <v>1.109154</v>
      </c>
      <c r="L1093">
        <v>368.50979999999998</v>
      </c>
      <c r="M1093">
        <v>0.99989459999999997</v>
      </c>
      <c r="N1093">
        <v>-1.406424E-2</v>
      </c>
      <c r="O1093">
        <v>3.6016899999999998E-3</v>
      </c>
      <c r="P1093">
        <v>0.99542750000000002</v>
      </c>
      <c r="Q1093">
        <v>-9.3079529999999994E-2</v>
      </c>
      <c r="R1093">
        <v>2.1456070000000001E-2</v>
      </c>
      <c r="S1093">
        <v>3.0186459999999999</v>
      </c>
      <c r="T1093">
        <v>-5.6973219999999998E-2</v>
      </c>
      <c r="U1093">
        <v>-0.46051029999999998</v>
      </c>
      <c r="V1093">
        <v>-1.7877520000000001E-2</v>
      </c>
      <c r="W1093">
        <v>-7.9067750000000006E-2</v>
      </c>
      <c r="X1093">
        <v>0.99670890000000001</v>
      </c>
      <c r="Y1093">
        <v>0.15432290000000001</v>
      </c>
      <c r="Z1093">
        <v>-2.5567279999999999E-3</v>
      </c>
      <c r="AA1093">
        <v>0.98801709999999998</v>
      </c>
      <c r="AB1093">
        <v>28</v>
      </c>
      <c r="AC1093">
        <v>54.989199999999897</v>
      </c>
      <c r="AD1093">
        <v>-1.04295418</v>
      </c>
      <c r="AE1093">
        <v>-8.4310999999999492</v>
      </c>
      <c r="AF1093">
        <v>8.6260871637091601</v>
      </c>
      <c r="AG1093">
        <v>-1.04295418</v>
      </c>
      <c r="AH1093">
        <v>54.939164751948397</v>
      </c>
      <c r="AI1093">
        <v>91.074401404678596</v>
      </c>
      <c r="AJ1093">
        <v>81.076748271948503</v>
      </c>
      <c r="AK1093">
        <v>55.6220186330847</v>
      </c>
      <c r="AL1093">
        <v>94.534982121206397</v>
      </c>
      <c r="AM1093">
        <v>91.027578482327201</v>
      </c>
      <c r="AN1093">
        <v>0.99999997307531097</v>
      </c>
    </row>
    <row r="1094" spans="1:40" x14ac:dyDescent="0.25">
      <c r="A1094" t="str">
        <f>"20190305135214398"</f>
        <v>20190305135214398</v>
      </c>
      <c r="B1094" t="str">
        <f>"1551765134390950"</f>
        <v>1551765134390950</v>
      </c>
      <c r="C1094" t="s">
        <v>40</v>
      </c>
      <c r="D1094">
        <v>5.4926430000000002</v>
      </c>
      <c r="E1094">
        <v>0.56150459999999902</v>
      </c>
      <c r="F1094" t="s">
        <v>52</v>
      </c>
      <c r="G1094">
        <v>-179.80840000000001</v>
      </c>
      <c r="H1094">
        <v>7.9987879999999997E-2</v>
      </c>
      <c r="I1094">
        <v>360.05739999999997</v>
      </c>
      <c r="J1094">
        <v>-234.8143</v>
      </c>
      <c r="K1094">
        <v>1.109151</v>
      </c>
      <c r="L1094">
        <v>368.51029999999997</v>
      </c>
      <c r="M1094">
        <v>0.99989490000000003</v>
      </c>
      <c r="N1094">
        <v>-1.406259E-2</v>
      </c>
      <c r="O1094">
        <v>3.5801330000000001E-3</v>
      </c>
      <c r="P1094">
        <v>0.99542249999999999</v>
      </c>
      <c r="Q1094">
        <v>-9.3170119999999995E-2</v>
      </c>
      <c r="R1094">
        <v>2.1305709999999999E-2</v>
      </c>
      <c r="S1094">
        <v>3.018478</v>
      </c>
      <c r="T1094">
        <v>-5.6313630000000003E-2</v>
      </c>
      <c r="U1094">
        <v>-0.46249390000000001</v>
      </c>
      <c r="V1094">
        <v>-1.7749540000000001E-2</v>
      </c>
      <c r="W1094">
        <v>-7.9159939999999998E-2</v>
      </c>
      <c r="X1094">
        <v>0.99670389999999998</v>
      </c>
      <c r="Y1094">
        <v>0.1549449</v>
      </c>
      <c r="Z1094">
        <v>-2.5491950000000002E-3</v>
      </c>
      <c r="AA1094">
        <v>0.98791980000000001</v>
      </c>
      <c r="AB1094">
        <v>28</v>
      </c>
      <c r="AC1094">
        <v>55.005899999999997</v>
      </c>
      <c r="AD1094">
        <v>-1.02916312</v>
      </c>
      <c r="AE1094">
        <v>-8.4528999999999996</v>
      </c>
      <c r="AF1094">
        <v>8.6468365622284296</v>
      </c>
      <c r="AG1094">
        <v>-1.02916312</v>
      </c>
      <c r="AH1094">
        <v>54.956487364263999</v>
      </c>
      <c r="AI1094">
        <v>91.059810355403002</v>
      </c>
      <c r="AJ1094">
        <v>81.058404443911101</v>
      </c>
      <c r="AK1094">
        <v>55.642092544044097</v>
      </c>
      <c r="AL1094">
        <v>94.540280690202096</v>
      </c>
      <c r="AM1094">
        <v>91.0202290222079</v>
      </c>
      <c r="AN1094">
        <v>1.00000000327311</v>
      </c>
    </row>
    <row r="1095" spans="1:40" x14ac:dyDescent="0.25">
      <c r="A1095" t="str">
        <f>"20190305135214410"</f>
        <v>20190305135214410</v>
      </c>
      <c r="B1095" t="str">
        <f>"1551765134400710"</f>
        <v>1551765134400710</v>
      </c>
      <c r="C1095" t="s">
        <v>40</v>
      </c>
      <c r="D1095">
        <v>4.5850980000000003</v>
      </c>
      <c r="E1095">
        <v>0.56107869999999904</v>
      </c>
      <c r="F1095" t="s">
        <v>42</v>
      </c>
      <c r="G1095">
        <v>-216.07060000000001</v>
      </c>
      <c r="H1095" s="1">
        <v>-2.332581E-6</v>
      </c>
      <c r="I1095">
        <v>365.87</v>
      </c>
      <c r="J1095">
        <v>-234.6772</v>
      </c>
      <c r="K1095">
        <v>1.109154</v>
      </c>
      <c r="L1095">
        <v>368.51080000000002</v>
      </c>
      <c r="M1095">
        <v>0.99989499999999998</v>
      </c>
      <c r="N1095">
        <v>-1.406116E-2</v>
      </c>
      <c r="O1095">
        <v>3.5597099999999998E-3</v>
      </c>
      <c r="P1095">
        <v>0.99544909999999998</v>
      </c>
      <c r="Q1095">
        <v>-9.2899499999999996E-2</v>
      </c>
      <c r="R1095">
        <v>2.1238880000000002E-2</v>
      </c>
      <c r="S1095">
        <v>3.006195</v>
      </c>
      <c r="T1095">
        <v>-0.177890299999999</v>
      </c>
      <c r="U1095">
        <v>-0.4234619</v>
      </c>
      <c r="V1095">
        <v>-1.7703340000000001E-2</v>
      </c>
      <c r="W1095">
        <v>-7.8890279999999993E-2</v>
      </c>
      <c r="X1095">
        <v>0.99672609999999995</v>
      </c>
      <c r="Y1095">
        <v>0.14270279999999999</v>
      </c>
      <c r="Z1095">
        <v>-5.366829E-3</v>
      </c>
      <c r="AA1095">
        <v>0.98975100000000005</v>
      </c>
      <c r="AB1095">
        <v>28</v>
      </c>
      <c r="AC1095">
        <v>18.606599999999901</v>
      </c>
      <c r="AD1095">
        <v>-1.1091563325810001</v>
      </c>
      <c r="AE1095">
        <v>-2.6408000000000098</v>
      </c>
      <c r="AF1095">
        <v>2.69762727092299</v>
      </c>
      <c r="AG1095">
        <v>-1.1091563325810001</v>
      </c>
      <c r="AH1095">
        <v>18.532526434760999</v>
      </c>
      <c r="AI1095">
        <v>93.389384663556797</v>
      </c>
      <c r="AJ1095">
        <v>81.718091277074194</v>
      </c>
      <c r="AK1095">
        <v>18.760649155027899</v>
      </c>
      <c r="AL1095">
        <v>94.524781847755605</v>
      </c>
      <c r="AM1095">
        <v>91.017551383563401</v>
      </c>
      <c r="AN1095">
        <v>1.0000000014734201</v>
      </c>
    </row>
    <row r="1096" spans="1:40" x14ac:dyDescent="0.25">
      <c r="A1096" t="str">
        <f>"20190305135214421"</f>
        <v>20190305135214421</v>
      </c>
      <c r="B1096" t="str">
        <f>"1551765134410471"</f>
        <v>1551765134410471</v>
      </c>
      <c r="C1096" t="s">
        <v>40</v>
      </c>
      <c r="D1096">
        <v>4.5728039999999996</v>
      </c>
      <c r="E1096">
        <v>0.56120509999999901</v>
      </c>
      <c r="F1096" t="s">
        <v>42</v>
      </c>
      <c r="G1096">
        <v>-216.14240000000001</v>
      </c>
      <c r="H1096" s="1">
        <v>-2.293255E-6</v>
      </c>
      <c r="I1096">
        <v>365.91809999999998</v>
      </c>
      <c r="J1096">
        <v>-234.53720000000001</v>
      </c>
      <c r="K1096">
        <v>1.1091530000000001</v>
      </c>
      <c r="L1096">
        <v>368.51130000000001</v>
      </c>
      <c r="M1096">
        <v>0.99989490000000003</v>
      </c>
      <c r="N1096">
        <v>-1.405971E-2</v>
      </c>
      <c r="O1096">
        <v>3.5373150000000001E-3</v>
      </c>
      <c r="P1096">
        <v>0.99545950000000005</v>
      </c>
      <c r="Q1096">
        <v>-9.2803780000000002E-2</v>
      </c>
      <c r="R1096">
        <v>2.116121E-2</v>
      </c>
      <c r="S1096">
        <v>3.00589</v>
      </c>
      <c r="T1096">
        <v>-0.17987700000000001</v>
      </c>
      <c r="U1096">
        <v>-0.42047119999999999</v>
      </c>
      <c r="V1096">
        <v>-1.7648819999999999E-2</v>
      </c>
      <c r="W1096">
        <v>-7.8795770000000001E-2</v>
      </c>
      <c r="X1096">
        <v>0.99673460000000003</v>
      </c>
      <c r="Y1096">
        <v>0.141724499999999</v>
      </c>
      <c r="Z1096">
        <v>-5.3795290000000001E-3</v>
      </c>
      <c r="AA1096">
        <v>0.98989150000000004</v>
      </c>
      <c r="AB1096">
        <v>27</v>
      </c>
      <c r="AC1096">
        <v>18.3948</v>
      </c>
      <c r="AD1096">
        <v>-1.109155293255</v>
      </c>
      <c r="AE1096">
        <v>-2.5932000000000199</v>
      </c>
      <c r="AF1096">
        <v>2.6488156275632999</v>
      </c>
      <c r="AG1096">
        <v>-1.109155293255</v>
      </c>
      <c r="AH1096">
        <v>18.3202012209874</v>
      </c>
      <c r="AI1096">
        <v>93.429045162624504</v>
      </c>
      <c r="AJ1096">
        <v>81.772934932663006</v>
      </c>
      <c r="AK1096">
        <v>18.543899872217999</v>
      </c>
      <c r="AL1096">
        <v>94.519349655884696</v>
      </c>
      <c r="AM1096">
        <v>91.014409693520093</v>
      </c>
      <c r="AN1096">
        <v>1.00000005852722</v>
      </c>
    </row>
    <row r="1097" spans="1:40" x14ac:dyDescent="0.25">
      <c r="A1097" t="str">
        <f>"20190305135214433"</f>
        <v>20190305135214433</v>
      </c>
      <c r="B1097" t="str">
        <f>"1551765134430966"</f>
        <v>1551765134430966</v>
      </c>
      <c r="C1097" t="s">
        <v>40</v>
      </c>
      <c r="D1097">
        <v>4.5696830000000004</v>
      </c>
      <c r="E1097">
        <v>0.56171979999999999</v>
      </c>
      <c r="F1097" t="s">
        <v>42</v>
      </c>
      <c r="G1097">
        <v>-215.99289999999999</v>
      </c>
      <c r="H1097" s="1">
        <v>-2.358502E-6</v>
      </c>
      <c r="I1097">
        <v>365.91180000000003</v>
      </c>
      <c r="J1097">
        <v>-234.3948</v>
      </c>
      <c r="K1097">
        <v>1.1091530000000001</v>
      </c>
      <c r="L1097">
        <v>368.51170000000002</v>
      </c>
      <c r="M1097">
        <v>0.99989499999999998</v>
      </c>
      <c r="N1097">
        <v>-1.405823E-2</v>
      </c>
      <c r="O1097">
        <v>3.5098379999999999E-3</v>
      </c>
      <c r="P1097">
        <v>0.99547220000000003</v>
      </c>
      <c r="Q1097">
        <v>-9.2678899999999995E-2</v>
      </c>
      <c r="R1097">
        <v>2.111588E-2</v>
      </c>
      <c r="S1097">
        <v>3.0058750000000001</v>
      </c>
      <c r="T1097">
        <v>-0.17978420000000001</v>
      </c>
      <c r="U1097">
        <v>-0.42135620000000001</v>
      </c>
      <c r="V1097">
        <v>-1.7631399999999998E-2</v>
      </c>
      <c r="W1097">
        <v>-7.8671980000000002E-2</v>
      </c>
      <c r="X1097">
        <v>0.99674459999999998</v>
      </c>
      <c r="Y1097">
        <v>0.14198369999999999</v>
      </c>
      <c r="Z1097">
        <v>-5.3853900000000003E-3</v>
      </c>
      <c r="AA1097">
        <v>0.98985429999999996</v>
      </c>
      <c r="AB1097">
        <v>27</v>
      </c>
      <c r="AC1097">
        <v>18.401900000000001</v>
      </c>
      <c r="AD1097">
        <v>-1.109155358502</v>
      </c>
      <c r="AE1097">
        <v>-2.5998999999999901</v>
      </c>
      <c r="AF1097">
        <v>2.65502126483717</v>
      </c>
      <c r="AG1097">
        <v>-1.109155358502</v>
      </c>
      <c r="AH1097">
        <v>18.327381099659501</v>
      </c>
      <c r="AI1097">
        <v>93.427568541829999</v>
      </c>
      <c r="AJ1097">
        <v>81.757111400916003</v>
      </c>
      <c r="AK1097">
        <v>18.5518802685385</v>
      </c>
      <c r="AL1097">
        <v>94.512235315769601</v>
      </c>
      <c r="AM1097">
        <v>91.013398479672205</v>
      </c>
      <c r="AN1097">
        <v>0.99999997216611902</v>
      </c>
    </row>
    <row r="1098" spans="1:40" x14ac:dyDescent="0.25">
      <c r="A1098" t="str">
        <f>"20190305135214452"</f>
        <v>20190305135214452</v>
      </c>
      <c r="B1098" t="str">
        <f>"1551765134440726"</f>
        <v>1551765134440726</v>
      </c>
      <c r="C1098" t="s">
        <v>40</v>
      </c>
      <c r="D1098">
        <v>7.1019180000000004</v>
      </c>
      <c r="E1098">
        <v>0.56190359999999995</v>
      </c>
      <c r="F1098" t="s">
        <v>42</v>
      </c>
      <c r="G1098">
        <v>-215.64840000000001</v>
      </c>
      <c r="H1098" s="1">
        <v>-2.5161150000000001E-6</v>
      </c>
      <c r="I1098">
        <v>365.85629999999998</v>
      </c>
      <c r="J1098">
        <v>-234.16</v>
      </c>
      <c r="K1098">
        <v>1.109143</v>
      </c>
      <c r="L1098">
        <v>368.51260000000002</v>
      </c>
      <c r="M1098">
        <v>0.99989539999999999</v>
      </c>
      <c r="N1098">
        <v>-1.405582E-2</v>
      </c>
      <c r="O1098">
        <v>3.45619E-3</v>
      </c>
      <c r="P1098">
        <v>0.99548749999999997</v>
      </c>
      <c r="Q1098">
        <v>-9.2558020000000005E-2</v>
      </c>
      <c r="R1098">
        <v>2.0932010000000001E-2</v>
      </c>
      <c r="S1098">
        <v>3.006119</v>
      </c>
      <c r="T1098">
        <v>-0.17786070000000001</v>
      </c>
      <c r="U1098">
        <v>-0.42581180000000002</v>
      </c>
      <c r="V1098">
        <v>-1.7502770000000001E-2</v>
      </c>
      <c r="W1098">
        <v>-7.8552999999999998E-2</v>
      </c>
      <c r="X1098">
        <v>0.99675630000000004</v>
      </c>
      <c r="Y1098">
        <v>0.14336119999999999</v>
      </c>
      <c r="Z1098">
        <v>-5.385038E-3</v>
      </c>
      <c r="AA1098">
        <v>0.98965579999999997</v>
      </c>
      <c r="AB1098">
        <v>27</v>
      </c>
      <c r="AC1098">
        <v>18.511599999999898</v>
      </c>
      <c r="AD1098">
        <v>-1.1091455161149999</v>
      </c>
      <c r="AE1098">
        <v>-2.6563000000000399</v>
      </c>
      <c r="AF1098">
        <v>2.7107349616569398</v>
      </c>
      <c r="AG1098">
        <v>-1.1091455161149999</v>
      </c>
      <c r="AH1098">
        <v>18.4374535627298</v>
      </c>
      <c r="AI1098">
        <v>93.406076460600204</v>
      </c>
      <c r="AJ1098">
        <v>81.636107076131594</v>
      </c>
      <c r="AK1098">
        <v>18.668636310295501</v>
      </c>
      <c r="AL1098">
        <v>94.505396879884799</v>
      </c>
      <c r="AM1098">
        <v>91.005994942924701</v>
      </c>
      <c r="AN1098">
        <v>1.0000000211781801</v>
      </c>
    </row>
    <row r="1099" spans="1:40" x14ac:dyDescent="0.25">
      <c r="A1099" t="str">
        <f>"20190305135214464"</f>
        <v>20190305135214464</v>
      </c>
      <c r="B1099" t="str">
        <f>"1551765134460247"</f>
        <v>1551765134460247</v>
      </c>
      <c r="C1099" t="s">
        <v>40</v>
      </c>
      <c r="D1099">
        <v>6.3477110000000003</v>
      </c>
      <c r="E1099">
        <v>0.56238140000000003</v>
      </c>
      <c r="F1099" t="s">
        <v>42</v>
      </c>
      <c r="G1099">
        <v>-215.35040000000001</v>
      </c>
      <c r="H1099" s="1">
        <v>-2.647289E-6</v>
      </c>
      <c r="I1099">
        <v>365.83749999999998</v>
      </c>
      <c r="J1099">
        <v>-234.01070000000001</v>
      </c>
      <c r="K1099">
        <v>1.109138</v>
      </c>
      <c r="L1099">
        <v>368.51310000000001</v>
      </c>
      <c r="M1099">
        <v>0.9998956</v>
      </c>
      <c r="N1099">
        <v>-1.4054290000000001E-2</v>
      </c>
      <c r="O1099">
        <v>3.416877E-3</v>
      </c>
      <c r="P1099">
        <v>0.99548720000000002</v>
      </c>
      <c r="Q1099">
        <v>-9.2529589999999995E-2</v>
      </c>
      <c r="R1099">
        <v>2.106539E-2</v>
      </c>
      <c r="S1099">
        <v>3.0061040000000001</v>
      </c>
      <c r="T1099">
        <v>-0.17726020000000001</v>
      </c>
      <c r="U1099">
        <v>-0.42752079999999998</v>
      </c>
      <c r="V1099">
        <v>-1.767581E-2</v>
      </c>
      <c r="W1099">
        <v>-7.8525830000000005E-2</v>
      </c>
      <c r="X1099">
        <v>0.99675539999999996</v>
      </c>
      <c r="Y1099">
        <v>0.14387529999999901</v>
      </c>
      <c r="Z1099">
        <v>-5.3868659999999997E-3</v>
      </c>
      <c r="AA1099">
        <v>0.98958120000000005</v>
      </c>
      <c r="AB1099">
        <v>27</v>
      </c>
      <c r="AC1099">
        <v>18.660299999999999</v>
      </c>
      <c r="AD1099">
        <v>-1.109140647289</v>
      </c>
      <c r="AE1099">
        <v>-2.67560000000003</v>
      </c>
      <c r="AF1099">
        <v>2.7299003342188199</v>
      </c>
      <c r="AG1099">
        <v>-1.109140647289</v>
      </c>
      <c r="AH1099">
        <v>18.586705110713901</v>
      </c>
      <c r="AI1099">
        <v>93.378846908873101</v>
      </c>
      <c r="AJ1099">
        <v>81.644489829779602</v>
      </c>
      <c r="AK1099">
        <v>18.818824503216799</v>
      </c>
      <c r="AL1099">
        <v>94.503835272863398</v>
      </c>
      <c r="AM1099">
        <v>91.015939489463804</v>
      </c>
      <c r="AN1099">
        <v>1.0000000338327499</v>
      </c>
    </row>
    <row r="1100" spans="1:40" x14ac:dyDescent="0.25">
      <c r="A1100" t="str">
        <f>"20190305135214476"</f>
        <v>20190305135214476</v>
      </c>
      <c r="B1100" t="str">
        <f>"1551765134470983"</f>
        <v>1551765134470983</v>
      </c>
      <c r="C1100" t="s">
        <v>40</v>
      </c>
      <c r="D1100">
        <v>4.4733799999999997</v>
      </c>
      <c r="E1100">
        <v>0.56265259999999995</v>
      </c>
      <c r="F1100" t="s">
        <v>42</v>
      </c>
      <c r="G1100">
        <v>-214.9915</v>
      </c>
      <c r="H1100" s="1">
        <v>-2.8105020000000001E-6</v>
      </c>
      <c r="I1100">
        <v>365.78550000000001</v>
      </c>
      <c r="J1100">
        <v>-233.86779999999999</v>
      </c>
      <c r="K1100">
        <v>1.1091299999999999</v>
      </c>
      <c r="L1100">
        <v>368.51350000000002</v>
      </c>
      <c r="M1100">
        <v>0.99989570000000005</v>
      </c>
      <c r="N1100">
        <v>-1.4052800000000001E-2</v>
      </c>
      <c r="O1100">
        <v>3.3713530000000001E-3</v>
      </c>
      <c r="P1100">
        <v>0.99550740000000004</v>
      </c>
      <c r="Q1100">
        <v>-9.2381950000000004E-2</v>
      </c>
      <c r="R1100">
        <v>2.0756839999999999E-2</v>
      </c>
      <c r="S1100">
        <v>3.006424</v>
      </c>
      <c r="T1100">
        <v>-0.1753247</v>
      </c>
      <c r="U1100">
        <v>-0.43115229999999999</v>
      </c>
      <c r="V1100">
        <v>-1.741413E-2</v>
      </c>
      <c r="W1100">
        <v>-7.8379180000000007E-2</v>
      </c>
      <c r="X1100">
        <v>0.99677150000000003</v>
      </c>
      <c r="Y1100">
        <v>0.1449908</v>
      </c>
      <c r="Z1100">
        <v>-5.3760639999999998E-3</v>
      </c>
      <c r="AA1100">
        <v>0.98941840000000003</v>
      </c>
      <c r="AB1100">
        <v>27</v>
      </c>
      <c r="AC1100">
        <v>18.876299999999901</v>
      </c>
      <c r="AD1100">
        <v>-1.109132810502</v>
      </c>
      <c r="AE1100">
        <v>-2.7280000000000002</v>
      </c>
      <c r="AF1100">
        <v>2.7822203502456899</v>
      </c>
      <c r="AG1100">
        <v>-1.109132810502</v>
      </c>
      <c r="AH1100">
        <v>18.803404193071302</v>
      </c>
      <c r="AI1100">
        <v>93.339448681059494</v>
      </c>
      <c r="AJ1100">
        <v>81.583375093216603</v>
      </c>
      <c r="AK1100">
        <v>19.040455218210099</v>
      </c>
      <c r="AL1100">
        <v>94.495407087230305</v>
      </c>
      <c r="AM1100">
        <v>91.000886020435402</v>
      </c>
      <c r="AN1100">
        <v>0.999999985496689</v>
      </c>
    </row>
    <row r="1101" spans="1:40" x14ac:dyDescent="0.25">
      <c r="A1101" t="str">
        <f>"20190305135214488"</f>
        <v>20190305135214488</v>
      </c>
      <c r="B1101" t="str">
        <f>"1551765134480742"</f>
        <v>1551765134480742</v>
      </c>
      <c r="C1101" t="s">
        <v>40</v>
      </c>
      <c r="D1101">
        <v>4.4959550000000004</v>
      </c>
      <c r="E1101">
        <v>0.56265259999999995</v>
      </c>
      <c r="F1101" t="s">
        <v>42</v>
      </c>
      <c r="G1101">
        <v>-214.68960000000001</v>
      </c>
      <c r="H1101" s="1">
        <v>-2.9473530000000001E-6</v>
      </c>
      <c r="I1101">
        <v>365.74400000000003</v>
      </c>
      <c r="J1101">
        <v>-233.7242</v>
      </c>
      <c r="K1101">
        <v>1.1091260000000001</v>
      </c>
      <c r="L1101">
        <v>368.51389999999998</v>
      </c>
      <c r="M1101">
        <v>0.99989589999999995</v>
      </c>
      <c r="N1101">
        <v>-1.4051299999999999E-2</v>
      </c>
      <c r="O1101">
        <v>3.3220670000000002E-3</v>
      </c>
      <c r="P1101">
        <v>0.99550660000000002</v>
      </c>
      <c r="Q1101">
        <v>-9.2456949999999996E-2</v>
      </c>
      <c r="R1101">
        <v>2.046131E-2</v>
      </c>
      <c r="S1101">
        <v>3.0064700000000002</v>
      </c>
      <c r="T1101">
        <v>-0.1738729</v>
      </c>
      <c r="U1101">
        <v>-0.4341431</v>
      </c>
      <c r="V1101">
        <v>-1.716925E-2</v>
      </c>
      <c r="W1101">
        <v>-7.8455449999999996E-2</v>
      </c>
      <c r="X1101">
        <v>0.99676980000000004</v>
      </c>
      <c r="Y1101">
        <v>0.14590690000000001</v>
      </c>
      <c r="Z1101">
        <v>-5.3699500000000001E-3</v>
      </c>
      <c r="AA1101">
        <v>0.98928369999999999</v>
      </c>
      <c r="AB1101">
        <v>27</v>
      </c>
      <c r="AC1101">
        <v>19.034599999999902</v>
      </c>
      <c r="AD1101">
        <v>-1.1091289473529999</v>
      </c>
      <c r="AE1101">
        <v>-2.7698999999999501</v>
      </c>
      <c r="AF1101">
        <v>2.8237365766672502</v>
      </c>
      <c r="AG1101">
        <v>-1.1091289473529999</v>
      </c>
      <c r="AH1101">
        <v>18.962245045745</v>
      </c>
      <c r="AI1101">
        <v>93.311070313213804</v>
      </c>
      <c r="AJ1101">
        <v>81.530119295562798</v>
      </c>
      <c r="AK1101">
        <v>19.2033953365321</v>
      </c>
      <c r="AL1101">
        <v>94.499790300270504</v>
      </c>
      <c r="AM1101">
        <v>90.986815903031896</v>
      </c>
      <c r="AN1101">
        <v>1.00000003748615</v>
      </c>
    </row>
    <row r="1102" spans="1:40" x14ac:dyDescent="0.25">
      <c r="A1102" t="str">
        <f>"20190305135214499"</f>
        <v>20190305135214499</v>
      </c>
      <c r="B1102" t="str">
        <f>"1551765134490502"</f>
        <v>1551765134490502</v>
      </c>
      <c r="C1102" t="s">
        <v>40</v>
      </c>
      <c r="D1102">
        <v>5.6568690000000004</v>
      </c>
      <c r="E1102">
        <v>0.56542099999999995</v>
      </c>
      <c r="F1102" t="s">
        <v>42</v>
      </c>
      <c r="G1102">
        <v>-214.58410000000001</v>
      </c>
      <c r="H1102" s="1">
        <v>-2.9926279999999999E-6</v>
      </c>
      <c r="I1102">
        <v>365.74400000000003</v>
      </c>
      <c r="J1102">
        <v>-233.5829</v>
      </c>
      <c r="K1102">
        <v>1.109119</v>
      </c>
      <c r="L1102">
        <v>368.51429999999999</v>
      </c>
      <c r="M1102">
        <v>0.99989600000000001</v>
      </c>
      <c r="N1102">
        <v>-1.4049839999999999E-2</v>
      </c>
      <c r="O1102">
        <v>3.2659109999999998E-3</v>
      </c>
      <c r="P1102">
        <v>0.99554739999999997</v>
      </c>
      <c r="Q1102">
        <v>-9.2102569999999995E-2</v>
      </c>
      <c r="R1102">
        <v>2.0068829999999999E-2</v>
      </c>
      <c r="S1102">
        <v>3.0062709999999999</v>
      </c>
      <c r="T1102">
        <v>-0.17420629999999901</v>
      </c>
      <c r="U1102">
        <v>-0.43505859999999902</v>
      </c>
      <c r="V1102">
        <v>-1.683368E-2</v>
      </c>
      <c r="W1102">
        <v>-7.8101760000000006E-2</v>
      </c>
      <c r="X1102">
        <v>0.99680329999999995</v>
      </c>
      <c r="Y1102">
        <v>0.14615420000000001</v>
      </c>
      <c r="Z1102">
        <v>-5.3848769999999997E-3</v>
      </c>
      <c r="AA1102">
        <v>0.98924710000000005</v>
      </c>
      <c r="AB1102">
        <v>27</v>
      </c>
      <c r="AC1102">
        <v>18.9987999999999</v>
      </c>
      <c r="AD1102">
        <v>-1.109121992628</v>
      </c>
      <c r="AE1102">
        <v>-2.7702999999999598</v>
      </c>
      <c r="AF1102">
        <v>2.8229193720731098</v>
      </c>
      <c r="AG1102">
        <v>-1.109121992628</v>
      </c>
      <c r="AH1102">
        <v>18.926490625729102</v>
      </c>
      <c r="AI1102">
        <v>93.3171756986318</v>
      </c>
      <c r="AJ1102">
        <v>81.516771461786107</v>
      </c>
      <c r="AK1102">
        <v>19.1679699702803</v>
      </c>
      <c r="AL1102">
        <v>94.479462979121706</v>
      </c>
      <c r="AM1102">
        <v>90.967499950944699</v>
      </c>
      <c r="AN1102">
        <v>1.0000000382941601</v>
      </c>
    </row>
    <row r="1103" spans="1:40" x14ac:dyDescent="0.25">
      <c r="A1103" t="str">
        <f>"20190305135214511"</f>
        <v>20190305135214511</v>
      </c>
      <c r="B1103" t="str">
        <f>"1551765134500262"</f>
        <v>1551765134500262</v>
      </c>
      <c r="C1103" t="s">
        <v>40</v>
      </c>
      <c r="D1103">
        <v>4.5582240000000001</v>
      </c>
      <c r="E1103">
        <v>0.56518710000000005</v>
      </c>
      <c r="F1103" t="s">
        <v>42</v>
      </c>
      <c r="G1103">
        <v>-215.31190000000001</v>
      </c>
      <c r="H1103" s="1">
        <v>-2.6835619999999998E-6</v>
      </c>
      <c r="I1103">
        <v>365.72620000000001</v>
      </c>
      <c r="J1103">
        <v>-233.43899999999999</v>
      </c>
      <c r="K1103">
        <v>1.1091139999999999</v>
      </c>
      <c r="L1103">
        <v>368.51479999999998</v>
      </c>
      <c r="M1103">
        <v>0.99989629999999996</v>
      </c>
      <c r="N1103">
        <v>-1.4048349999999999E-2</v>
      </c>
      <c r="O1103">
        <v>3.2026519999999998E-3</v>
      </c>
      <c r="P1103">
        <v>0.99557030000000002</v>
      </c>
      <c r="Q1103">
        <v>-9.1965089999999999E-2</v>
      </c>
      <c r="R1103">
        <v>1.955631E-2</v>
      </c>
      <c r="S1103">
        <v>3.0057830000000001</v>
      </c>
      <c r="T1103">
        <v>-0.18246270000000001</v>
      </c>
      <c r="U1103">
        <v>-0.45867920000000001</v>
      </c>
      <c r="V1103">
        <v>-1.6385630000000002E-2</v>
      </c>
      <c r="W1103">
        <v>-7.7965229999999996E-2</v>
      </c>
      <c r="X1103">
        <v>0.99682139999999997</v>
      </c>
      <c r="Y1103">
        <v>0.1536729</v>
      </c>
      <c r="Z1103">
        <v>-5.8685600000000001E-3</v>
      </c>
      <c r="AA1103">
        <v>0.98810430000000005</v>
      </c>
      <c r="AB1103">
        <v>27</v>
      </c>
      <c r="AC1103">
        <v>18.127099999999999</v>
      </c>
      <c r="AD1103">
        <v>-1.1091166835620001</v>
      </c>
      <c r="AE1103">
        <v>-2.78859999999997</v>
      </c>
      <c r="AF1103">
        <v>2.8362736062799998</v>
      </c>
      <c r="AG1103">
        <v>-1.1091166835620001</v>
      </c>
      <c r="AH1103">
        <v>18.052056602432899</v>
      </c>
      <c r="AI1103">
        <v>93.473325015416606</v>
      </c>
      <c r="AJ1103">
        <v>81.070890928945303</v>
      </c>
      <c r="AK1103">
        <v>18.307138918052601</v>
      </c>
      <c r="AL1103">
        <v>94.471616700559395</v>
      </c>
      <c r="AM1103">
        <v>90.941736302106094</v>
      </c>
      <c r="AN1103">
        <v>0.99999998472870399</v>
      </c>
    </row>
    <row r="1104" spans="1:40" x14ac:dyDescent="0.25">
      <c r="A1104" t="str">
        <f>"20190305135214523"</f>
        <v>20190305135214523</v>
      </c>
      <c r="B1104" t="str">
        <f>"1551765134520758"</f>
        <v>1551765134520758</v>
      </c>
      <c r="C1104" t="s">
        <v>40</v>
      </c>
      <c r="D1104">
        <v>4.4410049999999996</v>
      </c>
      <c r="E1104">
        <v>0.5654863</v>
      </c>
      <c r="F1104" t="s">
        <v>42</v>
      </c>
      <c r="G1104">
        <v>-215.44669999999999</v>
      </c>
      <c r="H1104" s="1">
        <v>-2.6181E-6</v>
      </c>
      <c r="I1104">
        <v>365.76920000000001</v>
      </c>
      <c r="J1104">
        <v>-233.28829999999999</v>
      </c>
      <c r="K1104">
        <v>1.1091040000000001</v>
      </c>
      <c r="L1104">
        <v>368.51510000000002</v>
      </c>
      <c r="M1104">
        <v>0.99989649999999997</v>
      </c>
      <c r="N1104">
        <v>-1.404679E-2</v>
      </c>
      <c r="O1104">
        <v>3.1316320000000001E-3</v>
      </c>
      <c r="P1104">
        <v>0.99561189999999999</v>
      </c>
      <c r="Q1104">
        <v>-9.1633900000000004E-2</v>
      </c>
      <c r="R1104">
        <v>1.8980529999999999E-2</v>
      </c>
      <c r="S1104">
        <v>3.0052490000000001</v>
      </c>
      <c r="T1104">
        <v>-0.1852549</v>
      </c>
      <c r="U1104">
        <v>-0.45858759999999998</v>
      </c>
      <c r="V1104">
        <v>-1.5882199999999999E-2</v>
      </c>
      <c r="W1104">
        <v>-7.7634850000000005E-2</v>
      </c>
      <c r="X1104">
        <v>0.99685539999999995</v>
      </c>
      <c r="Y1104">
        <v>0.15359010000000001</v>
      </c>
      <c r="Z1104">
        <v>-5.9365889999999999E-3</v>
      </c>
      <c r="AA1104">
        <v>0.98811680000000002</v>
      </c>
      <c r="AB1104">
        <v>27</v>
      </c>
      <c r="AC1104">
        <v>17.8416</v>
      </c>
      <c r="AD1104">
        <v>-1.1091066181</v>
      </c>
      <c r="AE1104">
        <v>-2.7458999999999998</v>
      </c>
      <c r="AF1104">
        <v>2.7912285998533699</v>
      </c>
      <c r="AG1104">
        <v>-1.1091066181</v>
      </c>
      <c r="AH1104">
        <v>17.7658471913246</v>
      </c>
      <c r="AI1104">
        <v>93.529110679192996</v>
      </c>
      <c r="AJ1104">
        <v>81.071132717504099</v>
      </c>
      <c r="AK1104">
        <v>18.017946636963099</v>
      </c>
      <c r="AL1104">
        <v>94.452629473560506</v>
      </c>
      <c r="AM1104">
        <v>90.912776361500406</v>
      </c>
      <c r="AN1104">
        <v>1.00000005136026</v>
      </c>
    </row>
    <row r="1105" spans="1:40" x14ac:dyDescent="0.25">
      <c r="A1105" t="str">
        <f>"20190305135214537"</f>
        <v>20190305135214537</v>
      </c>
      <c r="B1105" t="str">
        <f>"1551765134530518"</f>
        <v>1551765134530518</v>
      </c>
      <c r="C1105" t="s">
        <v>40</v>
      </c>
      <c r="D1105">
        <v>4.5658620000000001</v>
      </c>
      <c r="E1105">
        <v>0.5654863</v>
      </c>
      <c r="F1105" t="s">
        <v>42</v>
      </c>
      <c r="G1105">
        <v>-215.43520000000001</v>
      </c>
      <c r="H1105" s="1">
        <v>-2.623396E-6</v>
      </c>
      <c r="I1105">
        <v>365.76729999999998</v>
      </c>
      <c r="J1105">
        <v>-233.1377</v>
      </c>
      <c r="K1105">
        <v>1.1090960000000001</v>
      </c>
      <c r="L1105">
        <v>368.51549999999997</v>
      </c>
      <c r="M1105">
        <v>0.99989680000000003</v>
      </c>
      <c r="N1105">
        <v>-1.4045230000000001E-2</v>
      </c>
      <c r="O1105">
        <v>3.0485070000000002E-3</v>
      </c>
      <c r="P1105">
        <v>0.99564269999999999</v>
      </c>
      <c r="Q1105">
        <v>-9.1473890000000002E-2</v>
      </c>
      <c r="R1105">
        <v>1.8122050000000001E-2</v>
      </c>
      <c r="S1105">
        <v>3.004883</v>
      </c>
      <c r="T1105">
        <v>-0.18667439999999999</v>
      </c>
      <c r="U1105">
        <v>-0.46249390000000001</v>
      </c>
      <c r="V1105">
        <v>-1.510854E-2</v>
      </c>
      <c r="W1105">
        <v>-7.7475859999999994E-2</v>
      </c>
      <c r="X1105">
        <v>0.99687979999999998</v>
      </c>
      <c r="Y1105">
        <v>0.1547732</v>
      </c>
      <c r="Z1105">
        <v>-6.015042E-3</v>
      </c>
      <c r="AA1105">
        <v>0.98793169999999997</v>
      </c>
      <c r="AB1105">
        <v>27</v>
      </c>
      <c r="AC1105">
        <v>17.702499999999901</v>
      </c>
      <c r="AD1105">
        <v>-1.1090986233959901</v>
      </c>
      <c r="AE1105">
        <v>-2.74819999999999</v>
      </c>
      <c r="AF1105">
        <v>2.7914593318551901</v>
      </c>
      <c r="AG1105">
        <v>-1.1090986233959901</v>
      </c>
      <c r="AH1105">
        <v>17.6264783043998</v>
      </c>
      <c r="AI1105">
        <v>93.556232287255</v>
      </c>
      <c r="AJ1105">
        <v>81.000953109219594</v>
      </c>
      <c r="AK1105">
        <v>17.880578356789702</v>
      </c>
      <c r="AL1105">
        <v>94.443492476102904</v>
      </c>
      <c r="AM1105">
        <v>90.868298570818993</v>
      </c>
      <c r="AN1105">
        <v>1.00000005625585</v>
      </c>
    </row>
    <row r="1106" spans="1:40" x14ac:dyDescent="0.25">
      <c r="A1106" t="str">
        <f>"20190305135214552"</f>
        <v>20190305135214552</v>
      </c>
      <c r="B1106" t="str">
        <f>"1551765134540277"</f>
        <v>1551765134540277</v>
      </c>
      <c r="C1106" t="s">
        <v>40</v>
      </c>
      <c r="D1106">
        <v>7.2875189999999996</v>
      </c>
      <c r="E1106">
        <v>0.58370080000000002</v>
      </c>
      <c r="F1106" t="s">
        <v>42</v>
      </c>
      <c r="G1106">
        <v>-215.2569</v>
      </c>
      <c r="H1106" s="1">
        <v>-2.7036440000000002E-6</v>
      </c>
      <c r="I1106">
        <v>365.74590000000001</v>
      </c>
      <c r="J1106">
        <v>-232.95320000000001</v>
      </c>
      <c r="K1106">
        <v>1.109089</v>
      </c>
      <c r="L1106">
        <v>368.51600000000002</v>
      </c>
      <c r="M1106">
        <v>0.99989709999999998</v>
      </c>
      <c r="N1106">
        <v>-1.404333E-2</v>
      </c>
      <c r="O1106">
        <v>2.938221E-3</v>
      </c>
      <c r="P1106">
        <v>0.99564549999999996</v>
      </c>
      <c r="Q1106">
        <v>-9.1613139999999996E-2</v>
      </c>
      <c r="R1106">
        <v>1.723678E-2</v>
      </c>
      <c r="S1106">
        <v>3.0044710000000001</v>
      </c>
      <c r="T1106">
        <v>-0.18635940000000001</v>
      </c>
      <c r="U1106">
        <v>-0.46536250000000001</v>
      </c>
      <c r="V1106">
        <v>-1.4334980000000001E-2</v>
      </c>
      <c r="W1106">
        <v>-7.76168E-2</v>
      </c>
      <c r="X1106">
        <v>0.99688019999999999</v>
      </c>
      <c r="Y1106">
        <v>0.1556051</v>
      </c>
      <c r="Z1106">
        <v>-6.0331819999999998E-3</v>
      </c>
      <c r="AA1106">
        <v>0.98780089999999998</v>
      </c>
      <c r="AB1106">
        <v>27</v>
      </c>
      <c r="AC1106">
        <v>17.696300000000001</v>
      </c>
      <c r="AD1106">
        <v>-1.109091703644</v>
      </c>
      <c r="AE1106">
        <v>-2.77009999999995</v>
      </c>
      <c r="AF1106">
        <v>2.8113101330657</v>
      </c>
      <c r="AG1106">
        <v>-1.109091703644</v>
      </c>
      <c r="AH1106">
        <v>17.620525838199701</v>
      </c>
      <c r="AI1106">
        <v>93.556759284286997</v>
      </c>
      <c r="AJ1106">
        <v>80.935006316290298</v>
      </c>
      <c r="AK1106">
        <v>17.8778208931076</v>
      </c>
      <c r="AL1106">
        <v>94.451592400693698</v>
      </c>
      <c r="AM1106">
        <v>90.823847488053204</v>
      </c>
      <c r="AN1106">
        <v>0.99999999622294</v>
      </c>
    </row>
    <row r="1107" spans="1:40" x14ac:dyDescent="0.25">
      <c r="A1107" t="str">
        <f>"20190305135214565"</f>
        <v>20190305135214565</v>
      </c>
      <c r="B1107" t="str">
        <f>"1551765134560414"</f>
        <v>1551765134560414</v>
      </c>
      <c r="C1107" t="s">
        <v>40</v>
      </c>
      <c r="D1107">
        <v>4.5705609999999997</v>
      </c>
      <c r="E1107">
        <v>0.59328289999999995</v>
      </c>
      <c r="F1107" t="s">
        <v>52</v>
      </c>
      <c r="G1107">
        <v>-209.1336</v>
      </c>
      <c r="H1107" s="1">
        <v>-5.92261899999999E-6</v>
      </c>
      <c r="I1107">
        <v>363.67759999999998</v>
      </c>
      <c r="J1107">
        <v>-232.7816</v>
      </c>
      <c r="K1107">
        <v>1.1090789999999999</v>
      </c>
      <c r="L1107">
        <v>368.51639999999998</v>
      </c>
      <c r="M1107">
        <v>0.99989749999999999</v>
      </c>
      <c r="N1107">
        <v>-1.404155E-2</v>
      </c>
      <c r="O1107">
        <v>2.8257349999999998E-3</v>
      </c>
      <c r="P1107">
        <v>0.99566250000000001</v>
      </c>
      <c r="Q1107">
        <v>-9.1775579999999995E-2</v>
      </c>
      <c r="R1107">
        <v>1.528909E-2</v>
      </c>
      <c r="S1107">
        <v>3.0108030000000001</v>
      </c>
      <c r="T1107">
        <v>-0.14018939999999999</v>
      </c>
      <c r="U1107">
        <v>-0.61157229999999996</v>
      </c>
      <c r="V1107">
        <v>-1.250185E-2</v>
      </c>
      <c r="W1107">
        <v>-7.7781100000000006E-2</v>
      </c>
      <c r="X1107">
        <v>0.99689209999999995</v>
      </c>
      <c r="Y1107">
        <v>0.20155290000000001</v>
      </c>
      <c r="Z1107">
        <v>-6.1638179999999997E-3</v>
      </c>
      <c r="AA1107">
        <v>0.97945819999999995</v>
      </c>
      <c r="AB1107">
        <v>27</v>
      </c>
      <c r="AC1107">
        <v>23.648</v>
      </c>
      <c r="AD1107">
        <v>-1.1090849226189901</v>
      </c>
      <c r="AE1107">
        <v>-4.8387999999999902</v>
      </c>
      <c r="AF1107">
        <v>4.8952753721061697</v>
      </c>
      <c r="AG1107">
        <v>-1.1090849226189901</v>
      </c>
      <c r="AH1107">
        <v>23.584439756081998</v>
      </c>
      <c r="AI1107">
        <v>92.636306238174001</v>
      </c>
      <c r="AJ1107">
        <v>78.273975812417603</v>
      </c>
      <c r="AK1107">
        <v>24.112643756805099</v>
      </c>
      <c r="AL1107">
        <v>94.461034503074998</v>
      </c>
      <c r="AM1107">
        <v>90.7184987152513</v>
      </c>
      <c r="AN1107">
        <v>1.0000000274065199</v>
      </c>
    </row>
    <row r="1108" spans="1:40" x14ac:dyDescent="0.25">
      <c r="A1108" t="str">
        <f>"20190305135214588"</f>
        <v>20190305135214588</v>
      </c>
      <c r="B1108" t="str">
        <f>"1551765134580674"</f>
        <v>1551765134580674</v>
      </c>
      <c r="C1108" t="s">
        <v>40</v>
      </c>
      <c r="D1108">
        <v>4.600848</v>
      </c>
      <c r="E1108">
        <v>0.59732410000000002</v>
      </c>
      <c r="F1108" t="s">
        <v>52</v>
      </c>
      <c r="G1108">
        <v>-209.6123</v>
      </c>
      <c r="H1108" s="1">
        <v>-6.1619759999999998E-6</v>
      </c>
      <c r="I1108">
        <v>363.17110000000002</v>
      </c>
      <c r="J1108">
        <v>-232.5112</v>
      </c>
      <c r="K1108">
        <v>1.109056</v>
      </c>
      <c r="L1108">
        <v>368.51690000000002</v>
      </c>
      <c r="M1108">
        <v>0.99989790000000001</v>
      </c>
      <c r="N1108">
        <v>-1.4038760000000001E-2</v>
      </c>
      <c r="O1108">
        <v>2.6247470000000002E-3</v>
      </c>
      <c r="P1108">
        <v>0.99565760000000003</v>
      </c>
      <c r="Q1108">
        <v>-9.2171589999999998E-2</v>
      </c>
      <c r="R1108">
        <v>1.3046469999999999E-2</v>
      </c>
      <c r="S1108">
        <v>3.010437</v>
      </c>
      <c r="T1108">
        <v>-0.14410609999999999</v>
      </c>
      <c r="U1108">
        <v>-0.694519</v>
      </c>
      <c r="V1108">
        <v>-1.0463170000000001E-2</v>
      </c>
      <c r="W1108">
        <v>-7.8180269999999996E-2</v>
      </c>
      <c r="X1108">
        <v>0.99688429999999995</v>
      </c>
      <c r="Y1108">
        <v>0.22703200000000001</v>
      </c>
      <c r="Z1108">
        <v>-7.0635840000000004E-3</v>
      </c>
      <c r="AA1108">
        <v>0.97386170000000005</v>
      </c>
      <c r="AB1108">
        <v>27</v>
      </c>
      <c r="AC1108">
        <v>22.898900000000001</v>
      </c>
      <c r="AD1108">
        <v>-1.1090621619759999</v>
      </c>
      <c r="AE1108">
        <v>-5.3457999999999899</v>
      </c>
      <c r="AF1108">
        <v>5.3938925188975899</v>
      </c>
      <c r="AG1108">
        <v>-1.1090621619759999</v>
      </c>
      <c r="AH1108">
        <v>22.833993713435301</v>
      </c>
      <c r="AI1108">
        <v>92.706340810118505</v>
      </c>
      <c r="AJ1108">
        <v>76.709113657521002</v>
      </c>
      <c r="AK1108">
        <v>23.488622017686598</v>
      </c>
      <c r="AL1108">
        <v>94.483975373701199</v>
      </c>
      <c r="AM1108">
        <v>90.601347085758604</v>
      </c>
      <c r="AN1108">
        <v>0.99999997006510499</v>
      </c>
    </row>
    <row r="1109" spans="1:40" x14ac:dyDescent="0.25">
      <c r="A1109" t="str">
        <f>"20190305135214604"</f>
        <v>20190305135214604</v>
      </c>
      <c r="B1109" t="str">
        <f>"1551765134600210"</f>
        <v>1551765134600210</v>
      </c>
      <c r="C1109" t="s">
        <v>40</v>
      </c>
      <c r="D1109">
        <v>4.5764040000000001</v>
      </c>
      <c r="E1109">
        <v>0.59856039999999999</v>
      </c>
      <c r="F1109" t="s">
        <v>42</v>
      </c>
      <c r="G1109">
        <v>-210.22790000000001</v>
      </c>
      <c r="H1109" s="1">
        <v>-5.3329049999999997E-6</v>
      </c>
      <c r="I1109">
        <v>363.08600000000001</v>
      </c>
      <c r="J1109">
        <v>-232.3192</v>
      </c>
      <c r="K1109">
        <v>1.1090439999999999</v>
      </c>
      <c r="L1109">
        <v>368.5172</v>
      </c>
      <c r="M1109">
        <v>0.99989839999999997</v>
      </c>
      <c r="N1109">
        <v>-1.4036760000000001E-2</v>
      </c>
      <c r="O1109">
        <v>2.4697009999999999E-3</v>
      </c>
      <c r="P1109">
        <v>0.99566449999999995</v>
      </c>
      <c r="Q1109">
        <v>-9.2273549999999996E-2</v>
      </c>
      <c r="R1109">
        <v>1.1743959999999999E-2</v>
      </c>
      <c r="S1109">
        <v>3.0088349999999999</v>
      </c>
      <c r="T1109">
        <v>-0.1497521</v>
      </c>
      <c r="U1109">
        <v>-0.73330689999999998</v>
      </c>
      <c r="V1109">
        <v>-9.3174920000000001E-3</v>
      </c>
      <c r="W1109">
        <v>-7.8284320000000004E-2</v>
      </c>
      <c r="X1109">
        <v>0.99688750000000004</v>
      </c>
      <c r="Y1109">
        <v>0.2388227</v>
      </c>
      <c r="Z1109">
        <v>-7.6426169999999896E-3</v>
      </c>
      <c r="AA1109">
        <v>0.97103309999999998</v>
      </c>
      <c r="AB1109">
        <v>27</v>
      </c>
      <c r="AC1109">
        <v>22.091299999999901</v>
      </c>
      <c r="AD1109">
        <v>-1.109049332905</v>
      </c>
      <c r="AE1109">
        <v>-5.4311999999999898</v>
      </c>
      <c r="AF1109">
        <v>5.4727407336603804</v>
      </c>
      <c r="AG1109">
        <v>-1.109049332905</v>
      </c>
      <c r="AH1109">
        <v>22.025470241024301</v>
      </c>
      <c r="AI1109">
        <v>92.797654558002293</v>
      </c>
      <c r="AJ1109">
        <v>76.046115354601298</v>
      </c>
      <c r="AK1109">
        <v>22.722284676038399</v>
      </c>
      <c r="AL1109">
        <v>94.489955331990402</v>
      </c>
      <c r="AM1109">
        <v>90.535504179267093</v>
      </c>
      <c r="AN1109">
        <v>0.99999996903564004</v>
      </c>
    </row>
    <row r="1110" spans="1:40" x14ac:dyDescent="0.25">
      <c r="A1110" t="str">
        <f>"20190305135214621"</f>
        <v>20190305135214621</v>
      </c>
      <c r="B1110" t="str">
        <f>"1551765134610946"</f>
        <v>1551765134610946</v>
      </c>
      <c r="C1110" t="s">
        <v>40</v>
      </c>
      <c r="D1110">
        <v>4.6330920000000004</v>
      </c>
      <c r="E1110">
        <v>0.59867289999999995</v>
      </c>
      <c r="F1110" t="s">
        <v>42</v>
      </c>
      <c r="G1110">
        <v>-211.82769999999999</v>
      </c>
      <c r="H1110" s="1">
        <v>-4.586811E-6</v>
      </c>
      <c r="I1110">
        <v>363.423</v>
      </c>
      <c r="J1110">
        <v>-232.11070000000001</v>
      </c>
      <c r="K1110">
        <v>1.1090439999999999</v>
      </c>
      <c r="L1110">
        <v>368.51749999999998</v>
      </c>
      <c r="M1110">
        <v>0.99989890000000003</v>
      </c>
      <c r="N1110">
        <v>-1.4034609999999999E-2</v>
      </c>
      <c r="O1110">
        <v>2.2906570000000002E-3</v>
      </c>
      <c r="P1110">
        <v>0.99557819999999997</v>
      </c>
      <c r="Q1110">
        <v>-9.3460920000000003E-2</v>
      </c>
      <c r="R1110">
        <v>9.4549100000000004E-3</v>
      </c>
      <c r="S1110">
        <v>3.0068049999999999</v>
      </c>
      <c r="T1110">
        <v>-0.162735299999999</v>
      </c>
      <c r="U1110">
        <v>-0.74749759999999998</v>
      </c>
      <c r="V1110">
        <v>-7.209076E-3</v>
      </c>
      <c r="W1110">
        <v>-7.9475710000000005E-2</v>
      </c>
      <c r="X1110">
        <v>0.99681070000000005</v>
      </c>
      <c r="Y1110">
        <v>0.24305289999999999</v>
      </c>
      <c r="Z1110">
        <v>-8.2972849999999997E-3</v>
      </c>
      <c r="AA1110">
        <v>0.9699776</v>
      </c>
      <c r="AB1110">
        <v>27</v>
      </c>
      <c r="AC1110">
        <v>20.283000000000001</v>
      </c>
      <c r="AD1110">
        <v>-1.109048586811</v>
      </c>
      <c r="AE1110">
        <v>-5.0944999999999796</v>
      </c>
      <c r="AF1110">
        <v>5.1265350371984599</v>
      </c>
      <c r="AG1110">
        <v>-1.109048586811</v>
      </c>
      <c r="AH1110">
        <v>20.2144260095181</v>
      </c>
      <c r="AI1110">
        <v>93.044159430532204</v>
      </c>
      <c r="AJ1110">
        <v>75.769372944352099</v>
      </c>
      <c r="AK1110">
        <v>20.883830327547901</v>
      </c>
      <c r="AL1110">
        <v>94.558430333434004</v>
      </c>
      <c r="AM1110">
        <v>90.414363958824197</v>
      </c>
      <c r="AN1110">
        <v>0.99999996544563297</v>
      </c>
    </row>
    <row r="1111" spans="1:40" x14ac:dyDescent="0.25">
      <c r="A1111" t="str">
        <f>"20190305135214644"</f>
        <v>20190305135214644</v>
      </c>
      <c r="B1111" t="str">
        <f>"1551765134640226"</f>
        <v>1551765134640226</v>
      </c>
      <c r="C1111" t="s">
        <v>40</v>
      </c>
      <c r="D1111">
        <v>4.5969220000000002</v>
      </c>
      <c r="E1111">
        <v>0.59951759999999998</v>
      </c>
      <c r="F1111" t="s">
        <v>42</v>
      </c>
      <c r="G1111">
        <v>-212.9511</v>
      </c>
      <c r="H1111" s="1">
        <v>-4.0560410000000003E-6</v>
      </c>
      <c r="I1111">
        <v>363.69850000000002</v>
      </c>
      <c r="J1111">
        <v>-231.83799999999999</v>
      </c>
      <c r="K1111">
        <v>1.1090469999999999</v>
      </c>
      <c r="L1111">
        <v>368.5179</v>
      </c>
      <c r="M1111">
        <v>0.99989950000000005</v>
      </c>
      <c r="N1111">
        <v>-1.4031770000000001E-2</v>
      </c>
      <c r="O1111">
        <v>2.0453369999999999E-3</v>
      </c>
      <c r="P1111">
        <v>0.99561829999999996</v>
      </c>
      <c r="Q1111">
        <v>-9.3263719999999994E-2</v>
      </c>
      <c r="R1111">
        <v>6.8032700000000002E-3</v>
      </c>
      <c r="S1111">
        <v>3.0041660000000001</v>
      </c>
      <c r="T1111">
        <v>-0.1738944</v>
      </c>
      <c r="U1111">
        <v>-0.75561519999999904</v>
      </c>
      <c r="V1111">
        <v>-4.8040299999999999E-3</v>
      </c>
      <c r="W1111">
        <v>-7.9281820000000003E-2</v>
      </c>
      <c r="X1111">
        <v>0.99684070000000002</v>
      </c>
      <c r="Y1111">
        <v>0.24542140000000001</v>
      </c>
      <c r="Z1111">
        <v>-8.8268240000000005E-3</v>
      </c>
      <c r="AA1111">
        <v>0.96937629999999997</v>
      </c>
      <c r="AB1111">
        <v>27</v>
      </c>
      <c r="AC1111">
        <v>18.886900000000001</v>
      </c>
      <c r="AD1111">
        <v>-1.1090510560409901</v>
      </c>
      <c r="AE1111">
        <v>-4.8193999999999697</v>
      </c>
      <c r="AF1111">
        <v>4.8423475445825304</v>
      </c>
      <c r="AG1111">
        <v>-1.1090510560409901</v>
      </c>
      <c r="AH1111">
        <v>18.8160884366022</v>
      </c>
      <c r="AI1111">
        <v>93.266994473975004</v>
      </c>
      <c r="AJ1111">
        <v>75.568017474499499</v>
      </c>
      <c r="AK1111">
        <v>19.460819819356701</v>
      </c>
      <c r="AL1111">
        <v>94.547285779178793</v>
      </c>
      <c r="AM1111">
        <v>90.276120861402106</v>
      </c>
      <c r="AN1111">
        <v>1.0000000334316199</v>
      </c>
    </row>
    <row r="1112" spans="1:40" x14ac:dyDescent="0.25">
      <c r="A1112" t="str">
        <f>"20190305135214666"</f>
        <v>20190305135214666</v>
      </c>
      <c r="B1112" t="str">
        <f>"1551765134660722"</f>
        <v>1551765134660722</v>
      </c>
      <c r="C1112" t="s">
        <v>40</v>
      </c>
      <c r="D1112">
        <v>4.6726330000000003</v>
      </c>
      <c r="E1112">
        <v>0.59970489999999999</v>
      </c>
      <c r="F1112" t="s">
        <v>42</v>
      </c>
      <c r="G1112">
        <v>-212.54689999999999</v>
      </c>
      <c r="H1112" s="1">
        <v>-4.2525369999999999E-6</v>
      </c>
      <c r="I1112">
        <v>363.56810000000002</v>
      </c>
      <c r="J1112">
        <v>-231.56020000000001</v>
      </c>
      <c r="K1112">
        <v>1.1090599999999999</v>
      </c>
      <c r="L1112">
        <v>368.51819999999998</v>
      </c>
      <c r="M1112">
        <v>0.99990000000000001</v>
      </c>
      <c r="N1112">
        <v>-1.402889E-2</v>
      </c>
      <c r="O1112">
        <v>1.785011E-3</v>
      </c>
      <c r="P1112">
        <v>0.99566719999999997</v>
      </c>
      <c r="Q1112">
        <v>-9.2938649999999998E-2</v>
      </c>
      <c r="R1112">
        <v>3.0797469999999999E-3</v>
      </c>
      <c r="S1112">
        <v>3.002335</v>
      </c>
      <c r="T1112">
        <v>-0.17260519999999999</v>
      </c>
      <c r="U1112">
        <v>-0.77035520000000002</v>
      </c>
      <c r="V1112">
        <v>-1.3407829999999999E-3</v>
      </c>
      <c r="W1112">
        <v>-7.896069E-2</v>
      </c>
      <c r="X1112">
        <v>0.99687680000000001</v>
      </c>
      <c r="Y1112">
        <v>0.2497751</v>
      </c>
      <c r="Z1112">
        <v>-8.9178739999999992E-3</v>
      </c>
      <c r="AA1112">
        <v>0.96826279999999998</v>
      </c>
      <c r="AB1112">
        <v>27</v>
      </c>
      <c r="AC1112">
        <v>19.013300000000001</v>
      </c>
      <c r="AD1112">
        <v>-1.109064252537</v>
      </c>
      <c r="AE1112">
        <v>-4.95009999999996</v>
      </c>
      <c r="AF1112">
        <v>4.9682031503425499</v>
      </c>
      <c r="AG1112">
        <v>-1.109064252537</v>
      </c>
      <c r="AH1112">
        <v>18.9440673042564</v>
      </c>
      <c r="AI1112">
        <v>93.241146610040104</v>
      </c>
      <c r="AJ1112">
        <v>75.304753659805996</v>
      </c>
      <c r="AK1112">
        <v>19.616084015101599</v>
      </c>
      <c r="AL1112">
        <v>94.528828804405194</v>
      </c>
      <c r="AM1112">
        <v>90.077061840360003</v>
      </c>
      <c r="AN1112">
        <v>0.99999997132128404</v>
      </c>
    </row>
    <row r="1113" spans="1:40" x14ac:dyDescent="0.25">
      <c r="A1113" t="str">
        <f>"20190305135214679"</f>
        <v>20190305135214679</v>
      </c>
      <c r="B1113" t="str">
        <f>"1551765134670482"</f>
        <v>1551765134670482</v>
      </c>
      <c r="C1113" t="s">
        <v>40</v>
      </c>
      <c r="D1113">
        <v>4.5833029999999999</v>
      </c>
      <c r="E1113">
        <v>0.59985259999999996</v>
      </c>
      <c r="F1113" t="s">
        <v>42</v>
      </c>
      <c r="G1113">
        <v>-212.71369999999999</v>
      </c>
      <c r="H1113" s="1">
        <v>-4.1764240000000002E-6</v>
      </c>
      <c r="I1113">
        <v>363.59399999999999</v>
      </c>
      <c r="J1113">
        <v>-231.4016</v>
      </c>
      <c r="K1113">
        <v>1.1090679999999999</v>
      </c>
      <c r="L1113">
        <v>368.51830000000001</v>
      </c>
      <c r="M1113">
        <v>0.99990029999999996</v>
      </c>
      <c r="N1113">
        <v>-1.402724E-2</v>
      </c>
      <c r="O1113">
        <v>1.6337719999999999E-3</v>
      </c>
      <c r="P1113">
        <v>0.99567169999999905</v>
      </c>
      <c r="Q1113">
        <v>-9.2931600000000003E-2</v>
      </c>
      <c r="R1113">
        <v>1.3405559999999999E-3</v>
      </c>
      <c r="S1113">
        <v>2.9990079999999999</v>
      </c>
      <c r="T1113">
        <v>-0.17648179999999999</v>
      </c>
      <c r="U1113">
        <v>-0.78356930000000002</v>
      </c>
      <c r="V1113">
        <v>2.4719469999999997E-4</v>
      </c>
      <c r="W1113">
        <v>-7.8956070000000003E-2</v>
      </c>
      <c r="X1113">
        <v>0.99687809999999999</v>
      </c>
      <c r="Y1113">
        <v>0.25385449999999998</v>
      </c>
      <c r="Z1113">
        <v>-9.2235960000000006E-3</v>
      </c>
      <c r="AA1113">
        <v>0.96719840000000001</v>
      </c>
      <c r="AB1113">
        <v>27</v>
      </c>
      <c r="AC1113">
        <v>18.687899999999999</v>
      </c>
      <c r="AD1113">
        <v>-1.1090721764239999</v>
      </c>
      <c r="AE1113">
        <v>-4.9243000000000103</v>
      </c>
      <c r="AF1113">
        <v>4.9385635171940701</v>
      </c>
      <c r="AG1113">
        <v>-1.1090721764239999</v>
      </c>
      <c r="AH1113">
        <v>18.618510816325099</v>
      </c>
      <c r="AI1113">
        <v>93.2952913124047</v>
      </c>
      <c r="AJ1113">
        <v>75.144379591471704</v>
      </c>
      <c r="AK1113">
        <v>19.294258102438</v>
      </c>
      <c r="AL1113">
        <v>94.528562983629399</v>
      </c>
      <c r="AM1113">
        <v>89.985792432657803</v>
      </c>
      <c r="AN1113">
        <v>1.0000000341773301</v>
      </c>
    </row>
    <row r="1114" spans="1:40" x14ac:dyDescent="0.25">
      <c r="A1114" t="str">
        <f>"20190305135214698"</f>
        <v>20190305135214698</v>
      </c>
      <c r="B1114" t="str">
        <f>"1551765134690977"</f>
        <v>1551765134690977</v>
      </c>
      <c r="C1114" t="s">
        <v>40</v>
      </c>
      <c r="D1114">
        <v>4.6622669999999999</v>
      </c>
      <c r="E1114">
        <v>0.6001417</v>
      </c>
      <c r="F1114" t="s">
        <v>42</v>
      </c>
      <c r="G1114">
        <v>-212.6593</v>
      </c>
      <c r="H1114" s="1">
        <v>-4.2026280000000001E-6</v>
      </c>
      <c r="I1114">
        <v>363.57760000000002</v>
      </c>
      <c r="J1114">
        <v>-231.16650000000001</v>
      </c>
      <c r="K1114">
        <v>1.109076</v>
      </c>
      <c r="L1114">
        <v>368.51839999999999</v>
      </c>
      <c r="M1114">
        <v>0.99990069999999998</v>
      </c>
      <c r="N1114">
        <v>-1.40249E-2</v>
      </c>
      <c r="O1114">
        <v>1.4088760000000001E-3</v>
      </c>
      <c r="P1114">
        <v>0.9956874</v>
      </c>
      <c r="Q1114">
        <v>-9.2753470000000005E-2</v>
      </c>
      <c r="R1114">
        <v>-1.876045E-3</v>
      </c>
      <c r="S1114">
        <v>2.9975589999999999</v>
      </c>
      <c r="T1114">
        <v>-0.1773795</v>
      </c>
      <c r="U1114">
        <v>-0.79019169999999905</v>
      </c>
      <c r="V1114">
        <v>3.2395560000000002E-3</v>
      </c>
      <c r="W1114">
        <v>-7.8781630000000005E-2</v>
      </c>
      <c r="X1114">
        <v>0.99688659999999996</v>
      </c>
      <c r="Y1114">
        <v>0.25574139999999901</v>
      </c>
      <c r="Z1114">
        <v>-9.3213549999999999E-3</v>
      </c>
      <c r="AA1114">
        <v>0.96670029999999996</v>
      </c>
      <c r="AB1114">
        <v>27</v>
      </c>
      <c r="AC1114">
        <v>18.507200000000001</v>
      </c>
      <c r="AD1114">
        <v>-1.109080202628</v>
      </c>
      <c r="AE1114">
        <v>-4.9407999999999603</v>
      </c>
      <c r="AF1114">
        <v>4.9502771098711698</v>
      </c>
      <c r="AG1114">
        <v>-1.109080202628</v>
      </c>
      <c r="AH1114">
        <v>18.438408575674899</v>
      </c>
      <c r="AI1114">
        <v>93.3247638097437</v>
      </c>
      <c r="AJ1114">
        <v>74.971821711052598</v>
      </c>
      <c r="AK1114">
        <v>19.1235512696752</v>
      </c>
      <c r="AL1114">
        <v>94.518537383457698</v>
      </c>
      <c r="AM1114">
        <v>89.813808077147698</v>
      </c>
      <c r="AN1114">
        <v>0.999999966604046</v>
      </c>
    </row>
    <row r="1115" spans="1:40" x14ac:dyDescent="0.25">
      <c r="A1115" t="str">
        <f>"20190305135214713"</f>
        <v>20190305135214713</v>
      </c>
      <c r="B1115" t="str">
        <f>"1551765134710499"</f>
        <v>1551765134710499</v>
      </c>
      <c r="C1115" t="s">
        <v>40</v>
      </c>
      <c r="D1115">
        <v>4.6209680000000004</v>
      </c>
      <c r="E1115">
        <v>0.60035769999999899</v>
      </c>
      <c r="F1115" t="s">
        <v>42</v>
      </c>
      <c r="G1115">
        <v>-212.80359999999999</v>
      </c>
      <c r="H1115" s="1">
        <v>-4.1368389999999999E-6</v>
      </c>
      <c r="I1115">
        <v>363.59969999999998</v>
      </c>
      <c r="J1115">
        <v>-230.9948</v>
      </c>
      <c r="K1115">
        <v>1.109084</v>
      </c>
      <c r="L1115">
        <v>368.51850000000002</v>
      </c>
      <c r="M1115">
        <v>0.99990100000000004</v>
      </c>
      <c r="N1115">
        <v>-1.402317E-2</v>
      </c>
      <c r="O1115">
        <v>1.244439E-3</v>
      </c>
      <c r="P1115">
        <v>0.99571169999999998</v>
      </c>
      <c r="Q1115">
        <v>-9.243585E-2</v>
      </c>
      <c r="R1115">
        <v>-3.740574E-3</v>
      </c>
      <c r="S1115">
        <v>2.9946440000000001</v>
      </c>
      <c r="T1115">
        <v>-0.18086949999999999</v>
      </c>
      <c r="U1115">
        <v>-0.80215449999999999</v>
      </c>
      <c r="V1115">
        <v>4.9406390000000001E-3</v>
      </c>
      <c r="W1115">
        <v>-7.8466300000000003E-2</v>
      </c>
      <c r="X1115">
        <v>0.99690460000000003</v>
      </c>
      <c r="Y1115">
        <v>0.25939259999999997</v>
      </c>
      <c r="Z1115">
        <v>-9.5999510000000007E-3</v>
      </c>
      <c r="AA1115">
        <v>0.96572429999999998</v>
      </c>
      <c r="AB1115">
        <v>27</v>
      </c>
      <c r="AC1115">
        <v>18.191199999999998</v>
      </c>
      <c r="AD1115">
        <v>-1.109088136839</v>
      </c>
      <c r="AE1115">
        <v>-4.9188000000000303</v>
      </c>
      <c r="AF1115">
        <v>4.9243787544770496</v>
      </c>
      <c r="AG1115">
        <v>-1.109088136839</v>
      </c>
      <c r="AH1115">
        <v>18.1222905708224</v>
      </c>
      <c r="AI1115">
        <v>93.379886848585002</v>
      </c>
      <c r="AJ1115">
        <v>74.798052728553799</v>
      </c>
      <c r="AK1115">
        <v>18.8121502797032</v>
      </c>
      <c r="AL1115">
        <v>94.500413708938297</v>
      </c>
      <c r="AM1115">
        <v>89.716045602352594</v>
      </c>
      <c r="AN1115">
        <v>1.0000000758252801</v>
      </c>
    </row>
    <row r="1116" spans="1:40" x14ac:dyDescent="0.25">
      <c r="A1116" t="str">
        <f>"20190305135214732"</f>
        <v>20190305135214732</v>
      </c>
      <c r="B1116" t="str">
        <f>"1551765134720258"</f>
        <v>1551765134720258</v>
      </c>
      <c r="C1116" t="s">
        <v>40</v>
      </c>
      <c r="D1116">
        <v>4.6205499999999997</v>
      </c>
      <c r="E1116">
        <v>0.60036129999999999</v>
      </c>
      <c r="F1116" t="s">
        <v>42</v>
      </c>
      <c r="G1116">
        <v>-212.2585</v>
      </c>
      <c r="H1116" s="1">
        <v>-4.3971190000000001E-6</v>
      </c>
      <c r="I1116">
        <v>363.45049999999998</v>
      </c>
      <c r="J1116">
        <v>-230.76660000000001</v>
      </c>
      <c r="K1116">
        <v>1.109089</v>
      </c>
      <c r="L1116">
        <v>368.51850000000002</v>
      </c>
      <c r="M1116">
        <v>0.99990120000000005</v>
      </c>
      <c r="N1116">
        <v>-1.402073E-2</v>
      </c>
      <c r="O1116">
        <v>1.0264409999999999E-3</v>
      </c>
      <c r="P1116">
        <v>0.99564330000000001</v>
      </c>
      <c r="Q1116">
        <v>-9.2925400000000005E-2</v>
      </c>
      <c r="R1116">
        <v>-7.6981259999999996E-3</v>
      </c>
      <c r="S1116">
        <v>2.993439</v>
      </c>
      <c r="T1116">
        <v>-0.1771953</v>
      </c>
      <c r="U1116">
        <v>-0.80969239999999998</v>
      </c>
      <c r="V1116">
        <v>8.680788E-3</v>
      </c>
      <c r="W1116">
        <v>-7.8961089999999998E-2</v>
      </c>
      <c r="X1116">
        <v>0.9968399</v>
      </c>
      <c r="Y1116">
        <v>0.26156180000000001</v>
      </c>
      <c r="Z1116">
        <v>-9.5120540000000007E-3</v>
      </c>
      <c r="AA1116">
        <v>0.96513990000000005</v>
      </c>
      <c r="AB1116">
        <v>27</v>
      </c>
      <c r="AC1116">
        <v>18.508099999999999</v>
      </c>
      <c r="AD1116">
        <v>-1.109093397119</v>
      </c>
      <c r="AE1116">
        <v>-5.0680000000000396</v>
      </c>
      <c r="AF1116">
        <v>5.0700601173588096</v>
      </c>
      <c r="AG1116">
        <v>-1.109093397119</v>
      </c>
      <c r="AH1116">
        <v>18.441284563501299</v>
      </c>
      <c r="AI1116">
        <v>93.318874332279506</v>
      </c>
      <c r="AJ1116">
        <v>74.627484030651502</v>
      </c>
      <c r="AK1116">
        <v>19.157676636512999</v>
      </c>
      <c r="AL1116">
        <v>94.528851673318002</v>
      </c>
      <c r="AM1116">
        <v>89.501063367210904</v>
      </c>
      <c r="AN1116">
        <v>0.99999999802314898</v>
      </c>
    </row>
    <row r="1117" spans="1:40" x14ac:dyDescent="0.25">
      <c r="A1117" t="str">
        <f>"20190305135214747"</f>
        <v>20190305135214747</v>
      </c>
      <c r="B1117" t="str">
        <f>"1551765134740753"</f>
        <v>1551765134740753</v>
      </c>
      <c r="C1117" t="s">
        <v>40</v>
      </c>
      <c r="D1117">
        <v>4.5903790000000004</v>
      </c>
      <c r="E1117">
        <v>0.60025909999999905</v>
      </c>
      <c r="F1117" t="s">
        <v>42</v>
      </c>
      <c r="G1117">
        <v>-212.28819999999999</v>
      </c>
      <c r="H1117" s="1">
        <v>-4.386428E-6</v>
      </c>
      <c r="I1117">
        <v>363.43889999999999</v>
      </c>
      <c r="J1117">
        <v>-230.58920000000001</v>
      </c>
      <c r="K1117">
        <v>1.109089</v>
      </c>
      <c r="L1117">
        <v>368.51850000000002</v>
      </c>
      <c r="M1117">
        <v>0.99990140000000005</v>
      </c>
      <c r="N1117">
        <v>-1.401873E-2</v>
      </c>
      <c r="O1117">
        <v>8.5749899999999996E-4</v>
      </c>
      <c r="P1117">
        <v>0.99560530000000003</v>
      </c>
      <c r="Q1117">
        <v>-9.3156699999999995E-2</v>
      </c>
      <c r="R1117">
        <v>-9.5759130000000001E-3</v>
      </c>
      <c r="S1117">
        <v>2.990005</v>
      </c>
      <c r="T1117">
        <v>-0.17946329999999999</v>
      </c>
      <c r="U1117">
        <v>-0.82192989999999999</v>
      </c>
      <c r="V1117">
        <v>1.039052E-2</v>
      </c>
      <c r="W1117">
        <v>-7.9195719999999997E-2</v>
      </c>
      <c r="X1117">
        <v>0.99680500000000005</v>
      </c>
      <c r="Y1117">
        <v>0.26533179999999901</v>
      </c>
      <c r="Z1117">
        <v>-9.7455010000000002E-3</v>
      </c>
      <c r="AA1117">
        <v>0.96410790000000002</v>
      </c>
      <c r="AB1117">
        <v>27</v>
      </c>
      <c r="AC1117">
        <v>18.300999999999998</v>
      </c>
      <c r="AD1117">
        <v>-1.1090933864279999</v>
      </c>
      <c r="AE1117">
        <v>-5.0796000000000197</v>
      </c>
      <c r="AF1117">
        <v>5.0779768273567099</v>
      </c>
      <c r="AG1117">
        <v>-1.1090933864279999</v>
      </c>
      <c r="AH1117">
        <v>18.234457465917998</v>
      </c>
      <c r="AI1117">
        <v>93.353377153463299</v>
      </c>
      <c r="AJ1117">
        <v>74.438411971378898</v>
      </c>
      <c r="AK1117">
        <v>18.960785212521198</v>
      </c>
      <c r="AL1117">
        <v>94.5423369017563</v>
      </c>
      <c r="AM1117">
        <v>89.402780501537606</v>
      </c>
      <c r="AN1117">
        <v>1.00000006649859</v>
      </c>
    </row>
    <row r="1118" spans="1:40" x14ac:dyDescent="0.25">
      <c r="A1118" t="str">
        <f>"20190305135214767"</f>
        <v>20190305135214767</v>
      </c>
      <c r="B1118" t="str">
        <f>"1551765134760274"</f>
        <v>1551765134760274</v>
      </c>
      <c r="C1118" t="s">
        <v>40</v>
      </c>
      <c r="D1118">
        <v>4.63368</v>
      </c>
      <c r="E1118">
        <v>0.60038210000000003</v>
      </c>
      <c r="F1118" t="s">
        <v>42</v>
      </c>
      <c r="G1118">
        <v>-212.27119999999999</v>
      </c>
      <c r="H1118" s="1">
        <v>-4.3915929999999996E-6</v>
      </c>
      <c r="I1118">
        <v>363.45100000000002</v>
      </c>
      <c r="J1118">
        <v>-230.3502</v>
      </c>
      <c r="K1118">
        <v>1.1090880000000001</v>
      </c>
      <c r="L1118">
        <v>368.51839999999999</v>
      </c>
      <c r="M1118">
        <v>0.9999017</v>
      </c>
      <c r="N1118">
        <v>-1.4015990000000001E-2</v>
      </c>
      <c r="O1118">
        <v>6.3188839999999997E-4</v>
      </c>
      <c r="P1118">
        <v>0.99553840000000005</v>
      </c>
      <c r="Q1118">
        <v>-9.3413250000000003E-2</v>
      </c>
      <c r="R1118">
        <v>-1.332147E-2</v>
      </c>
      <c r="S1118">
        <v>2.9883419999999998</v>
      </c>
      <c r="T1118">
        <v>-0.1809336</v>
      </c>
      <c r="U1118">
        <v>-0.826690699999999</v>
      </c>
      <c r="V1118">
        <v>1.3911359999999999E-2</v>
      </c>
      <c r="W1118">
        <v>-7.9457630000000001E-2</v>
      </c>
      <c r="X1118">
        <v>0.99674119999999999</v>
      </c>
      <c r="Y1118">
        <v>0.2666675</v>
      </c>
      <c r="Z1118">
        <v>-9.8513869999999996E-3</v>
      </c>
      <c r="AA1118">
        <v>0.96373830000000005</v>
      </c>
      <c r="AB1118">
        <v>27</v>
      </c>
      <c r="AC1118">
        <v>18.079000000000001</v>
      </c>
      <c r="AD1118">
        <v>-1.10909239159299</v>
      </c>
      <c r="AE1118">
        <v>-5.0674000000000197</v>
      </c>
      <c r="AF1118">
        <v>5.0611639957344599</v>
      </c>
      <c r="AG1118">
        <v>-1.10909239159299</v>
      </c>
      <c r="AH1118">
        <v>18.012941118755901</v>
      </c>
      <c r="AI1118">
        <v>93.392328747666198</v>
      </c>
      <c r="AJ1118">
        <v>74.306029822953505</v>
      </c>
      <c r="AK1118">
        <v>18.743305862962799</v>
      </c>
      <c r="AL1118">
        <v>94.5573908429037</v>
      </c>
      <c r="AM1118">
        <v>89.200383743375099</v>
      </c>
      <c r="AN1118">
        <v>1.00000003033985</v>
      </c>
    </row>
    <row r="1119" spans="1:40" x14ac:dyDescent="0.25">
      <c r="A1119" t="str">
        <f>"20190305135214781"</f>
        <v>20190305135214781</v>
      </c>
      <c r="B1119" t="str">
        <f>"1551765134771010"</f>
        <v>1551765134771010</v>
      </c>
      <c r="C1119" t="s">
        <v>40</v>
      </c>
      <c r="D1119">
        <v>4.6137980000000001</v>
      </c>
      <c r="E1119">
        <v>0.60026939999999995</v>
      </c>
      <c r="F1119" t="s">
        <v>42</v>
      </c>
      <c r="G1119">
        <v>-211.96700000000001</v>
      </c>
      <c r="H1119" s="1">
        <v>-4.5396069999999997E-6</v>
      </c>
      <c r="I1119">
        <v>363.35219999999998</v>
      </c>
      <c r="J1119">
        <v>-230.17179999999999</v>
      </c>
      <c r="K1119">
        <v>1.109083</v>
      </c>
      <c r="L1119">
        <v>368.51839999999999</v>
      </c>
      <c r="M1119">
        <v>0.9999017</v>
      </c>
      <c r="N1119">
        <v>-1.401399E-2</v>
      </c>
      <c r="O1119">
        <v>4.6455960000000001E-4</v>
      </c>
      <c r="P1119">
        <v>0.99551239999999996</v>
      </c>
      <c r="Q1119">
        <v>-9.3439880000000003E-2</v>
      </c>
      <c r="R1119">
        <v>-1.4976140000000001E-2</v>
      </c>
      <c r="S1119">
        <v>2.9853209999999999</v>
      </c>
      <c r="T1119">
        <v>-0.18010950000000001</v>
      </c>
      <c r="U1119">
        <v>-0.83895869999999995</v>
      </c>
      <c r="V1119">
        <v>1.5399410000000001E-2</v>
      </c>
      <c r="W1119">
        <v>-7.9487290000000002E-2</v>
      </c>
      <c r="X1119">
        <v>0.99671690000000002</v>
      </c>
      <c r="Y1119">
        <v>0.27042569999999999</v>
      </c>
      <c r="Z1119">
        <v>-9.9498120000000006E-3</v>
      </c>
      <c r="AA1119">
        <v>0.96268940000000003</v>
      </c>
      <c r="AB1119">
        <v>27</v>
      </c>
      <c r="AC1119">
        <v>18.204799999999899</v>
      </c>
      <c r="AD1119">
        <v>-1.1090875396069999</v>
      </c>
      <c r="AE1119">
        <v>-5.1661999999999999</v>
      </c>
      <c r="AF1119">
        <v>5.15694357823274</v>
      </c>
      <c r="AG1119">
        <v>-1.1090875396069999</v>
      </c>
      <c r="AH1119">
        <v>18.140087266906601</v>
      </c>
      <c r="AI1119">
        <v>93.365680952727303</v>
      </c>
      <c r="AJ1119">
        <v>74.130376685243903</v>
      </c>
      <c r="AK1119">
        <v>18.891450666652698</v>
      </c>
      <c r="AL1119">
        <v>94.559095880987698</v>
      </c>
      <c r="AM1119">
        <v>89.114842936111501</v>
      </c>
      <c r="AN1119">
        <v>0.99999997492274995</v>
      </c>
    </row>
    <row r="1120" spans="1:40" x14ac:dyDescent="0.25">
      <c r="A1120" t="str">
        <f>"20190305135214800"</f>
        <v>20190305135214800</v>
      </c>
      <c r="B1120" t="str">
        <f>"1551765134790530"</f>
        <v>1551765134790530</v>
      </c>
      <c r="C1120" t="s">
        <v>40</v>
      </c>
      <c r="D1120">
        <v>4.6065040000000002</v>
      </c>
      <c r="E1120">
        <v>0.59998289999999999</v>
      </c>
      <c r="F1120" t="s">
        <v>42</v>
      </c>
      <c r="G1120">
        <v>-211.845</v>
      </c>
      <c r="H1120" s="1">
        <v>-4.5941959999999999E-6</v>
      </c>
      <c r="I1120">
        <v>363.33969999999999</v>
      </c>
      <c r="J1120">
        <v>-229.94919999999999</v>
      </c>
      <c r="K1120">
        <v>1.1090789999999999</v>
      </c>
      <c r="L1120">
        <v>368.51819999999998</v>
      </c>
      <c r="M1120">
        <v>0.99990190000000001</v>
      </c>
      <c r="N1120">
        <v>-1.401151E-2</v>
      </c>
      <c r="O1120">
        <v>2.571238E-4</v>
      </c>
      <c r="P1120">
        <v>0.99548009999999998</v>
      </c>
      <c r="Q1120">
        <v>-9.3304310000000001E-2</v>
      </c>
      <c r="R1120">
        <v>-1.7726619999999998E-2</v>
      </c>
      <c r="S1120">
        <v>2.9838870000000002</v>
      </c>
      <c r="T1120">
        <v>-0.18057609999999999</v>
      </c>
      <c r="U1120">
        <v>-0.84317019999999998</v>
      </c>
      <c r="V1120">
        <v>1.7943790000000001E-2</v>
      </c>
      <c r="W1120">
        <v>-7.9355809999999999E-2</v>
      </c>
      <c r="X1120">
        <v>0.99668480000000004</v>
      </c>
      <c r="Y1120">
        <v>0.27160000000000001</v>
      </c>
      <c r="Z1120">
        <v>-1.0006579999999999E-2</v>
      </c>
      <c r="AA1120">
        <v>0.96235820000000005</v>
      </c>
      <c r="AB1120">
        <v>27</v>
      </c>
      <c r="AC1120">
        <v>18.104199999999899</v>
      </c>
      <c r="AD1120">
        <v>-1.109083594196</v>
      </c>
      <c r="AE1120">
        <v>-5.1784999999999801</v>
      </c>
      <c r="AF1120">
        <v>5.1652366318807399</v>
      </c>
      <c r="AG1120">
        <v>-1.109083594196</v>
      </c>
      <c r="AH1120">
        <v>18.0402843732283</v>
      </c>
      <c r="AI1120">
        <v>93.382435533135606</v>
      </c>
      <c r="AJ1120">
        <v>74.022692645510702</v>
      </c>
      <c r="AK1120">
        <v>18.797914675547901</v>
      </c>
      <c r="AL1120">
        <v>94.5515388397381</v>
      </c>
      <c r="AM1120">
        <v>88.968588284864595</v>
      </c>
      <c r="AN1120">
        <v>0.99999995736567904</v>
      </c>
    </row>
    <row r="1121" spans="1:40" x14ac:dyDescent="0.25">
      <c r="A1121" t="str">
        <f>"20190305135214813"</f>
        <v>20190305135214813</v>
      </c>
      <c r="B1121" t="str">
        <f>"1551765134811026"</f>
        <v>1551765134811026</v>
      </c>
      <c r="C1121" t="s">
        <v>40</v>
      </c>
      <c r="D1121">
        <v>4.6014220000000003</v>
      </c>
      <c r="E1121">
        <v>0.59982190000000002</v>
      </c>
      <c r="F1121" t="s">
        <v>42</v>
      </c>
      <c r="G1121">
        <v>-211.70439999999999</v>
      </c>
      <c r="H1121" s="1">
        <v>-4.6571559999999997E-6</v>
      </c>
      <c r="I1121">
        <v>363.32479999999998</v>
      </c>
      <c r="J1121">
        <v>-229.78870000000001</v>
      </c>
      <c r="K1121">
        <v>1.1090739999999999</v>
      </c>
      <c r="L1121">
        <v>368.5181</v>
      </c>
      <c r="M1121">
        <v>0.99990179999999995</v>
      </c>
      <c r="N1121">
        <v>-1.400972E-2</v>
      </c>
      <c r="O1121">
        <v>1.0779189999999999E-4</v>
      </c>
      <c r="P1121">
        <v>0.99545280000000003</v>
      </c>
      <c r="Q1121">
        <v>-9.3310279999999995E-2</v>
      </c>
      <c r="R1121">
        <v>-1.9153529999999998E-2</v>
      </c>
      <c r="S1121">
        <v>2.981522</v>
      </c>
      <c r="T1121">
        <v>-0.1812423</v>
      </c>
      <c r="U1121">
        <v>-0.84869380000000005</v>
      </c>
      <c r="V1121">
        <v>1.9222220000000002E-2</v>
      </c>
      <c r="W1121">
        <v>-7.9364489999999996E-2</v>
      </c>
      <c r="X1121">
        <v>0.99666030000000005</v>
      </c>
      <c r="Y1121">
        <v>0.27329789999999998</v>
      </c>
      <c r="Z1121">
        <v>-1.0096600000000001E-2</v>
      </c>
      <c r="AA1121">
        <v>0.96187650000000002</v>
      </c>
      <c r="AB1121">
        <v>27</v>
      </c>
      <c r="AC1121">
        <v>18.084299999999999</v>
      </c>
      <c r="AD1121">
        <v>-1.1090786571559901</v>
      </c>
      <c r="AE1121">
        <v>-5.1933000000000202</v>
      </c>
      <c r="AF1121">
        <v>5.1772605281012503</v>
      </c>
      <c r="AG1121">
        <v>-1.1090786571559901</v>
      </c>
      <c r="AH1121">
        <v>18.021123622638601</v>
      </c>
      <c r="AI1121">
        <v>93.385138752885396</v>
      </c>
      <c r="AJ1121">
        <v>73.971253288512798</v>
      </c>
      <c r="AK1121">
        <v>18.782837343330701</v>
      </c>
      <c r="AL1121">
        <v>94.552037615484295</v>
      </c>
      <c r="AM1121">
        <v>88.895094395581793</v>
      </c>
      <c r="AN1121">
        <v>0.99999998480538899</v>
      </c>
    </row>
    <row r="1122" spans="1:40" x14ac:dyDescent="0.25">
      <c r="A1122" t="str">
        <f>"20190305135214828"</f>
        <v>20190305135214828</v>
      </c>
      <c r="B1122" t="str">
        <f>"1551765134820785"</f>
        <v>1551765134820785</v>
      </c>
      <c r="C1122" t="s">
        <v>40</v>
      </c>
      <c r="D1122">
        <v>4.6223619999999999</v>
      </c>
      <c r="E1122">
        <v>0.59965659999999998</v>
      </c>
      <c r="F1122" t="s">
        <v>42</v>
      </c>
      <c r="G1122">
        <v>-211.458</v>
      </c>
      <c r="H1122" s="1">
        <v>-4.7709499999999996E-6</v>
      </c>
      <c r="I1122">
        <v>363.27910000000003</v>
      </c>
      <c r="J1122">
        <v>-229.61529999999999</v>
      </c>
      <c r="K1122">
        <v>1.1090719999999901</v>
      </c>
      <c r="L1122">
        <v>368.5179</v>
      </c>
      <c r="M1122">
        <v>0.99990190000000001</v>
      </c>
      <c r="N1122">
        <v>-1.4007779999999999E-2</v>
      </c>
      <c r="O1122" s="1">
        <v>-5.3694740000000002E-5</v>
      </c>
      <c r="P1122">
        <v>0.995417</v>
      </c>
      <c r="Q1122">
        <v>-9.3453120000000001E-2</v>
      </c>
      <c r="R1122">
        <v>-2.0284590000000002E-2</v>
      </c>
      <c r="S1122">
        <v>2.9804080000000002</v>
      </c>
      <c r="T1122">
        <v>-0.1803256</v>
      </c>
      <c r="U1122">
        <v>-0.85180659999999897</v>
      </c>
      <c r="V1122">
        <v>2.0192649999999999E-2</v>
      </c>
      <c r="W1122">
        <v>-7.9510150000000002E-2</v>
      </c>
      <c r="X1122">
        <v>0.99662949999999995</v>
      </c>
      <c r="Y1122">
        <v>0.27416950000000001</v>
      </c>
      <c r="Z1122">
        <v>-1.0081959999999999E-2</v>
      </c>
      <c r="AA1122">
        <v>0.96162859999999994</v>
      </c>
      <c r="AB1122">
        <v>27</v>
      </c>
      <c r="AC1122">
        <v>18.1572999999999</v>
      </c>
      <c r="AD1122">
        <v>-1.10907677094999</v>
      </c>
      <c r="AE1122">
        <v>-5.2387999999999604</v>
      </c>
      <c r="AF1122">
        <v>5.2198465263990004</v>
      </c>
      <c r="AG1122">
        <v>-1.10907677094999</v>
      </c>
      <c r="AH1122">
        <v>18.095256839067201</v>
      </c>
      <c r="AI1122">
        <v>93.370244942447599</v>
      </c>
      <c r="AJ1122">
        <v>73.909005634638405</v>
      </c>
      <c r="AK1122">
        <v>18.865714116216999</v>
      </c>
      <c r="AL1122">
        <v>94.560409781233901</v>
      </c>
      <c r="AM1122">
        <v>88.839292486165405</v>
      </c>
      <c r="AN1122">
        <v>0.99999998366864695</v>
      </c>
    </row>
    <row r="1123" spans="1:40" x14ac:dyDescent="0.25">
      <c r="A1123" t="str">
        <f>"20190305135214844"</f>
        <v>20190305135214844</v>
      </c>
      <c r="B1123" t="str">
        <f>"1551765134840305"</f>
        <v>1551765134840305</v>
      </c>
      <c r="C1123" t="s">
        <v>40</v>
      </c>
      <c r="D1123">
        <v>4.6338239999999997</v>
      </c>
      <c r="E1123">
        <v>0.59938040000000004</v>
      </c>
      <c r="F1123" t="s">
        <v>42</v>
      </c>
      <c r="G1123">
        <v>-211.39709999999999</v>
      </c>
      <c r="H1123" s="1">
        <v>-4.7942289999999999E-6</v>
      </c>
      <c r="I1123">
        <v>363.29520000000002</v>
      </c>
      <c r="J1123">
        <v>-229.42259999999999</v>
      </c>
      <c r="K1123">
        <v>1.1090690000000001</v>
      </c>
      <c r="L1123">
        <v>368.51769999999999</v>
      </c>
      <c r="M1123">
        <v>0.99990190000000001</v>
      </c>
      <c r="N1123">
        <v>-1.400566E-2</v>
      </c>
      <c r="O1123">
        <v>-2.3246629999999999E-4</v>
      </c>
      <c r="P1123">
        <v>0.99537220000000004</v>
      </c>
      <c r="Q1123">
        <v>-9.3483300000000005E-2</v>
      </c>
      <c r="R1123">
        <v>-2.225396E-2</v>
      </c>
      <c r="S1123">
        <v>2.9793850000000002</v>
      </c>
      <c r="T1123">
        <v>-0.1813768</v>
      </c>
      <c r="U1123">
        <v>-0.85412600000000005</v>
      </c>
      <c r="V1123">
        <v>2.1984279999999998E-2</v>
      </c>
      <c r="W1123">
        <v>-7.9543799999999998E-2</v>
      </c>
      <c r="X1123">
        <v>0.9965889</v>
      </c>
      <c r="Y1123">
        <v>0.27476919999999999</v>
      </c>
      <c r="Z1123">
        <v>-1.014496E-2</v>
      </c>
      <c r="AA1123">
        <v>0.96145670000000005</v>
      </c>
      <c r="AB1123">
        <v>27</v>
      </c>
      <c r="AC1123">
        <v>18.025499999999901</v>
      </c>
      <c r="AD1123">
        <v>-1.1090737942290001</v>
      </c>
      <c r="AE1123">
        <v>-5.2224999999999602</v>
      </c>
      <c r="AF1123">
        <v>5.2001474626963899</v>
      </c>
      <c r="AG1123">
        <v>-1.1090737942290001</v>
      </c>
      <c r="AH1123">
        <v>17.963973993765201</v>
      </c>
      <c r="AI1123">
        <v>93.393895016738497</v>
      </c>
      <c r="AJ1123">
        <v>73.855514877118594</v>
      </c>
      <c r="AK1123">
        <v>18.734351869320299</v>
      </c>
      <c r="AL1123">
        <v>94.562343926298297</v>
      </c>
      <c r="AM1123">
        <v>88.736287147537098</v>
      </c>
      <c r="AN1123">
        <v>0.99999998014438396</v>
      </c>
    </row>
    <row r="1124" spans="1:40" x14ac:dyDescent="0.25">
      <c r="A1124" t="str">
        <f>"20190305135214857"</f>
        <v>20190305135214857</v>
      </c>
      <c r="B1124" t="str">
        <f>"1551765134851042"</f>
        <v>1551765134851042</v>
      </c>
      <c r="C1124" t="s">
        <v>40</v>
      </c>
      <c r="D1124">
        <v>4.645518</v>
      </c>
      <c r="E1124">
        <v>0.59925799999999996</v>
      </c>
      <c r="F1124" t="s">
        <v>42</v>
      </c>
      <c r="G1124">
        <v>-211.24719999999999</v>
      </c>
      <c r="H1124" s="1">
        <v>-4.8608629999999999E-6</v>
      </c>
      <c r="I1124">
        <v>363.28199999999998</v>
      </c>
      <c r="J1124">
        <v>-229.26320000000001</v>
      </c>
      <c r="K1124">
        <v>1.1090679999999999</v>
      </c>
      <c r="L1124">
        <v>368.51749999999998</v>
      </c>
      <c r="M1124">
        <v>0.99990179999999995</v>
      </c>
      <c r="N1124">
        <v>-1.400388E-2</v>
      </c>
      <c r="O1124">
        <v>-3.8013279999999999E-4</v>
      </c>
      <c r="P1124">
        <v>0.9953651</v>
      </c>
      <c r="Q1124">
        <v>-9.331151E-2</v>
      </c>
      <c r="R1124">
        <v>-2.3260550000000001E-2</v>
      </c>
      <c r="S1124">
        <v>2.9777070000000001</v>
      </c>
      <c r="T1124">
        <v>-0.18170120000000001</v>
      </c>
      <c r="U1124">
        <v>-0.85778809999999905</v>
      </c>
      <c r="V1124">
        <v>2.2844150000000001E-2</v>
      </c>
      <c r="W1124">
        <v>-7.9374230000000004E-2</v>
      </c>
      <c r="X1124">
        <v>0.99658310000000006</v>
      </c>
      <c r="Y1124">
        <v>0.2758584</v>
      </c>
      <c r="Z1124">
        <v>-1.019627E-2</v>
      </c>
      <c r="AA1124">
        <v>0.9611442</v>
      </c>
      <c r="AB1124">
        <v>27</v>
      </c>
      <c r="AC1124">
        <v>18.015999999999998</v>
      </c>
      <c r="AD1124">
        <v>-1.1090728608629901</v>
      </c>
      <c r="AE1124">
        <v>-5.2355</v>
      </c>
      <c r="AF1124">
        <v>5.2104422161887802</v>
      </c>
      <c r="AG1124">
        <v>-1.1090728608629901</v>
      </c>
      <c r="AH1124">
        <v>17.955243204439999</v>
      </c>
      <c r="AI1124">
        <v>93.394891846992607</v>
      </c>
      <c r="AJ1124">
        <v>73.817769809736703</v>
      </c>
      <c r="AK1124">
        <v>18.728841641423902</v>
      </c>
      <c r="AL1124">
        <v>94.552597375940294</v>
      </c>
      <c r="AM1124">
        <v>88.686868953442598</v>
      </c>
      <c r="AN1124">
        <v>0.999999999391462</v>
      </c>
    </row>
    <row r="1125" spans="1:40" x14ac:dyDescent="0.25">
      <c r="A1125" t="str">
        <f>"20190305135214871"</f>
        <v>20190305135214871</v>
      </c>
      <c r="B1125" t="str">
        <f>"1551765134860802"</f>
        <v>1551765134860802</v>
      </c>
      <c r="C1125" t="s">
        <v>40</v>
      </c>
      <c r="D1125">
        <v>4.6229480000000001</v>
      </c>
      <c r="E1125">
        <v>0.59916309999999995</v>
      </c>
      <c r="F1125" t="s">
        <v>42</v>
      </c>
      <c r="G1125">
        <v>-210.9417</v>
      </c>
      <c r="H1125" s="1">
        <v>-5.001619E-6</v>
      </c>
      <c r="I1125">
        <v>363.22719999999998</v>
      </c>
      <c r="J1125">
        <v>-229.09970000000001</v>
      </c>
      <c r="K1125">
        <v>1.1090660000000001</v>
      </c>
      <c r="L1125">
        <v>368.51729999999998</v>
      </c>
      <c r="M1125">
        <v>0.99990190000000001</v>
      </c>
      <c r="N1125">
        <v>-1.400204E-2</v>
      </c>
      <c r="O1125">
        <v>-5.3185280000000003E-4</v>
      </c>
      <c r="P1125">
        <v>0.99531700000000001</v>
      </c>
      <c r="Q1125">
        <v>-9.3358979999999994E-2</v>
      </c>
      <c r="R1125">
        <v>-2.506771E-2</v>
      </c>
      <c r="S1125">
        <v>2.9769739999999998</v>
      </c>
      <c r="T1125">
        <v>-0.18020729999999999</v>
      </c>
      <c r="U1125">
        <v>-0.85958860000000004</v>
      </c>
      <c r="V1125">
        <v>2.4500129999999998E-2</v>
      </c>
      <c r="W1125">
        <v>-7.9424889999999998E-2</v>
      </c>
      <c r="X1125">
        <v>0.99653970000000003</v>
      </c>
      <c r="Y1125">
        <v>0.27631990000000001</v>
      </c>
      <c r="Z1125">
        <v>-1.014002E-2</v>
      </c>
      <c r="AA1125">
        <v>0.96101219999999998</v>
      </c>
      <c r="AB1125">
        <v>27</v>
      </c>
      <c r="AC1125">
        <v>18.158000000000001</v>
      </c>
      <c r="AD1125">
        <v>-1.109071001619</v>
      </c>
      <c r="AE1125">
        <v>-5.29009999999999</v>
      </c>
      <c r="AF1125">
        <v>5.2623449737478101</v>
      </c>
      <c r="AG1125">
        <v>-1.109071001619</v>
      </c>
      <c r="AH1125">
        <v>18.0985745822254</v>
      </c>
      <c r="AI1125">
        <v>93.367549862146504</v>
      </c>
      <c r="AJ1125">
        <v>73.787672380900602</v>
      </c>
      <c r="AK1125">
        <v>18.880696889091102</v>
      </c>
      <c r="AL1125">
        <v>94.555509299928204</v>
      </c>
      <c r="AM1125">
        <v>88.591655380767094</v>
      </c>
      <c r="AN1125">
        <v>0.99999997159880905</v>
      </c>
    </row>
    <row r="1126" spans="1:40" x14ac:dyDescent="0.25">
      <c r="A1126" t="str">
        <f>"20190305135214884"</f>
        <v>20190305135214884</v>
      </c>
      <c r="B1126" t="str">
        <f>"1551765134880322"</f>
        <v>1551765134880322</v>
      </c>
      <c r="C1126" t="s">
        <v>40</v>
      </c>
      <c r="D1126">
        <v>4.6473019999999998</v>
      </c>
      <c r="E1126">
        <v>0.59892080000000003</v>
      </c>
      <c r="F1126" t="s">
        <v>42</v>
      </c>
      <c r="G1126">
        <v>-210.70599999999999</v>
      </c>
      <c r="H1126" s="1">
        <v>-5.1119470000000004E-6</v>
      </c>
      <c r="I1126">
        <v>363.17529999999999</v>
      </c>
      <c r="J1126">
        <v>-228.93790000000001</v>
      </c>
      <c r="K1126">
        <v>1.109062</v>
      </c>
      <c r="L1126">
        <v>368.51710000000003</v>
      </c>
      <c r="M1126">
        <v>0.99990179999999995</v>
      </c>
      <c r="N1126">
        <v>-1.4000230000000001E-2</v>
      </c>
      <c r="O1126">
        <v>-6.819056E-4</v>
      </c>
      <c r="P1126">
        <v>0.99528030000000001</v>
      </c>
      <c r="Q1126">
        <v>-9.3339199999999997E-2</v>
      </c>
      <c r="R1126">
        <v>-2.654861E-2</v>
      </c>
      <c r="S1126">
        <v>2.9755250000000002</v>
      </c>
      <c r="T1126">
        <v>-0.17941299999999999</v>
      </c>
      <c r="U1126">
        <v>-0.86416630000000005</v>
      </c>
      <c r="V1126">
        <v>2.5832029999999999E-2</v>
      </c>
      <c r="W1126">
        <v>-7.9407980000000003E-2</v>
      </c>
      <c r="X1126">
        <v>0.99650749999999999</v>
      </c>
      <c r="Y1126">
        <v>0.27766590000000002</v>
      </c>
      <c r="Z1126">
        <v>-1.014893E-2</v>
      </c>
      <c r="AA1126">
        <v>0.96062409999999998</v>
      </c>
      <c r="AB1126">
        <v>27</v>
      </c>
      <c r="AC1126">
        <v>18.2319</v>
      </c>
      <c r="AD1126">
        <v>-1.1090671119469999</v>
      </c>
      <c r="AE1126">
        <v>-5.3418000000000303</v>
      </c>
      <c r="AF1126">
        <v>5.3112649534678598</v>
      </c>
      <c r="AG1126">
        <v>-1.1090671119469999</v>
      </c>
      <c r="AH1126">
        <v>18.173605261735599</v>
      </c>
      <c r="AI1126">
        <v>93.3523263378964</v>
      </c>
      <c r="AJ1126">
        <v>73.708914214233303</v>
      </c>
      <c r="AK1126">
        <v>18.966272524513698</v>
      </c>
      <c r="AL1126">
        <v>94.554536958095298</v>
      </c>
      <c r="AM1126">
        <v>88.515079009245895</v>
      </c>
      <c r="AN1126">
        <v>1.00000005930892</v>
      </c>
    </row>
    <row r="1127" spans="1:40" x14ac:dyDescent="0.25">
      <c r="A1127" t="str">
        <f>"20190305135214900"</f>
        <v>20190305135214900</v>
      </c>
      <c r="B1127" t="str">
        <f>"1551765134891059"</f>
        <v>1551765134891059</v>
      </c>
      <c r="C1127" t="s">
        <v>40</v>
      </c>
      <c r="D1127">
        <v>4.6448390000000002</v>
      </c>
      <c r="E1127">
        <v>0.59885379999999999</v>
      </c>
      <c r="F1127" t="s">
        <v>42</v>
      </c>
      <c r="G1127">
        <v>-210.57</v>
      </c>
      <c r="H1127" s="1">
        <v>-5.1721540000000002E-6</v>
      </c>
      <c r="I1127">
        <v>363.16480000000001</v>
      </c>
      <c r="J1127">
        <v>-228.75110000000001</v>
      </c>
      <c r="K1127">
        <v>1.1090629999999999</v>
      </c>
      <c r="L1127">
        <v>368.51670000000001</v>
      </c>
      <c r="M1127">
        <v>0.9999017</v>
      </c>
      <c r="N1127">
        <v>-1.3998170000000001E-2</v>
      </c>
      <c r="O1127">
        <v>-8.5532139999999995E-4</v>
      </c>
      <c r="P1127">
        <v>0.99520419999999998</v>
      </c>
      <c r="Q1127">
        <v>-9.3377100000000005E-2</v>
      </c>
      <c r="R1127">
        <v>-2.9150059999999998E-2</v>
      </c>
      <c r="S1127">
        <v>2.974243</v>
      </c>
      <c r="T1127">
        <v>-0.17958640000000001</v>
      </c>
      <c r="U1127">
        <v>-0.86666869999999996</v>
      </c>
      <c r="V1127">
        <v>2.8260960000000002E-2</v>
      </c>
      <c r="W1127">
        <v>-7.9450000000000007E-2</v>
      </c>
      <c r="X1127">
        <v>0.99643809999999999</v>
      </c>
      <c r="Y1127">
        <v>0.27835270000000001</v>
      </c>
      <c r="Z1127">
        <v>-1.017653E-2</v>
      </c>
      <c r="AA1127">
        <v>0.96042499999999997</v>
      </c>
      <c r="AB1127">
        <v>27</v>
      </c>
      <c r="AC1127">
        <v>18.181100000000001</v>
      </c>
      <c r="AD1127">
        <v>-1.1090681721540001</v>
      </c>
      <c r="AE1127">
        <v>-5.3518999999999997</v>
      </c>
      <c r="AF1127">
        <v>5.31813435553192</v>
      </c>
      <c r="AG1127">
        <v>-1.1090681721540001</v>
      </c>
      <c r="AH1127">
        <v>18.123608700636499</v>
      </c>
      <c r="AI1127">
        <v>93.360484254836805</v>
      </c>
      <c r="AJ1127">
        <v>73.646368290734003</v>
      </c>
      <c r="AK1127">
        <v>18.920300673291699</v>
      </c>
      <c r="AL1127">
        <v>94.556952721626004</v>
      </c>
      <c r="AM1127">
        <v>88.375413614985206</v>
      </c>
      <c r="AN1127">
        <v>0.99999993574586299</v>
      </c>
    </row>
    <row r="1128" spans="1:40" x14ac:dyDescent="0.25">
      <c r="A1128" t="str">
        <f>"20190305135214913"</f>
        <v>20190305135214913</v>
      </c>
      <c r="B1128" t="str">
        <f>"1551765134910578"</f>
        <v>1551765134910578</v>
      </c>
      <c r="C1128" t="s">
        <v>40</v>
      </c>
      <c r="D1128">
        <v>4.6455840000000004</v>
      </c>
      <c r="E1128">
        <v>0.59869090000000003</v>
      </c>
      <c r="F1128" t="s">
        <v>42</v>
      </c>
      <c r="G1128">
        <v>-210.3201</v>
      </c>
      <c r="H1128" s="1">
        <v>-5.2913109999999997E-6</v>
      </c>
      <c r="I1128">
        <v>363.09750000000003</v>
      </c>
      <c r="J1128">
        <v>-228.59469999999999</v>
      </c>
      <c r="K1128">
        <v>1.109064</v>
      </c>
      <c r="L1128">
        <v>368.51639999999998</v>
      </c>
      <c r="M1128">
        <v>0.9999017</v>
      </c>
      <c r="N1128">
        <v>-1.39965E-2</v>
      </c>
      <c r="O1128">
        <v>-1.000492E-3</v>
      </c>
      <c r="P1128">
        <v>0.99515450000000005</v>
      </c>
      <c r="Q1128">
        <v>-9.3440259999999997E-2</v>
      </c>
      <c r="R1128">
        <v>-3.0606660000000001E-2</v>
      </c>
      <c r="S1128">
        <v>2.972092</v>
      </c>
      <c r="T1128">
        <v>-0.17884229999999901</v>
      </c>
      <c r="U1128">
        <v>-0.87387079999999995</v>
      </c>
      <c r="V1128">
        <v>2.9573220000000001E-2</v>
      </c>
      <c r="W1128">
        <v>-7.9516050000000005E-2</v>
      </c>
      <c r="X1128">
        <v>0.99639480000000002</v>
      </c>
      <c r="Y1128">
        <v>0.28054249999999997</v>
      </c>
      <c r="Z1128">
        <v>-1.021965E-2</v>
      </c>
      <c r="AA1128">
        <v>0.95978719999999995</v>
      </c>
      <c r="AB1128">
        <v>27</v>
      </c>
      <c r="AC1128">
        <v>18.2745999999999</v>
      </c>
      <c r="AD1128">
        <v>-1.1090692913110001</v>
      </c>
      <c r="AE1128">
        <v>-5.4188999999999501</v>
      </c>
      <c r="AF1128">
        <v>5.3823898822243299</v>
      </c>
      <c r="AG1128">
        <v>-1.1090692913110001</v>
      </c>
      <c r="AH1128">
        <v>18.2183349621933</v>
      </c>
      <c r="AI1128">
        <v>93.341246393853794</v>
      </c>
      <c r="AJ1128">
        <v>73.540852909187706</v>
      </c>
      <c r="AK1128">
        <v>19.0291325165357</v>
      </c>
      <c r="AL1128">
        <v>94.560748882502395</v>
      </c>
      <c r="AM1128">
        <v>88.299947562761204</v>
      </c>
      <c r="AN1128">
        <v>0.99999998750790497</v>
      </c>
    </row>
    <row r="1129" spans="1:40" x14ac:dyDescent="0.25">
      <c r="A1129" t="str">
        <f>"20190305135214926"</f>
        <v>20190305135214926</v>
      </c>
      <c r="B1129" t="str">
        <f>"1551765134920339"</f>
        <v>1551765134920339</v>
      </c>
      <c r="C1129" t="s">
        <v>40</v>
      </c>
      <c r="D1129">
        <v>4.5565980000000001</v>
      </c>
      <c r="E1129">
        <v>0.59868699999999997</v>
      </c>
      <c r="F1129" t="s">
        <v>42</v>
      </c>
      <c r="G1129">
        <v>-210.15350000000001</v>
      </c>
      <c r="H1129" s="1">
        <v>-5.3669049999999997E-6</v>
      </c>
      <c r="I1129">
        <v>363.07420000000002</v>
      </c>
      <c r="J1129">
        <v>-228.45060000000001</v>
      </c>
      <c r="K1129">
        <v>1.109067</v>
      </c>
      <c r="L1129">
        <v>368.51609999999999</v>
      </c>
      <c r="M1129">
        <v>0.99990140000000005</v>
      </c>
      <c r="N1129">
        <v>-1.3994990000000001E-2</v>
      </c>
      <c r="O1129">
        <v>-1.1342209999999999E-3</v>
      </c>
      <c r="P1129">
        <v>0.99512769999999995</v>
      </c>
      <c r="Q1129">
        <v>-9.3252600000000005E-2</v>
      </c>
      <c r="R1129">
        <v>-3.2015179999999997E-2</v>
      </c>
      <c r="S1129">
        <v>2.9708860000000001</v>
      </c>
      <c r="T1129">
        <v>-0.17867149999999901</v>
      </c>
      <c r="U1129">
        <v>-0.8767395</v>
      </c>
      <c r="V1129">
        <v>3.0848750000000001E-2</v>
      </c>
      <c r="W1129">
        <v>-7.933076E-2</v>
      </c>
      <c r="X1129">
        <v>0.99637089999999995</v>
      </c>
      <c r="Y1129">
        <v>0.28137119999999999</v>
      </c>
      <c r="Z1129">
        <v>-1.0238260000000001E-2</v>
      </c>
      <c r="AA1129">
        <v>0.95954439999999996</v>
      </c>
      <c r="AB1129">
        <v>27</v>
      </c>
      <c r="AC1129">
        <v>18.2971</v>
      </c>
      <c r="AD1129">
        <v>-1.109072366905</v>
      </c>
      <c r="AE1129">
        <v>-5.4418999999999702</v>
      </c>
      <c r="AF1129">
        <v>5.4029037780728499</v>
      </c>
      <c r="AG1129">
        <v>-1.109072366905</v>
      </c>
      <c r="AH1129">
        <v>18.241685560873901</v>
      </c>
      <c r="AI1129">
        <v>93.336312391317193</v>
      </c>
      <c r="AJ1129">
        <v>73.501529427357994</v>
      </c>
      <c r="AK1129">
        <v>19.057295265906401</v>
      </c>
      <c r="AL1129">
        <v>94.550098880505999</v>
      </c>
      <c r="AM1129">
        <v>88.226625514313596</v>
      </c>
      <c r="AN1129">
        <v>0.99999999261277495</v>
      </c>
    </row>
    <row r="1130" spans="1:40" x14ac:dyDescent="0.25">
      <c r="A1130" t="str">
        <f>"20190305135214937"</f>
        <v>20190305135214937</v>
      </c>
      <c r="B1130" t="str">
        <f>"1551765134931074"</f>
        <v>1551765134931074</v>
      </c>
      <c r="C1130" t="s">
        <v>40</v>
      </c>
      <c r="D1130">
        <v>4.6284650000000003</v>
      </c>
      <c r="E1130">
        <v>0.59871640000000004</v>
      </c>
      <c r="F1130" t="s">
        <v>52</v>
      </c>
      <c r="G1130">
        <v>-209.70310000000001</v>
      </c>
      <c r="H1130" s="1">
        <v>-6.2256400000000004E-6</v>
      </c>
      <c r="I1130">
        <v>362.95819999999998</v>
      </c>
      <c r="J1130">
        <v>-228.29400000000001</v>
      </c>
      <c r="K1130">
        <v>1.1090719999999901</v>
      </c>
      <c r="L1130">
        <v>368.51580000000001</v>
      </c>
      <c r="M1130">
        <v>0.99990129999999999</v>
      </c>
      <c r="N1130">
        <v>-1.399336E-2</v>
      </c>
      <c r="O1130">
        <v>-1.279634E-3</v>
      </c>
      <c r="P1130">
        <v>0.99509190000000003</v>
      </c>
      <c r="Q1130">
        <v>-9.311643E-2</v>
      </c>
      <c r="R1130">
        <v>-3.3486950000000001E-2</v>
      </c>
      <c r="S1130">
        <v>2.9698790000000002</v>
      </c>
      <c r="T1130">
        <v>-0.17569389999999999</v>
      </c>
      <c r="U1130">
        <v>-0.88046259999999998</v>
      </c>
      <c r="V1130">
        <v>3.2176150000000001E-2</v>
      </c>
      <c r="W1130">
        <v>-7.919727E-2</v>
      </c>
      <c r="X1130">
        <v>0.99633959999999999</v>
      </c>
      <c r="Y1130">
        <v>0.2824412</v>
      </c>
      <c r="Z1130">
        <v>-1.0135119999999999E-2</v>
      </c>
      <c r="AA1130">
        <v>0.9592311</v>
      </c>
      <c r="AB1130">
        <v>27</v>
      </c>
      <c r="AC1130">
        <v>18.590900000000001</v>
      </c>
      <c r="AD1130">
        <v>-1.10907822563999</v>
      </c>
      <c r="AE1130">
        <v>-5.5576000000000301</v>
      </c>
      <c r="AF1130">
        <v>5.5157834886477897</v>
      </c>
      <c r="AG1130">
        <v>-1.10907822563999</v>
      </c>
      <c r="AH1130">
        <v>18.537435300786001</v>
      </c>
      <c r="AI1130">
        <v>93.282000125929798</v>
      </c>
      <c r="AJ1130">
        <v>73.429712815711099</v>
      </c>
      <c r="AK1130">
        <v>19.372414138022499</v>
      </c>
      <c r="AL1130">
        <v>94.5424260407069</v>
      </c>
      <c r="AM1130">
        <v>88.150312304300897</v>
      </c>
      <c r="AN1130">
        <v>1.0000000553662101</v>
      </c>
    </row>
    <row r="1131" spans="1:40" x14ac:dyDescent="0.25">
      <c r="A1131" t="str">
        <f>"20190305135214949"</f>
        <v>20190305135214949</v>
      </c>
      <c r="B1131" t="str">
        <f>"1551765134940834"</f>
        <v>1551765134940834</v>
      </c>
      <c r="C1131" t="s">
        <v>40</v>
      </c>
      <c r="D1131">
        <v>4.6401139999999996</v>
      </c>
      <c r="E1131">
        <v>0.59868390000000005</v>
      </c>
      <c r="F1131" t="s">
        <v>52</v>
      </c>
      <c r="G1131">
        <v>-209.43109999999999</v>
      </c>
      <c r="H1131" s="1">
        <v>-6.1451569999999999E-6</v>
      </c>
      <c r="I1131">
        <v>362.89049999999997</v>
      </c>
      <c r="J1131">
        <v>-228.1575</v>
      </c>
      <c r="K1131">
        <v>1.109078</v>
      </c>
      <c r="L1131">
        <v>368.51549999999997</v>
      </c>
      <c r="M1131">
        <v>0.99990120000000005</v>
      </c>
      <c r="N1131">
        <v>-1.399192E-2</v>
      </c>
      <c r="O1131">
        <v>-1.40645299999999E-3</v>
      </c>
      <c r="P1131">
        <v>0.99507159999999995</v>
      </c>
      <c r="Q1131">
        <v>-9.2892009999999997E-2</v>
      </c>
      <c r="R1131">
        <v>-3.4696049999999999E-2</v>
      </c>
      <c r="S1131">
        <v>2.968658</v>
      </c>
      <c r="T1131">
        <v>-0.17454729999999999</v>
      </c>
      <c r="U1131">
        <v>-0.88531489999999902</v>
      </c>
      <c r="V1131">
        <v>3.3258999999999997E-2</v>
      </c>
      <c r="W1131">
        <v>-7.8975009999999998E-2</v>
      </c>
      <c r="X1131">
        <v>0.99632160000000003</v>
      </c>
      <c r="Y1131">
        <v>0.28387099999999998</v>
      </c>
      <c r="Z1131">
        <v>-1.012971E-2</v>
      </c>
      <c r="AA1131">
        <v>0.95880900000000002</v>
      </c>
      <c r="AB1131">
        <v>27</v>
      </c>
      <c r="AC1131">
        <v>18.726400000000002</v>
      </c>
      <c r="AD1131">
        <v>-1.1090841451569999</v>
      </c>
      <c r="AE1131">
        <v>-5.625</v>
      </c>
      <c r="AF1131">
        <v>5.5806987828628296</v>
      </c>
      <c r="AG1131">
        <v>-1.1090841451569999</v>
      </c>
      <c r="AH1131">
        <v>18.674211358445501</v>
      </c>
      <c r="AI1131">
        <v>93.256876646213797</v>
      </c>
      <c r="AJ1131">
        <v>73.361476031145003</v>
      </c>
      <c r="AK1131">
        <v>19.521793882888499</v>
      </c>
      <c r="AL1131">
        <v>94.529651847348006</v>
      </c>
      <c r="AM1131">
        <v>88.088074199864394</v>
      </c>
      <c r="AN1131">
        <v>0.99999997195602897</v>
      </c>
    </row>
    <row r="1132" spans="1:40" x14ac:dyDescent="0.25">
      <c r="A1132" t="str">
        <f>"20190305135214963"</f>
        <v>20190305135214963</v>
      </c>
      <c r="B1132" t="str">
        <f>"1551765134950594"</f>
        <v>1551765134950594</v>
      </c>
      <c r="C1132" t="s">
        <v>40</v>
      </c>
      <c r="D1132">
        <v>4.6658549999999996</v>
      </c>
      <c r="E1132">
        <v>0.59869059999999996</v>
      </c>
      <c r="F1132" t="s">
        <v>52</v>
      </c>
      <c r="G1132">
        <v>-209.2423</v>
      </c>
      <c r="H1132" s="1">
        <v>-6.0879190000000001E-6</v>
      </c>
      <c r="I1132">
        <v>362.85219999999998</v>
      </c>
      <c r="J1132">
        <v>-228.00749999999999</v>
      </c>
      <c r="K1132">
        <v>1.1090819999999999</v>
      </c>
      <c r="L1132">
        <v>368.51510000000002</v>
      </c>
      <c r="M1132">
        <v>0.99990100000000004</v>
      </c>
      <c r="N1132">
        <v>-1.399033E-2</v>
      </c>
      <c r="O1132">
        <v>-1.5457870000000001E-3</v>
      </c>
      <c r="P1132">
        <v>0.99505840000000001</v>
      </c>
      <c r="Q1132">
        <v>-9.2433799999999997E-2</v>
      </c>
      <c r="R1132">
        <v>-3.6265470000000001E-2</v>
      </c>
      <c r="S1132">
        <v>2.9676360000000002</v>
      </c>
      <c r="T1132">
        <v>-0.17400560000000001</v>
      </c>
      <c r="U1132">
        <v>-0.88851930000000001</v>
      </c>
      <c r="V1132">
        <v>3.4689989999999997E-2</v>
      </c>
      <c r="W1132">
        <v>-7.8519160000000005E-2</v>
      </c>
      <c r="X1132">
        <v>0.99630890000000005</v>
      </c>
      <c r="Y1132">
        <v>0.28477940000000002</v>
      </c>
      <c r="Z1132">
        <v>-1.013265E-2</v>
      </c>
      <c r="AA1132">
        <v>0.95853949999999999</v>
      </c>
      <c r="AB1132">
        <v>27</v>
      </c>
      <c r="AC1132">
        <v>18.7652</v>
      </c>
      <c r="AD1132">
        <v>-1.1090880879189999</v>
      </c>
      <c r="AE1132">
        <v>-5.6629000000000298</v>
      </c>
      <c r="AF1132">
        <v>5.61590325558514</v>
      </c>
      <c r="AG1132">
        <v>-1.1090880879189999</v>
      </c>
      <c r="AH1132">
        <v>18.714016401498199</v>
      </c>
      <c r="AI1132">
        <v>93.248865715016706</v>
      </c>
      <c r="AJ1132">
        <v>73.295985510135594</v>
      </c>
      <c r="AK1132">
        <v>19.569947767901699</v>
      </c>
      <c r="AL1132">
        <v>94.503451902811904</v>
      </c>
      <c r="AM1132">
        <v>88.005852002267304</v>
      </c>
      <c r="AN1132">
        <v>1.00000003905625</v>
      </c>
    </row>
    <row r="1133" spans="1:40" x14ac:dyDescent="0.25">
      <c r="A1133" t="str">
        <f>"20190305135214978"</f>
        <v>20190305135214978</v>
      </c>
      <c r="B1133" t="str">
        <f>"1551765134971089"</f>
        <v>1551765134971089</v>
      </c>
      <c r="C1133" t="s">
        <v>40</v>
      </c>
      <c r="D1133">
        <v>4.6478640000000002</v>
      </c>
      <c r="E1133">
        <v>0.59873529999999997</v>
      </c>
      <c r="F1133" t="s">
        <v>52</v>
      </c>
      <c r="G1133">
        <v>-208.88579999999999</v>
      </c>
      <c r="H1133" s="1">
        <v>-5.9833259999999901E-6</v>
      </c>
      <c r="I1133">
        <v>362.75779999999997</v>
      </c>
      <c r="J1133">
        <v>-227.8212</v>
      </c>
      <c r="K1133">
        <v>1.1090979999999999</v>
      </c>
      <c r="L1133">
        <v>368.51459999999997</v>
      </c>
      <c r="M1133">
        <v>0.99990060000000003</v>
      </c>
      <c r="N1133">
        <v>-1.398834E-2</v>
      </c>
      <c r="O1133">
        <v>-1.7188520000000001E-3</v>
      </c>
      <c r="P1133">
        <v>0.99504479999999995</v>
      </c>
      <c r="Q1133">
        <v>-9.1473390000000002E-2</v>
      </c>
      <c r="R1133">
        <v>-3.8966269999999997E-2</v>
      </c>
      <c r="S1133">
        <v>2.96637</v>
      </c>
      <c r="T1133">
        <v>-0.17205390000000001</v>
      </c>
      <c r="U1133">
        <v>-0.89312739999999902</v>
      </c>
      <c r="V1133">
        <v>3.7219160000000001E-2</v>
      </c>
      <c r="W1133">
        <v>-7.7562039999999999E-2</v>
      </c>
      <c r="X1133">
        <v>0.99629250000000003</v>
      </c>
      <c r="Y1133">
        <v>0.28610029999999997</v>
      </c>
      <c r="Z1133">
        <v>-1.008332E-2</v>
      </c>
      <c r="AA1133">
        <v>0.95814659999999996</v>
      </c>
      <c r="AB1133">
        <v>27</v>
      </c>
      <c r="AC1133">
        <v>18.935400000000001</v>
      </c>
      <c r="AD1133">
        <v>-1.1091039833259999</v>
      </c>
      <c r="AE1133">
        <v>-5.7567999999999904</v>
      </c>
      <c r="AF1133">
        <v>5.7063203290848099</v>
      </c>
      <c r="AG1133">
        <v>-1.1091039833259999</v>
      </c>
      <c r="AH1133">
        <v>18.8859563075384</v>
      </c>
      <c r="AI1133">
        <v>93.217573613221703</v>
      </c>
      <c r="AJ1133">
        <v>73.188006542661697</v>
      </c>
      <c r="AK1133">
        <v>19.760352957227401</v>
      </c>
      <c r="AL1133">
        <v>94.448445644146204</v>
      </c>
      <c r="AM1133">
        <v>87.860558441367004</v>
      </c>
      <c r="AN1133">
        <v>0.99999994073815601</v>
      </c>
    </row>
    <row r="1134" spans="1:40" x14ac:dyDescent="0.25">
      <c r="A1134" t="str">
        <f>"20190305135214999"</f>
        <v>20190305135214999</v>
      </c>
      <c r="B1134" t="str">
        <f>"1551765134990610"</f>
        <v>1551765134990610</v>
      </c>
      <c r="C1134" t="s">
        <v>40</v>
      </c>
      <c r="D1134">
        <v>4.6394129999999896</v>
      </c>
      <c r="E1134">
        <v>0.59887159999999995</v>
      </c>
      <c r="F1134" t="s">
        <v>52</v>
      </c>
      <c r="G1134">
        <v>-208.37739999999999</v>
      </c>
      <c r="H1134" s="1">
        <v>-5.8375469999999998E-6</v>
      </c>
      <c r="I1134">
        <v>362.60169999999999</v>
      </c>
      <c r="J1134">
        <v>-227.5694</v>
      </c>
      <c r="K1134">
        <v>1.1091070000000001</v>
      </c>
      <c r="L1134">
        <v>368.51389999999998</v>
      </c>
      <c r="M1134">
        <v>0.99990029999999996</v>
      </c>
      <c r="N1134">
        <v>-1.398566E-2</v>
      </c>
      <c r="O1134">
        <v>-1.9535360000000001E-3</v>
      </c>
      <c r="P1134">
        <v>0.99502369999999996</v>
      </c>
      <c r="Q1134">
        <v>-9.0490130000000002E-2</v>
      </c>
      <c r="R1134">
        <v>-4.1709980000000001E-2</v>
      </c>
      <c r="S1134">
        <v>2.9640960000000001</v>
      </c>
      <c r="T1134">
        <v>-0.169076799999999</v>
      </c>
      <c r="U1134">
        <v>-0.90139769999999997</v>
      </c>
      <c r="V1134">
        <v>3.9729809999999997E-2</v>
      </c>
      <c r="W1134">
        <v>-7.6582799999999895E-2</v>
      </c>
      <c r="X1134">
        <v>0.99627140000000003</v>
      </c>
      <c r="Y1134">
        <v>0.28853879999999998</v>
      </c>
      <c r="Z1134">
        <v>-1.002344E-2</v>
      </c>
      <c r="AA1134">
        <v>0.95741580000000004</v>
      </c>
      <c r="AB1134">
        <v>27</v>
      </c>
      <c r="AC1134">
        <v>19.192</v>
      </c>
      <c r="AD1134">
        <v>-1.1091128375470001</v>
      </c>
      <c r="AE1134">
        <v>-5.9121999999999799</v>
      </c>
      <c r="AF1134">
        <v>5.8568279218575796</v>
      </c>
      <c r="AG1134">
        <v>-1.1091128375470001</v>
      </c>
      <c r="AH1134">
        <v>19.145116558151301</v>
      </c>
      <c r="AI1134">
        <v>93.170810479574001</v>
      </c>
      <c r="AJ1134">
        <v>72.990206854379494</v>
      </c>
      <c r="AK1134">
        <v>20.051634661988501</v>
      </c>
      <c r="AL1134">
        <v>94.392171484095101</v>
      </c>
      <c r="AM1134">
        <v>87.716340251766994</v>
      </c>
      <c r="AN1134">
        <v>1.0000000427582101</v>
      </c>
    </row>
    <row r="1135" spans="1:40" x14ac:dyDescent="0.25">
      <c r="A1135" t="str">
        <f>"20190305135215013"</f>
        <v>20190305135215013</v>
      </c>
      <c r="B1135" t="str">
        <f>"1551765135000370"</f>
        <v>1551765135000370</v>
      </c>
      <c r="C1135" t="s">
        <v>40</v>
      </c>
      <c r="D1135">
        <v>4.6690680000000002</v>
      </c>
      <c r="E1135">
        <v>0.59895679999999996</v>
      </c>
      <c r="F1135" t="s">
        <v>52</v>
      </c>
      <c r="G1135">
        <v>-207.5882</v>
      </c>
      <c r="H1135" s="1">
        <v>-5.6094830000000004E-6</v>
      </c>
      <c r="I1135">
        <v>362.37049999999999</v>
      </c>
      <c r="J1135">
        <v>-227.41839999999999</v>
      </c>
      <c r="K1135">
        <v>1.1091169999999999</v>
      </c>
      <c r="L1135">
        <v>368.51350000000002</v>
      </c>
      <c r="M1135">
        <v>0.99990000000000001</v>
      </c>
      <c r="N1135">
        <v>-1.3984069999999999E-2</v>
      </c>
      <c r="O1135">
        <v>-2.0939439999999999E-3</v>
      </c>
      <c r="P1135">
        <v>0.99500319999999998</v>
      </c>
      <c r="Q1135">
        <v>-8.9986579999999997E-2</v>
      </c>
      <c r="R1135">
        <v>-4.3255969999999998E-2</v>
      </c>
      <c r="S1135">
        <v>2.9618989999999998</v>
      </c>
      <c r="T1135">
        <v>-0.16440920000000001</v>
      </c>
      <c r="U1135">
        <v>-0.91067500000000001</v>
      </c>
      <c r="V1135">
        <v>4.1136480000000003E-2</v>
      </c>
      <c r="W1135">
        <v>-7.6081670000000004E-2</v>
      </c>
      <c r="X1135">
        <v>0.99625269999999999</v>
      </c>
      <c r="Y1135">
        <v>0.29136420000000002</v>
      </c>
      <c r="Z1135">
        <v>-9.8985159999999996E-3</v>
      </c>
      <c r="AA1135">
        <v>0.95656099999999999</v>
      </c>
      <c r="AB1135">
        <v>27</v>
      </c>
      <c r="AC1135">
        <v>19.830199999999898</v>
      </c>
      <c r="AD1135">
        <v>-1.109122609483</v>
      </c>
      <c r="AE1135">
        <v>-6.1430000000000202</v>
      </c>
      <c r="AF1135">
        <v>6.0840929475374601</v>
      </c>
      <c r="AG1135">
        <v>-1.109122609483</v>
      </c>
      <c r="AH1135">
        <v>19.7865429540207</v>
      </c>
      <c r="AI1135">
        <v>93.066901498372602</v>
      </c>
      <c r="AJ1135">
        <v>72.908048731825403</v>
      </c>
      <c r="AK1135">
        <v>20.7304998017039</v>
      </c>
      <c r="AL1135">
        <v>94.363374862948604</v>
      </c>
      <c r="AM1135">
        <v>87.635531072084305</v>
      </c>
      <c r="AN1135">
        <v>1.0000000363770301</v>
      </c>
    </row>
    <row r="1136" spans="1:40" x14ac:dyDescent="0.25">
      <c r="A1136" t="str">
        <f>"20190305135215025"</f>
        <v>20190305135215025</v>
      </c>
      <c r="B1136" t="str">
        <f>"1551765135020866"</f>
        <v>1551765135020866</v>
      </c>
      <c r="C1136" t="s">
        <v>40</v>
      </c>
      <c r="D1136">
        <v>4.7298609999999996</v>
      </c>
      <c r="E1136">
        <v>0.59900609999999999</v>
      </c>
      <c r="F1136" t="s">
        <v>52</v>
      </c>
      <c r="G1136">
        <v>-206.9786</v>
      </c>
      <c r="H1136" s="1">
        <v>-5.4335550000000002E-6</v>
      </c>
      <c r="I1136">
        <v>362.1902</v>
      </c>
      <c r="J1136">
        <v>-227.2664</v>
      </c>
      <c r="K1136">
        <v>1.109118</v>
      </c>
      <c r="L1136">
        <v>368.51299999999998</v>
      </c>
      <c r="M1136">
        <v>0.99989980000000001</v>
      </c>
      <c r="N1136">
        <v>-1.398249E-2</v>
      </c>
      <c r="O1136">
        <v>-2.2350690000000001E-3</v>
      </c>
      <c r="P1136">
        <v>0.99495820000000001</v>
      </c>
      <c r="Q1136">
        <v>-8.973101E-2</v>
      </c>
      <c r="R1136">
        <v>-4.4798690000000002E-2</v>
      </c>
      <c r="S1136">
        <v>2.9607239999999999</v>
      </c>
      <c r="T1136">
        <v>-0.16065689999999999</v>
      </c>
      <c r="U1136">
        <v>-0.91592410000000002</v>
      </c>
      <c r="V1136">
        <v>4.2538890000000003E-2</v>
      </c>
      <c r="W1136">
        <v>-7.5828839999999995E-2</v>
      </c>
      <c r="X1136">
        <v>0.99621300000000002</v>
      </c>
      <c r="Y1136">
        <v>0.29290229999999901</v>
      </c>
      <c r="Z1136">
        <v>-9.7684710000000008E-3</v>
      </c>
      <c r="AA1136">
        <v>0.95609250000000001</v>
      </c>
      <c r="AB1136">
        <v>26</v>
      </c>
      <c r="AC1136">
        <v>20.287800000000001</v>
      </c>
      <c r="AD1136">
        <v>-1.109123433555</v>
      </c>
      <c r="AE1136">
        <v>-6.3228000000000204</v>
      </c>
      <c r="AF1136">
        <v>6.2603808793268101</v>
      </c>
      <c r="AG1136">
        <v>-1.109123433555</v>
      </c>
      <c r="AH1136">
        <v>20.2467273245997</v>
      </c>
      <c r="AI1136">
        <v>92.9958781298171</v>
      </c>
      <c r="AJ1136">
        <v>72.818151514602903</v>
      </c>
      <c r="AK1136">
        <v>21.221510099467402</v>
      </c>
      <c r="AL1136">
        <v>94.3488471545338</v>
      </c>
      <c r="AM1136">
        <v>87.554921348802196</v>
      </c>
      <c r="AN1136">
        <v>0.99999995575358702</v>
      </c>
    </row>
    <row r="1137" spans="1:40" x14ac:dyDescent="0.25">
      <c r="A1137" t="str">
        <f>"20190305135215037"</f>
        <v>20190305135215037</v>
      </c>
      <c r="B1137" t="str">
        <f>"1551765135030626"</f>
        <v>1551765135030626</v>
      </c>
      <c r="C1137" t="s">
        <v>40</v>
      </c>
      <c r="D1137">
        <v>4.5214339999999904</v>
      </c>
      <c r="E1137">
        <v>0.59900609999999999</v>
      </c>
      <c r="F1137" t="s">
        <v>52</v>
      </c>
      <c r="G1137">
        <v>-206.87549999999999</v>
      </c>
      <c r="H1137" s="1">
        <v>-5.4026749999999999E-6</v>
      </c>
      <c r="I1137">
        <v>362.16699999999997</v>
      </c>
      <c r="J1137">
        <v>-227.113</v>
      </c>
      <c r="K1137">
        <v>1.109121</v>
      </c>
      <c r="L1137">
        <v>368.51249999999999</v>
      </c>
      <c r="M1137">
        <v>0.99989950000000005</v>
      </c>
      <c r="N1137">
        <v>-1.3980869999999999E-2</v>
      </c>
      <c r="O1137">
        <v>-2.3783329999999998E-3</v>
      </c>
      <c r="P1137">
        <v>0.99488259999999995</v>
      </c>
      <c r="Q1137">
        <v>-8.9892319999999998E-2</v>
      </c>
      <c r="R1137">
        <v>-4.6131419999999999E-2</v>
      </c>
      <c r="S1137">
        <v>2.9592130000000001</v>
      </c>
      <c r="T1137">
        <v>-0.16096060000000001</v>
      </c>
      <c r="U1137">
        <v>-0.92095950000000004</v>
      </c>
      <c r="V1137">
        <v>4.3729089999999998E-2</v>
      </c>
      <c r="W1137">
        <v>-7.599322E-2</v>
      </c>
      <c r="X1137">
        <v>0.99614899999999995</v>
      </c>
      <c r="Y1137">
        <v>0.29438239999999999</v>
      </c>
      <c r="Z1137">
        <v>-9.8292699999999993E-3</v>
      </c>
      <c r="AA1137">
        <v>0.95563719999999996</v>
      </c>
      <c r="AB1137">
        <v>26</v>
      </c>
      <c r="AC1137">
        <v>20.237500000000001</v>
      </c>
      <c r="AD1137">
        <v>-1.1091264026750001</v>
      </c>
      <c r="AE1137">
        <v>-6.3455000000000101</v>
      </c>
      <c r="AF1137">
        <v>6.28017097930198</v>
      </c>
      <c r="AG1137">
        <v>-1.1091264026750001</v>
      </c>
      <c r="AH1137">
        <v>20.197300863838102</v>
      </c>
      <c r="AI1137">
        <v>93.001732037888004</v>
      </c>
      <c r="AJ1137">
        <v>72.727383271788497</v>
      </c>
      <c r="AK1137">
        <v>21.180218863146202</v>
      </c>
      <c r="AL1137">
        <v>94.358292424133097</v>
      </c>
      <c r="AM1137">
        <v>87.486435506256697</v>
      </c>
      <c r="AN1137">
        <v>1.0000000164995899</v>
      </c>
    </row>
    <row r="1138" spans="1:40" x14ac:dyDescent="0.25">
      <c r="A1138" t="str">
        <f>"20190305135215049"</f>
        <v>20190305135215049</v>
      </c>
      <c r="B1138" t="str">
        <f>"1551765135040386"</f>
        <v>1551765135040386</v>
      </c>
      <c r="C1138" t="s">
        <v>40</v>
      </c>
      <c r="D1138">
        <v>4.4940290000000003</v>
      </c>
      <c r="E1138">
        <v>0.62528099999999998</v>
      </c>
      <c r="F1138" t="s">
        <v>52</v>
      </c>
      <c r="G1138">
        <v>-206.76920000000001</v>
      </c>
      <c r="H1138" s="1">
        <v>-5.3693409999999899E-6</v>
      </c>
      <c r="I1138">
        <v>362.15260000000001</v>
      </c>
      <c r="J1138">
        <v>-226.98150000000001</v>
      </c>
      <c r="K1138">
        <v>1.1091200000000001</v>
      </c>
      <c r="L1138">
        <v>368.512</v>
      </c>
      <c r="M1138">
        <v>0.99989930000000005</v>
      </c>
      <c r="N1138">
        <v>-1.3979490000000001E-2</v>
      </c>
      <c r="O1138">
        <v>-2.5010980000000002E-3</v>
      </c>
      <c r="P1138">
        <v>0.99481470000000005</v>
      </c>
      <c r="Q1138">
        <v>-8.9952799999999999E-2</v>
      </c>
      <c r="R1138">
        <v>-4.7461219999999998E-2</v>
      </c>
      <c r="S1138">
        <v>2.9579770000000001</v>
      </c>
      <c r="T1138">
        <v>-0.16126670000000001</v>
      </c>
      <c r="U1138">
        <v>-0.92471309999999995</v>
      </c>
      <c r="V1138">
        <v>4.4937089999999999E-2</v>
      </c>
      <c r="W1138">
        <v>-7.6056429999999994E-2</v>
      </c>
      <c r="X1138">
        <v>0.99609040000000004</v>
      </c>
      <c r="Y1138">
        <v>0.29547960000000001</v>
      </c>
      <c r="Z1138">
        <v>-9.8779109999999996E-3</v>
      </c>
      <c r="AA1138">
        <v>0.95529799999999998</v>
      </c>
      <c r="AB1138">
        <v>26</v>
      </c>
      <c r="AC1138">
        <v>20.212299999999999</v>
      </c>
      <c r="AD1138">
        <v>-1.1091253693409999</v>
      </c>
      <c r="AE1138">
        <v>-6.3593999999999298</v>
      </c>
      <c r="AF1138">
        <v>6.2915838988242596</v>
      </c>
      <c r="AG1138">
        <v>-1.1091253693409999</v>
      </c>
      <c r="AH1138">
        <v>20.172872087559</v>
      </c>
      <c r="AI1138">
        <v>93.004555239812504</v>
      </c>
      <c r="AJ1138">
        <v>72.678166569253506</v>
      </c>
      <c r="AK1138">
        <v>21.160315576613598</v>
      </c>
      <c r="AL1138">
        <v>94.361924657649894</v>
      </c>
      <c r="AM1138">
        <v>87.416940240648501</v>
      </c>
      <c r="AN1138">
        <v>1.00000000378708</v>
      </c>
    </row>
    <row r="1139" spans="1:40" x14ac:dyDescent="0.25">
      <c r="A1139" t="str">
        <f>"20190305135215112"</f>
        <v>20190305135215112</v>
      </c>
      <c r="B1139" t="str">
        <f>"1551765135110658"</f>
        <v>1551765135110658</v>
      </c>
      <c r="C1139" t="s">
        <v>40</v>
      </c>
      <c r="D1139">
        <v>4.509258</v>
      </c>
      <c r="E1139">
        <v>0.60600390000000004</v>
      </c>
      <c r="F1139" t="s">
        <v>51</v>
      </c>
      <c r="G1139">
        <v>-157.81989999999999</v>
      </c>
      <c r="H1139">
        <v>3.8894769999999999</v>
      </c>
      <c r="I1139">
        <v>342.19</v>
      </c>
      <c r="J1139">
        <v>-226.23580000000001</v>
      </c>
      <c r="K1139">
        <v>1.1091169999999999</v>
      </c>
      <c r="L1139">
        <v>368.50909999999999</v>
      </c>
      <c r="M1139">
        <v>0.99989729999999999</v>
      </c>
      <c r="N1139">
        <v>-1.397172E-2</v>
      </c>
      <c r="O1139">
        <v>-3.1951470000000002E-3</v>
      </c>
      <c r="P1139">
        <v>0.99441829999999998</v>
      </c>
      <c r="Q1139">
        <v>-8.9754689999999998E-2</v>
      </c>
      <c r="R1139">
        <v>-5.546454E-2</v>
      </c>
      <c r="S1139">
        <v>2.9724879999999998</v>
      </c>
      <c r="T1139">
        <v>0.1194968</v>
      </c>
      <c r="U1139">
        <v>-1.1312869999999999</v>
      </c>
      <c r="V1139">
        <v>5.2251409999999998E-2</v>
      </c>
      <c r="W1139">
        <v>-7.5874129999999998E-2</v>
      </c>
      <c r="X1139">
        <v>0.99574739999999995</v>
      </c>
      <c r="Y1139">
        <v>0.35255769999999997</v>
      </c>
      <c r="Z1139">
        <v>4.1305320000000001E-3</v>
      </c>
      <c r="AA1139">
        <v>0.93578090000000003</v>
      </c>
      <c r="AB1139">
        <v>26</v>
      </c>
      <c r="AC1139">
        <v>68.415899999999993</v>
      </c>
      <c r="AD1139">
        <v>2.7803599999999999</v>
      </c>
      <c r="AE1139">
        <v>-26.319099999999899</v>
      </c>
      <c r="AF1139">
        <v>26.062850521274001</v>
      </c>
      <c r="AG1139">
        <v>2.7803599999999999</v>
      </c>
      <c r="AH1139">
        <v>68.401247917337798</v>
      </c>
      <c r="AI1139">
        <v>87.824728551859394</v>
      </c>
      <c r="AJ1139">
        <v>69.141714729486296</v>
      </c>
      <c r="AK1139">
        <v>73.251165831493694</v>
      </c>
      <c r="AL1139">
        <v>94.351449432682898</v>
      </c>
      <c r="AM1139">
        <v>86.996184050239506</v>
      </c>
      <c r="AN1139">
        <v>0.99999998902850196</v>
      </c>
    </row>
    <row r="1140" spans="1:40" x14ac:dyDescent="0.25">
      <c r="A1140" t="str">
        <f>"20190305135215124"</f>
        <v>20190305135215124</v>
      </c>
      <c r="B1140" t="str">
        <f>"1551765135120418"</f>
        <v>1551765135120418</v>
      </c>
      <c r="C1140" t="s">
        <v>40</v>
      </c>
      <c r="D1140">
        <v>4.4517600000000002</v>
      </c>
      <c r="E1140">
        <v>0.60635190000000005</v>
      </c>
      <c r="F1140" t="s">
        <v>51</v>
      </c>
      <c r="G1140">
        <v>-149.5479</v>
      </c>
      <c r="H1140">
        <v>4.1367690000000001</v>
      </c>
      <c r="I1140">
        <v>342.64400000000001</v>
      </c>
      <c r="J1140">
        <v>-226.0994</v>
      </c>
      <c r="K1140">
        <v>1.1091169999999999</v>
      </c>
      <c r="L1140">
        <v>368.50850000000003</v>
      </c>
      <c r="M1140">
        <v>0.99989689999999998</v>
      </c>
      <c r="N1140">
        <v>-1.39703E-2</v>
      </c>
      <c r="O1140">
        <v>-3.3220849999999998E-3</v>
      </c>
      <c r="P1140">
        <v>0.99434049999999996</v>
      </c>
      <c r="Q1140">
        <v>-8.9926119999999998E-2</v>
      </c>
      <c r="R1140">
        <v>-5.6570090000000003E-2</v>
      </c>
      <c r="S1140">
        <v>2.971527</v>
      </c>
      <c r="T1140">
        <v>0.11731659999999999</v>
      </c>
      <c r="U1140">
        <v>-1.0022279999999999</v>
      </c>
      <c r="V1140">
        <v>5.3230800000000002E-2</v>
      </c>
      <c r="W1140">
        <v>-7.6048340000000006E-2</v>
      </c>
      <c r="X1140">
        <v>0.99568219999999996</v>
      </c>
      <c r="Y1140">
        <v>0.31630619999999998</v>
      </c>
      <c r="Z1140">
        <v>3.6313719999999999E-3</v>
      </c>
      <c r="AA1140">
        <v>0.9486502</v>
      </c>
      <c r="AB1140">
        <v>26</v>
      </c>
      <c r="AC1140">
        <v>76.551500000000004</v>
      </c>
      <c r="AD1140">
        <v>3.0276519999999998</v>
      </c>
      <c r="AE1140">
        <v>-25.8645</v>
      </c>
      <c r="AF1140">
        <v>25.5741165093301</v>
      </c>
      <c r="AG1140">
        <v>3.0276519999999998</v>
      </c>
      <c r="AH1140">
        <v>76.5295646212017</v>
      </c>
      <c r="AI1140">
        <v>87.851143597450999</v>
      </c>
      <c r="AJ1140">
        <v>71.521762112363106</v>
      </c>
      <c r="AK1140">
        <v>80.746370648943596</v>
      </c>
      <c r="AL1140">
        <v>94.361459998408407</v>
      </c>
      <c r="AM1140">
        <v>86.939787147332297</v>
      </c>
      <c r="AN1140">
        <v>0.999999955741116</v>
      </c>
    </row>
    <row r="1141" spans="1:40" x14ac:dyDescent="0.25">
      <c r="A1141" t="str">
        <f>"20190305135215147"</f>
        <v>20190305135215147</v>
      </c>
      <c r="B1141" t="str">
        <f>"1551765135140914"</f>
        <v>1551765135140914</v>
      </c>
      <c r="C1141" t="s">
        <v>40</v>
      </c>
      <c r="D1141">
        <v>4.5100550000000004</v>
      </c>
      <c r="E1141">
        <v>0.60263599999999995</v>
      </c>
      <c r="F1141" t="s">
        <v>51</v>
      </c>
      <c r="G1141">
        <v>-149.9666</v>
      </c>
      <c r="H1141">
        <v>3.7423129999999998</v>
      </c>
      <c r="I1141">
        <v>342.63619999999997</v>
      </c>
      <c r="J1141">
        <v>-225.82239999999999</v>
      </c>
      <c r="K1141">
        <v>1.1091260000000001</v>
      </c>
      <c r="L1141">
        <v>368.50729999999999</v>
      </c>
      <c r="M1141">
        <v>0.99989600000000001</v>
      </c>
      <c r="N1141">
        <v>-1.3967439999999999E-2</v>
      </c>
      <c r="O1141">
        <v>-3.579778E-3</v>
      </c>
      <c r="P1141">
        <v>0.99414139999999995</v>
      </c>
      <c r="Q1141">
        <v>-9.0666849999999993E-2</v>
      </c>
      <c r="R1141">
        <v>-5.8844750000000001E-2</v>
      </c>
      <c r="S1141">
        <v>2.9689480000000001</v>
      </c>
      <c r="T1141">
        <v>0.1026869</v>
      </c>
      <c r="U1141">
        <v>-1.008942</v>
      </c>
      <c r="V1141">
        <v>5.5249340000000001E-2</v>
      </c>
      <c r="W1141">
        <v>-7.6795230000000006E-2</v>
      </c>
      <c r="X1141">
        <v>0.99551489999999998</v>
      </c>
      <c r="Y1141">
        <v>0.31827490000000003</v>
      </c>
      <c r="Z1141">
        <v>2.899352E-3</v>
      </c>
      <c r="AA1141">
        <v>0.94799409999999895</v>
      </c>
      <c r="AB1141">
        <v>26</v>
      </c>
      <c r="AC1141">
        <v>75.855799999999903</v>
      </c>
      <c r="AD1141">
        <v>2.6331869999999902</v>
      </c>
      <c r="AE1141">
        <v>-25.871099999999998</v>
      </c>
      <c r="AF1141">
        <v>25.571757669104599</v>
      </c>
      <c r="AG1141">
        <v>2.6331869999999902</v>
      </c>
      <c r="AH1141">
        <v>75.866043076796501</v>
      </c>
      <c r="AI1141">
        <v>88.1162064085091</v>
      </c>
      <c r="AJ1141">
        <v>71.372859645312303</v>
      </c>
      <c r="AK1141">
        <v>80.103089554615295</v>
      </c>
      <c r="AL1141">
        <v>94.404379156333107</v>
      </c>
      <c r="AM1141">
        <v>86.823442855907899</v>
      </c>
      <c r="AN1141">
        <v>0.99999995652159801</v>
      </c>
    </row>
    <row r="1142" spans="1:40" x14ac:dyDescent="0.25">
      <c r="A1142" t="str">
        <f>"20190305135215159"</f>
        <v>20190305135215159</v>
      </c>
      <c r="B1142" t="str">
        <f>"1551765135150674"</f>
        <v>1551765135150674</v>
      </c>
      <c r="C1142" t="s">
        <v>40</v>
      </c>
      <c r="D1142">
        <v>4.6830600000000002</v>
      </c>
      <c r="E1142">
        <v>0.59773350000000003</v>
      </c>
      <c r="F1142" t="s">
        <v>51</v>
      </c>
      <c r="G1142">
        <v>-148.1414</v>
      </c>
      <c r="H1142">
        <v>2.8289780000000002</v>
      </c>
      <c r="I1142">
        <v>342.64400000000001</v>
      </c>
      <c r="J1142">
        <v>-225.68510000000001</v>
      </c>
      <c r="K1142">
        <v>1.109127</v>
      </c>
      <c r="L1142">
        <v>368.50670000000002</v>
      </c>
      <c r="M1142">
        <v>0.9998958</v>
      </c>
      <c r="N1142">
        <v>-1.3966020000000001E-2</v>
      </c>
      <c r="O1142">
        <v>-3.7081430000000001E-3</v>
      </c>
      <c r="P1142">
        <v>0.99401320000000004</v>
      </c>
      <c r="Q1142">
        <v>-9.1242809999999994E-2</v>
      </c>
      <c r="R1142">
        <v>-6.0110869999999997E-2</v>
      </c>
      <c r="S1142">
        <v>2.9652099999999999</v>
      </c>
      <c r="T1142">
        <v>6.5649750000000007E-2</v>
      </c>
      <c r="U1142">
        <v>-0.98724369999999995</v>
      </c>
      <c r="V1142">
        <v>5.6388019999999997E-2</v>
      </c>
      <c r="W1142">
        <v>-7.7374609999999996E-2</v>
      </c>
      <c r="X1142">
        <v>0.99540620000000002</v>
      </c>
      <c r="Y1142">
        <v>0.31235249999999998</v>
      </c>
      <c r="Z1142">
        <v>9.9750329999999995E-4</v>
      </c>
      <c r="AA1142">
        <v>0.94996570000000002</v>
      </c>
      <c r="AB1142">
        <v>26</v>
      </c>
      <c r="AC1142">
        <v>77.543700000000001</v>
      </c>
      <c r="AD1142">
        <v>1.71985099999999</v>
      </c>
      <c r="AE1142">
        <v>-25.8627</v>
      </c>
      <c r="AF1142">
        <v>25.5636347509732</v>
      </c>
      <c r="AG1142">
        <v>1.71985099999999</v>
      </c>
      <c r="AH1142">
        <v>77.604725308275803</v>
      </c>
      <c r="AI1142">
        <v>88.794155247496207</v>
      </c>
      <c r="AJ1142">
        <v>71.767691919548795</v>
      </c>
      <c r="AK1142">
        <v>81.724847502557694</v>
      </c>
      <c r="AL1142">
        <v>94.437674190999203</v>
      </c>
      <c r="AM1142">
        <v>86.757759496147102</v>
      </c>
      <c r="AN1142">
        <v>0.99999997103530502</v>
      </c>
    </row>
    <row r="1143" spans="1:40" x14ac:dyDescent="0.25">
      <c r="A1143" t="str">
        <f>"20190305135215179"</f>
        <v>20190305135215179</v>
      </c>
      <c r="B1143" t="str">
        <f>"1551765135170194"</f>
        <v>1551765135170194</v>
      </c>
      <c r="C1143" t="s">
        <v>40</v>
      </c>
      <c r="D1143">
        <v>4.4514579999999997</v>
      </c>
      <c r="E1143">
        <v>0.59660159999999995</v>
      </c>
      <c r="F1143" t="s">
        <v>51</v>
      </c>
      <c r="G1143">
        <v>-143.9308</v>
      </c>
      <c r="H1143">
        <v>1.234372</v>
      </c>
      <c r="I1143">
        <v>342.19009999999997</v>
      </c>
      <c r="J1143">
        <v>-225.44739999999999</v>
      </c>
      <c r="K1143">
        <v>1.1091260000000001</v>
      </c>
      <c r="L1143">
        <v>368.50549999999998</v>
      </c>
      <c r="M1143">
        <v>0.99989470000000003</v>
      </c>
      <c r="N1143">
        <v>-1.396355E-2</v>
      </c>
      <c r="O1143">
        <v>-3.9292420000000003E-3</v>
      </c>
      <c r="P1143">
        <v>0.99377210000000005</v>
      </c>
      <c r="Q1143">
        <v>-9.2366980000000001E-2</v>
      </c>
      <c r="R1143">
        <v>-6.2331690000000002E-2</v>
      </c>
      <c r="S1143">
        <v>2.960861</v>
      </c>
      <c r="T1143">
        <v>4.5361519999999999E-3</v>
      </c>
      <c r="U1143">
        <v>-0.95309449999999996</v>
      </c>
      <c r="V1143">
        <v>5.8389700000000003E-2</v>
      </c>
      <c r="W1143">
        <v>-7.8505110000000003E-2</v>
      </c>
      <c r="X1143">
        <v>0.99520229999999998</v>
      </c>
      <c r="Y1143">
        <v>0.30267349999999998</v>
      </c>
      <c r="Z1143">
        <v>-1.9986280000000001E-3</v>
      </c>
      <c r="AA1143">
        <v>0.95309219999999895</v>
      </c>
      <c r="AB1143">
        <v>26</v>
      </c>
      <c r="AC1143">
        <v>81.516599999999897</v>
      </c>
      <c r="AD1143">
        <v>0.125245999999999</v>
      </c>
      <c r="AE1143">
        <v>-26.3154</v>
      </c>
      <c r="AF1143">
        <v>25.994811538836601</v>
      </c>
      <c r="AG1143">
        <v>0.125245999999999</v>
      </c>
      <c r="AH1143">
        <v>81.619205783687505</v>
      </c>
      <c r="AI1143">
        <v>89.916225016571403</v>
      </c>
      <c r="AJ1143">
        <v>72.333899911184503</v>
      </c>
      <c r="AK1143">
        <v>85.6588621583318</v>
      </c>
      <c r="AL1143">
        <v>94.502644519181402</v>
      </c>
      <c r="AM1143">
        <v>86.642237906999398</v>
      </c>
      <c r="AN1143">
        <v>1.0000000136437399</v>
      </c>
    </row>
    <row r="1144" spans="1:40" x14ac:dyDescent="0.25">
      <c r="A1144" t="str">
        <f>"20190305135215201"</f>
        <v>20190305135215201</v>
      </c>
      <c r="B1144" t="str">
        <f>"1551765135190690"</f>
        <v>1551765135190690</v>
      </c>
      <c r="C1144" t="s">
        <v>40</v>
      </c>
      <c r="D1144">
        <v>4.6326070000000001</v>
      </c>
      <c r="E1144">
        <v>0.58995410000000004</v>
      </c>
      <c r="F1144" t="s">
        <v>51</v>
      </c>
      <c r="G1144">
        <v>-143.63040000000001</v>
      </c>
      <c r="H1144">
        <v>1.423692</v>
      </c>
      <c r="I1144">
        <v>342.21449999999999</v>
      </c>
      <c r="J1144">
        <v>-225.1994</v>
      </c>
      <c r="K1144">
        <v>1.1091279999999999</v>
      </c>
      <c r="L1144">
        <v>368.5043</v>
      </c>
      <c r="M1144">
        <v>0.99989380000000005</v>
      </c>
      <c r="N1144">
        <v>-1.396095E-2</v>
      </c>
      <c r="O1144">
        <v>-4.1601149999999998E-3</v>
      </c>
      <c r="P1144">
        <v>0.99358570000000002</v>
      </c>
      <c r="Q1144">
        <v>-9.2764340000000001E-2</v>
      </c>
      <c r="R1144">
        <v>-6.4670770000000002E-2</v>
      </c>
      <c r="S1144">
        <v>2.9602200000000001</v>
      </c>
      <c r="T1144">
        <v>1.1381509999999999E-2</v>
      </c>
      <c r="U1144">
        <v>-0.95123290000000005</v>
      </c>
      <c r="V1144">
        <v>6.0499890000000001E-2</v>
      </c>
      <c r="W1144">
        <v>-7.8908229999999996E-2</v>
      </c>
      <c r="X1144">
        <v>0.99504440000000005</v>
      </c>
      <c r="Y1144">
        <v>0.30197360000000001</v>
      </c>
      <c r="Z1144">
        <v>-1.6657880000000001E-3</v>
      </c>
      <c r="AA1144">
        <v>0.95331480000000002</v>
      </c>
      <c r="AB1144">
        <v>26</v>
      </c>
      <c r="AC1144">
        <v>81.568999999999903</v>
      </c>
      <c r="AD1144">
        <v>0.31456399999999901</v>
      </c>
      <c r="AE1144">
        <v>-26.2898</v>
      </c>
      <c r="AF1144">
        <v>25.949853329017401</v>
      </c>
      <c r="AG1144">
        <v>0.31456399999999901</v>
      </c>
      <c r="AH1144">
        <v>81.6765728971382</v>
      </c>
      <c r="AI1144">
        <v>89.789694882296402</v>
      </c>
      <c r="AJ1144">
        <v>72.374179000479103</v>
      </c>
      <c r="AK1144">
        <v>85.700387388442607</v>
      </c>
      <c r="AL1144">
        <v>94.525813295304204</v>
      </c>
      <c r="AM1144">
        <v>86.520631331133302</v>
      </c>
      <c r="AN1144">
        <v>1.0000000517115499</v>
      </c>
    </row>
    <row r="1145" spans="1:40" x14ac:dyDescent="0.25">
      <c r="A1145" t="str">
        <f>"20190305135215218"</f>
        <v>20190305135215218</v>
      </c>
      <c r="B1145" t="str">
        <f>"1551765135210213"</f>
        <v>1551765135210213</v>
      </c>
      <c r="C1145" t="s">
        <v>40</v>
      </c>
      <c r="D1145">
        <v>5.4084899999999996</v>
      </c>
      <c r="E1145">
        <v>0.58657000000000004</v>
      </c>
      <c r="F1145" t="s">
        <v>52</v>
      </c>
      <c r="G1145">
        <v>-178.33150000000001</v>
      </c>
      <c r="H1145">
        <v>7.9987799999999998E-2</v>
      </c>
      <c r="I1145">
        <v>354.12049999999999</v>
      </c>
      <c r="J1145">
        <v>-225.012</v>
      </c>
      <c r="K1145">
        <v>1.109135</v>
      </c>
      <c r="L1145">
        <v>368.50330000000002</v>
      </c>
      <c r="M1145">
        <v>0.99989320000000004</v>
      </c>
      <c r="N1145">
        <v>-1.3958979999999999E-2</v>
      </c>
      <c r="O1145">
        <v>-4.3350869999999996E-3</v>
      </c>
      <c r="P1145">
        <v>0.99349829999999995</v>
      </c>
      <c r="Q1145">
        <v>-9.2792029999999998E-2</v>
      </c>
      <c r="R1145">
        <v>-6.5962419999999994E-2</v>
      </c>
      <c r="S1145">
        <v>2.9542999999999999</v>
      </c>
      <c r="T1145">
        <v>-6.4871310000000001E-2</v>
      </c>
      <c r="U1145">
        <v>-0.90667719999999896</v>
      </c>
      <c r="V1145">
        <v>6.1618039999999999E-2</v>
      </c>
      <c r="W1145">
        <v>-7.8939350000000005E-2</v>
      </c>
      <c r="X1145">
        <v>0.9949732</v>
      </c>
      <c r="Y1145">
        <v>0.2891396</v>
      </c>
      <c r="Z1145">
        <v>-5.1327999999999999E-3</v>
      </c>
      <c r="AA1145">
        <v>0.95727320000000005</v>
      </c>
      <c r="AB1145">
        <v>26</v>
      </c>
      <c r="AC1145">
        <v>46.680500000000002</v>
      </c>
      <c r="AD1145">
        <v>-1.0291471999999999</v>
      </c>
      <c r="AE1145">
        <v>-14.3828</v>
      </c>
      <c r="AF1145">
        <v>14.173989084607101</v>
      </c>
      <c r="AG1145">
        <v>-1.0291471999999999</v>
      </c>
      <c r="AH1145">
        <v>46.721677744550298</v>
      </c>
      <c r="AI1145">
        <v>91.207533958413293</v>
      </c>
      <c r="AJ1145">
        <v>73.123738797279003</v>
      </c>
      <c r="AK1145">
        <v>48.835195113723501</v>
      </c>
      <c r="AL1145">
        <v>94.527602442950595</v>
      </c>
      <c r="AM1145">
        <v>86.456235597290103</v>
      </c>
      <c r="AN1145">
        <v>0.99999993627505002</v>
      </c>
    </row>
    <row r="1146" spans="1:40" x14ac:dyDescent="0.25">
      <c r="A1146" t="str">
        <f>"20190305135215228"</f>
        <v>20190305135215228</v>
      </c>
      <c r="B1146" t="str">
        <f>"1551765135220946"</f>
        <v>1551765135220946</v>
      </c>
      <c r="C1146" t="s">
        <v>40</v>
      </c>
      <c r="D1146">
        <v>4.7092369999999999</v>
      </c>
      <c r="E1146">
        <v>0.58535369999999998</v>
      </c>
      <c r="F1146" t="s">
        <v>52</v>
      </c>
      <c r="G1146">
        <v>-190.40790000000001</v>
      </c>
      <c r="H1146" s="1">
        <v>-4.6973699999999997E-6</v>
      </c>
      <c r="I1146">
        <v>358.13979999999998</v>
      </c>
      <c r="J1146">
        <v>-224.87180000000001</v>
      </c>
      <c r="K1146">
        <v>1.1091390000000001</v>
      </c>
      <c r="L1146">
        <v>368.50259999999997</v>
      </c>
      <c r="M1146">
        <v>0.99989269999999997</v>
      </c>
      <c r="N1146">
        <v>-1.3957519999999999E-2</v>
      </c>
      <c r="O1146">
        <v>-4.4661989999999997E-3</v>
      </c>
      <c r="P1146">
        <v>0.99344410000000005</v>
      </c>
      <c r="Q1146">
        <v>-9.252109E-2</v>
      </c>
      <c r="R1146">
        <v>-6.7149799999999996E-2</v>
      </c>
      <c r="S1146">
        <v>2.952118</v>
      </c>
      <c r="T1146">
        <v>-9.4622139999999993E-2</v>
      </c>
      <c r="U1146">
        <v>-0.88412479999999904</v>
      </c>
      <c r="V1146">
        <v>6.2675330000000001E-2</v>
      </c>
      <c r="W1146">
        <v>-7.8670920000000005E-2</v>
      </c>
      <c r="X1146">
        <v>0.99492849999999999</v>
      </c>
      <c r="Y1146">
        <v>0.28242159999999999</v>
      </c>
      <c r="Z1146">
        <v>-6.3629230000000004E-3</v>
      </c>
      <c r="AA1146">
        <v>0.95926929999999999</v>
      </c>
      <c r="AB1146">
        <v>26</v>
      </c>
      <c r="AC1146">
        <v>34.463899999999903</v>
      </c>
      <c r="AD1146">
        <v>-1.10914369737</v>
      </c>
      <c r="AE1146">
        <v>-10.362799999999901</v>
      </c>
      <c r="AF1146">
        <v>10.1990713939059</v>
      </c>
      <c r="AG1146">
        <v>-1.10914369737</v>
      </c>
      <c r="AH1146">
        <v>34.477094879936203</v>
      </c>
      <c r="AI1146">
        <v>91.766954450200799</v>
      </c>
      <c r="AJ1146">
        <v>73.520641798353495</v>
      </c>
      <c r="AK1146">
        <v>35.971117975391401</v>
      </c>
      <c r="AL1146">
        <v>94.512174198034003</v>
      </c>
      <c r="AM1146">
        <v>86.395426390332901</v>
      </c>
      <c r="AN1146">
        <v>1.00000001537825</v>
      </c>
    </row>
    <row r="1147" spans="1:40" x14ac:dyDescent="0.25">
      <c r="A1147" t="str">
        <f>"20190305135215240"</f>
        <v>20190305135215240</v>
      </c>
      <c r="B1147" t="str">
        <f>"1551765135230706"</f>
        <v>1551765135230706</v>
      </c>
      <c r="C1147" t="s">
        <v>40</v>
      </c>
      <c r="D1147">
        <v>4.6264139999999996</v>
      </c>
      <c r="E1147">
        <v>0.58425749999999999</v>
      </c>
      <c r="F1147" t="s">
        <v>52</v>
      </c>
      <c r="G1147">
        <v>-193.60210000000001</v>
      </c>
      <c r="H1147" s="1">
        <v>-5.7134549999999998E-6</v>
      </c>
      <c r="I1147">
        <v>359.19290000000001</v>
      </c>
      <c r="J1147">
        <v>-224.73330000000001</v>
      </c>
      <c r="K1147">
        <v>1.109143</v>
      </c>
      <c r="L1147">
        <v>368.5018</v>
      </c>
      <c r="M1147">
        <v>0.99989209999999995</v>
      </c>
      <c r="N1147">
        <v>-1.3956100000000001E-2</v>
      </c>
      <c r="O1147">
        <v>-4.596363E-3</v>
      </c>
      <c r="P1147">
        <v>0.99342830000000004</v>
      </c>
      <c r="Q1147">
        <v>-9.1823639999999998E-2</v>
      </c>
      <c r="R1147">
        <v>-6.8325689999999994E-2</v>
      </c>
      <c r="S1147">
        <v>2.9506679999999998</v>
      </c>
      <c r="T1147">
        <v>-0.104661</v>
      </c>
      <c r="U1147">
        <v>-0.87847900000000001</v>
      </c>
      <c r="V1147">
        <v>6.3722360000000006E-2</v>
      </c>
      <c r="W1147">
        <v>-7.7975520000000006E-2</v>
      </c>
      <c r="X1147">
        <v>0.99491669999999999</v>
      </c>
      <c r="Y1147">
        <v>0.28070580000000001</v>
      </c>
      <c r="Z1147">
        <v>-6.7757919999999897E-3</v>
      </c>
      <c r="AA1147">
        <v>0.95977000000000001</v>
      </c>
      <c r="AB1147">
        <v>26</v>
      </c>
      <c r="AC1147">
        <v>31.1312</v>
      </c>
      <c r="AD1147">
        <v>-1.109148713455</v>
      </c>
      <c r="AE1147">
        <v>-9.3088999999999906</v>
      </c>
      <c r="AF1147">
        <v>9.1550301180915294</v>
      </c>
      <c r="AG1147">
        <v>-1.109148713455</v>
      </c>
      <c r="AH1147">
        <v>31.137381522035302</v>
      </c>
      <c r="AI1147">
        <v>91.9572975346384</v>
      </c>
      <c r="AJ1147">
        <v>73.615579987032405</v>
      </c>
      <c r="AK1147">
        <v>32.474317781602501</v>
      </c>
      <c r="AL1147">
        <v>94.472208093821905</v>
      </c>
      <c r="AM1147">
        <v>86.335329170883796</v>
      </c>
      <c r="AN1147">
        <v>0.99999998041106397</v>
      </c>
    </row>
    <row r="1148" spans="1:40" x14ac:dyDescent="0.25">
      <c r="A1148" t="str">
        <f>"20190305135215253"</f>
        <v>20190305135215253</v>
      </c>
      <c r="B1148" t="str">
        <f>"1551765135240467"</f>
        <v>1551765135240467</v>
      </c>
      <c r="C1148" t="s">
        <v>40</v>
      </c>
      <c r="D1148">
        <v>4.6512370000000001</v>
      </c>
      <c r="E1148">
        <v>0.58352709999999997</v>
      </c>
      <c r="F1148" t="s">
        <v>52</v>
      </c>
      <c r="G1148">
        <v>-195.56200000000001</v>
      </c>
      <c r="H1148" s="1">
        <v>-8.7610199999999993E-6</v>
      </c>
      <c r="I1148">
        <v>359.86320000000001</v>
      </c>
      <c r="J1148">
        <v>-224.59870000000001</v>
      </c>
      <c r="K1148">
        <v>1.1091439999999999</v>
      </c>
      <c r="L1148">
        <v>368.50099999999998</v>
      </c>
      <c r="M1148">
        <v>0.99989159999999999</v>
      </c>
      <c r="N1148">
        <v>-1.395472E-2</v>
      </c>
      <c r="O1148">
        <v>-4.7234319999999996E-3</v>
      </c>
      <c r="P1148">
        <v>0.99339379999999999</v>
      </c>
      <c r="Q1148">
        <v>-9.1115420000000003E-2</v>
      </c>
      <c r="R1148">
        <v>-6.9763049999999993E-2</v>
      </c>
      <c r="S1148">
        <v>2.9493870000000002</v>
      </c>
      <c r="T1148">
        <v>-0.11214200000000001</v>
      </c>
      <c r="U1148">
        <v>-0.87341309999999905</v>
      </c>
      <c r="V1148">
        <v>6.5033759999999996E-2</v>
      </c>
      <c r="W1148">
        <v>-7.7269669999999999E-2</v>
      </c>
      <c r="X1148">
        <v>0.99488690000000002</v>
      </c>
      <c r="Y1148">
        <v>0.2791553</v>
      </c>
      <c r="Z1148">
        <v>-7.0722619999999898E-3</v>
      </c>
      <c r="AA1148">
        <v>0.96021990000000002</v>
      </c>
      <c r="AB1148">
        <v>26</v>
      </c>
      <c r="AC1148">
        <v>29.0367</v>
      </c>
      <c r="AD1148">
        <v>-1.10915276102</v>
      </c>
      <c r="AE1148">
        <v>-8.6377999999999702</v>
      </c>
      <c r="AF1148">
        <v>8.4891578073548004</v>
      </c>
      <c r="AG1148">
        <v>-1.10915276102</v>
      </c>
      <c r="AH1148">
        <v>29.038254668761201</v>
      </c>
      <c r="AI1148">
        <v>92.099622008584703</v>
      </c>
      <c r="AJ1148">
        <v>73.704039157974194</v>
      </c>
      <c r="AK1148">
        <v>30.2740194611367</v>
      </c>
      <c r="AL1148">
        <v>94.431643531149007</v>
      </c>
      <c r="AM1148">
        <v>86.260010784196595</v>
      </c>
      <c r="AN1148">
        <v>0.99999996781662703</v>
      </c>
    </row>
    <row r="1149" spans="1:40" x14ac:dyDescent="0.25">
      <c r="A1149" t="str">
        <f>"20190305135215264"</f>
        <v>20190305135215264</v>
      </c>
      <c r="B1149" t="str">
        <f>"1551765135260962"</f>
        <v>1551765135260962</v>
      </c>
      <c r="C1149" t="s">
        <v>40</v>
      </c>
      <c r="D1149">
        <v>4.6698259999999996</v>
      </c>
      <c r="E1149">
        <v>0.58157749999999997</v>
      </c>
      <c r="F1149" t="s">
        <v>52</v>
      </c>
      <c r="G1149">
        <v>-196.59690000000001</v>
      </c>
      <c r="H1149" s="1">
        <v>-9.0684900000000007E-6</v>
      </c>
      <c r="I1149">
        <v>360.22019999999998</v>
      </c>
      <c r="J1149">
        <v>-224.45599999999999</v>
      </c>
      <c r="K1149">
        <v>1.109146</v>
      </c>
      <c r="L1149">
        <v>368.50020000000001</v>
      </c>
      <c r="M1149">
        <v>0.99989099999999997</v>
      </c>
      <c r="N1149">
        <v>-1.395329E-2</v>
      </c>
      <c r="O1149">
        <v>-4.8586109999999997E-3</v>
      </c>
      <c r="P1149">
        <v>0.99336650000000004</v>
      </c>
      <c r="Q1149">
        <v>-9.0291140000000006E-2</v>
      </c>
      <c r="R1149">
        <v>-7.1210739999999995E-2</v>
      </c>
      <c r="S1149">
        <v>2.9479980000000001</v>
      </c>
      <c r="T1149">
        <v>-0.1167701</v>
      </c>
      <c r="U1149">
        <v>-0.87179569999999995</v>
      </c>
      <c r="V1149">
        <v>6.6347349999999999E-2</v>
      </c>
      <c r="W1149">
        <v>-7.6447810000000005E-2</v>
      </c>
      <c r="X1149">
        <v>0.99486370000000002</v>
      </c>
      <c r="Y1149">
        <v>0.278646</v>
      </c>
      <c r="Z1149">
        <v>-7.2648219999999998E-3</v>
      </c>
      <c r="AA1149">
        <v>0.96036639999999995</v>
      </c>
      <c r="AB1149">
        <v>26</v>
      </c>
      <c r="AC1149">
        <v>27.859099999999899</v>
      </c>
      <c r="AD1149">
        <v>-1.10915506849</v>
      </c>
      <c r="AE1149">
        <v>-8.2800000000000296</v>
      </c>
      <c r="AF1149">
        <v>8.13268790968195</v>
      </c>
      <c r="AG1149">
        <v>-1.10915506849</v>
      </c>
      <c r="AH1149">
        <v>27.858430591400399</v>
      </c>
      <c r="AI1149">
        <v>92.188706428583998</v>
      </c>
      <c r="AJ1149">
        <v>73.725936255702294</v>
      </c>
      <c r="AK1149">
        <v>29.042434343871999</v>
      </c>
      <c r="AL1149">
        <v>94.384414530214897</v>
      </c>
      <c r="AM1149">
        <v>86.184600497538895</v>
      </c>
      <c r="AN1149">
        <v>1.0000000100417501</v>
      </c>
    </row>
    <row r="1150" spans="1:40" x14ac:dyDescent="0.25">
      <c r="A1150" t="str">
        <f>"20190305135215279"</f>
        <v>20190305135215279</v>
      </c>
      <c r="B1150" t="str">
        <f>"1551765135270722"</f>
        <v>1551765135270722</v>
      </c>
      <c r="C1150" t="s">
        <v>40</v>
      </c>
      <c r="D1150">
        <v>4.6800110000000004</v>
      </c>
      <c r="E1150">
        <v>0.58096719999999902</v>
      </c>
      <c r="F1150" t="s">
        <v>52</v>
      </c>
      <c r="G1150">
        <v>-199.82859999999999</v>
      </c>
      <c r="H1150" s="1">
        <v>-1.0052989999999999E-5</v>
      </c>
      <c r="I1150">
        <v>361.303</v>
      </c>
      <c r="J1150">
        <v>-224.2851</v>
      </c>
      <c r="K1150">
        <v>1.1091500000000001</v>
      </c>
      <c r="L1150">
        <v>368.49919999999997</v>
      </c>
      <c r="M1150">
        <v>0.99989030000000001</v>
      </c>
      <c r="N1150">
        <v>-1.395149E-2</v>
      </c>
      <c r="O1150">
        <v>-5.0216840000000002E-3</v>
      </c>
      <c r="P1150">
        <v>0.99333110000000002</v>
      </c>
      <c r="Q1150">
        <v>-8.8829649999999996E-2</v>
      </c>
      <c r="R1150">
        <v>-7.3505409999999993E-2</v>
      </c>
      <c r="S1150">
        <v>2.9462429999999999</v>
      </c>
      <c r="T1150">
        <v>-0.13269139999999999</v>
      </c>
      <c r="U1150">
        <v>-0.86102289999999904</v>
      </c>
      <c r="V1150">
        <v>6.8480739999999998E-2</v>
      </c>
      <c r="W1150">
        <v>-7.4989550000000002E-2</v>
      </c>
      <c r="X1150">
        <v>0.99483010000000005</v>
      </c>
      <c r="Y1150">
        <v>0.2753467</v>
      </c>
      <c r="Z1150">
        <v>-7.8791729999999997E-3</v>
      </c>
      <c r="AA1150">
        <v>0.96131270000000002</v>
      </c>
      <c r="AB1150">
        <v>26</v>
      </c>
      <c r="AC1150">
        <v>24.456499999999998</v>
      </c>
      <c r="AD1150">
        <v>-1.1091600529899901</v>
      </c>
      <c r="AE1150">
        <v>-7.1961999999999096</v>
      </c>
      <c r="AF1150">
        <v>7.0599204631641799</v>
      </c>
      <c r="AG1150">
        <v>-1.1091600529899901</v>
      </c>
      <c r="AH1150">
        <v>24.446057072977901</v>
      </c>
      <c r="AI1150">
        <v>92.495963086940094</v>
      </c>
      <c r="AJ1150">
        <v>73.891500640918395</v>
      </c>
      <c r="AK1150">
        <v>25.469244578209398</v>
      </c>
      <c r="AL1150">
        <v>94.300621932749394</v>
      </c>
      <c r="AM1150">
        <v>86.062164233350003</v>
      </c>
      <c r="AN1150">
        <v>0.99999998611308005</v>
      </c>
    </row>
    <row r="1151" spans="1:40" x14ac:dyDescent="0.25">
      <c r="A1151" t="str">
        <f>"20190305135215293"</f>
        <v>20190305135215293</v>
      </c>
      <c r="B1151" t="str">
        <f>"1551765135280482"</f>
        <v>1551765135280482</v>
      </c>
      <c r="C1151" t="s">
        <v>40</v>
      </c>
      <c r="D1151">
        <v>4.7195029999999996</v>
      </c>
      <c r="E1151">
        <v>0.58033239999999997</v>
      </c>
      <c r="F1151" t="s">
        <v>52</v>
      </c>
      <c r="G1151">
        <v>-200.0642</v>
      </c>
      <c r="H1151" s="1">
        <v>-2.219183E-6</v>
      </c>
      <c r="I1151">
        <v>361.39830000000001</v>
      </c>
      <c r="J1151">
        <v>-224.13499999999999</v>
      </c>
      <c r="K1151">
        <v>1.109146</v>
      </c>
      <c r="L1151">
        <v>368.49829999999997</v>
      </c>
      <c r="M1151">
        <v>0.99988940000000004</v>
      </c>
      <c r="N1151">
        <v>-1.3949949999999999E-2</v>
      </c>
      <c r="O1151">
        <v>-5.166281E-3</v>
      </c>
      <c r="P1151">
        <v>0.99325589999999997</v>
      </c>
      <c r="Q1151">
        <v>-8.8510099999999994E-2</v>
      </c>
      <c r="R1151">
        <v>-7.4895900000000001E-2</v>
      </c>
      <c r="S1151">
        <v>2.9442140000000001</v>
      </c>
      <c r="T1151">
        <v>-0.13482439999999901</v>
      </c>
      <c r="U1151">
        <v>-0.86315919999999902</v>
      </c>
      <c r="V1151">
        <v>6.9727650000000002E-2</v>
      </c>
      <c r="W1151">
        <v>-7.4673080000000003E-2</v>
      </c>
      <c r="X1151">
        <v>0.99476730000000002</v>
      </c>
      <c r="Y1151">
        <v>0.27601779999999998</v>
      </c>
      <c r="Z1151">
        <v>-7.9917990000000008E-3</v>
      </c>
      <c r="AA1151">
        <v>0.96111930000000001</v>
      </c>
      <c r="AB1151">
        <v>26</v>
      </c>
      <c r="AC1151">
        <v>24.070799999999899</v>
      </c>
      <c r="AD1151">
        <v>-1.109148219183</v>
      </c>
      <c r="AE1151">
        <v>-7.0999999999999597</v>
      </c>
      <c r="AF1151">
        <v>6.9619379171995099</v>
      </c>
      <c r="AG1151">
        <v>-1.109148219183</v>
      </c>
      <c r="AH1151">
        <v>24.060166326984</v>
      </c>
      <c r="AI1151">
        <v>92.535537919548801</v>
      </c>
      <c r="AJ1151">
        <v>73.861917109120199</v>
      </c>
      <c r="AK1151">
        <v>25.0717050281227</v>
      </c>
      <c r="AL1151">
        <v>94.282438505354406</v>
      </c>
      <c r="AM1151">
        <v>85.990442857103503</v>
      </c>
      <c r="AN1151">
        <v>0.99999999760024905</v>
      </c>
    </row>
    <row r="1152" spans="1:40" x14ac:dyDescent="0.25">
      <c r="A1152" t="str">
        <f>"20190305135215304"</f>
        <v>20190305135215304</v>
      </c>
      <c r="B1152" t="str">
        <f>"1551765135300978"</f>
        <v>1551765135300978</v>
      </c>
      <c r="C1152" t="s">
        <v>40</v>
      </c>
      <c r="D1152">
        <v>4.6857189999999997</v>
      </c>
      <c r="E1152">
        <v>0.57929449999999905</v>
      </c>
      <c r="F1152" t="s">
        <v>52</v>
      </c>
      <c r="G1152">
        <v>-200.91739999999999</v>
      </c>
      <c r="H1152" s="1">
        <v>-2.6450659999999998E-6</v>
      </c>
      <c r="I1152">
        <v>361.69580000000002</v>
      </c>
      <c r="J1152">
        <v>-223.994</v>
      </c>
      <c r="K1152">
        <v>1.109146</v>
      </c>
      <c r="L1152">
        <v>368.49740000000003</v>
      </c>
      <c r="M1152">
        <v>0.99988869999999996</v>
      </c>
      <c r="N1152">
        <v>-1.3948520000000001E-2</v>
      </c>
      <c r="O1152">
        <v>-5.3026530000000001E-3</v>
      </c>
      <c r="P1152">
        <v>0.99316170000000004</v>
      </c>
      <c r="Q1152">
        <v>-8.8605249999999997E-2</v>
      </c>
      <c r="R1152">
        <v>-7.6020370000000004E-2</v>
      </c>
      <c r="S1152">
        <v>2.942841</v>
      </c>
      <c r="T1152">
        <v>-0.14058509999999999</v>
      </c>
      <c r="U1152">
        <v>-0.86221309999999995</v>
      </c>
      <c r="V1152">
        <v>7.0717260000000004E-2</v>
      </c>
      <c r="W1152">
        <v>-7.4771370000000004E-2</v>
      </c>
      <c r="X1152">
        <v>0.99469010000000002</v>
      </c>
      <c r="Y1152">
        <v>0.27569680000000002</v>
      </c>
      <c r="Z1152">
        <v>-8.2345609999999996E-3</v>
      </c>
      <c r="AA1152">
        <v>0.96120939999999999</v>
      </c>
      <c r="AB1152">
        <v>26</v>
      </c>
      <c r="AC1152">
        <v>23.076599999999999</v>
      </c>
      <c r="AD1152">
        <v>-1.109148645066</v>
      </c>
      <c r="AE1152">
        <v>-6.8015999999999996</v>
      </c>
      <c r="AF1152">
        <v>6.6649589995885501</v>
      </c>
      <c r="AG1152">
        <v>-1.109148645066</v>
      </c>
      <c r="AH1152">
        <v>23.0633248345254</v>
      </c>
      <c r="AI1152">
        <v>92.645238293497798</v>
      </c>
      <c r="AJ1152">
        <v>73.881489975408698</v>
      </c>
      <c r="AK1152">
        <v>24.0326619750265</v>
      </c>
      <c r="AL1152">
        <v>94.288085705416094</v>
      </c>
      <c r="AM1152">
        <v>85.933412222877394</v>
      </c>
      <c r="AN1152">
        <v>1.0000000418357899</v>
      </c>
    </row>
    <row r="1153" spans="1:40" x14ac:dyDescent="0.25">
      <c r="A1153" t="str">
        <f>"20190305135215316"</f>
        <v>20190305135215316</v>
      </c>
      <c r="B1153" t="str">
        <f>"1551765135310738"</f>
        <v>1551765135310738</v>
      </c>
      <c r="C1153" t="s">
        <v>40</v>
      </c>
      <c r="D1153">
        <v>4.6378120000000003</v>
      </c>
      <c r="E1153">
        <v>0.57881959999999999</v>
      </c>
      <c r="F1153" t="s">
        <v>52</v>
      </c>
      <c r="G1153">
        <v>-202.41239999999999</v>
      </c>
      <c r="H1153" s="1">
        <v>-3.2952779999999998E-6</v>
      </c>
      <c r="I1153">
        <v>362.20850000000002</v>
      </c>
      <c r="J1153">
        <v>-223.85290000000001</v>
      </c>
      <c r="K1153">
        <v>1.1091420000000001</v>
      </c>
      <c r="L1153">
        <v>368.49650000000003</v>
      </c>
      <c r="M1153">
        <v>0.999888</v>
      </c>
      <c r="N1153">
        <v>-1.3947080000000001E-2</v>
      </c>
      <c r="O1153">
        <v>-5.4405829999999997E-3</v>
      </c>
      <c r="P1153">
        <v>0.99305370000000004</v>
      </c>
      <c r="Q1153">
        <v>-8.8641979999999995E-2</v>
      </c>
      <c r="R1153">
        <v>-7.7374499999999999E-2</v>
      </c>
      <c r="S1153">
        <v>2.9415740000000001</v>
      </c>
      <c r="T1153">
        <v>-0.15117700000000001</v>
      </c>
      <c r="U1153">
        <v>-0.85717770000000004</v>
      </c>
      <c r="V1153">
        <v>7.1934719999999994E-2</v>
      </c>
      <c r="W1153">
        <v>-7.4811559999999999E-2</v>
      </c>
      <c r="X1153">
        <v>0.99459980000000003</v>
      </c>
      <c r="Y1153">
        <v>0.27411029999999997</v>
      </c>
      <c r="Z1153">
        <v>-8.6486259999999995E-3</v>
      </c>
      <c r="AA1153">
        <v>0.96165940000000005</v>
      </c>
      <c r="AB1153">
        <v>26</v>
      </c>
      <c r="AC1153">
        <v>21.4405</v>
      </c>
      <c r="AD1153">
        <v>-1.1091452952779901</v>
      </c>
      <c r="AE1153">
        <v>-6.28800000000001</v>
      </c>
      <c r="AF1153">
        <v>6.1560770670723697</v>
      </c>
      <c r="AG1153">
        <v>-1.1091452952779901</v>
      </c>
      <c r="AH1153">
        <v>21.421609588623099</v>
      </c>
      <c r="AI1153">
        <v>92.848851189095299</v>
      </c>
      <c r="AJ1153">
        <v>73.966568304310002</v>
      </c>
      <c r="AK1153">
        <v>22.316201413080201</v>
      </c>
      <c r="AL1153">
        <v>94.290394778642494</v>
      </c>
      <c r="AM1153">
        <v>85.863269045245701</v>
      </c>
      <c r="AN1153">
        <v>1.00000006780557</v>
      </c>
    </row>
    <row r="1154" spans="1:40" x14ac:dyDescent="0.25">
      <c r="A1154" t="str">
        <f>"20190305135215329"</f>
        <v>20190305135215329</v>
      </c>
      <c r="B1154" t="str">
        <f>"1551765135320498"</f>
        <v>1551765135320498</v>
      </c>
      <c r="C1154" t="s">
        <v>40</v>
      </c>
      <c r="D1154">
        <v>4.7002969999999999</v>
      </c>
      <c r="E1154">
        <v>0.57840959999999997</v>
      </c>
      <c r="F1154" t="s">
        <v>52</v>
      </c>
      <c r="G1154">
        <v>-202.63900000000001</v>
      </c>
      <c r="H1154" s="1">
        <v>-3.3871620000000002E-6</v>
      </c>
      <c r="I1154">
        <v>362.30829999999997</v>
      </c>
      <c r="J1154">
        <v>-223.7133</v>
      </c>
      <c r="K1154">
        <v>1.109138</v>
      </c>
      <c r="L1154">
        <v>368.49560000000002</v>
      </c>
      <c r="M1154">
        <v>0.99988719999999998</v>
      </c>
      <c r="N1154">
        <v>-1.394568E-2</v>
      </c>
      <c r="O1154">
        <v>-5.577561E-3</v>
      </c>
      <c r="P1154">
        <v>0.99293909999999996</v>
      </c>
      <c r="Q1154">
        <v>-8.8923859999999993E-2</v>
      </c>
      <c r="R1154">
        <v>-7.8515340000000003E-2</v>
      </c>
      <c r="S1154">
        <v>2.9404140000000001</v>
      </c>
      <c r="T1154">
        <v>-0.15373609999999999</v>
      </c>
      <c r="U1154">
        <v>-0.85772709999999996</v>
      </c>
      <c r="V1154">
        <v>7.2939539999999997E-2</v>
      </c>
      <c r="W1154">
        <v>-7.5096880000000005E-2</v>
      </c>
      <c r="X1154">
        <v>0.99450499999999997</v>
      </c>
      <c r="Y1154">
        <v>0.2742328</v>
      </c>
      <c r="Z1154">
        <v>-8.7617430000000007E-3</v>
      </c>
      <c r="AA1154">
        <v>0.96162340000000002</v>
      </c>
      <c r="AB1154">
        <v>26</v>
      </c>
      <c r="AC1154">
        <v>21.074299999999901</v>
      </c>
      <c r="AD1154">
        <v>-1.1091413871619999</v>
      </c>
      <c r="AE1154">
        <v>-6.1873000000000502</v>
      </c>
      <c r="AF1154">
        <v>6.0542102235291901</v>
      </c>
      <c r="AG1154">
        <v>-1.1091413871619999</v>
      </c>
      <c r="AH1154">
        <v>21.054793530344799</v>
      </c>
      <c r="AI1154">
        <v>92.898260249732004</v>
      </c>
      <c r="AJ1154">
        <v>73.957651081462501</v>
      </c>
      <c r="AK1154">
        <v>21.935997507586698</v>
      </c>
      <c r="AL1154">
        <v>94.306789005876894</v>
      </c>
      <c r="AM1154">
        <v>85.805291541524497</v>
      </c>
      <c r="AN1154">
        <v>0.99999995645307205</v>
      </c>
    </row>
    <row r="1155" spans="1:40" x14ac:dyDescent="0.25">
      <c r="A1155" t="str">
        <f>"20190305135215340"</f>
        <v>20190305135215340</v>
      </c>
      <c r="B1155" t="str">
        <f>"1551765135330259"</f>
        <v>1551765135330259</v>
      </c>
      <c r="C1155" t="s">
        <v>40</v>
      </c>
      <c r="D1155">
        <v>4.7026089999999998</v>
      </c>
      <c r="E1155">
        <v>0.57805059999999997</v>
      </c>
      <c r="F1155" t="s">
        <v>52</v>
      </c>
      <c r="G1155">
        <v>-203.1447</v>
      </c>
      <c r="H1155" s="1">
        <v>-3.6005379999999999E-6</v>
      </c>
      <c r="I1155">
        <v>362.49380000000002</v>
      </c>
      <c r="J1155">
        <v>-223.57259999999999</v>
      </c>
      <c r="K1155">
        <v>1.109137</v>
      </c>
      <c r="L1155">
        <v>368.49470000000002</v>
      </c>
      <c r="M1155">
        <v>0.99988639999999995</v>
      </c>
      <c r="N1155">
        <v>-1.394431E-2</v>
      </c>
      <c r="O1155">
        <v>-5.7172780000000001E-3</v>
      </c>
      <c r="P1155">
        <v>0.99278719999999998</v>
      </c>
      <c r="Q1155">
        <v>-8.9380440000000005E-2</v>
      </c>
      <c r="R1155">
        <v>-7.990514E-2</v>
      </c>
      <c r="S1155">
        <v>2.9393159999999998</v>
      </c>
      <c r="T1155">
        <v>-0.15849949999999999</v>
      </c>
      <c r="U1155">
        <v>-0.85766600000000004</v>
      </c>
      <c r="V1155">
        <v>7.4190880000000001E-2</v>
      </c>
      <c r="W1155">
        <v>-7.5557460000000007E-2</v>
      </c>
      <c r="X1155">
        <v>0.99437759999999997</v>
      </c>
      <c r="Y1155">
        <v>0.27415220000000001</v>
      </c>
      <c r="Z1155">
        <v>-8.9643180000000006E-3</v>
      </c>
      <c r="AA1155">
        <v>0.96164450000000001</v>
      </c>
      <c r="AB1155">
        <v>26</v>
      </c>
      <c r="AC1155">
        <v>20.427899999999902</v>
      </c>
      <c r="AD1155">
        <v>-1.109140600538</v>
      </c>
      <c r="AE1155">
        <v>-6.0008999999999997</v>
      </c>
      <c r="AF1155">
        <v>5.8680737760205597</v>
      </c>
      <c r="AG1155">
        <v>-1.109140600538</v>
      </c>
      <c r="AH1155">
        <v>20.4064990386434</v>
      </c>
      <c r="AI1155">
        <v>92.990157707288901</v>
      </c>
      <c r="AJ1155">
        <v>73.956930954637301</v>
      </c>
      <c r="AK1155">
        <v>21.262400751719898</v>
      </c>
      <c r="AL1155">
        <v>94.333253236908405</v>
      </c>
      <c r="AM1155">
        <v>85.733046636347396</v>
      </c>
      <c r="AN1155">
        <v>1.0000000139092899</v>
      </c>
    </row>
    <row r="1156" spans="1:40" x14ac:dyDescent="0.25">
      <c r="A1156" t="str">
        <f>"20190305135215352"</f>
        <v>20190305135215352</v>
      </c>
      <c r="B1156" t="str">
        <f>"1551765135340994"</f>
        <v>1551765135340994</v>
      </c>
      <c r="C1156" t="s">
        <v>40</v>
      </c>
      <c r="D1156">
        <v>4.7125370000000002</v>
      </c>
      <c r="E1156">
        <v>0.57776039999999995</v>
      </c>
      <c r="F1156" t="s">
        <v>52</v>
      </c>
      <c r="G1156">
        <v>-203.6148</v>
      </c>
      <c r="H1156" s="1">
        <v>-3.8003350000000002E-6</v>
      </c>
      <c r="I1156">
        <v>362.65960000000001</v>
      </c>
      <c r="J1156">
        <v>-223.43940000000001</v>
      </c>
      <c r="K1156">
        <v>1.109146</v>
      </c>
      <c r="L1156">
        <v>368.49369999999999</v>
      </c>
      <c r="M1156">
        <v>0.99988580000000005</v>
      </c>
      <c r="N1156">
        <v>-1.3942960000000001E-2</v>
      </c>
      <c r="O1156">
        <v>-5.8509159999999899E-3</v>
      </c>
      <c r="P1156">
        <v>0.9926199</v>
      </c>
      <c r="Q1156">
        <v>-8.9950100000000005E-2</v>
      </c>
      <c r="R1156">
        <v>-8.1334359999999994E-2</v>
      </c>
      <c r="S1156">
        <v>2.9379729999999999</v>
      </c>
      <c r="T1156">
        <v>-0.16327559999999999</v>
      </c>
      <c r="U1156">
        <v>-0.85897829999999997</v>
      </c>
      <c r="V1156">
        <v>7.5487910000000005E-2</v>
      </c>
      <c r="W1156">
        <v>-7.6131309999999994E-2</v>
      </c>
      <c r="X1156">
        <v>0.99423620000000001</v>
      </c>
      <c r="Y1156">
        <v>0.27451160000000002</v>
      </c>
      <c r="Z1156">
        <v>-9.1825850000000001E-3</v>
      </c>
      <c r="AA1156">
        <v>0.9615399</v>
      </c>
      <c r="AB1156">
        <v>26</v>
      </c>
      <c r="AC1156">
        <v>19.8246</v>
      </c>
      <c r="AD1156">
        <v>-1.109149800335</v>
      </c>
      <c r="AE1156">
        <v>-5.8340999999999701</v>
      </c>
      <c r="AF1156">
        <v>5.7015721887367103</v>
      </c>
      <c r="AG1156">
        <v>-1.109149800335</v>
      </c>
      <c r="AH1156">
        <v>19.8013566953571</v>
      </c>
      <c r="AI1156">
        <v>93.081080825492904</v>
      </c>
      <c r="AJ1156">
        <v>73.936855344983599</v>
      </c>
      <c r="AK1156">
        <v>20.6356939713624</v>
      </c>
      <c r="AL1156">
        <v>94.366227408612801</v>
      </c>
      <c r="AM1156">
        <v>85.658118007010799</v>
      </c>
      <c r="AN1156">
        <v>1.00000001115446</v>
      </c>
    </row>
    <row r="1157" spans="1:40" x14ac:dyDescent="0.25">
      <c r="A1157" t="str">
        <f>"20190305135215366"</f>
        <v>20190305135215366</v>
      </c>
      <c r="B1157" t="str">
        <f>"1551765135361018"</f>
        <v>1551765135361018</v>
      </c>
      <c r="C1157" t="s">
        <v>40</v>
      </c>
      <c r="D1157">
        <v>4.6993749999999999</v>
      </c>
      <c r="E1157">
        <v>0.57737430000000001</v>
      </c>
      <c r="F1157" t="s">
        <v>52</v>
      </c>
      <c r="G1157">
        <v>-204.10319999999999</v>
      </c>
      <c r="H1157" s="1">
        <v>-4.0095530000000003E-6</v>
      </c>
      <c r="I1157">
        <v>362.8245</v>
      </c>
      <c r="J1157">
        <v>-223.2783</v>
      </c>
      <c r="K1157">
        <v>1.109151</v>
      </c>
      <c r="L1157">
        <v>368.49259999999998</v>
      </c>
      <c r="M1157">
        <v>0.99988480000000002</v>
      </c>
      <c r="N1157">
        <v>-1.394129E-2</v>
      </c>
      <c r="O1157">
        <v>-6.0134019999999897E-3</v>
      </c>
      <c r="P1157">
        <v>0.9925098</v>
      </c>
      <c r="Q1157">
        <v>-9.0021030000000002E-2</v>
      </c>
      <c r="R1157">
        <v>-8.2589850000000006E-2</v>
      </c>
      <c r="S1157">
        <v>2.9364780000000001</v>
      </c>
      <c r="T1157">
        <v>-0.1684397</v>
      </c>
      <c r="U1157">
        <v>-0.86096189999999995</v>
      </c>
      <c r="V1157">
        <v>7.6582330000000004E-2</v>
      </c>
      <c r="W1157">
        <v>-7.6205930000000005E-2</v>
      </c>
      <c r="X1157">
        <v>0.9941468</v>
      </c>
      <c r="Y1157">
        <v>0.27505629999999998</v>
      </c>
      <c r="Z1157">
        <v>-9.4235559999999996E-3</v>
      </c>
      <c r="AA1157">
        <v>0.96138199999999996</v>
      </c>
      <c r="AB1157">
        <v>26</v>
      </c>
      <c r="AC1157">
        <v>19.1751</v>
      </c>
      <c r="AD1157">
        <v>-1.1091550095530001</v>
      </c>
      <c r="AE1157">
        <v>-5.6680999999999804</v>
      </c>
      <c r="AF1157">
        <v>5.5356454781489699</v>
      </c>
      <c r="AG1157">
        <v>-1.1091550095530001</v>
      </c>
      <c r="AH1157">
        <v>19.149916629545299</v>
      </c>
      <c r="AI1157">
        <v>93.184738312757602</v>
      </c>
      <c r="AJ1157">
        <v>73.877062412204495</v>
      </c>
      <c r="AK1157">
        <v>19.964791574507</v>
      </c>
      <c r="AL1157">
        <v>94.370515200173401</v>
      </c>
      <c r="AM1157">
        <v>85.595021038065497</v>
      </c>
      <c r="AN1157">
        <v>1.0000000284928099</v>
      </c>
    </row>
    <row r="1158" spans="1:40" x14ac:dyDescent="0.25">
      <c r="A1158" t="str">
        <f>"20190305135215381"</f>
        <v>20190305135215381</v>
      </c>
      <c r="B1158" t="str">
        <f>"1551765135370275"</f>
        <v>1551765135370275</v>
      </c>
      <c r="C1158" t="s">
        <v>40</v>
      </c>
      <c r="D1158">
        <v>4.6944889999999999</v>
      </c>
      <c r="E1158">
        <v>0.57714730000000003</v>
      </c>
      <c r="F1158" t="s">
        <v>52</v>
      </c>
      <c r="G1158">
        <v>-204.45400000000001</v>
      </c>
      <c r="H1158" s="1">
        <v>-4.1542239999999998E-6</v>
      </c>
      <c r="I1158">
        <v>362.9683</v>
      </c>
      <c r="J1158">
        <v>-223.108</v>
      </c>
      <c r="K1158">
        <v>1.1091569999999999</v>
      </c>
      <c r="L1158">
        <v>368.4914</v>
      </c>
      <c r="M1158">
        <v>0.99988370000000004</v>
      </c>
      <c r="N1158">
        <v>-1.393959E-2</v>
      </c>
      <c r="O1158">
        <v>-6.1868499999999998E-3</v>
      </c>
      <c r="P1158">
        <v>0.99235549999999995</v>
      </c>
      <c r="Q1158">
        <v>-8.9191629999999994E-2</v>
      </c>
      <c r="R1158">
        <v>-8.5297189999999995E-2</v>
      </c>
      <c r="S1158">
        <v>2.9352870000000002</v>
      </c>
      <c r="T1158">
        <v>-0.1729521</v>
      </c>
      <c r="U1158">
        <v>-0.86141970000000001</v>
      </c>
      <c r="V1158">
        <v>7.9118530000000006E-2</v>
      </c>
      <c r="W1158">
        <v>-7.5381519999999994E-2</v>
      </c>
      <c r="X1158">
        <v>0.99401099999999998</v>
      </c>
      <c r="Y1158">
        <v>0.2751074</v>
      </c>
      <c r="Z1158">
        <v>-9.6179109999999998E-3</v>
      </c>
      <c r="AA1158">
        <v>0.96136540000000004</v>
      </c>
      <c r="AB1158">
        <v>26</v>
      </c>
      <c r="AC1158">
        <v>18.654</v>
      </c>
      <c r="AD1158">
        <v>-1.1091611542240001</v>
      </c>
      <c r="AE1158">
        <v>-5.5231000000000003</v>
      </c>
      <c r="AF1158">
        <v>5.3900531767786299</v>
      </c>
      <c r="AG1158">
        <v>-1.1091611542240001</v>
      </c>
      <c r="AH1158">
        <v>18.627268837036699</v>
      </c>
      <c r="AI1158">
        <v>93.273665819502497</v>
      </c>
      <c r="AJ1158">
        <v>73.861482202527696</v>
      </c>
      <c r="AK1158">
        <v>19.423131983327998</v>
      </c>
      <c r="AL1158">
        <v>94.323143882612101</v>
      </c>
      <c r="AM1158">
        <v>85.449123849288995</v>
      </c>
      <c r="AN1158">
        <v>0.99999999173393495</v>
      </c>
    </row>
    <row r="1159" spans="1:40" x14ac:dyDescent="0.25">
      <c r="A1159" t="str">
        <f>"20190305135215401"</f>
        <v>20190305135215401</v>
      </c>
      <c r="B1159" t="str">
        <f>"1551765135390771"</f>
        <v>1551765135390771</v>
      </c>
      <c r="C1159" t="s">
        <v>40</v>
      </c>
      <c r="D1159">
        <v>4.6670199999999999</v>
      </c>
      <c r="E1159">
        <v>0.5769379</v>
      </c>
      <c r="F1159" t="s">
        <v>52</v>
      </c>
      <c r="G1159">
        <v>-204.2166</v>
      </c>
      <c r="H1159" s="1">
        <v>-4.0492850000000001E-6</v>
      </c>
      <c r="I1159">
        <v>362.90280000000001</v>
      </c>
      <c r="J1159">
        <v>-222.86580000000001</v>
      </c>
      <c r="K1159">
        <v>1.109164</v>
      </c>
      <c r="L1159">
        <v>368.4896</v>
      </c>
      <c r="M1159">
        <v>0.9998823</v>
      </c>
      <c r="N1159">
        <v>-1.3937140000000001E-2</v>
      </c>
      <c r="O1159">
        <v>-6.4357569999999899E-3</v>
      </c>
      <c r="P1159">
        <v>0.99222659999999996</v>
      </c>
      <c r="Q1159">
        <v>-8.7625380000000003E-2</v>
      </c>
      <c r="R1159">
        <v>-8.8365730000000003E-2</v>
      </c>
      <c r="S1159">
        <v>2.9330289999999999</v>
      </c>
      <c r="T1159">
        <v>-0.17220539999999901</v>
      </c>
      <c r="U1159">
        <v>-0.8676758</v>
      </c>
      <c r="V1159">
        <v>8.1941139999999996E-2</v>
      </c>
      <c r="W1159">
        <v>-7.3820780000000003E-2</v>
      </c>
      <c r="X1159">
        <v>0.99389950000000005</v>
      </c>
      <c r="Y1159">
        <v>0.2769547</v>
      </c>
      <c r="Z1159">
        <v>-9.6441280000000001E-3</v>
      </c>
      <c r="AA1159">
        <v>0.96083459999999998</v>
      </c>
      <c r="AB1159">
        <v>26</v>
      </c>
      <c r="AC1159">
        <v>18.6492</v>
      </c>
      <c r="AD1159">
        <v>-1.109168049285</v>
      </c>
      <c r="AE1159">
        <v>-5.5867999999999798</v>
      </c>
      <c r="AF1159">
        <v>5.4489635287079299</v>
      </c>
      <c r="AG1159">
        <v>-1.109168049285</v>
      </c>
      <c r="AH1159">
        <v>18.624317770707702</v>
      </c>
      <c r="AI1159">
        <v>93.271392562719697</v>
      </c>
      <c r="AJ1159">
        <v>73.691974612453905</v>
      </c>
      <c r="AK1159">
        <v>19.436735058209798</v>
      </c>
      <c r="AL1159">
        <v>94.233469985407098</v>
      </c>
      <c r="AM1159">
        <v>85.286960521679802</v>
      </c>
      <c r="AN1159">
        <v>1.0000000370422699</v>
      </c>
    </row>
    <row r="1160" spans="1:40" x14ac:dyDescent="0.25">
      <c r="A1160" t="str">
        <f>"20190305135215415"</f>
        <v>20190305135215415</v>
      </c>
      <c r="B1160" t="str">
        <f>"1551765135410292"</f>
        <v>1551765135410292</v>
      </c>
      <c r="C1160" t="s">
        <v>40</v>
      </c>
      <c r="D1160">
        <v>4.6103399999999999</v>
      </c>
      <c r="E1160">
        <v>0.57667789999999997</v>
      </c>
      <c r="F1160" t="s">
        <v>52</v>
      </c>
      <c r="G1160">
        <v>-203.87020000000001</v>
      </c>
      <c r="H1160" s="1">
        <v>-3.893928E-6</v>
      </c>
      <c r="I1160">
        <v>362.81709999999998</v>
      </c>
      <c r="J1160">
        <v>-222.71549999999999</v>
      </c>
      <c r="K1160">
        <v>1.109164</v>
      </c>
      <c r="L1160">
        <v>368.48840000000001</v>
      </c>
      <c r="M1160">
        <v>0.99988109999999997</v>
      </c>
      <c r="N1160">
        <v>-1.3935609999999999E-2</v>
      </c>
      <c r="O1160">
        <v>-6.5912050000000002E-3</v>
      </c>
      <c r="P1160">
        <v>0.99211939999999998</v>
      </c>
      <c r="Q1160">
        <v>-8.7155239999999995E-2</v>
      </c>
      <c r="R1160">
        <v>-9.0018940000000006E-2</v>
      </c>
      <c r="S1160">
        <v>2.930466</v>
      </c>
      <c r="T1160">
        <v>-0.17111219999999999</v>
      </c>
      <c r="U1160">
        <v>-0.87509159999999997</v>
      </c>
      <c r="V1160">
        <v>8.3440619999999993E-2</v>
      </c>
      <c r="W1160">
        <v>-7.3354290000000003E-2</v>
      </c>
      <c r="X1160">
        <v>0.99380919999999895</v>
      </c>
      <c r="Y1160">
        <v>0.27926840000000003</v>
      </c>
      <c r="Z1160">
        <v>-9.675955E-3</v>
      </c>
      <c r="AA1160">
        <v>0.96016429999999997</v>
      </c>
      <c r="AB1160">
        <v>26</v>
      </c>
      <c r="AC1160">
        <v>18.845299999999899</v>
      </c>
      <c r="AD1160">
        <v>-1.1091678939280001</v>
      </c>
      <c r="AE1160">
        <v>-5.6713000000000298</v>
      </c>
      <c r="AF1160">
        <v>5.5293878539009196</v>
      </c>
      <c r="AG1160">
        <v>-1.1091678939280001</v>
      </c>
      <c r="AH1160">
        <v>18.822486892886801</v>
      </c>
      <c r="AI1160">
        <v>93.235983771443401</v>
      </c>
      <c r="AJ1160">
        <v>73.6290579584862</v>
      </c>
      <c r="AK1160">
        <v>19.649183094690802</v>
      </c>
      <c r="AL1160">
        <v>94.206669750597896</v>
      </c>
      <c r="AM1160">
        <v>85.200679556122196</v>
      </c>
      <c r="AN1160">
        <v>0.999999957466013</v>
      </c>
    </row>
    <row r="1161" spans="1:40" x14ac:dyDescent="0.25">
      <c r="A1161" t="str">
        <f>"20190305135215426"</f>
        <v>20190305135215426</v>
      </c>
      <c r="B1161" t="str">
        <f>"1551765135421027"</f>
        <v>1551765135421027</v>
      </c>
      <c r="C1161" t="s">
        <v>40</v>
      </c>
      <c r="D1161">
        <v>4.7171029999999998</v>
      </c>
      <c r="E1161">
        <v>0.57652559999999997</v>
      </c>
      <c r="F1161" t="s">
        <v>52</v>
      </c>
      <c r="G1161">
        <v>-204.3141</v>
      </c>
      <c r="H1161" s="1">
        <v>-4.0831970000000003E-6</v>
      </c>
      <c r="I1161">
        <v>362.971</v>
      </c>
      <c r="J1161">
        <v>-222.58029999999999</v>
      </c>
      <c r="K1161">
        <v>1.109165</v>
      </c>
      <c r="L1161">
        <v>368.48739999999998</v>
      </c>
      <c r="M1161">
        <v>0.9998804</v>
      </c>
      <c r="N1161">
        <v>-1.3934240000000001E-2</v>
      </c>
      <c r="O1161">
        <v>-6.7315109999999999E-3</v>
      </c>
      <c r="P1161">
        <v>0.9919943</v>
      </c>
      <c r="Q1161">
        <v>-8.670601E-2</v>
      </c>
      <c r="R1161">
        <v>-9.1812480000000002E-2</v>
      </c>
      <c r="S1161">
        <v>2.9286500000000002</v>
      </c>
      <c r="T1161">
        <v>-0.17652770000000001</v>
      </c>
      <c r="U1161">
        <v>-0.87811280000000003</v>
      </c>
      <c r="V1161">
        <v>8.5096149999999995E-2</v>
      </c>
      <c r="W1161">
        <v>-7.2908860000000006E-2</v>
      </c>
      <c r="X1161">
        <v>0.99370159999999996</v>
      </c>
      <c r="Y1161">
        <v>0.28017259999999899</v>
      </c>
      <c r="Z1161">
        <v>-9.9464400000000008E-3</v>
      </c>
      <c r="AA1161">
        <v>0.95989809999999998</v>
      </c>
      <c r="AB1161">
        <v>26</v>
      </c>
      <c r="AC1161">
        <v>18.266200000000001</v>
      </c>
      <c r="AD1161">
        <v>-1.109169083197</v>
      </c>
      <c r="AE1161">
        <v>-5.5163999999999698</v>
      </c>
      <c r="AF1161">
        <v>5.3751411393397399</v>
      </c>
      <c r="AG1161">
        <v>-1.109169083197</v>
      </c>
      <c r="AH1161">
        <v>18.241285380026</v>
      </c>
      <c r="AI1161">
        <v>93.338046834657007</v>
      </c>
      <c r="AJ1161">
        <v>73.581389480673394</v>
      </c>
      <c r="AK1161">
        <v>19.0490653481606</v>
      </c>
      <c r="AL1161">
        <v>94.181079944367298</v>
      </c>
      <c r="AM1161">
        <v>85.105387790235199</v>
      </c>
      <c r="AN1161">
        <v>0.99999996322693996</v>
      </c>
    </row>
    <row r="1162" spans="1:40" x14ac:dyDescent="0.25">
      <c r="A1162" t="str">
        <f>"20190305135215438"</f>
        <v>20190305135215438</v>
      </c>
      <c r="B1162" t="str">
        <f>"1551765135430786"</f>
        <v>1551765135430786</v>
      </c>
      <c r="C1162" t="s">
        <v>40</v>
      </c>
      <c r="D1162">
        <v>4.7204899999999999</v>
      </c>
      <c r="E1162">
        <v>0.57638509999999998</v>
      </c>
      <c r="F1162" t="s">
        <v>52</v>
      </c>
      <c r="G1162">
        <v>-204.25069999999999</v>
      </c>
      <c r="H1162" s="1">
        <v>-4.0527099999999899E-6</v>
      </c>
      <c r="I1162">
        <v>362.96449999999999</v>
      </c>
      <c r="J1162">
        <v>-222.44049999999999</v>
      </c>
      <c r="K1162">
        <v>1.1091660000000001</v>
      </c>
      <c r="L1162">
        <v>368.48630000000003</v>
      </c>
      <c r="M1162">
        <v>0.99987939999999997</v>
      </c>
      <c r="N1162">
        <v>-1.39328E-2</v>
      </c>
      <c r="O1162">
        <v>-6.8774140000000001E-3</v>
      </c>
      <c r="P1162">
        <v>0.9918536</v>
      </c>
      <c r="Q1162">
        <v>-8.6536329999999995E-2</v>
      </c>
      <c r="R1162">
        <v>-9.3480859999999999E-2</v>
      </c>
      <c r="S1162">
        <v>2.9271090000000002</v>
      </c>
      <c r="T1162">
        <v>-0.1771259</v>
      </c>
      <c r="U1162">
        <v>-0.88195800000000002</v>
      </c>
      <c r="V1162">
        <v>8.6620169999999996E-2</v>
      </c>
      <c r="W1162">
        <v>-7.274311E-2</v>
      </c>
      <c r="X1162">
        <v>0.99358210000000002</v>
      </c>
      <c r="Y1162">
        <v>0.28132180000000001</v>
      </c>
      <c r="Z1162">
        <v>-1.0011249999999999E-2</v>
      </c>
      <c r="AA1162">
        <v>0.95956129999999995</v>
      </c>
      <c r="AB1162">
        <v>26</v>
      </c>
      <c r="AC1162">
        <v>18.189799999999899</v>
      </c>
      <c r="AD1162">
        <v>-1.1091700527099999</v>
      </c>
      <c r="AE1162">
        <v>-5.5218000000000398</v>
      </c>
      <c r="AF1162">
        <v>5.3782480598734796</v>
      </c>
      <c r="AG1162">
        <v>-1.1091700527099999</v>
      </c>
      <c r="AH1162">
        <v>18.1655041007342</v>
      </c>
      <c r="AI1162">
        <v>93.3506714521139</v>
      </c>
      <c r="AJ1162">
        <v>73.507595696015599</v>
      </c>
      <c r="AK1162">
        <v>18.977390485342099</v>
      </c>
      <c r="AL1162">
        <v>94.171557723608899</v>
      </c>
      <c r="AM1162">
        <v>85.017569418356004</v>
      </c>
      <c r="AN1162">
        <v>1.00000000167185</v>
      </c>
    </row>
    <row r="1163" spans="1:40" x14ac:dyDescent="0.25">
      <c r="A1163" t="str">
        <f>"20190305135215449"</f>
        <v>20190305135215449</v>
      </c>
      <c r="B1163" t="str">
        <f>"1551765135440546"</f>
        <v>1551765135440546</v>
      </c>
      <c r="C1163" t="s">
        <v>40</v>
      </c>
      <c r="D1163">
        <v>4.7408489999999999</v>
      </c>
      <c r="E1163">
        <v>0.57625349999999997</v>
      </c>
      <c r="F1163" t="s">
        <v>52</v>
      </c>
      <c r="G1163">
        <v>-204.30160000000001</v>
      </c>
      <c r="H1163" s="1">
        <v>-4.072017E-6</v>
      </c>
      <c r="I1163">
        <v>362.99299999999999</v>
      </c>
      <c r="J1163">
        <v>-222.3167</v>
      </c>
      <c r="K1163">
        <v>1.1091690000000001</v>
      </c>
      <c r="L1163">
        <v>368.4853</v>
      </c>
      <c r="M1163">
        <v>0.9998785</v>
      </c>
      <c r="N1163">
        <v>-1.3931529999999999E-2</v>
      </c>
      <c r="O1163">
        <v>-7.006389E-3</v>
      </c>
      <c r="P1163">
        <v>0.9917205</v>
      </c>
      <c r="Q1163">
        <v>-8.6121370000000003E-2</v>
      </c>
      <c r="R1163">
        <v>-9.5254829999999999E-2</v>
      </c>
      <c r="S1163">
        <v>2.925522</v>
      </c>
      <c r="T1163">
        <v>-0.17889179999999999</v>
      </c>
      <c r="U1163">
        <v>-0.8859863</v>
      </c>
      <c r="V1163">
        <v>8.8267559999999995E-2</v>
      </c>
      <c r="W1163">
        <v>-7.2331859999999998E-2</v>
      </c>
      <c r="X1163">
        <v>0.99346719999999999</v>
      </c>
      <c r="Y1163">
        <v>0.28253909999999999</v>
      </c>
      <c r="Z1163">
        <v>-1.0131940000000001E-2</v>
      </c>
      <c r="AA1163">
        <v>0.95920229999999995</v>
      </c>
      <c r="AB1163">
        <v>26</v>
      </c>
      <c r="AC1163">
        <v>18.015099999999901</v>
      </c>
      <c r="AD1163">
        <v>-1.1091730720170001</v>
      </c>
      <c r="AE1163">
        <v>-5.4922999999999398</v>
      </c>
      <c r="AF1163">
        <v>5.3473853838095904</v>
      </c>
      <c r="AG1163">
        <v>-1.1091730720170001</v>
      </c>
      <c r="AH1163">
        <v>17.990743986039799</v>
      </c>
      <c r="AI1163">
        <v>93.382085615869499</v>
      </c>
      <c r="AJ1163">
        <v>73.446481513277803</v>
      </c>
      <c r="AK1163">
        <v>18.801374006117101</v>
      </c>
      <c r="AL1163">
        <v>94.147932319254494</v>
      </c>
      <c r="AM1163">
        <v>84.922717332360605</v>
      </c>
      <c r="AN1163">
        <v>1.00000006879762</v>
      </c>
    </row>
    <row r="1164" spans="1:40" x14ac:dyDescent="0.25">
      <c r="A1164" t="str">
        <f>"20190305135215468"</f>
        <v>20190305135215468</v>
      </c>
      <c r="B1164" t="str">
        <f>"1551765135461042"</f>
        <v>1551765135461042</v>
      </c>
      <c r="C1164" t="s">
        <v>40</v>
      </c>
      <c r="D1164">
        <v>4.7033740000000002</v>
      </c>
      <c r="E1164">
        <v>0.57584159999999995</v>
      </c>
      <c r="F1164" t="s">
        <v>52</v>
      </c>
      <c r="G1164">
        <v>-204.2336</v>
      </c>
      <c r="H1164" s="1">
        <v>-4.0406099999999998E-6</v>
      </c>
      <c r="I1164">
        <v>362.9803</v>
      </c>
      <c r="J1164">
        <v>-222.0889</v>
      </c>
      <c r="K1164">
        <v>1.1091789999999999</v>
      </c>
      <c r="L1164">
        <v>368.48340000000002</v>
      </c>
      <c r="M1164">
        <v>0.99987680000000001</v>
      </c>
      <c r="N1164">
        <v>-1.3929199999999999E-2</v>
      </c>
      <c r="O1164">
        <v>-7.2445449999999998E-3</v>
      </c>
      <c r="P1164">
        <v>0.99134489999999997</v>
      </c>
      <c r="Q1164">
        <v>-8.5994840000000003E-2</v>
      </c>
      <c r="R1164">
        <v>-9.9199570000000001E-2</v>
      </c>
      <c r="S1164">
        <v>2.9239649999999999</v>
      </c>
      <c r="T1164">
        <v>-0.17934810000000001</v>
      </c>
      <c r="U1164">
        <v>-0.8901367</v>
      </c>
      <c r="V1164">
        <v>9.1978379999999998E-2</v>
      </c>
      <c r="W1164">
        <v>-7.2214130000000001E-2</v>
      </c>
      <c r="X1164">
        <v>0.99313899999999999</v>
      </c>
      <c r="Y1164">
        <v>0.28369349999999999</v>
      </c>
      <c r="Z1164">
        <v>-1.01867E-2</v>
      </c>
      <c r="AA1164">
        <v>0.95886090000000002</v>
      </c>
      <c r="AB1164">
        <v>26</v>
      </c>
      <c r="AC1164">
        <v>17.8553</v>
      </c>
      <c r="AD1164">
        <v>-1.1091830406100001</v>
      </c>
      <c r="AE1164">
        <v>-5.5031000000000097</v>
      </c>
      <c r="AF1164">
        <v>5.3547183412255404</v>
      </c>
      <c r="AG1164">
        <v>-1.1091830406100001</v>
      </c>
      <c r="AH1164">
        <v>17.8318594562366</v>
      </c>
      <c r="AI1164">
        <v>93.409324741493904</v>
      </c>
      <c r="AJ1164">
        <v>73.285544791094395</v>
      </c>
      <c r="AK1164">
        <v>18.651501473029199</v>
      </c>
      <c r="AL1164">
        <v>94.141169535881502</v>
      </c>
      <c r="AM1164">
        <v>84.708713843240204</v>
      </c>
      <c r="AN1164">
        <v>0.99999998814003999</v>
      </c>
    </row>
    <row r="1165" spans="1:40" x14ac:dyDescent="0.25">
      <c r="A1165" t="str">
        <f>"20190305135215481"</f>
        <v>20190305135215481</v>
      </c>
      <c r="B1165" t="str">
        <f>"1551765135470803"</f>
        <v>1551765135470803</v>
      </c>
      <c r="C1165" t="s">
        <v>40</v>
      </c>
      <c r="D1165">
        <v>4.752008</v>
      </c>
      <c r="E1165">
        <v>0.57580310000000001</v>
      </c>
      <c r="F1165" t="s">
        <v>52</v>
      </c>
      <c r="G1165">
        <v>-204.54060000000001</v>
      </c>
      <c r="H1165" s="1">
        <v>-4.1722109999999997E-6</v>
      </c>
      <c r="I1165">
        <v>363.08359999999999</v>
      </c>
      <c r="J1165">
        <v>-221.94470000000001</v>
      </c>
      <c r="K1165">
        <v>1.109181</v>
      </c>
      <c r="L1165">
        <v>368.48219999999998</v>
      </c>
      <c r="M1165">
        <v>0.99987570000000003</v>
      </c>
      <c r="N1165">
        <v>-1.3927729999999999E-2</v>
      </c>
      <c r="O1165">
        <v>-7.3955640000000003E-3</v>
      </c>
      <c r="P1165">
        <v>0.99117549999999999</v>
      </c>
      <c r="Q1165">
        <v>-8.5792099999999996E-2</v>
      </c>
      <c r="R1165">
        <v>-0.1010485</v>
      </c>
      <c r="S1165">
        <v>2.9202729999999999</v>
      </c>
      <c r="T1165">
        <v>-0.18458350000000001</v>
      </c>
      <c r="U1165">
        <v>-0.89859009999999995</v>
      </c>
      <c r="V1165">
        <v>9.367868E-2</v>
      </c>
      <c r="W1165">
        <v>-7.201565E-2</v>
      </c>
      <c r="X1165">
        <v>0.9929945</v>
      </c>
      <c r="Y1165">
        <v>0.28638439999999998</v>
      </c>
      <c r="Z1165">
        <v>-1.052404E-2</v>
      </c>
      <c r="AA1165">
        <v>0.95805700000000005</v>
      </c>
      <c r="AB1165">
        <v>26</v>
      </c>
      <c r="AC1165">
        <v>17.4041</v>
      </c>
      <c r="AD1165">
        <v>-1.109185172211</v>
      </c>
      <c r="AE1165">
        <v>-5.3985999999999796</v>
      </c>
      <c r="AF1165">
        <v>5.2502735768765696</v>
      </c>
      <c r="AG1165">
        <v>-1.109185172211</v>
      </c>
      <c r="AH1165">
        <v>17.379160817116102</v>
      </c>
      <c r="AI1165">
        <v>93.496175303475496</v>
      </c>
      <c r="AJ1165">
        <v>73.190345406920898</v>
      </c>
      <c r="AK1165">
        <v>18.188757381566401</v>
      </c>
      <c r="AL1165">
        <v>94.129767680262603</v>
      </c>
      <c r="AM1165">
        <v>84.610690894552206</v>
      </c>
      <c r="AN1165">
        <v>1.00000001298085</v>
      </c>
    </row>
    <row r="1166" spans="1:40" x14ac:dyDescent="0.25">
      <c r="A1166" t="str">
        <f>"20190305135215494"</f>
        <v>20190305135215494</v>
      </c>
      <c r="B1166" t="str">
        <f>"1551765135480562"</f>
        <v>1551765135480562</v>
      </c>
      <c r="C1166" t="s">
        <v>40</v>
      </c>
      <c r="D1166">
        <v>4.7373190000000003</v>
      </c>
      <c r="E1166">
        <v>0.57579269999999905</v>
      </c>
      <c r="F1166" t="s">
        <v>52</v>
      </c>
      <c r="G1166">
        <v>-204.44399999999999</v>
      </c>
      <c r="H1166" s="1">
        <v>-4.1280470000000004E-6</v>
      </c>
      <c r="I1166">
        <v>363.06360000000001</v>
      </c>
      <c r="J1166">
        <v>-221.81049999999999</v>
      </c>
      <c r="K1166">
        <v>1.109186</v>
      </c>
      <c r="L1166">
        <v>368.48099999999999</v>
      </c>
      <c r="M1166">
        <v>0.99987470000000001</v>
      </c>
      <c r="N1166">
        <v>-1.3926340000000001E-2</v>
      </c>
      <c r="O1166">
        <v>-7.5363299999999999E-3</v>
      </c>
      <c r="P1166">
        <v>0.9909114</v>
      </c>
      <c r="Q1166">
        <v>-8.6263359999999997E-2</v>
      </c>
      <c r="R1166">
        <v>-0.1032165</v>
      </c>
      <c r="S1166">
        <v>2.9185789999999998</v>
      </c>
      <c r="T1166">
        <v>-0.18497739999999999</v>
      </c>
      <c r="U1166">
        <v>-0.90365600000000001</v>
      </c>
      <c r="V1166">
        <v>9.5708829999999995E-2</v>
      </c>
      <c r="W1166">
        <v>-7.2492479999999998E-2</v>
      </c>
      <c r="X1166">
        <v>0.99276609999999998</v>
      </c>
      <c r="Y1166">
        <v>0.2879176</v>
      </c>
      <c r="Z1166">
        <v>-1.0596329999999999E-2</v>
      </c>
      <c r="AA1166">
        <v>0.95759660000000002</v>
      </c>
      <c r="AB1166">
        <v>26</v>
      </c>
      <c r="AC1166">
        <v>17.366499999999899</v>
      </c>
      <c r="AD1166">
        <v>-1.109190128047</v>
      </c>
      <c r="AE1166">
        <v>-5.4173999999999802</v>
      </c>
      <c r="AF1166">
        <v>5.2667742124948003</v>
      </c>
      <c r="AG1166">
        <v>-1.109190128047</v>
      </c>
      <c r="AH1166">
        <v>17.342366689761</v>
      </c>
      <c r="AI1166">
        <v>93.502046354507002</v>
      </c>
      <c r="AJ1166">
        <v>73.106774306193699</v>
      </c>
      <c r="AK1166">
        <v>18.158383621558599</v>
      </c>
      <c r="AL1166">
        <v>94.1571599487621</v>
      </c>
      <c r="AM1166">
        <v>84.493348128154693</v>
      </c>
      <c r="AN1166">
        <v>0.99999993455286196</v>
      </c>
    </row>
    <row r="1167" spans="1:40" x14ac:dyDescent="0.25">
      <c r="A1167" t="str">
        <f>"20190305135215505"</f>
        <v>20190305135215505</v>
      </c>
      <c r="B1167" t="str">
        <f>"1551765135501058"</f>
        <v>1551765135501058</v>
      </c>
      <c r="C1167" t="s">
        <v>40</v>
      </c>
      <c r="D1167">
        <v>4.7683410000000004</v>
      </c>
      <c r="E1167">
        <v>0.57569879999999996</v>
      </c>
      <c r="F1167" t="s">
        <v>52</v>
      </c>
      <c r="G1167">
        <v>-204.524</v>
      </c>
      <c r="H1167" s="1">
        <v>-4.1630840000000004E-6</v>
      </c>
      <c r="I1167">
        <v>363.0872</v>
      </c>
      <c r="J1167">
        <v>-221.67439999999999</v>
      </c>
      <c r="K1167">
        <v>1.1091869999999999</v>
      </c>
      <c r="L1167">
        <v>368.47989999999999</v>
      </c>
      <c r="M1167">
        <v>0.99987369999999998</v>
      </c>
      <c r="N1167">
        <v>-1.392494E-2</v>
      </c>
      <c r="O1167">
        <v>-7.6791230000000004E-3</v>
      </c>
      <c r="P1167">
        <v>0.99067229999999995</v>
      </c>
      <c r="Q1167">
        <v>-8.6754960000000006E-2</v>
      </c>
      <c r="R1167">
        <v>-0.1050828</v>
      </c>
      <c r="S1167">
        <v>2.9164430000000001</v>
      </c>
      <c r="T1167">
        <v>-0.18713379999999999</v>
      </c>
      <c r="U1167">
        <v>-0.91000369999999997</v>
      </c>
      <c r="V1167">
        <v>9.7434980000000004E-2</v>
      </c>
      <c r="W1167">
        <v>-7.2989199999999907E-2</v>
      </c>
      <c r="X1167">
        <v>0.99256180000000005</v>
      </c>
      <c r="Y1167">
        <v>0.28986060000000002</v>
      </c>
      <c r="Z1167">
        <v>-1.076598E-2</v>
      </c>
      <c r="AA1167">
        <v>0.95700830000000003</v>
      </c>
      <c r="AB1167">
        <v>26</v>
      </c>
      <c r="AC1167">
        <v>17.150399999999902</v>
      </c>
      <c r="AD1167">
        <v>-1.1091911630839999</v>
      </c>
      <c r="AE1167">
        <v>-5.3926999999999898</v>
      </c>
      <c r="AF1167">
        <v>5.2408791357867601</v>
      </c>
      <c r="AG1167">
        <v>-1.1091911630839999</v>
      </c>
      <c r="AH1167">
        <v>17.1261200367104</v>
      </c>
      <c r="AI1167">
        <v>93.543866055586307</v>
      </c>
      <c r="AJ1167">
        <v>72.985013161551194</v>
      </c>
      <c r="AK1167">
        <v>17.9443892808867</v>
      </c>
      <c r="AL1167">
        <v>94.185695386596095</v>
      </c>
      <c r="AM1167">
        <v>84.393513823745195</v>
      </c>
      <c r="AN1167">
        <v>0.99999996273173897</v>
      </c>
    </row>
    <row r="1168" spans="1:40" x14ac:dyDescent="0.25">
      <c r="A1168" t="str">
        <f>"20190305135215516"</f>
        <v>20190305135215516</v>
      </c>
      <c r="B1168" t="str">
        <f>"1551765135510818"</f>
        <v>1551765135510818</v>
      </c>
      <c r="C1168" t="s">
        <v>40</v>
      </c>
      <c r="D1168">
        <v>4.8217540000000003</v>
      </c>
      <c r="E1168">
        <v>0.57573809999999903</v>
      </c>
      <c r="F1168" t="s">
        <v>52</v>
      </c>
      <c r="G1168">
        <v>-204.79400000000001</v>
      </c>
      <c r="H1168" s="1">
        <v>-4.2782809999999999E-6</v>
      </c>
      <c r="I1168">
        <v>363.18029999999999</v>
      </c>
      <c r="J1168">
        <v>-221.54570000000001</v>
      </c>
      <c r="K1168">
        <v>1.109192</v>
      </c>
      <c r="L1168">
        <v>368.4787</v>
      </c>
      <c r="M1168">
        <v>0.99987250000000005</v>
      </c>
      <c r="N1168">
        <v>-1.392359E-2</v>
      </c>
      <c r="O1168">
        <v>-7.8158489999999997E-3</v>
      </c>
      <c r="P1168">
        <v>0.9904056</v>
      </c>
      <c r="Q1168">
        <v>-8.7194469999999996E-2</v>
      </c>
      <c r="R1168">
        <v>-0.1072099</v>
      </c>
      <c r="S1168">
        <v>2.914444</v>
      </c>
      <c r="T1168">
        <v>-0.19150400000000001</v>
      </c>
      <c r="U1168">
        <v>-0.91497799999999996</v>
      </c>
      <c r="V1168">
        <v>9.9428279999999994E-2</v>
      </c>
      <c r="W1168">
        <v>-7.3434429999999995E-2</v>
      </c>
      <c r="X1168">
        <v>0.99233130000000003</v>
      </c>
      <c r="Y1168">
        <v>0.29137160000000001</v>
      </c>
      <c r="Z1168">
        <v>-1.1022570000000001E-2</v>
      </c>
      <c r="AA1168">
        <v>0.95654640000000002</v>
      </c>
      <c r="AB1168">
        <v>26</v>
      </c>
      <c r="AC1168">
        <v>16.7517</v>
      </c>
      <c r="AD1168">
        <v>-1.1091962782810001</v>
      </c>
      <c r="AE1168">
        <v>-5.2984000000000098</v>
      </c>
      <c r="AF1168">
        <v>5.14678379928921</v>
      </c>
      <c r="AG1168">
        <v>-1.1091962782810001</v>
      </c>
      <c r="AH1168">
        <v>16.7259412879034</v>
      </c>
      <c r="AI1168">
        <v>93.626727315527106</v>
      </c>
      <c r="AJ1168">
        <v>72.896206055001898</v>
      </c>
      <c r="AK1168">
        <v>17.535016733005101</v>
      </c>
      <c r="AL1168">
        <v>94.211273656926593</v>
      </c>
      <c r="AM1168">
        <v>84.278250961217097</v>
      </c>
      <c r="AN1168">
        <v>1.00000000366643</v>
      </c>
    </row>
    <row r="1169" spans="1:40" x14ac:dyDescent="0.25">
      <c r="A1169" t="str">
        <f>"20190305135215528"</f>
        <v>20190305135215528</v>
      </c>
      <c r="B1169" t="str">
        <f>"1551765135520578"</f>
        <v>1551765135520578</v>
      </c>
      <c r="C1169" t="s">
        <v>40</v>
      </c>
      <c r="D1169">
        <v>4.7984169999999997</v>
      </c>
      <c r="E1169">
        <v>0.57567080000000004</v>
      </c>
      <c r="F1169" t="s">
        <v>52</v>
      </c>
      <c r="G1169">
        <v>-204.8869</v>
      </c>
      <c r="H1169" s="1">
        <v>-4.3187169999999997E-6</v>
      </c>
      <c r="I1169">
        <v>363.20890000000003</v>
      </c>
      <c r="J1169">
        <v>-221.41390000000001</v>
      </c>
      <c r="K1169">
        <v>1.109194</v>
      </c>
      <c r="L1169">
        <v>368.47750000000002</v>
      </c>
      <c r="M1169">
        <v>0.99987139999999997</v>
      </c>
      <c r="N1169">
        <v>-1.3922220000000001E-2</v>
      </c>
      <c r="O1169">
        <v>-7.9565139999999996E-3</v>
      </c>
      <c r="P1169">
        <v>0.99016150000000003</v>
      </c>
      <c r="Q1169">
        <v>-8.7531659999999997E-2</v>
      </c>
      <c r="R1169">
        <v>-0.10917300000000001</v>
      </c>
      <c r="S1169">
        <v>2.9122469999999998</v>
      </c>
      <c r="T1169">
        <v>-0.19390740000000001</v>
      </c>
      <c r="U1169">
        <v>-0.92126459999999999</v>
      </c>
      <c r="V1169">
        <v>0.1012533</v>
      </c>
      <c r="W1169">
        <v>-7.3777040000000002E-2</v>
      </c>
      <c r="X1169">
        <v>0.99212129999999998</v>
      </c>
      <c r="Y1169">
        <v>0.29330009999999901</v>
      </c>
      <c r="Z1169">
        <v>-1.1206509999999999E-2</v>
      </c>
      <c r="AA1169">
        <v>0.95595469999999905</v>
      </c>
      <c r="AB1169">
        <v>26</v>
      </c>
      <c r="AC1169">
        <v>16.527000000000001</v>
      </c>
      <c r="AD1169">
        <v>-1.109198318717</v>
      </c>
      <c r="AE1169">
        <v>-5.2685999999999904</v>
      </c>
      <c r="AF1169">
        <v>5.1160047958771404</v>
      </c>
      <c r="AG1169">
        <v>-1.109198318717</v>
      </c>
      <c r="AH1169">
        <v>16.500931423339001</v>
      </c>
      <c r="AI1169">
        <v>93.673645574694604</v>
      </c>
      <c r="AJ1169">
        <v>72.774295486217795</v>
      </c>
      <c r="AK1169">
        <v>17.311399822643398</v>
      </c>
      <c r="AL1169">
        <v>94.230957265206399</v>
      </c>
      <c r="AM1169">
        <v>84.172718752931203</v>
      </c>
      <c r="AN1169">
        <v>0.99999997815287001</v>
      </c>
    </row>
    <row r="1170" spans="1:40" x14ac:dyDescent="0.25">
      <c r="A1170" t="str">
        <f>"20190305135215539"</f>
        <v>20190305135215539</v>
      </c>
      <c r="B1170" t="str">
        <f>"1551765135530339"</f>
        <v>1551765135530339</v>
      </c>
      <c r="C1170" t="s">
        <v>40</v>
      </c>
      <c r="D1170">
        <v>4.8024909999999998</v>
      </c>
      <c r="E1170">
        <v>0.57564090000000001</v>
      </c>
      <c r="F1170" t="s">
        <v>52</v>
      </c>
      <c r="G1170">
        <v>-205.012</v>
      </c>
      <c r="H1170" s="1">
        <v>-4.371162E-6</v>
      </c>
      <c r="I1170">
        <v>363.25420000000003</v>
      </c>
      <c r="J1170">
        <v>-221.28360000000001</v>
      </c>
      <c r="K1170">
        <v>1.1091930000000001</v>
      </c>
      <c r="L1170">
        <v>368.47629999999998</v>
      </c>
      <c r="M1170">
        <v>0.99987040000000005</v>
      </c>
      <c r="N1170">
        <v>-1.392087E-2</v>
      </c>
      <c r="O1170">
        <v>-8.0982650000000003E-3</v>
      </c>
      <c r="P1170">
        <v>0.98979660000000003</v>
      </c>
      <c r="Q1170">
        <v>-8.8791179999999997E-2</v>
      </c>
      <c r="R1170">
        <v>-0.111442</v>
      </c>
      <c r="S1170">
        <v>2.9102480000000002</v>
      </c>
      <c r="T1170">
        <v>-0.19680909999999999</v>
      </c>
      <c r="U1170">
        <v>-0.92678830000000001</v>
      </c>
      <c r="V1170">
        <v>0.1033839</v>
      </c>
      <c r="W1170">
        <v>-7.5043869999999999E-2</v>
      </c>
      <c r="X1170">
        <v>0.99180650000000004</v>
      </c>
      <c r="Y1170">
        <v>0.294977299999999</v>
      </c>
      <c r="Z1170">
        <v>-1.140468E-2</v>
      </c>
      <c r="AA1170">
        <v>0.95543619999999996</v>
      </c>
      <c r="AB1170">
        <v>26</v>
      </c>
      <c r="AC1170">
        <v>16.271599999999999</v>
      </c>
      <c r="AD1170">
        <v>-1.109197371162</v>
      </c>
      <c r="AE1170">
        <v>-5.2220999999999496</v>
      </c>
      <c r="AF1170">
        <v>5.0687898778106897</v>
      </c>
      <c r="AG1170">
        <v>-1.109197371162</v>
      </c>
      <c r="AH1170">
        <v>16.244921954636499</v>
      </c>
      <c r="AI1170">
        <v>93.729286009061695</v>
      </c>
      <c r="AJ1170">
        <v>72.670875416713599</v>
      </c>
      <c r="AK1170">
        <v>17.0534582693898</v>
      </c>
      <c r="AL1170">
        <v>94.303743089084406</v>
      </c>
      <c r="AM1170">
        <v>84.049095231460697</v>
      </c>
      <c r="AN1170">
        <v>0.99999997332301804</v>
      </c>
    </row>
    <row r="1171" spans="1:40" x14ac:dyDescent="0.25">
      <c r="A1171" t="str">
        <f>"20190305135215551"</f>
        <v>20190305135215551</v>
      </c>
      <c r="B1171" t="str">
        <f>"1551765135541075"</f>
        <v>1551765135541075</v>
      </c>
      <c r="C1171" t="s">
        <v>40</v>
      </c>
      <c r="D1171">
        <v>4.8230420000000001</v>
      </c>
      <c r="E1171">
        <v>0.57564879999999996</v>
      </c>
      <c r="F1171" t="s">
        <v>52</v>
      </c>
      <c r="G1171">
        <v>-205.35</v>
      </c>
      <c r="H1171" s="1">
        <v>-4.5044109999999997E-6</v>
      </c>
      <c r="I1171">
        <v>363.36329999999998</v>
      </c>
      <c r="J1171">
        <v>-221.14169999999999</v>
      </c>
      <c r="K1171">
        <v>1.109194</v>
      </c>
      <c r="L1171">
        <v>368.47500000000002</v>
      </c>
      <c r="M1171">
        <v>0.99986909999999896</v>
      </c>
      <c r="N1171">
        <v>-1.391946E-2</v>
      </c>
      <c r="O1171">
        <v>-8.2552949999999993E-3</v>
      </c>
      <c r="P1171">
        <v>0.98950229999999995</v>
      </c>
      <c r="Q1171">
        <v>-8.9580060000000003E-2</v>
      </c>
      <c r="R1171">
        <v>-0.1134053</v>
      </c>
      <c r="S1171">
        <v>2.907715</v>
      </c>
      <c r="T1171">
        <v>-0.20241629999999999</v>
      </c>
      <c r="U1171">
        <v>-0.93307499999999999</v>
      </c>
      <c r="V1171">
        <v>0.1051932</v>
      </c>
      <c r="W1171">
        <v>-7.5839359999999995E-2</v>
      </c>
      <c r="X1171">
        <v>0.99155579999999999</v>
      </c>
      <c r="Y1171">
        <v>0.29689739999999998</v>
      </c>
      <c r="Z1171">
        <v>-1.1741629999999999E-2</v>
      </c>
      <c r="AA1171">
        <v>0.95483720000000005</v>
      </c>
      <c r="AB1171">
        <v>26</v>
      </c>
      <c r="AC1171">
        <v>15.791699999999899</v>
      </c>
      <c r="AD1171">
        <v>-1.109198504411</v>
      </c>
      <c r="AE1171">
        <v>-5.1117000000000399</v>
      </c>
      <c r="AF1171">
        <v>4.9590028047199697</v>
      </c>
      <c r="AG1171">
        <v>-1.109198504411</v>
      </c>
      <c r="AH1171">
        <v>15.762972413430999</v>
      </c>
      <c r="AI1171">
        <v>93.840161468203107</v>
      </c>
      <c r="AJ1171">
        <v>72.536518240881094</v>
      </c>
      <c r="AK1171">
        <v>16.561803327113701</v>
      </c>
      <c r="AL1171">
        <v>94.349451187386606</v>
      </c>
      <c r="AM1171">
        <v>83.944197255454696</v>
      </c>
      <c r="AN1171">
        <v>1.0000000611825399</v>
      </c>
    </row>
    <row r="1172" spans="1:40" x14ac:dyDescent="0.25">
      <c r="A1172" t="str">
        <f>"20190305135215571"</f>
        <v>20190305135215571</v>
      </c>
      <c r="B1172" t="str">
        <f>"1551765135560594"</f>
        <v>1551765135560594</v>
      </c>
      <c r="C1172" t="s">
        <v>40</v>
      </c>
      <c r="D1172">
        <v>4.9610219999999998</v>
      </c>
      <c r="E1172">
        <v>0.57557369999999997</v>
      </c>
      <c r="F1172" t="s">
        <v>52</v>
      </c>
      <c r="G1172">
        <v>-205.5438</v>
      </c>
      <c r="H1172" s="1">
        <v>-4.57869E-6</v>
      </c>
      <c r="I1172">
        <v>363.43549999999999</v>
      </c>
      <c r="J1172">
        <v>-220.92519999999999</v>
      </c>
      <c r="K1172">
        <v>1.109199</v>
      </c>
      <c r="L1172">
        <v>368.47289999999998</v>
      </c>
      <c r="M1172">
        <v>0.99986699999999995</v>
      </c>
      <c r="N1172">
        <v>-1.391736E-2</v>
      </c>
      <c r="O1172">
        <v>-8.503587E-3</v>
      </c>
      <c r="P1172">
        <v>0.98890009999999995</v>
      </c>
      <c r="Q1172">
        <v>-9.0542079999999997E-2</v>
      </c>
      <c r="R1172">
        <v>-0.11780839999999899</v>
      </c>
      <c r="S1172">
        <v>2.9055330000000001</v>
      </c>
      <c r="T1172">
        <v>-0.2066183</v>
      </c>
      <c r="U1172">
        <v>-0.93875120000000001</v>
      </c>
      <c r="V1172">
        <v>0.1093537</v>
      </c>
      <c r="W1172">
        <v>-7.681491E-2</v>
      </c>
      <c r="X1172">
        <v>0.99103039999999998</v>
      </c>
      <c r="Y1172">
        <v>0.29852420000000002</v>
      </c>
      <c r="Z1172">
        <v>-1.1997209999999999E-2</v>
      </c>
      <c r="AA1172">
        <v>0.95432660000000002</v>
      </c>
      <c r="AB1172">
        <v>26</v>
      </c>
      <c r="AC1172">
        <v>15.3813999999999</v>
      </c>
      <c r="AD1172">
        <v>-1.1092035786900001</v>
      </c>
      <c r="AE1172">
        <v>-5.0373999999999901</v>
      </c>
      <c r="AF1172">
        <v>4.8834724156664402</v>
      </c>
      <c r="AG1172">
        <v>-1.1092035786900001</v>
      </c>
      <c r="AH1172">
        <v>15.3515837591902</v>
      </c>
      <c r="AI1172">
        <v>93.9388011950969</v>
      </c>
      <c r="AJ1172">
        <v>72.353679871373799</v>
      </c>
      <c r="AK1172">
        <v>16.147747809802699</v>
      </c>
      <c r="AL1172">
        <v>94.405509851068004</v>
      </c>
      <c r="AM1172">
        <v>83.703260026287296</v>
      </c>
      <c r="AN1172">
        <v>1.00000000791307</v>
      </c>
    </row>
    <row r="1173" spans="1:40" x14ac:dyDescent="0.25">
      <c r="A1173" t="str">
        <f>"20190305135215593"</f>
        <v>20190305135215593</v>
      </c>
      <c r="B1173" t="str">
        <f>"1551765135580783"</f>
        <v>1551765135580783</v>
      </c>
      <c r="C1173" t="s">
        <v>40</v>
      </c>
      <c r="D1173">
        <v>4.8714149999999998</v>
      </c>
      <c r="E1173">
        <v>0.57549319999999904</v>
      </c>
      <c r="F1173" t="s">
        <v>52</v>
      </c>
      <c r="G1173">
        <v>-205.72540000000001</v>
      </c>
      <c r="H1173" s="1">
        <v>-4.651619E-6</v>
      </c>
      <c r="I1173">
        <v>363.48809999999997</v>
      </c>
      <c r="J1173">
        <v>-220.66929999999999</v>
      </c>
      <c r="K1173">
        <v>1.109197</v>
      </c>
      <c r="L1173">
        <v>368.47039999999998</v>
      </c>
      <c r="M1173">
        <v>0.99986450000000004</v>
      </c>
      <c r="N1173">
        <v>-1.391474E-2</v>
      </c>
      <c r="O1173">
        <v>-8.8180329999999994E-3</v>
      </c>
      <c r="P1173">
        <v>0.9883786</v>
      </c>
      <c r="Q1173">
        <v>-8.9944960000000004E-2</v>
      </c>
      <c r="R1173">
        <v>-0.1225487</v>
      </c>
      <c r="S1173">
        <v>2.9009550000000002</v>
      </c>
      <c r="T1173">
        <v>-0.2116961</v>
      </c>
      <c r="U1173">
        <v>-0.9513855</v>
      </c>
      <c r="V1173">
        <v>0.1137846</v>
      </c>
      <c r="W1173">
        <v>-7.6232809999999998E-2</v>
      </c>
      <c r="X1173">
        <v>0.99057640000000002</v>
      </c>
      <c r="Y1173">
        <v>0.30237140000000001</v>
      </c>
      <c r="Z1173">
        <v>-1.239182E-2</v>
      </c>
      <c r="AA1173">
        <v>0.95310969999999995</v>
      </c>
      <c r="AB1173">
        <v>26</v>
      </c>
      <c r="AC1173">
        <v>14.9438999999999</v>
      </c>
      <c r="AD1173">
        <v>-1.109201651619</v>
      </c>
      <c r="AE1173">
        <v>-4.9823000000000004</v>
      </c>
      <c r="AF1173">
        <v>4.8263878430773701</v>
      </c>
      <c r="AG1173">
        <v>-1.109201651619</v>
      </c>
      <c r="AH1173">
        <v>14.9133150050229</v>
      </c>
      <c r="AI1173">
        <v>94.047681778605806</v>
      </c>
      <c r="AJ1173">
        <v>72.066892037369399</v>
      </c>
      <c r="AK1173">
        <v>15.714048248455899</v>
      </c>
      <c r="AL1173">
        <v>94.372059970789493</v>
      </c>
      <c r="AM1173">
        <v>83.4473211250166</v>
      </c>
      <c r="AN1173">
        <v>0.99999999037730802</v>
      </c>
    </row>
    <row r="1174" spans="1:40" x14ac:dyDescent="0.25">
      <c r="A1174" t="str">
        <f>"20190305135215615"</f>
        <v>20190305135215615</v>
      </c>
      <c r="B1174" t="str">
        <f>"1551765135610494"</f>
        <v>1551765135610494</v>
      </c>
      <c r="C1174" t="s">
        <v>40</v>
      </c>
      <c r="D1174">
        <v>4.9146530000000004</v>
      </c>
      <c r="E1174">
        <v>0.57534700000000005</v>
      </c>
      <c r="F1174" t="s">
        <v>52</v>
      </c>
      <c r="G1174">
        <v>-205.43010000000001</v>
      </c>
      <c r="H1174" s="1">
        <v>-4.5349789999999998E-6</v>
      </c>
      <c r="I1174">
        <v>363.39359999999999</v>
      </c>
      <c r="J1174">
        <v>-220.4186</v>
      </c>
      <c r="K1174">
        <v>1.109191</v>
      </c>
      <c r="L1174">
        <v>368.46780000000001</v>
      </c>
      <c r="M1174">
        <v>0.99986140000000001</v>
      </c>
      <c r="N1174">
        <v>-1.3912040000000001E-2</v>
      </c>
      <c r="O1174">
        <v>-9.1511500000000003E-3</v>
      </c>
      <c r="P1174">
        <v>0.98776140000000001</v>
      </c>
      <c r="Q1174">
        <v>-8.9516129999999999E-2</v>
      </c>
      <c r="R1174">
        <v>-0.1277286</v>
      </c>
      <c r="S1174">
        <v>2.896423</v>
      </c>
      <c r="T1174">
        <v>-0.2108189</v>
      </c>
      <c r="U1174">
        <v>-0.96490480000000001</v>
      </c>
      <c r="V1174">
        <v>0.1186371</v>
      </c>
      <c r="W1174">
        <v>-7.5822059999999997E-2</v>
      </c>
      <c r="X1174">
        <v>0.99003850000000004</v>
      </c>
      <c r="Y1174">
        <v>0.30649650000000001</v>
      </c>
      <c r="Z1174">
        <v>-1.2515299999999899E-2</v>
      </c>
      <c r="AA1174">
        <v>0.95178949999999996</v>
      </c>
      <c r="AB1174">
        <v>26</v>
      </c>
      <c r="AC1174">
        <v>14.988499999999901</v>
      </c>
      <c r="AD1174">
        <v>-1.1091955349789999</v>
      </c>
      <c r="AE1174">
        <v>-5.07420000000001</v>
      </c>
      <c r="AF1174">
        <v>4.9126745403335299</v>
      </c>
      <c r="AG1174">
        <v>-1.1091955349789999</v>
      </c>
      <c r="AH1174">
        <v>14.960803925175499</v>
      </c>
      <c r="AI1174">
        <v>94.029240239169297</v>
      </c>
      <c r="AJ1174">
        <v>71.821387433699499</v>
      </c>
      <c r="AK1174">
        <v>15.7857638383958</v>
      </c>
      <c r="AL1174">
        <v>94.348457423223095</v>
      </c>
      <c r="AM1174">
        <v>83.1667839191295</v>
      </c>
      <c r="AN1174">
        <v>0.999999988880651</v>
      </c>
    </row>
    <row r="1175" spans="1:40" x14ac:dyDescent="0.25">
      <c r="A1175" t="str">
        <f>"20190305135215629"</f>
        <v>20190305135215629</v>
      </c>
      <c r="B1175" t="str">
        <f>"1551765135620235"</f>
        <v>1551765135620235</v>
      </c>
      <c r="C1175" t="s">
        <v>40</v>
      </c>
      <c r="D1175">
        <v>4.7017369999999996</v>
      </c>
      <c r="E1175">
        <v>0.57567080000000004</v>
      </c>
      <c r="F1175" t="s">
        <v>52</v>
      </c>
      <c r="G1175">
        <v>-205.435</v>
      </c>
      <c r="H1175" s="1">
        <v>-4.5370300000000003E-6</v>
      </c>
      <c r="I1175">
        <v>363.3947</v>
      </c>
      <c r="J1175">
        <v>-220.262</v>
      </c>
      <c r="K1175">
        <v>1.1091789999999999</v>
      </c>
      <c r="L1175">
        <v>368.46609999999998</v>
      </c>
      <c r="M1175">
        <v>0.99985930000000001</v>
      </c>
      <c r="N1175">
        <v>-1.391032E-2</v>
      </c>
      <c r="O1175">
        <v>-9.3741689999999999E-3</v>
      </c>
      <c r="P1175">
        <v>0.987398</v>
      </c>
      <c r="Q1175">
        <v>-8.9367749999999996E-2</v>
      </c>
      <c r="R1175">
        <v>-0.13060930000000001</v>
      </c>
      <c r="S1175">
        <v>2.8911899999999999</v>
      </c>
      <c r="T1175">
        <v>-0.21402689999999999</v>
      </c>
      <c r="U1175">
        <v>-0.97888180000000002</v>
      </c>
      <c r="V1175">
        <v>0.12129819999999999</v>
      </c>
      <c r="W1175">
        <v>-7.5685349999999998E-2</v>
      </c>
      <c r="X1175">
        <v>0.98972649999999995</v>
      </c>
      <c r="Y1175">
        <v>0.31089349999999999</v>
      </c>
      <c r="Z1175">
        <v>-1.2858140000000001E-2</v>
      </c>
      <c r="AA1175">
        <v>0.95035780000000003</v>
      </c>
      <c r="AB1175">
        <v>26</v>
      </c>
      <c r="AC1175">
        <v>14.8269999999999</v>
      </c>
      <c r="AD1175">
        <v>-1.1091835370299901</v>
      </c>
      <c r="AE1175">
        <v>-5.0713999999999801</v>
      </c>
      <c r="AF1175">
        <v>4.9075851249889899</v>
      </c>
      <c r="AG1175">
        <v>-1.1091835370299901</v>
      </c>
      <c r="AH1175">
        <v>14.799744186839501</v>
      </c>
      <c r="AI1175">
        <v>94.068998840995704</v>
      </c>
      <c r="AJ1175">
        <v>71.654514067044303</v>
      </c>
      <c r="AK1175">
        <v>15.6316060554801</v>
      </c>
      <c r="AL1175">
        <v>94.340601743576997</v>
      </c>
      <c r="AM1175">
        <v>83.012828484218304</v>
      </c>
      <c r="AN1175">
        <v>1.00000003516505</v>
      </c>
    </row>
    <row r="1176" spans="1:40" x14ac:dyDescent="0.25">
      <c r="A1176" t="str">
        <f>"20190305135215641"</f>
        <v>20190305135215641</v>
      </c>
      <c r="B1176" t="str">
        <f>"1551765135630970"</f>
        <v>1551765135630970</v>
      </c>
      <c r="C1176" t="s">
        <v>40</v>
      </c>
      <c r="D1176">
        <v>4.9054609999999998</v>
      </c>
      <c r="E1176">
        <v>0.5755825</v>
      </c>
      <c r="F1176" t="s">
        <v>52</v>
      </c>
      <c r="G1176">
        <v>-205.0598</v>
      </c>
      <c r="H1176" s="1">
        <v>-4.3929909999999997E-6</v>
      </c>
      <c r="I1176">
        <v>363.25619999999998</v>
      </c>
      <c r="J1176">
        <v>-220.11109999999999</v>
      </c>
      <c r="K1176">
        <v>1.1091629999999999</v>
      </c>
      <c r="L1176">
        <v>368.46449999999999</v>
      </c>
      <c r="M1176">
        <v>0.9998572</v>
      </c>
      <c r="N1176">
        <v>-1.3908719999999999E-2</v>
      </c>
      <c r="O1176">
        <v>-9.606046E-3</v>
      </c>
      <c r="P1176">
        <v>0.9869888</v>
      </c>
      <c r="Q1176">
        <v>-8.9292319999999994E-2</v>
      </c>
      <c r="R1176">
        <v>-0.13371739999999999</v>
      </c>
      <c r="S1176">
        <v>2.8882750000000001</v>
      </c>
      <c r="T1176">
        <v>-0.21073420000000001</v>
      </c>
      <c r="U1176">
        <v>-0.98983759999999998</v>
      </c>
      <c r="V1176">
        <v>0.1241781</v>
      </c>
      <c r="W1176">
        <v>-7.5622919999999996E-2</v>
      </c>
      <c r="X1176">
        <v>0.98937399999999998</v>
      </c>
      <c r="Y1176">
        <v>0.31420769999999998</v>
      </c>
      <c r="Z1176">
        <v>-1.2829399999999901E-2</v>
      </c>
      <c r="AA1176">
        <v>0.94926759999999999</v>
      </c>
      <c r="AB1176">
        <v>26</v>
      </c>
      <c r="AC1176">
        <v>15.0512999999999</v>
      </c>
      <c r="AD1176">
        <v>-1.109167392991</v>
      </c>
      <c r="AE1176">
        <v>-5.2083000000000004</v>
      </c>
      <c r="AF1176">
        <v>5.0390236726867101</v>
      </c>
      <c r="AG1176">
        <v>-1.109167392991</v>
      </c>
      <c r="AH1176">
        <v>15.027759013541999</v>
      </c>
      <c r="AI1176">
        <v>94.002954229486704</v>
      </c>
      <c r="AJ1176">
        <v>71.462956990856497</v>
      </c>
      <c r="AK1176">
        <v>15.888849953620401</v>
      </c>
      <c r="AL1176">
        <v>94.337014774124995</v>
      </c>
      <c r="AM1176">
        <v>82.846113292451506</v>
      </c>
      <c r="AN1176">
        <v>0.99999996921246703</v>
      </c>
    </row>
    <row r="1177" spans="1:40" x14ac:dyDescent="0.25">
      <c r="A1177" t="str">
        <f>"20190305135215660"</f>
        <v>20190305135215660</v>
      </c>
      <c r="B1177" t="str">
        <f>"1551765135650494"</f>
        <v>1551765135650494</v>
      </c>
      <c r="C1177" t="s">
        <v>40</v>
      </c>
      <c r="D1177">
        <v>4.9130789999999998</v>
      </c>
      <c r="E1177">
        <v>0.57543069999999996</v>
      </c>
      <c r="F1177" t="s">
        <v>52</v>
      </c>
      <c r="G1177">
        <v>-205.03890000000001</v>
      </c>
      <c r="H1177" s="1">
        <v>-4.3847660000000003E-6</v>
      </c>
      <c r="I1177">
        <v>363.24950000000001</v>
      </c>
      <c r="J1177">
        <v>-219.9058</v>
      </c>
      <c r="K1177">
        <v>1.109129</v>
      </c>
      <c r="L1177">
        <v>368.46210000000002</v>
      </c>
      <c r="M1177">
        <v>0.99985380000000001</v>
      </c>
      <c r="N1177">
        <v>-1.390655E-2</v>
      </c>
      <c r="O1177">
        <v>-9.9520630000000006E-3</v>
      </c>
      <c r="P1177">
        <v>0.9861704</v>
      </c>
      <c r="Q1177">
        <v>-8.8942430000000003E-2</v>
      </c>
      <c r="R1177">
        <v>-0.13984779999999999</v>
      </c>
      <c r="S1177">
        <v>2.8851010000000001</v>
      </c>
      <c r="T1177">
        <v>-0.21231639999999999</v>
      </c>
      <c r="U1177">
        <v>-0.9982605</v>
      </c>
      <c r="V1177">
        <v>0.12996959999999999</v>
      </c>
      <c r="W1177">
        <v>-7.5297290000000003E-2</v>
      </c>
      <c r="X1177">
        <v>0.9886547</v>
      </c>
      <c r="Y1177">
        <v>0.3166562</v>
      </c>
      <c r="Z1177">
        <v>-1.2999409999999999E-2</v>
      </c>
      <c r="AA1177">
        <v>0.9484513</v>
      </c>
      <c r="AB1177">
        <v>26</v>
      </c>
      <c r="AC1177">
        <v>14.8668999999999</v>
      </c>
      <c r="AD1177">
        <v>-1.1091333847660001</v>
      </c>
      <c r="AE1177">
        <v>-5.2126000000000001</v>
      </c>
      <c r="AF1177">
        <v>5.0393935478499401</v>
      </c>
      <c r="AG1177">
        <v>-1.1091333847660001</v>
      </c>
      <c r="AH1177">
        <v>14.844468504856399</v>
      </c>
      <c r="AI1177">
        <v>94.047000538691407</v>
      </c>
      <c r="AJ1177">
        <v>71.248700450837205</v>
      </c>
      <c r="AK1177">
        <v>15.7157217265701</v>
      </c>
      <c r="AL1177">
        <v>94.318304296324101</v>
      </c>
      <c r="AM1177">
        <v>82.510781666185494</v>
      </c>
      <c r="AN1177">
        <v>0.99999994731879505</v>
      </c>
    </row>
    <row r="1178" spans="1:40" x14ac:dyDescent="0.25">
      <c r="A1178" t="str">
        <f>"20190305135215673"</f>
        <v>20190305135215673</v>
      </c>
      <c r="B1178" t="str">
        <f>"1551765135670986"</f>
        <v>1551765135670986</v>
      </c>
      <c r="C1178" t="s">
        <v>40</v>
      </c>
      <c r="D1178">
        <v>5.1155390000000001</v>
      </c>
      <c r="E1178">
        <v>0.57564930000000003</v>
      </c>
      <c r="F1178" t="s">
        <v>52</v>
      </c>
      <c r="G1178">
        <v>-204.95249999999999</v>
      </c>
      <c r="H1178" s="1">
        <v>-4.3561950000000004E-6</v>
      </c>
      <c r="I1178">
        <v>363.18860000000001</v>
      </c>
      <c r="J1178">
        <v>-219.75409999999999</v>
      </c>
      <c r="K1178">
        <v>1.109111</v>
      </c>
      <c r="L1178">
        <v>368.46030000000002</v>
      </c>
      <c r="M1178">
        <v>0.99985100000000005</v>
      </c>
      <c r="N1178">
        <v>-1.3905010000000001E-2</v>
      </c>
      <c r="O1178">
        <v>-1.023366E-2</v>
      </c>
      <c r="P1178">
        <v>0.98562249999999996</v>
      </c>
      <c r="Q1178">
        <v>-8.9169440000000003E-2</v>
      </c>
      <c r="R1178">
        <v>-0.1435167</v>
      </c>
      <c r="S1178">
        <v>2.8788299999999998</v>
      </c>
      <c r="T1178">
        <v>-0.21353079999999999</v>
      </c>
      <c r="U1178">
        <v>-1.0152589999999999</v>
      </c>
      <c r="V1178">
        <v>0.1333616</v>
      </c>
      <c r="W1178">
        <v>-7.5542319999999996E-2</v>
      </c>
      <c r="X1178">
        <v>0.98818419999999896</v>
      </c>
      <c r="Y1178">
        <v>0.3219861</v>
      </c>
      <c r="Z1178">
        <v>-1.3287E-2</v>
      </c>
      <c r="AA1178">
        <v>0.94665120000000003</v>
      </c>
      <c r="AB1178">
        <v>25</v>
      </c>
      <c r="AC1178">
        <v>14.801600000000001</v>
      </c>
      <c r="AD1178">
        <v>-1.109115356195</v>
      </c>
      <c r="AE1178">
        <v>-5.2717000000000098</v>
      </c>
      <c r="AF1178">
        <v>5.0945497496554601</v>
      </c>
      <c r="AG1178">
        <v>-1.109115356195</v>
      </c>
      <c r="AH1178">
        <v>14.7811278190488</v>
      </c>
      <c r="AI1178">
        <v>94.057790840625103</v>
      </c>
      <c r="AJ1178">
        <v>70.982677205821901</v>
      </c>
      <c r="AK1178">
        <v>15.673745998583801</v>
      </c>
      <c r="AL1178">
        <v>94.332383414561093</v>
      </c>
      <c r="AM1178">
        <v>82.314016000735606</v>
      </c>
      <c r="AN1178">
        <v>0.99999998579759097</v>
      </c>
    </row>
    <row r="1179" spans="1:40" x14ac:dyDescent="0.25">
      <c r="A1179" t="str">
        <f>"20190305135215686"</f>
        <v>20190305135215686</v>
      </c>
      <c r="B1179" t="str">
        <f>"1551765135680746"</f>
        <v>1551765135680746</v>
      </c>
      <c r="C1179" t="s">
        <v>40</v>
      </c>
      <c r="D1179">
        <v>5.0523400000000001</v>
      </c>
      <c r="E1179">
        <v>0.60925149999999995</v>
      </c>
      <c r="F1179" t="s">
        <v>52</v>
      </c>
      <c r="G1179">
        <v>-204.8416</v>
      </c>
      <c r="H1179" s="1">
        <v>-4.3131390000000003E-6</v>
      </c>
      <c r="I1179">
        <v>363.13119999999998</v>
      </c>
      <c r="J1179">
        <v>-219.60650000000001</v>
      </c>
      <c r="K1179">
        <v>1.109089</v>
      </c>
      <c r="L1179">
        <v>368.45850000000002</v>
      </c>
      <c r="M1179">
        <v>0.99984810000000002</v>
      </c>
      <c r="N1179">
        <v>-1.3903550000000001E-2</v>
      </c>
      <c r="O1179">
        <v>-1.052399E-2</v>
      </c>
      <c r="P1179">
        <v>0.98498459999999999</v>
      </c>
      <c r="Q1179">
        <v>-8.9826470000000005E-2</v>
      </c>
      <c r="R1179">
        <v>-0.14743429999999999</v>
      </c>
      <c r="S1179">
        <v>2.8748320000000001</v>
      </c>
      <c r="T1179">
        <v>-0.21381500000000001</v>
      </c>
      <c r="U1179">
        <v>-1.027344</v>
      </c>
      <c r="V1179">
        <v>0.136994</v>
      </c>
      <c r="W1179">
        <v>-7.6219449999999994E-2</v>
      </c>
      <c r="X1179">
        <v>0.98763520000000005</v>
      </c>
      <c r="Y1179">
        <v>0.32564159999999998</v>
      </c>
      <c r="Z1179">
        <v>-1.3450439999999999E-2</v>
      </c>
      <c r="AA1179">
        <v>0.94539759999999995</v>
      </c>
      <c r="AB1179">
        <v>25</v>
      </c>
      <c r="AC1179">
        <v>14.764900000000001</v>
      </c>
      <c r="AD1179">
        <v>-1.1090933131389999</v>
      </c>
      <c r="AE1179">
        <v>-5.3273000000000303</v>
      </c>
      <c r="AF1179">
        <v>5.1459127974643204</v>
      </c>
      <c r="AG1179">
        <v>-1.1090933131389999</v>
      </c>
      <c r="AH1179">
        <v>14.7465285725981</v>
      </c>
      <c r="AI1179">
        <v>94.061816940134904</v>
      </c>
      <c r="AJ1179">
        <v>70.763179759255706</v>
      </c>
      <c r="AK1179">
        <v>15.657924876522101</v>
      </c>
      <c r="AL1179">
        <v>94.371292116399601</v>
      </c>
      <c r="AM1179">
        <v>82.102943154218195</v>
      </c>
      <c r="AN1179">
        <v>1.00000002443667</v>
      </c>
    </row>
    <row r="1180" spans="1:40" x14ac:dyDescent="0.25">
      <c r="A1180" t="str">
        <f>"20190305135215698"</f>
        <v>20190305135215698</v>
      </c>
      <c r="B1180" t="str">
        <f>"1551765135690507"</f>
        <v>1551765135690507</v>
      </c>
      <c r="C1180" t="s">
        <v>40</v>
      </c>
      <c r="D1180">
        <v>5.0237530000000001</v>
      </c>
      <c r="E1180">
        <v>0.61276200000000003</v>
      </c>
      <c r="F1180" t="s">
        <v>52</v>
      </c>
      <c r="G1180">
        <v>-208.57900000000001</v>
      </c>
      <c r="H1180" s="1">
        <v>-5.7857329999999998E-6</v>
      </c>
      <c r="I1180">
        <v>363.3655</v>
      </c>
      <c r="J1180">
        <v>-219.46250000000001</v>
      </c>
      <c r="K1180">
        <v>1.109064</v>
      </c>
      <c r="L1180">
        <v>368.45659999999998</v>
      </c>
      <c r="M1180">
        <v>0.99984459999999997</v>
      </c>
      <c r="N1180">
        <v>-1.390219E-2</v>
      </c>
      <c r="O1180">
        <v>-1.083832E-2</v>
      </c>
      <c r="P1180">
        <v>0.98427160000000002</v>
      </c>
      <c r="Q1180">
        <v>-8.9733060000000003E-2</v>
      </c>
      <c r="R1180">
        <v>-0.15217559999999999</v>
      </c>
      <c r="S1180">
        <v>2.824554</v>
      </c>
      <c r="T1180">
        <v>-0.28408030000000001</v>
      </c>
      <c r="U1180">
        <v>-1.3045040000000001</v>
      </c>
      <c r="V1180">
        <v>0.14142750000000001</v>
      </c>
      <c r="W1180">
        <v>-7.6149049999999996E-2</v>
      </c>
      <c r="X1180">
        <v>0.98701550000000005</v>
      </c>
      <c r="Y1180">
        <v>0.40748859999999998</v>
      </c>
      <c r="Z1180">
        <v>-2.1544500000000001E-2</v>
      </c>
      <c r="AA1180">
        <v>0.91295610000000005</v>
      </c>
      <c r="AB1180">
        <v>25</v>
      </c>
      <c r="AC1180">
        <v>10.8834999999999</v>
      </c>
      <c r="AD1180">
        <v>-1.1090697857330001</v>
      </c>
      <c r="AE1180">
        <v>-5.0910999999999804</v>
      </c>
      <c r="AF1180">
        <v>4.9308199124103602</v>
      </c>
      <c r="AG1180">
        <v>-1.1090697857330001</v>
      </c>
      <c r="AH1180">
        <v>10.845639737194499</v>
      </c>
      <c r="AI1180">
        <v>95.318362413801793</v>
      </c>
      <c r="AJ1180">
        <v>65.551738627088994</v>
      </c>
      <c r="AK1180">
        <v>11.9654052211891</v>
      </c>
      <c r="AL1180">
        <v>94.367246815659897</v>
      </c>
      <c r="AM1180">
        <v>81.845705226221696</v>
      </c>
      <c r="AN1180">
        <v>1.0000000064062</v>
      </c>
    </row>
    <row r="1181" spans="1:40" x14ac:dyDescent="0.25">
      <c r="A1181" t="str">
        <f>"20190305135215711"</f>
        <v>20190305135215711</v>
      </c>
      <c r="B1181" t="str">
        <f>"1551765135700267"</f>
        <v>1551765135700267</v>
      </c>
      <c r="C1181" t="s">
        <v>40</v>
      </c>
      <c r="D1181">
        <v>4.9779869999999997</v>
      </c>
      <c r="E1181">
        <v>0.61474169999999995</v>
      </c>
      <c r="F1181" t="s">
        <v>52</v>
      </c>
      <c r="G1181">
        <v>-208.31200000000001</v>
      </c>
      <c r="H1181" s="1">
        <v>-5.73395599999999E-6</v>
      </c>
      <c r="I1181">
        <v>363.12479999999999</v>
      </c>
      <c r="J1181">
        <v>-219.32579999999999</v>
      </c>
      <c r="K1181">
        <v>1.1090469999999999</v>
      </c>
      <c r="L1181">
        <v>368.4547</v>
      </c>
      <c r="M1181">
        <v>0.99984130000000004</v>
      </c>
      <c r="N1181">
        <v>-1.3900910000000001E-2</v>
      </c>
      <c r="O1181">
        <v>-1.115288E-2</v>
      </c>
      <c r="P1181">
        <v>0.98342070000000004</v>
      </c>
      <c r="Q1181">
        <v>-9.0338230000000005E-2</v>
      </c>
      <c r="R1181">
        <v>-0.15723619999999999</v>
      </c>
      <c r="S1181">
        <v>2.8143919999999998</v>
      </c>
      <c r="T1181">
        <v>-0.27993119999999999</v>
      </c>
      <c r="U1181">
        <v>-1.345764</v>
      </c>
      <c r="V1181">
        <v>0.1461818</v>
      </c>
      <c r="W1181">
        <v>-7.6779429999999996E-2</v>
      </c>
      <c r="X1181">
        <v>0.98627370000000003</v>
      </c>
      <c r="Y1181">
        <v>0.41937350000000001</v>
      </c>
      <c r="Z1181">
        <v>-2.1911199999999999E-2</v>
      </c>
      <c r="AA1181">
        <v>0.9075493</v>
      </c>
      <c r="AB1181">
        <v>25</v>
      </c>
      <c r="AC1181">
        <v>11.0137999999999</v>
      </c>
      <c r="AD1181">
        <v>-1.1090527339559999</v>
      </c>
      <c r="AE1181">
        <v>-5.3299000000000003</v>
      </c>
      <c r="AF1181">
        <v>5.16429230073176</v>
      </c>
      <c r="AG1181">
        <v>-1.1090527339559999</v>
      </c>
      <c r="AH1181">
        <v>10.9823358633091</v>
      </c>
      <c r="AI1181">
        <v>95.2215078150723</v>
      </c>
      <c r="AJ1181">
        <v>64.815390039380702</v>
      </c>
      <c r="AK1181">
        <v>12.186534123721</v>
      </c>
      <c r="AL1181">
        <v>94.403470986502995</v>
      </c>
      <c r="AM1181">
        <v>81.569212258832593</v>
      </c>
      <c r="AN1181">
        <v>1.0000000054170199</v>
      </c>
    </row>
    <row r="1182" spans="1:40" x14ac:dyDescent="0.25">
      <c r="A1182" t="str">
        <f>"20190305135215731"</f>
        <v>20190305135215731</v>
      </c>
      <c r="B1182" t="str">
        <f>"1551765135720762"</f>
        <v>1551765135720762</v>
      </c>
      <c r="C1182" t="s">
        <v>40</v>
      </c>
      <c r="D1182">
        <v>4.9715639999999999</v>
      </c>
      <c r="E1182">
        <v>0.61544779999999999</v>
      </c>
      <c r="F1182" t="s">
        <v>52</v>
      </c>
      <c r="G1182">
        <v>-208.08369999999999</v>
      </c>
      <c r="H1182" s="1">
        <v>-5.6860019999999999E-6</v>
      </c>
      <c r="I1182">
        <v>362.94240000000002</v>
      </c>
      <c r="J1182">
        <v>-219.09970000000001</v>
      </c>
      <c r="K1182">
        <v>1.10902099999999</v>
      </c>
      <c r="L1182">
        <v>368.45159999999998</v>
      </c>
      <c r="M1182">
        <v>0.99983469999999997</v>
      </c>
      <c r="N1182">
        <v>-1.3898890000000001E-2</v>
      </c>
      <c r="O1182">
        <v>-1.17175E-2</v>
      </c>
      <c r="P1182">
        <v>0.9815874</v>
      </c>
      <c r="Q1182">
        <v>-9.172466E-2</v>
      </c>
      <c r="R1182">
        <v>-0.16754949999999999</v>
      </c>
      <c r="S1182">
        <v>2.8052220000000001</v>
      </c>
      <c r="T1182">
        <v>-0.27673959999999997</v>
      </c>
      <c r="U1182">
        <v>-1.3754879999999901</v>
      </c>
      <c r="V1182">
        <v>0.1559499</v>
      </c>
      <c r="W1182">
        <v>-7.8216690000000005E-2</v>
      </c>
      <c r="X1182">
        <v>0.98466330000000002</v>
      </c>
      <c r="Y1182">
        <v>0.4277841</v>
      </c>
      <c r="Z1182">
        <v>-2.2127250000000001E-2</v>
      </c>
      <c r="AA1182">
        <v>0.90361009999999997</v>
      </c>
      <c r="AB1182">
        <v>25</v>
      </c>
      <c r="AC1182">
        <v>11.016</v>
      </c>
      <c r="AD1182">
        <v>-1.1090266860019899</v>
      </c>
      <c r="AE1182">
        <v>-5.5091999999999599</v>
      </c>
      <c r="AF1182">
        <v>5.3364637410674103</v>
      </c>
      <c r="AG1182">
        <v>-1.1090266860019899</v>
      </c>
      <c r="AH1182">
        <v>10.9906965280228</v>
      </c>
      <c r="AI1182">
        <v>95.186627654542093</v>
      </c>
      <c r="AJ1182">
        <v>64.101399496654594</v>
      </c>
      <c r="AK1182">
        <v>12.267974389486</v>
      </c>
      <c r="AL1182">
        <v>94.486068279500401</v>
      </c>
      <c r="AM1182">
        <v>81.000309120005994</v>
      </c>
      <c r="AN1182">
        <v>1.00000001813572</v>
      </c>
    </row>
    <row r="1183" spans="1:40" x14ac:dyDescent="0.25">
      <c r="A1183" t="str">
        <f>"20190305135215743"</f>
        <v>20190305135215743</v>
      </c>
      <c r="B1183" t="str">
        <f>"1551765135740283"</f>
        <v>1551765135740283</v>
      </c>
      <c r="C1183" t="s">
        <v>40</v>
      </c>
      <c r="D1183">
        <v>5.0125590000000004</v>
      </c>
      <c r="E1183">
        <v>0.61565789999999998</v>
      </c>
      <c r="F1183" t="s">
        <v>52</v>
      </c>
      <c r="G1183">
        <v>-207.74080000000001</v>
      </c>
      <c r="H1183" s="1">
        <v>-5.607595E-6</v>
      </c>
      <c r="I1183">
        <v>362.70949999999999</v>
      </c>
      <c r="J1183">
        <v>-218.96340000000001</v>
      </c>
      <c r="K1183">
        <v>1.1089960000000001</v>
      </c>
      <c r="L1183">
        <v>368.44959999999998</v>
      </c>
      <c r="M1183">
        <v>0.99983060000000001</v>
      </c>
      <c r="N1183">
        <v>-1.389773E-2</v>
      </c>
      <c r="O1183">
        <v>-1.208323E-2</v>
      </c>
      <c r="P1183">
        <v>0.98064510000000005</v>
      </c>
      <c r="Q1183">
        <v>-9.2437909999999998E-2</v>
      </c>
      <c r="R1183">
        <v>-0.17260039999999999</v>
      </c>
      <c r="S1183">
        <v>2.7900700000000001</v>
      </c>
      <c r="T1183">
        <v>-0.2724086</v>
      </c>
      <c r="U1183">
        <v>-1.410431</v>
      </c>
      <c r="V1183">
        <v>0.16064589999999901</v>
      </c>
      <c r="W1183">
        <v>-7.8958210000000001E-2</v>
      </c>
      <c r="X1183">
        <v>0.98384879999999997</v>
      </c>
      <c r="Y1183">
        <v>0.4384229</v>
      </c>
      <c r="Z1183">
        <v>-2.242125E-2</v>
      </c>
      <c r="AA1183">
        <v>0.89848909999999904</v>
      </c>
      <c r="AB1183">
        <v>25</v>
      </c>
      <c r="AC1183">
        <v>11.2226</v>
      </c>
      <c r="AD1183">
        <v>-1.10900160759499</v>
      </c>
      <c r="AE1183">
        <v>-5.7400999999999804</v>
      </c>
      <c r="AF1183">
        <v>5.5610190780764501</v>
      </c>
      <c r="AG1183">
        <v>-1.10900160759499</v>
      </c>
      <c r="AH1183">
        <v>11.204421593233199</v>
      </c>
      <c r="AI1183">
        <v>95.066563998355406</v>
      </c>
      <c r="AJ1183">
        <v>63.6037093821149</v>
      </c>
      <c r="AK1183">
        <v>12.557622425892999</v>
      </c>
      <c r="AL1183">
        <v>94.528686214257306</v>
      </c>
      <c r="AM1183">
        <v>80.726404160367295</v>
      </c>
      <c r="AN1183">
        <v>0.99999998268732604</v>
      </c>
    </row>
    <row r="1184" spans="1:40" x14ac:dyDescent="0.25">
      <c r="A1184" t="str">
        <f>"20190305135215757"</f>
        <v>20190305135215757</v>
      </c>
      <c r="B1184" t="str">
        <f>"1551765135751019"</f>
        <v>1551765135751019</v>
      </c>
      <c r="C1184" t="s">
        <v>40</v>
      </c>
      <c r="D1184">
        <v>4.9739380000000004</v>
      </c>
      <c r="E1184">
        <v>0.61553389999999997</v>
      </c>
      <c r="F1184" t="s">
        <v>52</v>
      </c>
      <c r="G1184">
        <v>-207.59180000000001</v>
      </c>
      <c r="H1184" s="1">
        <v>-5.5716049999999997E-6</v>
      </c>
      <c r="I1184">
        <v>362.62060000000002</v>
      </c>
      <c r="J1184">
        <v>-218.7972</v>
      </c>
      <c r="K1184">
        <v>1.108973</v>
      </c>
      <c r="L1184">
        <v>368.447</v>
      </c>
      <c r="M1184">
        <v>0.99982459999999995</v>
      </c>
      <c r="N1184">
        <v>-1.3896260000000001E-2</v>
      </c>
      <c r="O1184">
        <v>-1.2565750000000001E-2</v>
      </c>
      <c r="P1184">
        <v>0.97969810000000002</v>
      </c>
      <c r="Q1184">
        <v>-9.2651490000000003E-2</v>
      </c>
      <c r="R1184">
        <v>-0.17778620000000001</v>
      </c>
      <c r="S1184">
        <v>2.782578</v>
      </c>
      <c r="T1184">
        <v>-0.27136749999999998</v>
      </c>
      <c r="U1184">
        <v>-1.426331</v>
      </c>
      <c r="V1184">
        <v>0.16536239999999999</v>
      </c>
      <c r="W1184">
        <v>-7.9202819999999993E-2</v>
      </c>
      <c r="X1184">
        <v>0.98304740000000002</v>
      </c>
      <c r="Y1184">
        <v>0.44302350000000001</v>
      </c>
      <c r="Z1184">
        <v>-2.258168E-2</v>
      </c>
      <c r="AA1184">
        <v>0.89622559999999996</v>
      </c>
      <c r="AB1184">
        <v>25</v>
      </c>
      <c r="AC1184">
        <v>11.2053999999999</v>
      </c>
      <c r="AD1184">
        <v>-1.108978571605</v>
      </c>
      <c r="AE1184">
        <v>-5.8263999999999196</v>
      </c>
      <c r="AF1184">
        <v>5.6416241786983203</v>
      </c>
      <c r="AG1184">
        <v>-1.108978571605</v>
      </c>
      <c r="AH1184">
        <v>11.191447307523701</v>
      </c>
      <c r="AI1184">
        <v>95.056624243097204</v>
      </c>
      <c r="AJ1184">
        <v>63.247263391532798</v>
      </c>
      <c r="AK1184">
        <v>12.5819811509568</v>
      </c>
      <c r="AL1184">
        <v>94.542745284809698</v>
      </c>
      <c r="AM1184">
        <v>80.451436260774202</v>
      </c>
      <c r="AN1184">
        <v>1.0000000003382301</v>
      </c>
    </row>
    <row r="1185" spans="1:40" x14ac:dyDescent="0.25">
      <c r="A1185" t="str">
        <f>"20190305135215771"</f>
        <v>20190305135215771</v>
      </c>
      <c r="B1185" t="str">
        <f>"1551765135760779"</f>
        <v>1551765135760779</v>
      </c>
      <c r="C1185" t="s">
        <v>40</v>
      </c>
      <c r="D1185">
        <v>4.9998990000000001</v>
      </c>
      <c r="E1185">
        <v>0.61515900000000001</v>
      </c>
      <c r="F1185" t="s">
        <v>52</v>
      </c>
      <c r="G1185">
        <v>-207.3818</v>
      </c>
      <c r="H1185" s="1">
        <v>-5.5165060000000002E-6</v>
      </c>
      <c r="I1185">
        <v>362.52330000000001</v>
      </c>
      <c r="J1185">
        <v>-218.64779999999999</v>
      </c>
      <c r="K1185">
        <v>1.1089739999999999</v>
      </c>
      <c r="L1185">
        <v>368.44459999999998</v>
      </c>
      <c r="M1185">
        <v>0.9998186</v>
      </c>
      <c r="N1185">
        <v>-1.3894999999999999E-2</v>
      </c>
      <c r="O1185">
        <v>-1.3023430000000001E-2</v>
      </c>
      <c r="P1185">
        <v>0.97796450000000001</v>
      </c>
      <c r="Q1185">
        <v>-9.1790259999999999E-2</v>
      </c>
      <c r="R1185">
        <v>-0.18750990000000001</v>
      </c>
      <c r="S1185">
        <v>2.7753299999999999</v>
      </c>
      <c r="T1185">
        <v>-0.26961679999999999</v>
      </c>
      <c r="U1185">
        <v>-1.440186</v>
      </c>
      <c r="V1185">
        <v>0.1746539</v>
      </c>
      <c r="W1185">
        <v>-7.8388180000000002E-2</v>
      </c>
      <c r="X1185">
        <v>0.98150459999999995</v>
      </c>
      <c r="Y1185">
        <v>0.44709320000000002</v>
      </c>
      <c r="Z1185">
        <v>-2.2665459999999998E-2</v>
      </c>
      <c r="AA1185">
        <v>0.89420010000000005</v>
      </c>
      <c r="AB1185">
        <v>25</v>
      </c>
      <c r="AC1185">
        <v>11.265999999999901</v>
      </c>
      <c r="AD1185">
        <v>-1.1089795165059999</v>
      </c>
      <c r="AE1185">
        <v>-5.9212999999999703</v>
      </c>
      <c r="AF1185">
        <v>5.7305535010446302</v>
      </c>
      <c r="AG1185">
        <v>-1.1089795165059999</v>
      </c>
      <c r="AH1185">
        <v>11.256703161872601</v>
      </c>
      <c r="AI1185">
        <v>95.017438521771396</v>
      </c>
      <c r="AJ1185">
        <v>63.020301833777502</v>
      </c>
      <c r="AK1185">
        <v>12.680001777242699</v>
      </c>
      <c r="AL1185">
        <v>94.495924339856103</v>
      </c>
      <c r="AM1185">
        <v>79.910111067729005</v>
      </c>
      <c r="AN1185">
        <v>0.999999985685041</v>
      </c>
    </row>
    <row r="1186" spans="1:40" x14ac:dyDescent="0.25">
      <c r="A1186" t="str">
        <f>"20190305135215793"</f>
        <v>20190305135215793</v>
      </c>
      <c r="B1186" t="str">
        <f>"1551765135791034"</f>
        <v>1551765135791034</v>
      </c>
      <c r="C1186" t="s">
        <v>40</v>
      </c>
      <c r="D1186">
        <v>5.0203959999999999</v>
      </c>
      <c r="E1186">
        <v>0.61431729999999996</v>
      </c>
      <c r="F1186" t="s">
        <v>52</v>
      </c>
      <c r="G1186">
        <v>-207.14230000000001</v>
      </c>
      <c r="H1186" s="1">
        <v>-5.464557E-6</v>
      </c>
      <c r="I1186">
        <v>362.34269999999998</v>
      </c>
      <c r="J1186">
        <v>-218.3931</v>
      </c>
      <c r="K1186">
        <v>1.108946</v>
      </c>
      <c r="L1186">
        <v>368.44040000000001</v>
      </c>
      <c r="M1186">
        <v>0.99980740000000001</v>
      </c>
      <c r="N1186">
        <v>-1.3893040000000001E-2</v>
      </c>
      <c r="O1186">
        <v>-1.387121E-2</v>
      </c>
      <c r="P1186">
        <v>0.97586640000000002</v>
      </c>
      <c r="Q1186">
        <v>-8.944473E-2</v>
      </c>
      <c r="R1186">
        <v>-0.1992099</v>
      </c>
      <c r="S1186">
        <v>2.7617799999999999</v>
      </c>
      <c r="T1186">
        <v>-0.26620090000000002</v>
      </c>
      <c r="U1186">
        <v>-1.4647220000000001</v>
      </c>
      <c r="V1186">
        <v>0.18554399999999999</v>
      </c>
      <c r="W1186">
        <v>-7.6107380000000002E-2</v>
      </c>
      <c r="X1186">
        <v>0.97968420000000001</v>
      </c>
      <c r="Y1186">
        <v>0.45434409999999997</v>
      </c>
      <c r="Z1186">
        <v>-2.2790339999999999E-2</v>
      </c>
      <c r="AA1186">
        <v>0.89053470000000001</v>
      </c>
      <c r="AB1186">
        <v>25</v>
      </c>
      <c r="AC1186">
        <v>11.2507999999999</v>
      </c>
      <c r="AD1186">
        <v>-1.108951464557</v>
      </c>
      <c r="AE1186">
        <v>-6.0977000000000299</v>
      </c>
      <c r="AF1186">
        <v>5.8967543256198596</v>
      </c>
      <c r="AG1186">
        <v>-1.108951464557</v>
      </c>
      <c r="AH1186">
        <v>11.249827454885599</v>
      </c>
      <c r="AI1186">
        <v>94.989732799031202</v>
      </c>
      <c r="AJ1186">
        <v>62.338090688800101</v>
      </c>
      <c r="AK1186">
        <v>12.7499059875811</v>
      </c>
      <c r="AL1186">
        <v>94.364852290356296</v>
      </c>
      <c r="AM1186">
        <v>79.275678494765899</v>
      </c>
      <c r="AN1186">
        <v>1.0000000204780499</v>
      </c>
    </row>
    <row r="1187" spans="1:40" x14ac:dyDescent="0.25">
      <c r="A1187" t="str">
        <f>"20190305135215808"</f>
        <v>20190305135215808</v>
      </c>
      <c r="B1187" t="str">
        <f>"1551765135800795"</f>
        <v>1551765135800795</v>
      </c>
      <c r="C1187" t="s">
        <v>40</v>
      </c>
      <c r="D1187">
        <v>4.9927449999999904</v>
      </c>
      <c r="E1187">
        <v>0.61385269999999903</v>
      </c>
      <c r="F1187" t="s">
        <v>52</v>
      </c>
      <c r="G1187">
        <v>-206.72489999999999</v>
      </c>
      <c r="H1187" s="1">
        <v>-5.3620619999999899E-6</v>
      </c>
      <c r="I1187">
        <v>362.1044</v>
      </c>
      <c r="J1187">
        <v>-218.22659999999999</v>
      </c>
      <c r="K1187">
        <v>1.108916</v>
      </c>
      <c r="L1187">
        <v>368.43740000000003</v>
      </c>
      <c r="M1187">
        <v>0.99979899999999999</v>
      </c>
      <c r="N1187">
        <v>-1.3891789999999999E-2</v>
      </c>
      <c r="O1187">
        <v>-1.446297E-2</v>
      </c>
      <c r="P1187">
        <v>0.97475560000000006</v>
      </c>
      <c r="Q1187">
        <v>-8.8703480000000001E-2</v>
      </c>
      <c r="R1187">
        <v>-0.2048981</v>
      </c>
      <c r="S1187">
        <v>2.7458800000000001</v>
      </c>
      <c r="T1187">
        <v>-0.2609706</v>
      </c>
      <c r="U1187">
        <v>-1.491058</v>
      </c>
      <c r="V1187">
        <v>0.19066330000000001</v>
      </c>
      <c r="W1187">
        <v>-7.5403490000000004E-2</v>
      </c>
      <c r="X1187">
        <v>0.97875520000000005</v>
      </c>
      <c r="Y1187">
        <v>0.46257910000000002</v>
      </c>
      <c r="Z1187">
        <v>-2.2858460000000001E-2</v>
      </c>
      <c r="AA1187">
        <v>0.8862833</v>
      </c>
      <c r="AB1187">
        <v>25</v>
      </c>
      <c r="AC1187">
        <v>11.5017</v>
      </c>
      <c r="AD1187">
        <v>-1.108921362062</v>
      </c>
      <c r="AE1187">
        <v>-6.3330000000000197</v>
      </c>
      <c r="AF1187">
        <v>6.1223021049950397</v>
      </c>
      <c r="AG1187">
        <v>-1.108921362062</v>
      </c>
      <c r="AH1187">
        <v>11.509998358454199</v>
      </c>
      <c r="AI1187">
        <v>94.861860730655906</v>
      </c>
      <c r="AJ1187">
        <v>61.990968591846702</v>
      </c>
      <c r="AK1187">
        <v>13.0840495208358</v>
      </c>
      <c r="AL1187">
        <v>94.324406397313396</v>
      </c>
      <c r="AM1187">
        <v>78.976730007056602</v>
      </c>
      <c r="AN1187">
        <v>0.99999996089905396</v>
      </c>
    </row>
    <row r="1188" spans="1:40" x14ac:dyDescent="0.25">
      <c r="A1188" t="str">
        <f>"20190305135215821"</f>
        <v>20190305135215821</v>
      </c>
      <c r="B1188" t="str">
        <f>"1551765135810556"</f>
        <v>1551765135810556</v>
      </c>
      <c r="C1188" t="s">
        <v>40</v>
      </c>
      <c r="D1188">
        <v>4.9876779999999998</v>
      </c>
      <c r="E1188">
        <v>0.61336800000000002</v>
      </c>
      <c r="F1188" t="s">
        <v>52</v>
      </c>
      <c r="G1188">
        <v>-206.50710000000001</v>
      </c>
      <c r="H1188" s="1">
        <v>-5.305092E-6</v>
      </c>
      <c r="I1188">
        <v>362.00220000000002</v>
      </c>
      <c r="J1188">
        <v>-218.077</v>
      </c>
      <c r="K1188">
        <v>1.1088929999999999</v>
      </c>
      <c r="L1188">
        <v>368.43459999999999</v>
      </c>
      <c r="M1188">
        <v>0.99979079999999998</v>
      </c>
      <c r="N1188">
        <v>-1.389077E-2</v>
      </c>
      <c r="O1188">
        <v>-1.5024259999999999E-2</v>
      </c>
      <c r="P1188">
        <v>0.97362409999999999</v>
      </c>
      <c r="Q1188">
        <v>-8.7965269999999998E-2</v>
      </c>
      <c r="R1188">
        <v>-0.21052029999999999</v>
      </c>
      <c r="S1188">
        <v>2.7380680000000002</v>
      </c>
      <c r="T1188">
        <v>-0.25907980000000003</v>
      </c>
      <c r="U1188">
        <v>-1.503479</v>
      </c>
      <c r="V1188">
        <v>0.19574839999999999</v>
      </c>
      <c r="W1188">
        <v>-7.4701489999999995E-2</v>
      </c>
      <c r="X1188">
        <v>0.97780480000000003</v>
      </c>
      <c r="Y1188">
        <v>0.46623949999999997</v>
      </c>
      <c r="Z1188">
        <v>-2.2897899999999999E-2</v>
      </c>
      <c r="AA1188">
        <v>0.88436219999999999</v>
      </c>
      <c r="AB1188">
        <v>25</v>
      </c>
      <c r="AC1188">
        <v>11.569899999999899</v>
      </c>
      <c r="AD1188">
        <v>-1.108898305092</v>
      </c>
      <c r="AE1188">
        <v>-6.4323999999999701</v>
      </c>
      <c r="AF1188">
        <v>6.2142224219450197</v>
      </c>
      <c r="AG1188">
        <v>-1.108898305092</v>
      </c>
      <c r="AH1188">
        <v>11.5839600362238</v>
      </c>
      <c r="AI1188">
        <v>94.821804790472498</v>
      </c>
      <c r="AJ1188">
        <v>61.788639378089897</v>
      </c>
      <c r="AK1188">
        <v>13.1922077713046</v>
      </c>
      <c r="AL1188">
        <v>94.284070879584803</v>
      </c>
      <c r="AM1188">
        <v>78.679507052525395</v>
      </c>
      <c r="AN1188">
        <v>0.99999998780691002</v>
      </c>
    </row>
    <row r="1189" spans="1:40" x14ac:dyDescent="0.25">
      <c r="A1189" t="str">
        <f>"20190305135215833"</f>
        <v>20190305135215833</v>
      </c>
      <c r="B1189" t="str">
        <f>"1551765135831050"</f>
        <v>1551765135831050</v>
      </c>
      <c r="C1189" t="s">
        <v>40</v>
      </c>
      <c r="D1189">
        <v>5.030983</v>
      </c>
      <c r="E1189">
        <v>0.61248449999999999</v>
      </c>
      <c r="F1189" t="s">
        <v>52</v>
      </c>
      <c r="G1189">
        <v>-206.2551</v>
      </c>
      <c r="H1189" s="1">
        <v>-5.2410380000000001E-6</v>
      </c>
      <c r="I1189">
        <v>361.87220000000002</v>
      </c>
      <c r="J1189">
        <v>-217.9401</v>
      </c>
      <c r="K1189">
        <v>1.1088720000000001</v>
      </c>
      <c r="L1189">
        <v>368.43200000000002</v>
      </c>
      <c r="M1189">
        <v>0.99978239999999996</v>
      </c>
      <c r="N1189">
        <v>-1.3889840000000001E-2</v>
      </c>
      <c r="O1189">
        <v>-1.5561180000000001E-2</v>
      </c>
      <c r="P1189">
        <v>0.9723849</v>
      </c>
      <c r="Q1189">
        <v>-8.7252839999999998E-2</v>
      </c>
      <c r="R1189">
        <v>-0.2164586</v>
      </c>
      <c r="S1189">
        <v>2.7304379999999999</v>
      </c>
      <c r="T1189">
        <v>-0.25611630000000002</v>
      </c>
      <c r="U1189">
        <v>-1.5156860000000001</v>
      </c>
      <c r="V1189">
        <v>0.2011772</v>
      </c>
      <c r="W1189">
        <v>-7.4026439999999999E-2</v>
      </c>
      <c r="X1189">
        <v>0.97675369999999995</v>
      </c>
      <c r="Y1189">
        <v>0.46985250000000001</v>
      </c>
      <c r="Z1189">
        <v>-2.2854090000000001E-2</v>
      </c>
      <c r="AA1189">
        <v>0.88244899999999904</v>
      </c>
      <c r="AB1189">
        <v>25</v>
      </c>
      <c r="AC1189">
        <v>11.685</v>
      </c>
      <c r="AD1189">
        <v>-1.1088772410379999</v>
      </c>
      <c r="AE1189">
        <v>-6.5597999999999299</v>
      </c>
      <c r="AF1189">
        <v>6.3337849763026099</v>
      </c>
      <c r="AG1189">
        <v>-1.1088772410379999</v>
      </c>
      <c r="AH1189">
        <v>11.7055192989045</v>
      </c>
      <c r="AI1189">
        <v>94.762673145305797</v>
      </c>
      <c r="AJ1189">
        <v>61.582450581973099</v>
      </c>
      <c r="AK1189">
        <v>13.3553593331948</v>
      </c>
      <c r="AL1189">
        <v>94.245285985239207</v>
      </c>
      <c r="AM1189">
        <v>78.3618163165971</v>
      </c>
      <c r="AN1189">
        <v>0.99999998504130105</v>
      </c>
    </row>
    <row r="1190" spans="1:40" x14ac:dyDescent="0.25">
      <c r="A1190" t="str">
        <f>"20190305135215847"</f>
        <v>20190305135215847</v>
      </c>
      <c r="B1190" t="str">
        <f>"1551765135840811"</f>
        <v>1551765135840811</v>
      </c>
      <c r="C1190" t="s">
        <v>40</v>
      </c>
      <c r="D1190">
        <v>5.0319260000000003</v>
      </c>
      <c r="E1190">
        <v>0.61208869999999904</v>
      </c>
      <c r="F1190" t="s">
        <v>52</v>
      </c>
      <c r="G1190">
        <v>-206.08359999999999</v>
      </c>
      <c r="H1190" s="1">
        <v>-5.1949780000000001E-6</v>
      </c>
      <c r="I1190">
        <v>361.7901</v>
      </c>
      <c r="J1190">
        <v>-217.78530000000001</v>
      </c>
      <c r="K1190">
        <v>1.1088480000000001</v>
      </c>
      <c r="L1190">
        <v>368.4289</v>
      </c>
      <c r="M1190">
        <v>0.99977249999999995</v>
      </c>
      <c r="N1190">
        <v>-1.388876E-2</v>
      </c>
      <c r="O1190">
        <v>-1.6186860000000001E-2</v>
      </c>
      <c r="P1190">
        <v>0.97120960000000001</v>
      </c>
      <c r="Q1190">
        <v>-8.6311429999999995E-2</v>
      </c>
      <c r="R1190">
        <v>-0.2220415</v>
      </c>
      <c r="S1190">
        <v>2.7228240000000001</v>
      </c>
      <c r="T1190">
        <v>-0.25465310000000002</v>
      </c>
      <c r="U1190">
        <v>-1.525299</v>
      </c>
      <c r="V1190">
        <v>0.20616370000000001</v>
      </c>
      <c r="W1190">
        <v>-7.3122930000000003E-2</v>
      </c>
      <c r="X1190">
        <v>0.97578149999999997</v>
      </c>
      <c r="Y1190">
        <v>0.47272389999999997</v>
      </c>
      <c r="Z1190">
        <v>-2.2879150000000001E-2</v>
      </c>
      <c r="AA1190">
        <v>0.88091350000000002</v>
      </c>
      <c r="AB1190">
        <v>25</v>
      </c>
      <c r="AC1190">
        <v>11.701700000000001</v>
      </c>
      <c r="AD1190">
        <v>-1.1088531949779901</v>
      </c>
      <c r="AE1190">
        <v>-6.6387999999999998</v>
      </c>
      <c r="AF1190">
        <v>6.4049889361055801</v>
      </c>
      <c r="AG1190">
        <v>-1.1088531949779901</v>
      </c>
      <c r="AH1190">
        <v>11.7279702545909</v>
      </c>
      <c r="AI1190">
        <v>94.743507750072297</v>
      </c>
      <c r="AJ1190">
        <v>61.359750222157899</v>
      </c>
      <c r="AK1190">
        <v>13.408904689504499</v>
      </c>
      <c r="AL1190">
        <v>94.193377987713802</v>
      </c>
      <c r="AM1190">
        <v>78.069965157789198</v>
      </c>
      <c r="AN1190">
        <v>0.99999998491586195</v>
      </c>
    </row>
    <row r="1191" spans="1:40" x14ac:dyDescent="0.25">
      <c r="A1191" t="str">
        <f>"20190305135215859"</f>
        <v>20190305135215859</v>
      </c>
      <c r="B1191" t="str">
        <f>"1551765135850571"</f>
        <v>1551765135850571</v>
      </c>
      <c r="C1191" t="s">
        <v>40</v>
      </c>
      <c r="D1191">
        <v>5.0290999999999997</v>
      </c>
      <c r="E1191">
        <v>0.61159439999999998</v>
      </c>
      <c r="F1191" t="s">
        <v>52</v>
      </c>
      <c r="G1191">
        <v>-205.8759</v>
      </c>
      <c r="H1191" s="1">
        <v>-5.1219949999999897E-6</v>
      </c>
      <c r="I1191">
        <v>361.68279999999999</v>
      </c>
      <c r="J1191">
        <v>-217.64400000000001</v>
      </c>
      <c r="K1191">
        <v>1.108824</v>
      </c>
      <c r="L1191">
        <v>368.42590000000001</v>
      </c>
      <c r="M1191">
        <v>0.9997627</v>
      </c>
      <c r="N1191">
        <v>-1.388783E-2</v>
      </c>
      <c r="O1191">
        <v>-1.6790670000000001E-2</v>
      </c>
      <c r="P1191">
        <v>0.96891099999999997</v>
      </c>
      <c r="Q1191">
        <v>-8.506213E-2</v>
      </c>
      <c r="R1191">
        <v>-0.23232800000000001</v>
      </c>
      <c r="S1191">
        <v>2.71489</v>
      </c>
      <c r="T1191">
        <v>-0.25277450000000001</v>
      </c>
      <c r="U1191">
        <v>-1.5378419999999999</v>
      </c>
      <c r="V1191">
        <v>0.2158958</v>
      </c>
      <c r="W1191">
        <v>-7.1934109999999996E-2</v>
      </c>
      <c r="X1191">
        <v>0.97376300000000005</v>
      </c>
      <c r="Y1191">
        <v>0.47638009999999997</v>
      </c>
      <c r="Z1191">
        <v>-2.291137E-2</v>
      </c>
      <c r="AA1191">
        <v>0.87894089999999903</v>
      </c>
      <c r="AB1191">
        <v>25</v>
      </c>
      <c r="AC1191">
        <v>11.7681</v>
      </c>
      <c r="AD1191">
        <v>-1.1088291219949999</v>
      </c>
      <c r="AE1191">
        <v>-6.7431000000000196</v>
      </c>
      <c r="AF1191">
        <v>6.5010851390907396</v>
      </c>
      <c r="AG1191">
        <v>-1.1088291219949999</v>
      </c>
      <c r="AH1191">
        <v>11.8008007305951</v>
      </c>
      <c r="AI1191">
        <v>94.704828047265096</v>
      </c>
      <c r="AJ1191">
        <v>61.149541672424199</v>
      </c>
      <c r="AK1191">
        <v>13.518598591966001</v>
      </c>
      <c r="AL1191">
        <v>94.125083909240203</v>
      </c>
      <c r="AM1191">
        <v>77.499005076384194</v>
      </c>
      <c r="AN1191">
        <v>0.99999994640406398</v>
      </c>
    </row>
    <row r="1192" spans="1:40" x14ac:dyDescent="0.25">
      <c r="A1192" t="str">
        <f>"20190305135215873"</f>
        <v>20190305135215873</v>
      </c>
      <c r="B1192" t="str">
        <f>"1551765135871067"</f>
        <v>1551765135871067</v>
      </c>
      <c r="C1192" t="s">
        <v>40</v>
      </c>
      <c r="D1192">
        <v>4.9747649999999997</v>
      </c>
      <c r="E1192">
        <v>0.61058859999999904</v>
      </c>
      <c r="F1192" t="s">
        <v>52</v>
      </c>
      <c r="G1192">
        <v>-205.71180000000001</v>
      </c>
      <c r="H1192" s="1">
        <v>-5.081753E-6</v>
      </c>
      <c r="I1192">
        <v>361.51960000000003</v>
      </c>
      <c r="J1192">
        <v>-217.49250000000001</v>
      </c>
      <c r="K1192">
        <v>1.1087910000000001</v>
      </c>
      <c r="L1192">
        <v>368.42259999999999</v>
      </c>
      <c r="M1192">
        <v>0.99975119999999895</v>
      </c>
      <c r="N1192">
        <v>-1.3886849999999999E-2</v>
      </c>
      <c r="O1192">
        <v>-1.7462709999999999E-2</v>
      </c>
      <c r="P1192">
        <v>0.96753889999999998</v>
      </c>
      <c r="Q1192">
        <v>-8.465201E-2</v>
      </c>
      <c r="R1192">
        <v>-0.23812320000000001</v>
      </c>
      <c r="S1192">
        <v>2.6995849999999999</v>
      </c>
      <c r="T1192">
        <v>-0.25086439999999999</v>
      </c>
      <c r="U1192">
        <v>-1.5625</v>
      </c>
      <c r="V1192">
        <v>0.221056</v>
      </c>
      <c r="W1192">
        <v>-7.1565859999999995E-2</v>
      </c>
      <c r="X1192">
        <v>0.97263180000000005</v>
      </c>
      <c r="Y1192">
        <v>0.4839329</v>
      </c>
      <c r="Z1192">
        <v>-2.31606E-2</v>
      </c>
      <c r="AA1192">
        <v>0.87479850000000003</v>
      </c>
      <c r="AB1192">
        <v>25</v>
      </c>
      <c r="AC1192">
        <v>11.7806999999999</v>
      </c>
      <c r="AD1192">
        <v>-1.108796081753</v>
      </c>
      <c r="AE1192">
        <v>-6.9029999999999596</v>
      </c>
      <c r="AF1192">
        <v>6.6523365087846598</v>
      </c>
      <c r="AG1192">
        <v>-1.108796081753</v>
      </c>
      <c r="AH1192">
        <v>11.8215046741719</v>
      </c>
      <c r="AI1192">
        <v>94.673035660140499</v>
      </c>
      <c r="AJ1192">
        <v>60.632158853330402</v>
      </c>
      <c r="AK1192">
        <v>13.609958946980299</v>
      </c>
      <c r="AL1192">
        <v>94.103929902150995</v>
      </c>
      <c r="AM1192">
        <v>77.195548068005493</v>
      </c>
      <c r="AN1192">
        <v>1.00000002291238</v>
      </c>
    </row>
    <row r="1193" spans="1:40" x14ac:dyDescent="0.25">
      <c r="A1193" t="str">
        <f>"20190305135215893"</f>
        <v>20190305135215893</v>
      </c>
      <c r="B1193" t="str">
        <f>"1551765135890587"</f>
        <v>1551765135890587</v>
      </c>
      <c r="C1193" t="s">
        <v>40</v>
      </c>
      <c r="D1193">
        <v>5.046144</v>
      </c>
      <c r="E1193">
        <v>0.60970749999999996</v>
      </c>
      <c r="F1193" t="s">
        <v>52</v>
      </c>
      <c r="G1193">
        <v>-205.55029999999999</v>
      </c>
      <c r="H1193" s="1">
        <v>-5.0214769999999997E-6</v>
      </c>
      <c r="I1193">
        <v>361.4522</v>
      </c>
      <c r="J1193">
        <v>-217.26859999999999</v>
      </c>
      <c r="K1193">
        <v>1.108741</v>
      </c>
      <c r="L1193">
        <v>368.41750000000002</v>
      </c>
      <c r="M1193">
        <v>0.99973239999999997</v>
      </c>
      <c r="N1193">
        <v>-1.38855E-2</v>
      </c>
      <c r="O1193">
        <v>-1.850133E-2</v>
      </c>
      <c r="P1193">
        <v>0.96471169999999995</v>
      </c>
      <c r="Q1193">
        <v>-8.4602250000000004E-2</v>
      </c>
      <c r="R1193">
        <v>-0.2493467</v>
      </c>
      <c r="S1193">
        <v>2.6920470000000001</v>
      </c>
      <c r="T1193">
        <v>-0.2499498</v>
      </c>
      <c r="U1193">
        <v>-1.5712889999999999</v>
      </c>
      <c r="V1193">
        <v>0.23131280000000001</v>
      </c>
      <c r="W1193">
        <v>-7.159451E-2</v>
      </c>
      <c r="X1193">
        <v>0.97024149999999998</v>
      </c>
      <c r="Y1193">
        <v>0.4862186</v>
      </c>
      <c r="Z1193">
        <v>-2.3164790000000001E-2</v>
      </c>
      <c r="AA1193">
        <v>0.87353009999999998</v>
      </c>
      <c r="AB1193">
        <v>25</v>
      </c>
      <c r="AC1193">
        <v>11.718299999999999</v>
      </c>
      <c r="AD1193">
        <v>-1.108746021477</v>
      </c>
      <c r="AE1193">
        <v>-6.9653000000000098</v>
      </c>
      <c r="AF1193">
        <v>6.7029416179462302</v>
      </c>
      <c r="AG1193">
        <v>-1.108746021477</v>
      </c>
      <c r="AH1193">
        <v>11.7673310516776</v>
      </c>
      <c r="AI1193">
        <v>94.680455076220994</v>
      </c>
      <c r="AJ1193">
        <v>60.333168899028301</v>
      </c>
      <c r="AK1193">
        <v>13.5878189623468</v>
      </c>
      <c r="AL1193">
        <v>94.105575837367596</v>
      </c>
      <c r="AM1193">
        <v>76.590574798651502</v>
      </c>
      <c r="AN1193">
        <v>0.99999997681411401</v>
      </c>
    </row>
    <row r="1194" spans="1:40" x14ac:dyDescent="0.25">
      <c r="A1194" t="str">
        <f>"20190305135215907"</f>
        <v>20190305135215907</v>
      </c>
      <c r="B1194" t="str">
        <f>"1551765135900347"</f>
        <v>1551765135900347</v>
      </c>
      <c r="C1194" t="s">
        <v>40</v>
      </c>
      <c r="D1194">
        <v>5.0671140000000001</v>
      </c>
      <c r="E1194">
        <v>0.60970749999999996</v>
      </c>
      <c r="F1194" t="s">
        <v>52</v>
      </c>
      <c r="G1194">
        <v>-205.41849999999999</v>
      </c>
      <c r="H1194" s="1">
        <v>-4.9823730000000002E-6</v>
      </c>
      <c r="I1194">
        <v>361.35149999999999</v>
      </c>
      <c r="J1194">
        <v>-217.12020000000001</v>
      </c>
      <c r="K1194">
        <v>1.108708</v>
      </c>
      <c r="L1194">
        <v>368.41399999999999</v>
      </c>
      <c r="M1194">
        <v>0.99971889999999997</v>
      </c>
      <c r="N1194">
        <v>-1.38847E-2</v>
      </c>
      <c r="O1194">
        <v>-1.9217479999999999E-2</v>
      </c>
      <c r="P1194">
        <v>0.9632077</v>
      </c>
      <c r="Q1194">
        <v>-8.465222E-2</v>
      </c>
      <c r="R1194">
        <v>-0.25507800000000003</v>
      </c>
      <c r="S1194">
        <v>2.675446</v>
      </c>
      <c r="T1194">
        <v>-0.25032500000000002</v>
      </c>
      <c r="U1194">
        <v>-1.5953059999999999</v>
      </c>
      <c r="V1194">
        <v>0.23637250000000001</v>
      </c>
      <c r="W1194">
        <v>-7.1689249999999996E-2</v>
      </c>
      <c r="X1194">
        <v>0.9690143</v>
      </c>
      <c r="Y1194">
        <v>0.49369780000000002</v>
      </c>
      <c r="Z1194">
        <v>-2.359062E-2</v>
      </c>
      <c r="AA1194">
        <v>0.86931349999999996</v>
      </c>
      <c r="AB1194">
        <v>25</v>
      </c>
      <c r="AC1194">
        <v>11.701700000000001</v>
      </c>
      <c r="AD1194">
        <v>-1.108712982373</v>
      </c>
      <c r="AE1194">
        <v>-7.0625</v>
      </c>
      <c r="AF1194">
        <v>6.7916062849183003</v>
      </c>
      <c r="AG1194">
        <v>-1.108712982373</v>
      </c>
      <c r="AH1194">
        <v>11.757905393050301</v>
      </c>
      <c r="AI1194">
        <v>94.667982713849796</v>
      </c>
      <c r="AJ1194">
        <v>59.988392359767602</v>
      </c>
      <c r="AK1194">
        <v>13.623637533292801</v>
      </c>
      <c r="AL1194">
        <v>94.111017885215702</v>
      </c>
      <c r="AM1194">
        <v>76.2915015644151</v>
      </c>
      <c r="AN1194">
        <v>1.0000000104631499</v>
      </c>
    </row>
    <row r="1195" spans="1:40" x14ac:dyDescent="0.25">
      <c r="A1195" t="str">
        <f>"20190305135215918"</f>
        <v>20190305135215918</v>
      </c>
      <c r="B1195" t="str">
        <f>"1551765135910106"</f>
        <v>1551765135910106</v>
      </c>
      <c r="C1195" t="s">
        <v>40</v>
      </c>
      <c r="D1195">
        <v>5.0511790000000003</v>
      </c>
      <c r="E1195">
        <v>0.59578699999999996</v>
      </c>
      <c r="F1195" t="s">
        <v>52</v>
      </c>
      <c r="G1195">
        <v>-205.33869999999999</v>
      </c>
      <c r="H1195" s="1">
        <v>-4.958192E-6</v>
      </c>
      <c r="I1195">
        <v>361.29309999999998</v>
      </c>
      <c r="J1195">
        <v>-216.9786</v>
      </c>
      <c r="K1195">
        <v>1.1086750000000001</v>
      </c>
      <c r="L1195">
        <v>368.41050000000001</v>
      </c>
      <c r="M1195">
        <v>0.99970499999999995</v>
      </c>
      <c r="N1195">
        <v>-1.3883950000000001E-2</v>
      </c>
      <c r="O1195">
        <v>-1.9932990000000001E-2</v>
      </c>
      <c r="P1195">
        <v>0.96161289999999999</v>
      </c>
      <c r="Q1195">
        <v>-8.4611039999999998E-2</v>
      </c>
      <c r="R1195">
        <v>-0.26104040000000001</v>
      </c>
      <c r="S1195">
        <v>2.6658629999999999</v>
      </c>
      <c r="T1195">
        <v>-0.25087510000000002</v>
      </c>
      <c r="U1195">
        <v>-1.6112979999999999</v>
      </c>
      <c r="V1195">
        <v>0.24166750000000001</v>
      </c>
      <c r="W1195">
        <v>-7.1693960000000001E-2</v>
      </c>
      <c r="X1195">
        <v>0.96770699999999998</v>
      </c>
      <c r="Y1195">
        <v>0.49824410000000002</v>
      </c>
      <c r="Z1195">
        <v>-2.3850070000000001E-2</v>
      </c>
      <c r="AA1195">
        <v>0.8667087</v>
      </c>
      <c r="AB1195">
        <v>25</v>
      </c>
      <c r="AC1195">
        <v>11.639900000000001</v>
      </c>
      <c r="AD1195">
        <v>-1.1086799581919999</v>
      </c>
      <c r="AE1195">
        <v>-7.1174000000000301</v>
      </c>
      <c r="AF1195">
        <v>6.8387866318291302</v>
      </c>
      <c r="AG1195">
        <v>-1.1086799581919999</v>
      </c>
      <c r="AH1195">
        <v>11.702198376753699</v>
      </c>
      <c r="AI1195">
        <v>94.676232571702997</v>
      </c>
      <c r="AJ1195">
        <v>59.697904947466</v>
      </c>
      <c r="AK1195">
        <v>13.5992507401797</v>
      </c>
      <c r="AL1195">
        <v>94.111288400500897</v>
      </c>
      <c r="AM1195">
        <v>75.978204139881399</v>
      </c>
      <c r="AN1195">
        <v>1.0000000211528599</v>
      </c>
    </row>
    <row r="1196" spans="1:40" x14ac:dyDescent="0.25">
      <c r="A1196" t="str">
        <f>"20190305135215931"</f>
        <v>20190305135215931</v>
      </c>
      <c r="B1196" t="str">
        <f>"1551765135920843"</f>
        <v>1551765135920843</v>
      </c>
      <c r="C1196" t="s">
        <v>40</v>
      </c>
      <c r="D1196">
        <v>5.0495390000000002</v>
      </c>
      <c r="E1196">
        <v>0.59524140000000003</v>
      </c>
      <c r="F1196" t="s">
        <v>52</v>
      </c>
      <c r="G1196">
        <v>-207.047</v>
      </c>
      <c r="H1196" s="1">
        <v>-5.3646920000000003E-6</v>
      </c>
      <c r="I1196">
        <v>362.77780000000001</v>
      </c>
      <c r="J1196">
        <v>-216.84559999999999</v>
      </c>
      <c r="K1196">
        <v>1.1086450000000001</v>
      </c>
      <c r="L1196">
        <v>368.40699999999998</v>
      </c>
      <c r="M1196">
        <v>0.99969110000000005</v>
      </c>
      <c r="N1196">
        <v>-1.388325E-2</v>
      </c>
      <c r="O1196">
        <v>-2.062224E-2</v>
      </c>
      <c r="P1196">
        <v>0.95993150000000005</v>
      </c>
      <c r="Q1196">
        <v>-8.4985679999999994E-2</v>
      </c>
      <c r="R1196">
        <v>-0.26703909999999997</v>
      </c>
      <c r="S1196">
        <v>2.6807099999999999</v>
      </c>
      <c r="T1196">
        <v>-0.2992532</v>
      </c>
      <c r="U1196">
        <v>-1.5203549999999999</v>
      </c>
      <c r="V1196">
        <v>0.24702769999999999</v>
      </c>
      <c r="W1196">
        <v>-7.2115289999999999E-2</v>
      </c>
      <c r="X1196">
        <v>0.96632119999999999</v>
      </c>
      <c r="Y1196">
        <v>0.47279579999999999</v>
      </c>
      <c r="Z1196">
        <v>-2.6143340000000001E-2</v>
      </c>
      <c r="AA1196">
        <v>0.88078419999999902</v>
      </c>
      <c r="AB1196">
        <v>25</v>
      </c>
      <c r="AC1196">
        <v>9.7985999999999898</v>
      </c>
      <c r="AD1196">
        <v>-1.1086503646920001</v>
      </c>
      <c r="AE1196">
        <v>-5.62919999999996</v>
      </c>
      <c r="AF1196">
        <v>5.3741880459973803</v>
      </c>
      <c r="AG1196">
        <v>-1.1086503646920001</v>
      </c>
      <c r="AH1196">
        <v>9.8181152085986003</v>
      </c>
      <c r="AI1196">
        <v>95.656747267638096</v>
      </c>
      <c r="AJ1196">
        <v>61.304817998181498</v>
      </c>
      <c r="AK1196">
        <v>11.2475059028296</v>
      </c>
      <c r="AL1196">
        <v>94.135491648347795</v>
      </c>
      <c r="AM1196">
        <v>75.660170548793204</v>
      </c>
      <c r="AN1196">
        <v>0.99999998059425599</v>
      </c>
    </row>
    <row r="1197" spans="1:40" x14ac:dyDescent="0.25">
      <c r="A1197" t="str">
        <f>"20190305135215943"</f>
        <v>20190305135215943</v>
      </c>
      <c r="B1197" t="str">
        <f>"1551765135940363"</f>
        <v>1551765135940363</v>
      </c>
      <c r="C1197" t="s">
        <v>40</v>
      </c>
      <c r="D1197">
        <v>5.0416220000000003</v>
      </c>
      <c r="E1197">
        <v>0.59395520000000002</v>
      </c>
      <c r="F1197" t="s">
        <v>52</v>
      </c>
      <c r="G1197">
        <v>-207.095</v>
      </c>
      <c r="H1197" s="1">
        <v>-5.3751770000000002E-6</v>
      </c>
      <c r="I1197">
        <v>362.8134</v>
      </c>
      <c r="J1197">
        <v>-216.70660000000001</v>
      </c>
      <c r="K1197">
        <v>1.1086049999999901</v>
      </c>
      <c r="L1197">
        <v>368.40339999999998</v>
      </c>
      <c r="M1197">
        <v>0.99967539999999999</v>
      </c>
      <c r="N1197">
        <v>-1.3882530000000001E-2</v>
      </c>
      <c r="O1197">
        <v>-2.1359800000000002E-2</v>
      </c>
      <c r="P1197">
        <v>0.95815600000000001</v>
      </c>
      <c r="Q1197">
        <v>-8.5196579999999994E-2</v>
      </c>
      <c r="R1197">
        <v>-0.27327420000000002</v>
      </c>
      <c r="S1197">
        <v>2.6719360000000001</v>
      </c>
      <c r="T1197">
        <v>-0.30380170000000001</v>
      </c>
      <c r="U1197">
        <v>-1.5328059999999999</v>
      </c>
      <c r="V1197">
        <v>0.25258199999999997</v>
      </c>
      <c r="W1197">
        <v>-7.2375620000000002E-2</v>
      </c>
      <c r="X1197">
        <v>0.96486479999999997</v>
      </c>
      <c r="Y1197">
        <v>0.47638219999999998</v>
      </c>
      <c r="Z1197">
        <v>-2.6673599999999999E-2</v>
      </c>
      <c r="AA1197">
        <v>0.87883359999999899</v>
      </c>
      <c r="AB1197">
        <v>25</v>
      </c>
      <c r="AC1197">
        <v>9.6116000000000099</v>
      </c>
      <c r="AD1197">
        <v>-1.10861037517699</v>
      </c>
      <c r="AE1197">
        <v>-5.5899999999999697</v>
      </c>
      <c r="AF1197">
        <v>5.3304130545088704</v>
      </c>
      <c r="AG1197">
        <v>-1.10861037517699</v>
      </c>
      <c r="AH1197">
        <v>9.6330571712171498</v>
      </c>
      <c r="AI1197">
        <v>95.750061835256901</v>
      </c>
      <c r="AJ1197">
        <v>61.042229505417701</v>
      </c>
      <c r="AK1197">
        <v>11.065175586477</v>
      </c>
      <c r="AL1197">
        <v>94.150446500035599</v>
      </c>
      <c r="AM1197">
        <v>75.330313619578703</v>
      </c>
      <c r="AN1197">
        <v>0.999999989686712</v>
      </c>
    </row>
    <row r="1198" spans="1:40" x14ac:dyDescent="0.25">
      <c r="A1198" t="str">
        <f>"20190305135215955"</f>
        <v>20190305135215955</v>
      </c>
      <c r="B1198" t="str">
        <f>"1551765135950123"</f>
        <v>1551765135950123</v>
      </c>
      <c r="C1198" t="s">
        <v>40</v>
      </c>
      <c r="D1198">
        <v>5.0553229999999996</v>
      </c>
      <c r="E1198">
        <v>0.59319189999999999</v>
      </c>
      <c r="F1198" t="s">
        <v>52</v>
      </c>
      <c r="G1198">
        <v>-207.07919999999999</v>
      </c>
      <c r="H1198" s="1">
        <v>-5.366209E-6</v>
      </c>
      <c r="I1198">
        <v>362.8372</v>
      </c>
      <c r="J1198">
        <v>-216.56909999999999</v>
      </c>
      <c r="K1198">
        <v>1.108568</v>
      </c>
      <c r="L1198">
        <v>368.39960000000002</v>
      </c>
      <c r="M1198">
        <v>0.99965879999999996</v>
      </c>
      <c r="N1198">
        <v>-1.3881879999999999E-2</v>
      </c>
      <c r="O1198">
        <v>-2.2125990000000002E-2</v>
      </c>
      <c r="P1198">
        <v>0.95641949999999998</v>
      </c>
      <c r="Q1198">
        <v>-8.5805770000000003E-2</v>
      </c>
      <c r="R1198">
        <v>-0.27910420000000002</v>
      </c>
      <c r="S1198">
        <v>2.6643520000000001</v>
      </c>
      <c r="T1198">
        <v>-0.30680610000000003</v>
      </c>
      <c r="U1198">
        <v>-1.5404359999999999</v>
      </c>
      <c r="V1198">
        <v>0.25770399999999999</v>
      </c>
      <c r="W1198">
        <v>-7.303424E-2</v>
      </c>
      <c r="X1198">
        <v>0.96345970000000003</v>
      </c>
      <c r="Y1198">
        <v>0.47861029999999999</v>
      </c>
      <c r="Z1198">
        <v>-2.7006539999999999E-2</v>
      </c>
      <c r="AA1198">
        <v>0.87761199999999995</v>
      </c>
      <c r="AB1198">
        <v>25</v>
      </c>
      <c r="AC1198">
        <v>9.4899000000000004</v>
      </c>
      <c r="AD1198">
        <v>-1.108573366209</v>
      </c>
      <c r="AE1198">
        <v>-5.5624000000000198</v>
      </c>
      <c r="AF1198">
        <v>5.2972422986287597</v>
      </c>
      <c r="AG1198">
        <v>-1.108573366209</v>
      </c>
      <c r="AH1198">
        <v>9.5140314641446402</v>
      </c>
      <c r="AI1198">
        <v>95.812890674734305</v>
      </c>
      <c r="AJ1198">
        <v>60.8917230794126</v>
      </c>
      <c r="AK1198">
        <v>10.9456158154479</v>
      </c>
      <c r="AL1198">
        <v>94.188282852721798</v>
      </c>
      <c r="AM1198">
        <v>75.025207011202298</v>
      </c>
      <c r="AN1198">
        <v>0.99999997267623297</v>
      </c>
    </row>
    <row r="1199" spans="1:40" x14ac:dyDescent="0.25">
      <c r="A1199" t="str">
        <f>"20190305135215969"</f>
        <v>20190305135215969</v>
      </c>
      <c r="B1199" t="str">
        <f>"1551765135960860"</f>
        <v>1551765135960860</v>
      </c>
      <c r="C1199" t="s">
        <v>40</v>
      </c>
      <c r="D1199">
        <v>5.0208389999999996</v>
      </c>
      <c r="E1199">
        <v>0.59282800000000002</v>
      </c>
      <c r="F1199" t="s">
        <v>52</v>
      </c>
      <c r="G1199">
        <v>-207.1711</v>
      </c>
      <c r="H1199" s="1">
        <v>-5.3851630000000002E-6</v>
      </c>
      <c r="I1199">
        <v>362.91269999999997</v>
      </c>
      <c r="J1199">
        <v>-216.4177</v>
      </c>
      <c r="K1199">
        <v>1.1085309999999999</v>
      </c>
      <c r="L1199">
        <v>368.39530000000002</v>
      </c>
      <c r="M1199">
        <v>0.99963930000000001</v>
      </c>
      <c r="N1199">
        <v>-1.38812E-2</v>
      </c>
      <c r="O1199">
        <v>-2.2993139999999999E-2</v>
      </c>
      <c r="P1199">
        <v>0.95457049999999999</v>
      </c>
      <c r="Q1199">
        <v>-8.7128529999999996E-2</v>
      </c>
      <c r="R1199">
        <v>-0.28496320000000003</v>
      </c>
      <c r="S1199">
        <v>2.6560670000000002</v>
      </c>
      <c r="T1199">
        <v>-0.313305</v>
      </c>
      <c r="U1199">
        <v>-1.5507200000000001</v>
      </c>
      <c r="V1199">
        <v>0.26275999999999999</v>
      </c>
      <c r="W1199">
        <v>-7.4411130000000006E-2</v>
      </c>
      <c r="X1199">
        <v>0.96198760000000005</v>
      </c>
      <c r="Y1199">
        <v>0.48144559999999997</v>
      </c>
      <c r="Z1199">
        <v>-2.7633080000000001E-2</v>
      </c>
      <c r="AA1199">
        <v>0.87604029999999999</v>
      </c>
      <c r="AB1199">
        <v>25</v>
      </c>
      <c r="AC1199">
        <v>9.2466000000000008</v>
      </c>
      <c r="AD1199">
        <v>-1.1085363851629999</v>
      </c>
      <c r="AE1199">
        <v>-5.4826000000000397</v>
      </c>
      <c r="AF1199">
        <v>5.2130852876781297</v>
      </c>
      <c r="AG1199">
        <v>-1.1085363851629999</v>
      </c>
      <c r="AH1199">
        <v>9.2716344136175</v>
      </c>
      <c r="AI1199">
        <v>95.949774846647401</v>
      </c>
      <c r="AJ1199">
        <v>60.652617682891801</v>
      </c>
      <c r="AK1199">
        <v>10.694312312328099</v>
      </c>
      <c r="AL1199">
        <v>94.267388043477496</v>
      </c>
      <c r="AM1199">
        <v>74.722723178454203</v>
      </c>
      <c r="AN1199">
        <v>0.99999998821081804</v>
      </c>
    </row>
    <row r="1200" spans="1:40" x14ac:dyDescent="0.25">
      <c r="A1200" t="str">
        <f>"20190305135215984"</f>
        <v>20190305135215984</v>
      </c>
      <c r="B1200" t="str">
        <f>"1551765135980378"</f>
        <v>1551765135980378</v>
      </c>
      <c r="C1200" t="s">
        <v>40</v>
      </c>
      <c r="D1200">
        <v>5.1353470000000003</v>
      </c>
      <c r="E1200">
        <v>0.59128369999999997</v>
      </c>
      <c r="F1200" t="s">
        <v>52</v>
      </c>
      <c r="G1200">
        <v>-206.93520000000001</v>
      </c>
      <c r="H1200" s="1">
        <v>-5.3249280000000004E-6</v>
      </c>
      <c r="I1200">
        <v>362.7928</v>
      </c>
      <c r="J1200">
        <v>-216.25</v>
      </c>
      <c r="K1200">
        <v>1.108487</v>
      </c>
      <c r="L1200">
        <v>368.39030000000002</v>
      </c>
      <c r="M1200">
        <v>0.9996157</v>
      </c>
      <c r="N1200">
        <v>-1.38806E-2</v>
      </c>
      <c r="O1200">
        <v>-2.3995140000000002E-2</v>
      </c>
      <c r="P1200">
        <v>0.95081850000000001</v>
      </c>
      <c r="Q1200">
        <v>-9.0494169999999999E-2</v>
      </c>
      <c r="R1200">
        <v>-0.29623440000000001</v>
      </c>
      <c r="S1200">
        <v>2.6475680000000001</v>
      </c>
      <c r="T1200">
        <v>-0.30951079999999997</v>
      </c>
      <c r="U1200">
        <v>-1.56427</v>
      </c>
      <c r="V1200">
        <v>0.27313870000000001</v>
      </c>
      <c r="W1200">
        <v>-7.7873849999999994E-2</v>
      </c>
      <c r="X1200">
        <v>0.95881740000000004</v>
      </c>
      <c r="Y1200">
        <v>0.48515609999999998</v>
      </c>
      <c r="Z1200">
        <v>-2.75211E-2</v>
      </c>
      <c r="AA1200">
        <v>0.87399439999999995</v>
      </c>
      <c r="AB1200">
        <v>25</v>
      </c>
      <c r="AC1200">
        <v>9.3147999999999893</v>
      </c>
      <c r="AD1200">
        <v>-1.1084923249279901</v>
      </c>
      <c r="AE1200">
        <v>-5.5975000000000197</v>
      </c>
      <c r="AF1200">
        <v>5.3170350338497903</v>
      </c>
      <c r="AG1200">
        <v>-1.1084923249279901</v>
      </c>
      <c r="AH1200">
        <v>9.3491690584222003</v>
      </c>
      <c r="AI1200">
        <v>95.884364636719198</v>
      </c>
      <c r="AJ1200">
        <v>60.3723573222561</v>
      </c>
      <c r="AK1200">
        <v>10.8123345706914</v>
      </c>
      <c r="AL1200">
        <v>94.466365217500893</v>
      </c>
      <c r="AM1200">
        <v>74.099315801402696</v>
      </c>
      <c r="AN1200">
        <v>0.99999994624713495</v>
      </c>
    </row>
    <row r="1201" spans="1:40" x14ac:dyDescent="0.25">
      <c r="A1201" t="str">
        <f>"20190305135216007"</f>
        <v>20190305135216007</v>
      </c>
      <c r="B1201" t="str">
        <f>"1551765136000874"</f>
        <v>1551765136000874</v>
      </c>
      <c r="C1201" t="s">
        <v>40</v>
      </c>
      <c r="D1201">
        <v>5.0640879999999999</v>
      </c>
      <c r="E1201">
        <v>0.59046609999999999</v>
      </c>
      <c r="F1201" t="s">
        <v>52</v>
      </c>
      <c r="G1201">
        <v>-206.83709999999999</v>
      </c>
      <c r="H1201" s="1">
        <v>-5.30236E-6</v>
      </c>
      <c r="I1201">
        <v>362.72710000000001</v>
      </c>
      <c r="J1201">
        <v>-216.00530000000001</v>
      </c>
      <c r="K1201">
        <v>1.10843</v>
      </c>
      <c r="L1201">
        <v>368.38279999999997</v>
      </c>
      <c r="M1201">
        <v>0.99957720000000005</v>
      </c>
      <c r="N1201">
        <v>-1.3880139999999999E-2</v>
      </c>
      <c r="O1201">
        <v>-2.555201E-2</v>
      </c>
      <c r="P1201">
        <v>0.94684159999999995</v>
      </c>
      <c r="Q1201">
        <v>-9.1234830000000003E-2</v>
      </c>
      <c r="R1201">
        <v>-0.30849209999999999</v>
      </c>
      <c r="S1201">
        <v>2.632263</v>
      </c>
      <c r="T1201">
        <v>-0.30998559999999997</v>
      </c>
      <c r="U1201">
        <v>-1.58371</v>
      </c>
      <c r="V1201">
        <v>0.28398689999999999</v>
      </c>
      <c r="W1201">
        <v>-7.8734620000000005E-2</v>
      </c>
      <c r="X1201">
        <v>0.95559000000000005</v>
      </c>
      <c r="Y1201">
        <v>0.49071530000000002</v>
      </c>
      <c r="Z1201">
        <v>-2.783536E-2</v>
      </c>
      <c r="AA1201">
        <v>0.87087519999999996</v>
      </c>
      <c r="AB1201">
        <v>25</v>
      </c>
      <c r="AC1201">
        <v>9.1682000000000095</v>
      </c>
      <c r="AD1201">
        <v>-1.10843530236</v>
      </c>
      <c r="AE1201">
        <v>-5.6556999999999604</v>
      </c>
      <c r="AF1201">
        <v>5.3627848786619303</v>
      </c>
      <c r="AG1201">
        <v>-1.10843530236</v>
      </c>
      <c r="AH1201">
        <v>9.2121982092664094</v>
      </c>
      <c r="AI1201">
        <v>95.936627013085001</v>
      </c>
      <c r="AJ1201">
        <v>59.794622806325599</v>
      </c>
      <c r="AK1201">
        <v>10.716934558031699</v>
      </c>
      <c r="AL1201">
        <v>94.515835482961407</v>
      </c>
      <c r="AM1201">
        <v>73.448846750007206</v>
      </c>
      <c r="AN1201">
        <v>0.99999997392907602</v>
      </c>
    </row>
    <row r="1202" spans="1:40" x14ac:dyDescent="0.25">
      <c r="A1202" t="str">
        <f>"20190305135216029"</f>
        <v>20190305135216029</v>
      </c>
      <c r="B1202" t="str">
        <f>"1551765136020395"</f>
        <v>1551765136020395</v>
      </c>
      <c r="C1202" t="s">
        <v>40</v>
      </c>
      <c r="D1202">
        <v>5.0322239999999896</v>
      </c>
      <c r="E1202">
        <v>0.58980269999999901</v>
      </c>
      <c r="F1202" t="s">
        <v>52</v>
      </c>
      <c r="G1202">
        <v>-206.6652</v>
      </c>
      <c r="H1202" s="1">
        <v>-5.2608160000000001E-6</v>
      </c>
      <c r="I1202">
        <v>362.62450000000001</v>
      </c>
      <c r="J1202">
        <v>-215.7569</v>
      </c>
      <c r="K1202">
        <v>1.108363</v>
      </c>
      <c r="L1202">
        <v>368.37439999999998</v>
      </c>
      <c r="M1202">
        <v>0.99953179999999997</v>
      </c>
      <c r="N1202">
        <v>-1.388027E-2</v>
      </c>
      <c r="O1202">
        <v>-2.727154E-2</v>
      </c>
      <c r="P1202">
        <v>0.9427565</v>
      </c>
      <c r="Q1202">
        <v>-9.2578930000000004E-2</v>
      </c>
      <c r="R1202">
        <v>-0.32037470000000001</v>
      </c>
      <c r="S1202">
        <v>2.613556</v>
      </c>
      <c r="T1202">
        <v>-0.310164099999999</v>
      </c>
      <c r="U1202">
        <v>-1.611267</v>
      </c>
      <c r="V1202">
        <v>0.29431289999999999</v>
      </c>
      <c r="W1202">
        <v>-8.0214899999999895E-2</v>
      </c>
      <c r="X1202">
        <v>0.95233679999999998</v>
      </c>
      <c r="Y1202">
        <v>0.49857489999999999</v>
      </c>
      <c r="Z1202">
        <v>-2.8266679999999999E-2</v>
      </c>
      <c r="AA1202">
        <v>0.86638559999999998</v>
      </c>
      <c r="AB1202">
        <v>25</v>
      </c>
      <c r="AC1202">
        <v>9.0916999999999994</v>
      </c>
      <c r="AD1202">
        <v>-1.1083682608159999</v>
      </c>
      <c r="AE1202">
        <v>-5.7498999999999603</v>
      </c>
      <c r="AF1202">
        <v>5.4420203104246303</v>
      </c>
      <c r="AG1202">
        <v>-1.1083682608159999</v>
      </c>
      <c r="AH1202">
        <v>9.1480266350012194</v>
      </c>
      <c r="AI1202">
        <v>95.944641643172005</v>
      </c>
      <c r="AJ1202">
        <v>59.252237195341998</v>
      </c>
      <c r="AK1202">
        <v>10.7018903271968</v>
      </c>
      <c r="AL1202">
        <v>94.600918541620402</v>
      </c>
      <c r="AM1202">
        <v>72.826608710495293</v>
      </c>
      <c r="AN1202">
        <v>0.99999994696132799</v>
      </c>
    </row>
    <row r="1203" spans="1:40" x14ac:dyDescent="0.25">
      <c r="A1203" t="str">
        <f>"20190305135216040"</f>
        <v>20190305135216040</v>
      </c>
      <c r="B1203" t="str">
        <f>"1551765136031131"</f>
        <v>1551765136031131</v>
      </c>
      <c r="C1203" t="s">
        <v>40</v>
      </c>
      <c r="D1203">
        <v>5.0820939999999997</v>
      </c>
      <c r="E1203">
        <v>0.57863929999999997</v>
      </c>
      <c r="F1203" t="s">
        <v>52</v>
      </c>
      <c r="G1203">
        <v>-206.70859999999999</v>
      </c>
      <c r="H1203" s="1">
        <v>-5.26989299999999E-6</v>
      </c>
      <c r="I1203">
        <v>362.65940000000001</v>
      </c>
      <c r="J1203">
        <v>-215.61590000000001</v>
      </c>
      <c r="K1203">
        <v>1.1083240000000001</v>
      </c>
      <c r="L1203">
        <v>368.36950000000002</v>
      </c>
      <c r="M1203">
        <v>0.99950300000000003</v>
      </c>
      <c r="N1203">
        <v>-1.388061E-2</v>
      </c>
      <c r="O1203">
        <v>-2.830303E-2</v>
      </c>
      <c r="P1203">
        <v>0.94075370000000003</v>
      </c>
      <c r="Q1203">
        <v>-9.4265580000000002E-2</v>
      </c>
      <c r="R1203">
        <v>-0.32572519999999999</v>
      </c>
      <c r="S1203">
        <v>2.5941619999999999</v>
      </c>
      <c r="T1203">
        <v>-0.31776949999999998</v>
      </c>
      <c r="U1203">
        <v>-1.6384890000000001</v>
      </c>
      <c r="V1203">
        <v>0.29872080000000001</v>
      </c>
      <c r="W1203">
        <v>-8.1973539999999998E-2</v>
      </c>
      <c r="X1203">
        <v>0.95081349999999998</v>
      </c>
      <c r="Y1203">
        <v>0.50688310000000003</v>
      </c>
      <c r="Z1203">
        <v>-2.9386229999999999E-2</v>
      </c>
      <c r="AA1203">
        <v>0.8615138</v>
      </c>
      <c r="AB1203">
        <v>25</v>
      </c>
      <c r="AC1203">
        <v>8.90730000000001</v>
      </c>
      <c r="AD1203">
        <v>-1.1083292698930001</v>
      </c>
      <c r="AE1203">
        <v>-5.7101000000000104</v>
      </c>
      <c r="AF1203">
        <v>5.3964678154737804</v>
      </c>
      <c r="AG1203">
        <v>-1.1083292698930001</v>
      </c>
      <c r="AH1203">
        <v>8.9669636639192305</v>
      </c>
      <c r="AI1203">
        <v>96.045225583367895</v>
      </c>
      <c r="AJ1203">
        <v>58.959771721972501</v>
      </c>
      <c r="AK1203">
        <v>10.524100721866599</v>
      </c>
      <c r="AL1203">
        <v>94.702013713957797</v>
      </c>
      <c r="AM1203">
        <v>72.558641535348698</v>
      </c>
      <c r="AN1203">
        <v>1.0000000446975099</v>
      </c>
    </row>
    <row r="1204" spans="1:40" x14ac:dyDescent="0.25">
      <c r="A1204" t="str">
        <f>"20190305135216054"</f>
        <v>20190305135216054</v>
      </c>
      <c r="B1204" t="str">
        <f>"1551765136050651"</f>
        <v>1551765136050651</v>
      </c>
      <c r="C1204" t="s">
        <v>40</v>
      </c>
      <c r="D1204">
        <v>5.0719770000000004</v>
      </c>
      <c r="E1204">
        <v>0.57876649999999996</v>
      </c>
      <c r="F1204" t="s">
        <v>52</v>
      </c>
      <c r="G1204">
        <v>-207.82980000000001</v>
      </c>
      <c r="H1204" s="1">
        <v>-5.4844609999999997E-6</v>
      </c>
      <c r="I1204">
        <v>363.68869999999998</v>
      </c>
      <c r="J1204">
        <v>-215.4684</v>
      </c>
      <c r="K1204">
        <v>1.108282</v>
      </c>
      <c r="L1204">
        <v>368.36410000000001</v>
      </c>
      <c r="M1204">
        <v>0.99947019999999998</v>
      </c>
      <c r="N1204">
        <v>-1.388114E-2</v>
      </c>
      <c r="O1204">
        <v>-2.9441599999999998E-2</v>
      </c>
      <c r="P1204">
        <v>0.93894429999999995</v>
      </c>
      <c r="Q1204">
        <v>-9.6050490000000002E-2</v>
      </c>
      <c r="R1204">
        <v>-0.33039089999999999</v>
      </c>
      <c r="S1204">
        <v>2.6087340000000001</v>
      </c>
      <c r="T1204">
        <v>-0.37134929999999999</v>
      </c>
      <c r="U1204">
        <v>-1.568298</v>
      </c>
      <c r="V1204">
        <v>0.30233840000000001</v>
      </c>
      <c r="W1204">
        <v>-8.3831180000000005E-2</v>
      </c>
      <c r="X1204">
        <v>0.94950710000000005</v>
      </c>
      <c r="Y1204">
        <v>0.4859173</v>
      </c>
      <c r="Z1204">
        <v>-3.1974080000000002E-2</v>
      </c>
      <c r="AA1204">
        <v>0.87341979999999997</v>
      </c>
      <c r="AB1204">
        <v>25</v>
      </c>
      <c r="AC1204">
        <v>7.6385999999999896</v>
      </c>
      <c r="AD1204">
        <v>-1.108287484461</v>
      </c>
      <c r="AE1204">
        <v>-4.6754000000000202</v>
      </c>
      <c r="AF1204">
        <v>4.3813622679015598</v>
      </c>
      <c r="AG1204">
        <v>-1.108287484461</v>
      </c>
      <c r="AH1204">
        <v>7.6557127451564799</v>
      </c>
      <c r="AI1204">
        <v>97.1613992473726</v>
      </c>
      <c r="AJ1204">
        <v>60.217505955212403</v>
      </c>
      <c r="AK1204">
        <v>8.8901391500446003</v>
      </c>
      <c r="AL1204">
        <v>94.808816743676701</v>
      </c>
      <c r="AM1204">
        <v>72.337684423164802</v>
      </c>
      <c r="AN1204">
        <v>0.99999995390258001</v>
      </c>
    </row>
    <row r="1205" spans="1:40" x14ac:dyDescent="0.25">
      <c r="A1205" t="str">
        <f>"20190305135216068"</f>
        <v>20190305135216068</v>
      </c>
      <c r="B1205" t="str">
        <f>"1551765136060412"</f>
        <v>1551765136060412</v>
      </c>
      <c r="C1205" t="s">
        <v>40</v>
      </c>
      <c r="D1205">
        <v>5.042605</v>
      </c>
      <c r="E1205">
        <v>0.57830139999999997</v>
      </c>
      <c r="F1205" t="s">
        <v>52</v>
      </c>
      <c r="G1205">
        <v>-207.55019999999999</v>
      </c>
      <c r="H1205" s="1">
        <v>-5.4129170000000001E-6</v>
      </c>
      <c r="I1205">
        <v>363.54750000000001</v>
      </c>
      <c r="J1205">
        <v>-215.31890000000001</v>
      </c>
      <c r="K1205">
        <v>1.108241</v>
      </c>
      <c r="L1205">
        <v>368.35840000000002</v>
      </c>
      <c r="M1205">
        <v>0.99943360000000003</v>
      </c>
      <c r="N1205">
        <v>-1.3881849999999999E-2</v>
      </c>
      <c r="O1205">
        <v>-3.0652599999999999E-2</v>
      </c>
      <c r="P1205">
        <v>0.93742190000000003</v>
      </c>
      <c r="Q1205">
        <v>-9.7798510000000005E-2</v>
      </c>
      <c r="R1205">
        <v>-0.334179</v>
      </c>
      <c r="S1205">
        <v>2.601105</v>
      </c>
      <c r="T1205">
        <v>-0.36406830000000001</v>
      </c>
      <c r="U1205">
        <v>-1.5822449999999999</v>
      </c>
      <c r="V1205">
        <v>0.3050022</v>
      </c>
      <c r="W1205">
        <v>-8.5652309999999995E-2</v>
      </c>
      <c r="X1205">
        <v>0.94849220000000001</v>
      </c>
      <c r="Y1205">
        <v>0.4895253</v>
      </c>
      <c r="Z1205">
        <v>-3.1587869999999997E-2</v>
      </c>
      <c r="AA1205">
        <v>0.87141669999999904</v>
      </c>
      <c r="AB1205">
        <v>25</v>
      </c>
      <c r="AC1205">
        <v>7.7687000000000204</v>
      </c>
      <c r="AD1205">
        <v>-1.108246412917</v>
      </c>
      <c r="AE1205">
        <v>-4.8109000000000002</v>
      </c>
      <c r="AF1205">
        <v>4.5042298923600903</v>
      </c>
      <c r="AG1205">
        <v>-1.108246412917</v>
      </c>
      <c r="AH1205">
        <v>7.7978270576476403</v>
      </c>
      <c r="AI1205">
        <v>97.015939121384093</v>
      </c>
      <c r="AJ1205">
        <v>59.988140412783999</v>
      </c>
      <c r="AK1205">
        <v>9.07316944931347</v>
      </c>
      <c r="AL1205">
        <v>94.913536001630604</v>
      </c>
      <c r="AM1205">
        <v>72.174009825494196</v>
      </c>
      <c r="AN1205">
        <v>1.000000056837</v>
      </c>
    </row>
    <row r="1206" spans="1:40" x14ac:dyDescent="0.25">
      <c r="A1206" t="str">
        <f>"20190305135216079"</f>
        <v>20190305135216079</v>
      </c>
      <c r="B1206" t="str">
        <f>"1551765136070173"</f>
        <v>1551765136070173</v>
      </c>
      <c r="C1206" t="s">
        <v>40</v>
      </c>
      <c r="D1206">
        <v>5.0861830000000001</v>
      </c>
      <c r="E1206">
        <v>0.57799840000000002</v>
      </c>
      <c r="F1206" t="s">
        <v>52</v>
      </c>
      <c r="G1206">
        <v>-207.4033</v>
      </c>
      <c r="H1206" s="1">
        <v>-5.3693779999999996E-6</v>
      </c>
      <c r="I1206">
        <v>363.51139999999998</v>
      </c>
      <c r="J1206">
        <v>-215.18100000000001</v>
      </c>
      <c r="K1206">
        <v>1.10819</v>
      </c>
      <c r="L1206">
        <v>368.35289999999998</v>
      </c>
      <c r="M1206">
        <v>0.99939549999999999</v>
      </c>
      <c r="N1206">
        <v>-1.3883009999999999E-2</v>
      </c>
      <c r="O1206">
        <v>-3.1878150000000001E-2</v>
      </c>
      <c r="P1206">
        <v>0.93642599999999998</v>
      </c>
      <c r="Q1206">
        <v>-9.8429890000000006E-2</v>
      </c>
      <c r="R1206">
        <v>-0.33677649999999998</v>
      </c>
      <c r="S1206">
        <v>2.5957180000000002</v>
      </c>
      <c r="T1206">
        <v>-0.36342429999999998</v>
      </c>
      <c r="U1206">
        <v>-1.5894469999999901</v>
      </c>
      <c r="V1206">
        <v>0.30644840000000001</v>
      </c>
      <c r="W1206">
        <v>-8.6358069999999995E-2</v>
      </c>
      <c r="X1206">
        <v>0.94796190000000002</v>
      </c>
      <c r="Y1206">
        <v>0.49102230000000002</v>
      </c>
      <c r="Z1206">
        <v>-3.1539240000000003E-2</v>
      </c>
      <c r="AA1206">
        <v>0.87057589999999996</v>
      </c>
      <c r="AB1206">
        <v>25</v>
      </c>
      <c r="AC1206">
        <v>7.7776999999999799</v>
      </c>
      <c r="AD1206">
        <v>-1.108195369378</v>
      </c>
      <c r="AE1206">
        <v>-4.8414999999999901</v>
      </c>
      <c r="AF1206">
        <v>4.5248688398202903</v>
      </c>
      <c r="AG1206">
        <v>-1.108195369378</v>
      </c>
      <c r="AH1206">
        <v>7.8137688094768798</v>
      </c>
      <c r="AI1206">
        <v>96.997054575536296</v>
      </c>
      <c r="AJ1206">
        <v>59.925332806319901</v>
      </c>
      <c r="AK1206">
        <v>9.0971159167200497</v>
      </c>
      <c r="AL1206">
        <v>94.954123487748802</v>
      </c>
      <c r="AM1206">
        <v>72.085494719530402</v>
      </c>
      <c r="AN1206">
        <v>1.00000005098414</v>
      </c>
    </row>
    <row r="1207" spans="1:40" x14ac:dyDescent="0.25">
      <c r="A1207" t="str">
        <f>"20190305135216095"</f>
        <v>20190305135216095</v>
      </c>
      <c r="B1207" t="str">
        <f>"1551765136090667"</f>
        <v>1551765136090667</v>
      </c>
      <c r="C1207" t="s">
        <v>40</v>
      </c>
      <c r="D1207">
        <v>5.2981720000000001</v>
      </c>
      <c r="E1207">
        <v>0.57834390000000002</v>
      </c>
      <c r="F1207" t="s">
        <v>52</v>
      </c>
      <c r="G1207">
        <v>-207.2646</v>
      </c>
      <c r="H1207" s="1">
        <v>-5.3273769999999996E-6</v>
      </c>
      <c r="I1207">
        <v>363.48309999999998</v>
      </c>
      <c r="J1207">
        <v>-215.01759999999999</v>
      </c>
      <c r="K1207">
        <v>1.1081350000000001</v>
      </c>
      <c r="L1207">
        <v>368.346</v>
      </c>
      <c r="M1207">
        <v>0.9993438</v>
      </c>
      <c r="N1207">
        <v>-1.3885750000000001E-2</v>
      </c>
      <c r="O1207">
        <v>-3.3455940000000003E-2</v>
      </c>
      <c r="P1207">
        <v>0.93373399999999995</v>
      </c>
      <c r="Q1207">
        <v>-9.7040020000000005E-2</v>
      </c>
      <c r="R1207">
        <v>-0.34456379999999998</v>
      </c>
      <c r="S1207">
        <v>2.5920869999999998</v>
      </c>
      <c r="T1207">
        <v>-0.36286040000000003</v>
      </c>
      <c r="U1207">
        <v>-1.594543</v>
      </c>
      <c r="V1207">
        <v>0.31280619999999998</v>
      </c>
      <c r="W1207">
        <v>-8.5107450000000001E-2</v>
      </c>
      <c r="X1207">
        <v>0.94599630000000001</v>
      </c>
      <c r="Y1207">
        <v>0.49144890000000002</v>
      </c>
      <c r="Z1207">
        <v>-3.1368680000000003E-2</v>
      </c>
      <c r="AA1207">
        <v>0.87034129999999998</v>
      </c>
      <c r="AB1207">
        <v>25</v>
      </c>
      <c r="AC1207">
        <v>7.7529999999999797</v>
      </c>
      <c r="AD1207">
        <v>-1.1081403273770001</v>
      </c>
      <c r="AE1207">
        <v>-4.8629000000000202</v>
      </c>
      <c r="AF1207">
        <v>4.5342901779289901</v>
      </c>
      <c r="AG1207">
        <v>-1.1081403273770001</v>
      </c>
      <c r="AH1207">
        <v>7.7970534157636298</v>
      </c>
      <c r="AI1207">
        <v>97.004182242288493</v>
      </c>
      <c r="AJ1207">
        <v>59.8203315970107</v>
      </c>
      <c r="AK1207">
        <v>9.0874531289627001</v>
      </c>
      <c r="AL1207">
        <v>94.882203699674207</v>
      </c>
      <c r="AM1207">
        <v>71.702847948225298</v>
      </c>
      <c r="AN1207">
        <v>0.99999999820881602</v>
      </c>
    </row>
    <row r="1208" spans="1:40" x14ac:dyDescent="0.25">
      <c r="A1208" t="str">
        <f>"20190305135216109"</f>
        <v>20190305135216109</v>
      </c>
      <c r="B1208" t="str">
        <f>"1551765136100427"</f>
        <v>1551765136100427</v>
      </c>
      <c r="C1208" t="s">
        <v>40</v>
      </c>
      <c r="D1208">
        <v>5.062621</v>
      </c>
      <c r="E1208">
        <v>0.57765569999999999</v>
      </c>
      <c r="F1208" t="s">
        <v>52</v>
      </c>
      <c r="G1208">
        <v>-207.19069999999999</v>
      </c>
      <c r="H1208" s="1">
        <v>-5.3108190000000004E-6</v>
      </c>
      <c r="I1208">
        <v>363.4307</v>
      </c>
      <c r="J1208">
        <v>-214.869</v>
      </c>
      <c r="K1208">
        <v>1.1080369999999999</v>
      </c>
      <c r="L1208">
        <v>368.33949999999999</v>
      </c>
      <c r="M1208">
        <v>0.99929109999999999</v>
      </c>
      <c r="N1208">
        <v>-1.388932E-2</v>
      </c>
      <c r="O1208">
        <v>-3.4993969999999999E-2</v>
      </c>
      <c r="P1208">
        <v>0.93284230000000001</v>
      </c>
      <c r="Q1208">
        <v>-9.4022289999999994E-2</v>
      </c>
      <c r="R1208">
        <v>-0.34780109999999997</v>
      </c>
      <c r="S1208">
        <v>2.5776059999999998</v>
      </c>
      <c r="T1208">
        <v>-0.36494149999999997</v>
      </c>
      <c r="U1208">
        <v>-1.6187739999999999</v>
      </c>
      <c r="V1208">
        <v>0.314604299999999</v>
      </c>
      <c r="W1208">
        <v>-8.2194600000000007E-2</v>
      </c>
      <c r="X1208">
        <v>0.94565759999999999</v>
      </c>
      <c r="Y1208">
        <v>0.49807069999999998</v>
      </c>
      <c r="Z1208">
        <v>-3.1901480000000003E-2</v>
      </c>
      <c r="AA1208">
        <v>0.86654940000000003</v>
      </c>
      <c r="AB1208">
        <v>25</v>
      </c>
      <c r="AC1208">
        <v>7.6783000000000303</v>
      </c>
      <c r="AD1208">
        <v>-1.1080423108190001</v>
      </c>
      <c r="AE1208">
        <v>-4.9087999999999798</v>
      </c>
      <c r="AF1208">
        <v>4.5695220483765997</v>
      </c>
      <c r="AG1208">
        <v>-1.1080423108190001</v>
      </c>
      <c r="AH1208">
        <v>7.7311032036598899</v>
      </c>
      <c r="AI1208">
        <v>97.033736531845406</v>
      </c>
      <c r="AJ1208">
        <v>59.414495625874402</v>
      </c>
      <c r="AK1208">
        <v>9.0486599150816396</v>
      </c>
      <c r="AL1208">
        <v>94.714722346262306</v>
      </c>
      <c r="AM1208">
        <v>71.598587882366701</v>
      </c>
      <c r="AN1208">
        <v>1.0000000571426999</v>
      </c>
    </row>
    <row r="1209" spans="1:40" x14ac:dyDescent="0.25">
      <c r="A1209" t="str">
        <f>"20190305135216120"</f>
        <v>20190305135216120</v>
      </c>
      <c r="B1209" t="str">
        <f>"1551765136110187"</f>
        <v>1551765136110187</v>
      </c>
      <c r="C1209" t="s">
        <v>40</v>
      </c>
      <c r="D1209">
        <v>5.0477319999999999</v>
      </c>
      <c r="E1209">
        <v>0.57721279999999997</v>
      </c>
      <c r="F1209" t="s">
        <v>52</v>
      </c>
      <c r="G1209">
        <v>-206.80539999999999</v>
      </c>
      <c r="H1209" s="1">
        <v>-5.2055229999999898E-6</v>
      </c>
      <c r="I1209">
        <v>363.25900000000001</v>
      </c>
      <c r="J1209">
        <v>-214.7276</v>
      </c>
      <c r="K1209">
        <v>1.1079209999999999</v>
      </c>
      <c r="L1209">
        <v>368.3329</v>
      </c>
      <c r="M1209">
        <v>0.9992335</v>
      </c>
      <c r="N1209">
        <v>-1.3894409999999999E-2</v>
      </c>
      <c r="O1209">
        <v>-3.6599760000000002E-2</v>
      </c>
      <c r="P1209">
        <v>0.93183899999999997</v>
      </c>
      <c r="Q1209">
        <v>-9.0765419999999999E-2</v>
      </c>
      <c r="R1209">
        <v>-0.35133740000000002</v>
      </c>
      <c r="S1209">
        <v>2.5753330000000001</v>
      </c>
      <c r="T1209">
        <v>-0.35388360000000002</v>
      </c>
      <c r="U1209">
        <v>-1.62262</v>
      </c>
      <c r="V1209">
        <v>0.31664310000000001</v>
      </c>
      <c r="W1209">
        <v>-7.9056349999999997E-2</v>
      </c>
      <c r="X1209">
        <v>0.94524459999999999</v>
      </c>
      <c r="Y1209">
        <v>0.49816969999999999</v>
      </c>
      <c r="Z1209">
        <v>-3.0908040000000001E-2</v>
      </c>
      <c r="AA1209">
        <v>0.86652850000000003</v>
      </c>
      <c r="AB1209">
        <v>25</v>
      </c>
      <c r="AC1209">
        <v>7.9222000000000001</v>
      </c>
      <c r="AD1209">
        <v>-1.1079262055229999</v>
      </c>
      <c r="AE1209">
        <v>-5.0738999999999796</v>
      </c>
      <c r="AF1209">
        <v>4.7151263962271202</v>
      </c>
      <c r="AG1209">
        <v>-1.1079262055229999</v>
      </c>
      <c r="AH1209">
        <v>7.9917733349344697</v>
      </c>
      <c r="AI1209">
        <v>96.808924547550106</v>
      </c>
      <c r="AJ1209">
        <v>59.4595008286527</v>
      </c>
      <c r="AK1209">
        <v>9.3449643362750106</v>
      </c>
      <c r="AL1209">
        <v>94.534326519002803</v>
      </c>
      <c r="AM1209">
        <v>71.479904841722998</v>
      </c>
      <c r="AN1209">
        <v>1.0000000565410401</v>
      </c>
    </row>
    <row r="1210" spans="1:40" x14ac:dyDescent="0.25">
      <c r="A1210" t="str">
        <f>"20190305135216133"</f>
        <v>20190305135216133</v>
      </c>
      <c r="B1210" t="str">
        <f>"1551765136130683"</f>
        <v>1551765136130683</v>
      </c>
      <c r="C1210" t="s">
        <v>40</v>
      </c>
      <c r="D1210">
        <v>5.0289140000000003</v>
      </c>
      <c r="E1210">
        <v>0.57648679999999997</v>
      </c>
      <c r="F1210" t="s">
        <v>52</v>
      </c>
      <c r="G1210">
        <v>-206.42179999999999</v>
      </c>
      <c r="H1210" s="1">
        <v>-5.0686010000000003E-6</v>
      </c>
      <c r="I1210">
        <v>363.07049999999998</v>
      </c>
      <c r="J1210">
        <v>-214.58750000000001</v>
      </c>
      <c r="K1210">
        <v>1.1077900000000001</v>
      </c>
      <c r="L1210">
        <v>368.32600000000002</v>
      </c>
      <c r="M1210">
        <v>0.99916859999999996</v>
      </c>
      <c r="N1210">
        <v>-1.3900940000000001E-2</v>
      </c>
      <c r="O1210">
        <v>-3.8328069999999999E-2</v>
      </c>
      <c r="P1210">
        <v>0.93064049999999998</v>
      </c>
      <c r="Q1210">
        <v>-8.8131970000000004E-2</v>
      </c>
      <c r="R1210">
        <v>-0.35516389999999998</v>
      </c>
      <c r="S1210">
        <v>2.5716709999999998</v>
      </c>
      <c r="T1210">
        <v>-0.3430375</v>
      </c>
      <c r="U1210">
        <v>-1.629364</v>
      </c>
      <c r="V1210">
        <v>0.31886249999999999</v>
      </c>
      <c r="W1210">
        <v>-7.6552800000000004E-2</v>
      </c>
      <c r="X1210">
        <v>0.9447044</v>
      </c>
      <c r="Y1210">
        <v>0.4990541</v>
      </c>
      <c r="Z1210">
        <v>-2.9987710000000001E-2</v>
      </c>
      <c r="AA1210">
        <v>0.86605180000000004</v>
      </c>
      <c r="AB1210">
        <v>25</v>
      </c>
      <c r="AC1210">
        <v>8.16570000000001</v>
      </c>
      <c r="AD1210">
        <v>-1.1077950686010001</v>
      </c>
      <c r="AE1210">
        <v>-5.2554999999999801</v>
      </c>
      <c r="AF1210">
        <v>4.8751859707425496</v>
      </c>
      <c r="AG1210">
        <v>-1.1077950686010001</v>
      </c>
      <c r="AH1210">
        <v>8.2537369391583901</v>
      </c>
      <c r="AI1210">
        <v>96.592071254579807</v>
      </c>
      <c r="AJ1210">
        <v>59.431179019557099</v>
      </c>
      <c r="AK1210">
        <v>9.6498094086965995</v>
      </c>
      <c r="AL1210">
        <v>94.390447675430806</v>
      </c>
      <c r="AM1210">
        <v>71.349112863979599</v>
      </c>
      <c r="AN1210">
        <v>1.00000001423672</v>
      </c>
    </row>
    <row r="1211" spans="1:40" x14ac:dyDescent="0.25">
      <c r="A1211" t="str">
        <f>"20190305135216146"</f>
        <v>20190305135216146</v>
      </c>
      <c r="B1211" t="str">
        <f>"1551765136140443"</f>
        <v>1551765136140443</v>
      </c>
      <c r="C1211" t="s">
        <v>40</v>
      </c>
      <c r="D1211">
        <v>5.0351210000000002</v>
      </c>
      <c r="E1211">
        <v>0.57601210000000003</v>
      </c>
      <c r="F1211" t="s">
        <v>52</v>
      </c>
      <c r="G1211">
        <v>-206.0685</v>
      </c>
      <c r="H1211" s="1">
        <v>-4.9407050000000003E-6</v>
      </c>
      <c r="I1211">
        <v>362.90519999999998</v>
      </c>
      <c r="J1211">
        <v>-214.44800000000001</v>
      </c>
      <c r="K1211">
        <v>1.107645</v>
      </c>
      <c r="L1211">
        <v>368.31880000000001</v>
      </c>
      <c r="M1211">
        <v>0.99909780000000004</v>
      </c>
      <c r="N1211">
        <v>-1.390797E-2</v>
      </c>
      <c r="O1211">
        <v>-4.0131689999999998E-2</v>
      </c>
      <c r="P1211">
        <v>0.92961890000000003</v>
      </c>
      <c r="Q1211">
        <v>-8.4756960000000006E-2</v>
      </c>
      <c r="R1211">
        <v>-0.35864380000000001</v>
      </c>
      <c r="S1211">
        <v>2.5682830000000001</v>
      </c>
      <c r="T1211">
        <v>-0.3339782</v>
      </c>
      <c r="U1211">
        <v>-1.634247</v>
      </c>
      <c r="V1211">
        <v>0.32066470000000002</v>
      </c>
      <c r="W1211">
        <v>-7.3308479999999995E-2</v>
      </c>
      <c r="X1211">
        <v>0.94435170000000002</v>
      </c>
      <c r="Y1211">
        <v>0.4993494</v>
      </c>
      <c r="Z1211">
        <v>-2.9162569999999999E-2</v>
      </c>
      <c r="AA1211">
        <v>0.86590979999999995</v>
      </c>
      <c r="AB1211">
        <v>25</v>
      </c>
      <c r="AC1211">
        <v>8.37949999999997</v>
      </c>
      <c r="AD1211">
        <v>-1.107649940705</v>
      </c>
      <c r="AE1211">
        <v>-5.4136000000000299</v>
      </c>
      <c r="AF1211">
        <v>5.0111462102904101</v>
      </c>
      <c r="AG1211">
        <v>-1.107649940705</v>
      </c>
      <c r="AH1211">
        <v>8.4854205347937501</v>
      </c>
      <c r="AI1211">
        <v>96.413061518542406</v>
      </c>
      <c r="AJ1211">
        <v>59.435619075236197</v>
      </c>
      <c r="AK1211">
        <v>9.9166948316639907</v>
      </c>
      <c r="AL1211">
        <v>94.204037520865896</v>
      </c>
      <c r="AM1211">
        <v>71.244533001643703</v>
      </c>
      <c r="AN1211">
        <v>1.0000000581794399</v>
      </c>
    </row>
    <row r="1212" spans="1:40" x14ac:dyDescent="0.25">
      <c r="A1212" t="str">
        <f>"20190305135216161"</f>
        <v>20190305135216161</v>
      </c>
      <c r="B1212" t="str">
        <f>"1551765136150202"</f>
        <v>1551765136150202</v>
      </c>
      <c r="C1212" t="s">
        <v>40</v>
      </c>
      <c r="D1212">
        <v>5.055091</v>
      </c>
      <c r="E1212">
        <v>0.57565739999999999</v>
      </c>
      <c r="F1212" t="s">
        <v>52</v>
      </c>
      <c r="G1212">
        <v>-205.67529999999999</v>
      </c>
      <c r="H1212" s="1">
        <v>-4.8013759999999996E-6</v>
      </c>
      <c r="I1212">
        <v>362.70740000000001</v>
      </c>
      <c r="J1212">
        <v>-214.2724</v>
      </c>
      <c r="K1212">
        <v>1.107453</v>
      </c>
      <c r="L1212">
        <v>368.3091</v>
      </c>
      <c r="M1212">
        <v>0.99899320000000003</v>
      </c>
      <c r="N1212">
        <v>-1.391883E-2</v>
      </c>
      <c r="O1212">
        <v>-4.2648129999999999E-2</v>
      </c>
      <c r="P1212">
        <v>0.92764190000000002</v>
      </c>
      <c r="Q1212">
        <v>-8.0383380000000004E-2</v>
      </c>
      <c r="R1212">
        <v>-0.36471779999999998</v>
      </c>
      <c r="S1212">
        <v>2.5647129999999998</v>
      </c>
      <c r="T1212">
        <v>-0.32382379999999999</v>
      </c>
      <c r="U1212">
        <v>-1.6405029999999901</v>
      </c>
      <c r="V1212">
        <v>0.32442799999999999</v>
      </c>
      <c r="W1212">
        <v>-6.9124749999999999E-2</v>
      </c>
      <c r="X1212">
        <v>0.94338129999999998</v>
      </c>
      <c r="Y1212">
        <v>0.49940459999999898</v>
      </c>
      <c r="Z1212">
        <v>-2.8177899999999999E-2</v>
      </c>
      <c r="AA1212">
        <v>0.86591049999999903</v>
      </c>
      <c r="AB1212">
        <v>25</v>
      </c>
      <c r="AC1212">
        <v>8.59710000000001</v>
      </c>
      <c r="AD1212">
        <v>-1.1074578013759999</v>
      </c>
      <c r="AE1212">
        <v>-5.6016999999999904</v>
      </c>
      <c r="AF1212">
        <v>5.1696972626837896</v>
      </c>
      <c r="AG1212">
        <v>-1.1074578013759999</v>
      </c>
      <c r="AH1212">
        <v>8.7265502498361798</v>
      </c>
      <c r="AI1212">
        <v>96.231185149014394</v>
      </c>
      <c r="AJ1212">
        <v>59.357067528066104</v>
      </c>
      <c r="AK1212">
        <v>10.203181456415599</v>
      </c>
      <c r="AL1212">
        <v>93.963717241443305</v>
      </c>
      <c r="AM1212">
        <v>71.021951432564805</v>
      </c>
      <c r="AN1212">
        <v>1.0000000177181201</v>
      </c>
    </row>
    <row r="1213" spans="1:40" x14ac:dyDescent="0.25">
      <c r="A1213" t="str">
        <f>"20190305135216177"</f>
        <v>20190305135216177</v>
      </c>
      <c r="B1213" t="str">
        <f>"1551765136170699"</f>
        <v>1551765136170699</v>
      </c>
      <c r="C1213" t="s">
        <v>40</v>
      </c>
      <c r="D1213">
        <v>5.057544</v>
      </c>
      <c r="E1213">
        <v>0.57525269999999995</v>
      </c>
      <c r="F1213" t="s">
        <v>52</v>
      </c>
      <c r="G1213">
        <v>-205.2362</v>
      </c>
      <c r="H1213" s="1">
        <v>-4.6515119999999998E-6</v>
      </c>
      <c r="I1213">
        <v>362.46080000000001</v>
      </c>
      <c r="J1213">
        <v>-214.11490000000001</v>
      </c>
      <c r="K1213">
        <v>1.107283</v>
      </c>
      <c r="L1213">
        <v>368.2998</v>
      </c>
      <c r="M1213">
        <v>0.99888549999999998</v>
      </c>
      <c r="N1213">
        <v>-1.392969E-2</v>
      </c>
      <c r="O1213">
        <v>-4.5098260000000001E-2</v>
      </c>
      <c r="P1213">
        <v>0.92591559999999995</v>
      </c>
      <c r="Q1213">
        <v>-7.9078759999999998E-2</v>
      </c>
      <c r="R1213">
        <v>-0.36935980000000002</v>
      </c>
      <c r="S1213">
        <v>2.5563660000000001</v>
      </c>
      <c r="T1213">
        <v>-0.3133011</v>
      </c>
      <c r="U1213">
        <v>-1.6545099999999999</v>
      </c>
      <c r="V1213">
        <v>0.32680769999999998</v>
      </c>
      <c r="W1213">
        <v>-6.7981810000000004E-2</v>
      </c>
      <c r="X1213">
        <v>0.94264269999999994</v>
      </c>
      <c r="Y1213">
        <v>0.50208249999999999</v>
      </c>
      <c r="Z1213">
        <v>-2.737697E-2</v>
      </c>
      <c r="AA1213">
        <v>0.86438630000000005</v>
      </c>
      <c r="AB1213">
        <v>25</v>
      </c>
      <c r="AC1213">
        <v>8.8787000000000091</v>
      </c>
      <c r="AD1213">
        <v>-1.107287651512</v>
      </c>
      <c r="AE1213">
        <v>-5.8389999999999898</v>
      </c>
      <c r="AF1213">
        <v>5.3742542675962701</v>
      </c>
      <c r="AG1213">
        <v>-1.107287651512</v>
      </c>
      <c r="AH1213">
        <v>9.0349222551914199</v>
      </c>
      <c r="AI1213">
        <v>96.012832351618599</v>
      </c>
      <c r="AJ1213">
        <v>59.254494869900498</v>
      </c>
      <c r="AK1213">
        <v>10.5706440216914</v>
      </c>
      <c r="AL1213">
        <v>93.898077133392803</v>
      </c>
      <c r="AM1213">
        <v>70.878922724488504</v>
      </c>
      <c r="AN1213">
        <v>1.00000002956672</v>
      </c>
    </row>
    <row r="1214" spans="1:40" x14ac:dyDescent="0.25">
      <c r="A1214" t="str">
        <f>"20190305135216191"</f>
        <v>20190305135216191</v>
      </c>
      <c r="B1214" t="str">
        <f>"1551765136180459"</f>
        <v>1551765136180459</v>
      </c>
      <c r="C1214" t="s">
        <v>40</v>
      </c>
      <c r="D1214">
        <v>5.0685409999999997</v>
      </c>
      <c r="E1214">
        <v>0.57507619999999904</v>
      </c>
      <c r="F1214" t="s">
        <v>52</v>
      </c>
      <c r="G1214">
        <v>-205.02430000000001</v>
      </c>
      <c r="H1214" s="1">
        <v>-4.573849E-6</v>
      </c>
      <c r="I1214">
        <v>362.36599999999999</v>
      </c>
      <c r="J1214">
        <v>-213.95089999999999</v>
      </c>
      <c r="K1214">
        <v>1.1070930000000001</v>
      </c>
      <c r="L1214">
        <v>368.28949999999998</v>
      </c>
      <c r="M1214">
        <v>0.99875939999999996</v>
      </c>
      <c r="N1214">
        <v>-1.394137E-2</v>
      </c>
      <c r="O1214">
        <v>-4.7804289999999999E-2</v>
      </c>
      <c r="P1214">
        <v>0.92419609999999996</v>
      </c>
      <c r="Q1214">
        <v>-7.8232109999999994E-2</v>
      </c>
      <c r="R1214">
        <v>-0.37381999999999999</v>
      </c>
      <c r="S1214">
        <v>2.5496059999999998</v>
      </c>
      <c r="T1214">
        <v>-0.31055860000000002</v>
      </c>
      <c r="U1214">
        <v>-1.6642459999999999</v>
      </c>
      <c r="V1214">
        <v>0.32876689999999997</v>
      </c>
      <c r="W1214">
        <v>-6.729607E-2</v>
      </c>
      <c r="X1214">
        <v>0.94201040000000003</v>
      </c>
      <c r="Y1214">
        <v>0.50315189999999999</v>
      </c>
      <c r="Z1214">
        <v>-2.7017699999999999E-2</v>
      </c>
      <c r="AA1214">
        <v>0.86377559999999998</v>
      </c>
      <c r="AB1214">
        <v>25</v>
      </c>
      <c r="AC1214">
        <v>8.9265999999999792</v>
      </c>
      <c r="AD1214">
        <v>-1.1070975738490001</v>
      </c>
      <c r="AE1214">
        <v>-5.92349999999999</v>
      </c>
      <c r="AF1214">
        <v>5.43194676769774</v>
      </c>
      <c r="AG1214">
        <v>-1.1070975738490001</v>
      </c>
      <c r="AH1214">
        <v>9.1023831709791594</v>
      </c>
      <c r="AI1214">
        <v>95.962550018580004</v>
      </c>
      <c r="AJ1214">
        <v>59.1728975141069</v>
      </c>
      <c r="AK1214">
        <v>10.657630605179</v>
      </c>
      <c r="AL1214">
        <v>93.858696997637594</v>
      </c>
      <c r="AM1214">
        <v>70.760726943313898</v>
      </c>
      <c r="AN1214">
        <v>1.0000000146406001</v>
      </c>
    </row>
    <row r="1215" spans="1:40" x14ac:dyDescent="0.25">
      <c r="A1215" t="str">
        <f>"20190305135216206"</f>
        <v>20190305135216206</v>
      </c>
      <c r="B1215" t="str">
        <f>"1551765136200954"</f>
        <v>1551765136200954</v>
      </c>
      <c r="C1215" t="s">
        <v>40</v>
      </c>
      <c r="D1215">
        <v>5.1360999999999999</v>
      </c>
      <c r="E1215">
        <v>0.57501449999999998</v>
      </c>
      <c r="F1215" t="s">
        <v>52</v>
      </c>
      <c r="G1215">
        <v>-204.85249999999999</v>
      </c>
      <c r="H1215" s="1">
        <v>-4.5041529999999998E-6</v>
      </c>
      <c r="I1215">
        <v>362.29450000000003</v>
      </c>
      <c r="J1215">
        <v>-213.7928</v>
      </c>
      <c r="K1215">
        <v>1.106911</v>
      </c>
      <c r="L1215">
        <v>368.2792</v>
      </c>
      <c r="M1215">
        <v>0.99862359999999994</v>
      </c>
      <c r="N1215">
        <v>-1.3952839999999999E-2</v>
      </c>
      <c r="O1215">
        <v>-5.0560760000000003E-2</v>
      </c>
      <c r="P1215">
        <v>0.9224118</v>
      </c>
      <c r="Q1215">
        <v>-7.7476439999999994E-2</v>
      </c>
      <c r="R1215">
        <v>-0.37835760000000002</v>
      </c>
      <c r="S1215">
        <v>2.5423279999999999</v>
      </c>
      <c r="T1215">
        <v>-0.30935390000000001</v>
      </c>
      <c r="U1215">
        <v>-1.675171</v>
      </c>
      <c r="V1215">
        <v>0.33076670000000002</v>
      </c>
      <c r="W1215">
        <v>-6.6693649999999993E-2</v>
      </c>
      <c r="X1215">
        <v>0.94135290000000005</v>
      </c>
      <c r="Y1215">
        <v>0.50451270000000004</v>
      </c>
      <c r="Z1215">
        <v>-2.6786819999999999E-2</v>
      </c>
      <c r="AA1215">
        <v>0.86298869999999905</v>
      </c>
      <c r="AB1215">
        <v>25</v>
      </c>
      <c r="AC1215">
        <v>8.9403000000000006</v>
      </c>
      <c r="AD1215">
        <v>-1.1069155041530001</v>
      </c>
      <c r="AE1215">
        <v>-5.9846999999999699</v>
      </c>
      <c r="AF1215">
        <v>5.4670979590040902</v>
      </c>
      <c r="AG1215">
        <v>-1.1069155041530001</v>
      </c>
      <c r="AH1215">
        <v>9.1347842552182907</v>
      </c>
      <c r="AI1215">
        <v>95.936087227307496</v>
      </c>
      <c r="AJ1215">
        <v>59.099804358594703</v>
      </c>
      <c r="AK1215">
        <v>10.703210051945399</v>
      </c>
      <c r="AL1215">
        <v>93.8241033331539</v>
      </c>
      <c r="AM1215">
        <v>70.639863423607693</v>
      </c>
      <c r="AN1215">
        <v>0.99999996755881004</v>
      </c>
    </row>
    <row r="1216" spans="1:40" x14ac:dyDescent="0.25">
      <c r="A1216" t="str">
        <f>"20190305135216220"</f>
        <v>20190305135216220</v>
      </c>
      <c r="B1216" t="str">
        <f>"1551765136210717"</f>
        <v>1551765136210717</v>
      </c>
      <c r="C1216" t="s">
        <v>40</v>
      </c>
      <c r="D1216">
        <v>5.0311969999999997</v>
      </c>
      <c r="E1216">
        <v>0.57475919999999903</v>
      </c>
      <c r="F1216" t="s">
        <v>52</v>
      </c>
      <c r="G1216">
        <v>-204.70439999999999</v>
      </c>
      <c r="H1216" s="1">
        <v>-4.4442760000000001E-6</v>
      </c>
      <c r="I1216">
        <v>362.22840000000002</v>
      </c>
      <c r="J1216">
        <v>-213.6285</v>
      </c>
      <c r="K1216">
        <v>1.1067209999999901</v>
      </c>
      <c r="L1216">
        <v>368.26749999999998</v>
      </c>
      <c r="M1216">
        <v>0.99846239999999997</v>
      </c>
      <c r="N1216">
        <v>-1.396551E-2</v>
      </c>
      <c r="O1216">
        <v>-5.3647189999999997E-2</v>
      </c>
      <c r="P1216">
        <v>0.91979789999999995</v>
      </c>
      <c r="Q1216">
        <v>-7.6547729999999994E-2</v>
      </c>
      <c r="R1216">
        <v>-0.38485350000000002</v>
      </c>
      <c r="S1216">
        <v>2.5343170000000002</v>
      </c>
      <c r="T1216">
        <v>-0.30866490000000002</v>
      </c>
      <c r="U1216">
        <v>-1.6872860000000001</v>
      </c>
      <c r="V1216">
        <v>0.33446550000000003</v>
      </c>
      <c r="W1216">
        <v>-6.5932180000000007E-2</v>
      </c>
      <c r="X1216">
        <v>0.94009880000000001</v>
      </c>
      <c r="Y1216">
        <v>0.50597490000000001</v>
      </c>
      <c r="Z1216">
        <v>-2.6571669999999999E-2</v>
      </c>
      <c r="AA1216">
        <v>0.86213879999999998</v>
      </c>
      <c r="AB1216">
        <v>25</v>
      </c>
      <c r="AC1216">
        <v>8.9241000000000099</v>
      </c>
      <c r="AD1216">
        <v>-1.1067254442759999</v>
      </c>
      <c r="AE1216">
        <v>-6.0390999999999604</v>
      </c>
      <c r="AF1216">
        <v>5.4936499665738197</v>
      </c>
      <c r="AG1216">
        <v>-1.1067254442759999</v>
      </c>
      <c r="AH1216">
        <v>9.1388534015895306</v>
      </c>
      <c r="AI1216">
        <v>95.9255989352162</v>
      </c>
      <c r="AJ1216">
        <v>58.988610391601902</v>
      </c>
      <c r="AK1216">
        <v>10.720245923484599</v>
      </c>
      <c r="AL1216">
        <v>93.780377989789201</v>
      </c>
      <c r="AM1216">
        <v>70.415612763580796</v>
      </c>
      <c r="AN1216">
        <v>0.99999998840562099</v>
      </c>
    </row>
    <row r="1217" spans="1:40" x14ac:dyDescent="0.25">
      <c r="A1217" t="str">
        <f>"20190305135216240"</f>
        <v>20190305135216240</v>
      </c>
      <c r="B1217" t="str">
        <f>"1551765136230235"</f>
        <v>1551765136230235</v>
      </c>
      <c r="C1217" t="s">
        <v>40</v>
      </c>
      <c r="D1217">
        <v>5.0690869999999997</v>
      </c>
      <c r="E1217">
        <v>0.57442519999999997</v>
      </c>
      <c r="F1217" t="s">
        <v>52</v>
      </c>
      <c r="G1217">
        <v>-204.48320000000001</v>
      </c>
      <c r="H1217" s="1">
        <v>-4.3627200000000003E-6</v>
      </c>
      <c r="I1217">
        <v>362.0942</v>
      </c>
      <c r="J1217">
        <v>-213.41159999999999</v>
      </c>
      <c r="K1217">
        <v>1.106492</v>
      </c>
      <c r="L1217">
        <v>368.25130000000001</v>
      </c>
      <c r="M1217">
        <v>0.99822310000000003</v>
      </c>
      <c r="N1217">
        <v>-1.398194E-2</v>
      </c>
      <c r="O1217">
        <v>-5.7923570000000001E-2</v>
      </c>
      <c r="P1217">
        <v>0.91676610000000003</v>
      </c>
      <c r="Q1217">
        <v>-7.7762709999999999E-2</v>
      </c>
      <c r="R1217">
        <v>-0.39178170000000001</v>
      </c>
      <c r="S1217">
        <v>2.5234529999999999</v>
      </c>
      <c r="T1217">
        <v>-0.30537690000000001</v>
      </c>
      <c r="U1217">
        <v>-1.7034</v>
      </c>
      <c r="V1217">
        <v>0.33749010000000002</v>
      </c>
      <c r="W1217">
        <v>-6.7334229999999995E-2</v>
      </c>
      <c r="X1217">
        <v>0.93891780000000002</v>
      </c>
      <c r="Y1217">
        <v>0.50784129999999905</v>
      </c>
      <c r="Z1217">
        <v>-2.6100160000000001E-2</v>
      </c>
      <c r="AA1217">
        <v>0.86105509999999996</v>
      </c>
      <c r="AB1217">
        <v>25</v>
      </c>
      <c r="AC1217">
        <v>8.9283999999999804</v>
      </c>
      <c r="AD1217">
        <v>-1.10649636272</v>
      </c>
      <c r="AE1217">
        <v>-6.1571000000000096</v>
      </c>
      <c r="AF1217">
        <v>5.5715524317585103</v>
      </c>
      <c r="AG1217">
        <v>-1.10649636272</v>
      </c>
      <c r="AH1217">
        <v>9.1745871533766401</v>
      </c>
      <c r="AI1217">
        <v>95.885540367593293</v>
      </c>
      <c r="AJ1217">
        <v>58.730485604564102</v>
      </c>
      <c r="AK1217">
        <v>10.7907173132952</v>
      </c>
      <c r="AL1217">
        <v>93.860888235906401</v>
      </c>
      <c r="AM1217">
        <v>70.229236668709206</v>
      </c>
      <c r="AN1217">
        <v>1.0000000506422699</v>
      </c>
    </row>
    <row r="1218" spans="1:40" x14ac:dyDescent="0.25">
      <c r="A1218" t="str">
        <f>"20190305135216256"</f>
        <v>20190305135216256</v>
      </c>
      <c r="B1218" t="str">
        <f>"1551765136250731"</f>
        <v>1551765136250731</v>
      </c>
      <c r="C1218" t="s">
        <v>40</v>
      </c>
      <c r="D1218">
        <v>5.0823499999999999</v>
      </c>
      <c r="E1218">
        <v>0.57440389999999997</v>
      </c>
      <c r="F1218" t="s">
        <v>52</v>
      </c>
      <c r="G1218">
        <v>-204.3484</v>
      </c>
      <c r="H1218" s="1">
        <v>-4.3060090000000004E-6</v>
      </c>
      <c r="I1218">
        <v>362.04390000000001</v>
      </c>
      <c r="J1218">
        <v>-213.23429999999999</v>
      </c>
      <c r="K1218">
        <v>1.1063289999999999</v>
      </c>
      <c r="L1218">
        <v>368.23700000000002</v>
      </c>
      <c r="M1218">
        <v>0.99800219999999995</v>
      </c>
      <c r="N1218">
        <v>-1.399501E-2</v>
      </c>
      <c r="O1218">
        <v>-6.1608759999999999E-2</v>
      </c>
      <c r="P1218">
        <v>0.91442020000000002</v>
      </c>
      <c r="Q1218">
        <v>-7.9479069999999999E-2</v>
      </c>
      <c r="R1218">
        <v>-0.39688689999999999</v>
      </c>
      <c r="S1218">
        <v>2.511307</v>
      </c>
      <c r="T1218">
        <v>-0.30659530000000002</v>
      </c>
      <c r="U1218">
        <v>-1.7199709999999999</v>
      </c>
      <c r="V1218">
        <v>0.33922629999999998</v>
      </c>
      <c r="W1218">
        <v>-6.9183309999999998E-2</v>
      </c>
      <c r="X1218">
        <v>0.93815729999999997</v>
      </c>
      <c r="Y1218">
        <v>0.51044299999999998</v>
      </c>
      <c r="Z1218">
        <v>-2.6055060000000001E-2</v>
      </c>
      <c r="AA1218">
        <v>0.85951669999999902</v>
      </c>
      <c r="AB1218">
        <v>25</v>
      </c>
      <c r="AC1218">
        <v>8.8858999999999906</v>
      </c>
      <c r="AD1218">
        <v>-1.1063333060089999</v>
      </c>
      <c r="AE1218">
        <v>-6.1930999999999496</v>
      </c>
      <c r="AF1218">
        <v>5.57565748957163</v>
      </c>
      <c r="AG1218">
        <v>-1.1063333060089999</v>
      </c>
      <c r="AH1218">
        <v>9.1550853362593596</v>
      </c>
      <c r="AI1218">
        <v>95.892599413955296</v>
      </c>
      <c r="AJ1218">
        <v>58.657624180960703</v>
      </c>
      <c r="AK1218">
        <v>10.776247832116301</v>
      </c>
      <c r="AL1218">
        <v>93.967080738403894</v>
      </c>
      <c r="AM1218">
        <v>70.120624191110693</v>
      </c>
      <c r="AN1218">
        <v>0.99999996626876697</v>
      </c>
    </row>
    <row r="1219" spans="1:40" x14ac:dyDescent="0.25">
      <c r="A1219" t="str">
        <f>"20190305135216270"</f>
        <v>20190305135216270</v>
      </c>
      <c r="B1219" t="str">
        <f>"1551765136260491"</f>
        <v>1551765136260491</v>
      </c>
      <c r="C1219" t="s">
        <v>40</v>
      </c>
      <c r="D1219">
        <v>5.2139530000000001</v>
      </c>
      <c r="E1219">
        <v>0.57440389999999997</v>
      </c>
      <c r="F1219" t="s">
        <v>52</v>
      </c>
      <c r="G1219">
        <v>-204.3708</v>
      </c>
      <c r="H1219" s="1">
        <v>-4.3064580000000003E-6</v>
      </c>
      <c r="I1219">
        <v>362.09280000000001</v>
      </c>
      <c r="J1219">
        <v>-213.08260000000001</v>
      </c>
      <c r="K1219">
        <v>1.1061909999999999</v>
      </c>
      <c r="L1219">
        <v>368.2242</v>
      </c>
      <c r="M1219">
        <v>0.99779549999999995</v>
      </c>
      <c r="N1219">
        <v>-1.400594E-2</v>
      </c>
      <c r="O1219">
        <v>-6.4869990000000002E-2</v>
      </c>
      <c r="P1219">
        <v>0.91233679999999995</v>
      </c>
      <c r="Q1219">
        <v>-8.1544210000000006E-2</v>
      </c>
      <c r="R1219">
        <v>-0.4012386</v>
      </c>
      <c r="S1219">
        <v>2.501099</v>
      </c>
      <c r="T1219">
        <v>-0.3121833</v>
      </c>
      <c r="U1219">
        <v>-1.733765</v>
      </c>
      <c r="V1219">
        <v>0.34060259999999998</v>
      </c>
      <c r="W1219">
        <v>-7.1355489999999994E-2</v>
      </c>
      <c r="X1219">
        <v>0.93749579999999999</v>
      </c>
      <c r="Y1219">
        <v>0.5123837</v>
      </c>
      <c r="Z1219">
        <v>-2.629714E-2</v>
      </c>
      <c r="AA1219">
        <v>0.8583539</v>
      </c>
      <c r="AB1219">
        <v>25</v>
      </c>
      <c r="AC1219">
        <v>8.7118000000000002</v>
      </c>
      <c r="AD1219">
        <v>-1.1061953064579999</v>
      </c>
      <c r="AE1219">
        <v>-6.1313999999999798</v>
      </c>
      <c r="AF1219">
        <v>5.4940552026619898</v>
      </c>
      <c r="AG1219">
        <v>-1.1061953064579999</v>
      </c>
      <c r="AH1219">
        <v>8.9942518642217699</v>
      </c>
      <c r="AI1219">
        <v>95.991657502684603</v>
      </c>
      <c r="AJ1219">
        <v>58.581715887125</v>
      </c>
      <c r="AK1219">
        <v>10.5973995500303</v>
      </c>
      <c r="AL1219">
        <v>94.091845559182204</v>
      </c>
      <c r="AM1219">
        <v>70.033356574661298</v>
      </c>
      <c r="AN1219">
        <v>1.0000000560487601</v>
      </c>
    </row>
    <row r="1220" spans="1:40" x14ac:dyDescent="0.25">
      <c r="A1220" t="str">
        <f>"20190305135216285"</f>
        <v>20190305135216285</v>
      </c>
      <c r="B1220" t="str">
        <f>"1551765136280988"</f>
        <v>1551765136280988</v>
      </c>
      <c r="C1220" t="s">
        <v>40</v>
      </c>
      <c r="D1220">
        <v>5.1818109999999997</v>
      </c>
      <c r="E1220">
        <v>0.60756100000000002</v>
      </c>
      <c r="F1220" t="s">
        <v>52</v>
      </c>
      <c r="G1220">
        <v>-204.4213</v>
      </c>
      <c r="H1220" s="1">
        <v>-4.317494E-6</v>
      </c>
      <c r="I1220">
        <v>362.1576</v>
      </c>
      <c r="J1220">
        <v>-212.9152</v>
      </c>
      <c r="K1220">
        <v>1.106034</v>
      </c>
      <c r="L1220">
        <v>368.20949999999999</v>
      </c>
      <c r="M1220">
        <v>0.99754750000000003</v>
      </c>
      <c r="N1220">
        <v>-1.401787E-2</v>
      </c>
      <c r="O1220">
        <v>-6.8574590000000005E-2</v>
      </c>
      <c r="P1220">
        <v>0.90911200000000003</v>
      </c>
      <c r="Q1220">
        <v>-8.4127309999999997E-2</v>
      </c>
      <c r="R1220">
        <v>-0.40796860000000001</v>
      </c>
      <c r="S1220">
        <v>2.4921419999999999</v>
      </c>
      <c r="T1220">
        <v>-0.31828709999999999</v>
      </c>
      <c r="U1220">
        <v>-1.7455750000000001</v>
      </c>
      <c r="V1220">
        <v>0.34401419999999999</v>
      </c>
      <c r="W1220">
        <v>-7.4077699999999996E-2</v>
      </c>
      <c r="X1220">
        <v>0.93603780000000003</v>
      </c>
      <c r="Y1220">
        <v>0.5132816</v>
      </c>
      <c r="Z1220">
        <v>-2.6448530000000001E-2</v>
      </c>
      <c r="AA1220">
        <v>0.85781260000000004</v>
      </c>
      <c r="AB1220">
        <v>24</v>
      </c>
      <c r="AC1220">
        <v>8.4938999999999893</v>
      </c>
      <c r="AD1220">
        <v>-1.1060383174940001</v>
      </c>
      <c r="AE1220">
        <v>-6.0518999999999803</v>
      </c>
      <c r="AF1220">
        <v>5.3944583410035403</v>
      </c>
      <c r="AG1220">
        <v>-1.1060383174940001</v>
      </c>
      <c r="AH1220">
        <v>8.7900894764475499</v>
      </c>
      <c r="AI1220">
        <v>96.121177593861304</v>
      </c>
      <c r="AJ1220">
        <v>58.462652115280797</v>
      </c>
      <c r="AK1220">
        <v>10.3725201641906</v>
      </c>
      <c r="AL1220">
        <v>94.248230907464801</v>
      </c>
      <c r="AM1220">
        <v>69.820524742583402</v>
      </c>
      <c r="AN1220">
        <v>1.00000001923388</v>
      </c>
    </row>
    <row r="1221" spans="1:40" x14ac:dyDescent="0.25">
      <c r="A1221" t="str">
        <f>"20190305135216300"</f>
        <v>20190305135216300</v>
      </c>
      <c r="B1221" t="str">
        <f>"1551765136290747"</f>
        <v>1551765136290747</v>
      </c>
      <c r="C1221" t="s">
        <v>40</v>
      </c>
      <c r="D1221">
        <v>5.1238060000000001</v>
      </c>
      <c r="E1221">
        <v>0.61667939999999999</v>
      </c>
      <c r="F1221" t="s">
        <v>52</v>
      </c>
      <c r="G1221">
        <v>-203.2955</v>
      </c>
      <c r="H1221" s="1">
        <v>-4.2113590000000004E-6</v>
      </c>
      <c r="I1221">
        <v>360.0813</v>
      </c>
      <c r="J1221">
        <v>-212.75020000000001</v>
      </c>
      <c r="K1221">
        <v>1.1059190000000001</v>
      </c>
      <c r="L1221">
        <v>368.19409999999999</v>
      </c>
      <c r="M1221">
        <v>0.99728000000000006</v>
      </c>
      <c r="N1221">
        <v>-1.4029700000000001E-2</v>
      </c>
      <c r="O1221">
        <v>-7.235838E-2</v>
      </c>
      <c r="P1221">
        <v>0.90678970000000003</v>
      </c>
      <c r="Q1221">
        <v>-8.5065279999999993E-2</v>
      </c>
      <c r="R1221">
        <v>-0.4129121</v>
      </c>
      <c r="S1221">
        <v>2.3743590000000001</v>
      </c>
      <c r="T1221">
        <v>-0.27299489999999998</v>
      </c>
      <c r="U1221">
        <v>-2.0062259999999998</v>
      </c>
      <c r="V1221">
        <v>0.34553640000000002</v>
      </c>
      <c r="W1221">
        <v>-7.5113289999999999E-2</v>
      </c>
      <c r="X1221">
        <v>0.93539430000000001</v>
      </c>
      <c r="Y1221">
        <v>0.58601269999999905</v>
      </c>
      <c r="Z1221">
        <v>-2.7533060000000002E-2</v>
      </c>
      <c r="AA1221">
        <v>0.80983400000000005</v>
      </c>
      <c r="AB1221">
        <v>24</v>
      </c>
      <c r="AC1221">
        <v>9.4547000000000008</v>
      </c>
      <c r="AD1221">
        <v>-1.1059232113590001</v>
      </c>
      <c r="AE1221">
        <v>-8.1127999999999894</v>
      </c>
      <c r="AF1221">
        <v>7.3494211766938902</v>
      </c>
      <c r="AG1221">
        <v>-1.1059232113590001</v>
      </c>
      <c r="AH1221">
        <v>9.9386802409718999</v>
      </c>
      <c r="AI1221">
        <v>95.112618615167904</v>
      </c>
      <c r="AJ1221">
        <v>53.5179423289973</v>
      </c>
      <c r="AK1221">
        <v>12.410254740098701</v>
      </c>
      <c r="AL1221">
        <v>94.307731906481195</v>
      </c>
      <c r="AM1221">
        <v>69.725676008411995</v>
      </c>
      <c r="AN1221">
        <v>0.99999995326603597</v>
      </c>
    </row>
    <row r="1222" spans="1:40" x14ac:dyDescent="0.25">
      <c r="A1222" t="str">
        <f>"20190305135216312"</f>
        <v>20190305135216312</v>
      </c>
      <c r="B1222" t="str">
        <f>"1551765136300507"</f>
        <v>1551765136300507</v>
      </c>
      <c r="C1222" t="s">
        <v>40</v>
      </c>
      <c r="D1222">
        <v>5.104152</v>
      </c>
      <c r="E1222">
        <v>0.62271569999999898</v>
      </c>
      <c r="F1222" t="s">
        <v>52</v>
      </c>
      <c r="G1222">
        <v>-202.9709</v>
      </c>
      <c r="H1222">
        <v>7.9987320000000001E-2</v>
      </c>
      <c r="I1222">
        <v>359.45979999999997</v>
      </c>
      <c r="J1222">
        <v>-212.6275</v>
      </c>
      <c r="K1222">
        <v>1.105837</v>
      </c>
      <c r="L1222">
        <v>368.18209999999999</v>
      </c>
      <c r="M1222">
        <v>0.99706850000000002</v>
      </c>
      <c r="N1222">
        <v>-1.403797E-2</v>
      </c>
      <c r="O1222">
        <v>-7.5214669999999997E-2</v>
      </c>
      <c r="P1222">
        <v>0.90496620000000005</v>
      </c>
      <c r="Q1222">
        <v>-8.5333759999999995E-2</v>
      </c>
      <c r="R1222">
        <v>-0.41683799999999999</v>
      </c>
      <c r="S1222">
        <v>2.335556</v>
      </c>
      <c r="T1222">
        <v>-0.24501990000000001</v>
      </c>
      <c r="U1222">
        <v>-2.0859679999999998</v>
      </c>
      <c r="V1222">
        <v>0.34689629999999999</v>
      </c>
      <c r="W1222">
        <v>-7.5450489999999995E-2</v>
      </c>
      <c r="X1222">
        <v>0.93486369999999996</v>
      </c>
      <c r="Y1222">
        <v>0.60609820000000003</v>
      </c>
      <c r="Z1222">
        <v>-2.6230670000000001E-2</v>
      </c>
      <c r="AA1222">
        <v>0.79495719999999903</v>
      </c>
      <c r="AB1222">
        <v>24</v>
      </c>
      <c r="AC1222">
        <v>9.6565999999999903</v>
      </c>
      <c r="AD1222">
        <v>-1.0258496800000001</v>
      </c>
      <c r="AE1222">
        <v>-8.7223000000000095</v>
      </c>
      <c r="AF1222">
        <v>7.9219638351142301</v>
      </c>
      <c r="AG1222">
        <v>-1.0258496800000001</v>
      </c>
      <c r="AH1222">
        <v>10.2218224698399</v>
      </c>
      <c r="AI1222">
        <v>94.535484847648206</v>
      </c>
      <c r="AJ1222">
        <v>52.224135622925999</v>
      </c>
      <c r="AK1222">
        <v>12.9728768272784</v>
      </c>
      <c r="AL1222">
        <v>94.327106915920993</v>
      </c>
      <c r="AM1222">
        <v>69.641813310914003</v>
      </c>
      <c r="AN1222">
        <v>0.99999997848630895</v>
      </c>
    </row>
    <row r="1223" spans="1:40" x14ac:dyDescent="0.25">
      <c r="A1223" t="str">
        <f>"20190305135216323"</f>
        <v>20190305135216323</v>
      </c>
      <c r="B1223" t="str">
        <f>"1551765136321004"</f>
        <v>1551765136321004</v>
      </c>
      <c r="C1223" t="s">
        <v>40</v>
      </c>
      <c r="D1223">
        <v>5.0941070000000002</v>
      </c>
      <c r="E1223">
        <v>0.62969200000000003</v>
      </c>
      <c r="F1223" t="s">
        <v>52</v>
      </c>
      <c r="G1223">
        <v>-201.98410000000001</v>
      </c>
      <c r="H1223">
        <v>7.9987500000000003E-2</v>
      </c>
      <c r="I1223">
        <v>358.31330000000003</v>
      </c>
      <c r="J1223">
        <v>-212.488</v>
      </c>
      <c r="K1223">
        <v>1.105753</v>
      </c>
      <c r="L1223">
        <v>368.16820000000001</v>
      </c>
      <c r="M1223">
        <v>0.99681540000000002</v>
      </c>
      <c r="N1223">
        <v>-1.4046909999999999E-2</v>
      </c>
      <c r="O1223">
        <v>-7.8496479999999993E-2</v>
      </c>
      <c r="P1223">
        <v>0.90348130000000004</v>
      </c>
      <c r="Q1223">
        <v>-8.4945080000000006E-2</v>
      </c>
      <c r="R1223">
        <v>-0.42012640000000001</v>
      </c>
      <c r="S1223">
        <v>2.3082280000000002</v>
      </c>
      <c r="T1223">
        <v>-0.2224766</v>
      </c>
      <c r="U1223">
        <v>-2.1402589999999999</v>
      </c>
      <c r="V1223">
        <v>0.34720610000000002</v>
      </c>
      <c r="W1223">
        <v>-7.5115539999999995E-2</v>
      </c>
      <c r="X1223">
        <v>0.93477569999999999</v>
      </c>
      <c r="Y1223">
        <v>0.61851999999999996</v>
      </c>
      <c r="Z1223">
        <v>-2.4807840000000001E-2</v>
      </c>
      <c r="AA1223">
        <v>0.7853774</v>
      </c>
      <c r="AB1223">
        <v>24</v>
      </c>
      <c r="AC1223">
        <v>10.5038999999999</v>
      </c>
      <c r="AD1223">
        <v>-1.0257655000000001</v>
      </c>
      <c r="AE1223">
        <v>-9.8548999999999793</v>
      </c>
      <c r="AF1223">
        <v>8.9544678519801408</v>
      </c>
      <c r="AG1223">
        <v>-1.0257655000000001</v>
      </c>
      <c r="AH1223">
        <v>11.1883862843021</v>
      </c>
      <c r="AI1223">
        <v>94.094209794761795</v>
      </c>
      <c r="AJ1223">
        <v>51.328456499520399</v>
      </c>
      <c r="AK1223">
        <v>14.367138790305299</v>
      </c>
      <c r="AL1223">
        <v>94.307860921774505</v>
      </c>
      <c r="AM1223">
        <v>69.623365648134495</v>
      </c>
      <c r="AN1223">
        <v>1.0000000147685899</v>
      </c>
    </row>
    <row r="1224" spans="1:40" x14ac:dyDescent="0.25">
      <c r="A1224" t="str">
        <f>"20190305135216337"</f>
        <v>20190305135216337</v>
      </c>
      <c r="B1224" t="str">
        <f>"1551765136330763"</f>
        <v>1551765136330763</v>
      </c>
      <c r="C1224" t="s">
        <v>40</v>
      </c>
      <c r="D1224">
        <v>5.1170519999999904</v>
      </c>
      <c r="E1224">
        <v>0.63173690000000005</v>
      </c>
      <c r="F1224" t="s">
        <v>52</v>
      </c>
      <c r="G1224">
        <v>-198.67160000000001</v>
      </c>
      <c r="H1224" s="1">
        <v>-4.9919670000000004E-6</v>
      </c>
      <c r="I1224">
        <v>354.83879999999999</v>
      </c>
      <c r="J1224">
        <v>-212.3501</v>
      </c>
      <c r="K1224">
        <v>1.1056919999999999</v>
      </c>
      <c r="L1224">
        <v>368.15370000000001</v>
      </c>
      <c r="M1224">
        <v>0.99654989999999999</v>
      </c>
      <c r="N1224">
        <v>-1.405437E-2</v>
      </c>
      <c r="O1224">
        <v>-8.1796599999999997E-2</v>
      </c>
      <c r="P1224">
        <v>0.90185079999999995</v>
      </c>
      <c r="Q1224">
        <v>-8.4499539999999998E-2</v>
      </c>
      <c r="R1224">
        <v>-0.42370400000000003</v>
      </c>
      <c r="S1224">
        <v>2.2803339999999999</v>
      </c>
      <c r="T1224">
        <v>-0.1825001</v>
      </c>
      <c r="U1224">
        <v>-2.199951</v>
      </c>
      <c r="V1224">
        <v>0.3478077</v>
      </c>
      <c r="W1224">
        <v>-7.4711269999999996E-2</v>
      </c>
      <c r="X1224">
        <v>0.93458439999999998</v>
      </c>
      <c r="Y1224">
        <v>0.63186439999999999</v>
      </c>
      <c r="Z1224">
        <v>-2.186041E-2</v>
      </c>
      <c r="AA1224">
        <v>0.77477059999999998</v>
      </c>
      <c r="AB1224">
        <v>24</v>
      </c>
      <c r="AC1224">
        <v>13.6784999999999</v>
      </c>
      <c r="AD1224">
        <v>-1.1056969919670001</v>
      </c>
      <c r="AE1224">
        <v>-13.3149</v>
      </c>
      <c r="AF1224">
        <v>12.110675368260001</v>
      </c>
      <c r="AG1224">
        <v>-1.1056969919670001</v>
      </c>
      <c r="AH1224">
        <v>14.6726475273256</v>
      </c>
      <c r="AI1224">
        <v>93.3261604121804</v>
      </c>
      <c r="AJ1224">
        <v>50.464031689684298</v>
      </c>
      <c r="AK1224">
        <v>19.0572193452916</v>
      </c>
      <c r="AL1224">
        <v>94.284632812968894</v>
      </c>
      <c r="AM1224">
        <v>69.587135790388601</v>
      </c>
      <c r="AN1224">
        <v>0.99999998538383095</v>
      </c>
    </row>
    <row r="1225" spans="1:40" x14ac:dyDescent="0.25">
      <c r="A1225" t="str">
        <f>"20190305135216352"</f>
        <v>20190305135216352</v>
      </c>
      <c r="B1225" t="str">
        <f>"1551765136340525"</f>
        <v>1551765136340525</v>
      </c>
      <c r="C1225" t="s">
        <v>40</v>
      </c>
      <c r="D1225">
        <v>5.0862480000000003</v>
      </c>
      <c r="E1225">
        <v>0.63308469999999994</v>
      </c>
      <c r="F1225" t="s">
        <v>52</v>
      </c>
      <c r="G1225">
        <v>-197.39519999999999</v>
      </c>
      <c r="H1225" s="1">
        <v>-4.0320060000000003E-6</v>
      </c>
      <c r="I1225">
        <v>353.47579999999999</v>
      </c>
      <c r="J1225">
        <v>-212.1901</v>
      </c>
      <c r="K1225">
        <v>1.1056109999999999</v>
      </c>
      <c r="L1225">
        <v>368.13639999999998</v>
      </c>
      <c r="M1225">
        <v>0.99622639999999996</v>
      </c>
      <c r="N1225">
        <v>-1.4061779999999999E-2</v>
      </c>
      <c r="O1225">
        <v>-8.5646470000000002E-2</v>
      </c>
      <c r="P1225">
        <v>0.90042149999999999</v>
      </c>
      <c r="Q1225">
        <v>-8.2165959999999996E-2</v>
      </c>
      <c r="R1225">
        <v>-0.42718869999999998</v>
      </c>
      <c r="S1225">
        <v>2.26593</v>
      </c>
      <c r="T1225">
        <v>-0.1675333</v>
      </c>
      <c r="U1225">
        <v>-2.2239689999999999</v>
      </c>
      <c r="V1225">
        <v>0.347807599999999</v>
      </c>
      <c r="W1225">
        <v>-7.240299E-2</v>
      </c>
      <c r="X1225">
        <v>0.93476610000000004</v>
      </c>
      <c r="Y1225">
        <v>0.63568780000000003</v>
      </c>
      <c r="Z1225">
        <v>-2.0574519999999999E-2</v>
      </c>
      <c r="AA1225">
        <v>0.77167209999999997</v>
      </c>
      <c r="AB1225">
        <v>24</v>
      </c>
      <c r="AC1225">
        <v>14.7949</v>
      </c>
      <c r="AD1225">
        <v>-1.1056150320060001</v>
      </c>
      <c r="AE1225">
        <v>-14.660599999999899</v>
      </c>
      <c r="AF1225">
        <v>13.3019829774735</v>
      </c>
      <c r="AG1225">
        <v>-1.1056150320060001</v>
      </c>
      <c r="AH1225">
        <v>15.951333245993901</v>
      </c>
      <c r="AI1225">
        <v>93.047073582427103</v>
      </c>
      <c r="AJ1225">
        <v>50.174920954720498</v>
      </c>
      <c r="AK1225">
        <v>20.799282873617202</v>
      </c>
      <c r="AL1225">
        <v>94.152018806586696</v>
      </c>
      <c r="AM1225">
        <v>69.590781779181498</v>
      </c>
      <c r="AN1225">
        <v>0.99999999064395495</v>
      </c>
    </row>
    <row r="1226" spans="1:40" x14ac:dyDescent="0.25">
      <c r="A1226" t="str">
        <f>"20190305135216363"</f>
        <v>20190305135216363</v>
      </c>
      <c r="B1226" t="str">
        <f>"1551765136361019"</f>
        <v>1551765136361019</v>
      </c>
      <c r="C1226" t="s">
        <v>40</v>
      </c>
      <c r="D1226">
        <v>6.8127000000000004</v>
      </c>
      <c r="E1226">
        <v>0.63590789999999997</v>
      </c>
      <c r="F1226" t="s">
        <v>52</v>
      </c>
      <c r="G1226">
        <v>-195.61150000000001</v>
      </c>
      <c r="H1226" s="1">
        <v>-2.6998809999999999E-6</v>
      </c>
      <c r="I1226">
        <v>351.64150000000001</v>
      </c>
      <c r="J1226">
        <v>-212.0549</v>
      </c>
      <c r="K1226">
        <v>1.1055699999999999</v>
      </c>
      <c r="L1226">
        <v>368.12119999999999</v>
      </c>
      <c r="M1226">
        <v>0.99593940000000003</v>
      </c>
      <c r="N1226">
        <v>-1.4066999999999901E-2</v>
      </c>
      <c r="O1226">
        <v>-8.8920109999999997E-2</v>
      </c>
      <c r="P1226">
        <v>0.89894669999999899</v>
      </c>
      <c r="Q1226">
        <v>-8.1663199999999894E-2</v>
      </c>
      <c r="R1226">
        <v>-0.43037930000000002</v>
      </c>
      <c r="S1226">
        <v>2.2540589999999998</v>
      </c>
      <c r="T1226">
        <v>-0.15032139999999999</v>
      </c>
      <c r="U1226">
        <v>-2.2426759999999999</v>
      </c>
      <c r="V1226">
        <v>0.3480472</v>
      </c>
      <c r="W1226">
        <v>-7.1917529999999993E-2</v>
      </c>
      <c r="X1226">
        <v>0.93471439999999995</v>
      </c>
      <c r="Y1226">
        <v>0.6385826</v>
      </c>
      <c r="Z1226">
        <v>-1.9099319999999999E-2</v>
      </c>
      <c r="AA1226">
        <v>0.76931619999999901</v>
      </c>
      <c r="AB1226">
        <v>24</v>
      </c>
      <c r="AC1226">
        <v>16.443399999999901</v>
      </c>
      <c r="AD1226">
        <v>-1.105572699881</v>
      </c>
      <c r="AE1226">
        <v>-16.479699999999902</v>
      </c>
      <c r="AF1226">
        <v>14.918467879102201</v>
      </c>
      <c r="AG1226">
        <v>-1.105572699881</v>
      </c>
      <c r="AH1226">
        <v>17.803620274239901</v>
      </c>
      <c r="AI1226">
        <v>92.725051217462607</v>
      </c>
      <c r="AJ1226">
        <v>50.038818591560798</v>
      </c>
      <c r="AK1226">
        <v>23.254072110575699</v>
      </c>
      <c r="AL1226">
        <v>94.124131269087499</v>
      </c>
      <c r="AM1226">
        <v>69.576846409007402</v>
      </c>
      <c r="AN1226">
        <v>0.99999999705825005</v>
      </c>
    </row>
    <row r="1227" spans="1:40" x14ac:dyDescent="0.25">
      <c r="A1227" t="str">
        <f>"20190305135216377"</f>
        <v>20190305135216377</v>
      </c>
      <c r="B1227" t="str">
        <f>"1551765136370779"</f>
        <v>1551765136370779</v>
      </c>
      <c r="C1227" t="s">
        <v>40</v>
      </c>
      <c r="D1227">
        <v>5.0795300000000001</v>
      </c>
      <c r="E1227">
        <v>0.63697239999999999</v>
      </c>
      <c r="F1227" t="s">
        <v>42</v>
      </c>
      <c r="G1227">
        <v>-191.61330000000001</v>
      </c>
      <c r="H1227" s="1">
        <v>-3.771676E-6</v>
      </c>
      <c r="I1227">
        <v>347.38040000000001</v>
      </c>
      <c r="J1227">
        <v>-211.91589999999999</v>
      </c>
      <c r="K1227">
        <v>1.1055440000000001</v>
      </c>
      <c r="L1227">
        <v>368.10509999999999</v>
      </c>
      <c r="M1227">
        <v>0.99563199999999996</v>
      </c>
      <c r="N1227">
        <v>-1.4070920000000001E-2</v>
      </c>
      <c r="O1227">
        <v>-9.229975E-2</v>
      </c>
      <c r="P1227">
        <v>0.89721130000000004</v>
      </c>
      <c r="Q1227">
        <v>-8.2900899999999902E-2</v>
      </c>
      <c r="R1227">
        <v>-0.43375069999999999</v>
      </c>
      <c r="S1227">
        <v>2.2387389999999998</v>
      </c>
      <c r="T1227">
        <v>-0.1210811</v>
      </c>
      <c r="U1227">
        <v>-2.271515</v>
      </c>
      <c r="V1227">
        <v>0.34838069999999999</v>
      </c>
      <c r="W1227">
        <v>-7.3161619999999997E-2</v>
      </c>
      <c r="X1227">
        <v>0.93449360000000004</v>
      </c>
      <c r="Y1227">
        <v>0.64375879999999996</v>
      </c>
      <c r="Z1227">
        <v>-1.669348E-2</v>
      </c>
      <c r="AA1227">
        <v>0.76504640000000002</v>
      </c>
      <c r="AB1227">
        <v>24</v>
      </c>
      <c r="AC1227">
        <v>20.302599999999899</v>
      </c>
      <c r="AD1227">
        <v>-1.105547771676</v>
      </c>
      <c r="AE1227">
        <v>-20.724699999999899</v>
      </c>
      <c r="AF1227">
        <v>18.734899375433599</v>
      </c>
      <c r="AG1227">
        <v>-1.105547771676</v>
      </c>
      <c r="AH1227">
        <v>22.0969035067506</v>
      </c>
      <c r="AI1227">
        <v>92.185439108801802</v>
      </c>
      <c r="AJ1227">
        <v>49.706995177828396</v>
      </c>
      <c r="AK1227">
        <v>28.991237211780501</v>
      </c>
      <c r="AL1227">
        <v>94.195600602808</v>
      </c>
      <c r="AM1227">
        <v>69.554464859324696</v>
      </c>
      <c r="AN1227">
        <v>1.0000000116072301</v>
      </c>
    </row>
    <row r="1228" spans="1:40" x14ac:dyDescent="0.25">
      <c r="A1228" t="str">
        <f>"20190305135216390"</f>
        <v>20190305135216390</v>
      </c>
      <c r="B1228" t="str">
        <f>"1551765136380539"</f>
        <v>1551765136380539</v>
      </c>
      <c r="C1228" t="s">
        <v>40</v>
      </c>
      <c r="D1228">
        <v>5.0905389999999997</v>
      </c>
      <c r="E1228">
        <v>0.63777700000000004</v>
      </c>
      <c r="F1228" t="s">
        <v>42</v>
      </c>
      <c r="G1228">
        <v>-189.4058</v>
      </c>
      <c r="H1228" s="1">
        <v>-2.4008649999999998E-6</v>
      </c>
      <c r="I1228">
        <v>344.98360000000002</v>
      </c>
      <c r="J1228">
        <v>-211.78129999999999</v>
      </c>
      <c r="K1228">
        <v>1.105524</v>
      </c>
      <c r="L1228">
        <v>368.08909999999997</v>
      </c>
      <c r="M1228">
        <v>0.99532310000000002</v>
      </c>
      <c r="N1228">
        <v>-1.4074120000000001E-2</v>
      </c>
      <c r="O1228">
        <v>-9.5573080000000005E-2</v>
      </c>
      <c r="P1228">
        <v>0.8953605</v>
      </c>
      <c r="Q1228">
        <v>-8.6051749999999996E-2</v>
      </c>
      <c r="R1228">
        <v>-0.43695010000000001</v>
      </c>
      <c r="S1228">
        <v>2.2274630000000002</v>
      </c>
      <c r="T1228">
        <v>-0.1093982</v>
      </c>
      <c r="U1228">
        <v>-2.2879640000000001</v>
      </c>
      <c r="V1228">
        <v>0.34864089999999998</v>
      </c>
      <c r="W1228">
        <v>-7.6314889999999996E-2</v>
      </c>
      <c r="X1228">
        <v>0.93414430000000004</v>
      </c>
      <c r="Y1228">
        <v>0.64602389999999998</v>
      </c>
      <c r="Z1228">
        <v>-1.5700789999999999E-2</v>
      </c>
      <c r="AA1228">
        <v>0.76315559999999905</v>
      </c>
      <c r="AB1228">
        <v>24</v>
      </c>
      <c r="AC1228">
        <v>22.375499999999899</v>
      </c>
      <c r="AD1228">
        <v>-1.1055264008650001</v>
      </c>
      <c r="AE1228">
        <v>-23.1054999999999</v>
      </c>
      <c r="AF1228">
        <v>20.836388708426298</v>
      </c>
      <c r="AG1228">
        <v>-1.1055264008650001</v>
      </c>
      <c r="AH1228">
        <v>24.452647785198</v>
      </c>
      <c r="AI1228">
        <v>91.970889333384093</v>
      </c>
      <c r="AJ1228">
        <v>49.565292835960598</v>
      </c>
      <c r="AK1228">
        <v>32.145128196020501</v>
      </c>
      <c r="AL1228">
        <v>94.376776477959794</v>
      </c>
      <c r="AM1228">
        <v>69.533443327662695</v>
      </c>
      <c r="AN1228">
        <v>1.0000000064054999</v>
      </c>
    </row>
    <row r="1229" spans="1:40" x14ac:dyDescent="0.25">
      <c r="A1229" t="str">
        <f>"20190305135216405"</f>
        <v>20190305135216405</v>
      </c>
      <c r="B1229" t="str">
        <f>"1551765136401034"</f>
        <v>1551765136401034</v>
      </c>
      <c r="C1229" t="s">
        <v>40</v>
      </c>
      <c r="D1229">
        <v>5.0763470000000002</v>
      </c>
      <c r="E1229">
        <v>0.63945090000000004</v>
      </c>
      <c r="F1229" t="s">
        <v>42</v>
      </c>
      <c r="G1229">
        <v>-188.6028</v>
      </c>
      <c r="H1229" s="1">
        <v>-2.1326609999999999E-6</v>
      </c>
      <c r="I1229">
        <v>344.02640000000002</v>
      </c>
      <c r="J1229">
        <v>-211.6052</v>
      </c>
      <c r="K1229">
        <v>1.105515</v>
      </c>
      <c r="L1229">
        <v>368.0675</v>
      </c>
      <c r="M1229">
        <v>0.99490250000000002</v>
      </c>
      <c r="N1229">
        <v>-1.407717E-2</v>
      </c>
      <c r="O1229">
        <v>-9.9854310000000002E-2</v>
      </c>
      <c r="P1229">
        <v>0.89327570000000001</v>
      </c>
      <c r="Q1229">
        <v>-8.9460090000000006E-2</v>
      </c>
      <c r="R1229">
        <v>-0.4405173</v>
      </c>
      <c r="S1229">
        <v>2.2171479999999999</v>
      </c>
      <c r="T1229">
        <v>-0.1057496</v>
      </c>
      <c r="U1229">
        <v>-2.3017270000000001</v>
      </c>
      <c r="V1229">
        <v>0.34835169999999999</v>
      </c>
      <c r="W1229">
        <v>-7.970489E-2</v>
      </c>
      <c r="X1229">
        <v>0.9339691</v>
      </c>
      <c r="Y1229">
        <v>0.64682640000000002</v>
      </c>
      <c r="Z1229">
        <v>-1.532641E-2</v>
      </c>
      <c r="AA1229">
        <v>0.76248319999999903</v>
      </c>
      <c r="AB1229">
        <v>24</v>
      </c>
      <c r="AC1229">
        <v>23.002399999999898</v>
      </c>
      <c r="AD1229">
        <v>-1.105517132661</v>
      </c>
      <c r="AE1229">
        <v>-24.041099999999901</v>
      </c>
      <c r="AF1229">
        <v>21.599958696435198</v>
      </c>
      <c r="AG1229">
        <v>-1.105517132661</v>
      </c>
      <c r="AH1229">
        <v>25.260371824555001</v>
      </c>
      <c r="AI1229">
        <v>91.905095420817901</v>
      </c>
      <c r="AJ1229">
        <v>49.466490423886</v>
      </c>
      <c r="AK1229">
        <v>33.2545751518958</v>
      </c>
      <c r="AL1229">
        <v>94.571602882483205</v>
      </c>
      <c r="AM1229">
        <v>69.545495687761601</v>
      </c>
      <c r="AN1229">
        <v>1.0000000280688</v>
      </c>
    </row>
    <row r="1230" spans="1:40" x14ac:dyDescent="0.25">
      <c r="A1230" t="str">
        <f>"20190305135216420"</f>
        <v>20190305135216420</v>
      </c>
      <c r="B1230" t="str">
        <f>"1551765136410796"</f>
        <v>1551765136410796</v>
      </c>
      <c r="C1230" t="s">
        <v>40</v>
      </c>
      <c r="D1230">
        <v>5.0584300000000004</v>
      </c>
      <c r="E1230">
        <v>0.64034219999999997</v>
      </c>
      <c r="F1230" t="s">
        <v>42</v>
      </c>
      <c r="G1230">
        <v>-185.1327</v>
      </c>
      <c r="H1230" s="1">
        <v>-1.466949E-6</v>
      </c>
      <c r="I1230">
        <v>340.15320000000003</v>
      </c>
      <c r="J1230">
        <v>-211.44380000000001</v>
      </c>
      <c r="K1230">
        <v>1.1055060000000001</v>
      </c>
      <c r="L1230">
        <v>368.04689999999999</v>
      </c>
      <c r="M1230">
        <v>0.99450280000000002</v>
      </c>
      <c r="N1230">
        <v>-1.4078770000000001E-2</v>
      </c>
      <c r="O1230">
        <v>-0.1037595</v>
      </c>
      <c r="P1230">
        <v>0.89116499999999998</v>
      </c>
      <c r="Q1230">
        <v>-9.4919530000000002E-2</v>
      </c>
      <c r="R1230">
        <v>-0.44363900000000001</v>
      </c>
      <c r="S1230">
        <v>2.2034150000000001</v>
      </c>
      <c r="T1230">
        <v>-9.2016700000000007E-2</v>
      </c>
      <c r="U1230">
        <v>-2.3234249999999999</v>
      </c>
      <c r="V1230">
        <v>0.34796359999999998</v>
      </c>
      <c r="W1230">
        <v>-8.5140209999999994E-2</v>
      </c>
      <c r="X1230">
        <v>0.93363399999999996</v>
      </c>
      <c r="Y1230">
        <v>0.64986429999999995</v>
      </c>
      <c r="Z1230">
        <v>-1.420515E-2</v>
      </c>
      <c r="AA1230">
        <v>0.75991750000000002</v>
      </c>
      <c r="AB1230">
        <v>24</v>
      </c>
      <c r="AC1230">
        <v>26.3111</v>
      </c>
      <c r="AD1230">
        <v>-1.1055074669489999</v>
      </c>
      <c r="AE1230">
        <v>-27.8936999999999</v>
      </c>
      <c r="AF1230">
        <v>24.992040907963801</v>
      </c>
      <c r="AG1230">
        <v>-1.1055074669489999</v>
      </c>
      <c r="AH1230">
        <v>29.039440849003899</v>
      </c>
      <c r="AI1230">
        <v>91.652787000869907</v>
      </c>
      <c r="AJ1230">
        <v>49.283921800388498</v>
      </c>
      <c r="AK1230">
        <v>38.3290148624721</v>
      </c>
      <c r="AL1230">
        <v>94.8840876160439</v>
      </c>
      <c r="AM1230">
        <v>69.559672008374804</v>
      </c>
      <c r="AN1230">
        <v>0.99999998411990099</v>
      </c>
    </row>
    <row r="1231" spans="1:40" x14ac:dyDescent="0.25">
      <c r="A1231" t="str">
        <f>"20190305135216437"</f>
        <v>20190305135216437</v>
      </c>
      <c r="B1231" t="str">
        <f>"1551765136430316"</f>
        <v>1551765136430316</v>
      </c>
      <c r="C1231" t="s">
        <v>40</v>
      </c>
      <c r="D1231">
        <v>5.0664579999999999</v>
      </c>
      <c r="E1231">
        <v>0.64147980000000004</v>
      </c>
      <c r="F1231" t="s">
        <v>42</v>
      </c>
      <c r="G1231">
        <v>-186.0746</v>
      </c>
      <c r="H1231" s="1">
        <v>-1.501396E-6</v>
      </c>
      <c r="I1231">
        <v>340.99079999999998</v>
      </c>
      <c r="J1231">
        <v>-211.27449999999999</v>
      </c>
      <c r="K1231">
        <v>1.105524</v>
      </c>
      <c r="L1231">
        <v>368.02460000000002</v>
      </c>
      <c r="M1231">
        <v>0.99406890000000003</v>
      </c>
      <c r="N1231">
        <v>-1.407972E-2</v>
      </c>
      <c r="O1231">
        <v>-0.1078383</v>
      </c>
      <c r="P1231">
        <v>0.88930049999999905</v>
      </c>
      <c r="Q1231">
        <v>-9.5670169999999999E-2</v>
      </c>
      <c r="R1231">
        <v>-0.44720470000000001</v>
      </c>
      <c r="S1231">
        <v>2.1922760000000001</v>
      </c>
      <c r="T1231">
        <v>-9.5532300000000001E-2</v>
      </c>
      <c r="U1231">
        <v>-2.3380429999999999</v>
      </c>
      <c r="V1231">
        <v>0.34788190000000002</v>
      </c>
      <c r="W1231">
        <v>-8.5861309999999996E-2</v>
      </c>
      <c r="X1231">
        <v>0.93359840000000005</v>
      </c>
      <c r="Y1231">
        <v>0.65102349999999998</v>
      </c>
      <c r="Z1231">
        <v>-1.44543E-2</v>
      </c>
      <c r="AA1231">
        <v>0.75891999999999904</v>
      </c>
      <c r="AB1231">
        <v>24</v>
      </c>
      <c r="AC1231">
        <v>25.1998999999999</v>
      </c>
      <c r="AD1231">
        <v>-1.1055255013959999</v>
      </c>
      <c r="AE1231">
        <v>-27.033799999999999</v>
      </c>
      <c r="AF1231">
        <v>24.136738517456799</v>
      </c>
      <c r="AG1231">
        <v>-1.1055255013959999</v>
      </c>
      <c r="AH1231">
        <v>27.943479738334101</v>
      </c>
      <c r="AI1231">
        <v>91.714931650918203</v>
      </c>
      <c r="AJ1231">
        <v>49.180531891431698</v>
      </c>
      <c r="AK1231">
        <v>36.9410664813702</v>
      </c>
      <c r="AL1231">
        <v>94.925555491768407</v>
      </c>
      <c r="AM1231">
        <v>69.563359616733507</v>
      </c>
      <c r="AN1231">
        <v>0.99999997669254204</v>
      </c>
    </row>
    <row r="1232" spans="1:40" x14ac:dyDescent="0.25">
      <c r="A1232" t="str">
        <f>"20190305135216452"</f>
        <v>20190305135216452</v>
      </c>
      <c r="B1232" t="str">
        <f>"1551765136441051"</f>
        <v>1551765136441051</v>
      </c>
      <c r="C1232" t="s">
        <v>40</v>
      </c>
      <c r="D1232">
        <v>5.047555</v>
      </c>
      <c r="E1232">
        <v>0.64187510000000003</v>
      </c>
      <c r="F1232" t="s">
        <v>42</v>
      </c>
      <c r="G1232">
        <v>-184.07679999999999</v>
      </c>
      <c r="H1232" s="1">
        <v>-4.911796E-6</v>
      </c>
      <c r="I1232">
        <v>338.63310000000001</v>
      </c>
      <c r="J1232">
        <v>-211.09559999999999</v>
      </c>
      <c r="K1232">
        <v>1.105545</v>
      </c>
      <c r="L1232">
        <v>368.00040000000001</v>
      </c>
      <c r="M1232">
        <v>0.9935948</v>
      </c>
      <c r="N1232">
        <v>-1.408005E-2</v>
      </c>
      <c r="O1232">
        <v>-0.11212270000000001</v>
      </c>
      <c r="P1232">
        <v>0.88729099999999905</v>
      </c>
      <c r="Q1232">
        <v>-9.3654169999999995E-2</v>
      </c>
      <c r="R1232">
        <v>-0.45160129999999998</v>
      </c>
      <c r="S1232">
        <v>2.1794889999999998</v>
      </c>
      <c r="T1232">
        <v>-8.8591580000000003E-2</v>
      </c>
      <c r="U1232">
        <v>-2.355286</v>
      </c>
      <c r="V1232">
        <v>0.34847990000000001</v>
      </c>
      <c r="W1232">
        <v>-8.3820259999999994E-2</v>
      </c>
      <c r="X1232">
        <v>0.93356090000000003</v>
      </c>
      <c r="Y1232">
        <v>0.65279169999999997</v>
      </c>
      <c r="Z1232">
        <v>-1.3871970000000001E-2</v>
      </c>
      <c r="AA1232">
        <v>0.75741040000000004</v>
      </c>
      <c r="AB1232">
        <v>24</v>
      </c>
      <c r="AC1232">
        <v>27.018799999999999</v>
      </c>
      <c r="AD1232">
        <v>-1.1055499117959999</v>
      </c>
      <c r="AE1232">
        <v>-29.3673</v>
      </c>
      <c r="AF1232">
        <v>26.132306247311998</v>
      </c>
      <c r="AG1232">
        <v>-1.1055499117959999</v>
      </c>
      <c r="AH1232">
        <v>30.118345955875199</v>
      </c>
      <c r="AI1232">
        <v>91.588142674922295</v>
      </c>
      <c r="AJ1232">
        <v>49.053324186748497</v>
      </c>
      <c r="AK1232">
        <v>39.890279937956798</v>
      </c>
      <c r="AL1232">
        <v>94.808188567724201</v>
      </c>
      <c r="AM1232">
        <v>69.5303870219212</v>
      </c>
      <c r="AN1232">
        <v>1.00000001534964</v>
      </c>
    </row>
    <row r="1233" spans="1:40" x14ac:dyDescent="0.25">
      <c r="A1233" t="str">
        <f>"20190305135216464"</f>
        <v>20190305135216464</v>
      </c>
      <c r="B1233" t="str">
        <f>"1551765136460571"</f>
        <v>1551765136460571</v>
      </c>
      <c r="C1233" t="s">
        <v>40</v>
      </c>
      <c r="D1233">
        <v>5.0578390000000004</v>
      </c>
      <c r="E1233">
        <v>0.64271809999999996</v>
      </c>
      <c r="F1233" t="s">
        <v>42</v>
      </c>
      <c r="G1233">
        <v>-181.4461</v>
      </c>
      <c r="H1233" s="1">
        <v>-4.2976729999999998E-6</v>
      </c>
      <c r="I1233">
        <v>335.58890000000002</v>
      </c>
      <c r="J1233">
        <v>-210.96080000000001</v>
      </c>
      <c r="K1233">
        <v>1.1055630000000001</v>
      </c>
      <c r="L1233">
        <v>367.98180000000002</v>
      </c>
      <c r="M1233">
        <v>0.99322630000000001</v>
      </c>
      <c r="N1233">
        <v>-1.408001E-2</v>
      </c>
      <c r="O1233">
        <v>-0.11534030000000001</v>
      </c>
      <c r="P1233">
        <v>0.88570459999999995</v>
      </c>
      <c r="Q1233">
        <v>-9.2471700000000004E-2</v>
      </c>
      <c r="R1233">
        <v>-0.4549473</v>
      </c>
      <c r="S1233">
        <v>2.1669160000000001</v>
      </c>
      <c r="T1233">
        <v>-8.0798389999999998E-2</v>
      </c>
      <c r="U1233">
        <v>-2.3687740000000002</v>
      </c>
      <c r="V1233">
        <v>0.34898129999999999</v>
      </c>
      <c r="W1233">
        <v>-8.2621130000000001E-2</v>
      </c>
      <c r="X1233">
        <v>0.93348050000000005</v>
      </c>
      <c r="Y1233">
        <v>0.65472330000000001</v>
      </c>
      <c r="Z1233">
        <v>-1.326049E-2</v>
      </c>
      <c r="AA1233">
        <v>0.75575230000000004</v>
      </c>
      <c r="AB1233">
        <v>24</v>
      </c>
      <c r="AC1233">
        <v>29.514700000000001</v>
      </c>
      <c r="AD1233">
        <v>-1.10556729767299</v>
      </c>
      <c r="AE1233">
        <v>-32.392899999999997</v>
      </c>
      <c r="AF1233">
        <v>28.753795548724799</v>
      </c>
      <c r="AG1233">
        <v>-1.10556729767299</v>
      </c>
      <c r="AH1233">
        <v>33.033233292826999</v>
      </c>
      <c r="AI1233">
        <v>91.446085882195405</v>
      </c>
      <c r="AJ1233">
        <v>48.962041510823603</v>
      </c>
      <c r="AK1233">
        <v>43.808646855225803</v>
      </c>
      <c r="AL1233">
        <v>94.739244289993707</v>
      </c>
      <c r="AM1233">
        <v>69.501764042388004</v>
      </c>
      <c r="AN1233">
        <v>1.0000000213761999</v>
      </c>
    </row>
    <row r="1234" spans="1:40" x14ac:dyDescent="0.25">
      <c r="A1234" t="str">
        <f>"20190305135216477"</f>
        <v>20190305135216477</v>
      </c>
      <c r="B1234" t="str">
        <f>"1551765136470332"</f>
        <v>1551765136470332</v>
      </c>
      <c r="C1234" t="s">
        <v>40</v>
      </c>
      <c r="D1234">
        <v>5.0656970000000001</v>
      </c>
      <c r="E1234">
        <v>0.64310230000000002</v>
      </c>
      <c r="F1234" t="s">
        <v>42</v>
      </c>
      <c r="G1234">
        <v>-179.93549999999999</v>
      </c>
      <c r="H1234">
        <v>7.2290469999999996E-2</v>
      </c>
      <c r="I1234">
        <v>333.67759999999998</v>
      </c>
      <c r="J1234">
        <v>-210.82849999999999</v>
      </c>
      <c r="K1234">
        <v>1.105572</v>
      </c>
      <c r="L1234">
        <v>367.96280000000002</v>
      </c>
      <c r="M1234">
        <v>0.99285710000000005</v>
      </c>
      <c r="N1234">
        <v>-1.407956E-2</v>
      </c>
      <c r="O1234">
        <v>-0.1184772</v>
      </c>
      <c r="P1234">
        <v>0.88385340000000001</v>
      </c>
      <c r="Q1234">
        <v>-9.2355560000000003E-2</v>
      </c>
      <c r="R1234">
        <v>-0.45855669999999998</v>
      </c>
      <c r="S1234">
        <v>2.1554720000000001</v>
      </c>
      <c r="T1234">
        <v>-7.1786279999999994E-2</v>
      </c>
      <c r="U1234">
        <v>-2.38327</v>
      </c>
      <c r="V1234">
        <v>0.34984340000000003</v>
      </c>
      <c r="W1234">
        <v>-8.2498799999999997E-2</v>
      </c>
      <c r="X1234">
        <v>0.93316849999999996</v>
      </c>
      <c r="Y1234">
        <v>0.65667339999999996</v>
      </c>
      <c r="Z1234">
        <v>-1.2560999999999999E-2</v>
      </c>
      <c r="AA1234">
        <v>0.75407049999999998</v>
      </c>
      <c r="AB1234">
        <v>24</v>
      </c>
      <c r="AC1234">
        <v>30.893000000000001</v>
      </c>
      <c r="AD1234">
        <v>-1.03328153</v>
      </c>
      <c r="AE1234">
        <v>-34.285200000000003</v>
      </c>
      <c r="AF1234">
        <v>30.367972040158602</v>
      </c>
      <c r="AG1234">
        <v>-1.03328153</v>
      </c>
      <c r="AH1234">
        <v>34.720381987078298</v>
      </c>
      <c r="AI1234">
        <v>91.283250885470096</v>
      </c>
      <c r="AJ1234">
        <v>48.825630953529</v>
      </c>
      <c r="AK1234">
        <v>46.138772435780403</v>
      </c>
      <c r="AL1234">
        <v>94.732211611960594</v>
      </c>
      <c r="AM1234">
        <v>69.4490573066617</v>
      </c>
      <c r="AN1234">
        <v>0.99999995295862298</v>
      </c>
    </row>
    <row r="1235" spans="1:40" x14ac:dyDescent="0.25">
      <c r="A1235" t="str">
        <f>"20190305135216488"</f>
        <v>20190305135216488</v>
      </c>
      <c r="B1235" t="str">
        <f>"1551765136481067"</f>
        <v>1551765136481067</v>
      </c>
      <c r="C1235" t="s">
        <v>40</v>
      </c>
      <c r="D1235">
        <v>5.0766770000000001</v>
      </c>
      <c r="E1235">
        <v>0.64351239999999998</v>
      </c>
      <c r="F1235" t="s">
        <v>42</v>
      </c>
      <c r="G1235">
        <v>-178.7381</v>
      </c>
      <c r="H1235">
        <v>7.9986150000000006E-2</v>
      </c>
      <c r="I1235">
        <v>332.13810000000001</v>
      </c>
      <c r="J1235">
        <v>-210.7062</v>
      </c>
      <c r="K1235">
        <v>1.1055790000000001</v>
      </c>
      <c r="L1235">
        <v>367.94499999999999</v>
      </c>
      <c r="M1235">
        <v>0.99250729999999998</v>
      </c>
      <c r="N1235">
        <v>-1.407917E-2</v>
      </c>
      <c r="O1235">
        <v>-0.1213717</v>
      </c>
      <c r="P1235">
        <v>0.88229259999999998</v>
      </c>
      <c r="Q1235">
        <v>-9.2465610000000004E-2</v>
      </c>
      <c r="R1235">
        <v>-0.46153</v>
      </c>
      <c r="S1235">
        <v>2.1448209999999999</v>
      </c>
      <c r="T1235">
        <v>-6.8547010000000005E-2</v>
      </c>
      <c r="U1235">
        <v>-2.394409</v>
      </c>
      <c r="V1235">
        <v>0.35026810000000003</v>
      </c>
      <c r="W1235">
        <v>-8.2599099999999995E-2</v>
      </c>
      <c r="X1235">
        <v>0.9330003</v>
      </c>
      <c r="Y1235">
        <v>0.65809640000000003</v>
      </c>
      <c r="Z1235">
        <v>-1.231577E-2</v>
      </c>
      <c r="AA1235">
        <v>0.75283290000000003</v>
      </c>
      <c r="AB1235">
        <v>24</v>
      </c>
      <c r="AC1235">
        <v>31.9681</v>
      </c>
      <c r="AD1235">
        <v>-1.02559285</v>
      </c>
      <c r="AE1235">
        <v>-35.806899999999899</v>
      </c>
      <c r="AF1235">
        <v>31.647277068911301</v>
      </c>
      <c r="AG1235">
        <v>-1.02559285</v>
      </c>
      <c r="AH1235">
        <v>36.061629436358899</v>
      </c>
      <c r="AI1235">
        <v>91.224558811147304</v>
      </c>
      <c r="AJ1235">
        <v>48.7301786625804</v>
      </c>
      <c r="AK1235">
        <v>47.990031300007303</v>
      </c>
      <c r="AL1235">
        <v>94.737978042928503</v>
      </c>
      <c r="AM1235">
        <v>69.422799609269106</v>
      </c>
      <c r="AN1235">
        <v>0.99999995649925399</v>
      </c>
    </row>
    <row r="1236" spans="1:40" x14ac:dyDescent="0.25">
      <c r="A1236" t="str">
        <f>"20190305135216499"</f>
        <v>20190305135216499</v>
      </c>
      <c r="B1236" t="str">
        <f>"1551765136490833"</f>
        <v>1551765136490833</v>
      </c>
      <c r="C1236" t="s">
        <v>40</v>
      </c>
      <c r="D1236">
        <v>6.8959359999999998</v>
      </c>
      <c r="E1236">
        <v>0.64351239999999998</v>
      </c>
      <c r="F1236" t="s">
        <v>42</v>
      </c>
      <c r="G1236">
        <v>-177.9648</v>
      </c>
      <c r="H1236">
        <v>7.9985870000000001E-2</v>
      </c>
      <c r="I1236">
        <v>331.0779</v>
      </c>
      <c r="J1236">
        <v>-210.5814</v>
      </c>
      <c r="K1236">
        <v>1.1055820000000001</v>
      </c>
      <c r="L1236">
        <v>367.92649999999998</v>
      </c>
      <c r="M1236">
        <v>0.99214270000000004</v>
      </c>
      <c r="N1236">
        <v>-1.407863E-2</v>
      </c>
      <c r="O1236">
        <v>-0.12431730000000001</v>
      </c>
      <c r="P1236">
        <v>0.88080919999999896</v>
      </c>
      <c r="Q1236">
        <v>-9.3636449999999996E-2</v>
      </c>
      <c r="R1236">
        <v>-0.46412019999999998</v>
      </c>
      <c r="S1236">
        <v>2.1354220000000002</v>
      </c>
      <c r="T1236">
        <v>-6.6890119999999997E-2</v>
      </c>
      <c r="U1236">
        <v>-2.4045100000000001</v>
      </c>
      <c r="V1236">
        <v>0.35024759999999999</v>
      </c>
      <c r="W1236">
        <v>-8.3757760000000001E-2</v>
      </c>
      <c r="X1236">
        <v>0.93290479999999998</v>
      </c>
      <c r="Y1236">
        <v>0.65908679999999997</v>
      </c>
      <c r="Z1236">
        <v>-1.218528E-2</v>
      </c>
      <c r="AA1236">
        <v>0.75196819999999998</v>
      </c>
      <c r="AB1236">
        <v>24</v>
      </c>
      <c r="AC1236">
        <v>32.616599999999998</v>
      </c>
      <c r="AD1236">
        <v>-1.0255961300000001</v>
      </c>
      <c r="AE1236">
        <v>-36.848599999999898</v>
      </c>
      <c r="AF1236">
        <v>32.493367939310602</v>
      </c>
      <c r="AG1236">
        <v>-1.0255961300000001</v>
      </c>
      <c r="AH1236">
        <v>36.928859073242698</v>
      </c>
      <c r="AI1236">
        <v>91.194449857590996</v>
      </c>
      <c r="AJ1236">
        <v>48.655745053486299</v>
      </c>
      <c r="AK1236">
        <v>49.199709754354302</v>
      </c>
      <c r="AL1236">
        <v>94.8045947548312</v>
      </c>
      <c r="AM1236">
        <v>69.421973180901205</v>
      </c>
      <c r="AN1236">
        <v>1.0000000547645</v>
      </c>
    </row>
    <row r="1237" spans="1:40" x14ac:dyDescent="0.25">
      <c r="A1237" t="str">
        <f>"20190305135216512"</f>
        <v>20190305135216512</v>
      </c>
      <c r="B1237" t="str">
        <f>"1551765136500594"</f>
        <v>1551765136500594</v>
      </c>
      <c r="C1237" t="s">
        <v>40</v>
      </c>
      <c r="D1237">
        <v>5.0713780000000002</v>
      </c>
      <c r="E1237">
        <v>0.65887810000000002</v>
      </c>
      <c r="F1237" t="s">
        <v>42</v>
      </c>
      <c r="G1237">
        <v>-179.93129999999999</v>
      </c>
      <c r="H1237">
        <v>7.6496620000000001E-2</v>
      </c>
      <c r="I1237">
        <v>333.18610000000001</v>
      </c>
      <c r="J1237">
        <v>-210.45529999999999</v>
      </c>
      <c r="K1237">
        <v>1.105585</v>
      </c>
      <c r="L1237">
        <v>367.9074</v>
      </c>
      <c r="M1237">
        <v>0.99176589999999998</v>
      </c>
      <c r="N1237">
        <v>-1.407802E-2</v>
      </c>
      <c r="O1237">
        <v>-0.12728900000000001</v>
      </c>
      <c r="P1237">
        <v>0.87934330000000005</v>
      </c>
      <c r="Q1237">
        <v>-9.4936580000000007E-2</v>
      </c>
      <c r="R1237">
        <v>-0.46662880000000001</v>
      </c>
      <c r="S1237">
        <v>2.1276549999999999</v>
      </c>
      <c r="T1237">
        <v>-7.1436520000000003E-2</v>
      </c>
      <c r="U1237">
        <v>-2.411591</v>
      </c>
      <c r="V1237">
        <v>0.35012080000000001</v>
      </c>
      <c r="W1237">
        <v>-8.5046469999999999E-2</v>
      </c>
      <c r="X1237">
        <v>0.93283579999999999</v>
      </c>
      <c r="Y1237">
        <v>0.65926609999999997</v>
      </c>
      <c r="Z1237">
        <v>-1.251236E-2</v>
      </c>
      <c r="AA1237">
        <v>0.75180570000000002</v>
      </c>
      <c r="AB1237">
        <v>24</v>
      </c>
      <c r="AC1237">
        <v>30.524000000000001</v>
      </c>
      <c r="AD1237">
        <v>-1.0290883799999999</v>
      </c>
      <c r="AE1237">
        <v>-34.7212999999999</v>
      </c>
      <c r="AF1237">
        <v>30.5379239084068</v>
      </c>
      <c r="AG1237">
        <v>-1.0290883799999999</v>
      </c>
      <c r="AH1237">
        <v>34.678552167923002</v>
      </c>
      <c r="AI1237">
        <v>91.275814749229596</v>
      </c>
      <c r="AJ1237">
        <v>48.632862904732796</v>
      </c>
      <c r="AK1237">
        <v>46.219322798942599</v>
      </c>
      <c r="AL1237">
        <v>94.878696820437298</v>
      </c>
      <c r="AM1237">
        <v>69.427404855564106</v>
      </c>
      <c r="AN1237">
        <v>1.00000005320686</v>
      </c>
    </row>
    <row r="1238" spans="1:40" x14ac:dyDescent="0.25">
      <c r="A1238" t="str">
        <f>"20190305135216524"</f>
        <v>20190305135216524</v>
      </c>
      <c r="B1238" t="str">
        <f>"1551765136521087"</f>
        <v>1551765136521087</v>
      </c>
      <c r="C1238" t="s">
        <v>40</v>
      </c>
      <c r="D1238">
        <v>5.1599079999999997</v>
      </c>
      <c r="E1238">
        <v>0.65942230000000002</v>
      </c>
      <c r="F1238" t="s">
        <v>51</v>
      </c>
      <c r="G1238">
        <v>-168.75409999999999</v>
      </c>
      <c r="H1238">
        <v>3.7713450000000002</v>
      </c>
      <c r="I1238">
        <v>317.19709999999998</v>
      </c>
      <c r="J1238">
        <v>-210.3252</v>
      </c>
      <c r="K1238">
        <v>1.105593</v>
      </c>
      <c r="L1238">
        <v>367.88740000000001</v>
      </c>
      <c r="M1238">
        <v>0.99136780000000002</v>
      </c>
      <c r="N1238">
        <v>-1.4077350000000001E-2</v>
      </c>
      <c r="O1238">
        <v>-0.13035179999999999</v>
      </c>
      <c r="P1238">
        <v>0.87778069999999897</v>
      </c>
      <c r="Q1238">
        <v>-9.6012379999999994E-2</v>
      </c>
      <c r="R1238">
        <v>-0.4693428</v>
      </c>
      <c r="S1238">
        <v>2.082306</v>
      </c>
      <c r="T1238">
        <v>0.13311239999999999</v>
      </c>
      <c r="U1238">
        <v>-2.5321660000000001</v>
      </c>
      <c r="V1238">
        <v>0.35012870000000001</v>
      </c>
      <c r="W1238">
        <v>-8.6113899999999993E-2</v>
      </c>
      <c r="X1238">
        <v>0.93273479999999998</v>
      </c>
      <c r="Y1238">
        <v>0.68281530000000001</v>
      </c>
      <c r="Z1238">
        <v>3.244027E-3</v>
      </c>
      <c r="AA1238">
        <v>0.73058380000000001</v>
      </c>
      <c r="AB1238">
        <v>24</v>
      </c>
      <c r="AC1238">
        <v>41.571100000000001</v>
      </c>
      <c r="AD1238">
        <v>2.6657519999999901</v>
      </c>
      <c r="AE1238">
        <v>-50.690300000000001</v>
      </c>
      <c r="AF1238">
        <v>44.764291012325202</v>
      </c>
      <c r="AG1238">
        <v>2.6657519999999901</v>
      </c>
      <c r="AH1238">
        <v>47.7456157690726</v>
      </c>
      <c r="AI1238">
        <v>87.667596246155099</v>
      </c>
      <c r="AJ1238">
        <v>46.8458371927318</v>
      </c>
      <c r="AK1238">
        <v>65.502609174975305</v>
      </c>
      <c r="AL1238">
        <v>94.940081723861795</v>
      </c>
      <c r="AM1238">
        <v>69.424938450468503</v>
      </c>
      <c r="AN1238">
        <v>0.99999995873396896</v>
      </c>
    </row>
    <row r="1239" spans="1:40" x14ac:dyDescent="0.25">
      <c r="A1239" t="str">
        <f>"20190305135216536"</f>
        <v>20190305135216536</v>
      </c>
      <c r="B1239" t="str">
        <f>"1551765136530848"</f>
        <v>1551765136530848</v>
      </c>
      <c r="C1239" t="s">
        <v>40</v>
      </c>
      <c r="D1239">
        <v>5.0385589999999896</v>
      </c>
      <c r="E1239">
        <v>0.65881579999999995</v>
      </c>
      <c r="F1239" t="s">
        <v>51</v>
      </c>
      <c r="G1239">
        <v>-168.98310000000001</v>
      </c>
      <c r="H1239">
        <v>3.9159600000000001</v>
      </c>
      <c r="I1239">
        <v>317.17779999999999</v>
      </c>
      <c r="J1239">
        <v>-210.19059999999999</v>
      </c>
      <c r="K1239">
        <v>1.1055999999999999</v>
      </c>
      <c r="L1239">
        <v>367.86610000000002</v>
      </c>
      <c r="M1239">
        <v>0.99094570000000004</v>
      </c>
      <c r="N1239">
        <v>-1.4076689999999999E-2</v>
      </c>
      <c r="O1239">
        <v>-0.1335239</v>
      </c>
      <c r="P1239">
        <v>0.87619089999999999</v>
      </c>
      <c r="Q1239">
        <v>-9.6560629999999995E-2</v>
      </c>
      <c r="R1239">
        <v>-0.47219260000000002</v>
      </c>
      <c r="S1239">
        <v>2.073334</v>
      </c>
      <c r="T1239">
        <v>0.14094219999999999</v>
      </c>
      <c r="U1239">
        <v>-2.5431210000000002</v>
      </c>
      <c r="V1239">
        <v>0.35017870000000001</v>
      </c>
      <c r="W1239">
        <v>-8.6658170000000007E-2</v>
      </c>
      <c r="X1239">
        <v>0.93266570000000004</v>
      </c>
      <c r="Y1239">
        <v>0.68353719999999996</v>
      </c>
      <c r="Z1239">
        <v>3.6876890000000001E-3</v>
      </c>
      <c r="AA1239">
        <v>0.72990639999999996</v>
      </c>
      <c r="AB1239">
        <v>24</v>
      </c>
      <c r="AC1239">
        <v>41.207499999999897</v>
      </c>
      <c r="AD1239">
        <v>2.8103600000000002</v>
      </c>
      <c r="AE1239">
        <v>-50.688299999999998</v>
      </c>
      <c r="AF1239">
        <v>44.648957955938698</v>
      </c>
      <c r="AG1239">
        <v>2.8103600000000002</v>
      </c>
      <c r="AH1239">
        <v>47.519257843513202</v>
      </c>
      <c r="AI1239">
        <v>87.532033826825995</v>
      </c>
      <c r="AJ1239">
        <v>46.783727010369503</v>
      </c>
      <c r="AK1239">
        <v>65.264902021523596</v>
      </c>
      <c r="AL1239">
        <v>94.971382736313799</v>
      </c>
      <c r="AM1239">
        <v>69.420849640853703</v>
      </c>
      <c r="AN1239">
        <v>1.0000000341589601</v>
      </c>
    </row>
    <row r="1240" spans="1:40" x14ac:dyDescent="0.25">
      <c r="A1240" t="str">
        <f>"20190305135216549"</f>
        <v>20190305135216549</v>
      </c>
      <c r="B1240" t="str">
        <f>"1551765136540608"</f>
        <v>1551765136540608</v>
      </c>
      <c r="C1240" t="s">
        <v>40</v>
      </c>
      <c r="D1240">
        <v>5.0523339999999903</v>
      </c>
      <c r="E1240">
        <v>0.65832000000000002</v>
      </c>
      <c r="F1240" t="s">
        <v>51</v>
      </c>
      <c r="G1240">
        <v>-168.983</v>
      </c>
      <c r="H1240">
        <v>3.4443030000000001</v>
      </c>
      <c r="I1240">
        <v>317.11700000000002</v>
      </c>
      <c r="J1240">
        <v>-210.05240000000001</v>
      </c>
      <c r="K1240">
        <v>1.1056109999999999</v>
      </c>
      <c r="L1240">
        <v>367.84379999999999</v>
      </c>
      <c r="M1240">
        <v>0.99050039999999995</v>
      </c>
      <c r="N1240">
        <v>-1.4076190000000001E-2</v>
      </c>
      <c r="O1240">
        <v>-0.13678750000000001</v>
      </c>
      <c r="P1240">
        <v>0.87450360000000005</v>
      </c>
      <c r="Q1240">
        <v>-9.6580509999999994E-2</v>
      </c>
      <c r="R1240">
        <v>-0.47530600000000001</v>
      </c>
      <c r="S1240">
        <v>2.0657809999999999</v>
      </c>
      <c r="T1240">
        <v>0.117242</v>
      </c>
      <c r="U1240">
        <v>-2.544098</v>
      </c>
      <c r="V1240">
        <v>0.35042420000000002</v>
      </c>
      <c r="W1240">
        <v>-8.6678909999999998E-2</v>
      </c>
      <c r="X1240">
        <v>0.9325715</v>
      </c>
      <c r="Y1240">
        <v>0.68267709999999904</v>
      </c>
      <c r="Z1240">
        <v>1.6562899999999999E-3</v>
      </c>
      <c r="AA1240">
        <v>0.73071830000000004</v>
      </c>
      <c r="AB1240">
        <v>24</v>
      </c>
      <c r="AC1240">
        <v>41.069400000000002</v>
      </c>
      <c r="AD1240">
        <v>2.3386919999999898</v>
      </c>
      <c r="AE1240">
        <v>-50.726799999999898</v>
      </c>
      <c r="AF1240">
        <v>44.574325986339502</v>
      </c>
      <c r="AG1240">
        <v>2.3386919999999898</v>
      </c>
      <c r="AH1240">
        <v>47.561700857322599</v>
      </c>
      <c r="AI1240">
        <v>87.945213174853095</v>
      </c>
      <c r="AJ1240">
        <v>46.857080611027897</v>
      </c>
      <c r="AK1240">
        <v>65.226186503955404</v>
      </c>
      <c r="AL1240">
        <v>94.972575818980999</v>
      </c>
      <c r="AM1240">
        <v>69.405727060287504</v>
      </c>
      <c r="AN1240">
        <v>0.99999997799833795</v>
      </c>
    </row>
    <row r="1241" spans="1:40" x14ac:dyDescent="0.25">
      <c r="A1241" t="str">
        <f>"20190305135216564"</f>
        <v>20190305135216564</v>
      </c>
      <c r="B1241" t="str">
        <f>"1551765136560129"</f>
        <v>1551765136560129</v>
      </c>
      <c r="C1241" t="s">
        <v>40</v>
      </c>
      <c r="D1241">
        <v>5.0567789999999997</v>
      </c>
      <c r="E1241">
        <v>0.65754230000000002</v>
      </c>
      <c r="F1241" t="s">
        <v>51</v>
      </c>
      <c r="G1241">
        <v>-168.9829</v>
      </c>
      <c r="H1241">
        <v>3.1979479999999998</v>
      </c>
      <c r="I1241">
        <v>316.99099999999999</v>
      </c>
      <c r="J1241">
        <v>-209.89519999999999</v>
      </c>
      <c r="K1241">
        <v>1.1056319999999999</v>
      </c>
      <c r="L1241">
        <v>367.81790000000001</v>
      </c>
      <c r="M1241">
        <v>0.98997780000000002</v>
      </c>
      <c r="N1241">
        <v>-1.407596E-2</v>
      </c>
      <c r="O1241">
        <v>-0.140519899999999</v>
      </c>
      <c r="P1241">
        <v>0.87227429999999995</v>
      </c>
      <c r="Q1241">
        <v>-9.5130039999999999E-2</v>
      </c>
      <c r="R1241">
        <v>-0.47967480000000001</v>
      </c>
      <c r="S1241">
        <v>2.0574650000000001</v>
      </c>
      <c r="T1241">
        <v>0.10482030000000001</v>
      </c>
      <c r="U1241">
        <v>-2.547577</v>
      </c>
      <c r="V1241">
        <v>0.35156290000000001</v>
      </c>
      <c r="W1241">
        <v>-8.5245500000000002E-2</v>
      </c>
      <c r="X1241">
        <v>0.93227499999999996</v>
      </c>
      <c r="Y1241">
        <v>0.68189679999999997</v>
      </c>
      <c r="Z1241">
        <v>5.1438899999999997E-4</v>
      </c>
      <c r="AA1241">
        <v>0.73144819999999999</v>
      </c>
      <c r="AB1241">
        <v>24</v>
      </c>
      <c r="AC1241">
        <v>40.912299999999902</v>
      </c>
      <c r="AD1241">
        <v>2.0923159999999998</v>
      </c>
      <c r="AE1241">
        <v>-50.826900000000002</v>
      </c>
      <c r="AF1241">
        <v>44.527137313016503</v>
      </c>
      <c r="AG1241">
        <v>2.0923159999999998</v>
      </c>
      <c r="AH1241">
        <v>47.600231218161703</v>
      </c>
      <c r="AI1241">
        <v>88.161406793050205</v>
      </c>
      <c r="AJ1241">
        <v>46.910507717903997</v>
      </c>
      <c r="AK1241">
        <v>65.213693006595904</v>
      </c>
      <c r="AL1241">
        <v>94.890142361205207</v>
      </c>
      <c r="AM1241">
        <v>69.338433175895503</v>
      </c>
      <c r="AN1241">
        <v>0.999999971775829</v>
      </c>
    </row>
    <row r="1242" spans="1:40" x14ac:dyDescent="0.25">
      <c r="A1242" t="str">
        <f>"20190305135216578"</f>
        <v>20190305135216578</v>
      </c>
      <c r="B1242" t="str">
        <f>"1551765136570865"</f>
        <v>1551765136570865</v>
      </c>
      <c r="C1242" t="s">
        <v>40</v>
      </c>
      <c r="D1242">
        <v>5.0489639999999998</v>
      </c>
      <c r="E1242">
        <v>0.65759590000000001</v>
      </c>
      <c r="F1242" t="s">
        <v>51</v>
      </c>
      <c r="G1242">
        <v>-168.9828</v>
      </c>
      <c r="H1242">
        <v>2.954215</v>
      </c>
      <c r="I1242">
        <v>316.79640000000001</v>
      </c>
      <c r="J1242">
        <v>-209.751</v>
      </c>
      <c r="K1242">
        <v>1.10564</v>
      </c>
      <c r="L1242">
        <v>367.79349999999999</v>
      </c>
      <c r="M1242">
        <v>0.98948150000000001</v>
      </c>
      <c r="N1242">
        <v>-1.407656E-2</v>
      </c>
      <c r="O1242">
        <v>-0.14397360000000001</v>
      </c>
      <c r="P1242">
        <v>0.87040039999999996</v>
      </c>
      <c r="Q1242">
        <v>-9.3608200000000003E-2</v>
      </c>
      <c r="R1242">
        <v>-0.48336400000000002</v>
      </c>
      <c r="S1242">
        <v>2.0461429999999998</v>
      </c>
      <c r="T1242">
        <v>9.245312E-2</v>
      </c>
      <c r="U1242">
        <v>-2.5517270000000001</v>
      </c>
      <c r="V1242">
        <v>0.3522438</v>
      </c>
      <c r="W1242">
        <v>-8.3741579999999996E-2</v>
      </c>
      <c r="X1242">
        <v>0.93215429999999999</v>
      </c>
      <c r="Y1242">
        <v>0.68193230000000005</v>
      </c>
      <c r="Z1242">
        <v>-5.6740920000000002E-4</v>
      </c>
      <c r="AA1242">
        <v>0.73141519999999904</v>
      </c>
      <c r="AB1242">
        <v>24</v>
      </c>
      <c r="AC1242">
        <v>40.768199999999901</v>
      </c>
      <c r="AD1242">
        <v>1.8485750000000001</v>
      </c>
      <c r="AE1242">
        <v>-50.997099999999897</v>
      </c>
      <c r="AF1242">
        <v>44.559835505055297</v>
      </c>
      <c r="AG1242">
        <v>1.8485750000000001</v>
      </c>
      <c r="AH1242">
        <v>47.648138996519101</v>
      </c>
      <c r="AI1242">
        <v>88.376895152073701</v>
      </c>
      <c r="AJ1242">
        <v>46.9182791616104</v>
      </c>
      <c r="AK1242">
        <v>65.263629378083294</v>
      </c>
      <c r="AL1242">
        <v>94.803664738525399</v>
      </c>
      <c r="AM1242">
        <v>69.299352314623206</v>
      </c>
      <c r="AN1242">
        <v>0.99999999293391295</v>
      </c>
    </row>
    <row r="1243" spans="1:40" x14ac:dyDescent="0.25">
      <c r="A1243" t="str">
        <f>"20190305135216591"</f>
        <v>20190305135216591</v>
      </c>
      <c r="B1243" t="str">
        <f>"1551765136580624"</f>
        <v>1551765136580624</v>
      </c>
      <c r="C1243" t="s">
        <v>40</v>
      </c>
      <c r="D1243">
        <v>5.0425550000000001</v>
      </c>
      <c r="E1243">
        <v>0.65772989999999998</v>
      </c>
      <c r="F1243" t="s">
        <v>51</v>
      </c>
      <c r="G1243">
        <v>-168.9828</v>
      </c>
      <c r="H1243">
        <v>2.9516469999999999</v>
      </c>
      <c r="I1243">
        <v>316.47820000000002</v>
      </c>
      <c r="J1243">
        <v>-209.608</v>
      </c>
      <c r="K1243">
        <v>1.105631</v>
      </c>
      <c r="L1243">
        <v>367.7688</v>
      </c>
      <c r="M1243">
        <v>0.98897250000000003</v>
      </c>
      <c r="N1243">
        <v>-1.40777E-2</v>
      </c>
      <c r="O1243">
        <v>-0.14742910000000001</v>
      </c>
      <c r="P1243">
        <v>0.86848210000000003</v>
      </c>
      <c r="Q1243">
        <v>-9.1355729999999996E-2</v>
      </c>
      <c r="R1243">
        <v>-0.48723070000000002</v>
      </c>
      <c r="S1243">
        <v>2.0344850000000001</v>
      </c>
      <c r="T1243">
        <v>9.2122789999999996E-2</v>
      </c>
      <c r="U1243">
        <v>-2.5608219999999999</v>
      </c>
      <c r="V1243">
        <v>0.35311340000000002</v>
      </c>
      <c r="W1243">
        <v>-8.1515210000000005E-2</v>
      </c>
      <c r="X1243">
        <v>0.93202260000000003</v>
      </c>
      <c r="Y1243">
        <v>0.68268589999999996</v>
      </c>
      <c r="Z1243">
        <v>-7.3295550000000004E-4</v>
      </c>
      <c r="AA1243">
        <v>0.73071160000000002</v>
      </c>
      <c r="AB1243">
        <v>24</v>
      </c>
      <c r="AC1243">
        <v>40.6252</v>
      </c>
      <c r="AD1243">
        <v>1.8460160000000001</v>
      </c>
      <c r="AE1243">
        <v>-51.290599999999898</v>
      </c>
      <c r="AF1243">
        <v>44.704502230425398</v>
      </c>
      <c r="AG1243">
        <v>1.8460160000000001</v>
      </c>
      <c r="AH1243">
        <v>47.705687110748599</v>
      </c>
      <c r="AI1243">
        <v>88.382631645590806</v>
      </c>
      <c r="AJ1243">
        <v>46.860128310175298</v>
      </c>
      <c r="AK1243">
        <v>65.404379650379795</v>
      </c>
      <c r="AL1243">
        <v>94.675665534656204</v>
      </c>
      <c r="AM1243">
        <v>69.249912679370098</v>
      </c>
      <c r="AN1243">
        <v>0.99999996481583098</v>
      </c>
    </row>
    <row r="1244" spans="1:40" x14ac:dyDescent="0.25">
      <c r="A1244" t="str">
        <f>"20190305135216606"</f>
        <v>20190305135216606</v>
      </c>
      <c r="B1244" t="str">
        <f>"1551765136601120"</f>
        <v>1551765136601120</v>
      </c>
      <c r="C1244" t="s">
        <v>40</v>
      </c>
      <c r="D1244">
        <v>5.0456849999999998</v>
      </c>
      <c r="E1244">
        <v>0.65756579999999998</v>
      </c>
      <c r="F1244" t="s">
        <v>51</v>
      </c>
      <c r="G1244">
        <v>-168.9828</v>
      </c>
      <c r="H1244">
        <v>3.0154169999999998</v>
      </c>
      <c r="I1244">
        <v>316.11959999999999</v>
      </c>
      <c r="J1244">
        <v>-209.4538</v>
      </c>
      <c r="K1244">
        <v>1.105612</v>
      </c>
      <c r="L1244">
        <v>367.74169999999998</v>
      </c>
      <c r="M1244">
        <v>0.98840439999999996</v>
      </c>
      <c r="N1244">
        <v>-1.407954E-2</v>
      </c>
      <c r="O1244">
        <v>-0.151191299999999</v>
      </c>
      <c r="P1244">
        <v>0.86628359999999904</v>
      </c>
      <c r="Q1244">
        <v>-8.9435180000000003E-2</v>
      </c>
      <c r="R1244">
        <v>-0.49148229999999998</v>
      </c>
      <c r="S1244">
        <v>2.0220639999999999</v>
      </c>
      <c r="T1244">
        <v>9.5057370000000002E-2</v>
      </c>
      <c r="U1244">
        <v>-2.57077</v>
      </c>
      <c r="V1244">
        <v>0.35411569999999998</v>
      </c>
      <c r="W1244">
        <v>-7.9633029999999994E-2</v>
      </c>
      <c r="X1244">
        <v>0.93180510000000005</v>
      </c>
      <c r="Y1244">
        <v>0.68345590000000001</v>
      </c>
      <c r="Z1244">
        <v>-6.7314229999999896E-4</v>
      </c>
      <c r="AA1244">
        <v>0.72999150000000002</v>
      </c>
      <c r="AB1244">
        <v>24</v>
      </c>
      <c r="AC1244">
        <v>40.470999999999997</v>
      </c>
      <c r="AD1244">
        <v>1.909805</v>
      </c>
      <c r="AE1244">
        <v>-51.622099999999897</v>
      </c>
      <c r="AF1244">
        <v>44.8710560291428</v>
      </c>
      <c r="AG1244">
        <v>1.909805</v>
      </c>
      <c r="AH1244">
        <v>47.770764436799404</v>
      </c>
      <c r="AI1244">
        <v>88.330893445525803</v>
      </c>
      <c r="AJ1244">
        <v>46.792784601052503</v>
      </c>
      <c r="AK1244">
        <v>65.567560265612101</v>
      </c>
      <c r="AL1244">
        <v>94.567472394889805</v>
      </c>
      <c r="AM1244">
        <v>69.191609881459598</v>
      </c>
      <c r="AN1244">
        <v>1.0000000464197301</v>
      </c>
    </row>
    <row r="1245" spans="1:40" x14ac:dyDescent="0.25">
      <c r="A1245" t="str">
        <f>"20190305135216621"</f>
        <v>20190305135216621</v>
      </c>
      <c r="B1245" t="str">
        <f>"1551765136610881"</f>
        <v>1551765136610881</v>
      </c>
      <c r="C1245" t="s">
        <v>40</v>
      </c>
      <c r="D1245">
        <v>5.0628270000000004</v>
      </c>
      <c r="E1245">
        <v>0.65749690000000005</v>
      </c>
      <c r="F1245" t="s">
        <v>51</v>
      </c>
      <c r="G1245">
        <v>-168.9828</v>
      </c>
      <c r="H1245">
        <v>3.0005160000000002</v>
      </c>
      <c r="I1245">
        <v>315.78339999999997</v>
      </c>
      <c r="J1245">
        <v>-209.28450000000001</v>
      </c>
      <c r="K1245">
        <v>1.1055759999999999</v>
      </c>
      <c r="L1245">
        <v>367.71100000000001</v>
      </c>
      <c r="M1245">
        <v>0.98775049999999998</v>
      </c>
      <c r="N1245">
        <v>-1.408335E-2</v>
      </c>
      <c r="O1245">
        <v>-0.15540499999999999</v>
      </c>
      <c r="P1245">
        <v>0.86313249999999997</v>
      </c>
      <c r="Q1245">
        <v>-8.5626620000000001E-2</v>
      </c>
      <c r="R1245">
        <v>-0.49766480000000002</v>
      </c>
      <c r="S1245">
        <v>2.009277</v>
      </c>
      <c r="T1245">
        <v>9.4077350000000004E-2</v>
      </c>
      <c r="U1245">
        <v>-2.57959</v>
      </c>
      <c r="V1245">
        <v>0.35676659999999999</v>
      </c>
      <c r="W1245">
        <v>-7.5901529999999995E-2</v>
      </c>
      <c r="X1245">
        <v>0.93110499999999996</v>
      </c>
      <c r="Y1245">
        <v>0.68380879999999999</v>
      </c>
      <c r="Z1245">
        <v>-9.2517860000000001E-4</v>
      </c>
      <c r="AA1245">
        <v>0.72966070000000005</v>
      </c>
      <c r="AB1245">
        <v>24</v>
      </c>
      <c r="AC1245">
        <v>40.301699999999997</v>
      </c>
      <c r="AD1245">
        <v>1.8949400000000001</v>
      </c>
      <c r="AE1245">
        <v>-51.927599999999998</v>
      </c>
      <c r="AF1245">
        <v>44.995496644248902</v>
      </c>
      <c r="AG1245">
        <v>1.8949400000000001</v>
      </c>
      <c r="AH1245">
        <v>47.842818623706201</v>
      </c>
      <c r="AI1245">
        <v>88.347348745203206</v>
      </c>
      <c r="AJ1245">
        <v>46.756692906620302</v>
      </c>
      <c r="AK1245">
        <v>65.7048005074749</v>
      </c>
      <c r="AL1245">
        <v>94.353023894416395</v>
      </c>
      <c r="AM1245">
        <v>69.034929439176494</v>
      </c>
      <c r="AN1245">
        <v>0.99999998507845</v>
      </c>
    </row>
    <row r="1246" spans="1:40" x14ac:dyDescent="0.25">
      <c r="A1246" t="str">
        <f>"20190305135216638"</f>
        <v>20190305135216638</v>
      </c>
      <c r="B1246" t="str">
        <f>"1551765136630400"</f>
        <v>1551765136630400</v>
      </c>
      <c r="C1246" t="s">
        <v>40</v>
      </c>
      <c r="D1246">
        <v>5.0714569999999997</v>
      </c>
      <c r="E1246">
        <v>0.65745220000000004</v>
      </c>
      <c r="F1246" t="s">
        <v>51</v>
      </c>
      <c r="G1246">
        <v>-168.9829</v>
      </c>
      <c r="H1246">
        <v>3.1233849999999999</v>
      </c>
      <c r="I1246">
        <v>315.20339999999999</v>
      </c>
      <c r="J1246">
        <v>-209.11840000000001</v>
      </c>
      <c r="K1246">
        <v>1.1055200000000001</v>
      </c>
      <c r="L1246">
        <v>367.68009999999998</v>
      </c>
      <c r="M1246">
        <v>0.98707869999999998</v>
      </c>
      <c r="N1246">
        <v>-1.4088389999999999E-2</v>
      </c>
      <c r="O1246">
        <v>-0.15961539999999999</v>
      </c>
      <c r="P1246">
        <v>0.86020779999999997</v>
      </c>
      <c r="Q1246">
        <v>-8.3960119999999999E-2</v>
      </c>
      <c r="R1246">
        <v>-0.50298419999999999</v>
      </c>
      <c r="S1246">
        <v>1.9903869999999999</v>
      </c>
      <c r="T1246">
        <v>9.9654199999999998E-2</v>
      </c>
      <c r="U1246">
        <v>-2.5932010000000001</v>
      </c>
      <c r="V1246">
        <v>0.35852020000000001</v>
      </c>
      <c r="W1246">
        <v>-7.4309029999999998E-2</v>
      </c>
      <c r="X1246">
        <v>0.93055980000000005</v>
      </c>
      <c r="Y1246">
        <v>0.68587710000000002</v>
      </c>
      <c r="Z1246">
        <v>-6.9087839999999897E-4</v>
      </c>
      <c r="AA1246">
        <v>0.72771699999999995</v>
      </c>
      <c r="AB1246">
        <v>24</v>
      </c>
      <c r="AC1246">
        <v>40.1355</v>
      </c>
      <c r="AD1246">
        <v>2.017865</v>
      </c>
      <c r="AE1246">
        <v>-52.476700000000001</v>
      </c>
      <c r="AF1246">
        <v>45.354585107190303</v>
      </c>
      <c r="AG1246">
        <v>2.017865</v>
      </c>
      <c r="AH1246">
        <v>47.953016965234902</v>
      </c>
      <c r="AI1246">
        <v>88.2489073457389</v>
      </c>
      <c r="AJ1246">
        <v>46.595161675356501</v>
      </c>
      <c r="AK1246">
        <v>66.034854474525005</v>
      </c>
      <c r="AL1246">
        <v>94.261521624646605</v>
      </c>
      <c r="AM1246">
        <v>68.929639110339195</v>
      </c>
      <c r="AN1246">
        <v>1.0000000535618001</v>
      </c>
    </row>
    <row r="1247" spans="1:40" x14ac:dyDescent="0.25">
      <c r="A1247" t="str">
        <f>"20190305135216654"</f>
        <v>20190305135216654</v>
      </c>
      <c r="B1247" t="str">
        <f>"1551765136650896"</f>
        <v>1551765136650896</v>
      </c>
      <c r="C1247" t="s">
        <v>40</v>
      </c>
      <c r="D1247">
        <v>5.1440190000000001</v>
      </c>
      <c r="E1247">
        <v>0.65744519999999995</v>
      </c>
      <c r="F1247" t="s">
        <v>51</v>
      </c>
      <c r="G1247">
        <v>-168.9829</v>
      </c>
      <c r="H1247">
        <v>3.1347559999999999</v>
      </c>
      <c r="I1247">
        <v>314.71609999999998</v>
      </c>
      <c r="J1247">
        <v>-208.93889999999999</v>
      </c>
      <c r="K1247">
        <v>1.1054469999999901</v>
      </c>
      <c r="L1247">
        <v>367.64569999999998</v>
      </c>
      <c r="M1247">
        <v>0.98631610000000003</v>
      </c>
      <c r="N1247">
        <v>-1.4095119999999999E-2</v>
      </c>
      <c r="O1247">
        <v>-0.1642612</v>
      </c>
      <c r="P1247">
        <v>0.85609360000000001</v>
      </c>
      <c r="Q1247">
        <v>-8.2177799999999995E-2</v>
      </c>
      <c r="R1247">
        <v>-0.51024559999999997</v>
      </c>
      <c r="S1247">
        <v>1.974075</v>
      </c>
      <c r="T1247">
        <v>9.9808690000000005E-2</v>
      </c>
      <c r="U1247">
        <v>-2.6050420000000001</v>
      </c>
      <c r="V1247">
        <v>0.36198079999999999</v>
      </c>
      <c r="W1247">
        <v>-7.2642239999999997E-2</v>
      </c>
      <c r="X1247">
        <v>0.92935089999999998</v>
      </c>
      <c r="Y1247">
        <v>0.68693879999999996</v>
      </c>
      <c r="Z1247">
        <v>-8.8115869999999996E-4</v>
      </c>
      <c r="AA1247">
        <v>0.72671470000000005</v>
      </c>
      <c r="AB1247">
        <v>24</v>
      </c>
      <c r="AC1247">
        <v>39.955999999999896</v>
      </c>
      <c r="AD1247">
        <v>2.029309</v>
      </c>
      <c r="AE1247">
        <v>-52.929599999999901</v>
      </c>
      <c r="AF1247">
        <v>45.603932555126299</v>
      </c>
      <c r="AG1247">
        <v>2.029309</v>
      </c>
      <c r="AH1247">
        <v>48.063303997493101</v>
      </c>
      <c r="AI1247">
        <v>88.245664286800704</v>
      </c>
      <c r="AJ1247">
        <v>46.504039628718502</v>
      </c>
      <c r="AK1247">
        <v>66.286634781571394</v>
      </c>
      <c r="AL1247">
        <v>94.165762786989006</v>
      </c>
      <c r="AM1247">
        <v>68.719160025020599</v>
      </c>
      <c r="AN1247">
        <v>1.0000000449658299</v>
      </c>
    </row>
    <row r="1248" spans="1:40" x14ac:dyDescent="0.25">
      <c r="A1248" t="str">
        <f>"20190305135216677"</f>
        <v>20190305135216677</v>
      </c>
      <c r="B1248" t="str">
        <f>"1551765136670420"</f>
        <v>1551765136670420</v>
      </c>
      <c r="C1248" t="s">
        <v>40</v>
      </c>
      <c r="D1248">
        <v>5.106007</v>
      </c>
      <c r="E1248">
        <v>0.65714150000000005</v>
      </c>
      <c r="F1248" t="s">
        <v>54</v>
      </c>
      <c r="G1248">
        <v>-157.25</v>
      </c>
      <c r="H1248">
        <v>3.7173630000000002</v>
      </c>
      <c r="I1248">
        <v>298.23869999999999</v>
      </c>
      <c r="J1248">
        <v>-208.70189999999999</v>
      </c>
      <c r="K1248">
        <v>1.1053170000000001</v>
      </c>
      <c r="L1248">
        <v>367.59879999999998</v>
      </c>
      <c r="M1248">
        <v>0.9852419</v>
      </c>
      <c r="N1248">
        <v>-1.4106509999999999E-2</v>
      </c>
      <c r="O1248">
        <v>-0.17058589999999901</v>
      </c>
      <c r="P1248">
        <v>0.85098399999999996</v>
      </c>
      <c r="Q1248">
        <v>-8.1483E-2</v>
      </c>
      <c r="R1248">
        <v>-0.51883230000000002</v>
      </c>
      <c r="S1248">
        <v>1.9517359999999999</v>
      </c>
      <c r="T1248">
        <v>9.8626969999999994E-2</v>
      </c>
      <c r="U1248">
        <v>-2.6207579999999999</v>
      </c>
      <c r="V1248">
        <v>0.36533399999999999</v>
      </c>
      <c r="W1248">
        <v>-7.2103790000000001E-2</v>
      </c>
      <c r="X1248">
        <v>0.92807980000000001</v>
      </c>
      <c r="Y1248">
        <v>0.68835269999999904</v>
      </c>
      <c r="Z1248">
        <v>-1.2371839999999999E-3</v>
      </c>
      <c r="AA1248">
        <v>0.72537510000000005</v>
      </c>
      <c r="AB1248">
        <v>24</v>
      </c>
      <c r="AC1248">
        <v>51.451900000000002</v>
      </c>
      <c r="AD1248">
        <v>2.6120459999999901</v>
      </c>
      <c r="AE1248">
        <v>-69.360099999999903</v>
      </c>
      <c r="AF1248">
        <v>59.510989194569497</v>
      </c>
      <c r="AG1248">
        <v>2.6120459999999901</v>
      </c>
      <c r="AH1248">
        <v>62.473488649086498</v>
      </c>
      <c r="AI1248">
        <v>88.265983519905504</v>
      </c>
      <c r="AJ1248">
        <v>46.391204516534003</v>
      </c>
      <c r="AK1248">
        <v>86.321013682705498</v>
      </c>
      <c r="AL1248">
        <v>94.134830939964402</v>
      </c>
      <c r="AM1248">
        <v>68.513167234032096</v>
      </c>
      <c r="AN1248">
        <v>1.0000000016282</v>
      </c>
    </row>
    <row r="1249" spans="1:40" x14ac:dyDescent="0.25">
      <c r="A1249" t="str">
        <f>"20190305135216688"</f>
        <v>20190305135216688</v>
      </c>
      <c r="B1249" t="str">
        <f>"1551765136681152"</f>
        <v>1551765136681152</v>
      </c>
      <c r="C1249" t="s">
        <v>40</v>
      </c>
      <c r="D1249">
        <v>5.0892780000000002</v>
      </c>
      <c r="E1249">
        <v>0.65692539999999999</v>
      </c>
      <c r="F1249" t="s">
        <v>54</v>
      </c>
      <c r="G1249">
        <v>-157.25</v>
      </c>
      <c r="H1249">
        <v>3.5893730000000001</v>
      </c>
      <c r="I1249">
        <v>297.14879999999999</v>
      </c>
      <c r="J1249">
        <v>-208.577</v>
      </c>
      <c r="K1249">
        <v>1.105243</v>
      </c>
      <c r="L1249">
        <v>367.57350000000002</v>
      </c>
      <c r="M1249">
        <v>0.98464410000000002</v>
      </c>
      <c r="N1249">
        <v>-1.411364E-2</v>
      </c>
      <c r="O1249">
        <v>-0.1740032</v>
      </c>
      <c r="P1249">
        <v>0.84810629999999998</v>
      </c>
      <c r="Q1249">
        <v>-8.1881469999999998E-2</v>
      </c>
      <c r="R1249">
        <v>-0.52346079999999995</v>
      </c>
      <c r="S1249">
        <v>1.926239</v>
      </c>
      <c r="T1249">
        <v>9.3000050000000001E-2</v>
      </c>
      <c r="U1249">
        <v>-2.6374819999999999</v>
      </c>
      <c r="V1249">
        <v>0.36715639999999999</v>
      </c>
      <c r="W1249">
        <v>-7.2593050000000006E-2</v>
      </c>
      <c r="X1249">
        <v>0.92732219999999999</v>
      </c>
      <c r="Y1249">
        <v>0.69259809999999999</v>
      </c>
      <c r="Z1249">
        <v>-1.7216709999999999E-3</v>
      </c>
      <c r="AA1249">
        <v>0.72132159999999901</v>
      </c>
      <c r="AB1249">
        <v>24</v>
      </c>
      <c r="AC1249">
        <v>51.326999999999998</v>
      </c>
      <c r="AD1249">
        <v>2.4841299999999999</v>
      </c>
      <c r="AE1249">
        <v>-70.424700000000001</v>
      </c>
      <c r="AF1249">
        <v>60.369155997402402</v>
      </c>
      <c r="AG1249">
        <v>2.4841299999999999</v>
      </c>
      <c r="AH1249">
        <v>62.7482073570689</v>
      </c>
      <c r="AI1249">
        <v>88.365842947136002</v>
      </c>
      <c r="AJ1249">
        <v>46.107013961679399</v>
      </c>
      <c r="AK1249">
        <v>87.108802220104707</v>
      </c>
      <c r="AL1249">
        <v>94.162937060417406</v>
      </c>
      <c r="AM1249">
        <v>68.399809430277898</v>
      </c>
      <c r="AN1249">
        <v>1.00000001779105</v>
      </c>
    </row>
    <row r="1250" spans="1:40" x14ac:dyDescent="0.25">
      <c r="A1250" t="str">
        <f>"20190305135216699"</f>
        <v>20190305135216699</v>
      </c>
      <c r="B1250" t="str">
        <f>"1551765136690912"</f>
        <v>1551765136690912</v>
      </c>
      <c r="C1250" t="s">
        <v>40</v>
      </c>
      <c r="D1250">
        <v>5.1036700000000002</v>
      </c>
      <c r="E1250">
        <v>0.65669</v>
      </c>
      <c r="F1250" t="s">
        <v>54</v>
      </c>
      <c r="G1250">
        <v>-157.25</v>
      </c>
      <c r="H1250">
        <v>3.449719</v>
      </c>
      <c r="I1250">
        <v>296.54250000000002</v>
      </c>
      <c r="J1250">
        <v>-208.44800000000001</v>
      </c>
      <c r="K1250">
        <v>1.1051580000000001</v>
      </c>
      <c r="L1250">
        <v>367.54669999999999</v>
      </c>
      <c r="M1250">
        <v>0.98399749999999997</v>
      </c>
      <c r="N1250">
        <v>-1.412248E-2</v>
      </c>
      <c r="O1250">
        <v>-0.17762159999999999</v>
      </c>
      <c r="P1250">
        <v>0.84512469999999995</v>
      </c>
      <c r="Q1250">
        <v>-8.1907030000000006E-2</v>
      </c>
      <c r="R1250">
        <v>-0.52825710000000003</v>
      </c>
      <c r="S1250">
        <v>1.9123079999999999</v>
      </c>
      <c r="T1250">
        <v>8.7351680000000001E-2</v>
      </c>
      <c r="U1250">
        <v>-2.646423</v>
      </c>
      <c r="V1250">
        <v>0.36898340000000002</v>
      </c>
      <c r="W1250">
        <v>-7.2715160000000001E-2</v>
      </c>
      <c r="X1250">
        <v>0.92658720000000006</v>
      </c>
      <c r="Y1250">
        <v>0.69360909999999998</v>
      </c>
      <c r="Z1250">
        <v>-2.2500969999999999E-3</v>
      </c>
      <c r="AA1250">
        <v>0.72034809999999905</v>
      </c>
      <c r="AB1250">
        <v>24</v>
      </c>
      <c r="AC1250">
        <v>51.197999999999901</v>
      </c>
      <c r="AD1250">
        <v>2.3445610000000001</v>
      </c>
      <c r="AE1250">
        <v>-71.004199999999898</v>
      </c>
      <c r="AF1250">
        <v>60.736577692351702</v>
      </c>
      <c r="AG1250">
        <v>2.3445610000000001</v>
      </c>
      <c r="AH1250">
        <v>62.951708775935501</v>
      </c>
      <c r="AI1250">
        <v>88.464686761916994</v>
      </c>
      <c r="AJ1250">
        <v>46.025999304847801</v>
      </c>
      <c r="AK1250">
        <v>87.506265340671504</v>
      </c>
      <c r="AL1250">
        <v>94.169951887590898</v>
      </c>
      <c r="AM1250">
        <v>68.286678832242501</v>
      </c>
      <c r="AN1250">
        <v>1.0000000415866099</v>
      </c>
    </row>
    <row r="1251" spans="1:40" x14ac:dyDescent="0.25">
      <c r="A1251" t="str">
        <f>"20190305135216711"</f>
        <v>20190305135216711</v>
      </c>
      <c r="B1251" t="str">
        <f>"1551765136700673"</f>
        <v>1551765136700673</v>
      </c>
      <c r="C1251" t="s">
        <v>40</v>
      </c>
      <c r="D1251">
        <v>5.1247040000000004</v>
      </c>
      <c r="E1251">
        <v>0.65644449999999999</v>
      </c>
      <c r="F1251" t="s">
        <v>54</v>
      </c>
      <c r="G1251">
        <v>-157.25</v>
      </c>
      <c r="H1251">
        <v>3.348916</v>
      </c>
      <c r="I1251">
        <v>295.93060000000003</v>
      </c>
      <c r="J1251">
        <v>-208.33459999999999</v>
      </c>
      <c r="K1251">
        <v>1.105078</v>
      </c>
      <c r="L1251">
        <v>367.52260000000001</v>
      </c>
      <c r="M1251">
        <v>0.98340649999999996</v>
      </c>
      <c r="N1251">
        <v>-1.413087E-2</v>
      </c>
      <c r="O1251">
        <v>-0.1808651</v>
      </c>
      <c r="P1251">
        <v>0.84195909999999996</v>
      </c>
      <c r="Q1251">
        <v>-8.2217799999999994E-2</v>
      </c>
      <c r="R1251">
        <v>-0.53324039999999995</v>
      </c>
      <c r="S1251">
        <v>1.8981779999999999</v>
      </c>
      <c r="T1251">
        <v>8.3190680000000003E-2</v>
      </c>
      <c r="U1251">
        <v>-2.6551819999999999</v>
      </c>
      <c r="V1251">
        <v>0.3713863</v>
      </c>
      <c r="W1251">
        <v>-7.3126650000000001E-2</v>
      </c>
      <c r="X1251">
        <v>0.92559429999999998</v>
      </c>
      <c r="Y1251">
        <v>0.69490099999999999</v>
      </c>
      <c r="Z1251">
        <v>-2.651633E-3</v>
      </c>
      <c r="AA1251">
        <v>0.71910059999999998</v>
      </c>
      <c r="AB1251">
        <v>24</v>
      </c>
      <c r="AC1251">
        <v>51.084600000000002</v>
      </c>
      <c r="AD1251">
        <v>2.2438380000000002</v>
      </c>
      <c r="AE1251">
        <v>-71.591999999999899</v>
      </c>
      <c r="AF1251">
        <v>61.130927438407198</v>
      </c>
      <c r="AG1251">
        <v>2.2438380000000002</v>
      </c>
      <c r="AH1251">
        <v>63.150619449148898</v>
      </c>
      <c r="AI1251">
        <v>88.537584388577699</v>
      </c>
      <c r="AJ1251">
        <v>45.9310283441813</v>
      </c>
      <c r="AK1251">
        <v>87.920565485336098</v>
      </c>
      <c r="AL1251">
        <v>94.193591428927107</v>
      </c>
      <c r="AM1251">
        <v>68.137324551123996</v>
      </c>
      <c r="AN1251">
        <v>1.0000000494801999</v>
      </c>
    </row>
    <row r="1252" spans="1:40" x14ac:dyDescent="0.25">
      <c r="A1252" t="str">
        <f>"20190305135216731"</f>
        <v>20190305135216731</v>
      </c>
      <c r="B1252" t="str">
        <f>"1551765136721168"</f>
        <v>1551765136721168</v>
      </c>
      <c r="C1252" t="s">
        <v>40</v>
      </c>
      <c r="D1252">
        <v>5.11388</v>
      </c>
      <c r="E1252">
        <v>0.64856259999999999</v>
      </c>
      <c r="F1252" t="s">
        <v>54</v>
      </c>
      <c r="G1252">
        <v>-157.25</v>
      </c>
      <c r="H1252">
        <v>3.212777</v>
      </c>
      <c r="I1252">
        <v>295.20319999999998</v>
      </c>
      <c r="J1252">
        <v>-208.1207</v>
      </c>
      <c r="K1252">
        <v>1.1049169999999999</v>
      </c>
      <c r="L1252">
        <v>367.476</v>
      </c>
      <c r="M1252">
        <v>0.98223050000000001</v>
      </c>
      <c r="N1252">
        <v>-1.414807E-2</v>
      </c>
      <c r="O1252">
        <v>-0.18714459999999999</v>
      </c>
      <c r="P1252">
        <v>0.83551169999999997</v>
      </c>
      <c r="Q1252">
        <v>-8.3275559999999998E-2</v>
      </c>
      <c r="R1252">
        <v>-0.543126</v>
      </c>
      <c r="S1252">
        <v>1.88269</v>
      </c>
      <c r="T1252">
        <v>7.7680949999999999E-2</v>
      </c>
      <c r="U1252">
        <v>-2.6652830000000001</v>
      </c>
      <c r="V1252">
        <v>0.37635059999999998</v>
      </c>
      <c r="W1252">
        <v>-7.4388990000000002E-2</v>
      </c>
      <c r="X1252">
        <v>0.92348609999999998</v>
      </c>
      <c r="Y1252">
        <v>0.69438789999999995</v>
      </c>
      <c r="Z1252">
        <v>-3.2728409999999999E-3</v>
      </c>
      <c r="AA1252">
        <v>0.7195935</v>
      </c>
      <c r="AB1252">
        <v>24</v>
      </c>
      <c r="AC1252">
        <v>50.870699999999999</v>
      </c>
      <c r="AD1252">
        <v>2.1078600000000001</v>
      </c>
      <c r="AE1252">
        <v>-72.272800000000004</v>
      </c>
      <c r="AF1252">
        <v>61.439576457914697</v>
      </c>
      <c r="AG1252">
        <v>2.1078600000000001</v>
      </c>
      <c r="AH1252">
        <v>63.4624740415912</v>
      </c>
      <c r="AI1252">
        <v>88.632993889010905</v>
      </c>
      <c r="AJ1252">
        <v>45.927873969981803</v>
      </c>
      <c r="AK1252">
        <v>88.355816110696296</v>
      </c>
      <c r="AL1252">
        <v>94.266115783312699</v>
      </c>
      <c r="AM1252">
        <v>67.827507401411395</v>
      </c>
      <c r="AN1252">
        <v>1.0000000364233901</v>
      </c>
    </row>
    <row r="1253" spans="1:40" x14ac:dyDescent="0.25">
      <c r="A1253" t="str">
        <f>"20190305135216743"</f>
        <v>20190305135216743</v>
      </c>
      <c r="B1253" t="str">
        <f>"1551765136740689"</f>
        <v>1551765136740689</v>
      </c>
      <c r="C1253" t="s">
        <v>40</v>
      </c>
      <c r="D1253">
        <v>5.108358</v>
      </c>
      <c r="E1253">
        <v>0.64886580000000005</v>
      </c>
      <c r="F1253" t="s">
        <v>47</v>
      </c>
      <c r="G1253">
        <v>-167.5615</v>
      </c>
      <c r="H1253">
        <v>-0.05</v>
      </c>
      <c r="I1253">
        <v>310.59710000000001</v>
      </c>
      <c r="J1253">
        <v>-207.99870000000001</v>
      </c>
      <c r="K1253">
        <v>1.1048279999999999</v>
      </c>
      <c r="L1253">
        <v>367.44880000000001</v>
      </c>
      <c r="M1253">
        <v>0.98152439999999996</v>
      </c>
      <c r="N1253">
        <v>-1.4158469999999999E-2</v>
      </c>
      <c r="O1253">
        <v>-0.19081200000000001</v>
      </c>
      <c r="P1253">
        <v>0.83169519999999997</v>
      </c>
      <c r="Q1253">
        <v>-8.4206690000000001E-2</v>
      </c>
      <c r="R1253">
        <v>-0.54880989999999996</v>
      </c>
      <c r="S1253">
        <v>1.875534</v>
      </c>
      <c r="T1253">
        <v>-5.3405519999999998E-2</v>
      </c>
      <c r="U1253">
        <v>-2.630188</v>
      </c>
      <c r="V1253">
        <v>0.37918360000000001</v>
      </c>
      <c r="W1253">
        <v>-7.5440960000000001E-2</v>
      </c>
      <c r="X1253">
        <v>0.92224099999999998</v>
      </c>
      <c r="Y1253">
        <v>0.68823880000000004</v>
      </c>
      <c r="Z1253">
        <v>-1.156562E-2</v>
      </c>
      <c r="AA1253">
        <v>0.72539200000000004</v>
      </c>
      <c r="AB1253">
        <v>24</v>
      </c>
      <c r="AC1253">
        <v>40.437199999999997</v>
      </c>
      <c r="AD1253">
        <v>-1.154828</v>
      </c>
      <c r="AE1253">
        <v>-56.851700000000001</v>
      </c>
      <c r="AF1253">
        <v>48.077079167016997</v>
      </c>
      <c r="AG1253">
        <v>-1.154828</v>
      </c>
      <c r="AH1253">
        <v>50.529310661381601</v>
      </c>
      <c r="AI1253">
        <v>90.948584313752505</v>
      </c>
      <c r="AJ1253">
        <v>46.424588820891202</v>
      </c>
      <c r="AK1253">
        <v>69.756364618976605</v>
      </c>
      <c r="AL1253">
        <v>94.326559226613995</v>
      </c>
      <c r="AM1253">
        <v>67.649761767337793</v>
      </c>
      <c r="AN1253">
        <v>1.0000000015178401</v>
      </c>
    </row>
    <row r="1254" spans="1:40" x14ac:dyDescent="0.25">
      <c r="A1254" t="str">
        <f>"20190305135216754"</f>
        <v>20190305135216754</v>
      </c>
      <c r="B1254" t="str">
        <f>"1551765136750449"</f>
        <v>1551765136750449</v>
      </c>
      <c r="C1254" t="s">
        <v>40</v>
      </c>
      <c r="D1254">
        <v>5.1177659999999996</v>
      </c>
      <c r="E1254">
        <v>0.64817609999999903</v>
      </c>
      <c r="F1254" t="s">
        <v>47</v>
      </c>
      <c r="G1254">
        <v>-158.61340000000001</v>
      </c>
      <c r="H1254">
        <v>-0.05</v>
      </c>
      <c r="I1254">
        <v>297.09219999999999</v>
      </c>
      <c r="J1254">
        <v>-207.88659999999999</v>
      </c>
      <c r="K1254">
        <v>1.104746</v>
      </c>
      <c r="L1254">
        <v>367.42309999999998</v>
      </c>
      <c r="M1254">
        <v>0.98084470000000001</v>
      </c>
      <c r="N1254">
        <v>-1.4169080000000001E-2</v>
      </c>
      <c r="O1254">
        <v>-0.19427549999999999</v>
      </c>
      <c r="P1254">
        <v>0.8281094</v>
      </c>
      <c r="Q1254">
        <v>-8.4924040000000006E-2</v>
      </c>
      <c r="R1254">
        <v>-0.55409589999999997</v>
      </c>
      <c r="S1254">
        <v>1.8569789999999999</v>
      </c>
      <c r="T1254">
        <v>-4.3423650000000001E-2</v>
      </c>
      <c r="U1254">
        <v>-2.6455380000000002</v>
      </c>
      <c r="V1254">
        <v>0.38178879999999998</v>
      </c>
      <c r="W1254">
        <v>-7.6268290000000002E-2</v>
      </c>
      <c r="X1254">
        <v>0.92109750000000001</v>
      </c>
      <c r="Y1254">
        <v>0.69110719999999903</v>
      </c>
      <c r="Z1254">
        <v>-1.1007029999999999E-2</v>
      </c>
      <c r="AA1254">
        <v>0.72266850000000005</v>
      </c>
      <c r="AB1254">
        <v>24</v>
      </c>
      <c r="AC1254">
        <v>49.273199999999903</v>
      </c>
      <c r="AD1254">
        <v>-1.1547459999999901</v>
      </c>
      <c r="AE1254">
        <v>-70.3308999999999</v>
      </c>
      <c r="AF1254">
        <v>59.406335866215201</v>
      </c>
      <c r="AG1254">
        <v>-1.1547459999999901</v>
      </c>
      <c r="AH1254">
        <v>61.987941073446102</v>
      </c>
      <c r="AI1254">
        <v>90.770551226809999</v>
      </c>
      <c r="AJ1254">
        <v>46.218284700751099</v>
      </c>
      <c r="AK1254">
        <v>85.865889722864395</v>
      </c>
      <c r="AL1254">
        <v>94.374098402083504</v>
      </c>
      <c r="AM1254">
        <v>67.486317724800898</v>
      </c>
      <c r="AN1254">
        <v>1.0000000721855999</v>
      </c>
    </row>
    <row r="1255" spans="1:40" x14ac:dyDescent="0.25">
      <c r="A1255" t="str">
        <f>"20190305135216766"</f>
        <v>20190305135216766</v>
      </c>
      <c r="B1255" t="str">
        <f>"1551765136761185"</f>
        <v>1551765136761185</v>
      </c>
      <c r="C1255" t="s">
        <v>40</v>
      </c>
      <c r="D1255">
        <v>5.1089209999999996</v>
      </c>
      <c r="E1255">
        <v>0.64757909999999996</v>
      </c>
      <c r="F1255" t="s">
        <v>47</v>
      </c>
      <c r="G1255">
        <v>-158.36689999999999</v>
      </c>
      <c r="H1255">
        <v>-0.05</v>
      </c>
      <c r="I1255">
        <v>296.16359999999997</v>
      </c>
      <c r="J1255">
        <v>-207.76349999999999</v>
      </c>
      <c r="K1255">
        <v>1.10466</v>
      </c>
      <c r="L1255">
        <v>367.39460000000003</v>
      </c>
      <c r="M1255">
        <v>0.98007789999999995</v>
      </c>
      <c r="N1255">
        <v>-1.4180480000000001E-2</v>
      </c>
      <c r="O1255">
        <v>-0.19810620000000001</v>
      </c>
      <c r="P1255">
        <v>0.82432809999999901</v>
      </c>
      <c r="Q1255">
        <v>-8.5598919999999995E-2</v>
      </c>
      <c r="R1255">
        <v>-0.55960319999999997</v>
      </c>
      <c r="S1255">
        <v>1.8433839999999999</v>
      </c>
      <c r="T1255">
        <v>-4.2985679999999998E-2</v>
      </c>
      <c r="U1255">
        <v>-2.6526489999999998</v>
      </c>
      <c r="V1255">
        <v>0.3843143</v>
      </c>
      <c r="W1255">
        <v>-7.7059279999999994E-2</v>
      </c>
      <c r="X1255">
        <v>0.91998060000000004</v>
      </c>
      <c r="Y1255">
        <v>0.69168809999999903</v>
      </c>
      <c r="Z1255">
        <v>-1.09958E-2</v>
      </c>
      <c r="AA1255">
        <v>0.72211269999999905</v>
      </c>
      <c r="AB1255">
        <v>24</v>
      </c>
      <c r="AC1255">
        <v>49.396599999999999</v>
      </c>
      <c r="AD1255">
        <v>-1.15466</v>
      </c>
      <c r="AE1255">
        <v>-71.230999999999995</v>
      </c>
      <c r="AF1255">
        <v>60.0215469840944</v>
      </c>
      <c r="AG1255">
        <v>-1.15466</v>
      </c>
      <c r="AH1255">
        <v>62.519017748961602</v>
      </c>
      <c r="AI1255">
        <v>90.763301298518499</v>
      </c>
      <c r="AJ1255">
        <v>46.167570321458797</v>
      </c>
      <c r="AK1255">
        <v>86.674949797357399</v>
      </c>
      <c r="AL1255">
        <v>94.419553060954698</v>
      </c>
      <c r="AM1255">
        <v>67.327669753859993</v>
      </c>
      <c r="AN1255">
        <v>0.99999995909748296</v>
      </c>
    </row>
    <row r="1256" spans="1:40" x14ac:dyDescent="0.25">
      <c r="A1256" t="str">
        <f>"20190305135216777"</f>
        <v>20190305135216777</v>
      </c>
      <c r="B1256" t="str">
        <f>"1551765136770944"</f>
        <v>1551765136770944</v>
      </c>
      <c r="C1256" t="s">
        <v>40</v>
      </c>
      <c r="D1256">
        <v>5.1019040000000002</v>
      </c>
      <c r="E1256">
        <v>0.64698809999999995</v>
      </c>
      <c r="F1256" t="s">
        <v>47</v>
      </c>
      <c r="G1256">
        <v>-159.93780000000001</v>
      </c>
      <c r="H1256">
        <v>-0.05</v>
      </c>
      <c r="I1256">
        <v>297.77789999999999</v>
      </c>
      <c r="J1256">
        <v>-207.6412</v>
      </c>
      <c r="K1256">
        <v>1.1045720000000001</v>
      </c>
      <c r="L1256">
        <v>367.36529999999999</v>
      </c>
      <c r="M1256">
        <v>0.9792748</v>
      </c>
      <c r="N1256">
        <v>-1.419305E-2</v>
      </c>
      <c r="O1256">
        <v>-0.20203860000000001</v>
      </c>
      <c r="P1256">
        <v>0.82073629999999997</v>
      </c>
      <c r="Q1256">
        <v>-8.6119130000000002E-2</v>
      </c>
      <c r="R1256">
        <v>-0.56477949999999999</v>
      </c>
      <c r="S1256">
        <v>1.8281860000000001</v>
      </c>
      <c r="T1256">
        <v>-4.4137950000000002E-2</v>
      </c>
      <c r="U1256">
        <v>-2.6611630000000002</v>
      </c>
      <c r="V1256">
        <v>0.38639519999999999</v>
      </c>
      <c r="W1256">
        <v>-7.7688030000000005E-2</v>
      </c>
      <c r="X1256">
        <v>0.91905570000000003</v>
      </c>
      <c r="Y1256">
        <v>0.69266130000000004</v>
      </c>
      <c r="Z1256">
        <v>-1.1088840000000001E-2</v>
      </c>
      <c r="AA1256">
        <v>0.72117779999999998</v>
      </c>
      <c r="AB1256">
        <v>24</v>
      </c>
      <c r="AC1256">
        <v>47.703399999999903</v>
      </c>
      <c r="AD1256">
        <v>-1.1545719999999999</v>
      </c>
      <c r="AE1256">
        <v>-69.587400000000002</v>
      </c>
      <c r="AF1256">
        <v>58.502191765418999</v>
      </c>
      <c r="AG1256">
        <v>-1.1545719999999999</v>
      </c>
      <c r="AH1256">
        <v>60.768814738377102</v>
      </c>
      <c r="AI1256">
        <v>90.784184473708393</v>
      </c>
      <c r="AJ1256">
        <v>46.088716388954502</v>
      </c>
      <c r="AK1256">
        <v>84.360466585766602</v>
      </c>
      <c r="AL1256">
        <v>94.455685788102798</v>
      </c>
      <c r="AM1256">
        <v>67.196834106900198</v>
      </c>
      <c r="AN1256">
        <v>1.0000000301454</v>
      </c>
    </row>
    <row r="1257" spans="1:40" x14ac:dyDescent="0.25">
      <c r="A1257" t="str">
        <f>"20190305135216789"</f>
        <v>20190305135216789</v>
      </c>
      <c r="B1257" t="str">
        <f>"1551765136780704"</f>
        <v>1551765136780704</v>
      </c>
      <c r="C1257" t="s">
        <v>40</v>
      </c>
      <c r="D1257">
        <v>5.1314669999999998</v>
      </c>
      <c r="E1257">
        <v>0.64665810000000001</v>
      </c>
      <c r="F1257" t="s">
        <v>47</v>
      </c>
      <c r="G1257">
        <v>-158.33459999999999</v>
      </c>
      <c r="H1257">
        <v>-0.05</v>
      </c>
      <c r="I1257">
        <v>294.84789999999998</v>
      </c>
      <c r="J1257">
        <v>-207.518</v>
      </c>
      <c r="K1257">
        <v>1.1044860000000001</v>
      </c>
      <c r="L1257">
        <v>367.33550000000002</v>
      </c>
      <c r="M1257">
        <v>0.97844070000000005</v>
      </c>
      <c r="N1257">
        <v>-1.4205590000000001E-2</v>
      </c>
      <c r="O1257">
        <v>-0.2060389</v>
      </c>
      <c r="P1257">
        <v>0.81708289999999995</v>
      </c>
      <c r="Q1257">
        <v>-8.6001049999999996E-2</v>
      </c>
      <c r="R1257">
        <v>-0.57006969999999901</v>
      </c>
      <c r="S1257">
        <v>1.814438</v>
      </c>
      <c r="T1257">
        <v>-4.2487259999999999E-2</v>
      </c>
      <c r="U1257">
        <v>-2.6685789999999998</v>
      </c>
      <c r="V1257">
        <v>0.38855509999999999</v>
      </c>
      <c r="W1257">
        <v>-7.7679419999999999E-2</v>
      </c>
      <c r="X1257">
        <v>0.9181454</v>
      </c>
      <c r="Y1257">
        <v>0.69319119999999901</v>
      </c>
      <c r="Z1257">
        <v>-1.100577E-2</v>
      </c>
      <c r="AA1257">
        <v>0.72066969999999997</v>
      </c>
      <c r="AB1257">
        <v>24</v>
      </c>
      <c r="AC1257">
        <v>49.183399999999999</v>
      </c>
      <c r="AD1257">
        <v>-1.1544859999999999</v>
      </c>
      <c r="AE1257">
        <v>-72.4876</v>
      </c>
      <c r="AF1257">
        <v>60.786699921453497</v>
      </c>
      <c r="AG1257">
        <v>-1.1544859999999999</v>
      </c>
      <c r="AH1257">
        <v>63.053716151309999</v>
      </c>
      <c r="AI1257">
        <v>90.755206973109495</v>
      </c>
      <c r="AJ1257">
        <v>46.048736430271198</v>
      </c>
      <c r="AK1257">
        <v>87.590677847331406</v>
      </c>
      <c r="AL1257">
        <v>94.455190812597607</v>
      </c>
      <c r="AM1257">
        <v>67.062132097883193</v>
      </c>
      <c r="AN1257">
        <v>1.0000000667843501</v>
      </c>
    </row>
    <row r="1258" spans="1:40" x14ac:dyDescent="0.25">
      <c r="A1258" t="str">
        <f>"20190305135216802"</f>
        <v>20190305135216802</v>
      </c>
      <c r="B1258" t="str">
        <f>"1551765136790464"</f>
        <v>1551765136790464</v>
      </c>
      <c r="C1258" t="s">
        <v>40</v>
      </c>
      <c r="D1258">
        <v>5.0947370000000003</v>
      </c>
      <c r="E1258">
        <v>0.64602780000000004</v>
      </c>
      <c r="F1258" t="s">
        <v>47</v>
      </c>
      <c r="G1258">
        <v>-153.61500000000001</v>
      </c>
      <c r="H1258">
        <v>-0.05</v>
      </c>
      <c r="I1258">
        <v>287.10649999999998</v>
      </c>
      <c r="J1258">
        <v>-207.38550000000001</v>
      </c>
      <c r="K1258">
        <v>1.1043970000000001</v>
      </c>
      <c r="L1258">
        <v>367.30270000000002</v>
      </c>
      <c r="M1258">
        <v>0.97750649999999994</v>
      </c>
      <c r="N1258">
        <v>-1.4219559999999999E-2</v>
      </c>
      <c r="O1258">
        <v>-0.2104259</v>
      </c>
      <c r="P1258">
        <v>0.81339600000000001</v>
      </c>
      <c r="Q1258">
        <v>-8.5870299999999997E-2</v>
      </c>
      <c r="R1258">
        <v>-0.57533800000000002</v>
      </c>
      <c r="S1258">
        <v>1.7991790000000001</v>
      </c>
      <c r="T1258">
        <v>-3.8534520000000003E-2</v>
      </c>
      <c r="U1258">
        <v>-2.6778870000000001</v>
      </c>
      <c r="V1258">
        <v>0.39034799999999997</v>
      </c>
      <c r="W1258">
        <v>-7.7655009999999997E-2</v>
      </c>
      <c r="X1258">
        <v>0.91738660000000005</v>
      </c>
      <c r="Y1258">
        <v>0.69396169999999902</v>
      </c>
      <c r="Z1258">
        <v>-1.0800189999999999E-2</v>
      </c>
      <c r="AA1258">
        <v>0.71993090000000004</v>
      </c>
      <c r="AB1258">
        <v>24</v>
      </c>
      <c r="AC1258">
        <v>53.770499999999998</v>
      </c>
      <c r="AD1258">
        <v>-1.1543969999999999</v>
      </c>
      <c r="AE1258">
        <v>-80.196200000000005</v>
      </c>
      <c r="AF1258">
        <v>67.074788213603796</v>
      </c>
      <c r="AG1258">
        <v>-1.1543969999999999</v>
      </c>
      <c r="AH1258">
        <v>69.433459205870506</v>
      </c>
      <c r="AI1258">
        <v>90.6850912348159</v>
      </c>
      <c r="AJ1258">
        <v>45.989892180238101</v>
      </c>
      <c r="AK1258">
        <v>96.547216964688801</v>
      </c>
      <c r="AL1258">
        <v>94.453788203985198</v>
      </c>
      <c r="AM1258">
        <v>66.950247249244896</v>
      </c>
      <c r="AN1258">
        <v>1.0000000177708299</v>
      </c>
    </row>
    <row r="1259" spans="1:40" x14ac:dyDescent="0.25">
      <c r="A1259" t="str">
        <f>"20190305135216816"</f>
        <v>20190305135216816</v>
      </c>
      <c r="B1259" t="str">
        <f>"1551765136810961"</f>
        <v>1551765136810961</v>
      </c>
      <c r="C1259" t="s">
        <v>40</v>
      </c>
      <c r="D1259">
        <v>5.1256259999999996</v>
      </c>
      <c r="E1259">
        <v>0.64533969999999996</v>
      </c>
      <c r="F1259" t="s">
        <v>54</v>
      </c>
      <c r="G1259">
        <v>-157.25</v>
      </c>
      <c r="H1259">
        <v>7.2402949999999994E-2</v>
      </c>
      <c r="I1259">
        <v>291.87479999999999</v>
      </c>
      <c r="J1259">
        <v>-207.24340000000001</v>
      </c>
      <c r="K1259">
        <v>1.1042970000000001</v>
      </c>
      <c r="L1259">
        <v>367.26659999999998</v>
      </c>
      <c r="M1259">
        <v>0.9764581</v>
      </c>
      <c r="N1259">
        <v>-1.423523E-2</v>
      </c>
      <c r="O1259">
        <v>-0.21523690000000001</v>
      </c>
      <c r="P1259">
        <v>0.80935749999999995</v>
      </c>
      <c r="Q1259">
        <v>-8.5373679999999993E-2</v>
      </c>
      <c r="R1259">
        <v>-0.58107819999999899</v>
      </c>
      <c r="S1259">
        <v>1.7849119999999901</v>
      </c>
      <c r="T1259">
        <v>-3.673804E-2</v>
      </c>
      <c r="U1259">
        <v>-2.6853639999999999</v>
      </c>
      <c r="V1259">
        <v>0.39229449999999999</v>
      </c>
      <c r="W1259">
        <v>-7.7269840000000006E-2</v>
      </c>
      <c r="X1259">
        <v>0.91658839999999997</v>
      </c>
      <c r="Y1259">
        <v>0.69399820000000001</v>
      </c>
      <c r="Z1259">
        <v>-1.071185E-2</v>
      </c>
      <c r="AA1259">
        <v>0.71989700000000001</v>
      </c>
      <c r="AB1259">
        <v>24</v>
      </c>
      <c r="AC1259">
        <v>49.993400000000001</v>
      </c>
      <c r="AD1259">
        <v>-1.03189404999999</v>
      </c>
      <c r="AE1259">
        <v>-75.391799999999904</v>
      </c>
      <c r="AF1259">
        <v>62.854700787568603</v>
      </c>
      <c r="AG1259">
        <v>-1.03189404999999</v>
      </c>
      <c r="AH1259">
        <v>65.041686206842101</v>
      </c>
      <c r="AI1259">
        <v>90.653630241635696</v>
      </c>
      <c r="AJ1259">
        <v>45.9796431819844</v>
      </c>
      <c r="AK1259">
        <v>90.455509290780697</v>
      </c>
      <c r="AL1259">
        <v>94.431653384377</v>
      </c>
      <c r="AM1259">
        <v>66.829357108829498</v>
      </c>
      <c r="AN1259">
        <v>0.99999994895921596</v>
      </c>
    </row>
    <row r="1260" spans="1:40" x14ac:dyDescent="0.25">
      <c r="A1260" t="str">
        <f>"20190305135216830"</f>
        <v>20190305135216830</v>
      </c>
      <c r="B1260" t="str">
        <f>"1551765136820719"</f>
        <v>1551765136820719</v>
      </c>
      <c r="C1260" t="s">
        <v>40</v>
      </c>
      <c r="D1260">
        <v>5.1784160000000004</v>
      </c>
      <c r="E1260">
        <v>0.62844669999999903</v>
      </c>
      <c r="F1260" t="s">
        <v>54</v>
      </c>
      <c r="G1260">
        <v>-157.25</v>
      </c>
      <c r="H1260">
        <v>5.518961E-2</v>
      </c>
      <c r="I1260">
        <v>291.1748</v>
      </c>
      <c r="J1260">
        <v>-207.09129999999999</v>
      </c>
      <c r="K1260">
        <v>1.104198</v>
      </c>
      <c r="L1260">
        <v>367.22710000000001</v>
      </c>
      <c r="M1260">
        <v>0.97528919999999997</v>
      </c>
      <c r="N1260">
        <v>-1.425205E-2</v>
      </c>
      <c r="O1260">
        <v>-0.22047249999999999</v>
      </c>
      <c r="P1260">
        <v>0.80513239999999997</v>
      </c>
      <c r="Q1260">
        <v>-8.4720519999999994E-2</v>
      </c>
      <c r="R1260">
        <v>-0.58701269999999905</v>
      </c>
      <c r="S1260">
        <v>1.7693179999999999</v>
      </c>
      <c r="T1260">
        <v>-3.7126180000000002E-2</v>
      </c>
      <c r="U1260">
        <v>-2.6929630000000002</v>
      </c>
      <c r="V1260">
        <v>0.39408729999999997</v>
      </c>
      <c r="W1260">
        <v>-7.6729660000000005E-2</v>
      </c>
      <c r="X1260">
        <v>0.91586449999999997</v>
      </c>
      <c r="Y1260">
        <v>0.69397540000000002</v>
      </c>
      <c r="Z1260">
        <v>-1.0746759999999999E-2</v>
      </c>
      <c r="AA1260">
        <v>0.71991850000000002</v>
      </c>
      <c r="AB1260">
        <v>24</v>
      </c>
      <c r="AC1260">
        <v>49.841299999999897</v>
      </c>
      <c r="AD1260">
        <v>-1.04900839</v>
      </c>
      <c r="AE1260">
        <v>-76.052300000000002</v>
      </c>
      <c r="AF1260">
        <v>63.182351294297298</v>
      </c>
      <c r="AG1260">
        <v>-1.04900839</v>
      </c>
      <c r="AH1260">
        <v>65.375053407183103</v>
      </c>
      <c r="AI1260">
        <v>90.6610541902851</v>
      </c>
      <c r="AJ1260">
        <v>45.977154108269701</v>
      </c>
      <c r="AK1260">
        <v>90.923085856510198</v>
      </c>
      <c r="AL1260">
        <v>94.400610911430107</v>
      </c>
      <c r="AM1260">
        <v>66.718275615258307</v>
      </c>
      <c r="AN1260">
        <v>1.00000001155262</v>
      </c>
    </row>
    <row r="1261" spans="1:40" x14ac:dyDescent="0.25">
      <c r="A1261" t="str">
        <f>"20190305135216844"</f>
        <v>20190305135216844</v>
      </c>
      <c r="B1261" t="str">
        <f>"1551765136841218"</f>
        <v>1551765136841218</v>
      </c>
      <c r="C1261" t="s">
        <v>40</v>
      </c>
      <c r="D1261">
        <v>5.1536549999999997</v>
      </c>
      <c r="E1261">
        <v>0.61220430000000003</v>
      </c>
      <c r="F1261" t="s">
        <v>42</v>
      </c>
      <c r="G1261">
        <v>-188.47620000000001</v>
      </c>
      <c r="H1261" s="1">
        <v>-7.7583779999999995E-7</v>
      </c>
      <c r="I1261">
        <v>340.73649999999998</v>
      </c>
      <c r="J1261">
        <v>-206.95689999999999</v>
      </c>
      <c r="K1261">
        <v>1.1041080000000001</v>
      </c>
      <c r="L1261">
        <v>367.19150000000002</v>
      </c>
      <c r="M1261">
        <v>0.97421290000000005</v>
      </c>
      <c r="N1261">
        <v>-1.426699E-2</v>
      </c>
      <c r="O1261">
        <v>-0.2251794</v>
      </c>
      <c r="P1261">
        <v>0.80039249999999995</v>
      </c>
      <c r="Q1261">
        <v>-8.3920079999999994E-2</v>
      </c>
      <c r="R1261">
        <v>-0.59357320000000002</v>
      </c>
      <c r="S1261">
        <v>1.823135</v>
      </c>
      <c r="T1261">
        <v>-0.10814360000000001</v>
      </c>
      <c r="U1261">
        <v>-2.594452</v>
      </c>
      <c r="V1261">
        <v>0.39711869999999999</v>
      </c>
      <c r="W1261">
        <v>-7.6055949999999997E-2</v>
      </c>
      <c r="X1261">
        <v>0.91461040000000005</v>
      </c>
      <c r="Y1261">
        <v>0.66718060000000001</v>
      </c>
      <c r="Z1261">
        <v>-1.35566E-2</v>
      </c>
      <c r="AA1261">
        <v>0.74477260000000001</v>
      </c>
      <c r="AB1261">
        <v>24</v>
      </c>
      <c r="AC1261">
        <v>18.480699999999899</v>
      </c>
      <c r="AD1261">
        <v>-1.1041087758378001</v>
      </c>
      <c r="AE1261">
        <v>-26.454999999999998</v>
      </c>
      <c r="AF1261">
        <v>21.588257227531699</v>
      </c>
      <c r="AG1261">
        <v>-1.1041087758378001</v>
      </c>
      <c r="AH1261">
        <v>23.9356764968684</v>
      </c>
      <c r="AI1261">
        <v>91.961838858728399</v>
      </c>
      <c r="AJ1261">
        <v>47.951814372807902</v>
      </c>
      <c r="AK1261">
        <v>32.251953672199399</v>
      </c>
      <c r="AL1261">
        <v>94.361897194584799</v>
      </c>
      <c r="AM1261">
        <v>66.529785016866995</v>
      </c>
      <c r="AN1261">
        <v>0.99999997660412598</v>
      </c>
    </row>
    <row r="1262" spans="1:40" x14ac:dyDescent="0.25">
      <c r="A1262" t="str">
        <f>"20190305135216867"</f>
        <v>20190305135216867</v>
      </c>
      <c r="B1262" t="str">
        <f>"1551765136860736"</f>
        <v>1551765136860736</v>
      </c>
      <c r="C1262" t="s">
        <v>40</v>
      </c>
      <c r="D1262">
        <v>5.1710450000000003</v>
      </c>
      <c r="E1262">
        <v>0.59968730000000003</v>
      </c>
      <c r="F1262" t="s">
        <v>42</v>
      </c>
      <c r="G1262">
        <v>-192.2636</v>
      </c>
      <c r="H1262" s="1">
        <v>-4.0091229999999999E-6</v>
      </c>
      <c r="I1262">
        <v>347.58789999999999</v>
      </c>
      <c r="J1262">
        <v>-206.71729999999999</v>
      </c>
      <c r="K1262">
        <v>1.1039650000000001</v>
      </c>
      <c r="L1262">
        <v>367.1259</v>
      </c>
      <c r="M1262">
        <v>0.97218230000000005</v>
      </c>
      <c r="N1262">
        <v>-1.4294670000000001E-2</v>
      </c>
      <c r="O1262">
        <v>-0.2337892</v>
      </c>
      <c r="P1262">
        <v>0.79408000000000001</v>
      </c>
      <c r="Q1262">
        <v>-8.2566470000000003E-2</v>
      </c>
      <c r="R1262">
        <v>-0.60217969999999998</v>
      </c>
      <c r="S1262">
        <v>1.8766020000000001</v>
      </c>
      <c r="T1262">
        <v>-0.14101449999999999</v>
      </c>
      <c r="U1262">
        <v>-2.5037229999999999</v>
      </c>
      <c r="V1262">
        <v>0.39885619999999999</v>
      </c>
      <c r="W1262">
        <v>-7.4851479999999998E-2</v>
      </c>
      <c r="X1262">
        <v>0.91395349999999997</v>
      </c>
      <c r="Y1262">
        <v>0.63704209999999994</v>
      </c>
      <c r="Z1262">
        <v>-1.357204E-2</v>
      </c>
      <c r="AA1262">
        <v>0.77070950000000005</v>
      </c>
      <c r="AB1262">
        <v>24</v>
      </c>
      <c r="AC1262">
        <v>14.4536999999999</v>
      </c>
      <c r="AD1262">
        <v>-1.1039690091229999</v>
      </c>
      <c r="AE1262">
        <v>-19.538</v>
      </c>
      <c r="AF1262">
        <v>15.584815174295899</v>
      </c>
      <c r="AG1262">
        <v>-1.1039690091229999</v>
      </c>
      <c r="AH1262">
        <v>18.5829613411906</v>
      </c>
      <c r="AI1262">
        <v>92.606228919463305</v>
      </c>
      <c r="AJ1262">
        <v>50.014732558899397</v>
      </c>
      <c r="AK1262">
        <v>24.2782137686909</v>
      </c>
      <c r="AL1262">
        <v>94.292688721777594</v>
      </c>
      <c r="AM1262">
        <v>66.423180632918402</v>
      </c>
      <c r="AN1262">
        <v>1.0000000062494401</v>
      </c>
    </row>
    <row r="1263" spans="1:40" x14ac:dyDescent="0.25">
      <c r="A1263" t="str">
        <f>"20190305135216879"</f>
        <v>20190305135216879</v>
      </c>
      <c r="B1263" t="str">
        <f>"1551765136870496"</f>
        <v>1551765136870496</v>
      </c>
      <c r="C1263" t="s">
        <v>40</v>
      </c>
      <c r="D1263">
        <v>5.1444850000000004</v>
      </c>
      <c r="E1263">
        <v>0.59633649999999905</v>
      </c>
      <c r="F1263" t="s">
        <v>52</v>
      </c>
      <c r="G1263">
        <v>-194.75960000000001</v>
      </c>
      <c r="H1263" s="1">
        <v>-2.573769E-6</v>
      </c>
      <c r="I1263">
        <v>351.81139999999999</v>
      </c>
      <c r="J1263">
        <v>-206.5866</v>
      </c>
      <c r="K1263">
        <v>1.1038859999999999</v>
      </c>
      <c r="L1263">
        <v>367.08879999999999</v>
      </c>
      <c r="M1263">
        <v>0.97101079999999995</v>
      </c>
      <c r="N1263">
        <v>-1.431033E-2</v>
      </c>
      <c r="O1263">
        <v>-0.23860680000000001</v>
      </c>
      <c r="P1263">
        <v>0.79071029999999998</v>
      </c>
      <c r="Q1263">
        <v>-8.142083E-2</v>
      </c>
      <c r="R1263">
        <v>-0.60675179999999995</v>
      </c>
      <c r="S1263">
        <v>1.9072880000000001</v>
      </c>
      <c r="T1263">
        <v>-0.17608480000000001</v>
      </c>
      <c r="U1263">
        <v>-2.442688</v>
      </c>
      <c r="V1263">
        <v>0.3995705</v>
      </c>
      <c r="W1263">
        <v>-7.3780330000000005E-2</v>
      </c>
      <c r="X1263">
        <v>0.91372850000000005</v>
      </c>
      <c r="Y1263">
        <v>0.61755850000000001</v>
      </c>
      <c r="Z1263">
        <v>-1.373713E-2</v>
      </c>
      <c r="AA1263">
        <v>0.78640500000000002</v>
      </c>
      <c r="AB1263">
        <v>23</v>
      </c>
      <c r="AC1263">
        <v>11.8269999999999</v>
      </c>
      <c r="AD1263">
        <v>-1.1038885737690001</v>
      </c>
      <c r="AE1263">
        <v>-15.2774</v>
      </c>
      <c r="AF1263">
        <v>11.974656660175</v>
      </c>
      <c r="AG1263">
        <v>-1.1038885737690001</v>
      </c>
      <c r="AH1263">
        <v>15.0817512268792</v>
      </c>
      <c r="AI1263">
        <v>93.280747273254804</v>
      </c>
      <c r="AJ1263">
        <v>51.551016233666203</v>
      </c>
      <c r="AK1263">
        <v>19.2891210837053</v>
      </c>
      <c r="AL1263">
        <v>94.231146417052102</v>
      </c>
      <c r="AM1263">
        <v>66.380397651638802</v>
      </c>
      <c r="AN1263">
        <v>0.99999994663870295</v>
      </c>
    </row>
    <row r="1264" spans="1:40" x14ac:dyDescent="0.25">
      <c r="A1264" t="str">
        <f>"20190305135216890"</f>
        <v>20190305135216890</v>
      </c>
      <c r="B1264" t="str">
        <f>"1551765136880256"</f>
        <v>1551765136880256</v>
      </c>
      <c r="C1264" t="s">
        <v>40</v>
      </c>
      <c r="D1264">
        <v>5.1557629999999897</v>
      </c>
      <c r="E1264">
        <v>0.59396879999999996</v>
      </c>
      <c r="F1264" t="s">
        <v>52</v>
      </c>
      <c r="G1264">
        <v>-195.12190000000001</v>
      </c>
      <c r="H1264" s="1">
        <v>-3.0268110000000001E-6</v>
      </c>
      <c r="I1264">
        <v>352.47989999999999</v>
      </c>
      <c r="J1264">
        <v>-206.46899999999999</v>
      </c>
      <c r="K1264">
        <v>1.1038220000000001</v>
      </c>
      <c r="L1264">
        <v>367.05489999999998</v>
      </c>
      <c r="M1264">
        <v>0.96992469999999997</v>
      </c>
      <c r="N1264">
        <v>-1.432422E-2</v>
      </c>
      <c r="O1264">
        <v>-0.24298349999999999</v>
      </c>
      <c r="P1264">
        <v>0.78747780000000001</v>
      </c>
      <c r="Q1264">
        <v>-8.0037730000000001E-2</v>
      </c>
      <c r="R1264">
        <v>-0.61112409999999995</v>
      </c>
      <c r="S1264">
        <v>1.9087369999999999</v>
      </c>
      <c r="T1264">
        <v>-0.18378539999999999</v>
      </c>
      <c r="U1264">
        <v>-2.43222</v>
      </c>
      <c r="V1264">
        <v>0.40048440000000002</v>
      </c>
      <c r="W1264">
        <v>-7.2465370000000001E-2</v>
      </c>
      <c r="X1264">
        <v>0.91343359999999996</v>
      </c>
      <c r="Y1264">
        <v>0.61201609999999995</v>
      </c>
      <c r="Z1264">
        <v>-1.349357E-2</v>
      </c>
      <c r="AA1264">
        <v>0.79073019999999905</v>
      </c>
      <c r="AB1264">
        <v>23</v>
      </c>
      <c r="AC1264">
        <v>11.347099999999999</v>
      </c>
      <c r="AD1264">
        <v>-1.1038250268109999</v>
      </c>
      <c r="AE1264">
        <v>-14.5749999999999</v>
      </c>
      <c r="AF1264">
        <v>11.3401641657823</v>
      </c>
      <c r="AG1264">
        <v>-1.1038250268109999</v>
      </c>
      <c r="AH1264">
        <v>14.4970380566484</v>
      </c>
      <c r="AI1264">
        <v>93.432058950866505</v>
      </c>
      <c r="AJ1264">
        <v>51.966057859587799</v>
      </c>
      <c r="AK1264">
        <v>18.438597164985801</v>
      </c>
      <c r="AL1264">
        <v>94.155602445434397</v>
      </c>
      <c r="AM1264">
        <v>66.325507554846496</v>
      </c>
      <c r="AN1264">
        <v>0.99999996305077699</v>
      </c>
    </row>
    <row r="1265" spans="1:40" x14ac:dyDescent="0.25">
      <c r="A1265" t="str">
        <f>"20190305135216904"</f>
        <v>20190305135216904</v>
      </c>
      <c r="B1265" t="str">
        <f>"1551765136900753"</f>
        <v>1551765136900753</v>
      </c>
      <c r="C1265" t="s">
        <v>40</v>
      </c>
      <c r="D1265">
        <v>5.1321110000000001</v>
      </c>
      <c r="E1265">
        <v>0.59081589999999995</v>
      </c>
      <c r="F1265" t="s">
        <v>52</v>
      </c>
      <c r="G1265">
        <v>-195.21940000000001</v>
      </c>
      <c r="H1265" s="1">
        <v>-3.1761450000000001E-6</v>
      </c>
      <c r="I1265">
        <v>352.7337</v>
      </c>
      <c r="J1265">
        <v>-206.33320000000001</v>
      </c>
      <c r="K1265">
        <v>1.1037520000000001</v>
      </c>
      <c r="L1265">
        <v>367.01510000000002</v>
      </c>
      <c r="M1265">
        <v>0.96863129999999997</v>
      </c>
      <c r="N1265">
        <v>-1.434007E-2</v>
      </c>
      <c r="O1265">
        <v>-0.24808839999999999</v>
      </c>
      <c r="P1265">
        <v>0.78396669999999902</v>
      </c>
      <c r="Q1265">
        <v>-7.8528390000000003E-2</v>
      </c>
      <c r="R1265">
        <v>-0.61581649999999999</v>
      </c>
      <c r="S1265">
        <v>1.9067989999999999</v>
      </c>
      <c r="T1265">
        <v>-0.1870975</v>
      </c>
      <c r="U1265">
        <v>-2.4274290000000001</v>
      </c>
      <c r="V1265">
        <v>0.40109860000000003</v>
      </c>
      <c r="W1265">
        <v>-7.1022180000000004E-2</v>
      </c>
      <c r="X1265">
        <v>0.91327740000000002</v>
      </c>
      <c r="Y1265">
        <v>0.60746199999999995</v>
      </c>
      <c r="Z1265">
        <v>-1.3103999999999999E-2</v>
      </c>
      <c r="AA1265">
        <v>0.79424059999999996</v>
      </c>
      <c r="AB1265">
        <v>23</v>
      </c>
      <c r="AC1265">
        <v>11.1137999999999</v>
      </c>
      <c r="AD1265">
        <v>-1.103755176145</v>
      </c>
      <c r="AE1265">
        <v>-14.2814</v>
      </c>
      <c r="AF1265">
        <v>11.0362874176605</v>
      </c>
      <c r="AG1265">
        <v>-1.103755176145</v>
      </c>
      <c r="AH1265">
        <v>14.2566572185496</v>
      </c>
      <c r="AI1265">
        <v>93.503300009507896</v>
      </c>
      <c r="AJ1265">
        <v>52.256020649434603</v>
      </c>
      <c r="AK1265">
        <v>18.0629507694978</v>
      </c>
      <c r="AL1265">
        <v>94.072700270294504</v>
      </c>
      <c r="AM1265">
        <v>66.289593796114204</v>
      </c>
      <c r="AN1265">
        <v>0.99999992316233299</v>
      </c>
    </row>
    <row r="1266" spans="1:40" x14ac:dyDescent="0.25">
      <c r="A1266" t="str">
        <f>"20190305135216917"</f>
        <v>20190305135216917</v>
      </c>
      <c r="B1266" t="str">
        <f>"1551765136910513"</f>
        <v>1551765136910513</v>
      </c>
      <c r="C1266" t="s">
        <v>40</v>
      </c>
      <c r="D1266">
        <v>5.1276359999999999</v>
      </c>
      <c r="E1266">
        <v>0.5895823</v>
      </c>
      <c r="F1266" t="s">
        <v>52</v>
      </c>
      <c r="G1266">
        <v>-195.65719999999999</v>
      </c>
      <c r="H1266" s="1">
        <v>-3.6467019999999998E-6</v>
      </c>
      <c r="I1266">
        <v>353.47590000000002</v>
      </c>
      <c r="J1266">
        <v>-206.19909999999999</v>
      </c>
      <c r="K1266">
        <v>1.1036889999999999</v>
      </c>
      <c r="L1266">
        <v>366.97469999999998</v>
      </c>
      <c r="M1266">
        <v>0.96729909999999997</v>
      </c>
      <c r="N1266">
        <v>-1.4355639999999999E-2</v>
      </c>
      <c r="O1266">
        <v>-0.25323240000000002</v>
      </c>
      <c r="P1266">
        <v>0.78006850000000005</v>
      </c>
      <c r="Q1266">
        <v>-7.7096620000000005E-2</v>
      </c>
      <c r="R1266">
        <v>-0.6209266</v>
      </c>
      <c r="S1266">
        <v>1.9071039999999999</v>
      </c>
      <c r="T1266">
        <v>-0.19716939999999999</v>
      </c>
      <c r="U1266">
        <v>-2.4185789999999998</v>
      </c>
      <c r="V1266">
        <v>0.40218409999999999</v>
      </c>
      <c r="W1266">
        <v>-6.9663219999999998E-2</v>
      </c>
      <c r="X1266">
        <v>0.91290470000000001</v>
      </c>
      <c r="Y1266">
        <v>0.60168390000000005</v>
      </c>
      <c r="Z1266">
        <v>-1.2787710000000001E-2</v>
      </c>
      <c r="AA1266">
        <v>0.79863200000000001</v>
      </c>
      <c r="AB1266">
        <v>23</v>
      </c>
      <c r="AC1266">
        <v>10.541899999999901</v>
      </c>
      <c r="AD1266">
        <v>-1.1036926467019901</v>
      </c>
      <c r="AE1266">
        <v>-13.4987999999999</v>
      </c>
      <c r="AF1266">
        <v>10.345933884950099</v>
      </c>
      <c r="AG1266">
        <v>-1.1036926467019901</v>
      </c>
      <c r="AH1266">
        <v>13.5605945887965</v>
      </c>
      <c r="AI1266">
        <v>93.7023112081487</v>
      </c>
      <c r="AJ1266">
        <v>52.658504313729402</v>
      </c>
      <c r="AK1266">
        <v>17.092285131363798</v>
      </c>
      <c r="AL1266">
        <v>93.9946439127676</v>
      </c>
      <c r="AM1266">
        <v>66.223902692026101</v>
      </c>
      <c r="AN1266">
        <v>1.00000000289783</v>
      </c>
    </row>
    <row r="1267" spans="1:40" x14ac:dyDescent="0.25">
      <c r="A1267" t="str">
        <f>"20190305135216933"</f>
        <v>20190305135216933</v>
      </c>
      <c r="B1267" t="str">
        <f>"1551765136931009"</f>
        <v>1551765136931009</v>
      </c>
      <c r="C1267" t="s">
        <v>40</v>
      </c>
      <c r="D1267">
        <v>5.1611520000000004</v>
      </c>
      <c r="E1267">
        <v>0.58728549999999902</v>
      </c>
      <c r="F1267" t="s">
        <v>52</v>
      </c>
      <c r="G1267">
        <v>-195.59280000000001</v>
      </c>
      <c r="H1267" s="1">
        <v>-3.6118689999999999E-6</v>
      </c>
      <c r="I1267">
        <v>353.43509999999998</v>
      </c>
      <c r="J1267">
        <v>-206.0401</v>
      </c>
      <c r="K1267">
        <v>1.1036090000000001</v>
      </c>
      <c r="L1267">
        <v>366.92579999999998</v>
      </c>
      <c r="M1267">
        <v>0.96566079999999999</v>
      </c>
      <c r="N1267">
        <v>-1.437398E-2</v>
      </c>
      <c r="O1267">
        <v>-0.25940869999999999</v>
      </c>
      <c r="P1267">
        <v>0.77531280000000002</v>
      </c>
      <c r="Q1267">
        <v>-7.6055339999999999E-2</v>
      </c>
      <c r="R1267">
        <v>-0.62698140000000002</v>
      </c>
      <c r="S1267">
        <v>1.897842</v>
      </c>
      <c r="T1267">
        <v>-0.1974902</v>
      </c>
      <c r="U1267">
        <v>-2.4227289999999999</v>
      </c>
      <c r="V1267">
        <v>0.40343099999999998</v>
      </c>
      <c r="W1267">
        <v>-6.8709080000000006E-2</v>
      </c>
      <c r="X1267">
        <v>0.91242670000000003</v>
      </c>
      <c r="Y1267">
        <v>0.59914489999999998</v>
      </c>
      <c r="Z1267">
        <v>-1.23249E-2</v>
      </c>
      <c r="AA1267">
        <v>0.80054579999999997</v>
      </c>
      <c r="AB1267">
        <v>23</v>
      </c>
      <c r="AC1267">
        <v>10.447299999999901</v>
      </c>
      <c r="AD1267">
        <v>-1.1036126118689999</v>
      </c>
      <c r="AE1267">
        <v>-13.4907</v>
      </c>
      <c r="AF1267">
        <v>10.275398717857099</v>
      </c>
      <c r="AG1267">
        <v>-1.1036126118689999</v>
      </c>
      <c r="AH1267">
        <v>13.532942178879299</v>
      </c>
      <c r="AI1267">
        <v>93.716105379297005</v>
      </c>
      <c r="AJ1267">
        <v>52.791038589729098</v>
      </c>
      <c r="AK1267">
        <v>17.027692257757799</v>
      </c>
      <c r="AL1267">
        <v>93.939844429986195</v>
      </c>
      <c r="AM1267">
        <v>66.147301376819897</v>
      </c>
      <c r="AN1267">
        <v>0.99999999615416801</v>
      </c>
    </row>
    <row r="1268" spans="1:40" x14ac:dyDescent="0.25">
      <c r="A1268" t="str">
        <f>"20190305135216947"</f>
        <v>20190305135216947</v>
      </c>
      <c r="B1268" t="str">
        <f>"1551765136940770"</f>
        <v>1551765136940770</v>
      </c>
      <c r="C1268" t="s">
        <v>40</v>
      </c>
      <c r="D1268">
        <v>5.1216850000000003</v>
      </c>
      <c r="E1268">
        <v>0.58650990000000003</v>
      </c>
      <c r="F1268" t="s">
        <v>52</v>
      </c>
      <c r="G1268">
        <v>-195.9588</v>
      </c>
      <c r="H1268" s="1">
        <v>-3.9760849999999997E-6</v>
      </c>
      <c r="I1268">
        <v>353.99759999999998</v>
      </c>
      <c r="J1268">
        <v>-205.89840000000001</v>
      </c>
      <c r="K1268">
        <v>1.103542</v>
      </c>
      <c r="L1268">
        <v>366.88139999999999</v>
      </c>
      <c r="M1268">
        <v>0.96414569999999999</v>
      </c>
      <c r="N1268">
        <v>-1.439037E-2</v>
      </c>
      <c r="O1268">
        <v>-0.26498319999999997</v>
      </c>
      <c r="P1268">
        <v>0.77117170000000002</v>
      </c>
      <c r="Q1268">
        <v>-7.6303190000000007E-2</v>
      </c>
      <c r="R1268">
        <v>-0.63203819999999999</v>
      </c>
      <c r="S1268">
        <v>1.8895420000000001</v>
      </c>
      <c r="T1268">
        <v>-0.20685139999999999</v>
      </c>
      <c r="U1268">
        <v>-2.4231569999999998</v>
      </c>
      <c r="V1268">
        <v>0.40411659999999999</v>
      </c>
      <c r="W1268">
        <v>-6.9027569999999996E-2</v>
      </c>
      <c r="X1268">
        <v>0.9120992</v>
      </c>
      <c r="Y1268">
        <v>0.59621740000000001</v>
      </c>
      <c r="Z1268">
        <v>-1.203339E-2</v>
      </c>
      <c r="AA1268">
        <v>0.80273289999999997</v>
      </c>
      <c r="AB1268">
        <v>23</v>
      </c>
      <c r="AC1268">
        <v>9.9396000000000093</v>
      </c>
      <c r="AD1268">
        <v>-1.1035459760849999</v>
      </c>
      <c r="AE1268">
        <v>-12.883800000000001</v>
      </c>
      <c r="AF1268">
        <v>9.7442307389361797</v>
      </c>
      <c r="AG1268">
        <v>-1.1035459760849999</v>
      </c>
      <c r="AH1268">
        <v>12.9390490737484</v>
      </c>
      <c r="AI1268">
        <v>93.897500599873396</v>
      </c>
      <c r="AJ1268">
        <v>53.0170687819299</v>
      </c>
      <c r="AK1268">
        <v>16.235357629194102</v>
      </c>
      <c r="AL1268">
        <v>93.958136011067893</v>
      </c>
      <c r="AM1268">
        <v>66.103682432100001</v>
      </c>
      <c r="AN1268">
        <v>0.99999999122815197</v>
      </c>
    </row>
    <row r="1269" spans="1:40" x14ac:dyDescent="0.25">
      <c r="A1269" t="str">
        <f>"20190305135216959"</f>
        <v>20190305135216959</v>
      </c>
      <c r="B1269" t="str">
        <f>"1551765136950528"</f>
        <v>1551765136950528</v>
      </c>
      <c r="C1269" t="s">
        <v>40</v>
      </c>
      <c r="D1269">
        <v>5.1477019999999998</v>
      </c>
      <c r="E1269">
        <v>0.58587339999999999</v>
      </c>
      <c r="F1269" t="s">
        <v>52</v>
      </c>
      <c r="G1269">
        <v>-196.1754</v>
      </c>
      <c r="H1269" s="1">
        <v>-4.1730199999999901E-6</v>
      </c>
      <c r="I1269">
        <v>354.29349999999999</v>
      </c>
      <c r="J1269">
        <v>-205.773</v>
      </c>
      <c r="K1269">
        <v>1.1034809999999999</v>
      </c>
      <c r="L1269">
        <v>366.84100000000001</v>
      </c>
      <c r="M1269">
        <v>0.96275140000000003</v>
      </c>
      <c r="N1269">
        <v>-1.440576E-2</v>
      </c>
      <c r="O1269">
        <v>-0.27000420000000003</v>
      </c>
      <c r="P1269">
        <v>0.76757200000000003</v>
      </c>
      <c r="Q1269">
        <v>-7.6765600000000003E-2</v>
      </c>
      <c r="R1269">
        <v>-0.63634899999999905</v>
      </c>
      <c r="S1269">
        <v>1.877243</v>
      </c>
      <c r="T1269">
        <v>-0.21306249999999999</v>
      </c>
      <c r="U1269">
        <v>-2.4303590000000002</v>
      </c>
      <c r="V1269">
        <v>0.40446850000000001</v>
      </c>
      <c r="W1269">
        <v>-6.9545990000000002E-2</v>
      </c>
      <c r="X1269">
        <v>0.91190380000000004</v>
      </c>
      <c r="Y1269">
        <v>0.59567829999999999</v>
      </c>
      <c r="Z1269">
        <v>-1.180897E-2</v>
      </c>
      <c r="AA1269">
        <v>0.80313630000000003</v>
      </c>
      <c r="AB1269">
        <v>23</v>
      </c>
      <c r="AC1269">
        <v>9.5975999999999999</v>
      </c>
      <c r="AD1269">
        <v>-1.1034851730199999</v>
      </c>
      <c r="AE1269">
        <v>-12.547499999999999</v>
      </c>
      <c r="AF1269">
        <v>9.4436358137082994</v>
      </c>
      <c r="AG1269">
        <v>-1.1034851730199999</v>
      </c>
      <c r="AH1269">
        <v>12.567966225852601</v>
      </c>
      <c r="AI1269">
        <v>94.015219925881993</v>
      </c>
      <c r="AJ1269">
        <v>53.078607541533202</v>
      </c>
      <c r="AK1269">
        <v>15.759242112589099</v>
      </c>
      <c r="AL1269">
        <v>93.987910904546297</v>
      </c>
      <c r="AM1269">
        <v>66.080657473254007</v>
      </c>
      <c r="AN1269">
        <v>0.999999976335884</v>
      </c>
    </row>
    <row r="1270" spans="1:40" x14ac:dyDescent="0.25">
      <c r="A1270" t="str">
        <f>"20190305135216971"</f>
        <v>20190305135216971</v>
      </c>
      <c r="B1270" t="str">
        <f>"1551765136961264"</f>
        <v>1551765136961264</v>
      </c>
      <c r="C1270" t="s">
        <v>40</v>
      </c>
      <c r="D1270">
        <v>5.1607479999999999</v>
      </c>
      <c r="E1270">
        <v>0.58520419999999995</v>
      </c>
      <c r="F1270" t="s">
        <v>52</v>
      </c>
      <c r="G1270">
        <v>-196.3742</v>
      </c>
      <c r="H1270" s="1">
        <v>-4.356374E-6</v>
      </c>
      <c r="I1270">
        <v>354.5702</v>
      </c>
      <c r="J1270">
        <v>-205.65479999999999</v>
      </c>
      <c r="K1270">
        <v>1.1034250000000001</v>
      </c>
      <c r="L1270">
        <v>366.8023</v>
      </c>
      <c r="M1270">
        <v>0.96139759999999996</v>
      </c>
      <c r="N1270">
        <v>-1.442038E-2</v>
      </c>
      <c r="O1270">
        <v>-0.2747848</v>
      </c>
      <c r="P1270">
        <v>0.76382019999999995</v>
      </c>
      <c r="Q1270">
        <v>-7.7214000000000005E-2</v>
      </c>
      <c r="R1270">
        <v>-0.64079419999999898</v>
      </c>
      <c r="S1270">
        <v>1.8663940000000001</v>
      </c>
      <c r="T1270">
        <v>-0.2191274</v>
      </c>
      <c r="U1270">
        <v>-2.4367070000000002</v>
      </c>
      <c r="V1270">
        <v>0.40522560000000002</v>
      </c>
      <c r="W1270">
        <v>-7.0054999999999895E-2</v>
      </c>
      <c r="X1270">
        <v>0.91152860000000002</v>
      </c>
      <c r="Y1270">
        <v>0.59490310000000002</v>
      </c>
      <c r="Z1270">
        <v>-1.155948E-2</v>
      </c>
      <c r="AA1270">
        <v>0.80371429999999999</v>
      </c>
      <c r="AB1270">
        <v>23</v>
      </c>
      <c r="AC1270">
        <v>9.2805999999999909</v>
      </c>
      <c r="AD1270">
        <v>-1.1034293563740001</v>
      </c>
      <c r="AE1270">
        <v>-12.232100000000001</v>
      </c>
      <c r="AF1270">
        <v>9.1633770985029308</v>
      </c>
      <c r="AG1270">
        <v>-1.1034293563740001</v>
      </c>
      <c r="AH1270">
        <v>12.221699941664699</v>
      </c>
      <c r="AI1270">
        <v>94.131628653690399</v>
      </c>
      <c r="AJ1270">
        <v>53.1387979126117</v>
      </c>
      <c r="AK1270">
        <v>15.315188071256699</v>
      </c>
      <c r="AL1270">
        <v>94.017146485503304</v>
      </c>
      <c r="AM1270">
        <v>66.032169066010397</v>
      </c>
      <c r="AN1270">
        <v>0.99999993926915798</v>
      </c>
    </row>
    <row r="1271" spans="1:40" x14ac:dyDescent="0.25">
      <c r="A1271" t="str">
        <f>"20190305135216982"</f>
        <v>20190305135216982</v>
      </c>
      <c r="B1271" t="str">
        <f>"1551765136971025"</f>
        <v>1551765136971025</v>
      </c>
      <c r="C1271" t="s">
        <v>40</v>
      </c>
      <c r="D1271">
        <v>5.1436510000000002</v>
      </c>
      <c r="E1271">
        <v>0.58462639999999999</v>
      </c>
      <c r="F1271" t="s">
        <v>52</v>
      </c>
      <c r="G1271">
        <v>-196.46619999999999</v>
      </c>
      <c r="H1271" s="1">
        <v>-4.4385419999999998E-6</v>
      </c>
      <c r="I1271">
        <v>354.70049999999998</v>
      </c>
      <c r="J1271">
        <v>-205.536</v>
      </c>
      <c r="K1271">
        <v>1.1033740000000001</v>
      </c>
      <c r="L1271">
        <v>366.76280000000003</v>
      </c>
      <c r="M1271">
        <v>0.95999990000000002</v>
      </c>
      <c r="N1271">
        <v>-1.4435109999999999E-2</v>
      </c>
      <c r="O1271">
        <v>-0.27962809999999999</v>
      </c>
      <c r="P1271">
        <v>0.75998619999999995</v>
      </c>
      <c r="Q1271">
        <v>-7.7258450000000006E-2</v>
      </c>
      <c r="R1271">
        <v>-0.64533119999999999</v>
      </c>
      <c r="S1271">
        <v>1.85524</v>
      </c>
      <c r="T1271">
        <v>-0.2227885</v>
      </c>
      <c r="U1271">
        <v>-2.4434200000000001</v>
      </c>
      <c r="V1271">
        <v>0.40604820000000003</v>
      </c>
      <c r="W1271">
        <v>-7.0160150000000004E-2</v>
      </c>
      <c r="X1271">
        <v>0.91115440000000003</v>
      </c>
      <c r="Y1271">
        <v>0.59421679999999999</v>
      </c>
      <c r="Z1271">
        <v>-1.1258789999999999E-2</v>
      </c>
      <c r="AA1271">
        <v>0.80422609999999894</v>
      </c>
      <c r="AB1271">
        <v>23</v>
      </c>
      <c r="AC1271">
        <v>9.0697999999999794</v>
      </c>
      <c r="AD1271">
        <v>-1.103378438542</v>
      </c>
      <c r="AE1271">
        <v>-12.0623</v>
      </c>
      <c r="AF1271">
        <v>8.9964891764607895</v>
      </c>
      <c r="AG1271">
        <v>-1.103378438542</v>
      </c>
      <c r="AH1271">
        <v>12.016989323848</v>
      </c>
      <c r="AI1271">
        <v>94.203809507297805</v>
      </c>
      <c r="AJ1271">
        <v>53.1797292927657</v>
      </c>
      <c r="AK1271">
        <v>15.051986376897</v>
      </c>
      <c r="AL1271">
        <v>94.023185898009103</v>
      </c>
      <c r="AM1271">
        <v>65.980264150104105</v>
      </c>
      <c r="AN1271">
        <v>0.99999996400530999</v>
      </c>
    </row>
    <row r="1272" spans="1:40" x14ac:dyDescent="0.25">
      <c r="A1272" t="str">
        <f>"20190305135216995"</f>
        <v>20190305135216995</v>
      </c>
      <c r="B1272" t="str">
        <f>"1551765136990545"</f>
        <v>1551765136990545</v>
      </c>
      <c r="C1272" t="s">
        <v>40</v>
      </c>
      <c r="D1272">
        <v>5.1868809999999996</v>
      </c>
      <c r="E1272">
        <v>0.58355299999999999</v>
      </c>
      <c r="F1272" t="s">
        <v>52</v>
      </c>
      <c r="G1272">
        <v>-196.55119999999999</v>
      </c>
      <c r="H1272" s="1">
        <v>-4.512003E-6</v>
      </c>
      <c r="I1272">
        <v>354.8177</v>
      </c>
      <c r="J1272">
        <v>-205.42240000000001</v>
      </c>
      <c r="K1272">
        <v>1.1033219999999999</v>
      </c>
      <c r="L1272">
        <v>366.72410000000002</v>
      </c>
      <c r="M1272">
        <v>0.95861499999999999</v>
      </c>
      <c r="N1272">
        <v>-1.4449439999999999E-2</v>
      </c>
      <c r="O1272">
        <v>-0.2843386</v>
      </c>
      <c r="P1272">
        <v>0.75617809999999996</v>
      </c>
      <c r="Q1272">
        <v>-7.7230740000000006E-2</v>
      </c>
      <c r="R1272">
        <v>-0.64979240000000005</v>
      </c>
      <c r="S1272">
        <v>1.843399</v>
      </c>
      <c r="T1272">
        <v>-0.2263771</v>
      </c>
      <c r="U1272">
        <v>-2.450745</v>
      </c>
      <c r="V1272">
        <v>0.40692499999999998</v>
      </c>
      <c r="W1272">
        <v>-7.0192749999999998E-2</v>
      </c>
      <c r="X1272">
        <v>0.91076069999999998</v>
      </c>
      <c r="Y1272">
        <v>0.59387849999999998</v>
      </c>
      <c r="Z1272">
        <v>-1.097177E-2</v>
      </c>
      <c r="AA1272">
        <v>0.80447999999999997</v>
      </c>
      <c r="AB1272">
        <v>23</v>
      </c>
      <c r="AC1272">
        <v>8.8712000000000106</v>
      </c>
      <c r="AD1272">
        <v>-1.10332651200299</v>
      </c>
      <c r="AE1272">
        <v>-11.9064</v>
      </c>
      <c r="AF1272">
        <v>8.8433269310502194</v>
      </c>
      <c r="AG1272">
        <v>-1.10332651200299</v>
      </c>
      <c r="AH1272">
        <v>11.825458906441501</v>
      </c>
      <c r="AI1272">
        <v>94.273133439099894</v>
      </c>
      <c r="AJ1272">
        <v>53.210087039207799</v>
      </c>
      <c r="AK1272">
        <v>14.807539935771301</v>
      </c>
      <c r="AL1272">
        <v>94.025058150374505</v>
      </c>
      <c r="AM1272">
        <v>65.925059292034803</v>
      </c>
      <c r="AN1272">
        <v>1.00000001522102</v>
      </c>
    </row>
    <row r="1273" spans="1:40" x14ac:dyDescent="0.25">
      <c r="A1273" t="str">
        <f>"20190305135217009"</f>
        <v>20190305135217009</v>
      </c>
      <c r="B1273" t="str">
        <f>"1551765137000304"</f>
        <v>1551765137000304</v>
      </c>
      <c r="C1273" t="s">
        <v>40</v>
      </c>
      <c r="D1273">
        <v>5.1833739999999997</v>
      </c>
      <c r="E1273">
        <v>0.58309270000000002</v>
      </c>
      <c r="F1273" t="s">
        <v>52</v>
      </c>
      <c r="G1273">
        <v>-196.71360000000001</v>
      </c>
      <c r="H1273" s="1">
        <v>-4.6644709999999998E-6</v>
      </c>
      <c r="I1273">
        <v>355.0677</v>
      </c>
      <c r="J1273">
        <v>-205.286</v>
      </c>
      <c r="K1273">
        <v>1.103259</v>
      </c>
      <c r="L1273">
        <v>366.67700000000002</v>
      </c>
      <c r="M1273">
        <v>0.95690790000000003</v>
      </c>
      <c r="N1273">
        <v>-1.4466410000000001E-2</v>
      </c>
      <c r="O1273">
        <v>-0.2900317</v>
      </c>
      <c r="P1273">
        <v>0.75143459999999995</v>
      </c>
      <c r="Q1273">
        <v>-7.7312829999999999E-2</v>
      </c>
      <c r="R1273">
        <v>-0.65526280000000003</v>
      </c>
      <c r="S1273">
        <v>1.8340909999999999</v>
      </c>
      <c r="T1273">
        <v>-0.23236370000000001</v>
      </c>
      <c r="U1273">
        <v>-2.4548649999999999</v>
      </c>
      <c r="V1273">
        <v>0.40810839999999998</v>
      </c>
      <c r="W1273">
        <v>-7.0351769999999994E-2</v>
      </c>
      <c r="X1273">
        <v>0.91021870000000005</v>
      </c>
      <c r="Y1273">
        <v>0.59166039999999998</v>
      </c>
      <c r="Z1273">
        <v>-1.051294E-2</v>
      </c>
      <c r="AA1273">
        <v>0.80611869999999997</v>
      </c>
      <c r="AB1273">
        <v>23</v>
      </c>
      <c r="AC1273">
        <v>8.5723999999999592</v>
      </c>
      <c r="AD1273">
        <v>-1.1032636644710001</v>
      </c>
      <c r="AE1273">
        <v>-11.6092999999999</v>
      </c>
      <c r="AF1273">
        <v>8.5735555432875792</v>
      </c>
      <c r="AG1273">
        <v>-1.1032636644710001</v>
      </c>
      <c r="AH1273">
        <v>11.504035324710999</v>
      </c>
      <c r="AI1273">
        <v>94.397178405291996</v>
      </c>
      <c r="AJ1273">
        <v>53.304124368705303</v>
      </c>
      <c r="AK1273">
        <v>14.3897836717366</v>
      </c>
      <c r="AL1273">
        <v>94.034192129230405</v>
      </c>
      <c r="AM1273">
        <v>65.850300258562996</v>
      </c>
      <c r="AN1273">
        <v>0.99999995976119005</v>
      </c>
    </row>
    <row r="1274" spans="1:40" x14ac:dyDescent="0.25">
      <c r="A1274" t="str">
        <f>"20190305135217022"</f>
        <v>20190305135217022</v>
      </c>
      <c r="B1274" t="str">
        <f>"1551765137011041"</f>
        <v>1551765137011041</v>
      </c>
      <c r="C1274" t="s">
        <v>40</v>
      </c>
      <c r="D1274">
        <v>5.1791010000000002</v>
      </c>
      <c r="E1274">
        <v>0.58267179999999996</v>
      </c>
      <c r="F1274" t="s">
        <v>52</v>
      </c>
      <c r="G1274">
        <v>-196.75540000000001</v>
      </c>
      <c r="H1274" s="1">
        <v>-4.693337E-6</v>
      </c>
      <c r="I1274">
        <v>355.10980000000001</v>
      </c>
      <c r="J1274">
        <v>-205.13589999999999</v>
      </c>
      <c r="K1274">
        <v>1.103189</v>
      </c>
      <c r="L1274">
        <v>366.62389999999999</v>
      </c>
      <c r="M1274">
        <v>0.95495359999999996</v>
      </c>
      <c r="N1274">
        <v>-1.448558E-2</v>
      </c>
      <c r="O1274">
        <v>-0.29640159999999999</v>
      </c>
      <c r="P1274">
        <v>0.74606359999999905</v>
      </c>
      <c r="Q1274">
        <v>-7.7167780000000005E-2</v>
      </c>
      <c r="R1274">
        <v>-0.66138839999999999</v>
      </c>
      <c r="S1274">
        <v>1.8182529999999999</v>
      </c>
      <c r="T1274">
        <v>-0.2351538</v>
      </c>
      <c r="U1274">
        <v>-2.4654850000000001</v>
      </c>
      <c r="V1274">
        <v>0.40947220000000001</v>
      </c>
      <c r="W1274">
        <v>-7.0296250000000005E-2</v>
      </c>
      <c r="X1274">
        <v>0.90961029999999998</v>
      </c>
      <c r="Y1274">
        <v>0.5912887</v>
      </c>
      <c r="Z1274">
        <v>-1.0069420000000001E-2</v>
      </c>
      <c r="AA1274">
        <v>0.80639709999999998</v>
      </c>
      <c r="AB1274">
        <v>23</v>
      </c>
      <c r="AC1274">
        <v>8.3804999999999801</v>
      </c>
      <c r="AD1274">
        <v>-1.1031936933369999</v>
      </c>
      <c r="AE1274">
        <v>-11.5140999999999</v>
      </c>
      <c r="AF1274">
        <v>8.4615529032536205</v>
      </c>
      <c r="AG1274">
        <v>-1.1031936933369999</v>
      </c>
      <c r="AH1274">
        <v>11.3488794598588</v>
      </c>
      <c r="AI1274">
        <v>94.456091967460793</v>
      </c>
      <c r="AJ1274">
        <v>53.292345198014999</v>
      </c>
      <c r="AK1274">
        <v>14.199013305648499</v>
      </c>
      <c r="AL1274">
        <v>94.031003124402204</v>
      </c>
      <c r="AM1274">
        <v>65.764525399692403</v>
      </c>
      <c r="AN1274">
        <v>0.99999997160149501</v>
      </c>
    </row>
    <row r="1275" spans="1:40" x14ac:dyDescent="0.25">
      <c r="A1275" t="str">
        <f>"20190305135217040"</f>
        <v>20190305135217040</v>
      </c>
      <c r="B1275" t="str">
        <f>"1551765137030560"</f>
        <v>1551765137030560</v>
      </c>
      <c r="C1275" t="s">
        <v>40</v>
      </c>
      <c r="D1275">
        <v>5.16411</v>
      </c>
      <c r="E1275">
        <v>0.58174680000000001</v>
      </c>
      <c r="F1275" t="s">
        <v>52</v>
      </c>
      <c r="G1275">
        <v>-196.72720000000001</v>
      </c>
      <c r="H1275" s="1">
        <v>-4.6608569999999996E-6</v>
      </c>
      <c r="I1275">
        <v>355.05349999999999</v>
      </c>
      <c r="J1275">
        <v>-204.97</v>
      </c>
      <c r="K1275">
        <v>1.1031120000000001</v>
      </c>
      <c r="L1275">
        <v>366.56360000000001</v>
      </c>
      <c r="M1275">
        <v>0.95269939999999997</v>
      </c>
      <c r="N1275">
        <v>-1.4508099999999999E-2</v>
      </c>
      <c r="O1275">
        <v>-0.30356739999999999</v>
      </c>
      <c r="P1275">
        <v>0.74090829999999996</v>
      </c>
      <c r="Q1275">
        <v>-7.7180700000000005E-2</v>
      </c>
      <c r="R1275">
        <v>-0.66715619999999998</v>
      </c>
      <c r="S1275">
        <v>1.8004150000000001</v>
      </c>
      <c r="T1275">
        <v>-0.2362081</v>
      </c>
      <c r="U1275">
        <v>-2.4773860000000001</v>
      </c>
      <c r="V1275">
        <v>0.40968100000000002</v>
      </c>
      <c r="W1275">
        <v>-7.0379700000000003E-2</v>
      </c>
      <c r="X1275">
        <v>0.90950980000000003</v>
      </c>
      <c r="Y1275">
        <v>0.59087800000000001</v>
      </c>
      <c r="Z1275">
        <v>-9.5485640000000007E-3</v>
      </c>
      <c r="AA1275">
        <v>0.80670450000000005</v>
      </c>
      <c r="AB1275">
        <v>23</v>
      </c>
      <c r="AC1275">
        <v>8.2427999999999795</v>
      </c>
      <c r="AD1275">
        <v>-1.103116660857</v>
      </c>
      <c r="AE1275">
        <v>-11.5101</v>
      </c>
      <c r="AF1275">
        <v>8.4132316525826596</v>
      </c>
      <c r="AG1275">
        <v>-1.103116660857</v>
      </c>
      <c r="AH1275">
        <v>11.2797136680263</v>
      </c>
      <c r="AI1275">
        <v>94.482377320409796</v>
      </c>
      <c r="AJ1275">
        <v>53.281743824747203</v>
      </c>
      <c r="AK1275">
        <v>14.1149308762083</v>
      </c>
      <c r="AL1275">
        <v>94.035796415926896</v>
      </c>
      <c r="AM1275">
        <v>65.751219741932303</v>
      </c>
      <c r="AN1275">
        <v>0.999999950114563</v>
      </c>
    </row>
    <row r="1276" spans="1:40" x14ac:dyDescent="0.25">
      <c r="A1276" t="str">
        <f>"20190305135217057"</f>
        <v>20190305135217057</v>
      </c>
      <c r="B1276" t="str">
        <f>"1551765137051057"</f>
        <v>1551765137051057</v>
      </c>
      <c r="C1276" t="s">
        <v>40</v>
      </c>
      <c r="D1276">
        <v>5.1583990000000002</v>
      </c>
      <c r="E1276">
        <v>0.58095969999999997</v>
      </c>
      <c r="F1276" t="s">
        <v>52</v>
      </c>
      <c r="G1276">
        <v>-196.7364</v>
      </c>
      <c r="H1276" s="1">
        <v>-4.6865309999999997E-6</v>
      </c>
      <c r="I1276">
        <v>355.10419999999999</v>
      </c>
      <c r="J1276">
        <v>-204.79939999999999</v>
      </c>
      <c r="K1276">
        <v>1.1030310000000001</v>
      </c>
      <c r="L1276">
        <v>366.50009999999997</v>
      </c>
      <c r="M1276">
        <v>0.95027919999999999</v>
      </c>
      <c r="N1276">
        <v>-1.453253E-2</v>
      </c>
      <c r="O1276">
        <v>-0.31106009999999901</v>
      </c>
      <c r="P1276">
        <v>0.73553869999999999</v>
      </c>
      <c r="Q1276">
        <v>-7.5548409999999996E-2</v>
      </c>
      <c r="R1276">
        <v>-0.67325760000000001</v>
      </c>
      <c r="S1276">
        <v>1.7859499999999999</v>
      </c>
      <c r="T1276">
        <v>-0.2392774</v>
      </c>
      <c r="U1276">
        <v>-2.4856569999999998</v>
      </c>
      <c r="V1276">
        <v>0.40999279999999999</v>
      </c>
      <c r="W1276">
        <v>-6.8825430000000007E-2</v>
      </c>
      <c r="X1276">
        <v>0.90948830000000003</v>
      </c>
      <c r="Y1276">
        <v>0.5888854</v>
      </c>
      <c r="Z1276">
        <v>-8.9019990000000007E-3</v>
      </c>
      <c r="AA1276">
        <v>0.80816759999999999</v>
      </c>
      <c r="AB1276">
        <v>23</v>
      </c>
      <c r="AC1276">
        <v>8.0629999999999793</v>
      </c>
      <c r="AD1276">
        <v>-1.10303568653099</v>
      </c>
      <c r="AE1276">
        <v>-11.3958999999999</v>
      </c>
      <c r="AF1276">
        <v>8.2704523774882492</v>
      </c>
      <c r="AG1276">
        <v>-1.10303568653099</v>
      </c>
      <c r="AH1276">
        <v>11.138552333657399</v>
      </c>
      <c r="AI1276">
        <v>94.545907527635705</v>
      </c>
      <c r="AJ1276">
        <v>53.405857394018099</v>
      </c>
      <c r="AK1276">
        <v>13.917054945055201</v>
      </c>
      <c r="AL1276">
        <v>93.946526589968997</v>
      </c>
      <c r="AM1276">
        <v>65.734385273864902</v>
      </c>
      <c r="AN1276">
        <v>1.0000000018516999</v>
      </c>
    </row>
    <row r="1277" spans="1:40" x14ac:dyDescent="0.25">
      <c r="A1277" t="str">
        <f>"20190305135217069"</f>
        <v>20190305135217069</v>
      </c>
      <c r="B1277" t="str">
        <f>"1551765137060817"</f>
        <v>1551765137060817</v>
      </c>
      <c r="C1277" t="s">
        <v>40</v>
      </c>
      <c r="D1277">
        <v>5.13741</v>
      </c>
      <c r="E1277">
        <v>0.58053180000000004</v>
      </c>
      <c r="F1277" t="s">
        <v>52</v>
      </c>
      <c r="G1277">
        <v>-196.5761</v>
      </c>
      <c r="H1277" s="1">
        <v>-4.558183E-6</v>
      </c>
      <c r="I1277">
        <v>354.90499999999997</v>
      </c>
      <c r="J1277">
        <v>-204.67519999999999</v>
      </c>
      <c r="K1277">
        <v>1.1029629999999999</v>
      </c>
      <c r="L1277">
        <v>366.4529</v>
      </c>
      <c r="M1277">
        <v>0.94844810000000002</v>
      </c>
      <c r="N1277">
        <v>-1.455118E-2</v>
      </c>
      <c r="O1277">
        <v>-0.31659870000000001</v>
      </c>
      <c r="P1277">
        <v>0.73152850000000003</v>
      </c>
      <c r="Q1277">
        <v>-7.5034829999999997E-2</v>
      </c>
      <c r="R1277">
        <v>-0.67766959999999998</v>
      </c>
      <c r="S1277">
        <v>1.7699279999999999</v>
      </c>
      <c r="T1277">
        <v>-0.23740849999999999</v>
      </c>
      <c r="U1277">
        <v>-2.4956360000000002</v>
      </c>
      <c r="V1277">
        <v>0.41013650000000001</v>
      </c>
      <c r="W1277">
        <v>-6.8371660000000001E-2</v>
      </c>
      <c r="X1277">
        <v>0.90945770000000004</v>
      </c>
      <c r="Y1277">
        <v>0.5891729</v>
      </c>
      <c r="Z1277">
        <v>-8.5278590000000005E-3</v>
      </c>
      <c r="AA1277">
        <v>0.80796199999999996</v>
      </c>
      <c r="AB1277">
        <v>23</v>
      </c>
      <c r="AC1277">
        <v>8.0990999999999893</v>
      </c>
      <c r="AD1277">
        <v>-1.1029675581830001</v>
      </c>
      <c r="AE1277">
        <v>-11.5479</v>
      </c>
      <c r="AF1277">
        <v>8.3383191322629102</v>
      </c>
      <c r="AG1277">
        <v>-1.1029675581830001</v>
      </c>
      <c r="AH1277">
        <v>11.269911734724699</v>
      </c>
      <c r="AI1277">
        <v>94.498501865534394</v>
      </c>
      <c r="AJ1277">
        <v>53.503209331146103</v>
      </c>
      <c r="AK1277">
        <v>14.0625393828551</v>
      </c>
      <c r="AL1277">
        <v>93.920466218256294</v>
      </c>
      <c r="AM1277">
        <v>65.726139465989206</v>
      </c>
      <c r="AN1277">
        <v>0.99999997030634702</v>
      </c>
    </row>
    <row r="1278" spans="1:40" x14ac:dyDescent="0.25">
      <c r="A1278" t="str">
        <f>"20190305135217082"</f>
        <v>20190305135217082</v>
      </c>
      <c r="B1278" t="str">
        <f>"1551765137070576"</f>
        <v>1551765137070576</v>
      </c>
      <c r="C1278" t="s">
        <v>40</v>
      </c>
      <c r="D1278">
        <v>5.1736789999999999</v>
      </c>
      <c r="E1278">
        <v>0.58024399999999998</v>
      </c>
      <c r="F1278" t="s">
        <v>52</v>
      </c>
      <c r="G1278">
        <v>-196.51390000000001</v>
      </c>
      <c r="H1278" s="1">
        <v>-4.5060770000000004E-6</v>
      </c>
      <c r="I1278">
        <v>354.8227</v>
      </c>
      <c r="J1278">
        <v>-204.55160000000001</v>
      </c>
      <c r="K1278">
        <v>1.1028849999999999</v>
      </c>
      <c r="L1278">
        <v>366.4049</v>
      </c>
      <c r="M1278">
        <v>0.94656419999999997</v>
      </c>
      <c r="N1278">
        <v>-1.457073E-2</v>
      </c>
      <c r="O1278">
        <v>-0.32218619999999998</v>
      </c>
      <c r="P1278">
        <v>0.72724460000000002</v>
      </c>
      <c r="Q1278">
        <v>-7.4551430000000002E-2</v>
      </c>
      <c r="R1278">
        <v>-0.68231779999999997</v>
      </c>
      <c r="S1278">
        <v>1.75708</v>
      </c>
      <c r="T1278">
        <v>-0.23746300000000001</v>
      </c>
      <c r="U1278">
        <v>-2.5039060000000002</v>
      </c>
      <c r="V1278">
        <v>0.41054770000000002</v>
      </c>
      <c r="W1278">
        <v>-6.7957420000000004E-2</v>
      </c>
      <c r="X1278">
        <v>0.90930319999999998</v>
      </c>
      <c r="Y1278">
        <v>0.58845429999999999</v>
      </c>
      <c r="Z1278">
        <v>-8.0883550000000002E-3</v>
      </c>
      <c r="AA1278">
        <v>0.80848999999999904</v>
      </c>
      <c r="AB1278">
        <v>23</v>
      </c>
      <c r="AC1278">
        <v>8.0376999999999992</v>
      </c>
      <c r="AD1278">
        <v>-1.1028895060770001</v>
      </c>
      <c r="AE1278">
        <v>-11.5822</v>
      </c>
      <c r="AF1278">
        <v>8.3236081143720995</v>
      </c>
      <c r="AG1278">
        <v>-1.1028895060770001</v>
      </c>
      <c r="AH1278">
        <v>11.2720427269133</v>
      </c>
      <c r="AI1278">
        <v>94.500432518280803</v>
      </c>
      <c r="AJ1278">
        <v>53.556748647790201</v>
      </c>
      <c r="AK1278">
        <v>14.055524342464601</v>
      </c>
      <c r="AL1278">
        <v>93.896676693463206</v>
      </c>
      <c r="AM1278">
        <v>65.700965036733905</v>
      </c>
      <c r="AN1278">
        <v>0.99999996721929196</v>
      </c>
    </row>
    <row r="1279" spans="1:40" x14ac:dyDescent="0.25">
      <c r="A1279" t="str">
        <f>"20190305135217095"</f>
        <v>20190305135217095</v>
      </c>
      <c r="B1279" t="str">
        <f>"1551765137091073"</f>
        <v>1551765137091073</v>
      </c>
      <c r="C1279" t="s">
        <v>40</v>
      </c>
      <c r="D1279">
        <v>5.3312010000000001</v>
      </c>
      <c r="E1279">
        <v>0.58035639999999999</v>
      </c>
      <c r="F1279" t="s">
        <v>52</v>
      </c>
      <c r="G1279">
        <v>-196.46799999999999</v>
      </c>
      <c r="H1279" s="1">
        <v>-4.4621290000000002E-6</v>
      </c>
      <c r="I1279">
        <v>354.75020000000001</v>
      </c>
      <c r="J1279">
        <v>-204.42449999999999</v>
      </c>
      <c r="K1279">
        <v>1.1028</v>
      </c>
      <c r="L1279">
        <v>366.3544</v>
      </c>
      <c r="M1279">
        <v>0.94455009999999995</v>
      </c>
      <c r="N1279">
        <v>-1.4592610000000001E-2</v>
      </c>
      <c r="O1279">
        <v>-0.32804319999999998</v>
      </c>
      <c r="P1279">
        <v>0.72267349999999997</v>
      </c>
      <c r="Q1279">
        <v>-7.4185260000000003E-2</v>
      </c>
      <c r="R1279">
        <v>-0.68719680000000005</v>
      </c>
      <c r="S1279">
        <v>1.7430270000000001</v>
      </c>
      <c r="T1279">
        <v>-0.2378092</v>
      </c>
      <c r="U1279">
        <v>-2.5130309999999998</v>
      </c>
      <c r="V1279">
        <v>0.4110143</v>
      </c>
      <c r="W1279">
        <v>-6.7667080000000004E-2</v>
      </c>
      <c r="X1279">
        <v>0.90911410000000004</v>
      </c>
      <c r="Y1279">
        <v>0.58788490000000004</v>
      </c>
      <c r="Z1279">
        <v>-7.6363159999999998E-3</v>
      </c>
      <c r="AA1279">
        <v>0.80890859999999998</v>
      </c>
      <c r="AB1279">
        <v>23</v>
      </c>
      <c r="AC1279">
        <v>7.9565000000000001</v>
      </c>
      <c r="AD1279">
        <v>-1.1028044621290001</v>
      </c>
      <c r="AE1279">
        <v>-11.604199999999899</v>
      </c>
      <c r="AF1279">
        <v>8.3005669601864707</v>
      </c>
      <c r="AG1279">
        <v>-1.1028044621290001</v>
      </c>
      <c r="AH1279">
        <v>11.2540577143322</v>
      </c>
      <c r="AI1279">
        <v>94.509109215518393</v>
      </c>
      <c r="AJ1279">
        <v>53.588919201587998</v>
      </c>
      <c r="AK1279">
        <v>14.027451820617699</v>
      </c>
      <c r="AL1279">
        <v>93.880002859137306</v>
      </c>
      <c r="AM1279">
        <v>65.672074544934304</v>
      </c>
      <c r="AN1279">
        <v>1.0000000176695101</v>
      </c>
    </row>
    <row r="1280" spans="1:40" x14ac:dyDescent="0.25">
      <c r="A1280" t="str">
        <f>"20190305135217107"</f>
        <v>20190305135217107</v>
      </c>
      <c r="B1280" t="str">
        <f>"1551765137100833"</f>
        <v>1551765137100833</v>
      </c>
      <c r="C1280" t="s">
        <v>40</v>
      </c>
      <c r="D1280">
        <v>5.1684159999999997</v>
      </c>
      <c r="E1280">
        <v>0.62261569999999899</v>
      </c>
      <c r="F1280" t="s">
        <v>52</v>
      </c>
      <c r="G1280">
        <v>-196.2824</v>
      </c>
      <c r="H1280" s="1">
        <v>-4.2701169999999998E-6</v>
      </c>
      <c r="I1280">
        <v>354.4393</v>
      </c>
      <c r="J1280">
        <v>-204.3015</v>
      </c>
      <c r="K1280">
        <v>1.1027169999999999</v>
      </c>
      <c r="L1280">
        <v>366.30489999999998</v>
      </c>
      <c r="M1280">
        <v>0.9425424</v>
      </c>
      <c r="N1280">
        <v>-1.4614159999999999E-2</v>
      </c>
      <c r="O1280">
        <v>-0.33376709999999998</v>
      </c>
      <c r="P1280">
        <v>0.71817259999999905</v>
      </c>
      <c r="Q1280">
        <v>-7.4102950000000001E-2</v>
      </c>
      <c r="R1280">
        <v>-0.69190819999999997</v>
      </c>
      <c r="S1280">
        <v>1.7257690000000001</v>
      </c>
      <c r="T1280">
        <v>-0.23374529999999999</v>
      </c>
      <c r="U1280">
        <v>-2.5254819999999998</v>
      </c>
      <c r="V1280">
        <v>0.41142869999999998</v>
      </c>
      <c r="W1280">
        <v>-6.7660440000000002E-2</v>
      </c>
      <c r="X1280">
        <v>0.90892709999999999</v>
      </c>
      <c r="Y1280">
        <v>0.58864869999999903</v>
      </c>
      <c r="Z1280">
        <v>-7.3100780000000002E-3</v>
      </c>
      <c r="AA1280">
        <v>0.80835590000000002</v>
      </c>
      <c r="AB1280">
        <v>23</v>
      </c>
      <c r="AC1280">
        <v>8.0190999999999999</v>
      </c>
      <c r="AD1280">
        <v>-1.1027212701169999</v>
      </c>
      <c r="AE1280">
        <v>-11.865599999999899</v>
      </c>
      <c r="AF1280">
        <v>8.4580804600735497</v>
      </c>
      <c r="AG1280">
        <v>-1.1027212701169999</v>
      </c>
      <c r="AH1280">
        <v>11.4520204882513</v>
      </c>
      <c r="AI1280">
        <v>94.429026002845802</v>
      </c>
      <c r="AJ1280">
        <v>53.551661066370499</v>
      </c>
      <c r="AK1280">
        <v>14.2794920263983</v>
      </c>
      <c r="AL1280">
        <v>93.879621642087002</v>
      </c>
      <c r="AM1280">
        <v>65.645965840267394</v>
      </c>
      <c r="AN1280">
        <v>0.99999999171954601</v>
      </c>
    </row>
    <row r="1281" spans="1:40" x14ac:dyDescent="0.25">
      <c r="A1281" t="str">
        <f>"20190305135217123"</f>
        <v>20190305135217123</v>
      </c>
      <c r="B1281" t="str">
        <f>"1551765137120352"</f>
        <v>1551765137120352</v>
      </c>
      <c r="C1281" t="s">
        <v>40</v>
      </c>
      <c r="D1281">
        <v>5.14954</v>
      </c>
      <c r="E1281">
        <v>0.63833479999999998</v>
      </c>
      <c r="F1281" t="s">
        <v>42</v>
      </c>
      <c r="G1281">
        <v>-194.86109999999999</v>
      </c>
      <c r="H1281" s="1">
        <v>-4.797361E-6</v>
      </c>
      <c r="I1281">
        <v>348.55020000000002</v>
      </c>
      <c r="J1281">
        <v>-204.15440000000001</v>
      </c>
      <c r="K1281">
        <v>1.102609</v>
      </c>
      <c r="L1281">
        <v>366.24430000000001</v>
      </c>
      <c r="M1281">
        <v>0.94004169999999998</v>
      </c>
      <c r="N1281">
        <v>-1.464172E-2</v>
      </c>
      <c r="O1281">
        <v>-0.34074529999999997</v>
      </c>
      <c r="P1281">
        <v>0.71237299999999903</v>
      </c>
      <c r="Q1281">
        <v>-7.3624599999999998E-2</v>
      </c>
      <c r="R1281">
        <v>-0.69792880000000002</v>
      </c>
      <c r="S1281">
        <v>1.4792179999999999</v>
      </c>
      <c r="T1281">
        <v>-0.17278550000000001</v>
      </c>
      <c r="U1281">
        <v>-2.7819820000000002</v>
      </c>
      <c r="V1281">
        <v>0.41231309999999899</v>
      </c>
      <c r="W1281">
        <v>-6.7286589999999993E-2</v>
      </c>
      <c r="X1281">
        <v>0.90855410000000003</v>
      </c>
      <c r="Y1281">
        <v>0.66917700000000002</v>
      </c>
      <c r="Z1281">
        <v>-1.1384439999999999E-2</v>
      </c>
      <c r="AA1281">
        <v>0.74301589999999995</v>
      </c>
      <c r="AB1281">
        <v>23</v>
      </c>
      <c r="AC1281">
        <v>9.2933000000000092</v>
      </c>
      <c r="AD1281">
        <v>-1.102613797361</v>
      </c>
      <c r="AE1281">
        <v>-17.694099999999899</v>
      </c>
      <c r="AF1281">
        <v>13.4271195023854</v>
      </c>
      <c r="AG1281">
        <v>-1.102613797361</v>
      </c>
      <c r="AH1281">
        <v>14.722044802537701</v>
      </c>
      <c r="AI1281">
        <v>93.167333526290406</v>
      </c>
      <c r="AJ1281">
        <v>47.633878702488097</v>
      </c>
      <c r="AK1281">
        <v>19.9559990600671</v>
      </c>
      <c r="AL1281">
        <v>93.858152404631198</v>
      </c>
      <c r="AM1281">
        <v>65.590864692466397</v>
      </c>
      <c r="AN1281">
        <v>1.0000000651261201</v>
      </c>
    </row>
    <row r="1282" spans="1:40" x14ac:dyDescent="0.25">
      <c r="A1282" t="str">
        <f>"20190305135217137"</f>
        <v>20190305135217137</v>
      </c>
      <c r="B1282" t="str">
        <f>"1551765137131089"</f>
        <v>1551765137131089</v>
      </c>
      <c r="C1282" t="s">
        <v>40</v>
      </c>
      <c r="D1282">
        <v>5.1367979999999998</v>
      </c>
      <c r="E1282">
        <v>0.64162359999999996</v>
      </c>
      <c r="F1282" t="s">
        <v>42</v>
      </c>
      <c r="G1282">
        <v>-191.34020000000001</v>
      </c>
      <c r="H1282" s="1">
        <v>-4.4231720000000003E-6</v>
      </c>
      <c r="I1282">
        <v>339.28590000000003</v>
      </c>
      <c r="J1282">
        <v>-204.0104</v>
      </c>
      <c r="K1282">
        <v>1.1025039999999999</v>
      </c>
      <c r="L1282">
        <v>366.18329999999997</v>
      </c>
      <c r="M1282">
        <v>0.9374825</v>
      </c>
      <c r="N1282">
        <v>-1.467073E-2</v>
      </c>
      <c r="O1282">
        <v>-0.34772309999999901</v>
      </c>
      <c r="P1282">
        <v>0.70689169999999901</v>
      </c>
      <c r="Q1282">
        <v>-7.3301989999999997E-2</v>
      </c>
      <c r="R1282">
        <v>-0.70351319999999995</v>
      </c>
      <c r="S1282">
        <v>1.3717349999999999</v>
      </c>
      <c r="T1282">
        <v>-0.1180325</v>
      </c>
      <c r="U1282">
        <v>-2.885834</v>
      </c>
      <c r="V1282">
        <v>0.41268579999999999</v>
      </c>
      <c r="W1282">
        <v>-6.7056820000000003E-2</v>
      </c>
      <c r="X1282">
        <v>0.90840180000000004</v>
      </c>
      <c r="Y1282">
        <v>0.69693680000000002</v>
      </c>
      <c r="Z1282">
        <v>-1.1900259999999999E-2</v>
      </c>
      <c r="AA1282">
        <v>0.7170339</v>
      </c>
      <c r="AB1282">
        <v>23</v>
      </c>
      <c r="AC1282">
        <v>12.6701999999999</v>
      </c>
      <c r="AD1282">
        <v>-1.1025084231719999</v>
      </c>
      <c r="AE1282">
        <v>-26.897399999999902</v>
      </c>
      <c r="AF1282">
        <v>20.7837820352166</v>
      </c>
      <c r="AG1282">
        <v>-1.1025084231719999</v>
      </c>
      <c r="AH1282">
        <v>21.204066930860598</v>
      </c>
      <c r="AI1282">
        <v>92.126545507673598</v>
      </c>
      <c r="AJ1282">
        <v>45.573493215660001</v>
      </c>
      <c r="AK1282">
        <v>29.711842334647901</v>
      </c>
      <c r="AL1282">
        <v>93.844957971462506</v>
      </c>
      <c r="AM1282">
        <v>65.567761155643197</v>
      </c>
      <c r="AN1282">
        <v>1.00000000843669</v>
      </c>
    </row>
    <row r="1283" spans="1:40" x14ac:dyDescent="0.25">
      <c r="A1283" t="str">
        <f>"20190305135217149"</f>
        <v>20190305135217149</v>
      </c>
      <c r="B1283" t="str">
        <f>"1551765137140849"</f>
        <v>1551765137140849</v>
      </c>
      <c r="C1283" t="s">
        <v>40</v>
      </c>
      <c r="D1283">
        <v>5.1646460000000003</v>
      </c>
      <c r="E1283">
        <v>0.6431559</v>
      </c>
      <c r="F1283" t="s">
        <v>42</v>
      </c>
      <c r="G1283">
        <v>-190.25559999999999</v>
      </c>
      <c r="H1283" s="1">
        <v>-2.8481599999999998E-6</v>
      </c>
      <c r="I1283">
        <v>336.06970000000001</v>
      </c>
      <c r="J1283">
        <v>-203.89840000000001</v>
      </c>
      <c r="K1283">
        <v>1.102419</v>
      </c>
      <c r="L1283">
        <v>366.13510000000002</v>
      </c>
      <c r="M1283">
        <v>0.93542590000000003</v>
      </c>
      <c r="N1283">
        <v>-1.469384E-2</v>
      </c>
      <c r="O1283">
        <v>-0.35321760000000002</v>
      </c>
      <c r="P1283">
        <v>0.70275469999999995</v>
      </c>
      <c r="Q1283">
        <v>-7.2792990000000002E-2</v>
      </c>
      <c r="R1283">
        <v>-0.70769890000000002</v>
      </c>
      <c r="S1283">
        <v>1.3315729999999999</v>
      </c>
      <c r="T1283">
        <v>-0.1067313</v>
      </c>
      <c r="U1283">
        <v>-2.915222</v>
      </c>
      <c r="V1283">
        <v>0.41272629999999999</v>
      </c>
      <c r="W1283">
        <v>-6.6615830000000001E-2</v>
      </c>
      <c r="X1283">
        <v>0.9084158</v>
      </c>
      <c r="Y1283">
        <v>0.7037004</v>
      </c>
      <c r="Z1283">
        <v>-1.1903489999999999E-2</v>
      </c>
      <c r="AA1283">
        <v>0.7103971</v>
      </c>
      <c r="AB1283">
        <v>23</v>
      </c>
      <c r="AC1283">
        <v>13.642799999999999</v>
      </c>
      <c r="AD1283">
        <v>-1.1024218481600001</v>
      </c>
      <c r="AE1283">
        <v>-30.0654</v>
      </c>
      <c r="AF1283">
        <v>23.281633401701299</v>
      </c>
      <c r="AG1283">
        <v>-1.1024218481600001</v>
      </c>
      <c r="AH1283">
        <v>23.357936687290699</v>
      </c>
      <c r="AI1283">
        <v>91.914558485738894</v>
      </c>
      <c r="AJ1283">
        <v>45.093736977386399</v>
      </c>
      <c r="AK1283">
        <v>32.997621036523199</v>
      </c>
      <c r="AL1283">
        <v>93.819634641166004</v>
      </c>
      <c r="AM1283">
        <v>65.565976287135001</v>
      </c>
      <c r="AN1283">
        <v>0.99999996660395796</v>
      </c>
    </row>
    <row r="1284" spans="1:40" x14ac:dyDescent="0.25">
      <c r="A1284" t="str">
        <f>"20190305135217161"</f>
        <v>20190305135217161</v>
      </c>
      <c r="B1284" t="str">
        <f>"1551765137150608"</f>
        <v>1551765137150608</v>
      </c>
      <c r="C1284" t="s">
        <v>40</v>
      </c>
      <c r="D1284">
        <v>5.1598829999999998</v>
      </c>
      <c r="E1284">
        <v>0.64406739999999996</v>
      </c>
      <c r="F1284" t="s">
        <v>42</v>
      </c>
      <c r="G1284">
        <v>-189.54560000000001</v>
      </c>
      <c r="H1284" s="1">
        <v>-1.9113799999999999E-6</v>
      </c>
      <c r="I1284">
        <v>333.90039999999999</v>
      </c>
      <c r="J1284">
        <v>-203.7841</v>
      </c>
      <c r="K1284">
        <v>1.1023270000000001</v>
      </c>
      <c r="L1284">
        <v>366.0849</v>
      </c>
      <c r="M1284">
        <v>0.93325190000000002</v>
      </c>
      <c r="N1284">
        <v>-1.4718520000000001E-2</v>
      </c>
      <c r="O1284">
        <v>-0.35892109999999999</v>
      </c>
      <c r="P1284">
        <v>0.69787180000000004</v>
      </c>
      <c r="Q1284">
        <v>-7.2201829999999995E-2</v>
      </c>
      <c r="R1284">
        <v>-0.7125745</v>
      </c>
      <c r="S1284">
        <v>1.3056030000000001</v>
      </c>
      <c r="T1284">
        <v>-0.10028140000000001</v>
      </c>
      <c r="U1284">
        <v>-2.93222</v>
      </c>
      <c r="V1284">
        <v>0.41347800000000001</v>
      </c>
      <c r="W1284">
        <v>-6.6113820000000004E-2</v>
      </c>
      <c r="X1284">
        <v>0.90811059999999999</v>
      </c>
      <c r="Y1284">
        <v>0.70618780000000003</v>
      </c>
      <c r="Z1284">
        <v>-1.180904E-2</v>
      </c>
      <c r="AA1284">
        <v>0.70792600000000006</v>
      </c>
      <c r="AB1284">
        <v>23</v>
      </c>
      <c r="AC1284">
        <v>14.238499999999901</v>
      </c>
      <c r="AD1284">
        <v>-1.1023289113799899</v>
      </c>
      <c r="AE1284">
        <v>-32.1845</v>
      </c>
      <c r="AF1284">
        <v>24.904014233022899</v>
      </c>
      <c r="AG1284">
        <v>-1.1023289113799899</v>
      </c>
      <c r="AH1284">
        <v>24.818144798237199</v>
      </c>
      <c r="AI1284">
        <v>91.795791699783393</v>
      </c>
      <c r="AJ1284">
        <v>44.901051132793803</v>
      </c>
      <c r="AK1284">
        <v>35.176204530530903</v>
      </c>
      <c r="AL1284">
        <v>93.790807992867599</v>
      </c>
      <c r="AM1284">
        <v>65.519429284793901</v>
      </c>
      <c r="AN1284">
        <v>0.99999997775567595</v>
      </c>
    </row>
    <row r="1285" spans="1:40" x14ac:dyDescent="0.25">
      <c r="A1285" t="str">
        <f>"20190305135217173"</f>
        <v>20190305135217173</v>
      </c>
      <c r="B1285" t="str">
        <f>"1551765137171105"</f>
        <v>1551765137171105</v>
      </c>
      <c r="C1285" t="s">
        <v>40</v>
      </c>
      <c r="D1285">
        <v>5.1270290000000003</v>
      </c>
      <c r="E1285">
        <v>0.64492289999999997</v>
      </c>
      <c r="F1285" t="s">
        <v>42</v>
      </c>
      <c r="G1285">
        <v>-189.46019999999999</v>
      </c>
      <c r="H1285" s="1">
        <v>-1.5971809999999901E-6</v>
      </c>
      <c r="I1285">
        <v>333.1327</v>
      </c>
      <c r="J1285">
        <v>-203.6722</v>
      </c>
      <c r="K1285">
        <v>1.102233</v>
      </c>
      <c r="L1285">
        <v>366.03469999999999</v>
      </c>
      <c r="M1285">
        <v>0.93104730000000002</v>
      </c>
      <c r="N1285">
        <v>-1.474406E-2</v>
      </c>
      <c r="O1285">
        <v>-0.3646008</v>
      </c>
      <c r="P1285">
        <v>0.69278229999999996</v>
      </c>
      <c r="Q1285">
        <v>-7.1722179999999996E-2</v>
      </c>
      <c r="R1285">
        <v>-0.71757169999999904</v>
      </c>
      <c r="S1285">
        <v>1.2805629999999999</v>
      </c>
      <c r="T1285">
        <v>-9.8549010000000006E-2</v>
      </c>
      <c r="U1285">
        <v>-2.9459529999999998</v>
      </c>
      <c r="V1285">
        <v>0.41444569999999997</v>
      </c>
      <c r="W1285">
        <v>-6.5727450000000007E-2</v>
      </c>
      <c r="X1285">
        <v>0.90769739999999999</v>
      </c>
      <c r="Y1285">
        <v>0.70815299999999903</v>
      </c>
      <c r="Z1285">
        <v>-1.174979E-2</v>
      </c>
      <c r="AA1285">
        <v>0.70596119999999996</v>
      </c>
      <c r="AB1285">
        <v>23</v>
      </c>
      <c r="AC1285">
        <v>14.212</v>
      </c>
      <c r="AD1285">
        <v>-1.1022345971809999</v>
      </c>
      <c r="AE1285">
        <v>-32.901999999999902</v>
      </c>
      <c r="AF1285">
        <v>25.4303235690432</v>
      </c>
      <c r="AG1285">
        <v>-1.1022345971809999</v>
      </c>
      <c r="AH1285">
        <v>25.207038538672698</v>
      </c>
      <c r="AI1285">
        <v>91.763190550340397</v>
      </c>
      <c r="AJ1285">
        <v>44.747356370450497</v>
      </c>
      <c r="AK1285">
        <v>35.823331361329203</v>
      </c>
      <c r="AL1285">
        <v>93.768622458884295</v>
      </c>
      <c r="AM1285">
        <v>65.459027550235803</v>
      </c>
      <c r="AN1285">
        <v>0.99999995294937505</v>
      </c>
    </row>
    <row r="1286" spans="1:40" x14ac:dyDescent="0.25">
      <c r="A1286" t="str">
        <f>"20190305135217186"</f>
        <v>20190305135217186</v>
      </c>
      <c r="B1286" t="str">
        <f>"1551765137180865"</f>
        <v>1551765137180865</v>
      </c>
      <c r="C1286" t="s">
        <v>40</v>
      </c>
      <c r="D1286">
        <v>5.148657</v>
      </c>
      <c r="E1286">
        <v>0.6448564</v>
      </c>
      <c r="F1286" t="s">
        <v>42</v>
      </c>
      <c r="G1286">
        <v>-189.721</v>
      </c>
      <c r="H1286" s="1">
        <v>-1.5397630000000001E-6</v>
      </c>
      <c r="I1286">
        <v>333.10669999999999</v>
      </c>
      <c r="J1286">
        <v>-203.54759999999999</v>
      </c>
      <c r="K1286">
        <v>1.1021299999999901</v>
      </c>
      <c r="L1286">
        <v>365.97820000000002</v>
      </c>
      <c r="M1286">
        <v>0.92852230000000002</v>
      </c>
      <c r="N1286">
        <v>-1.477263E-2</v>
      </c>
      <c r="O1286">
        <v>-0.37098249999999999</v>
      </c>
      <c r="P1286">
        <v>0.68689820000000001</v>
      </c>
      <c r="Q1286">
        <v>-7.1738140000000006E-2</v>
      </c>
      <c r="R1286">
        <v>-0.72320439999999997</v>
      </c>
      <c r="S1286">
        <v>1.254135</v>
      </c>
      <c r="T1286">
        <v>-9.9084969999999994E-2</v>
      </c>
      <c r="U1286">
        <v>-2.9600520000000001</v>
      </c>
      <c r="V1286">
        <v>0.41560940000000002</v>
      </c>
      <c r="W1286">
        <v>-6.585133E-2</v>
      </c>
      <c r="X1286">
        <v>0.90715619999999997</v>
      </c>
      <c r="Y1286">
        <v>0.70985900000000002</v>
      </c>
      <c r="Z1286">
        <v>-1.168426E-2</v>
      </c>
      <c r="AA1286">
        <v>0.70424690000000001</v>
      </c>
      <c r="AB1286">
        <v>23</v>
      </c>
      <c r="AC1286">
        <v>13.826599999999999</v>
      </c>
      <c r="AD1286">
        <v>-1.1021315397629901</v>
      </c>
      <c r="AE1286">
        <v>-32.871499999999997</v>
      </c>
      <c r="AF1286">
        <v>25.371032951506901</v>
      </c>
      <c r="AG1286">
        <v>-1.1021315397629901</v>
      </c>
      <c r="AH1286">
        <v>25.011900271579599</v>
      </c>
      <c r="AI1286">
        <v>91.771895475116395</v>
      </c>
      <c r="AJ1286">
        <v>44.591599038757899</v>
      </c>
      <c r="AK1286">
        <v>35.644062088275497</v>
      </c>
      <c r="AL1286">
        <v>93.775735602254599</v>
      </c>
      <c r="AM1286">
        <v>65.385336427829401</v>
      </c>
      <c r="AN1286">
        <v>0.999999971114784</v>
      </c>
    </row>
    <row r="1287" spans="1:40" x14ac:dyDescent="0.25">
      <c r="A1287" t="str">
        <f>"20190305135217201"</f>
        <v>20190305135217201</v>
      </c>
      <c r="B1287" t="str">
        <f>"1551765137190625"</f>
        <v>1551765137190625</v>
      </c>
      <c r="C1287" t="s">
        <v>40</v>
      </c>
      <c r="D1287">
        <v>5.1271750000000003</v>
      </c>
      <c r="E1287">
        <v>0.64480039999999905</v>
      </c>
      <c r="F1287" t="s">
        <v>42</v>
      </c>
      <c r="G1287">
        <v>-190.36279999999999</v>
      </c>
      <c r="H1287" s="1">
        <v>-2.0505140000000001E-6</v>
      </c>
      <c r="I1287">
        <v>334.14389999999997</v>
      </c>
      <c r="J1287">
        <v>-203.40170000000001</v>
      </c>
      <c r="K1287">
        <v>1.102006</v>
      </c>
      <c r="L1287">
        <v>365.91</v>
      </c>
      <c r="M1287">
        <v>0.92542740000000001</v>
      </c>
      <c r="N1287">
        <v>-1.4808429999999999E-2</v>
      </c>
      <c r="O1287">
        <v>-0.37863530000000001</v>
      </c>
      <c r="P1287">
        <v>0.67859539999999996</v>
      </c>
      <c r="Q1287">
        <v>-7.2989819999999997E-2</v>
      </c>
      <c r="R1287">
        <v>-0.73087679999999999</v>
      </c>
      <c r="S1287">
        <v>1.229965</v>
      </c>
      <c r="T1287">
        <v>-0.10281460000000001</v>
      </c>
      <c r="U1287">
        <v>-2.9697269999999998</v>
      </c>
      <c r="V1287">
        <v>0.41831620000000003</v>
      </c>
      <c r="W1287">
        <v>-6.7265039999999998E-2</v>
      </c>
      <c r="X1287">
        <v>0.90580740000000004</v>
      </c>
      <c r="Y1287">
        <v>0.70972849999999998</v>
      </c>
      <c r="Z1287">
        <v>-1.1533359999999999E-2</v>
      </c>
      <c r="AA1287">
        <v>0.70438089999999998</v>
      </c>
      <c r="AB1287">
        <v>23</v>
      </c>
      <c r="AC1287">
        <v>13.0389</v>
      </c>
      <c r="AD1287">
        <v>-1.102008050514</v>
      </c>
      <c r="AE1287">
        <v>-31.766100000000002</v>
      </c>
      <c r="AF1287">
        <v>24.4377458406078</v>
      </c>
      <c r="AG1287">
        <v>-1.102008050514</v>
      </c>
      <c r="AH1287">
        <v>24.072172823151799</v>
      </c>
      <c r="AI1287">
        <v>91.840052340983107</v>
      </c>
      <c r="AJ1287">
        <v>44.568224497653901</v>
      </c>
      <c r="AK1287">
        <v>34.320363458757697</v>
      </c>
      <c r="AL1287">
        <v>93.856914984264705</v>
      </c>
      <c r="AM1287">
        <v>65.211759373889606</v>
      </c>
      <c r="AN1287">
        <v>1.0000000373417</v>
      </c>
    </row>
    <row r="1288" spans="1:40" x14ac:dyDescent="0.25">
      <c r="A1288" t="str">
        <f>"20190305135217216"</f>
        <v>20190305135217216</v>
      </c>
      <c r="B1288" t="str">
        <f>"1551765137211120"</f>
        <v>1551765137211120</v>
      </c>
      <c r="C1288" t="s">
        <v>40</v>
      </c>
      <c r="D1288">
        <v>5.1731619999999996</v>
      </c>
      <c r="E1288">
        <v>0.64443919999999999</v>
      </c>
      <c r="F1288" t="s">
        <v>42</v>
      </c>
      <c r="G1288">
        <v>-191.48490000000001</v>
      </c>
      <c r="H1288" s="1">
        <v>-3.2311930000000001E-6</v>
      </c>
      <c r="I1288">
        <v>336.20010000000002</v>
      </c>
      <c r="J1288">
        <v>-203.2655</v>
      </c>
      <c r="K1288">
        <v>1.1018939999999999</v>
      </c>
      <c r="L1288">
        <v>365.84480000000002</v>
      </c>
      <c r="M1288">
        <v>0.92242020000000002</v>
      </c>
      <c r="N1288">
        <v>-1.4842640000000001E-2</v>
      </c>
      <c r="O1288">
        <v>-0.38590219999999997</v>
      </c>
      <c r="P1288">
        <v>0.67189940000000004</v>
      </c>
      <c r="Q1288">
        <v>-7.3543010000000006E-2</v>
      </c>
      <c r="R1288">
        <v>-0.73698219999999903</v>
      </c>
      <c r="S1288">
        <v>1.1964109999999999</v>
      </c>
      <c r="T1288">
        <v>-0.11063870000000001</v>
      </c>
      <c r="U1288">
        <v>-2.9827880000000002</v>
      </c>
      <c r="V1288">
        <v>0.41937489999999999</v>
      </c>
      <c r="W1288">
        <v>-6.7927940000000006E-2</v>
      </c>
      <c r="X1288">
        <v>0.90526819999999997</v>
      </c>
      <c r="Y1288">
        <v>0.71202809999999905</v>
      </c>
      <c r="Z1288">
        <v>-1.145942E-2</v>
      </c>
      <c r="AA1288">
        <v>0.70205740000000005</v>
      </c>
      <c r="AB1288">
        <v>23</v>
      </c>
      <c r="AC1288">
        <v>11.7805999999999</v>
      </c>
      <c r="AD1288">
        <v>-1.101897231193</v>
      </c>
      <c r="AE1288">
        <v>-29.6447</v>
      </c>
      <c r="AF1288">
        <v>22.774050506238499</v>
      </c>
      <c r="AG1288">
        <v>-1.101897231193</v>
      </c>
      <c r="AH1288">
        <v>22.282490486847099</v>
      </c>
      <c r="AI1288">
        <v>91.980714931288901</v>
      </c>
      <c r="AJ1288">
        <v>44.374936545718299</v>
      </c>
      <c r="AK1288">
        <v>31.880729857787902</v>
      </c>
      <c r="AL1288">
        <v>93.894983523674398</v>
      </c>
      <c r="AM1288">
        <v>65.143578996928696</v>
      </c>
      <c r="AN1288">
        <v>1.00000001285694</v>
      </c>
    </row>
    <row r="1289" spans="1:40" x14ac:dyDescent="0.25">
      <c r="A1289" t="str">
        <f>"20190305135217237"</f>
        <v>20190305135217237</v>
      </c>
      <c r="B1289" t="str">
        <f>"1551765137230641"</f>
        <v>1551765137230641</v>
      </c>
      <c r="C1289" t="s">
        <v>40</v>
      </c>
      <c r="D1289">
        <v>5.1384429999999996</v>
      </c>
      <c r="E1289">
        <v>0.64403279999999996</v>
      </c>
      <c r="F1289" t="s">
        <v>42</v>
      </c>
      <c r="G1289">
        <v>-192.32740000000001</v>
      </c>
      <c r="H1289" s="1">
        <v>-4.1234880000000001E-6</v>
      </c>
      <c r="I1289">
        <v>337.89069999999998</v>
      </c>
      <c r="J1289">
        <v>-203.07149999999999</v>
      </c>
      <c r="K1289">
        <v>1.1017490000000001</v>
      </c>
      <c r="L1289">
        <v>365.74979999999999</v>
      </c>
      <c r="M1289">
        <v>0.91793760000000002</v>
      </c>
      <c r="N1289">
        <v>-1.4891730000000001E-2</v>
      </c>
      <c r="O1289">
        <v>-0.39644550000000001</v>
      </c>
      <c r="P1289">
        <v>0.66147599999999995</v>
      </c>
      <c r="Q1289">
        <v>-7.3988280000000003E-2</v>
      </c>
      <c r="R1289">
        <v>-0.74630799999999997</v>
      </c>
      <c r="S1289">
        <v>1.170593</v>
      </c>
      <c r="T1289">
        <v>-0.1179246</v>
      </c>
      <c r="U1289">
        <v>-2.991638</v>
      </c>
      <c r="V1289">
        <v>0.42164699999999999</v>
      </c>
      <c r="W1289">
        <v>-6.8544140000000003E-2</v>
      </c>
      <c r="X1289">
        <v>0.90416560000000001</v>
      </c>
      <c r="Y1289">
        <v>0.70990120000000001</v>
      </c>
      <c r="Z1289">
        <v>-1.1086510000000001E-2</v>
      </c>
      <c r="AA1289">
        <v>0.70421400000000001</v>
      </c>
      <c r="AB1289">
        <v>23</v>
      </c>
      <c r="AC1289">
        <v>10.7440999999999</v>
      </c>
      <c r="AD1289">
        <v>-1.10175312348799</v>
      </c>
      <c r="AE1289">
        <v>-27.859100000000002</v>
      </c>
      <c r="AF1289">
        <v>21.286844557113401</v>
      </c>
      <c r="AG1289">
        <v>-1.10175312348799</v>
      </c>
      <c r="AH1289">
        <v>20.880915102851102</v>
      </c>
      <c r="AI1289">
        <v>92.116039420299799</v>
      </c>
      <c r="AJ1289">
        <v>44.448457155555197</v>
      </c>
      <c r="AK1289">
        <v>29.8388375557142</v>
      </c>
      <c r="AL1289">
        <v>93.930371865901606</v>
      </c>
      <c r="AM1289">
        <v>64.9985604793916</v>
      </c>
      <c r="AN1289">
        <v>0.99999996198034902</v>
      </c>
    </row>
    <row r="1290" spans="1:40" x14ac:dyDescent="0.25">
      <c r="A1290" t="str">
        <f>"20190305135217251"</f>
        <v>20190305135217251</v>
      </c>
      <c r="B1290" t="str">
        <f>"1551765137240400"</f>
        <v>1551765137240400</v>
      </c>
      <c r="C1290" t="s">
        <v>40</v>
      </c>
      <c r="D1290">
        <v>5.1762379999999997</v>
      </c>
      <c r="E1290">
        <v>0.64380819999999905</v>
      </c>
      <c r="F1290" t="s">
        <v>42</v>
      </c>
      <c r="G1290">
        <v>-192.73390000000001</v>
      </c>
      <c r="H1290" s="1">
        <v>-4.3290639999999996E-6</v>
      </c>
      <c r="I1290">
        <v>338.28289999999998</v>
      </c>
      <c r="J1290">
        <v>-202.94040000000001</v>
      </c>
      <c r="K1290">
        <v>1.1016549999999901</v>
      </c>
      <c r="L1290">
        <v>365.68369999999999</v>
      </c>
      <c r="M1290">
        <v>0.91476780000000002</v>
      </c>
      <c r="N1290">
        <v>-1.492486E-2</v>
      </c>
      <c r="O1290">
        <v>-0.40370450000000002</v>
      </c>
      <c r="P1290">
        <v>0.65462909999999996</v>
      </c>
      <c r="Q1290">
        <v>-7.3317709999999994E-2</v>
      </c>
      <c r="R1290">
        <v>-0.75238649999999996</v>
      </c>
      <c r="S1290">
        <v>1.1311040000000001</v>
      </c>
      <c r="T1290">
        <v>-0.1205493</v>
      </c>
      <c r="U1290">
        <v>-3.0053100000000001</v>
      </c>
      <c r="V1290">
        <v>0.42280129999999999</v>
      </c>
      <c r="W1290">
        <v>-6.7973800000000001E-2</v>
      </c>
      <c r="X1290">
        <v>0.90366950000000001</v>
      </c>
      <c r="Y1290">
        <v>0.71345249999999905</v>
      </c>
      <c r="Z1290">
        <v>-1.100979E-2</v>
      </c>
      <c r="AA1290">
        <v>0.70061709999999899</v>
      </c>
      <c r="AB1290">
        <v>23</v>
      </c>
      <c r="AC1290">
        <v>10.2065</v>
      </c>
      <c r="AD1290">
        <v>-1.10165932906399</v>
      </c>
      <c r="AE1290">
        <v>-27.4008</v>
      </c>
      <c r="AF1290">
        <v>20.917597705118499</v>
      </c>
      <c r="AG1290">
        <v>-1.10165932906399</v>
      </c>
      <c r="AH1290">
        <v>20.3717559680093</v>
      </c>
      <c r="AI1290">
        <v>92.160742242776095</v>
      </c>
      <c r="AJ1290">
        <v>44.242598797905899</v>
      </c>
      <c r="AK1290">
        <v>29.2193084834432</v>
      </c>
      <c r="AL1290">
        <v>93.897617358775094</v>
      </c>
      <c r="AM1290">
        <v>64.926440981243005</v>
      </c>
      <c r="AN1290">
        <v>0.99999997099918903</v>
      </c>
    </row>
    <row r="1291" spans="1:40" x14ac:dyDescent="0.25">
      <c r="A1291" t="str">
        <f>"20190305135217262"</f>
        <v>20190305135217262</v>
      </c>
      <c r="B1291" t="str">
        <f>"1551765137251137"</f>
        <v>1551765137251137</v>
      </c>
      <c r="C1291" t="s">
        <v>40</v>
      </c>
      <c r="D1291">
        <v>5.1275829999999996</v>
      </c>
      <c r="E1291">
        <v>0.64347369999999904</v>
      </c>
      <c r="F1291" t="s">
        <v>42</v>
      </c>
      <c r="G1291">
        <v>-192.7697</v>
      </c>
      <c r="H1291" s="1">
        <v>-4.2143740000000004E-6</v>
      </c>
      <c r="I1291">
        <v>337.92720000000003</v>
      </c>
      <c r="J1291">
        <v>-202.82910000000001</v>
      </c>
      <c r="K1291">
        <v>1.1015790000000001</v>
      </c>
      <c r="L1291">
        <v>365.6266</v>
      </c>
      <c r="M1291">
        <v>0.91199010000000003</v>
      </c>
      <c r="N1291">
        <v>-1.4952740000000001E-2</v>
      </c>
      <c r="O1291">
        <v>-0.40993970000000002</v>
      </c>
      <c r="P1291">
        <v>0.64843980000000001</v>
      </c>
      <c r="Q1291">
        <v>-7.2953290000000004E-2</v>
      </c>
      <c r="R1291">
        <v>-0.75776269999999901</v>
      </c>
      <c r="S1291">
        <v>1.1045990000000001</v>
      </c>
      <c r="T1291">
        <v>-0.1196469</v>
      </c>
      <c r="U1291">
        <v>-3.014526</v>
      </c>
      <c r="V1291">
        <v>0.4240642</v>
      </c>
      <c r="W1291">
        <v>-6.7698960000000002E-2</v>
      </c>
      <c r="X1291">
        <v>0.90309819999999996</v>
      </c>
      <c r="Y1291">
        <v>0.71479569999999903</v>
      </c>
      <c r="Z1291">
        <v>-1.089096E-2</v>
      </c>
      <c r="AA1291">
        <v>0.6992486</v>
      </c>
      <c r="AB1291">
        <v>23</v>
      </c>
      <c r="AC1291">
        <v>10.0594</v>
      </c>
      <c r="AD1291">
        <v>-1.1015832143740001</v>
      </c>
      <c r="AE1291">
        <v>-27.699399999999901</v>
      </c>
      <c r="AF1291">
        <v>21.110695662270999</v>
      </c>
      <c r="AG1291">
        <v>-1.1015832143740001</v>
      </c>
      <c r="AH1291">
        <v>20.502802822537902</v>
      </c>
      <c r="AI1291">
        <v>92.143737745054395</v>
      </c>
      <c r="AJ1291">
        <v>44.163078851905098</v>
      </c>
      <c r="AK1291">
        <v>29.448936831455999</v>
      </c>
      <c r="AL1291">
        <v>93.881833805380793</v>
      </c>
      <c r="AM1291">
        <v>64.846846609748695</v>
      </c>
      <c r="AN1291">
        <v>0.99999997687497999</v>
      </c>
    </row>
    <row r="1292" spans="1:40" x14ac:dyDescent="0.25">
      <c r="A1292" t="str">
        <f>"20190305135217281"</f>
        <v>20190305135217281</v>
      </c>
      <c r="B1292" t="str">
        <f>"1551765137270656"</f>
        <v>1551765137270656</v>
      </c>
      <c r="C1292" t="s">
        <v>40</v>
      </c>
      <c r="D1292">
        <v>5.156911</v>
      </c>
      <c r="E1292">
        <v>0.6426965</v>
      </c>
      <c r="F1292" t="s">
        <v>42</v>
      </c>
      <c r="G1292">
        <v>-192.9502</v>
      </c>
      <c r="H1292" s="1">
        <v>-4.2820800000000003E-6</v>
      </c>
      <c r="I1292">
        <v>338.03210000000001</v>
      </c>
      <c r="J1292">
        <v>-202.6618</v>
      </c>
      <c r="K1292">
        <v>1.1014679999999999</v>
      </c>
      <c r="L1292">
        <v>365.53859999999997</v>
      </c>
      <c r="M1292">
        <v>0.90764350000000005</v>
      </c>
      <c r="N1292">
        <v>-1.4994749999999999E-2</v>
      </c>
      <c r="O1292">
        <v>-0.41947430000000002</v>
      </c>
      <c r="P1292">
        <v>0.63822380000000001</v>
      </c>
      <c r="Q1292">
        <v>-7.2495240000000002E-2</v>
      </c>
      <c r="R1292">
        <v>-0.76643030000000001</v>
      </c>
      <c r="S1292">
        <v>1.081772</v>
      </c>
      <c r="T1292">
        <v>-0.1206272</v>
      </c>
      <c r="U1292">
        <v>-3.0216980000000002</v>
      </c>
      <c r="V1292">
        <v>0.42673179999999999</v>
      </c>
      <c r="W1292">
        <v>-6.738748E-2</v>
      </c>
      <c r="X1292">
        <v>0.90186409999999995</v>
      </c>
      <c r="Y1292">
        <v>0.71267309999999995</v>
      </c>
      <c r="Z1292">
        <v>-1.051933E-2</v>
      </c>
      <c r="AA1292">
        <v>0.70141739999999997</v>
      </c>
      <c r="AB1292">
        <v>23</v>
      </c>
      <c r="AC1292">
        <v>9.7116000000000007</v>
      </c>
      <c r="AD1292">
        <v>-1.10147228207999</v>
      </c>
      <c r="AE1292">
        <v>-27.5064999999999</v>
      </c>
      <c r="AF1292">
        <v>20.8649267009929</v>
      </c>
      <c r="AG1292">
        <v>-1.10147228207999</v>
      </c>
      <c r="AH1292">
        <v>20.326245296334498</v>
      </c>
      <c r="AI1292">
        <v>92.165524264116897</v>
      </c>
      <c r="AJ1292">
        <v>44.250751795248597</v>
      </c>
      <c r="AK1292">
        <v>29.149865441760699</v>
      </c>
      <c r="AL1292">
        <v>93.863946461810002</v>
      </c>
      <c r="AM1292">
        <v>64.678059762343906</v>
      </c>
      <c r="AN1292">
        <v>0.99999997823039899</v>
      </c>
    </row>
    <row r="1293" spans="1:40" x14ac:dyDescent="0.25">
      <c r="A1293" t="str">
        <f>"20190305135217294"</f>
        <v>20190305135217294</v>
      </c>
      <c r="B1293" t="str">
        <f>"1551765137291153"</f>
        <v>1551765137291153</v>
      </c>
      <c r="C1293" t="s">
        <v>40</v>
      </c>
      <c r="D1293">
        <v>5.1609099999999897</v>
      </c>
      <c r="E1293">
        <v>0.64183760000000001</v>
      </c>
      <c r="F1293" t="s">
        <v>42</v>
      </c>
      <c r="G1293">
        <v>-193.05330000000001</v>
      </c>
      <c r="H1293" s="1">
        <v>-4.1815669999999996E-6</v>
      </c>
      <c r="I1293">
        <v>337.68299999999999</v>
      </c>
      <c r="J1293">
        <v>-202.5445</v>
      </c>
      <c r="K1293">
        <v>1.101397</v>
      </c>
      <c r="L1293">
        <v>365.4753</v>
      </c>
      <c r="M1293">
        <v>0.90447739999999999</v>
      </c>
      <c r="N1293">
        <v>-1.50239E-2</v>
      </c>
      <c r="O1293">
        <v>-0.426257</v>
      </c>
      <c r="P1293">
        <v>0.63149750000000004</v>
      </c>
      <c r="Q1293">
        <v>-7.2339440000000005E-2</v>
      </c>
      <c r="R1293">
        <v>-0.77199640000000003</v>
      </c>
      <c r="S1293">
        <v>1.045868</v>
      </c>
      <c r="T1293">
        <v>-0.11989379999999999</v>
      </c>
      <c r="U1293">
        <v>-3.0320429999999998</v>
      </c>
      <c r="V1293">
        <v>0.42786950000000001</v>
      </c>
      <c r="W1293">
        <v>-6.7311330000000003E-2</v>
      </c>
      <c r="X1293">
        <v>0.90133059999999998</v>
      </c>
      <c r="Y1293">
        <v>0.71557329999999997</v>
      </c>
      <c r="Z1293">
        <v>-1.0445029999999999E-2</v>
      </c>
      <c r="AA1293">
        <v>0.69845959999999996</v>
      </c>
      <c r="AB1293">
        <v>23</v>
      </c>
      <c r="AC1293">
        <v>9.4911999999999903</v>
      </c>
      <c r="AD1293">
        <v>-1.101401181567</v>
      </c>
      <c r="AE1293">
        <v>-27.792299999999901</v>
      </c>
      <c r="AF1293">
        <v>21.0645694298595</v>
      </c>
      <c r="AG1293">
        <v>-1.101401181567</v>
      </c>
      <c r="AH1293">
        <v>20.404844309786998</v>
      </c>
      <c r="AI1293">
        <v>92.150781363001101</v>
      </c>
      <c r="AJ1293">
        <v>44.0885746085956</v>
      </c>
      <c r="AK1293">
        <v>29.347688855083199</v>
      </c>
      <c r="AL1293">
        <v>93.859573423788106</v>
      </c>
      <c r="AM1293">
        <v>64.605900010397804</v>
      </c>
      <c r="AN1293">
        <v>0.99999998733648898</v>
      </c>
    </row>
    <row r="1294" spans="1:40" x14ac:dyDescent="0.25">
      <c r="A1294" t="str">
        <f>"20190305135217307"</f>
        <v>20190305135217307</v>
      </c>
      <c r="B1294" t="str">
        <f>"1551765137300912"</f>
        <v>1551765137300912</v>
      </c>
      <c r="C1294" t="s">
        <v>40</v>
      </c>
      <c r="D1294">
        <v>5.1215210000000004</v>
      </c>
      <c r="E1294">
        <v>0.64135039999999999</v>
      </c>
      <c r="F1294" t="s">
        <v>42</v>
      </c>
      <c r="G1294">
        <v>-193.3117</v>
      </c>
      <c r="H1294" s="1">
        <v>-4.3686519999999997E-6</v>
      </c>
      <c r="I1294">
        <v>338.09809999999999</v>
      </c>
      <c r="J1294">
        <v>-202.4264</v>
      </c>
      <c r="K1294">
        <v>1.101326</v>
      </c>
      <c r="L1294">
        <v>365.41070000000002</v>
      </c>
      <c r="M1294">
        <v>0.90120270000000002</v>
      </c>
      <c r="N1294">
        <v>-1.5052660000000001E-2</v>
      </c>
      <c r="O1294">
        <v>-0.43313659999999998</v>
      </c>
      <c r="P1294">
        <v>0.62468749999999995</v>
      </c>
      <c r="Q1294">
        <v>-7.2317309999999996E-2</v>
      </c>
      <c r="R1294">
        <v>-0.77751959999999998</v>
      </c>
      <c r="S1294">
        <v>1.0241549999999999</v>
      </c>
      <c r="T1294">
        <v>-0.1221735</v>
      </c>
      <c r="U1294">
        <v>-3.036835</v>
      </c>
      <c r="V1294">
        <v>0.4289134</v>
      </c>
      <c r="W1294">
        <v>-6.7365270000000005E-2</v>
      </c>
      <c r="X1294">
        <v>0.90083029999999997</v>
      </c>
      <c r="Y1294">
        <v>0.71505479999999999</v>
      </c>
      <c r="Z1294">
        <v>-1.0181839999999999E-2</v>
      </c>
      <c r="AA1294">
        <v>0.69899429999999996</v>
      </c>
      <c r="AB1294">
        <v>23</v>
      </c>
      <c r="AC1294">
        <v>9.1146999999999991</v>
      </c>
      <c r="AD1294">
        <v>-1.101330368652</v>
      </c>
      <c r="AE1294">
        <v>-27.3126</v>
      </c>
      <c r="AF1294">
        <v>20.638423793798701</v>
      </c>
      <c r="AG1294">
        <v>-1.101330368652</v>
      </c>
      <c r="AH1294">
        <v>20.0172624067452</v>
      </c>
      <c r="AI1294">
        <v>92.193668433774803</v>
      </c>
      <c r="AJ1294">
        <v>44.124669627433697</v>
      </c>
      <c r="AK1294">
        <v>28.772352346199401</v>
      </c>
      <c r="AL1294">
        <v>93.862670913537897</v>
      </c>
      <c r="AM1294">
        <v>64.539424108472005</v>
      </c>
      <c r="AN1294">
        <v>1.00000000684991</v>
      </c>
    </row>
    <row r="1295" spans="1:40" x14ac:dyDescent="0.25">
      <c r="A1295" t="str">
        <f>"20190305135217319"</f>
        <v>20190305135217319</v>
      </c>
      <c r="B1295" t="str">
        <f>"1551765137310673"</f>
        <v>1551765137310673</v>
      </c>
      <c r="C1295" t="s">
        <v>40</v>
      </c>
      <c r="D1295">
        <v>5.1757339999999896</v>
      </c>
      <c r="E1295">
        <v>0.64087669999999997</v>
      </c>
      <c r="F1295" t="s">
        <v>42</v>
      </c>
      <c r="G1295">
        <v>-193.43389999999999</v>
      </c>
      <c r="H1295" s="1">
        <v>-4.3765179999999996E-6</v>
      </c>
      <c r="I1295">
        <v>338.0575</v>
      </c>
      <c r="J1295">
        <v>-202.30410000000001</v>
      </c>
      <c r="K1295">
        <v>1.101256</v>
      </c>
      <c r="L1295">
        <v>365.34199999999998</v>
      </c>
      <c r="M1295">
        <v>0.89768740000000002</v>
      </c>
      <c r="N1295">
        <v>-1.50826E-2</v>
      </c>
      <c r="O1295">
        <v>-0.44037480000000001</v>
      </c>
      <c r="P1295">
        <v>0.61783739999999998</v>
      </c>
      <c r="Q1295">
        <v>-7.2489070000000003E-2</v>
      </c>
      <c r="R1295">
        <v>-0.78295740000000003</v>
      </c>
      <c r="S1295">
        <v>1.000443</v>
      </c>
      <c r="T1295">
        <v>-0.122527</v>
      </c>
      <c r="U1295">
        <v>-3.0431520000000001</v>
      </c>
      <c r="V1295">
        <v>0.42954300000000001</v>
      </c>
      <c r="W1295">
        <v>-6.7598500000000006E-2</v>
      </c>
      <c r="X1295">
        <v>0.9005128</v>
      </c>
      <c r="Y1295">
        <v>0.71477440000000003</v>
      </c>
      <c r="Z1295">
        <v>-9.9413509999999993E-3</v>
      </c>
      <c r="AA1295">
        <v>0.69928449999999998</v>
      </c>
      <c r="AB1295">
        <v>23</v>
      </c>
      <c r="AC1295">
        <v>8.8702000000000094</v>
      </c>
      <c r="AD1295">
        <v>-1.101260376518</v>
      </c>
      <c r="AE1295">
        <v>-27.284499999999898</v>
      </c>
      <c r="AF1295">
        <v>20.558789196287901</v>
      </c>
      <c r="AG1295">
        <v>-1.101260376518</v>
      </c>
      <c r="AH1295">
        <v>19.950949259553301</v>
      </c>
      <c r="AI1295">
        <v>92.201433318017294</v>
      </c>
      <c r="AJ1295">
        <v>44.1403536283321</v>
      </c>
      <c r="AK1295">
        <v>28.669094230400201</v>
      </c>
      <c r="AL1295">
        <v>93.876064470361101</v>
      </c>
      <c r="AM1295">
        <v>64.498941182712898</v>
      </c>
      <c r="AN1295">
        <v>1.00000002450754</v>
      </c>
    </row>
    <row r="1296" spans="1:40" x14ac:dyDescent="0.25">
      <c r="A1296" t="str">
        <f>"20190305135217338"</f>
        <v>20190305135217338</v>
      </c>
      <c r="B1296" t="str">
        <f>"1551765137331169"</f>
        <v>1551765137331169</v>
      </c>
      <c r="C1296" t="s">
        <v>40</v>
      </c>
      <c r="D1296">
        <v>5.1072419999999896</v>
      </c>
      <c r="E1296">
        <v>0.6403913</v>
      </c>
      <c r="F1296" t="s">
        <v>42</v>
      </c>
      <c r="G1296">
        <v>-193.54519999999999</v>
      </c>
      <c r="H1296" s="1">
        <v>-4.3796000000000004E-6</v>
      </c>
      <c r="I1296">
        <v>338.00850000000003</v>
      </c>
      <c r="J1296">
        <v>-202.15129999999999</v>
      </c>
      <c r="K1296">
        <v>1.1011770000000001</v>
      </c>
      <c r="L1296">
        <v>365.25439999999998</v>
      </c>
      <c r="M1296">
        <v>0.8931462</v>
      </c>
      <c r="N1296">
        <v>-1.511915E-2</v>
      </c>
      <c r="O1296">
        <v>-0.44951210000000003</v>
      </c>
      <c r="P1296">
        <v>0.60963979999999995</v>
      </c>
      <c r="Q1296">
        <v>-7.3365449999999999E-2</v>
      </c>
      <c r="R1296">
        <v>-0.78927609999999904</v>
      </c>
      <c r="S1296">
        <v>0.97709659999999998</v>
      </c>
      <c r="T1296">
        <v>-0.12285020000000001</v>
      </c>
      <c r="U1296">
        <v>-3.0491640000000002</v>
      </c>
      <c r="V1296">
        <v>0.42964089999999999</v>
      </c>
      <c r="W1296">
        <v>-6.8527329999999997E-2</v>
      </c>
      <c r="X1296">
        <v>0.90039590000000003</v>
      </c>
      <c r="Y1296">
        <v>0.71289460000000004</v>
      </c>
      <c r="Z1296">
        <v>-9.5737210000000003E-3</v>
      </c>
      <c r="AA1296">
        <v>0.70120590000000005</v>
      </c>
      <c r="AB1296">
        <v>23</v>
      </c>
      <c r="AC1296">
        <v>8.6060999999999908</v>
      </c>
      <c r="AD1296">
        <v>-1.1011813795999901</v>
      </c>
      <c r="AE1296">
        <v>-27.245899999999899</v>
      </c>
      <c r="AF1296">
        <v>20.4380105756637</v>
      </c>
      <c r="AG1296">
        <v>-1.1011813795999901</v>
      </c>
      <c r="AH1296">
        <v>19.906580303839601</v>
      </c>
      <c r="AI1296">
        <v>92.210334392427896</v>
      </c>
      <c r="AJ1296">
        <v>44.245327560424201</v>
      </c>
      <c r="AK1296">
        <v>28.551651723060399</v>
      </c>
      <c r="AL1296">
        <v>93.929406157283097</v>
      </c>
      <c r="AM1296">
        <v>64.490976048903505</v>
      </c>
      <c r="AN1296">
        <v>1.00000003732327</v>
      </c>
    </row>
    <row r="1297" spans="1:40" x14ac:dyDescent="0.25">
      <c r="A1297" t="str">
        <f>"20190305135217349"</f>
        <v>20190305135217349</v>
      </c>
      <c r="B1297" t="str">
        <f>"1551765137340929"</f>
        <v>1551765137340929</v>
      </c>
      <c r="C1297" t="s">
        <v>40</v>
      </c>
      <c r="D1297">
        <v>5.1459659999999996</v>
      </c>
      <c r="E1297">
        <v>0.62657379999999996</v>
      </c>
      <c r="F1297" t="s">
        <v>42</v>
      </c>
      <c r="G1297">
        <v>-193.8459</v>
      </c>
      <c r="H1297" s="1">
        <v>-4.5928780000000003E-6</v>
      </c>
      <c r="I1297">
        <v>338.4785</v>
      </c>
      <c r="J1297">
        <v>-202.0385</v>
      </c>
      <c r="K1297">
        <v>1.101113</v>
      </c>
      <c r="L1297">
        <v>365.1884</v>
      </c>
      <c r="M1297">
        <v>0.88968829999999999</v>
      </c>
      <c r="N1297">
        <v>-1.514539E-2</v>
      </c>
      <c r="O1297">
        <v>-0.45631719999999998</v>
      </c>
      <c r="P1297">
        <v>0.60333119999999996</v>
      </c>
      <c r="Q1297">
        <v>-7.3932100000000001E-2</v>
      </c>
      <c r="R1297">
        <v>-0.7940564</v>
      </c>
      <c r="S1297">
        <v>0.94819640000000005</v>
      </c>
      <c r="T1297">
        <v>-0.1257172</v>
      </c>
      <c r="U1297">
        <v>-3.0568849999999999</v>
      </c>
      <c r="V1297">
        <v>0.4298746</v>
      </c>
      <c r="W1297">
        <v>-6.9133669999999994E-2</v>
      </c>
      <c r="X1297">
        <v>0.90023799999999898</v>
      </c>
      <c r="Y1297">
        <v>0.71407119999999902</v>
      </c>
      <c r="Z1297">
        <v>-9.3315559999999995E-3</v>
      </c>
      <c r="AA1297">
        <v>0.70001080000000004</v>
      </c>
      <c r="AB1297">
        <v>23</v>
      </c>
      <c r="AC1297">
        <v>8.1925999999999899</v>
      </c>
      <c r="AD1297">
        <v>-1.1011175928779999</v>
      </c>
      <c r="AE1297">
        <v>-26.709900000000001</v>
      </c>
      <c r="AF1297">
        <v>19.996296361602901</v>
      </c>
      <c r="AG1297">
        <v>-1.1011175928779999</v>
      </c>
      <c r="AH1297">
        <v>19.4490694683046</v>
      </c>
      <c r="AI1297">
        <v>92.260518863746796</v>
      </c>
      <c r="AJ1297">
        <v>44.205184702098997</v>
      </c>
      <c r="AK1297">
        <v>27.9164938937062</v>
      </c>
      <c r="AL1297">
        <v>93.964229431686107</v>
      </c>
      <c r="AM1297">
        <v>64.474956870306897</v>
      </c>
      <c r="AN1297">
        <v>1.00000004634841</v>
      </c>
    </row>
    <row r="1298" spans="1:40" x14ac:dyDescent="0.25">
      <c r="A1298" t="str">
        <f>"20190305135217363"</f>
        <v>20190305135217363</v>
      </c>
      <c r="B1298" t="str">
        <f>"1551765137350690"</f>
        <v>1551765137350690</v>
      </c>
      <c r="C1298" t="s">
        <v>40</v>
      </c>
      <c r="D1298">
        <v>5.1242650000000003</v>
      </c>
      <c r="E1298">
        <v>0.62603369999999903</v>
      </c>
      <c r="F1298" t="s">
        <v>42</v>
      </c>
      <c r="G1298">
        <v>-194.9187</v>
      </c>
      <c r="H1298" s="1">
        <v>-3.2289769999999999E-6</v>
      </c>
      <c r="I1298">
        <v>344.0652</v>
      </c>
      <c r="J1298">
        <v>-201.92140000000001</v>
      </c>
      <c r="K1298">
        <v>1.1010580000000001</v>
      </c>
      <c r="L1298">
        <v>365.11860000000001</v>
      </c>
      <c r="M1298">
        <v>0.88599619999999901</v>
      </c>
      <c r="N1298">
        <v>-1.517191E-2</v>
      </c>
      <c r="O1298">
        <v>-0.46344439999999998</v>
      </c>
      <c r="P1298">
        <v>0.59708850000000002</v>
      </c>
      <c r="Q1298">
        <v>-7.4523779999999998E-2</v>
      </c>
      <c r="R1298">
        <v>-0.79870609999999997</v>
      </c>
      <c r="S1298">
        <v>1.0098879999999999</v>
      </c>
      <c r="T1298">
        <v>-0.15618470000000001</v>
      </c>
      <c r="U1298">
        <v>-2.9961549999999999</v>
      </c>
      <c r="V1298">
        <v>0.4296353</v>
      </c>
      <c r="W1298">
        <v>-6.9750480000000004E-2</v>
      </c>
      <c r="X1298">
        <v>0.90030460000000001</v>
      </c>
      <c r="Y1298">
        <v>0.6909092</v>
      </c>
      <c r="Z1298">
        <v>-7.0865829999999996E-3</v>
      </c>
      <c r="AA1298">
        <v>0.72290679999999996</v>
      </c>
      <c r="AB1298">
        <v>23</v>
      </c>
      <c r="AC1298">
        <v>7.0026999999999999</v>
      </c>
      <c r="AD1298">
        <v>-1.1010612289769901</v>
      </c>
      <c r="AE1298">
        <v>-21.0534</v>
      </c>
      <c r="AF1298">
        <v>15.3717869079354</v>
      </c>
      <c r="AG1298">
        <v>-1.1010612289769901</v>
      </c>
      <c r="AH1298">
        <v>15.9240661235396</v>
      </c>
      <c r="AI1298">
        <v>92.847979181034901</v>
      </c>
      <c r="AJ1298">
        <v>46.010996057109097</v>
      </c>
      <c r="AK1298">
        <v>22.1603260463332</v>
      </c>
      <c r="AL1298">
        <v>93.999655758768796</v>
      </c>
      <c r="AM1298">
        <v>64.489008042021098</v>
      </c>
      <c r="AN1298">
        <v>0.99999999662373995</v>
      </c>
    </row>
    <row r="1299" spans="1:40" x14ac:dyDescent="0.25">
      <c r="A1299" t="str">
        <f>"20190305135217377"</f>
        <v>20190305135217377</v>
      </c>
      <c r="B1299" t="str">
        <f>"1551765137371185"</f>
        <v>1551765137371185</v>
      </c>
      <c r="C1299" t="s">
        <v>40</v>
      </c>
      <c r="D1299">
        <v>5.109731</v>
      </c>
      <c r="E1299">
        <v>0.6252837</v>
      </c>
      <c r="F1299" t="s">
        <v>42</v>
      </c>
      <c r="G1299">
        <v>-195.0643</v>
      </c>
      <c r="H1299" s="1">
        <v>-3.3823120000000001E-6</v>
      </c>
      <c r="I1299">
        <v>344.33229999999998</v>
      </c>
      <c r="J1299">
        <v>-201.80289999999999</v>
      </c>
      <c r="K1299">
        <v>1.1010040000000001</v>
      </c>
      <c r="L1299">
        <v>365.04629999999997</v>
      </c>
      <c r="M1299">
        <v>0.88213949999999997</v>
      </c>
      <c r="N1299">
        <v>-1.5198100000000001E-2</v>
      </c>
      <c r="O1299">
        <v>-0.47074310000000003</v>
      </c>
      <c r="P1299">
        <v>0.59047819999999995</v>
      </c>
      <c r="Q1299">
        <v>-7.4899259999999995E-2</v>
      </c>
      <c r="R1299">
        <v>-0.80357069999999997</v>
      </c>
      <c r="S1299">
        <v>0.99002080000000003</v>
      </c>
      <c r="T1299">
        <v>-0.15897149999999999</v>
      </c>
      <c r="U1299">
        <v>-3.0011290000000002</v>
      </c>
      <c r="V1299">
        <v>0.42958429999999997</v>
      </c>
      <c r="W1299">
        <v>-7.0153389999999996E-2</v>
      </c>
      <c r="X1299">
        <v>0.90029760000000003</v>
      </c>
      <c r="Y1299">
        <v>0.68960140000000003</v>
      </c>
      <c r="Z1299">
        <v>-6.5920529999999996E-3</v>
      </c>
      <c r="AA1299">
        <v>0.7241592</v>
      </c>
      <c r="AB1299">
        <v>23</v>
      </c>
      <c r="AC1299">
        <v>6.7385999999999902</v>
      </c>
      <c r="AD1299">
        <v>-1.1010073823119999</v>
      </c>
      <c r="AE1299">
        <v>-20.713999999999999</v>
      </c>
      <c r="AF1299">
        <v>15.063745844327199</v>
      </c>
      <c r="AG1299">
        <v>-1.1010073823119999</v>
      </c>
      <c r="AH1299">
        <v>15.657168074220699</v>
      </c>
      <c r="AI1299">
        <v>92.900957661958699</v>
      </c>
      <c r="AJ1299">
        <v>46.106619464729903</v>
      </c>
      <c r="AK1299">
        <v>21.7548975686577</v>
      </c>
      <c r="AL1299">
        <v>94.022797602684705</v>
      </c>
      <c r="AM1299">
        <v>64.491478583564103</v>
      </c>
      <c r="AN1299">
        <v>0.99999996875037001</v>
      </c>
    </row>
    <row r="1300" spans="1:40" x14ac:dyDescent="0.25">
      <c r="A1300" t="str">
        <f>"20190305135217392"</f>
        <v>20190305135217392</v>
      </c>
      <c r="B1300" t="str">
        <f>"1551765137390705"</f>
        <v>1551765137390705</v>
      </c>
      <c r="C1300" t="s">
        <v>40</v>
      </c>
      <c r="D1300">
        <v>5.1449319999999998</v>
      </c>
      <c r="E1300">
        <v>0.62397749999999996</v>
      </c>
      <c r="F1300" t="s">
        <v>42</v>
      </c>
      <c r="G1300">
        <v>-194.88329999999999</v>
      </c>
      <c r="H1300" s="1">
        <v>-3.0235829999999999E-6</v>
      </c>
      <c r="I1300">
        <v>343.60840000000002</v>
      </c>
      <c r="J1300">
        <v>-201.6591</v>
      </c>
      <c r="K1300">
        <v>1.1009409999999999</v>
      </c>
      <c r="L1300">
        <v>364.95679999999999</v>
      </c>
      <c r="M1300">
        <v>0.87731619999999999</v>
      </c>
      <c r="N1300">
        <v>-1.522927E-2</v>
      </c>
      <c r="O1300">
        <v>-0.47967109999999902</v>
      </c>
      <c r="P1300">
        <v>0.58267369999999996</v>
      </c>
      <c r="Q1300">
        <v>-7.5294829999999993E-2</v>
      </c>
      <c r="R1300">
        <v>-0.80921109999999996</v>
      </c>
      <c r="S1300">
        <v>0.97027589999999997</v>
      </c>
      <c r="T1300">
        <v>-0.1543844</v>
      </c>
      <c r="U1300">
        <v>-3.0060419999999999</v>
      </c>
      <c r="V1300">
        <v>0.42911120000000003</v>
      </c>
      <c r="W1300">
        <v>-7.056983E-2</v>
      </c>
      <c r="X1300">
        <v>0.90049069999999998</v>
      </c>
      <c r="Y1300">
        <v>0.68693909999999903</v>
      </c>
      <c r="Z1300">
        <v>-6.2423549999999998E-3</v>
      </c>
      <c r="AA1300">
        <v>0.72668809999999995</v>
      </c>
      <c r="AB1300">
        <v>23</v>
      </c>
      <c r="AC1300">
        <v>6.7758000000000003</v>
      </c>
      <c r="AD1300">
        <v>-1.1009440235829999</v>
      </c>
      <c r="AE1300">
        <v>-21.348399999999899</v>
      </c>
      <c r="AF1300">
        <v>15.44362356367</v>
      </c>
      <c r="AG1300">
        <v>-1.1009440235829999</v>
      </c>
      <c r="AH1300">
        <v>16.1475924288399</v>
      </c>
      <c r="AI1300">
        <v>92.820834683765696</v>
      </c>
      <c r="AJ1300">
        <v>46.276550123466897</v>
      </c>
      <c r="AK1300">
        <v>22.3710153494949</v>
      </c>
      <c r="AL1300">
        <v>94.046716966779798</v>
      </c>
      <c r="AM1300">
        <v>64.520780531612402</v>
      </c>
      <c r="AN1300">
        <v>1.0000000118290699</v>
      </c>
    </row>
    <row r="1301" spans="1:40" x14ac:dyDescent="0.25">
      <c r="A1301" t="str">
        <f>"20190305135217416"</f>
        <v>20190305135217416</v>
      </c>
      <c r="B1301" t="str">
        <f>"1551765137411201"</f>
        <v>1551765137411201</v>
      </c>
      <c r="C1301" t="s">
        <v>40</v>
      </c>
      <c r="D1301">
        <v>5.1336139999999997</v>
      </c>
      <c r="E1301">
        <v>0.62265530000000002</v>
      </c>
      <c r="F1301" t="s">
        <v>42</v>
      </c>
      <c r="G1301">
        <v>-194.8304</v>
      </c>
      <c r="H1301" s="1">
        <v>-2.888449E-6</v>
      </c>
      <c r="I1301">
        <v>343.32619999999997</v>
      </c>
      <c r="J1301">
        <v>-201.46190000000001</v>
      </c>
      <c r="K1301">
        <v>1.1008599999999999</v>
      </c>
      <c r="L1301">
        <v>364.83049999999997</v>
      </c>
      <c r="M1301">
        <v>0.87042079999999999</v>
      </c>
      <c r="N1301">
        <v>-1.5271659999999999E-2</v>
      </c>
      <c r="O1301">
        <v>-0.4920715</v>
      </c>
      <c r="P1301">
        <v>0.57192739999999997</v>
      </c>
      <c r="Q1301">
        <v>-7.5176809999999997E-2</v>
      </c>
      <c r="R1301">
        <v>-0.81685209999999997</v>
      </c>
      <c r="S1301">
        <v>0.9499512</v>
      </c>
      <c r="T1301">
        <v>-0.15315409999999999</v>
      </c>
      <c r="U1301">
        <v>-3.009064</v>
      </c>
      <c r="V1301">
        <v>0.42823529999999999</v>
      </c>
      <c r="W1301">
        <v>-7.0470530000000003E-2</v>
      </c>
      <c r="X1301">
        <v>0.90091529999999997</v>
      </c>
      <c r="Y1301">
        <v>0.68130219999999997</v>
      </c>
      <c r="Z1301">
        <v>-5.4859720000000004E-3</v>
      </c>
      <c r="AA1301">
        <v>0.73198169999999996</v>
      </c>
      <c r="AB1301">
        <v>23</v>
      </c>
      <c r="AC1301">
        <v>6.6315000000000097</v>
      </c>
      <c r="AD1301">
        <v>-1.1008628884489999</v>
      </c>
      <c r="AE1301">
        <v>-21.504300000000001</v>
      </c>
      <c r="AF1301">
        <v>15.419520107593099</v>
      </c>
      <c r="AG1301">
        <v>-1.1008628884489999</v>
      </c>
      <c r="AH1301">
        <v>16.316708771646201</v>
      </c>
      <c r="AI1301">
        <v>92.807335583809802</v>
      </c>
      <c r="AJ1301">
        <v>46.619330269684397</v>
      </c>
      <c r="AK1301">
        <v>22.476843296743201</v>
      </c>
      <c r="AL1301">
        <v>94.0410134539149</v>
      </c>
      <c r="AM1301">
        <v>64.576689369652499</v>
      </c>
      <c r="AN1301">
        <v>0.99999997276932995</v>
      </c>
    </row>
    <row r="1302" spans="1:40" x14ac:dyDescent="0.25">
      <c r="A1302" t="str">
        <f>"20190305135217438"</f>
        <v>20190305135217438</v>
      </c>
      <c r="B1302" t="str">
        <f>"1551765137430721"</f>
        <v>1551765137430721</v>
      </c>
      <c r="C1302" t="s">
        <v>40</v>
      </c>
      <c r="D1302">
        <v>5.0906589999999996</v>
      </c>
      <c r="E1302">
        <v>0.62172510000000003</v>
      </c>
      <c r="F1302" t="s">
        <v>42</v>
      </c>
      <c r="G1302">
        <v>-194.83940000000001</v>
      </c>
      <c r="H1302" s="1">
        <v>-2.790262E-6</v>
      </c>
      <c r="I1302">
        <v>343.09179999999998</v>
      </c>
      <c r="J1302">
        <v>-201.26329999999999</v>
      </c>
      <c r="K1302">
        <v>1.1007830000000001</v>
      </c>
      <c r="L1302">
        <v>364.69909999999999</v>
      </c>
      <c r="M1302">
        <v>0.86314419999999903</v>
      </c>
      <c r="N1302">
        <v>-1.5313490000000001E-2</v>
      </c>
      <c r="O1302">
        <v>-0.50472519999999998</v>
      </c>
      <c r="P1302">
        <v>0.56079009999999996</v>
      </c>
      <c r="Q1302">
        <v>-7.5586130000000001E-2</v>
      </c>
      <c r="R1302">
        <v>-0.82450059999999903</v>
      </c>
      <c r="S1302">
        <v>0.91860960000000003</v>
      </c>
      <c r="T1302">
        <v>-0.15270069999999999</v>
      </c>
      <c r="U1302">
        <v>-3.0153810000000001</v>
      </c>
      <c r="V1302">
        <v>0.42725750000000001</v>
      </c>
      <c r="W1302">
        <v>-7.0891049999999997E-2</v>
      </c>
      <c r="X1302">
        <v>0.90134639999999999</v>
      </c>
      <c r="Y1302">
        <v>0.67800950000000004</v>
      </c>
      <c r="Z1302">
        <v>-4.7907999999999996E-3</v>
      </c>
      <c r="AA1302">
        <v>0.73503750000000001</v>
      </c>
      <c r="AB1302">
        <v>23</v>
      </c>
      <c r="AC1302">
        <v>6.4238999999999704</v>
      </c>
      <c r="AD1302">
        <v>-1.100785790262</v>
      </c>
      <c r="AE1302">
        <v>-21.607299999999999</v>
      </c>
      <c r="AF1302">
        <v>15.3730598102598</v>
      </c>
      <c r="AG1302">
        <v>-1.100785790262</v>
      </c>
      <c r="AH1302">
        <v>16.413290923793902</v>
      </c>
      <c r="AI1302">
        <v>92.802340094791703</v>
      </c>
      <c r="AJ1302">
        <v>46.874376512267602</v>
      </c>
      <c r="AK1302">
        <v>22.5153018242031</v>
      </c>
      <c r="AL1302">
        <v>94.065168091100006</v>
      </c>
      <c r="AM1302">
        <v>64.638046127542594</v>
      </c>
      <c r="AN1302">
        <v>0.99999992253465297</v>
      </c>
    </row>
    <row r="1303" spans="1:40" x14ac:dyDescent="0.25">
      <c r="A1303" t="str">
        <f>"20190305135217460"</f>
        <v>20190305135217460</v>
      </c>
      <c r="B1303" t="str">
        <f>"1551765137451217"</f>
        <v>1551765137451217</v>
      </c>
      <c r="C1303" t="s">
        <v>40</v>
      </c>
      <c r="D1303">
        <v>5.1034879999999996</v>
      </c>
      <c r="E1303">
        <v>0.62074640000000003</v>
      </c>
      <c r="F1303" t="s">
        <v>42</v>
      </c>
      <c r="G1303">
        <v>-194.87700000000001</v>
      </c>
      <c r="H1303" s="1">
        <v>-2.6960390000000001E-6</v>
      </c>
      <c r="I1303">
        <v>342.84879999999998</v>
      </c>
      <c r="J1303">
        <v>-201.07679999999999</v>
      </c>
      <c r="K1303">
        <v>1.1007229999999999</v>
      </c>
      <c r="L1303">
        <v>364.57159999999999</v>
      </c>
      <c r="M1303">
        <v>0.85599550000000002</v>
      </c>
      <c r="N1303">
        <v>-1.535109E-2</v>
      </c>
      <c r="O1303">
        <v>-0.51675550000000003</v>
      </c>
      <c r="P1303">
        <v>0.55004759999999997</v>
      </c>
      <c r="Q1303">
        <v>-7.5356709999999993E-2</v>
      </c>
      <c r="R1303">
        <v>-0.83172699999999999</v>
      </c>
      <c r="S1303">
        <v>0.88371279999999997</v>
      </c>
      <c r="T1303">
        <v>-0.15232129999999999</v>
      </c>
      <c r="U1303">
        <v>-3.0235289999999999</v>
      </c>
      <c r="V1303">
        <v>0.42634919999999998</v>
      </c>
      <c r="W1303">
        <v>-7.066625E-2</v>
      </c>
      <c r="X1303">
        <v>0.90179410000000004</v>
      </c>
      <c r="Y1303">
        <v>0.67607790000000001</v>
      </c>
      <c r="Z1303">
        <v>-4.1796400000000001E-3</v>
      </c>
      <c r="AA1303">
        <v>0.73681830000000004</v>
      </c>
      <c r="AB1303">
        <v>22</v>
      </c>
      <c r="AC1303">
        <v>6.1997999999999802</v>
      </c>
      <c r="AD1303">
        <v>-1.1007256960389999</v>
      </c>
      <c r="AE1303">
        <v>-21.722799999999999</v>
      </c>
      <c r="AF1303">
        <v>15.356191856356499</v>
      </c>
      <c r="AG1303">
        <v>-1.1007256960389999</v>
      </c>
      <c r="AH1303">
        <v>16.4951611064144</v>
      </c>
      <c r="AI1303">
        <v>92.796188102575599</v>
      </c>
      <c r="AJ1303">
        <v>47.047961267385901</v>
      </c>
      <c r="AK1303">
        <v>22.563567211629401</v>
      </c>
      <c r="AL1303">
        <v>94.052255385700406</v>
      </c>
      <c r="AM1303">
        <v>64.6962048659327</v>
      </c>
      <c r="AN1303">
        <v>0.99999997901225601</v>
      </c>
    </row>
    <row r="1304" spans="1:40" x14ac:dyDescent="0.25">
      <c r="A1304" t="str">
        <f>"20190305135217473"</f>
        <v>20190305135217473</v>
      </c>
      <c r="B1304" t="str">
        <f>"1551765137470736"</f>
        <v>1551765137470736</v>
      </c>
      <c r="C1304" t="s">
        <v>40</v>
      </c>
      <c r="D1304">
        <v>5.1079819999999998</v>
      </c>
      <c r="E1304">
        <v>0.62029089999999998</v>
      </c>
      <c r="F1304" t="s">
        <v>42</v>
      </c>
      <c r="G1304">
        <v>-194.74930000000001</v>
      </c>
      <c r="H1304" s="1">
        <v>-2.3158369999999999E-6</v>
      </c>
      <c r="I1304">
        <v>342.04169999999999</v>
      </c>
      <c r="J1304">
        <v>-200.97040000000001</v>
      </c>
      <c r="K1304">
        <v>1.1006940000000001</v>
      </c>
      <c r="L1304">
        <v>364.49689999999998</v>
      </c>
      <c r="M1304">
        <v>0.85176849999999904</v>
      </c>
      <c r="N1304">
        <v>-1.5371879999999999E-2</v>
      </c>
      <c r="O1304">
        <v>-0.52369309999999902</v>
      </c>
      <c r="P1304">
        <v>0.54358240000000002</v>
      </c>
      <c r="Q1304">
        <v>-7.4944709999999998E-2</v>
      </c>
      <c r="R1304">
        <v>-0.83600379999999996</v>
      </c>
      <c r="S1304">
        <v>0.85116579999999997</v>
      </c>
      <c r="T1304">
        <v>-0.14806720000000001</v>
      </c>
      <c r="U1304">
        <v>-3.0306700000000002</v>
      </c>
      <c r="V1304">
        <v>0.42604969999999998</v>
      </c>
      <c r="W1304">
        <v>-7.0261050000000005E-2</v>
      </c>
      <c r="X1304">
        <v>0.90196730000000003</v>
      </c>
      <c r="Y1304">
        <v>0.67789370000000004</v>
      </c>
      <c r="Z1304">
        <v>-4.1923669999999998E-3</v>
      </c>
      <c r="AA1304">
        <v>0.73514799999999902</v>
      </c>
      <c r="AB1304">
        <v>22</v>
      </c>
      <c r="AC1304">
        <v>6.2210999999999999</v>
      </c>
      <c r="AD1304">
        <v>-1.100696315837</v>
      </c>
      <c r="AE1304">
        <v>-22.455199999999898</v>
      </c>
      <c r="AF1304">
        <v>15.8352220837897</v>
      </c>
      <c r="AG1304">
        <v>-1.100696315837</v>
      </c>
      <c r="AH1304">
        <v>17.0225983727656</v>
      </c>
      <c r="AI1304">
        <v>92.710558895086706</v>
      </c>
      <c r="AJ1304">
        <v>47.069585226274597</v>
      </c>
      <c r="AK1304">
        <v>23.275193794749001</v>
      </c>
      <c r="AL1304">
        <v>94.028981255089107</v>
      </c>
      <c r="AM1304">
        <v>64.716008993391895</v>
      </c>
      <c r="AN1304">
        <v>0.99999998614324104</v>
      </c>
    </row>
    <row r="1305" spans="1:40" x14ac:dyDescent="0.25">
      <c r="A1305" t="str">
        <f>"20190305135217486"</f>
        <v>20190305135217486</v>
      </c>
      <c r="B1305" t="str">
        <f>"1551765137480497"</f>
        <v>1551765137480497</v>
      </c>
      <c r="C1305" t="s">
        <v>40</v>
      </c>
      <c r="D1305">
        <v>5.103135</v>
      </c>
      <c r="E1305">
        <v>0.61318519999999999</v>
      </c>
      <c r="F1305" t="s">
        <v>42</v>
      </c>
      <c r="G1305">
        <v>-194.64340000000001</v>
      </c>
      <c r="H1305" s="1">
        <v>-2.0072980000000002E-6</v>
      </c>
      <c r="I1305">
        <v>341.38819999999998</v>
      </c>
      <c r="J1305">
        <v>-200.86259999999999</v>
      </c>
      <c r="K1305">
        <v>1.10066</v>
      </c>
      <c r="L1305">
        <v>364.42020000000002</v>
      </c>
      <c r="M1305">
        <v>0.84739069999999905</v>
      </c>
      <c r="N1305">
        <v>-1.539246E-2</v>
      </c>
      <c r="O1305">
        <v>-0.53074709999999903</v>
      </c>
      <c r="P1305">
        <v>0.53676679999999999</v>
      </c>
      <c r="Q1305">
        <v>-7.4190800000000001E-2</v>
      </c>
      <c r="R1305">
        <v>-0.84046290000000001</v>
      </c>
      <c r="S1305">
        <v>0.83102419999999999</v>
      </c>
      <c r="T1305">
        <v>-0.14457010000000001</v>
      </c>
      <c r="U1305">
        <v>-3.0351870000000001</v>
      </c>
      <c r="V1305">
        <v>0.42596279999999997</v>
      </c>
      <c r="W1305">
        <v>-6.951939E-2</v>
      </c>
      <c r="X1305">
        <v>0.90206580000000003</v>
      </c>
      <c r="Y1305">
        <v>0.67662889999999998</v>
      </c>
      <c r="Z1305">
        <v>-4.0471659999999996E-3</v>
      </c>
      <c r="AA1305">
        <v>0.736313</v>
      </c>
      <c r="AB1305">
        <v>22</v>
      </c>
      <c r="AC1305">
        <v>6.2191999999999696</v>
      </c>
      <c r="AD1305">
        <v>-1.100662007298</v>
      </c>
      <c r="AE1305">
        <v>-23.032</v>
      </c>
      <c r="AF1305">
        <v>16.183750670945901</v>
      </c>
      <c r="AG1305">
        <v>-1.100662007298</v>
      </c>
      <c r="AH1305">
        <v>17.4591662781446</v>
      </c>
      <c r="AI1305">
        <v>92.647140178780703</v>
      </c>
      <c r="AJ1305">
        <v>47.171064819569303</v>
      </c>
      <c r="AK1305">
        <v>23.831653945153601</v>
      </c>
      <c r="AL1305">
        <v>93.986383124255099</v>
      </c>
      <c r="AM1305">
        <v>64.722938208146104</v>
      </c>
      <c r="AN1305">
        <v>0.99999998004972501</v>
      </c>
    </row>
    <row r="1306" spans="1:40" x14ac:dyDescent="0.25">
      <c r="A1306" t="str">
        <f>"20190305135217503"</f>
        <v>20190305135217503</v>
      </c>
      <c r="B1306" t="str">
        <f>"1551765137500993"</f>
        <v>1551765137500993</v>
      </c>
      <c r="C1306" t="s">
        <v>40</v>
      </c>
      <c r="D1306">
        <v>5.117159</v>
      </c>
      <c r="E1306">
        <v>0.61255519999999997</v>
      </c>
      <c r="F1306" t="s">
        <v>42</v>
      </c>
      <c r="G1306">
        <v>-193.2482</v>
      </c>
      <c r="H1306" s="1">
        <v>-4.1844889999999901E-6</v>
      </c>
      <c r="I1306">
        <v>337.59</v>
      </c>
      <c r="J1306">
        <v>-200.71010000000001</v>
      </c>
      <c r="K1306">
        <v>1.1006279999999999</v>
      </c>
      <c r="L1306">
        <v>364.30889999999999</v>
      </c>
      <c r="M1306">
        <v>0.84098729999999999</v>
      </c>
      <c r="N1306">
        <v>-1.5421320000000001E-2</v>
      </c>
      <c r="O1306">
        <v>-0.54083530000000002</v>
      </c>
      <c r="P1306">
        <v>0.52735869999999996</v>
      </c>
      <c r="Q1306">
        <v>-7.3319510000000004E-2</v>
      </c>
      <c r="R1306">
        <v>-0.84647349999999999</v>
      </c>
      <c r="S1306">
        <v>0.85494999999999999</v>
      </c>
      <c r="T1306">
        <v>-0.12358429999999999</v>
      </c>
      <c r="U1306">
        <v>-3.012543</v>
      </c>
      <c r="V1306">
        <v>0.42532120000000001</v>
      </c>
      <c r="W1306">
        <v>-6.8649249999999995E-2</v>
      </c>
      <c r="X1306">
        <v>0.90243510000000005</v>
      </c>
      <c r="Y1306">
        <v>0.66097469999999903</v>
      </c>
      <c r="Z1306">
        <v>-4.4322210000000001E-3</v>
      </c>
      <c r="AA1306">
        <v>0.75039509999999998</v>
      </c>
      <c r="AB1306">
        <v>22</v>
      </c>
      <c r="AC1306">
        <v>7.4619000000000097</v>
      </c>
      <c r="AD1306">
        <v>-1.1006321844889999</v>
      </c>
      <c r="AE1306">
        <v>-26.718900000000001</v>
      </c>
      <c r="AF1306">
        <v>18.407810868033302</v>
      </c>
      <c r="AG1306">
        <v>-1.1006321844889999</v>
      </c>
      <c r="AH1306">
        <v>20.695772370386099</v>
      </c>
      <c r="AI1306">
        <v>92.275583226722205</v>
      </c>
      <c r="AJ1306">
        <v>48.348574206699404</v>
      </c>
      <c r="AK1306">
        <v>27.7195578277443</v>
      </c>
      <c r="AL1306">
        <v>93.936408388770602</v>
      </c>
      <c r="AM1306">
        <v>64.765314372032904</v>
      </c>
      <c r="AN1306">
        <v>0.999999976203506</v>
      </c>
    </row>
    <row r="1307" spans="1:40" x14ac:dyDescent="0.25">
      <c r="A1307" t="str">
        <f>"20190305135217528"</f>
        <v>20190305135217528</v>
      </c>
      <c r="B1307" t="str">
        <f>"1551765137520513"</f>
        <v>1551765137520513</v>
      </c>
      <c r="C1307" t="s">
        <v>40</v>
      </c>
      <c r="D1307">
        <v>5.107672</v>
      </c>
      <c r="E1307">
        <v>0.61140919999999999</v>
      </c>
      <c r="F1307" t="s">
        <v>42</v>
      </c>
      <c r="G1307">
        <v>-193.61150000000001</v>
      </c>
      <c r="H1307" s="1">
        <v>-4.5055439999999998E-6</v>
      </c>
      <c r="I1307">
        <v>338.34410000000003</v>
      </c>
      <c r="J1307">
        <v>-200.51429999999999</v>
      </c>
      <c r="K1307">
        <v>1.100576</v>
      </c>
      <c r="L1307">
        <v>364.16149999999999</v>
      </c>
      <c r="M1307">
        <v>0.83241409999999905</v>
      </c>
      <c r="N1307">
        <v>-1.545795E-2</v>
      </c>
      <c r="O1307">
        <v>-0.55393879999999995</v>
      </c>
      <c r="P1307">
        <v>0.51437500000000003</v>
      </c>
      <c r="Q1307">
        <v>-7.3056300000000005E-2</v>
      </c>
      <c r="R1307">
        <v>-0.85444819999999999</v>
      </c>
      <c r="S1307">
        <v>0.82533259999999897</v>
      </c>
      <c r="T1307">
        <v>-0.1279672</v>
      </c>
      <c r="U1307">
        <v>-3.0188600000000001</v>
      </c>
      <c r="V1307">
        <v>0.42498209999999997</v>
      </c>
      <c r="W1307">
        <v>-6.8398699999999896E-2</v>
      </c>
      <c r="X1307">
        <v>0.90261389999999997</v>
      </c>
      <c r="Y1307">
        <v>0.65644919999999995</v>
      </c>
      <c r="Z1307">
        <v>-3.4694230000000001E-3</v>
      </c>
      <c r="AA1307">
        <v>0.75436230000000004</v>
      </c>
      <c r="AB1307">
        <v>22</v>
      </c>
      <c r="AC1307">
        <v>6.9027999999999796</v>
      </c>
      <c r="AD1307">
        <v>-1.1005805055439899</v>
      </c>
      <c r="AE1307">
        <v>-25.8173999999999</v>
      </c>
      <c r="AF1307">
        <v>17.639230298188998</v>
      </c>
      <c r="AG1307">
        <v>-1.1005805055439899</v>
      </c>
      <c r="AH1307">
        <v>20.015692327421998</v>
      </c>
      <c r="AI1307">
        <v>92.3622633648272</v>
      </c>
      <c r="AJ1307">
        <v>48.611238205501799</v>
      </c>
      <c r="AK1307">
        <v>26.701716467443699</v>
      </c>
      <c r="AL1307">
        <v>93.922018975725706</v>
      </c>
      <c r="AM1307">
        <v>64.787308253585394</v>
      </c>
      <c r="AN1307">
        <v>1.00000000997765</v>
      </c>
    </row>
    <row r="1308" spans="1:40" x14ac:dyDescent="0.25">
      <c r="A1308" t="str">
        <f>"20190305135217541"</f>
        <v>20190305135217541</v>
      </c>
      <c r="B1308" t="str">
        <f>"1551765137530272"</f>
        <v>1551765137530272</v>
      </c>
      <c r="C1308" t="s">
        <v>40</v>
      </c>
      <c r="D1308">
        <v>5.0131649999999999</v>
      </c>
      <c r="E1308">
        <v>0.61140919999999999</v>
      </c>
      <c r="F1308" t="s">
        <v>42</v>
      </c>
      <c r="G1308">
        <v>-193.76910000000001</v>
      </c>
      <c r="H1308" s="1">
        <v>-4.4889929999999997E-6</v>
      </c>
      <c r="I1308">
        <v>338.2133</v>
      </c>
      <c r="J1308">
        <v>-200.40860000000001</v>
      </c>
      <c r="K1308">
        <v>1.1005499999999999</v>
      </c>
      <c r="L1308">
        <v>364.0797</v>
      </c>
      <c r="M1308">
        <v>0.82761929999999995</v>
      </c>
      <c r="N1308">
        <v>-1.54775E-2</v>
      </c>
      <c r="O1308">
        <v>-0.56107640000000003</v>
      </c>
      <c r="P1308">
        <v>0.50742690000000001</v>
      </c>
      <c r="Q1308">
        <v>-7.3441660000000006E-2</v>
      </c>
      <c r="R1308">
        <v>-0.85855939999999997</v>
      </c>
      <c r="S1308">
        <v>0.78672790000000004</v>
      </c>
      <c r="T1308">
        <v>-0.12836589999999901</v>
      </c>
      <c r="U1308">
        <v>-3.026459</v>
      </c>
      <c r="V1308">
        <v>0.4245023</v>
      </c>
      <c r="W1308">
        <v>-6.8782860000000001E-2</v>
      </c>
      <c r="X1308">
        <v>0.90281049999999996</v>
      </c>
      <c r="Y1308">
        <v>0.65942089999999998</v>
      </c>
      <c r="Z1308">
        <v>-3.2686170000000001E-3</v>
      </c>
      <c r="AA1308">
        <v>0.75176690000000002</v>
      </c>
      <c r="AB1308">
        <v>22</v>
      </c>
      <c r="AC1308">
        <v>6.6394999999999902</v>
      </c>
      <c r="AD1308">
        <v>-1.1005544889929999</v>
      </c>
      <c r="AE1308">
        <v>-25.866399999999999</v>
      </c>
      <c r="AF1308">
        <v>17.654399299453399</v>
      </c>
      <c r="AG1308">
        <v>-1.1005544889929999</v>
      </c>
      <c r="AH1308">
        <v>19.976473955199602</v>
      </c>
      <c r="AI1308">
        <v>92.363921754636607</v>
      </c>
      <c r="AJ1308">
        <v>48.531052699375998</v>
      </c>
      <c r="AK1308">
        <v>26.682363959937199</v>
      </c>
      <c r="AL1308">
        <v>93.944081557238704</v>
      </c>
      <c r="AM1308">
        <v>64.817048642136797</v>
      </c>
      <c r="AN1308">
        <v>1.00000004172265</v>
      </c>
    </row>
    <row r="1309" spans="1:40" x14ac:dyDescent="0.25">
      <c r="A1309" t="str">
        <f>"20190305135217554"</f>
        <v>20190305135217554</v>
      </c>
      <c r="B1309" t="str">
        <f>"1551765137550769"</f>
        <v>1551765137550769</v>
      </c>
      <c r="C1309" t="s">
        <v>40</v>
      </c>
      <c r="D1309">
        <v>5.0820530000000002</v>
      </c>
      <c r="E1309">
        <v>0.61037790000000003</v>
      </c>
      <c r="F1309" t="s">
        <v>42</v>
      </c>
      <c r="G1309">
        <v>-193.94810000000001</v>
      </c>
      <c r="H1309" s="1">
        <v>-4.5747490000000003E-6</v>
      </c>
      <c r="I1309">
        <v>338.37200000000001</v>
      </c>
      <c r="J1309">
        <v>-200.3056</v>
      </c>
      <c r="K1309">
        <v>1.1005240000000001</v>
      </c>
      <c r="L1309">
        <v>363.99860000000001</v>
      </c>
      <c r="M1309">
        <v>0.822829699999999</v>
      </c>
      <c r="N1309">
        <v>-1.5495979999999999E-2</v>
      </c>
      <c r="O1309">
        <v>-0.56807680000000005</v>
      </c>
      <c r="P1309">
        <v>0.50070119999999996</v>
      </c>
      <c r="Q1309">
        <v>-7.3243989999999995E-2</v>
      </c>
      <c r="R1309">
        <v>-0.86251610000000001</v>
      </c>
      <c r="S1309">
        <v>0.76213069999999905</v>
      </c>
      <c r="T1309">
        <v>-0.12983</v>
      </c>
      <c r="U1309">
        <v>-3.0326840000000002</v>
      </c>
      <c r="V1309">
        <v>0.42391489999999998</v>
      </c>
      <c r="W1309">
        <v>-6.8576960000000006E-2</v>
      </c>
      <c r="X1309">
        <v>0.90310199999999996</v>
      </c>
      <c r="Y1309">
        <v>0.65914099999999998</v>
      </c>
      <c r="Z1309">
        <v>-2.8729110000000001E-3</v>
      </c>
      <c r="AA1309">
        <v>0.75201390000000001</v>
      </c>
      <c r="AB1309">
        <v>22</v>
      </c>
      <c r="AC1309">
        <v>6.3574999999999804</v>
      </c>
      <c r="AD1309">
        <v>-1.1005285747489999</v>
      </c>
      <c r="AE1309">
        <v>-25.6266</v>
      </c>
      <c r="AF1309">
        <v>17.446566535827301</v>
      </c>
      <c r="AG1309">
        <v>-1.1005285747489999</v>
      </c>
      <c r="AH1309">
        <v>19.757067637006799</v>
      </c>
      <c r="AI1309">
        <v>92.390922446617594</v>
      </c>
      <c r="AJ1309">
        <v>48.5537431070751</v>
      </c>
      <c r="AK1309">
        <v>26.380590756200899</v>
      </c>
      <c r="AL1309">
        <v>93.9322568661742</v>
      </c>
      <c r="AM1309">
        <v>64.854700742678304</v>
      </c>
      <c r="AN1309">
        <v>0.99999993214442295</v>
      </c>
    </row>
    <row r="1310" spans="1:40" x14ac:dyDescent="0.25">
      <c r="A1310" t="str">
        <f>"20190305135217572"</f>
        <v>20190305135217572</v>
      </c>
      <c r="B1310" t="str">
        <f>"1551765137560529"</f>
        <v>1551765137560529</v>
      </c>
      <c r="C1310" t="s">
        <v>40</v>
      </c>
      <c r="D1310">
        <v>5.0888689999999999</v>
      </c>
      <c r="E1310">
        <v>0.60997069999999998</v>
      </c>
      <c r="F1310" t="s">
        <v>42</v>
      </c>
      <c r="G1310">
        <v>-194.0324</v>
      </c>
      <c r="H1310" s="1">
        <v>-4.6211440000000001E-6</v>
      </c>
      <c r="I1310">
        <v>338.46440000000001</v>
      </c>
      <c r="J1310">
        <v>-200.16499999999999</v>
      </c>
      <c r="K1310">
        <v>1.100495</v>
      </c>
      <c r="L1310">
        <v>363.88549999999998</v>
      </c>
      <c r="M1310">
        <v>0.81610819999999995</v>
      </c>
      <c r="N1310">
        <v>-1.552039E-2</v>
      </c>
      <c r="O1310">
        <v>-0.57769079999999995</v>
      </c>
      <c r="P1310">
        <v>0.4931046</v>
      </c>
      <c r="Q1310">
        <v>-7.3222469999999998E-2</v>
      </c>
      <c r="R1310">
        <v>-0.86688339999999997</v>
      </c>
      <c r="S1310">
        <v>0.74548340000000002</v>
      </c>
      <c r="T1310">
        <v>-0.1307817</v>
      </c>
      <c r="U1310">
        <v>-3.0343629999999999</v>
      </c>
      <c r="V1310">
        <v>0.42125319999999999</v>
      </c>
      <c r="W1310">
        <v>-6.8488579999999993E-2</v>
      </c>
      <c r="X1310">
        <v>0.90435339999999997</v>
      </c>
      <c r="Y1310">
        <v>0.65429649999999995</v>
      </c>
      <c r="Z1310">
        <v>-2.237808E-3</v>
      </c>
      <c r="AA1310">
        <v>0.75623479999999998</v>
      </c>
      <c r="AB1310">
        <v>22</v>
      </c>
      <c r="AC1310">
        <v>6.1325999999999903</v>
      </c>
      <c r="AD1310">
        <v>-1.1004996211439999</v>
      </c>
      <c r="AE1310">
        <v>-25.4210999999999</v>
      </c>
      <c r="AF1310">
        <v>17.175274949827902</v>
      </c>
      <c r="AG1310">
        <v>-1.1004996211439999</v>
      </c>
      <c r="AH1310">
        <v>19.657956634275202</v>
      </c>
      <c r="AI1310">
        <v>92.4140502200908</v>
      </c>
      <c r="AJ1310">
        <v>48.856092506228698</v>
      </c>
      <c r="AK1310">
        <v>26.127311917864201</v>
      </c>
      <c r="AL1310">
        <v>93.927180832355603</v>
      </c>
      <c r="AM1310">
        <v>65.023615845963505</v>
      </c>
      <c r="AN1310">
        <v>1.0000000080961</v>
      </c>
    </row>
    <row r="1311" spans="1:40" x14ac:dyDescent="0.25">
      <c r="A1311" t="str">
        <f>"20190305135217586"</f>
        <v>20190305135217586</v>
      </c>
      <c r="B1311" t="str">
        <f>"1551765137581026"</f>
        <v>1551765137581026</v>
      </c>
      <c r="C1311" t="s">
        <v>40</v>
      </c>
      <c r="D1311">
        <v>5.0910489999999999</v>
      </c>
      <c r="E1311">
        <v>0.60256960000000004</v>
      </c>
      <c r="F1311" t="s">
        <v>42</v>
      </c>
      <c r="G1311">
        <v>-194.05340000000001</v>
      </c>
      <c r="H1311" s="1">
        <v>-4.5175109999999996E-6</v>
      </c>
      <c r="I1311">
        <v>338.14890000000003</v>
      </c>
      <c r="J1311">
        <v>-200.05090000000001</v>
      </c>
      <c r="K1311">
        <v>1.100471</v>
      </c>
      <c r="L1311">
        <v>363.79199999999997</v>
      </c>
      <c r="M1311">
        <v>0.81050089999999997</v>
      </c>
      <c r="N1311">
        <v>-1.5539559999999999E-2</v>
      </c>
      <c r="O1311">
        <v>-0.58553140000000004</v>
      </c>
      <c r="P1311">
        <v>0.48584260000000001</v>
      </c>
      <c r="Q1311">
        <v>-7.307495E-2</v>
      </c>
      <c r="R1311">
        <v>-0.87098639999999905</v>
      </c>
      <c r="S1311">
        <v>0.72171019999999997</v>
      </c>
      <c r="T1311">
        <v>-0.12995699999999999</v>
      </c>
      <c r="U1311">
        <v>-3.039215</v>
      </c>
      <c r="V1311">
        <v>0.42010350000000002</v>
      </c>
      <c r="W1311">
        <v>-6.8315989999999993E-2</v>
      </c>
      <c r="X1311">
        <v>0.90490110000000001</v>
      </c>
      <c r="Y1311">
        <v>0.65288380000000001</v>
      </c>
      <c r="Z1311">
        <v>-1.9508399999999999E-3</v>
      </c>
      <c r="AA1311">
        <v>0.75745560000000001</v>
      </c>
      <c r="AB1311">
        <v>22</v>
      </c>
      <c r="AC1311">
        <v>5.9974999999999996</v>
      </c>
      <c r="AD1311">
        <v>-1.1004755175109999</v>
      </c>
      <c r="AE1311">
        <v>-25.643099999999901</v>
      </c>
      <c r="AF1311">
        <v>17.244003838828998</v>
      </c>
      <c r="AG1311">
        <v>-1.1004755175109999</v>
      </c>
      <c r="AH1311">
        <v>19.843567021329999</v>
      </c>
      <c r="AI1311">
        <v>92.397021467719995</v>
      </c>
      <c r="AJ1311">
        <v>49.009450954478602</v>
      </c>
      <c r="AK1311">
        <v>26.3122379680674</v>
      </c>
      <c r="AL1311">
        <v>93.917268919198804</v>
      </c>
      <c r="AM1311">
        <v>65.096749786282302</v>
      </c>
      <c r="AN1311">
        <v>1.00000001299157</v>
      </c>
    </row>
    <row r="1312" spans="1:40" x14ac:dyDescent="0.25">
      <c r="A1312" t="str">
        <f>"20190305135217606"</f>
        <v>20190305135217606</v>
      </c>
      <c r="B1312" t="str">
        <f>"1551765137600546"</f>
        <v>1551765137600546</v>
      </c>
      <c r="C1312" t="s">
        <v>40</v>
      </c>
      <c r="D1312">
        <v>5.1043320000000003</v>
      </c>
      <c r="E1312">
        <v>0.60314129999999999</v>
      </c>
      <c r="F1312" t="s">
        <v>42</v>
      </c>
      <c r="G1312">
        <v>-194.2997</v>
      </c>
      <c r="H1312" s="1">
        <v>-1.5673630000000001E-6</v>
      </c>
      <c r="I1312">
        <v>340.57589999999999</v>
      </c>
      <c r="J1312">
        <v>-199.8982</v>
      </c>
      <c r="K1312">
        <v>1.1004419999999999</v>
      </c>
      <c r="L1312">
        <v>363.66340000000002</v>
      </c>
      <c r="M1312">
        <v>0.80273499999999998</v>
      </c>
      <c r="N1312">
        <v>-1.5564740000000001E-2</v>
      </c>
      <c r="O1312">
        <v>-0.59613289999999997</v>
      </c>
      <c r="P1312">
        <v>0.47690369999999999</v>
      </c>
      <c r="Q1312">
        <v>-7.1896109999999999E-2</v>
      </c>
      <c r="R1312">
        <v>-0.87601019999999896</v>
      </c>
      <c r="S1312">
        <v>0.74705509999999997</v>
      </c>
      <c r="T1312">
        <v>-0.1429472</v>
      </c>
      <c r="U1312">
        <v>-3.0156860000000001</v>
      </c>
      <c r="V1312">
        <v>0.41757280000000002</v>
      </c>
      <c r="W1312">
        <v>-6.707159E-2</v>
      </c>
      <c r="X1312">
        <v>0.90616459999999999</v>
      </c>
      <c r="Y1312">
        <v>0.63539829999999997</v>
      </c>
      <c r="Z1312">
        <v>4.1948819999999999E-4</v>
      </c>
      <c r="AA1312">
        <v>0.77218450000000005</v>
      </c>
      <c r="AB1312">
        <v>22</v>
      </c>
      <c r="AC1312">
        <v>5.5984999999999996</v>
      </c>
      <c r="AD1312">
        <v>-1.100443567363</v>
      </c>
      <c r="AE1312">
        <v>-23.087499999999999</v>
      </c>
      <c r="AF1312">
        <v>15.1649945449334</v>
      </c>
      <c r="AG1312">
        <v>-1.100443567363</v>
      </c>
      <c r="AH1312">
        <v>18.2204451032576</v>
      </c>
      <c r="AI1312">
        <v>92.657818950355804</v>
      </c>
      <c r="AJ1312">
        <v>50.229168334315602</v>
      </c>
      <c r="AK1312">
        <v>23.731259034312401</v>
      </c>
      <c r="AL1312">
        <v>93.845806318914498</v>
      </c>
      <c r="AM1312">
        <v>65.259115987089203</v>
      </c>
      <c r="AN1312">
        <v>0.99999996188906304</v>
      </c>
    </row>
    <row r="1313" spans="1:40" x14ac:dyDescent="0.25">
      <c r="A1313" t="str">
        <f>"20190305135217630"</f>
        <v>20190305135217630</v>
      </c>
      <c r="B1313" t="str">
        <f>"1551765137621040"</f>
        <v>1551765137621040</v>
      </c>
      <c r="C1313" t="s">
        <v>40</v>
      </c>
      <c r="D1313">
        <v>5.1114940000000004</v>
      </c>
      <c r="E1313">
        <v>0.60258699999999998</v>
      </c>
      <c r="F1313" t="s">
        <v>42</v>
      </c>
      <c r="G1313">
        <v>-194.3441</v>
      </c>
      <c r="H1313" s="1">
        <v>-1.3606059999999999E-6</v>
      </c>
      <c r="I1313">
        <v>340.06639999999999</v>
      </c>
      <c r="J1313">
        <v>-199.7122</v>
      </c>
      <c r="K1313">
        <v>1.1004240000000001</v>
      </c>
      <c r="L1313">
        <v>363.50150000000002</v>
      </c>
      <c r="M1313">
        <v>0.79287959999999902</v>
      </c>
      <c r="N1313">
        <v>-1.559484E-2</v>
      </c>
      <c r="O1313">
        <v>-0.60917900000000003</v>
      </c>
      <c r="P1313">
        <v>0.4637966</v>
      </c>
      <c r="Q1313">
        <v>-7.0528300000000002E-2</v>
      </c>
      <c r="R1313">
        <v>-0.88313009999999903</v>
      </c>
      <c r="S1313">
        <v>0.71208190000000005</v>
      </c>
      <c r="T1313">
        <v>-0.141087299999999</v>
      </c>
      <c r="U1313">
        <v>-3.02536</v>
      </c>
      <c r="V1313">
        <v>0.41637289999999999</v>
      </c>
      <c r="W1313">
        <v>-6.5676020000000002E-2</v>
      </c>
      <c r="X1313">
        <v>0.90681869999999998</v>
      </c>
      <c r="Y1313">
        <v>0.6317971</v>
      </c>
      <c r="Z1313">
        <v>9.3409700000000005E-4</v>
      </c>
      <c r="AA1313">
        <v>0.77513330000000003</v>
      </c>
      <c r="AB1313">
        <v>22</v>
      </c>
      <c r="AC1313">
        <v>5.3680999999999903</v>
      </c>
      <c r="AD1313">
        <v>-1.1004253606059999</v>
      </c>
      <c r="AE1313">
        <v>-23.435099999999998</v>
      </c>
      <c r="AF1313">
        <v>15.280925589756199</v>
      </c>
      <c r="AG1313">
        <v>-1.1004253606059999</v>
      </c>
      <c r="AH1313">
        <v>18.4959303690224</v>
      </c>
      <c r="AI1313">
        <v>92.626130152115607</v>
      </c>
      <c r="AJ1313">
        <v>50.4372411506479</v>
      </c>
      <c r="AK1313">
        <v>24.017016115030899</v>
      </c>
      <c r="AL1313">
        <v>93.765669393335301</v>
      </c>
      <c r="AM1313">
        <v>65.337408516737895</v>
      </c>
      <c r="AN1313">
        <v>0.99999994306356799</v>
      </c>
    </row>
    <row r="1314" spans="1:40" x14ac:dyDescent="0.25">
      <c r="A1314" t="str">
        <f>"20190305135217654"</f>
        <v>20190305135217654</v>
      </c>
      <c r="B1314" t="str">
        <f>"1551765137651297"</f>
        <v>1551765137651297</v>
      </c>
      <c r="C1314" t="s">
        <v>40</v>
      </c>
      <c r="D1314">
        <v>5.1348599999999998</v>
      </c>
      <c r="E1314">
        <v>0.60145969999999904</v>
      </c>
      <c r="F1314" t="s">
        <v>42</v>
      </c>
      <c r="G1314">
        <v>-194.2474</v>
      </c>
      <c r="H1314" s="1">
        <v>-4.7707239999999997E-6</v>
      </c>
      <c r="I1314">
        <v>338.79180000000002</v>
      </c>
      <c r="J1314">
        <v>-199.5394</v>
      </c>
      <c r="K1314">
        <v>1.100398</v>
      </c>
      <c r="L1314">
        <v>363.34609999999998</v>
      </c>
      <c r="M1314">
        <v>0.78332299999999999</v>
      </c>
      <c r="N1314">
        <v>-1.562157E-2</v>
      </c>
      <c r="O1314">
        <v>-0.62141869999999999</v>
      </c>
      <c r="P1314">
        <v>0.45085799999999998</v>
      </c>
      <c r="Q1314">
        <v>-6.9596649999999996E-2</v>
      </c>
      <c r="R1314">
        <v>-0.88987850000000002</v>
      </c>
      <c r="S1314">
        <v>0.67097469999999904</v>
      </c>
      <c r="T1314">
        <v>-0.13511039999999999</v>
      </c>
      <c r="U1314">
        <v>-3.0338440000000002</v>
      </c>
      <c r="V1314">
        <v>0.41560019999999998</v>
      </c>
      <c r="W1314">
        <v>-6.4724799999999999E-2</v>
      </c>
      <c r="X1314">
        <v>0.90724150000000003</v>
      </c>
      <c r="Y1314">
        <v>0.63025629999999999</v>
      </c>
      <c r="Z1314">
        <v>8.7986610000000002E-4</v>
      </c>
      <c r="AA1314">
        <v>0.77638669999999899</v>
      </c>
      <c r="AB1314">
        <v>22</v>
      </c>
      <c r="AC1314">
        <v>5.2919999999999998</v>
      </c>
      <c r="AD1314">
        <v>-1.1004027707240001</v>
      </c>
      <c r="AE1314">
        <v>-24.554299999999898</v>
      </c>
      <c r="AF1314">
        <v>15.9167967027432</v>
      </c>
      <c r="AG1314">
        <v>-1.1004027707240001</v>
      </c>
      <c r="AH1314">
        <v>19.369039130834299</v>
      </c>
      <c r="AI1314">
        <v>92.513284069185403</v>
      </c>
      <c r="AJ1314">
        <v>50.587834530329701</v>
      </c>
      <c r="AK1314">
        <v>25.094122427095702</v>
      </c>
      <c r="AL1314">
        <v>93.711052134768096</v>
      </c>
      <c r="AM1314">
        <v>65.387856572473595</v>
      </c>
      <c r="AN1314">
        <v>0.99999998264866397</v>
      </c>
    </row>
    <row r="1315" spans="1:40" x14ac:dyDescent="0.25">
      <c r="A1315" t="str">
        <f>"20190305135217672"</f>
        <v>20190305135217672</v>
      </c>
      <c r="B1315" t="str">
        <f>"1551765137661057"</f>
        <v>1551765137661057</v>
      </c>
      <c r="C1315" t="s">
        <v>40</v>
      </c>
      <c r="D1315">
        <v>5.1168930000000001</v>
      </c>
      <c r="E1315">
        <v>0.60106250000000006</v>
      </c>
      <c r="F1315" t="s">
        <v>42</v>
      </c>
      <c r="G1315">
        <v>-194.46559999999999</v>
      </c>
      <c r="H1315" s="1">
        <v>-4.8937750000000004E-6</v>
      </c>
      <c r="I1315">
        <v>339.03969999999998</v>
      </c>
      <c r="J1315">
        <v>-199.39680000000001</v>
      </c>
      <c r="K1315">
        <v>1.100373</v>
      </c>
      <c r="L1315">
        <v>363.21420000000001</v>
      </c>
      <c r="M1315">
        <v>0.77515199999999995</v>
      </c>
      <c r="N1315">
        <v>-1.5642070000000001E-2</v>
      </c>
      <c r="O1315">
        <v>-0.63158119999999995</v>
      </c>
      <c r="P1315">
        <v>0.44002229999999998</v>
      </c>
      <c r="Q1315">
        <v>-7.0398329999999995E-2</v>
      </c>
      <c r="R1315">
        <v>-0.89522309999999905</v>
      </c>
      <c r="S1315">
        <v>0.63438419999999995</v>
      </c>
      <c r="T1315">
        <v>-0.13758519999999999</v>
      </c>
      <c r="U1315">
        <v>-3.0390630000000001</v>
      </c>
      <c r="V1315">
        <v>0.41471360000000002</v>
      </c>
      <c r="W1315">
        <v>-6.5502099999999994E-2</v>
      </c>
      <c r="X1315">
        <v>0.90759140000000005</v>
      </c>
      <c r="Y1315">
        <v>0.62934419999999902</v>
      </c>
      <c r="Z1315">
        <v>1.643135E-3</v>
      </c>
      <c r="AA1315">
        <v>0.77712490000000001</v>
      </c>
      <c r="AB1315">
        <v>22</v>
      </c>
      <c r="AC1315">
        <v>4.9312000000000102</v>
      </c>
      <c r="AD1315">
        <v>-1.1003778937749999</v>
      </c>
      <c r="AE1315">
        <v>-24.174499999999998</v>
      </c>
      <c r="AF1315">
        <v>15.595348530732601</v>
      </c>
      <c r="AG1315">
        <v>-1.1003778937749999</v>
      </c>
      <c r="AH1315">
        <v>19.055021156548001</v>
      </c>
      <c r="AI1315">
        <v>92.558755129650905</v>
      </c>
      <c r="AJ1315">
        <v>50.701810669586102</v>
      </c>
      <c r="AK1315">
        <v>24.647911850309502</v>
      </c>
      <c r="AL1315">
        <v>93.755682709493001</v>
      </c>
      <c r="AM1315">
        <v>65.442506609979901</v>
      </c>
      <c r="AN1315">
        <v>1.0000000222416601</v>
      </c>
    </row>
    <row r="1316" spans="1:40" x14ac:dyDescent="0.25">
      <c r="A1316" t="str">
        <f>"20190305135217686"</f>
        <v>20190305135217686</v>
      </c>
      <c r="B1316" t="str">
        <f>"1551765137680577"</f>
        <v>1551765137680577</v>
      </c>
      <c r="C1316" t="s">
        <v>40</v>
      </c>
      <c r="D1316">
        <v>5.1565899999999996</v>
      </c>
      <c r="E1316">
        <v>0.6001919</v>
      </c>
      <c r="F1316" t="s">
        <v>42</v>
      </c>
      <c r="G1316">
        <v>-194.6542</v>
      </c>
      <c r="H1316" s="1">
        <v>-4.9679490000000002E-6</v>
      </c>
      <c r="I1316">
        <v>339.15929999999997</v>
      </c>
      <c r="J1316">
        <v>-199.29419999999999</v>
      </c>
      <c r="K1316">
        <v>1.1003609999999999</v>
      </c>
      <c r="L1316">
        <v>363.1173</v>
      </c>
      <c r="M1316">
        <v>0.76911019999999997</v>
      </c>
      <c r="N1316">
        <v>-1.5655860000000001E-2</v>
      </c>
      <c r="O1316">
        <v>-0.63892450000000001</v>
      </c>
      <c r="P1316">
        <v>0.4320174</v>
      </c>
      <c r="Q1316">
        <v>-7.1020369999999999E-2</v>
      </c>
      <c r="R1316">
        <v>-0.89906450000000004</v>
      </c>
      <c r="S1316">
        <v>0.60037229999999997</v>
      </c>
      <c r="T1316">
        <v>-0.13929820000000001</v>
      </c>
      <c r="U1316">
        <v>-3.0451350000000001</v>
      </c>
      <c r="V1316">
        <v>0.41412749999999998</v>
      </c>
      <c r="W1316">
        <v>-6.6106380000000006E-2</v>
      </c>
      <c r="X1316">
        <v>0.90781520000000004</v>
      </c>
      <c r="Y1316">
        <v>0.63059560000000003</v>
      </c>
      <c r="Z1316">
        <v>2.1334190000000001E-3</v>
      </c>
      <c r="AA1316">
        <v>0.77610869999999998</v>
      </c>
      <c r="AB1316">
        <v>22</v>
      </c>
      <c r="AC1316">
        <v>4.6399999999999801</v>
      </c>
      <c r="AD1316">
        <v>-1.1003659679490001</v>
      </c>
      <c r="AE1316">
        <v>-23.957999999999998</v>
      </c>
      <c r="AF1316">
        <v>15.4322498356295</v>
      </c>
      <c r="AG1316">
        <v>-1.1003659679490001</v>
      </c>
      <c r="AH1316">
        <v>18.840031421465099</v>
      </c>
      <c r="AI1316">
        <v>92.587022090370795</v>
      </c>
      <c r="AJ1316">
        <v>50.678402843937398</v>
      </c>
      <c r="AK1316">
        <v>24.378513576805702</v>
      </c>
      <c r="AL1316">
        <v>93.790380546914506</v>
      </c>
      <c r="AM1316">
        <v>65.4784579555307</v>
      </c>
      <c r="AN1316">
        <v>1.00000003854199</v>
      </c>
    </row>
    <row r="1317" spans="1:40" x14ac:dyDescent="0.25">
      <c r="A1317" t="str">
        <f>"20190305135217699"</f>
        <v>20190305135217699</v>
      </c>
      <c r="B1317" t="str">
        <f>"1551765137690337"</f>
        <v>1551765137690337</v>
      </c>
      <c r="C1317" t="s">
        <v>40</v>
      </c>
      <c r="D1317">
        <v>5.1287560000000001</v>
      </c>
      <c r="E1317">
        <v>0.6001919</v>
      </c>
      <c r="F1317" t="s">
        <v>42</v>
      </c>
      <c r="G1317">
        <v>-194.84299999999999</v>
      </c>
      <c r="H1317" s="1">
        <v>-1.339147E-6</v>
      </c>
      <c r="I1317">
        <v>339.70690000000002</v>
      </c>
      <c r="J1317">
        <v>-199.19659999999999</v>
      </c>
      <c r="K1317">
        <v>1.100352</v>
      </c>
      <c r="L1317">
        <v>363.02280000000002</v>
      </c>
      <c r="M1317">
        <v>0.76320080000000001</v>
      </c>
      <c r="N1317">
        <v>-1.5667730000000001E-2</v>
      </c>
      <c r="O1317">
        <v>-0.64597169999999904</v>
      </c>
      <c r="P1317">
        <v>0.42433389999999999</v>
      </c>
      <c r="Q1317">
        <v>-7.1393070000000003E-2</v>
      </c>
      <c r="R1317">
        <v>-0.90268709999999996</v>
      </c>
      <c r="S1317">
        <v>0.57937620000000001</v>
      </c>
      <c r="T1317">
        <v>-0.1432242</v>
      </c>
      <c r="U1317">
        <v>-3.0471189999999999</v>
      </c>
      <c r="V1317">
        <v>0.4134892</v>
      </c>
      <c r="W1317">
        <v>-6.6455810000000004E-2</v>
      </c>
      <c r="X1317">
        <v>0.90808060000000002</v>
      </c>
      <c r="Y1317">
        <v>0.62869759999999997</v>
      </c>
      <c r="Z1317">
        <v>3.0053670000000001E-3</v>
      </c>
      <c r="AA1317">
        <v>0.77764409999999995</v>
      </c>
      <c r="AB1317">
        <v>22</v>
      </c>
      <c r="AC1317">
        <v>4.3536000000000001</v>
      </c>
      <c r="AD1317">
        <v>-1.100353339147</v>
      </c>
      <c r="AE1317">
        <v>-23.315899999999999</v>
      </c>
      <c r="AF1317">
        <v>14.952068221990199</v>
      </c>
      <c r="AG1317">
        <v>-1.100353339147</v>
      </c>
      <c r="AH1317">
        <v>18.346850458054501</v>
      </c>
      <c r="AI1317">
        <v>92.661838953013202</v>
      </c>
      <c r="AJ1317">
        <v>50.821119796059598</v>
      </c>
      <c r="AK1317">
        <v>23.693502132783902</v>
      </c>
      <c r="AL1317">
        <v>93.810445548436803</v>
      </c>
      <c r="AM1317">
        <v>65.518130114173402</v>
      </c>
      <c r="AN1317">
        <v>1.0000000346478699</v>
      </c>
    </row>
    <row r="1318" spans="1:40" x14ac:dyDescent="0.25">
      <c r="A1318" t="str">
        <f>"20190305135217718"</f>
        <v>20190305135217718</v>
      </c>
      <c r="B1318" t="str">
        <f>"1551765137710834"</f>
        <v>1551765137710834</v>
      </c>
      <c r="C1318" t="s">
        <v>40</v>
      </c>
      <c r="D1318">
        <v>5.1009840000000004</v>
      </c>
      <c r="E1318">
        <v>0.59255829999999998</v>
      </c>
      <c r="F1318" t="s">
        <v>42</v>
      </c>
      <c r="G1318">
        <v>-194.94820000000001</v>
      </c>
      <c r="H1318" s="1">
        <v>-5.1681429999999998E-6</v>
      </c>
      <c r="I1318">
        <v>339.59440000000001</v>
      </c>
      <c r="J1318">
        <v>-199.06</v>
      </c>
      <c r="K1318">
        <v>1.1003529999999999</v>
      </c>
      <c r="L1318">
        <v>362.88780000000003</v>
      </c>
      <c r="M1318">
        <v>0.75472019999999995</v>
      </c>
      <c r="N1318">
        <v>-1.5682720000000001E-2</v>
      </c>
      <c r="O1318">
        <v>-0.65585950000000004</v>
      </c>
      <c r="P1318">
        <v>0.41349049999999998</v>
      </c>
      <c r="Q1318">
        <v>-7.1059700000000003E-2</v>
      </c>
      <c r="R1318">
        <v>-0.90773150000000002</v>
      </c>
      <c r="S1318">
        <v>0.55343629999999999</v>
      </c>
      <c r="T1318">
        <v>-0.14334</v>
      </c>
      <c r="U1318">
        <v>-3.0519409999999998</v>
      </c>
      <c r="V1318">
        <v>0.41256480000000001</v>
      </c>
      <c r="W1318">
        <v>-6.60829E-2</v>
      </c>
      <c r="X1318">
        <v>0.90852809999999995</v>
      </c>
      <c r="Y1318">
        <v>0.62518509999999905</v>
      </c>
      <c r="Z1318">
        <v>3.6112679999999999E-3</v>
      </c>
      <c r="AA1318">
        <v>0.7804681</v>
      </c>
      <c r="AB1318">
        <v>22</v>
      </c>
      <c r="AC1318">
        <v>4.1117999999999801</v>
      </c>
      <c r="AD1318">
        <v>-1.1003581681429999</v>
      </c>
      <c r="AE1318">
        <v>-23.293399999999998</v>
      </c>
      <c r="AF1318">
        <v>14.852922292152501</v>
      </c>
      <c r="AG1318">
        <v>-1.1003581681429999</v>
      </c>
      <c r="AH1318">
        <v>18.3430189485541</v>
      </c>
      <c r="AI1318">
        <v>92.669225541749199</v>
      </c>
      <c r="AJ1318">
        <v>51.001814054758498</v>
      </c>
      <c r="AK1318">
        <v>23.6280856791644</v>
      </c>
      <c r="AL1318">
        <v>93.789032492606694</v>
      </c>
      <c r="AM1318">
        <v>65.577086625541597</v>
      </c>
      <c r="AN1318">
        <v>0.99999998618052899</v>
      </c>
    </row>
    <row r="1319" spans="1:40" x14ac:dyDescent="0.25">
      <c r="A1319" t="str">
        <f>"20190305135217732"</f>
        <v>20190305135217732</v>
      </c>
      <c r="B1319" t="str">
        <f>"1551765137720592"</f>
        <v>1551765137720592</v>
      </c>
      <c r="C1319" t="s">
        <v>40</v>
      </c>
      <c r="D1319">
        <v>5.149051</v>
      </c>
      <c r="E1319">
        <v>0.59155599999999997</v>
      </c>
      <c r="F1319" t="s">
        <v>42</v>
      </c>
      <c r="G1319">
        <v>-194.79490000000001</v>
      </c>
      <c r="H1319" s="1">
        <v>-1.568902E-6</v>
      </c>
      <c r="I1319">
        <v>340.2724</v>
      </c>
      <c r="J1319">
        <v>-198.96520000000001</v>
      </c>
      <c r="K1319">
        <v>1.100363</v>
      </c>
      <c r="L1319">
        <v>362.7919</v>
      </c>
      <c r="M1319">
        <v>0.74867740000000005</v>
      </c>
      <c r="N1319">
        <v>-1.5691630000000002E-2</v>
      </c>
      <c r="O1319">
        <v>-0.66274909999999998</v>
      </c>
      <c r="P1319">
        <v>0.4059933</v>
      </c>
      <c r="Q1319">
        <v>-7.0466239999999999E-2</v>
      </c>
      <c r="R1319">
        <v>-0.91115590000000002</v>
      </c>
      <c r="S1319">
        <v>0.57197569999999998</v>
      </c>
      <c r="T1319">
        <v>-0.1475631</v>
      </c>
      <c r="U1319">
        <v>-3.0328369999999998</v>
      </c>
      <c r="V1319">
        <v>0.41177760000000002</v>
      </c>
      <c r="W1319">
        <v>-6.5453250000000004E-2</v>
      </c>
      <c r="X1319">
        <v>0.90893080000000004</v>
      </c>
      <c r="Y1319">
        <v>0.61248139999999995</v>
      </c>
      <c r="Z1319">
        <v>5.0134569999999998E-3</v>
      </c>
      <c r="AA1319">
        <v>0.79046910000000004</v>
      </c>
      <c r="AB1319">
        <v>22</v>
      </c>
      <c r="AC1319">
        <v>4.1702999999999903</v>
      </c>
      <c r="AD1319">
        <v>-1.1003645689020001</v>
      </c>
      <c r="AE1319">
        <v>-22.519499999999901</v>
      </c>
      <c r="AF1319">
        <v>14.0652424640792</v>
      </c>
      <c r="AG1319">
        <v>-1.1003645689020001</v>
      </c>
      <c r="AH1319">
        <v>18.0076370388804</v>
      </c>
      <c r="AI1319">
        <v>92.757049029660394</v>
      </c>
      <c r="AJ1319">
        <v>52.0076380683658</v>
      </c>
      <c r="AK1319">
        <v>22.876119414837099</v>
      </c>
      <c r="AL1319">
        <v>93.752877651468694</v>
      </c>
      <c r="AM1319">
        <v>65.627802674817701</v>
      </c>
      <c r="AN1319">
        <v>1.0000000594929701</v>
      </c>
    </row>
    <row r="1320" spans="1:40" x14ac:dyDescent="0.25">
      <c r="A1320" t="str">
        <f>"20190305135217744"</f>
        <v>20190305135217744</v>
      </c>
      <c r="B1320" t="str">
        <f>"1551765137741089"</f>
        <v>1551765137741089</v>
      </c>
      <c r="C1320" t="s">
        <v>40</v>
      </c>
      <c r="D1320">
        <v>5.1629389999999997</v>
      </c>
      <c r="E1320">
        <v>0.590472</v>
      </c>
      <c r="F1320" t="s">
        <v>42</v>
      </c>
      <c r="G1320">
        <v>-195.0522</v>
      </c>
      <c r="H1320" s="1">
        <v>-2.105008E-6</v>
      </c>
      <c r="I1320">
        <v>341.36250000000001</v>
      </c>
      <c r="J1320">
        <v>-198.8777</v>
      </c>
      <c r="K1320">
        <v>1.100376</v>
      </c>
      <c r="L1320">
        <v>362.70229999999998</v>
      </c>
      <c r="M1320">
        <v>0.74300469999999996</v>
      </c>
      <c r="N1320">
        <v>-1.5698980000000001E-2</v>
      </c>
      <c r="O1320">
        <v>-0.66910209999999903</v>
      </c>
      <c r="P1320">
        <v>0.39891670000000001</v>
      </c>
      <c r="Q1320">
        <v>-7.0085410000000001E-2</v>
      </c>
      <c r="R1320">
        <v>-0.91430500000000003</v>
      </c>
      <c r="S1320">
        <v>0.55393979999999998</v>
      </c>
      <c r="T1320">
        <v>-0.15577289999999999</v>
      </c>
      <c r="U1320">
        <v>-3.0336609999999999</v>
      </c>
      <c r="V1320">
        <v>0.4111146</v>
      </c>
      <c r="W1320">
        <v>-6.5038860000000004E-2</v>
      </c>
      <c r="X1320">
        <v>0.90926050000000003</v>
      </c>
      <c r="Y1320">
        <v>0.61030719999999905</v>
      </c>
      <c r="Z1320">
        <v>6.5279669999999904E-3</v>
      </c>
      <c r="AA1320">
        <v>0.79213789999999995</v>
      </c>
      <c r="AB1320">
        <v>22</v>
      </c>
      <c r="AC1320">
        <v>3.8254999999999999</v>
      </c>
      <c r="AD1320">
        <v>-1.1003781050079999</v>
      </c>
      <c r="AE1320">
        <v>-21.339799999999901</v>
      </c>
      <c r="AF1320">
        <v>13.2633918509922</v>
      </c>
      <c r="AG1320">
        <v>-1.1003781050079999</v>
      </c>
      <c r="AH1320">
        <v>17.078981604784499</v>
      </c>
      <c r="AI1320">
        <v>92.913054599763399</v>
      </c>
      <c r="AJ1320">
        <v>52.167390628644696</v>
      </c>
      <c r="AK1320">
        <v>21.652251800298199</v>
      </c>
      <c r="AL1320">
        <v>93.729084518737693</v>
      </c>
      <c r="AM1320">
        <v>65.6702898475708</v>
      </c>
      <c r="AN1320">
        <v>0.99999996225175403</v>
      </c>
    </row>
    <row r="1321" spans="1:40" x14ac:dyDescent="0.25">
      <c r="A1321" t="str">
        <f>"20190305135217761"</f>
        <v>20190305135217761</v>
      </c>
      <c r="B1321" t="str">
        <f>"1551765137750849"</f>
        <v>1551765137750849</v>
      </c>
      <c r="C1321" t="s">
        <v>40</v>
      </c>
      <c r="D1321">
        <v>5.1803889999999999</v>
      </c>
      <c r="E1321">
        <v>0.590472</v>
      </c>
      <c r="F1321" t="s">
        <v>42</v>
      </c>
      <c r="G1321">
        <v>-195.0745</v>
      </c>
      <c r="H1321" s="1">
        <v>-2.066944E-6</v>
      </c>
      <c r="I1321">
        <v>341.25990000000002</v>
      </c>
      <c r="J1321">
        <v>-198.756</v>
      </c>
      <c r="K1321">
        <v>1.1004080000000001</v>
      </c>
      <c r="L1321">
        <v>362.57420000000002</v>
      </c>
      <c r="M1321">
        <v>0.73489069999999901</v>
      </c>
      <c r="N1321">
        <v>-1.5706629999999999E-2</v>
      </c>
      <c r="O1321">
        <v>-0.67800369999999999</v>
      </c>
      <c r="P1321">
        <v>0.38998460000000001</v>
      </c>
      <c r="Q1321">
        <v>-6.9229620000000006E-2</v>
      </c>
      <c r="R1321">
        <v>-0.91821540000000001</v>
      </c>
      <c r="S1321">
        <v>0.53820800000000002</v>
      </c>
      <c r="T1321">
        <v>-0.15571679999999999</v>
      </c>
      <c r="U1321">
        <v>-3.0343629999999999</v>
      </c>
      <c r="V1321">
        <v>0.40909709999999999</v>
      </c>
      <c r="W1321">
        <v>-6.4097769999999998E-2</v>
      </c>
      <c r="X1321">
        <v>0.91023679999999996</v>
      </c>
      <c r="Y1321">
        <v>0.60477440000000005</v>
      </c>
      <c r="Z1321">
        <v>7.2090879999999998E-3</v>
      </c>
      <c r="AA1321">
        <v>0.79636419999999997</v>
      </c>
      <c r="AB1321">
        <v>22</v>
      </c>
      <c r="AC1321">
        <v>3.68149999999997</v>
      </c>
      <c r="AD1321">
        <v>-1.100410066944</v>
      </c>
      <c r="AE1321">
        <v>-21.314299999999999</v>
      </c>
      <c r="AF1321">
        <v>13.135237587738899</v>
      </c>
      <c r="AG1321">
        <v>-1.100410066944</v>
      </c>
      <c r="AH1321">
        <v>17.114494602432501</v>
      </c>
      <c r="AI1321">
        <v>92.919906549402796</v>
      </c>
      <c r="AJ1321">
        <v>52.494049945109403</v>
      </c>
      <c r="AK1321">
        <v>21.602113190576301</v>
      </c>
      <c r="AL1321">
        <v>93.675051150966596</v>
      </c>
      <c r="AM1321">
        <v>65.798928439064596</v>
      </c>
      <c r="AN1321">
        <v>0.99999999671081097</v>
      </c>
    </row>
    <row r="1322" spans="1:40" x14ac:dyDescent="0.25">
      <c r="A1322" t="str">
        <f>"20190305135217784"</f>
        <v>20190305135217784</v>
      </c>
      <c r="B1322" t="str">
        <f>"1551765137781105"</f>
        <v>1551765137781105</v>
      </c>
      <c r="C1322" t="s">
        <v>40</v>
      </c>
      <c r="D1322">
        <v>5.1655369999999996</v>
      </c>
      <c r="E1322">
        <v>0.58830850000000001</v>
      </c>
      <c r="F1322" t="s">
        <v>42</v>
      </c>
      <c r="G1322">
        <v>-195.03620000000001</v>
      </c>
      <c r="H1322" s="1">
        <v>-1.6692259999999999E-6</v>
      </c>
      <c r="I1322">
        <v>340.35649999999998</v>
      </c>
      <c r="J1322">
        <v>-198.6037</v>
      </c>
      <c r="K1322">
        <v>1.1004529999999999</v>
      </c>
      <c r="L1322">
        <v>362.40989999999999</v>
      </c>
      <c r="M1322">
        <v>0.72444600000000003</v>
      </c>
      <c r="N1322">
        <v>-1.571326E-2</v>
      </c>
      <c r="O1322">
        <v>-0.68915249999999995</v>
      </c>
      <c r="P1322">
        <v>0.3789845</v>
      </c>
      <c r="Q1322">
        <v>-6.7460430000000002E-2</v>
      </c>
      <c r="R1322">
        <v>-0.92294100000000001</v>
      </c>
      <c r="S1322">
        <v>0.50891109999999995</v>
      </c>
      <c r="T1322">
        <v>-0.15055180000000001</v>
      </c>
      <c r="U1322">
        <v>-3.0397029999999998</v>
      </c>
      <c r="V1322">
        <v>0.40620830000000002</v>
      </c>
      <c r="W1322">
        <v>-6.2205089999999998E-2</v>
      </c>
      <c r="X1322">
        <v>0.91166080000000005</v>
      </c>
      <c r="Y1322">
        <v>0.60032149999999995</v>
      </c>
      <c r="Z1322">
        <v>7.2216379999999998E-3</v>
      </c>
      <c r="AA1322">
        <v>0.79972619999999905</v>
      </c>
      <c r="AB1322">
        <v>22</v>
      </c>
      <c r="AC1322">
        <v>3.5674999999999901</v>
      </c>
      <c r="AD1322">
        <v>-1.100454669226</v>
      </c>
      <c r="AE1322">
        <v>-22.0534</v>
      </c>
      <c r="AF1322">
        <v>13.4868889587515</v>
      </c>
      <c r="AG1322">
        <v>-1.100454669226</v>
      </c>
      <c r="AH1322">
        <v>17.741762031832099</v>
      </c>
      <c r="AI1322">
        <v>92.826896085613399</v>
      </c>
      <c r="AJ1322">
        <v>52.758718734044201</v>
      </c>
      <c r="AK1322">
        <v>22.313164147177201</v>
      </c>
      <c r="AL1322">
        <v>93.566391531559205</v>
      </c>
      <c r="AM1322">
        <v>65.983702515816105</v>
      </c>
      <c r="AN1322">
        <v>1.0000000352337099</v>
      </c>
    </row>
    <row r="1323" spans="1:40" x14ac:dyDescent="0.25">
      <c r="A1323" t="str">
        <f>"20190305135217807"</f>
        <v>20190305135217807</v>
      </c>
      <c r="B1323" t="str">
        <f>"1551765137800626"</f>
        <v>1551765137800626</v>
      </c>
      <c r="C1323" t="s">
        <v>40</v>
      </c>
      <c r="D1323">
        <v>5.1699780000000004</v>
      </c>
      <c r="E1323">
        <v>0.5868911</v>
      </c>
      <c r="F1323" t="s">
        <v>42</v>
      </c>
      <c r="G1323">
        <v>-194.93639999999999</v>
      </c>
      <c r="H1323" s="1">
        <v>-5.1660600000000001E-6</v>
      </c>
      <c r="I1323">
        <v>339.59440000000001</v>
      </c>
      <c r="J1323">
        <v>-198.45089999999999</v>
      </c>
      <c r="K1323">
        <v>1.1005020000000001</v>
      </c>
      <c r="L1323">
        <v>362.23970000000003</v>
      </c>
      <c r="M1323">
        <v>0.71360080000000004</v>
      </c>
      <c r="N1323">
        <v>-1.5716499999999901E-2</v>
      </c>
      <c r="O1323">
        <v>-0.70037640000000001</v>
      </c>
      <c r="P1323">
        <v>0.36740650000000002</v>
      </c>
      <c r="Q1323">
        <v>-6.4168299999999998E-2</v>
      </c>
      <c r="R1323">
        <v>-0.92784460000000002</v>
      </c>
      <c r="S1323">
        <v>0.48849490000000001</v>
      </c>
      <c r="T1323">
        <v>-0.14658560000000001</v>
      </c>
      <c r="U1323">
        <v>-3.0391240000000002</v>
      </c>
      <c r="V1323">
        <v>0.40363280000000001</v>
      </c>
      <c r="W1323">
        <v>-5.8791830000000003E-2</v>
      </c>
      <c r="X1323">
        <v>0.91303009999999996</v>
      </c>
      <c r="Y1323">
        <v>0.59304749999999995</v>
      </c>
      <c r="Z1323">
        <v>7.4844300000000002E-3</v>
      </c>
      <c r="AA1323">
        <v>0.80513269999999904</v>
      </c>
      <c r="AB1323">
        <v>22</v>
      </c>
      <c r="AC1323">
        <v>3.5144999999999902</v>
      </c>
      <c r="AD1323">
        <v>-1.1005071660600001</v>
      </c>
      <c r="AE1323">
        <v>-22.645299999999999</v>
      </c>
      <c r="AF1323">
        <v>13.668400211808599</v>
      </c>
      <c r="AG1323">
        <v>-1.1005071660600001</v>
      </c>
      <c r="AH1323">
        <v>18.328182654174402</v>
      </c>
      <c r="AI1323">
        <v>92.755716200375403</v>
      </c>
      <c r="AJ1323">
        <v>53.285947664035803</v>
      </c>
      <c r="AK1323">
        <v>22.890141104359699</v>
      </c>
      <c r="AL1323">
        <v>93.3704674945958</v>
      </c>
      <c r="AM1323">
        <v>66.150713113571101</v>
      </c>
      <c r="AN1323">
        <v>0.99999994000829695</v>
      </c>
    </row>
    <row r="1324" spans="1:40" x14ac:dyDescent="0.25">
      <c r="A1324" t="str">
        <f>"20190305135217831"</f>
        <v>20190305135217831</v>
      </c>
      <c r="B1324" t="str">
        <f>"1551765137821121"</f>
        <v>1551765137821121</v>
      </c>
      <c r="C1324" t="s">
        <v>40</v>
      </c>
      <c r="D1324">
        <v>5.1530690000000003</v>
      </c>
      <c r="E1324">
        <v>0.57825349999999998</v>
      </c>
      <c r="F1324" t="s">
        <v>42</v>
      </c>
      <c r="G1324">
        <v>-194.86420000000001</v>
      </c>
      <c r="H1324" s="1">
        <v>-4.800429E-6</v>
      </c>
      <c r="I1324">
        <v>338.55759999999998</v>
      </c>
      <c r="J1324">
        <v>-198.29079999999999</v>
      </c>
      <c r="K1324">
        <v>1.100563</v>
      </c>
      <c r="L1324">
        <v>362.05509999999998</v>
      </c>
      <c r="M1324">
        <v>0.7018316</v>
      </c>
      <c r="N1324">
        <v>-1.5716210000000001E-2</v>
      </c>
      <c r="O1324">
        <v>-0.71216959999999996</v>
      </c>
      <c r="P1324">
        <v>0.35390969999999999</v>
      </c>
      <c r="Q1324">
        <v>-6.1285909999999999E-2</v>
      </c>
      <c r="R1324">
        <v>-0.93326980000000004</v>
      </c>
      <c r="S1324">
        <v>0.46058650000000001</v>
      </c>
      <c r="T1324">
        <v>-0.1413219</v>
      </c>
      <c r="U1324">
        <v>-3.0411380000000001</v>
      </c>
      <c r="V1324">
        <v>0.40187050000000002</v>
      </c>
      <c r="W1324">
        <v>-5.5808089999999998E-2</v>
      </c>
      <c r="X1324">
        <v>0.91399430000000004</v>
      </c>
      <c r="Y1324">
        <v>0.58693930000000005</v>
      </c>
      <c r="Z1324">
        <v>7.4808209999999899E-3</v>
      </c>
      <c r="AA1324">
        <v>0.80959639999999999</v>
      </c>
      <c r="AB1324">
        <v>22</v>
      </c>
      <c r="AC1324">
        <v>3.4265999999999699</v>
      </c>
      <c r="AD1324">
        <v>-1.100567800429</v>
      </c>
      <c r="AE1324">
        <v>-23.497499999999999</v>
      </c>
      <c r="AF1324">
        <v>14.022580649288701</v>
      </c>
      <c r="AG1324">
        <v>-1.100567800429</v>
      </c>
      <c r="AH1324">
        <v>19.100434813945999</v>
      </c>
      <c r="AI1324">
        <v>92.659305621755394</v>
      </c>
      <c r="AJ1324">
        <v>53.715753035100803</v>
      </c>
      <c r="AK1324">
        <v>23.7206793248201</v>
      </c>
      <c r="AL1324">
        <v>93.199230142055498</v>
      </c>
      <c r="AM1324">
        <v>66.265579919386397</v>
      </c>
      <c r="AN1324">
        <v>1.00000001105609</v>
      </c>
    </row>
    <row r="1325" spans="1:40" x14ac:dyDescent="0.25">
      <c r="A1325" t="str">
        <f>"20190305135217854"</f>
        <v>20190305135217854</v>
      </c>
      <c r="B1325" t="str">
        <f>"1551765137850402"</f>
        <v>1551765137850402</v>
      </c>
      <c r="C1325" t="s">
        <v>40</v>
      </c>
      <c r="D1325">
        <v>5.1727439999999998</v>
      </c>
      <c r="E1325">
        <v>0.57782409999999995</v>
      </c>
      <c r="F1325" t="s">
        <v>42</v>
      </c>
      <c r="G1325">
        <v>-195.3185</v>
      </c>
      <c r="H1325" s="1">
        <v>-2.9922150000000001E-6</v>
      </c>
      <c r="I1325">
        <v>343.2654</v>
      </c>
      <c r="J1325">
        <v>-198.14940000000001</v>
      </c>
      <c r="K1325">
        <v>1.100624</v>
      </c>
      <c r="L1325">
        <v>361.887</v>
      </c>
      <c r="M1325">
        <v>0.69110389999999999</v>
      </c>
      <c r="N1325">
        <v>-1.571326E-2</v>
      </c>
      <c r="O1325">
        <v>-0.72258480000000003</v>
      </c>
      <c r="P1325">
        <v>0.34121259999999998</v>
      </c>
      <c r="Q1325">
        <v>-6.0850540000000002E-2</v>
      </c>
      <c r="R1325">
        <v>-0.93801469999999998</v>
      </c>
      <c r="S1325">
        <v>0.47798160000000001</v>
      </c>
      <c r="T1325">
        <v>-0.17698559999999999</v>
      </c>
      <c r="U1325">
        <v>-3.0216370000000001</v>
      </c>
      <c r="V1325">
        <v>0.40064280000000002</v>
      </c>
      <c r="W1325">
        <v>-5.5293799999999997E-2</v>
      </c>
      <c r="X1325">
        <v>0.9145643</v>
      </c>
      <c r="Y1325">
        <v>0.56930559999999997</v>
      </c>
      <c r="Z1325">
        <v>1.453959E-2</v>
      </c>
      <c r="AA1325">
        <v>0.82199739999999999</v>
      </c>
      <c r="AB1325">
        <v>22</v>
      </c>
      <c r="AC1325">
        <v>2.83090000000001</v>
      </c>
      <c r="AD1325">
        <v>-1.100626992215</v>
      </c>
      <c r="AE1325">
        <v>-18.621599999999901</v>
      </c>
      <c r="AF1325">
        <v>10.7883932650861</v>
      </c>
      <c r="AG1325">
        <v>-1.100626992215</v>
      </c>
      <c r="AH1325">
        <v>15.3615801594065</v>
      </c>
      <c r="AI1325">
        <v>93.355582234768704</v>
      </c>
      <c r="AJ1325">
        <v>54.919743290226897</v>
      </c>
      <c r="AK1325">
        <v>18.803695222270001</v>
      </c>
      <c r="AL1325">
        <v>93.169718092234405</v>
      </c>
      <c r="AM1325">
        <v>66.343236329880497</v>
      </c>
      <c r="AN1325">
        <v>0.99999995817238396</v>
      </c>
    </row>
    <row r="1326" spans="1:40" x14ac:dyDescent="0.25">
      <c r="A1326" t="str">
        <f>"20190305135217874"</f>
        <v>20190305135217874</v>
      </c>
      <c r="B1326" t="str">
        <f>"1551765137870898"</f>
        <v>1551765137870898</v>
      </c>
      <c r="C1326" t="s">
        <v>40</v>
      </c>
      <c r="D1326">
        <v>5.1884009999999998</v>
      </c>
      <c r="E1326">
        <v>0.57672619999999997</v>
      </c>
      <c r="F1326" t="s">
        <v>42</v>
      </c>
      <c r="G1326">
        <v>-195.3288</v>
      </c>
      <c r="H1326" s="1">
        <v>-2.6693769999999998E-6</v>
      </c>
      <c r="I1326">
        <v>342.50639999999999</v>
      </c>
      <c r="J1326">
        <v>-198.01840000000001</v>
      </c>
      <c r="K1326">
        <v>1.1006739999999999</v>
      </c>
      <c r="L1326">
        <v>361.72660000000002</v>
      </c>
      <c r="M1326">
        <v>0.68086740000000001</v>
      </c>
      <c r="N1326">
        <v>-1.5707289999999999E-2</v>
      </c>
      <c r="O1326">
        <v>-0.73223850000000001</v>
      </c>
      <c r="P1326">
        <v>0.32955250000000003</v>
      </c>
      <c r="Q1326">
        <v>-6.1809610000000001E-2</v>
      </c>
      <c r="R1326">
        <v>-0.94211210000000001</v>
      </c>
      <c r="S1326">
        <v>0.4405212</v>
      </c>
      <c r="T1326">
        <v>-0.17189549999999901</v>
      </c>
      <c r="U1326">
        <v>-3.0268549999999999</v>
      </c>
      <c r="V1326">
        <v>0.39906079999999999</v>
      </c>
      <c r="W1326">
        <v>-5.6163619999999997E-2</v>
      </c>
      <c r="X1326">
        <v>0.91520279999999998</v>
      </c>
      <c r="Y1326">
        <v>0.56792089999999995</v>
      </c>
      <c r="Z1326">
        <v>1.437401E-2</v>
      </c>
      <c r="AA1326">
        <v>0.82295759999999996</v>
      </c>
      <c r="AB1326">
        <v>22</v>
      </c>
      <c r="AC1326">
        <v>2.6896000000000102</v>
      </c>
      <c r="AD1326">
        <v>-1.100676669377</v>
      </c>
      <c r="AE1326">
        <v>-19.220199999999998</v>
      </c>
      <c r="AF1326">
        <v>11.082701249099699</v>
      </c>
      <c r="AG1326">
        <v>-1.100676669377</v>
      </c>
      <c r="AH1326">
        <v>15.855990389662299</v>
      </c>
      <c r="AI1326">
        <v>93.256417414057097</v>
      </c>
      <c r="AJ1326">
        <v>55.047995383266603</v>
      </c>
      <c r="AK1326">
        <v>19.376537031791099</v>
      </c>
      <c r="AL1326">
        <v>93.219632482360097</v>
      </c>
      <c r="AM1326">
        <v>66.441095041736105</v>
      </c>
      <c r="AN1326">
        <v>1.0000000197179899</v>
      </c>
    </row>
    <row r="1327" spans="1:40" x14ac:dyDescent="0.25">
      <c r="A1327" t="str">
        <f>"20190305135217898"</f>
        <v>20190305135217898</v>
      </c>
      <c r="B1327" t="str">
        <f>"1551765137890418"</f>
        <v>1551765137890418</v>
      </c>
      <c r="C1327" t="s">
        <v>40</v>
      </c>
      <c r="D1327">
        <v>5.1832849999999997</v>
      </c>
      <c r="E1327">
        <v>0.57548310000000003</v>
      </c>
      <c r="F1327" t="s">
        <v>42</v>
      </c>
      <c r="G1327">
        <v>-195.54159999999999</v>
      </c>
      <c r="H1327" s="1">
        <v>-3.132169E-6</v>
      </c>
      <c r="I1327">
        <v>343.45319999999998</v>
      </c>
      <c r="J1327">
        <v>-197.8732</v>
      </c>
      <c r="K1327">
        <v>1.1007389999999999</v>
      </c>
      <c r="L1327">
        <v>361.54340000000002</v>
      </c>
      <c r="M1327">
        <v>0.66920639999999998</v>
      </c>
      <c r="N1327">
        <v>-1.5695029999999999E-2</v>
      </c>
      <c r="O1327">
        <v>-0.74291070000000003</v>
      </c>
      <c r="P1327">
        <v>0.31748729999999997</v>
      </c>
      <c r="Q1327">
        <v>-6.3782560000000002E-2</v>
      </c>
      <c r="R1327">
        <v>-0.94611509999999999</v>
      </c>
      <c r="S1327">
        <v>0.41053770000000001</v>
      </c>
      <c r="T1327">
        <v>-0.18243889999999999</v>
      </c>
      <c r="U1327">
        <v>-3.0288390000000001</v>
      </c>
      <c r="V1327">
        <v>0.39616829999999997</v>
      </c>
      <c r="W1327">
        <v>-5.7993290000000003E-2</v>
      </c>
      <c r="X1327">
        <v>0.91634459999999995</v>
      </c>
      <c r="Y1327">
        <v>0.56295249999999997</v>
      </c>
      <c r="Z1327">
        <v>1.7104370000000001E-2</v>
      </c>
      <c r="AA1327">
        <v>0.82631219999999905</v>
      </c>
      <c r="AB1327">
        <v>22</v>
      </c>
      <c r="AC1327">
        <v>2.3315999999999999</v>
      </c>
      <c r="AD1327">
        <v>-1.1007421321690001</v>
      </c>
      <c r="AE1327">
        <v>-18.090199999999999</v>
      </c>
      <c r="AF1327">
        <v>10.3375373953001</v>
      </c>
      <c r="AG1327">
        <v>-1.1007421321690001</v>
      </c>
      <c r="AH1327">
        <v>14.947137609088999</v>
      </c>
      <c r="AI1327">
        <v>93.466057839715901</v>
      </c>
      <c r="AJ1327">
        <v>55.3320142662919</v>
      </c>
      <c r="AK1327">
        <v>18.2069556858307</v>
      </c>
      <c r="AL1327">
        <v>93.324636168025407</v>
      </c>
      <c r="AM1327">
        <v>66.619458029984401</v>
      </c>
      <c r="AN1327">
        <v>0.999999984779536</v>
      </c>
    </row>
    <row r="1328" spans="1:40" x14ac:dyDescent="0.25">
      <c r="A1328" t="str">
        <f>"20190305135217919"</f>
        <v>20190305135217919</v>
      </c>
      <c r="B1328" t="str">
        <f>"1551765137910913"</f>
        <v>1551765137910913</v>
      </c>
      <c r="C1328" t="s">
        <v>40</v>
      </c>
      <c r="D1328">
        <v>5.0813689999999996</v>
      </c>
      <c r="E1328">
        <v>0.57362819999999903</v>
      </c>
      <c r="F1328" t="s">
        <v>42</v>
      </c>
      <c r="G1328">
        <v>-195.54849999999999</v>
      </c>
      <c r="H1328" s="1">
        <v>-2.97766E-6</v>
      </c>
      <c r="I1328">
        <v>343.08879999999999</v>
      </c>
      <c r="J1328">
        <v>-197.74080000000001</v>
      </c>
      <c r="K1328">
        <v>1.1008260000000001</v>
      </c>
      <c r="L1328">
        <v>361.37119999999999</v>
      </c>
      <c r="M1328">
        <v>0.65830059999999901</v>
      </c>
      <c r="N1328">
        <v>-1.567638E-2</v>
      </c>
      <c r="O1328">
        <v>-0.75259200000000004</v>
      </c>
      <c r="P1328">
        <v>0.30809320000000001</v>
      </c>
      <c r="Q1328">
        <v>-6.570695E-2</v>
      </c>
      <c r="R1328">
        <v>-0.94908479999999995</v>
      </c>
      <c r="S1328">
        <v>0.38175959999999998</v>
      </c>
      <c r="T1328">
        <v>-0.1807617</v>
      </c>
      <c r="U1328">
        <v>-3.0305789999999999</v>
      </c>
      <c r="V1328">
        <v>0.39177420000000002</v>
      </c>
      <c r="W1328">
        <v>-5.9720189999999999E-2</v>
      </c>
      <c r="X1328">
        <v>0.91812119999999997</v>
      </c>
      <c r="Y1328">
        <v>0.55868680000000004</v>
      </c>
      <c r="Z1328">
        <v>1.765976E-2</v>
      </c>
      <c r="AA1328">
        <v>0.82919069999999995</v>
      </c>
      <c r="AB1328">
        <v>22</v>
      </c>
      <c r="AC1328">
        <v>2.1923000000000101</v>
      </c>
      <c r="AD1328">
        <v>-1.10082897766</v>
      </c>
      <c r="AE1328">
        <v>-18.282399999999999</v>
      </c>
      <c r="AF1328">
        <v>10.3496916516286</v>
      </c>
      <c r="AG1328">
        <v>-1.10082897766</v>
      </c>
      <c r="AH1328">
        <v>15.1500988437824</v>
      </c>
      <c r="AI1328">
        <v>93.433509718380193</v>
      </c>
      <c r="AJ1328">
        <v>55.661317484889899</v>
      </c>
      <c r="AK1328">
        <v>18.380789882326098</v>
      </c>
      <c r="AL1328">
        <v>93.423751927336099</v>
      </c>
      <c r="AM1328">
        <v>66.891430045813706</v>
      </c>
      <c r="AN1328">
        <v>1.00000003138435</v>
      </c>
    </row>
    <row r="1329" spans="1:40" x14ac:dyDescent="0.25">
      <c r="A1329" t="str">
        <f>"20190305135217942"</f>
        <v>20190305135217942</v>
      </c>
      <c r="B1329" t="str">
        <f>"1551765137930437"</f>
        <v>1551765137930437</v>
      </c>
      <c r="C1329" t="s">
        <v>40</v>
      </c>
      <c r="D1329">
        <v>5.1081240000000001</v>
      </c>
      <c r="E1329">
        <v>0.57211509999999999</v>
      </c>
      <c r="F1329" t="s">
        <v>42</v>
      </c>
      <c r="G1329">
        <v>-195.571</v>
      </c>
      <c r="H1329" s="1">
        <v>-3.1192670000000001E-6</v>
      </c>
      <c r="I1329">
        <v>343.4049</v>
      </c>
      <c r="J1329">
        <v>-197.60640000000001</v>
      </c>
      <c r="K1329">
        <v>1.1009469999999999</v>
      </c>
      <c r="L1329">
        <v>361.19119999999998</v>
      </c>
      <c r="M1329">
        <v>0.6469897</v>
      </c>
      <c r="N1329">
        <v>-1.564863E-2</v>
      </c>
      <c r="O1329">
        <v>-0.76233819999999997</v>
      </c>
      <c r="P1329">
        <v>0.29925359999999901</v>
      </c>
      <c r="Q1329">
        <v>-6.6805089999999998E-2</v>
      </c>
      <c r="R1329">
        <v>-0.95183209999999996</v>
      </c>
      <c r="S1329">
        <v>0.36586000000000002</v>
      </c>
      <c r="T1329">
        <v>-0.18561530000000001</v>
      </c>
      <c r="U1329">
        <v>-3.0293580000000002</v>
      </c>
      <c r="V1329">
        <v>0.38654929999999998</v>
      </c>
      <c r="W1329">
        <v>-6.057456E-2</v>
      </c>
      <c r="X1329">
        <v>0.92027740000000002</v>
      </c>
      <c r="Y1329">
        <v>0.55052939999999995</v>
      </c>
      <c r="Z1329">
        <v>1.9562199999999998E-2</v>
      </c>
      <c r="AA1329">
        <v>0.83458659999999996</v>
      </c>
      <c r="AB1329">
        <v>22</v>
      </c>
      <c r="AC1329">
        <v>2.0354000000000099</v>
      </c>
      <c r="AD1329">
        <v>-1.1009501192669999</v>
      </c>
      <c r="AE1329">
        <v>-17.786299999999901</v>
      </c>
      <c r="AF1329">
        <v>9.9195933214075804</v>
      </c>
      <c r="AG1329">
        <v>-1.1009501192669999</v>
      </c>
      <c r="AH1329">
        <v>14.8218247855323</v>
      </c>
      <c r="AI1329">
        <v>93.5323853221267</v>
      </c>
      <c r="AJ1329">
        <v>56.207350818650198</v>
      </c>
      <c r="AK1329">
        <v>17.868881128941599</v>
      </c>
      <c r="AL1329">
        <v>93.472792390379098</v>
      </c>
      <c r="AM1329">
        <v>67.215858822977793</v>
      </c>
      <c r="AN1329">
        <v>1.0000000658002099</v>
      </c>
    </row>
    <row r="1330" spans="1:40" x14ac:dyDescent="0.25">
      <c r="A1330" t="str">
        <f>"20190305135217963"</f>
        <v>20190305135217963</v>
      </c>
      <c r="B1330" t="str">
        <f>"1551765137960689"</f>
        <v>1551765137960689</v>
      </c>
      <c r="C1330" t="s">
        <v>40</v>
      </c>
      <c r="D1330">
        <v>5.1354139999999999</v>
      </c>
      <c r="E1330">
        <v>0.56996720000000001</v>
      </c>
      <c r="F1330" t="s">
        <v>42</v>
      </c>
      <c r="G1330">
        <v>-195.68219999999999</v>
      </c>
      <c r="H1330" s="1">
        <v>-3.5521030000000001E-6</v>
      </c>
      <c r="I1330">
        <v>344.46300000000002</v>
      </c>
      <c r="J1330">
        <v>-197.48070000000001</v>
      </c>
      <c r="K1330">
        <v>1.1011029999999999</v>
      </c>
      <c r="L1330">
        <v>361.01799999999997</v>
      </c>
      <c r="M1330">
        <v>0.63622270000000003</v>
      </c>
      <c r="N1330">
        <v>-1.561354E-2</v>
      </c>
      <c r="O1330">
        <v>-0.77134759999999902</v>
      </c>
      <c r="P1330">
        <v>0.29243219999999998</v>
      </c>
      <c r="Q1330">
        <v>-6.7799730000000002E-2</v>
      </c>
      <c r="R1330">
        <v>-0.95387999999999995</v>
      </c>
      <c r="S1330">
        <v>0.34834290000000001</v>
      </c>
      <c r="T1330">
        <v>-0.19930619999999999</v>
      </c>
      <c r="U1330">
        <v>-3.0283199999999999</v>
      </c>
      <c r="V1330">
        <v>0.38017230000000002</v>
      </c>
      <c r="W1330">
        <v>-6.1281299999999997E-2</v>
      </c>
      <c r="X1330">
        <v>0.92288329999999996</v>
      </c>
      <c r="Y1330">
        <v>0.54350359999999998</v>
      </c>
      <c r="Z1330">
        <v>2.311705E-2</v>
      </c>
      <c r="AA1330">
        <v>0.83908850000000001</v>
      </c>
      <c r="AB1330">
        <v>22</v>
      </c>
      <c r="AC1330">
        <v>1.79850000000001</v>
      </c>
      <c r="AD1330">
        <v>-1.1011065521029999</v>
      </c>
      <c r="AE1330">
        <v>-16.555</v>
      </c>
      <c r="AF1330">
        <v>9.1066953283107903</v>
      </c>
      <c r="AG1330">
        <v>-1.1011065521029999</v>
      </c>
      <c r="AH1330">
        <v>13.855023174571199</v>
      </c>
      <c r="AI1330">
        <v>93.799552183133599</v>
      </c>
      <c r="AJ1330">
        <v>56.683691952769301</v>
      </c>
      <c r="AK1330">
        <v>16.6164377232205</v>
      </c>
      <c r="AL1330">
        <v>93.5133612777515</v>
      </c>
      <c r="AM1330">
        <v>67.611290980507206</v>
      </c>
      <c r="AN1330">
        <v>0.99999998041793403</v>
      </c>
    </row>
    <row r="1331" spans="1:40" x14ac:dyDescent="0.25">
      <c r="A1331" t="str">
        <f>"20190305135217987"</f>
        <v>20190305135217987</v>
      </c>
      <c r="B1331" t="str">
        <f>"1551765137981186"</f>
        <v>1551765137981186</v>
      </c>
      <c r="C1331" t="s">
        <v>40</v>
      </c>
      <c r="D1331">
        <v>5.0945819999999999</v>
      </c>
      <c r="E1331">
        <v>0.569571099999999</v>
      </c>
      <c r="F1331" t="s">
        <v>42</v>
      </c>
      <c r="G1331">
        <v>-195.6833</v>
      </c>
      <c r="H1331" s="1">
        <v>-3.784164E-6</v>
      </c>
      <c r="I1331">
        <v>345.14429999999999</v>
      </c>
      <c r="J1331">
        <v>-197.34889999999999</v>
      </c>
      <c r="K1331">
        <v>1.1012999999999999</v>
      </c>
      <c r="L1331">
        <v>360.83100000000002</v>
      </c>
      <c r="M1331">
        <v>0.62475649999999905</v>
      </c>
      <c r="N1331">
        <v>-1.5567340000000001E-2</v>
      </c>
      <c r="O1331">
        <v>-0.78066440000000004</v>
      </c>
      <c r="P1331">
        <v>0.28496300000000002</v>
      </c>
      <c r="Q1331">
        <v>-6.9559369999999995E-2</v>
      </c>
      <c r="R1331">
        <v>-0.95601150000000001</v>
      </c>
      <c r="S1331">
        <v>0.34254459999999998</v>
      </c>
      <c r="T1331">
        <v>-0.20984459999999999</v>
      </c>
      <c r="U1331">
        <v>-3.0251459999999999</v>
      </c>
      <c r="V1331">
        <v>0.37366709999999997</v>
      </c>
      <c r="W1331">
        <v>-6.2729339999999995E-2</v>
      </c>
      <c r="X1331">
        <v>0.92543940000000002</v>
      </c>
      <c r="Y1331">
        <v>0.5325472</v>
      </c>
      <c r="Z1331">
        <v>2.6372779999999998E-2</v>
      </c>
      <c r="AA1331">
        <v>0.84598930000000006</v>
      </c>
      <c r="AB1331">
        <v>22</v>
      </c>
      <c r="AC1331">
        <v>1.66559999999998</v>
      </c>
      <c r="AD1331">
        <v>-1.1013037841640001</v>
      </c>
      <c r="AE1331">
        <v>-15.686699999999901</v>
      </c>
      <c r="AF1331">
        <v>8.4598904125213306</v>
      </c>
      <c r="AG1331">
        <v>-1.1013037841640001</v>
      </c>
      <c r="AH1331">
        <v>13.2238010537062</v>
      </c>
      <c r="AI1331">
        <v>94.012955892246794</v>
      </c>
      <c r="AJ1331">
        <v>57.391031429875099</v>
      </c>
      <c r="AK1331">
        <v>15.7369479291534</v>
      </c>
      <c r="AL1331">
        <v>93.596487468587398</v>
      </c>
      <c r="AM1331">
        <v>68.012492102502904</v>
      </c>
      <c r="AN1331">
        <v>1.00000007739579</v>
      </c>
    </row>
    <row r="1332" spans="1:40" x14ac:dyDescent="0.25">
      <c r="A1332" t="str">
        <f>"20190305135218009"</f>
        <v>20190305135218009</v>
      </c>
      <c r="B1332" t="str">
        <f>"1551765138000706"</f>
        <v>1551765138000706</v>
      </c>
      <c r="C1332" t="s">
        <v>40</v>
      </c>
      <c r="D1332">
        <v>4.9389539999999998</v>
      </c>
      <c r="E1332">
        <v>0.5692528</v>
      </c>
      <c r="F1332" t="s">
        <v>42</v>
      </c>
      <c r="G1332">
        <v>-195.6626</v>
      </c>
      <c r="H1332" s="1">
        <v>-3.7258599999999999E-6</v>
      </c>
      <c r="I1332">
        <v>344.98379999999997</v>
      </c>
      <c r="J1332">
        <v>-197.22300000000001</v>
      </c>
      <c r="K1332">
        <v>1.1014999999999999</v>
      </c>
      <c r="L1332">
        <v>360.64710000000002</v>
      </c>
      <c r="M1332">
        <v>0.61368040000000001</v>
      </c>
      <c r="N1332">
        <v>-1.5514490000000001E-2</v>
      </c>
      <c r="O1332">
        <v>-0.78940219999999905</v>
      </c>
      <c r="P1332">
        <v>0.27852280000000001</v>
      </c>
      <c r="Q1332">
        <v>-7.0804839999999994E-2</v>
      </c>
      <c r="R1332">
        <v>-0.95781649999999996</v>
      </c>
      <c r="S1332">
        <v>0.3220673</v>
      </c>
      <c r="T1332">
        <v>-0.21034040000000001</v>
      </c>
      <c r="U1332">
        <v>-3.0267029999999999</v>
      </c>
      <c r="V1332">
        <v>0.3667878</v>
      </c>
      <c r="W1332">
        <v>-6.3652860000000006E-2</v>
      </c>
      <c r="X1332">
        <v>0.92812450000000002</v>
      </c>
      <c r="Y1332">
        <v>0.52631309999999998</v>
      </c>
      <c r="Z1332">
        <v>2.7473049999999999E-2</v>
      </c>
      <c r="AA1332">
        <v>0.84984699999999902</v>
      </c>
      <c r="AB1332">
        <v>22</v>
      </c>
      <c r="AC1332">
        <v>1.56039999999998</v>
      </c>
      <c r="AD1332">
        <v>-1.10150372586</v>
      </c>
      <c r="AE1332">
        <v>-15.6633</v>
      </c>
      <c r="AF1332">
        <v>8.3406422413831596</v>
      </c>
      <c r="AG1332">
        <v>-1.10150372586</v>
      </c>
      <c r="AH1332">
        <v>13.258906050418</v>
      </c>
      <c r="AI1332">
        <v>94.022425979406506</v>
      </c>
      <c r="AJ1332">
        <v>57.8276601143845</v>
      </c>
      <c r="AK1332">
        <v>15.702809083429599</v>
      </c>
      <c r="AL1332">
        <v>93.649507392889802</v>
      </c>
      <c r="AM1332">
        <v>68.436442091546994</v>
      </c>
      <c r="AN1332">
        <v>1.0000000321576299</v>
      </c>
    </row>
    <row r="1333" spans="1:40" x14ac:dyDescent="0.25">
      <c r="A1333" t="str">
        <f>"20190305135218034"</f>
        <v>20190305135218034</v>
      </c>
      <c r="B1333" t="str">
        <f>"1551765138030962"</f>
        <v>1551765138030962</v>
      </c>
      <c r="C1333" t="s">
        <v>40</v>
      </c>
      <c r="D1333">
        <v>4.9267949999999896</v>
      </c>
      <c r="E1333">
        <v>0.5693762</v>
      </c>
      <c r="F1333" t="s">
        <v>42</v>
      </c>
      <c r="G1333">
        <v>-195.63390000000001</v>
      </c>
      <c r="H1333" s="1">
        <v>-3.6727710000000001E-6</v>
      </c>
      <c r="I1333">
        <v>344.84269999999998</v>
      </c>
      <c r="J1333">
        <v>-197.08860000000001</v>
      </c>
      <c r="K1333">
        <v>1.101709</v>
      </c>
      <c r="L1333">
        <v>360.44490000000002</v>
      </c>
      <c r="M1333">
        <v>0.60170069999999998</v>
      </c>
      <c r="N1333">
        <v>-1.545358E-2</v>
      </c>
      <c r="O1333">
        <v>-0.79857219999999995</v>
      </c>
      <c r="P1333">
        <v>0.26958330000000003</v>
      </c>
      <c r="Q1333">
        <v>-7.0562849999999996E-2</v>
      </c>
      <c r="R1333">
        <v>-0.96038860000000004</v>
      </c>
      <c r="S1333">
        <v>0.30445860000000002</v>
      </c>
      <c r="T1333">
        <v>-0.21103720000000001</v>
      </c>
      <c r="U1333">
        <v>-3.0279539999999998</v>
      </c>
      <c r="V1333">
        <v>0.36148409999999997</v>
      </c>
      <c r="W1333">
        <v>-6.3135090000000005E-2</v>
      </c>
      <c r="X1333">
        <v>0.93023820000000002</v>
      </c>
      <c r="Y1333">
        <v>0.5184088</v>
      </c>
      <c r="Z1333">
        <v>2.8715709999999998E-2</v>
      </c>
      <c r="AA1333">
        <v>0.85465059999999904</v>
      </c>
      <c r="AB1333">
        <v>21</v>
      </c>
      <c r="AC1333">
        <v>1.4547000000000001</v>
      </c>
      <c r="AD1333">
        <v>-1.101712672771</v>
      </c>
      <c r="AE1333">
        <v>-15.6022</v>
      </c>
      <c r="AF1333">
        <v>8.1866854726295095</v>
      </c>
      <c r="AG1333">
        <v>-1.101712672771</v>
      </c>
      <c r="AH1333">
        <v>13.2707693075319</v>
      </c>
      <c r="AI1333">
        <v>94.041531639546093</v>
      </c>
      <c r="AJ1333">
        <v>58.3297271443233</v>
      </c>
      <c r="AK1333">
        <v>15.6316636304278</v>
      </c>
      <c r="AL1333">
        <v>93.619781859170104</v>
      </c>
      <c r="AM1333">
        <v>68.764219532225596</v>
      </c>
      <c r="AN1333">
        <v>0.99999995144067699</v>
      </c>
    </row>
    <row r="1334" spans="1:40" x14ac:dyDescent="0.25">
      <c r="A1334" t="str">
        <f>"20190305135218057"</f>
        <v>20190305135218057</v>
      </c>
      <c r="B1334" t="str">
        <f>"1551765138050481"</f>
        <v>1551765138050481</v>
      </c>
      <c r="C1334" t="s">
        <v>40</v>
      </c>
      <c r="D1334">
        <v>4.9081849999999996</v>
      </c>
      <c r="E1334">
        <v>0.5692469</v>
      </c>
      <c r="F1334" t="s">
        <v>42</v>
      </c>
      <c r="G1334">
        <v>-195.54769999999999</v>
      </c>
      <c r="H1334" s="1">
        <v>-3.1709809999999999E-6</v>
      </c>
      <c r="I1334">
        <v>343.53989999999999</v>
      </c>
      <c r="J1334">
        <v>-196.96449999999999</v>
      </c>
      <c r="K1334">
        <v>1.1019000000000001</v>
      </c>
      <c r="L1334">
        <v>360.25299999999999</v>
      </c>
      <c r="M1334">
        <v>0.59053310000000003</v>
      </c>
      <c r="N1334">
        <v>-1.5394909999999999E-2</v>
      </c>
      <c r="O1334">
        <v>-0.8068668</v>
      </c>
      <c r="P1334">
        <v>0.26073610000000003</v>
      </c>
      <c r="Q1334">
        <v>-7.0814710000000003E-2</v>
      </c>
      <c r="R1334">
        <v>-0.9628099</v>
      </c>
      <c r="S1334">
        <v>0.27633669999999999</v>
      </c>
      <c r="T1334">
        <v>-0.197577</v>
      </c>
      <c r="U1334">
        <v>-3.0316770000000002</v>
      </c>
      <c r="V1334">
        <v>0.3571164</v>
      </c>
      <c r="W1334">
        <v>-6.3157710000000006E-2</v>
      </c>
      <c r="X1334">
        <v>0.93192220000000003</v>
      </c>
      <c r="Y1334">
        <v>0.51450569999999995</v>
      </c>
      <c r="Z1334">
        <v>2.6758690000000002E-2</v>
      </c>
      <c r="AA1334">
        <v>0.85706930000000003</v>
      </c>
      <c r="AB1334">
        <v>21</v>
      </c>
      <c r="AC1334">
        <v>1.4167999999999901</v>
      </c>
      <c r="AD1334">
        <v>-1.1019031709810001</v>
      </c>
      <c r="AE1334">
        <v>-16.713100000000001</v>
      </c>
      <c r="AF1334">
        <v>8.6899980607772793</v>
      </c>
      <c r="AG1334">
        <v>-1.1019031709810001</v>
      </c>
      <c r="AH1334">
        <v>14.262055148316501</v>
      </c>
      <c r="AI1334">
        <v>93.774813172644897</v>
      </c>
      <c r="AJ1334">
        <v>58.645673862223802</v>
      </c>
      <c r="AK1334">
        <v>16.737277973080101</v>
      </c>
      <c r="AL1334">
        <v>93.621080293903901</v>
      </c>
      <c r="AM1334">
        <v>69.032963152445703</v>
      </c>
      <c r="AN1334">
        <v>1.0000000031671199</v>
      </c>
    </row>
    <row r="1335" spans="1:40" x14ac:dyDescent="0.25">
      <c r="A1335" t="str">
        <f>"20190305135218077"</f>
        <v>20190305135218077</v>
      </c>
      <c r="B1335" t="str">
        <f>"1551765138070978"</f>
        <v>1551765138070978</v>
      </c>
      <c r="C1335" t="s">
        <v>40</v>
      </c>
      <c r="D1335">
        <v>4.9263279999999998</v>
      </c>
      <c r="E1335">
        <v>0.56904319999999997</v>
      </c>
      <c r="F1335" t="s">
        <v>42</v>
      </c>
      <c r="G1335">
        <v>-195.53980000000001</v>
      </c>
      <c r="H1335" s="1">
        <v>-2.914262E-6</v>
      </c>
      <c r="I1335">
        <v>342.94639999999998</v>
      </c>
      <c r="J1335">
        <v>-196.85669999999999</v>
      </c>
      <c r="K1335">
        <v>1.1020650000000001</v>
      </c>
      <c r="L1335">
        <v>360.08210000000003</v>
      </c>
      <c r="M1335">
        <v>0.58079250000000004</v>
      </c>
      <c r="N1335">
        <v>-1.5339469999999999E-2</v>
      </c>
      <c r="O1335">
        <v>-0.81390709999999999</v>
      </c>
      <c r="P1335">
        <v>0.253106</v>
      </c>
      <c r="Q1335">
        <v>-7.2840169999999996E-2</v>
      </c>
      <c r="R1335">
        <v>-0.96469249999999995</v>
      </c>
      <c r="S1335">
        <v>0.2497559</v>
      </c>
      <c r="T1335">
        <v>-0.1931747</v>
      </c>
      <c r="U1335">
        <v>-3.034027</v>
      </c>
      <c r="V1335">
        <v>0.35319679999999998</v>
      </c>
      <c r="W1335">
        <v>-6.4983330000000006E-2</v>
      </c>
      <c r="X1335">
        <v>0.93328949999999999</v>
      </c>
      <c r="Y1335">
        <v>0.51172700000000004</v>
      </c>
      <c r="Z1335">
        <v>2.651514E-2</v>
      </c>
      <c r="AA1335">
        <v>0.85873880000000002</v>
      </c>
      <c r="AB1335">
        <v>21</v>
      </c>
      <c r="AC1335">
        <v>1.31689999999997</v>
      </c>
      <c r="AD1335">
        <v>-1.102067914262</v>
      </c>
      <c r="AE1335">
        <v>-17.1357</v>
      </c>
      <c r="AF1335">
        <v>8.8451254099796301</v>
      </c>
      <c r="AG1335">
        <v>-1.102067914262</v>
      </c>
      <c r="AH1335">
        <v>14.6531904478024</v>
      </c>
      <c r="AI1335">
        <v>93.684117537896299</v>
      </c>
      <c r="AJ1335">
        <v>58.883501683626399</v>
      </c>
      <c r="AK1335">
        <v>17.151291132316601</v>
      </c>
      <c r="AL1335">
        <v>93.725895805128204</v>
      </c>
      <c r="AM1335">
        <v>69.271206564966505</v>
      </c>
      <c r="AN1335">
        <v>1.0000000517591801</v>
      </c>
    </row>
    <row r="1336" spans="1:40" x14ac:dyDescent="0.25">
      <c r="A1336" t="str">
        <f>"20190305135218100"</f>
        <v>20190305135218100</v>
      </c>
      <c r="B1336" t="str">
        <f>"1551765138090498"</f>
        <v>1551765138090498</v>
      </c>
      <c r="C1336" t="s">
        <v>40</v>
      </c>
      <c r="D1336">
        <v>4.9221339999999998</v>
      </c>
      <c r="E1336">
        <v>0.56858779999999998</v>
      </c>
      <c r="F1336" t="s">
        <v>42</v>
      </c>
      <c r="G1336">
        <v>-195.5548</v>
      </c>
      <c r="H1336" s="1">
        <v>-2.8274389999999998E-6</v>
      </c>
      <c r="I1336">
        <v>342.73469999999998</v>
      </c>
      <c r="J1336">
        <v>-196.739</v>
      </c>
      <c r="K1336">
        <v>1.1022650000000001</v>
      </c>
      <c r="L1336">
        <v>359.89060000000001</v>
      </c>
      <c r="M1336">
        <v>0.57013319999999901</v>
      </c>
      <c r="N1336">
        <v>-1.52707E-2</v>
      </c>
      <c r="O1336">
        <v>-0.82141049999999904</v>
      </c>
      <c r="P1336">
        <v>0.24378349999999999</v>
      </c>
      <c r="Q1336">
        <v>-7.6712619999999995E-2</v>
      </c>
      <c r="R1336">
        <v>-0.96679130000000002</v>
      </c>
      <c r="S1336">
        <v>0.22781370000000001</v>
      </c>
      <c r="T1336">
        <v>-0.19284080000000001</v>
      </c>
      <c r="U1336">
        <v>-3.0354610000000002</v>
      </c>
      <c r="V1336">
        <v>0.3498347</v>
      </c>
      <c r="W1336">
        <v>-6.8651619999999997E-2</v>
      </c>
      <c r="X1336">
        <v>0.93429260000000003</v>
      </c>
      <c r="Y1336">
        <v>0.50673429999999997</v>
      </c>
      <c r="Z1336">
        <v>2.7244259999999999E-2</v>
      </c>
      <c r="AA1336">
        <v>0.86167169999999904</v>
      </c>
      <c r="AB1336">
        <v>21</v>
      </c>
      <c r="AC1336">
        <v>1.1841999999999999</v>
      </c>
      <c r="AD1336">
        <v>-1.1022678274390001</v>
      </c>
      <c r="AE1336">
        <v>-17.155899999999999</v>
      </c>
      <c r="AF1336">
        <v>8.7734143383846295</v>
      </c>
      <c r="AG1336">
        <v>-1.1022678274390001</v>
      </c>
      <c r="AH1336">
        <v>14.7084785193854</v>
      </c>
      <c r="AI1336">
        <v>93.682528831451606</v>
      </c>
      <c r="AJ1336">
        <v>59.184478350719303</v>
      </c>
      <c r="AK1336">
        <v>17.1617928513195</v>
      </c>
      <c r="AL1336">
        <v>93.9365443584378</v>
      </c>
      <c r="AM1336">
        <v>69.472187780483495</v>
      </c>
      <c r="AN1336">
        <v>1.00000001233373</v>
      </c>
    </row>
    <row r="1337" spans="1:40" x14ac:dyDescent="0.25">
      <c r="A1337" t="str">
        <f>"20190305135218121"</f>
        <v>20190305135218121</v>
      </c>
      <c r="B1337" t="str">
        <f>"1551765138110993"</f>
        <v>1551765138110993</v>
      </c>
      <c r="C1337" t="s">
        <v>40</v>
      </c>
      <c r="D1337">
        <v>5.050535</v>
      </c>
      <c r="E1337">
        <v>0.56843120000000003</v>
      </c>
      <c r="F1337" t="s">
        <v>42</v>
      </c>
      <c r="G1337">
        <v>-195.62729999999999</v>
      </c>
      <c r="H1337" s="1">
        <v>-3.046155E-6</v>
      </c>
      <c r="I1337">
        <v>343.19959999999998</v>
      </c>
      <c r="J1337">
        <v>-196.63079999999999</v>
      </c>
      <c r="K1337">
        <v>1.102476</v>
      </c>
      <c r="L1337">
        <v>359.71019999999999</v>
      </c>
      <c r="M1337">
        <v>0.56035939999999995</v>
      </c>
      <c r="N1337">
        <v>-1.519941E-2</v>
      </c>
      <c r="O1337">
        <v>-0.82811009999999996</v>
      </c>
      <c r="P1337">
        <v>0.23479459999999999</v>
      </c>
      <c r="Q1337">
        <v>-8.0029400000000001E-2</v>
      </c>
      <c r="R1337">
        <v>-0.96874490000000002</v>
      </c>
      <c r="S1337">
        <v>0.20220949999999999</v>
      </c>
      <c r="T1337">
        <v>-0.20050699999999999</v>
      </c>
      <c r="U1337">
        <v>-3.0361630000000002</v>
      </c>
      <c r="V1337">
        <v>0.34727249999999998</v>
      </c>
      <c r="W1337">
        <v>-7.1777969999999996E-2</v>
      </c>
      <c r="X1337">
        <v>0.93501319999999999</v>
      </c>
      <c r="Y1337">
        <v>0.50375590000000003</v>
      </c>
      <c r="Z1337">
        <v>2.9638669999999999E-2</v>
      </c>
      <c r="AA1337">
        <v>0.86333749999999998</v>
      </c>
      <c r="AB1337">
        <v>21</v>
      </c>
      <c r="AC1337">
        <v>1.0035000000000001</v>
      </c>
      <c r="AD1337">
        <v>-1.102479046155</v>
      </c>
      <c r="AE1337">
        <v>-16.5106</v>
      </c>
      <c r="AF1337">
        <v>8.3845868830335792</v>
      </c>
      <c r="AG1337">
        <v>-1.102479046155</v>
      </c>
      <c r="AH1337">
        <v>14.1735955363482</v>
      </c>
      <c r="AI1337">
        <v>93.830071541624505</v>
      </c>
      <c r="AJ1337">
        <v>59.392974823290103</v>
      </c>
      <c r="AK1337">
        <v>16.504774087346402</v>
      </c>
      <c r="AL1337">
        <v>94.1161144413431</v>
      </c>
      <c r="AM1337">
        <v>69.624540383623199</v>
      </c>
      <c r="AN1337">
        <v>0.99999997520390504</v>
      </c>
    </row>
    <row r="1338" spans="1:40" x14ac:dyDescent="0.25">
      <c r="A1338" t="str">
        <f>"20190305135218144"</f>
        <v>20190305135218144</v>
      </c>
      <c r="B1338" t="str">
        <f>"1551765138141250"</f>
        <v>1551765138141250</v>
      </c>
      <c r="C1338" t="s">
        <v>40</v>
      </c>
      <c r="D1338">
        <v>4.9056509999999998</v>
      </c>
      <c r="E1338">
        <v>0.56440419999999902</v>
      </c>
      <c r="F1338" t="s">
        <v>42</v>
      </c>
      <c r="G1338">
        <v>-195.703</v>
      </c>
      <c r="H1338" s="1">
        <v>-3.2661430000000001E-6</v>
      </c>
      <c r="I1338">
        <v>343.66539999999998</v>
      </c>
      <c r="J1338">
        <v>-196.52019999999999</v>
      </c>
      <c r="K1338">
        <v>1.102727</v>
      </c>
      <c r="L1338">
        <v>359.52159999999998</v>
      </c>
      <c r="M1338">
        <v>0.55041249999999997</v>
      </c>
      <c r="N1338">
        <v>-1.512172E-2</v>
      </c>
      <c r="O1338">
        <v>-0.8347561</v>
      </c>
      <c r="P1338">
        <v>0.2252189</v>
      </c>
      <c r="Q1338">
        <v>-8.2827999999999999E-2</v>
      </c>
      <c r="R1338">
        <v>-0.97078160000000002</v>
      </c>
      <c r="S1338">
        <v>0.17559810000000001</v>
      </c>
      <c r="T1338">
        <v>-0.2086771</v>
      </c>
      <c r="U1338">
        <v>-3.0369570000000001</v>
      </c>
      <c r="V1338">
        <v>0.34518969999999999</v>
      </c>
      <c r="W1338">
        <v>-7.4378399999999997E-2</v>
      </c>
      <c r="X1338">
        <v>0.93558110000000005</v>
      </c>
      <c r="Y1338">
        <v>0.50096419999999997</v>
      </c>
      <c r="Z1338">
        <v>3.219466E-2</v>
      </c>
      <c r="AA1338">
        <v>0.864869</v>
      </c>
      <c r="AB1338">
        <v>21</v>
      </c>
      <c r="AC1338">
        <v>0.81719999999998505</v>
      </c>
      <c r="AD1338">
        <v>-1.1027302661430001</v>
      </c>
      <c r="AE1338">
        <v>-15.856199999999999</v>
      </c>
      <c r="AF1338">
        <v>8.0075797817841394</v>
      </c>
      <c r="AG1338">
        <v>-1.1027302661430001</v>
      </c>
      <c r="AH1338">
        <v>13.621711240586199</v>
      </c>
      <c r="AI1338">
        <v>93.992115675524403</v>
      </c>
      <c r="AJ1338">
        <v>59.550680929193398</v>
      </c>
      <c r="AK1338">
        <v>15.8394559604621</v>
      </c>
      <c r="AL1338">
        <v>94.265507341420303</v>
      </c>
      <c r="AM1338">
        <v>69.748080499966704</v>
      </c>
      <c r="AN1338">
        <v>1.0000000350249201</v>
      </c>
    </row>
    <row r="1339" spans="1:40" x14ac:dyDescent="0.25">
      <c r="A1339" t="str">
        <f>"20190305135218167"</f>
        <v>20190305135218167</v>
      </c>
      <c r="B1339" t="str">
        <f>"1551765138160772"</f>
        <v>1551765138160772</v>
      </c>
      <c r="C1339" t="s">
        <v>40</v>
      </c>
      <c r="D1339">
        <v>4.9551800000000004</v>
      </c>
      <c r="E1339">
        <v>0.56325979999999998</v>
      </c>
      <c r="F1339" t="s">
        <v>42</v>
      </c>
      <c r="G1339">
        <v>-194.11879999999999</v>
      </c>
      <c r="H1339" s="1">
        <v>-1.3268379999999999E-6</v>
      </c>
      <c r="I1339">
        <v>320.12740000000002</v>
      </c>
      <c r="J1339">
        <v>-196.41409999999999</v>
      </c>
      <c r="K1339">
        <v>1.1029850000000001</v>
      </c>
      <c r="L1339">
        <v>359.3365</v>
      </c>
      <c r="M1339">
        <v>0.54094399999999998</v>
      </c>
      <c r="N1339">
        <v>-1.5045040000000001E-2</v>
      </c>
      <c r="O1339">
        <v>-0.84092420000000001</v>
      </c>
      <c r="P1339">
        <v>0.2163359</v>
      </c>
      <c r="Q1339">
        <v>-8.5503549999999998E-2</v>
      </c>
      <c r="R1339">
        <v>-0.97256819999999999</v>
      </c>
      <c r="S1339">
        <v>0.18531800000000001</v>
      </c>
      <c r="T1339">
        <v>-8.5097309999999995E-2</v>
      </c>
      <c r="U1339">
        <v>-3.0400390000000002</v>
      </c>
      <c r="V1339">
        <v>0.34305079999999999</v>
      </c>
      <c r="W1339">
        <v>-7.685409E-2</v>
      </c>
      <c r="X1339">
        <v>0.93616750000000004</v>
      </c>
      <c r="Y1339">
        <v>0.48864839999999998</v>
      </c>
      <c r="Z1339">
        <v>4.7715659999999997E-3</v>
      </c>
      <c r="AA1339">
        <v>0.87246780000000002</v>
      </c>
      <c r="AB1339">
        <v>21</v>
      </c>
      <c r="AC1339">
        <v>2.2952999999999899</v>
      </c>
      <c r="AD1339">
        <v>-1.102986326838</v>
      </c>
      <c r="AE1339">
        <v>-39.2090999999999</v>
      </c>
      <c r="AF1339">
        <v>19.2667392250926</v>
      </c>
      <c r="AG1339">
        <v>-1.102986326838</v>
      </c>
      <c r="AH1339">
        <v>34.190413893010899</v>
      </c>
      <c r="AI1339">
        <v>91.609870977441503</v>
      </c>
      <c r="AJ1339">
        <v>60.598179759777103</v>
      </c>
      <c r="AK1339">
        <v>39.260772042591199</v>
      </c>
      <c r="AL1339">
        <v>94.407761411187707</v>
      </c>
      <c r="AM1339">
        <v>69.875060020308695</v>
      </c>
      <c r="AN1339">
        <v>0.99999999529330896</v>
      </c>
    </row>
    <row r="1340" spans="1:40" x14ac:dyDescent="0.25">
      <c r="A1340" t="str">
        <f>"20190305135218190"</f>
        <v>20190305135218190</v>
      </c>
      <c r="B1340" t="str">
        <f>"1551765138181266"</f>
        <v>1551765138181266</v>
      </c>
      <c r="C1340" t="s">
        <v>40</v>
      </c>
      <c r="D1340">
        <v>4.9341929999999996</v>
      </c>
      <c r="E1340">
        <v>0.5621775</v>
      </c>
      <c r="F1340" t="s">
        <v>42</v>
      </c>
      <c r="G1340">
        <v>-194.7894</v>
      </c>
      <c r="H1340" s="1">
        <v>-5.0849259999999997E-6</v>
      </c>
      <c r="I1340">
        <v>329.43259999999998</v>
      </c>
      <c r="J1340">
        <v>-196.3013</v>
      </c>
      <c r="K1340">
        <v>1.103251</v>
      </c>
      <c r="L1340">
        <v>359.13479999999998</v>
      </c>
      <c r="M1340">
        <v>0.530968</v>
      </c>
      <c r="N1340">
        <v>-1.496318E-2</v>
      </c>
      <c r="O1340">
        <v>-0.84725989999999995</v>
      </c>
      <c r="P1340">
        <v>0.2074249</v>
      </c>
      <c r="Q1340">
        <v>-8.6433479999999993E-2</v>
      </c>
      <c r="R1340">
        <v>-0.97442519999999999</v>
      </c>
      <c r="S1340">
        <v>0.16505429999999999</v>
      </c>
      <c r="T1340">
        <v>-0.1120572</v>
      </c>
      <c r="U1340">
        <v>-3.0380549999999999</v>
      </c>
      <c r="V1340">
        <v>0.34055020000000003</v>
      </c>
      <c r="W1340">
        <v>-7.7577220000000002E-2</v>
      </c>
      <c r="X1340">
        <v>0.93702039999999998</v>
      </c>
      <c r="Y1340">
        <v>0.48405730000000002</v>
      </c>
      <c r="Z1340">
        <v>1.14179E-2</v>
      </c>
      <c r="AA1340">
        <v>0.87496180000000001</v>
      </c>
      <c r="AB1340">
        <v>21</v>
      </c>
      <c r="AC1340">
        <v>1.51189999999999</v>
      </c>
      <c r="AD1340">
        <v>-1.103256084926</v>
      </c>
      <c r="AE1340">
        <v>-29.702200000000001</v>
      </c>
      <c r="AF1340">
        <v>14.4716515450387</v>
      </c>
      <c r="AG1340">
        <v>-1.103256084926</v>
      </c>
      <c r="AH1340">
        <v>25.9354679099003</v>
      </c>
      <c r="AI1340">
        <v>92.127384673513106</v>
      </c>
      <c r="AJ1340">
        <v>60.839054798882003</v>
      </c>
      <c r="AK1340">
        <v>29.720268641710099</v>
      </c>
      <c r="AL1340">
        <v>94.449317995193297</v>
      </c>
      <c r="AM1340">
        <v>70.026857641011105</v>
      </c>
      <c r="AN1340">
        <v>0.99999994689956195</v>
      </c>
    </row>
    <row r="1341" spans="1:40" x14ac:dyDescent="0.25">
      <c r="A1341" t="str">
        <f>"20190305135218211"</f>
        <v>20190305135218211</v>
      </c>
      <c r="B1341" t="str">
        <f>"1551765138201261"</f>
        <v>1551765138201261</v>
      </c>
      <c r="C1341" t="s">
        <v>40</v>
      </c>
      <c r="D1341">
        <v>4.9451330000000002</v>
      </c>
      <c r="E1341">
        <v>0.56130979999999997</v>
      </c>
      <c r="F1341" t="s">
        <v>42</v>
      </c>
      <c r="G1341">
        <v>-194.9521</v>
      </c>
      <c r="H1341" s="1">
        <v>-1.9013600000000001E-6</v>
      </c>
      <c r="I1341">
        <v>330.94979999999998</v>
      </c>
      <c r="J1341">
        <v>-196.2003</v>
      </c>
      <c r="K1341">
        <v>1.1034649999999999</v>
      </c>
      <c r="L1341">
        <v>358.9504</v>
      </c>
      <c r="M1341">
        <v>0.52207289999999995</v>
      </c>
      <c r="N1341">
        <v>-1.489298E-2</v>
      </c>
      <c r="O1341">
        <v>-0.8527709</v>
      </c>
      <c r="P1341">
        <v>0.2003635</v>
      </c>
      <c r="Q1341">
        <v>-8.6017159999999995E-2</v>
      </c>
      <c r="R1341">
        <v>-0.97593810000000003</v>
      </c>
      <c r="S1341">
        <v>0.14538570000000001</v>
      </c>
      <c r="T1341">
        <v>-0.11888600000000001</v>
      </c>
      <c r="U1341">
        <v>-3.037201</v>
      </c>
      <c r="V1341">
        <v>0.33759519999999998</v>
      </c>
      <c r="W1341">
        <v>-7.6995010000000003E-2</v>
      </c>
      <c r="X1341">
        <v>0.93813709999999995</v>
      </c>
      <c r="Y1341">
        <v>0.48052830000000002</v>
      </c>
      <c r="Z1341">
        <v>1.3413599999999999E-2</v>
      </c>
      <c r="AA1341">
        <v>0.87687669999999995</v>
      </c>
      <c r="AB1341">
        <v>21</v>
      </c>
      <c r="AC1341">
        <v>1.24819999999999</v>
      </c>
      <c r="AD1341">
        <v>-1.10346690135999</v>
      </c>
      <c r="AE1341">
        <v>-28.000599999999999</v>
      </c>
      <c r="AF1341">
        <v>13.5344504483497</v>
      </c>
      <c r="AG1341">
        <v>-1.10346690135999</v>
      </c>
      <c r="AH1341">
        <v>24.4945019641372</v>
      </c>
      <c r="AI1341">
        <v>92.258037872832205</v>
      </c>
      <c r="AJ1341">
        <v>61.0771309031689</v>
      </c>
      <c r="AK1341">
        <v>28.006778011980501</v>
      </c>
      <c r="AL1341">
        <v>94.415859575577201</v>
      </c>
      <c r="AM1341">
        <v>70.208377377866398</v>
      </c>
      <c r="AN1341">
        <v>0.99999998451217398</v>
      </c>
    </row>
    <row r="1342" spans="1:40" x14ac:dyDescent="0.25">
      <c r="A1342" t="str">
        <f>"20190305135218235"</f>
        <v>20190305135218235</v>
      </c>
      <c r="B1342" t="str">
        <f>"1551765138230541"</f>
        <v>1551765138230541</v>
      </c>
      <c r="C1342" t="s">
        <v>40</v>
      </c>
      <c r="D1342">
        <v>4.9726049999999997</v>
      </c>
      <c r="E1342">
        <v>0.56004540000000003</v>
      </c>
      <c r="F1342" t="s">
        <v>42</v>
      </c>
      <c r="G1342">
        <v>-194.98099999999999</v>
      </c>
      <c r="H1342" s="1">
        <v>-1.6864489999999999E-6</v>
      </c>
      <c r="I1342">
        <v>330.43090000000001</v>
      </c>
      <c r="J1342">
        <v>-196.09450000000001</v>
      </c>
      <c r="K1342">
        <v>1.1036319999999999</v>
      </c>
      <c r="L1342">
        <v>358.75299999999999</v>
      </c>
      <c r="M1342">
        <v>0.51276829999999995</v>
      </c>
      <c r="N1342">
        <v>-1.482443E-2</v>
      </c>
      <c r="O1342">
        <v>-0.85839909999999997</v>
      </c>
      <c r="P1342">
        <v>0.19260050000000001</v>
      </c>
      <c r="Q1342">
        <v>-8.5299479999999997E-2</v>
      </c>
      <c r="R1342">
        <v>-0.97756299999999996</v>
      </c>
      <c r="S1342">
        <v>0.12983699999999901</v>
      </c>
      <c r="T1342">
        <v>-0.1175047</v>
      </c>
      <c r="U1342">
        <v>-3.0369570000000001</v>
      </c>
      <c r="V1342">
        <v>0.33492440000000001</v>
      </c>
      <c r="W1342">
        <v>-7.61492E-2</v>
      </c>
      <c r="X1342">
        <v>0.93916290000000002</v>
      </c>
      <c r="Y1342">
        <v>0.47546749999999999</v>
      </c>
      <c r="Z1342">
        <v>1.350905E-2</v>
      </c>
      <c r="AA1342">
        <v>0.87962960000000001</v>
      </c>
      <c r="AB1342">
        <v>21</v>
      </c>
      <c r="AC1342">
        <v>1.1135000000000099</v>
      </c>
      <c r="AD1342">
        <v>-1.103633686449</v>
      </c>
      <c r="AE1342">
        <v>-28.322099999999999</v>
      </c>
      <c r="AF1342">
        <v>13.547798100288</v>
      </c>
      <c r="AG1342">
        <v>-1.103633686449</v>
      </c>
      <c r="AH1342">
        <v>24.847694286512201</v>
      </c>
      <c r="AI1342">
        <v>92.233184868439693</v>
      </c>
      <c r="AJ1342">
        <v>61.399297205770097</v>
      </c>
      <c r="AK1342">
        <v>28.322583781074801</v>
      </c>
      <c r="AL1342">
        <v>94.367255447524499</v>
      </c>
      <c r="AM1342">
        <v>70.372742137881602</v>
      </c>
      <c r="AN1342">
        <v>1.0000000035562</v>
      </c>
    </row>
    <row r="1343" spans="1:40" x14ac:dyDescent="0.25">
      <c r="A1343" t="str">
        <f>"20190305135218256"</f>
        <v>20190305135218256</v>
      </c>
      <c r="B1343" t="str">
        <f>"1551765138251037"</f>
        <v>1551765138251037</v>
      </c>
      <c r="C1343" t="s">
        <v>40</v>
      </c>
      <c r="D1343">
        <v>4.9539569999999999</v>
      </c>
      <c r="E1343">
        <v>0.55956859999999997</v>
      </c>
      <c r="F1343" t="s">
        <v>42</v>
      </c>
      <c r="G1343">
        <v>-195.0316</v>
      </c>
      <c r="H1343" s="1">
        <v>-1.8347749999999999E-6</v>
      </c>
      <c r="I1343">
        <v>330.74529999999999</v>
      </c>
      <c r="J1343">
        <v>-195.9983</v>
      </c>
      <c r="K1343">
        <v>1.1037619999999999</v>
      </c>
      <c r="L1343">
        <v>358.56920000000002</v>
      </c>
      <c r="M1343">
        <v>0.50430169999999996</v>
      </c>
      <c r="N1343">
        <v>-1.4766130000000001E-2</v>
      </c>
      <c r="O1343">
        <v>-0.86340110000000003</v>
      </c>
      <c r="P1343">
        <v>0.18543109999999999</v>
      </c>
      <c r="Q1343">
        <v>-8.5180950000000005E-2</v>
      </c>
      <c r="R1343">
        <v>-0.97895849999999995</v>
      </c>
      <c r="S1343">
        <v>0.1152039</v>
      </c>
      <c r="T1343">
        <v>-0.1196197</v>
      </c>
      <c r="U1343">
        <v>-3.0356749999999999</v>
      </c>
      <c r="V1343">
        <v>0.332601599999999</v>
      </c>
      <c r="W1343">
        <v>-7.5940850000000004E-2</v>
      </c>
      <c r="X1343">
        <v>0.94000490000000003</v>
      </c>
      <c r="Y1343">
        <v>0.47102870000000002</v>
      </c>
      <c r="Z1343">
        <v>1.440258E-2</v>
      </c>
      <c r="AA1343">
        <v>0.88200029999999996</v>
      </c>
      <c r="AB1343">
        <v>21</v>
      </c>
      <c r="AC1343">
        <v>0.966700000000003</v>
      </c>
      <c r="AD1343">
        <v>-1.1037638347750001</v>
      </c>
      <c r="AE1343">
        <v>-27.823899999999998</v>
      </c>
      <c r="AF1343">
        <v>13.1777186469653</v>
      </c>
      <c r="AG1343">
        <v>-1.1037638347750001</v>
      </c>
      <c r="AH1343">
        <v>24.474901324040498</v>
      </c>
      <c r="AI1343">
        <v>92.273907570261201</v>
      </c>
      <c r="AJ1343">
        <v>61.7011940570831</v>
      </c>
      <c r="AK1343">
        <v>27.818902892872199</v>
      </c>
      <c r="AL1343">
        <v>94.355283113384601</v>
      </c>
      <c r="AM1343">
        <v>70.514711069312199</v>
      </c>
      <c r="AN1343">
        <v>1.0000000245226399</v>
      </c>
    </row>
    <row r="1344" spans="1:40" x14ac:dyDescent="0.25">
      <c r="A1344" t="str">
        <f>"20190305135218280"</f>
        <v>20190305135218280</v>
      </c>
      <c r="B1344" t="str">
        <f>"1551765138270558"</f>
        <v>1551765138270558</v>
      </c>
      <c r="C1344" t="s">
        <v>40</v>
      </c>
      <c r="D1344">
        <v>4.9531589999999897</v>
      </c>
      <c r="E1344">
        <v>0.5512205</v>
      </c>
      <c r="F1344" t="s">
        <v>42</v>
      </c>
      <c r="G1344">
        <v>-195.09899999999999</v>
      </c>
      <c r="H1344" s="1">
        <v>-1.697321E-6</v>
      </c>
      <c r="I1344">
        <v>330.38310000000001</v>
      </c>
      <c r="J1344">
        <v>-195.8937</v>
      </c>
      <c r="K1344">
        <v>1.1038809999999999</v>
      </c>
      <c r="L1344">
        <v>358.36489999999998</v>
      </c>
      <c r="M1344">
        <v>0.4950601</v>
      </c>
      <c r="N1344">
        <v>-1.470555E-2</v>
      </c>
      <c r="O1344">
        <v>-0.86873429999999996</v>
      </c>
      <c r="P1344">
        <v>0.1790881</v>
      </c>
      <c r="Q1344">
        <v>-8.4760269999999999E-2</v>
      </c>
      <c r="R1344">
        <v>-0.98017480000000001</v>
      </c>
      <c r="S1344">
        <v>9.6862790000000004E-2</v>
      </c>
      <c r="T1344">
        <v>-0.11888</v>
      </c>
      <c r="U1344">
        <v>-3.0357669999999999</v>
      </c>
      <c r="V1344">
        <v>0.328704099999999</v>
      </c>
      <c r="W1344">
        <v>-7.541051E-2</v>
      </c>
      <c r="X1344">
        <v>0.94141750000000002</v>
      </c>
      <c r="Y1344">
        <v>0.46693960000000001</v>
      </c>
      <c r="Z1344">
        <v>1.4608640000000001E-2</v>
      </c>
      <c r="AA1344">
        <v>0.88416849999999902</v>
      </c>
      <c r="AB1344">
        <v>21</v>
      </c>
      <c r="AC1344">
        <v>0.79469999999997698</v>
      </c>
      <c r="AD1344">
        <v>-1.1038826973210001</v>
      </c>
      <c r="AE1344">
        <v>-27.9817999999999</v>
      </c>
      <c r="AF1344">
        <v>13.143274269847399</v>
      </c>
      <c r="AG1344">
        <v>-1.1038826973210001</v>
      </c>
      <c r="AH1344">
        <v>24.666486976595099</v>
      </c>
      <c r="AI1344">
        <v>92.261746836974794</v>
      </c>
      <c r="AJ1344">
        <v>61.949554033283697</v>
      </c>
      <c r="AK1344">
        <v>27.971410320332598</v>
      </c>
      <c r="AL1344">
        <v>94.324809506749105</v>
      </c>
      <c r="AM1344">
        <v>70.752908092609005</v>
      </c>
      <c r="AN1344">
        <v>1.0000000198407599</v>
      </c>
    </row>
    <row r="1345" spans="1:40" x14ac:dyDescent="0.25">
      <c r="A1345" t="str">
        <f>"20190305135218302"</f>
        <v>20190305135218302</v>
      </c>
      <c r="B1345" t="str">
        <f>"1551765138291052"</f>
        <v>1551765138291052</v>
      </c>
      <c r="C1345" t="s">
        <v>40</v>
      </c>
      <c r="D1345">
        <v>4.942742</v>
      </c>
      <c r="E1345">
        <v>0.5500486</v>
      </c>
      <c r="F1345" t="s">
        <v>42</v>
      </c>
      <c r="G1345">
        <v>-194.64879999999999</v>
      </c>
      <c r="H1345" s="1">
        <v>-2.2379019999999998E-6</v>
      </c>
      <c r="I1345">
        <v>331.92239999999998</v>
      </c>
      <c r="J1345">
        <v>-195.80080000000001</v>
      </c>
      <c r="K1345">
        <v>1.1039779999999999</v>
      </c>
      <c r="L1345">
        <v>358.17939999999999</v>
      </c>
      <c r="M1345">
        <v>0.48679460000000002</v>
      </c>
      <c r="N1345">
        <v>-1.4654439999999999E-2</v>
      </c>
      <c r="O1345">
        <v>-0.87339359999999999</v>
      </c>
      <c r="P1345">
        <v>0.17416419999999999</v>
      </c>
      <c r="Q1345">
        <v>-8.4214819999999996E-2</v>
      </c>
      <c r="R1345">
        <v>-0.9811088</v>
      </c>
      <c r="S1345">
        <v>0.14234920000000001</v>
      </c>
      <c r="T1345">
        <v>-0.1262306</v>
      </c>
      <c r="U1345">
        <v>-3.0237430000000001</v>
      </c>
      <c r="V1345">
        <v>0.32454690000000003</v>
      </c>
      <c r="W1345">
        <v>-7.4760209999999994E-2</v>
      </c>
      <c r="X1345">
        <v>0.94291049999999998</v>
      </c>
      <c r="Y1345">
        <v>0.4450231</v>
      </c>
      <c r="Z1345">
        <v>1.7165010000000001E-2</v>
      </c>
      <c r="AA1345">
        <v>0.8953546</v>
      </c>
      <c r="AB1345">
        <v>21</v>
      </c>
      <c r="AC1345">
        <v>1.1520000000000099</v>
      </c>
      <c r="AD1345">
        <v>-1.1039802379020001</v>
      </c>
      <c r="AE1345">
        <v>-26.257000000000001</v>
      </c>
      <c r="AF1345">
        <v>11.756137792216199</v>
      </c>
      <c r="AG1345">
        <v>-1.1039802379020001</v>
      </c>
      <c r="AH1345">
        <v>23.454621475181</v>
      </c>
      <c r="AI1345">
        <v>92.409520922022097</v>
      </c>
      <c r="AJ1345">
        <v>63.378640723896602</v>
      </c>
      <c r="AK1345">
        <v>26.2591853776783</v>
      </c>
      <c r="AL1345">
        <v>94.287444690376802</v>
      </c>
      <c r="AM1345">
        <v>71.006694190264994</v>
      </c>
      <c r="AN1345">
        <v>0.99999999515455196</v>
      </c>
    </row>
    <row r="1346" spans="1:40" x14ac:dyDescent="0.25">
      <c r="A1346" t="str">
        <f>"20190305135218323"</f>
        <v>20190305135218323</v>
      </c>
      <c r="B1346" t="str">
        <f>"1551765138320840"</f>
        <v>1551765138320840</v>
      </c>
      <c r="C1346" t="s">
        <v>40</v>
      </c>
      <c r="D1346">
        <v>4.9810400000000001</v>
      </c>
      <c r="E1346">
        <v>0.54921719999999996</v>
      </c>
      <c r="F1346" t="s">
        <v>42</v>
      </c>
      <c r="G1346">
        <v>-194.6327</v>
      </c>
      <c r="H1346" s="1">
        <v>-2.3701859999999998E-6</v>
      </c>
      <c r="I1346">
        <v>332.24079999999998</v>
      </c>
      <c r="J1346">
        <v>-195.70949999999999</v>
      </c>
      <c r="K1346">
        <v>1.1040730000000001</v>
      </c>
      <c r="L1346">
        <v>357.99290000000002</v>
      </c>
      <c r="M1346">
        <v>0.47857300000000003</v>
      </c>
      <c r="N1346">
        <v>-1.460787E-2</v>
      </c>
      <c r="O1346">
        <v>-0.87792630000000005</v>
      </c>
      <c r="P1346">
        <v>0.16919909999999999</v>
      </c>
      <c r="Q1346">
        <v>-8.3622630000000003E-2</v>
      </c>
      <c r="R1346">
        <v>-0.98202840000000002</v>
      </c>
      <c r="S1346">
        <v>0.13612369999999999</v>
      </c>
      <c r="T1346">
        <v>-0.12864349999999999</v>
      </c>
      <c r="U1346">
        <v>-3.0225520000000001</v>
      </c>
      <c r="V1346">
        <v>0.3205133</v>
      </c>
      <c r="W1346">
        <v>-7.4067690000000005E-2</v>
      </c>
      <c r="X1346">
        <v>0.94434379999999996</v>
      </c>
      <c r="Y1346">
        <v>0.43842959999999898</v>
      </c>
      <c r="Z1346">
        <v>1.8173140000000001E-2</v>
      </c>
      <c r="AA1346">
        <v>0.89858179999999999</v>
      </c>
      <c r="AB1346">
        <v>21</v>
      </c>
      <c r="AC1346">
        <v>1.07679999999999</v>
      </c>
      <c r="AD1346">
        <v>-1.10407537018599</v>
      </c>
      <c r="AE1346">
        <v>-25.752099999999999</v>
      </c>
      <c r="AF1346">
        <v>11.3592792490576</v>
      </c>
      <c r="AG1346">
        <v>-1.10407537018599</v>
      </c>
      <c r="AH1346">
        <v>23.083883046748301</v>
      </c>
      <c r="AI1346">
        <v>92.457305414940905</v>
      </c>
      <c r="AJ1346">
        <v>63.798799830582603</v>
      </c>
      <c r="AK1346">
        <v>25.751075006629801</v>
      </c>
      <c r="AL1346">
        <v>94.2476558557224</v>
      </c>
      <c r="AM1346">
        <v>71.252623644724807</v>
      </c>
      <c r="AN1346">
        <v>1.00000000538863</v>
      </c>
    </row>
    <row r="1347" spans="1:40" x14ac:dyDescent="0.25">
      <c r="A1347" t="str">
        <f>"20190305135218347"</f>
        <v>20190305135218347</v>
      </c>
      <c r="B1347" t="str">
        <f>"1551765138340360"</f>
        <v>1551765138340360</v>
      </c>
      <c r="C1347" t="s">
        <v>40</v>
      </c>
      <c r="D1347">
        <v>5.041404</v>
      </c>
      <c r="E1347">
        <v>0.54888110000000001</v>
      </c>
      <c r="F1347" t="s">
        <v>42</v>
      </c>
      <c r="G1347">
        <v>-194.62139999999999</v>
      </c>
      <c r="H1347" s="1">
        <v>-2.3105000000000002E-6</v>
      </c>
      <c r="I1347">
        <v>332.10860000000002</v>
      </c>
      <c r="J1347">
        <v>-195.61410000000001</v>
      </c>
      <c r="K1347">
        <v>1.104158</v>
      </c>
      <c r="L1347">
        <v>357.79349999999999</v>
      </c>
      <c r="M1347">
        <v>0.46987760000000001</v>
      </c>
      <c r="N1347">
        <v>-1.456378E-2</v>
      </c>
      <c r="O1347">
        <v>-0.88261179999999995</v>
      </c>
      <c r="P1347">
        <v>0.16345199999999999</v>
      </c>
      <c r="Q1347">
        <v>-8.2513509999999998E-2</v>
      </c>
      <c r="R1347">
        <v>-0.9830951</v>
      </c>
      <c r="S1347">
        <v>0.12702939999999999</v>
      </c>
      <c r="T1347">
        <v>-0.12890399999999999</v>
      </c>
      <c r="U1347">
        <v>-3.0220639999999999</v>
      </c>
      <c r="V1347">
        <v>0.31678440000000002</v>
      </c>
      <c r="W1347">
        <v>-7.2864440000000003E-2</v>
      </c>
      <c r="X1347">
        <v>0.9456947</v>
      </c>
      <c r="Y1347">
        <v>0.43223889999999998</v>
      </c>
      <c r="Z1347">
        <v>1.8635349999999998E-2</v>
      </c>
      <c r="AA1347">
        <v>0.9015666</v>
      </c>
      <c r="AB1347">
        <v>21</v>
      </c>
      <c r="AC1347">
        <v>0.99270000000001302</v>
      </c>
      <c r="AD1347">
        <v>-1.1041603105</v>
      </c>
      <c r="AE1347">
        <v>-25.684899999999899</v>
      </c>
      <c r="AF1347">
        <v>11.1731564607365</v>
      </c>
      <c r="AG1347">
        <v>-1.1041603105</v>
      </c>
      <c r="AH1347">
        <v>23.096071279613799</v>
      </c>
      <c r="AI1347">
        <v>92.464254239819297</v>
      </c>
      <c r="AJ1347">
        <v>64.183755932836206</v>
      </c>
      <c r="AK1347">
        <v>25.6804809892725</v>
      </c>
      <c r="AL1347">
        <v>94.178527823335202</v>
      </c>
      <c r="AM1347">
        <v>71.480421080816797</v>
      </c>
      <c r="AN1347">
        <v>1.0000000241539799</v>
      </c>
    </row>
    <row r="1348" spans="1:40" x14ac:dyDescent="0.25">
      <c r="A1348" t="str">
        <f>"20190305135218369"</f>
        <v>20190305135218369</v>
      </c>
      <c r="B1348" t="str">
        <f>"1551765138360856"</f>
        <v>1551765138360856</v>
      </c>
      <c r="C1348" t="s">
        <v>40</v>
      </c>
      <c r="D1348">
        <v>5.0095809999999998</v>
      </c>
      <c r="E1348">
        <v>0.54823999999999995</v>
      </c>
      <c r="F1348" t="s">
        <v>42</v>
      </c>
      <c r="G1348">
        <v>-194.63489999999999</v>
      </c>
      <c r="H1348" s="1">
        <v>-2.0109340000000002E-6</v>
      </c>
      <c r="I1348">
        <v>331.40199999999999</v>
      </c>
      <c r="J1348">
        <v>-195.52199999999999</v>
      </c>
      <c r="K1348">
        <v>1.104247</v>
      </c>
      <c r="L1348">
        <v>357.59629999999999</v>
      </c>
      <c r="M1348">
        <v>0.46136260000000001</v>
      </c>
      <c r="N1348">
        <v>-1.452494E-2</v>
      </c>
      <c r="O1348">
        <v>-0.88709280000000001</v>
      </c>
      <c r="P1348">
        <v>0.1574431</v>
      </c>
      <c r="Q1348">
        <v>-8.1026399999999901E-2</v>
      </c>
      <c r="R1348">
        <v>-0.98419840000000003</v>
      </c>
      <c r="S1348">
        <v>0.11213679999999999</v>
      </c>
      <c r="T1348">
        <v>-0.1264488</v>
      </c>
      <c r="U1348">
        <v>-3.0223689999999999</v>
      </c>
      <c r="V1348">
        <v>0.31355240000000001</v>
      </c>
      <c r="W1348">
        <v>-7.1297520000000003E-2</v>
      </c>
      <c r="X1348">
        <v>0.94689049999999997</v>
      </c>
      <c r="Y1348">
        <v>0.42800319999999997</v>
      </c>
      <c r="Z1348">
        <v>1.8343269999999998E-2</v>
      </c>
      <c r="AA1348">
        <v>0.90359109999999998</v>
      </c>
      <c r="AB1348">
        <v>21</v>
      </c>
      <c r="AC1348">
        <v>0.88710000000003197</v>
      </c>
      <c r="AD1348">
        <v>-1.104249010934</v>
      </c>
      <c r="AE1348">
        <v>-26.194299999999998</v>
      </c>
      <c r="AF1348">
        <v>11.2793001175794</v>
      </c>
      <c r="AG1348">
        <v>-1.104249010934</v>
      </c>
      <c r="AH1348">
        <v>23.606639620088501</v>
      </c>
      <c r="AI1348">
        <v>92.416832172131393</v>
      </c>
      <c r="AJ1348">
        <v>64.461434738506895</v>
      </c>
      <c r="AK1348">
        <v>26.186168317898499</v>
      </c>
      <c r="AL1348">
        <v>94.088515742557306</v>
      </c>
      <c r="AM1348">
        <v>71.678277545544802</v>
      </c>
      <c r="AN1348">
        <v>1.0000000314470701</v>
      </c>
    </row>
    <row r="1349" spans="1:40" x14ac:dyDescent="0.25">
      <c r="A1349" t="str">
        <f>"20190305135218391"</f>
        <v>20190305135218391</v>
      </c>
      <c r="B1349" t="str">
        <f>"1551765138380377"</f>
        <v>1551765138380377</v>
      </c>
      <c r="C1349" t="s">
        <v>40</v>
      </c>
      <c r="D1349">
        <v>4.9767809999999999</v>
      </c>
      <c r="E1349">
        <v>0.54751729999999998</v>
      </c>
      <c r="F1349" t="s">
        <v>42</v>
      </c>
      <c r="G1349">
        <v>-194.65289999999999</v>
      </c>
      <c r="H1349" s="1">
        <v>-1.8175299999999999E-6</v>
      </c>
      <c r="I1349">
        <v>330.93990000000002</v>
      </c>
      <c r="J1349">
        <v>-195.43719999999999</v>
      </c>
      <c r="K1349">
        <v>1.1043160000000001</v>
      </c>
      <c r="L1349">
        <v>357.41050000000001</v>
      </c>
      <c r="M1349">
        <v>0.4534029</v>
      </c>
      <c r="N1349">
        <v>-1.4491779999999999E-2</v>
      </c>
      <c r="O1349">
        <v>-0.89118770000000003</v>
      </c>
      <c r="P1349">
        <v>0.15201729999999899</v>
      </c>
      <c r="Q1349">
        <v>-8.0473069999999994E-2</v>
      </c>
      <c r="R1349">
        <v>-0.98509659999999999</v>
      </c>
      <c r="S1349">
        <v>9.8526000000000002E-2</v>
      </c>
      <c r="T1349">
        <v>-0.1251929</v>
      </c>
      <c r="U1349">
        <v>-3.022125</v>
      </c>
      <c r="V1349">
        <v>0.31033230000000001</v>
      </c>
      <c r="W1349">
        <v>-7.0676799999999998E-2</v>
      </c>
      <c r="X1349">
        <v>0.94799719999999998</v>
      </c>
      <c r="Y1349">
        <v>0.4239753</v>
      </c>
      <c r="Z1349">
        <v>1.8328299999999999E-2</v>
      </c>
      <c r="AA1349">
        <v>0.90548830000000002</v>
      </c>
      <c r="AB1349">
        <v>21</v>
      </c>
      <c r="AC1349">
        <v>0.784300000000001</v>
      </c>
      <c r="AD1349">
        <v>-1.1043178175299999</v>
      </c>
      <c r="AE1349">
        <v>-26.470599999999902</v>
      </c>
      <c r="AF1349">
        <v>11.284454183652899</v>
      </c>
      <c r="AG1349">
        <v>-1.1043178175299999</v>
      </c>
      <c r="AH1349">
        <v>23.9068232133551</v>
      </c>
      <c r="AI1349">
        <v>92.392018352708305</v>
      </c>
      <c r="AJ1349">
        <v>64.731839606685995</v>
      </c>
      <c r="AK1349">
        <v>26.459301204296601</v>
      </c>
      <c r="AL1349">
        <v>94.052861209663106</v>
      </c>
      <c r="AM1349">
        <v>71.873845086797502</v>
      </c>
      <c r="AN1349">
        <v>1.00000001884468</v>
      </c>
    </row>
    <row r="1350" spans="1:40" x14ac:dyDescent="0.25">
      <c r="A1350" t="str">
        <f>"20190305135218416"</f>
        <v>20190305135218416</v>
      </c>
      <c r="B1350" t="str">
        <f>"1551765138411139"</f>
        <v>1551765138411139</v>
      </c>
      <c r="C1350" t="s">
        <v>40</v>
      </c>
      <c r="D1350">
        <v>4.942564</v>
      </c>
      <c r="E1350">
        <v>0.54643319999999995</v>
      </c>
      <c r="F1350" t="s">
        <v>42</v>
      </c>
      <c r="G1350">
        <v>-194.66460000000001</v>
      </c>
      <c r="H1350" s="1">
        <v>-1.755962E-6</v>
      </c>
      <c r="I1350">
        <v>330.78919999999999</v>
      </c>
      <c r="J1350">
        <v>-195.3381</v>
      </c>
      <c r="K1350">
        <v>1.1043670000000001</v>
      </c>
      <c r="L1350">
        <v>357.18790000000001</v>
      </c>
      <c r="M1350">
        <v>0.44395089999999998</v>
      </c>
      <c r="N1350">
        <v>-1.445594E-2</v>
      </c>
      <c r="O1350">
        <v>-0.89593449999999997</v>
      </c>
      <c r="P1350">
        <v>0.14507039999999999</v>
      </c>
      <c r="Q1350">
        <v>-8.052935E-2</v>
      </c>
      <c r="R1350">
        <v>-0.98613890000000004</v>
      </c>
      <c r="S1350">
        <v>8.7692259999999994E-2</v>
      </c>
      <c r="T1350">
        <v>-0.1253437</v>
      </c>
      <c r="U1350">
        <v>-3.0216059999999998</v>
      </c>
      <c r="V1350">
        <v>0.30699460000000001</v>
      </c>
      <c r="W1350">
        <v>-7.0667980000000005E-2</v>
      </c>
      <c r="X1350">
        <v>0.94908400000000004</v>
      </c>
      <c r="Y1350">
        <v>0.41762840000000001</v>
      </c>
      <c r="Z1350">
        <v>1.8748999999999998E-2</v>
      </c>
      <c r="AA1350">
        <v>0.90842440000000002</v>
      </c>
      <c r="AB1350">
        <v>21</v>
      </c>
      <c r="AC1350">
        <v>0.67349999999999</v>
      </c>
      <c r="AD1350">
        <v>-1.1043687559619999</v>
      </c>
      <c r="AE1350">
        <v>-26.398700000000002</v>
      </c>
      <c r="AF1350">
        <v>11.098066304546199</v>
      </c>
      <c r="AG1350">
        <v>-1.1043687559619999</v>
      </c>
      <c r="AH1350">
        <v>23.9111900982668</v>
      </c>
      <c r="AI1350">
        <v>92.398931952701702</v>
      </c>
      <c r="AJ1350">
        <v>65.102244693502598</v>
      </c>
      <c r="AK1350">
        <v>26.384308176730801</v>
      </c>
      <c r="AL1350">
        <v>94.052354494305703</v>
      </c>
      <c r="AM1350">
        <v>72.075467918905503</v>
      </c>
      <c r="AN1350">
        <v>1.00000004344121</v>
      </c>
    </row>
    <row r="1351" spans="1:40" x14ac:dyDescent="0.25">
      <c r="A1351" t="str">
        <f>"20190305135218436"</f>
        <v>20190305135218436</v>
      </c>
      <c r="B1351" t="str">
        <f>"1551765138430660"</f>
        <v>1551765138430660</v>
      </c>
      <c r="C1351" t="s">
        <v>40</v>
      </c>
      <c r="D1351">
        <v>4.9333429999999998</v>
      </c>
      <c r="E1351">
        <v>0.54015239999999998</v>
      </c>
      <c r="F1351" t="s">
        <v>42</v>
      </c>
      <c r="G1351">
        <v>-194.6979</v>
      </c>
      <c r="H1351" s="1">
        <v>-1.9973119999999998E-6</v>
      </c>
      <c r="I1351">
        <v>331.33109999999999</v>
      </c>
      <c r="J1351">
        <v>-195.26300000000001</v>
      </c>
      <c r="K1351">
        <v>1.1044130000000001</v>
      </c>
      <c r="L1351">
        <v>357.01519999999999</v>
      </c>
      <c r="M1351">
        <v>0.43668780000000001</v>
      </c>
      <c r="N1351">
        <v>-1.4429869999999999E-2</v>
      </c>
      <c r="O1351">
        <v>-0.89949729999999894</v>
      </c>
      <c r="P1351">
        <v>0.14065859999999999</v>
      </c>
      <c r="Q1351">
        <v>-8.0745800000000006E-2</v>
      </c>
      <c r="R1351">
        <v>-0.98675999999999997</v>
      </c>
      <c r="S1351">
        <v>7.4783329999999995E-2</v>
      </c>
      <c r="T1351">
        <v>-0.1290143</v>
      </c>
      <c r="U1351">
        <v>-3.0206300000000001</v>
      </c>
      <c r="V1351">
        <v>0.30355969999999999</v>
      </c>
      <c r="W1351">
        <v>-7.0817340000000006E-2</v>
      </c>
      <c r="X1351">
        <v>0.9501771</v>
      </c>
      <c r="Y1351">
        <v>0.4141437</v>
      </c>
      <c r="Z1351">
        <v>1.9999360000000001E-2</v>
      </c>
      <c r="AA1351">
        <v>0.90999180000000002</v>
      </c>
      <c r="AB1351">
        <v>21</v>
      </c>
      <c r="AC1351">
        <v>0.56510000000000005</v>
      </c>
      <c r="AD1351">
        <v>-1.1044149973120001</v>
      </c>
      <c r="AE1351">
        <v>-25.684100000000001</v>
      </c>
      <c r="AF1351">
        <v>10.6889886317367</v>
      </c>
      <c r="AG1351">
        <v>-1.1044149973120001</v>
      </c>
      <c r="AH1351">
        <v>23.308906748688202</v>
      </c>
      <c r="AI1351">
        <v>92.466147501879306</v>
      </c>
      <c r="AJ1351">
        <v>65.364776798748096</v>
      </c>
      <c r="AK1351">
        <v>25.666697182822901</v>
      </c>
      <c r="AL1351">
        <v>94.060933641966201</v>
      </c>
      <c r="AM1351">
        <v>72.282516339657207</v>
      </c>
      <c r="AN1351">
        <v>1.0000000542365799</v>
      </c>
    </row>
    <row r="1352" spans="1:40" x14ac:dyDescent="0.25">
      <c r="A1352" t="str">
        <f>"20190305135218458"</f>
        <v>20190305135218458</v>
      </c>
      <c r="B1352" t="str">
        <f>"1551765138451156"</f>
        <v>1551765138451156</v>
      </c>
      <c r="C1352" t="s">
        <v>40</v>
      </c>
      <c r="D1352">
        <v>4.9251740000000002</v>
      </c>
      <c r="E1352">
        <v>0.54018069999999996</v>
      </c>
      <c r="F1352" t="s">
        <v>42</v>
      </c>
      <c r="G1352">
        <v>-194.5087</v>
      </c>
      <c r="H1352" s="1">
        <v>-3.9462639999999997E-6</v>
      </c>
      <c r="I1352">
        <v>336.23289999999997</v>
      </c>
      <c r="J1352">
        <v>-195.1782</v>
      </c>
      <c r="K1352">
        <v>1.1044769999999999</v>
      </c>
      <c r="L1352">
        <v>356.81580000000002</v>
      </c>
      <c r="M1352">
        <v>0.42838710000000002</v>
      </c>
      <c r="N1352">
        <v>-1.4400349999999999E-2</v>
      </c>
      <c r="O1352">
        <v>-0.90348050000000002</v>
      </c>
      <c r="P1352">
        <v>0.13495570000000001</v>
      </c>
      <c r="Q1352">
        <v>-8.0769850000000004E-2</v>
      </c>
      <c r="R1352">
        <v>-0.9875543</v>
      </c>
      <c r="S1352">
        <v>0.1092987</v>
      </c>
      <c r="T1352">
        <v>-0.16003979999999901</v>
      </c>
      <c r="U1352">
        <v>-3.011536</v>
      </c>
      <c r="V1352">
        <v>0.3003113</v>
      </c>
      <c r="W1352">
        <v>-7.0768239999999996E-2</v>
      </c>
      <c r="X1352">
        <v>0.95121230000000001</v>
      </c>
      <c r="Y1352">
        <v>0.39516839999999998</v>
      </c>
      <c r="Z1352">
        <v>2.8974239999999998E-2</v>
      </c>
      <c r="AA1352">
        <v>0.91815170000000002</v>
      </c>
      <c r="AB1352">
        <v>21</v>
      </c>
      <c r="AC1352">
        <v>0.66949999999999898</v>
      </c>
      <c r="AD1352">
        <v>-1.104480946264</v>
      </c>
      <c r="AE1352">
        <v>-20.582899999999999</v>
      </c>
      <c r="AF1352">
        <v>8.1898637027030396</v>
      </c>
      <c r="AG1352">
        <v>-1.104480946264</v>
      </c>
      <c r="AH1352">
        <v>18.830848761822601</v>
      </c>
      <c r="AI1352">
        <v>93.078745571124799</v>
      </c>
      <c r="AJ1352">
        <v>66.494939695144495</v>
      </c>
      <c r="AK1352">
        <v>20.5644015405299</v>
      </c>
      <c r="AL1352">
        <v>94.058113847592693</v>
      </c>
      <c r="AM1352">
        <v>72.478349668025103</v>
      </c>
      <c r="AN1352">
        <v>0.99999993018583599</v>
      </c>
    </row>
    <row r="1353" spans="1:40" x14ac:dyDescent="0.25">
      <c r="A1353" t="str">
        <f>"20190305135218482"</f>
        <v>20190305135218482</v>
      </c>
      <c r="B1353" t="str">
        <f>"1551765138470676"</f>
        <v>1551765138470676</v>
      </c>
      <c r="C1353" t="s">
        <v>40</v>
      </c>
      <c r="D1353">
        <v>4.9174889999999998</v>
      </c>
      <c r="E1353">
        <v>0.53980069999999902</v>
      </c>
      <c r="F1353" t="s">
        <v>42</v>
      </c>
      <c r="G1353">
        <v>-194.52680000000001</v>
      </c>
      <c r="H1353" s="1">
        <v>-3.6862150000000002E-6</v>
      </c>
      <c r="I1353">
        <v>335.45940000000002</v>
      </c>
      <c r="J1353">
        <v>-195.0932</v>
      </c>
      <c r="K1353">
        <v>1.104555</v>
      </c>
      <c r="L1353">
        <v>356.61090000000002</v>
      </c>
      <c r="M1353">
        <v>0.41996240000000001</v>
      </c>
      <c r="N1353">
        <v>-1.436988E-2</v>
      </c>
      <c r="O1353">
        <v>-0.90742780000000001</v>
      </c>
      <c r="P1353">
        <v>0.12919610000000001</v>
      </c>
      <c r="Q1353">
        <v>-8.1472500000000003E-2</v>
      </c>
      <c r="R1353">
        <v>-0.9882668</v>
      </c>
      <c r="S1353">
        <v>9.1888429999999993E-2</v>
      </c>
      <c r="T1353">
        <v>-0.1557935</v>
      </c>
      <c r="U1353">
        <v>-3.012451</v>
      </c>
      <c r="V1353">
        <v>0.29698940000000001</v>
      </c>
      <c r="W1353">
        <v>-7.1385909999999997E-2</v>
      </c>
      <c r="X1353">
        <v>0.95220859999999996</v>
      </c>
      <c r="Y1353">
        <v>0.3919377</v>
      </c>
      <c r="Z1353">
        <v>2.8166770000000001E-2</v>
      </c>
      <c r="AA1353">
        <v>0.9195605</v>
      </c>
      <c r="AB1353">
        <v>21</v>
      </c>
      <c r="AC1353">
        <v>0.56639999999998702</v>
      </c>
      <c r="AD1353">
        <v>-1.1045586862150001</v>
      </c>
      <c r="AE1353">
        <v>-21.151499999999999</v>
      </c>
      <c r="AF1353">
        <v>8.3469848279355894</v>
      </c>
      <c r="AG1353">
        <v>-1.1045586862150001</v>
      </c>
      <c r="AH1353">
        <v>19.380517121568701</v>
      </c>
      <c r="AI1353">
        <v>92.9964035890346</v>
      </c>
      <c r="AJ1353">
        <v>66.698963796265502</v>
      </c>
      <c r="AK1353">
        <v>21.130467328208699</v>
      </c>
      <c r="AL1353">
        <v>94.093593449630305</v>
      </c>
      <c r="AM1353">
        <v>72.677544386488904</v>
      </c>
      <c r="AN1353">
        <v>0.99999993488642103</v>
      </c>
    </row>
    <row r="1354" spans="1:40" x14ac:dyDescent="0.25">
      <c r="A1354" t="str">
        <f>"20190305135218503"</f>
        <v>20190305135218503</v>
      </c>
      <c r="B1354" t="str">
        <f>"1551765138500463"</f>
        <v>1551765138500463</v>
      </c>
      <c r="C1354" t="s">
        <v>40</v>
      </c>
      <c r="D1354">
        <v>4.9164519999999996</v>
      </c>
      <c r="E1354">
        <v>0.54615319999999901</v>
      </c>
      <c r="F1354" t="s">
        <v>42</v>
      </c>
      <c r="G1354">
        <v>-194.56139999999999</v>
      </c>
      <c r="H1354" s="1">
        <v>-3.8474870000000003E-6</v>
      </c>
      <c r="I1354">
        <v>335.91520000000003</v>
      </c>
      <c r="J1354">
        <v>-195.0181</v>
      </c>
      <c r="K1354">
        <v>1.104635</v>
      </c>
      <c r="L1354">
        <v>356.42559999999997</v>
      </c>
      <c r="M1354">
        <v>0.4124486</v>
      </c>
      <c r="N1354">
        <v>-1.434243E-2</v>
      </c>
      <c r="O1354">
        <v>-0.91086820000000002</v>
      </c>
      <c r="P1354">
        <v>0.12423869999999999</v>
      </c>
      <c r="Q1354">
        <v>-8.3033930000000006E-2</v>
      </c>
      <c r="R1354">
        <v>-0.98877250000000005</v>
      </c>
      <c r="S1354">
        <v>7.7392580000000002E-2</v>
      </c>
      <c r="T1354">
        <v>-0.1607672</v>
      </c>
      <c r="U1354">
        <v>-3.012238</v>
      </c>
      <c r="V1354">
        <v>0.29383969999999998</v>
      </c>
      <c r="W1354">
        <v>-7.2861079999999995E-2</v>
      </c>
      <c r="X1354">
        <v>0.95307370000000002</v>
      </c>
      <c r="Y1354">
        <v>0.38875009999999999</v>
      </c>
      <c r="Z1354">
        <v>2.9842839999999999E-2</v>
      </c>
      <c r="AA1354">
        <v>0.92085980000000001</v>
      </c>
      <c r="AB1354">
        <v>21</v>
      </c>
      <c r="AC1354">
        <v>0.45670000000001199</v>
      </c>
      <c r="AD1354">
        <v>-1.1046388474869999</v>
      </c>
      <c r="AE1354">
        <v>-20.510399999999901</v>
      </c>
      <c r="AF1354">
        <v>8.0210633391781698</v>
      </c>
      <c r="AG1354">
        <v>-1.1046388474869999</v>
      </c>
      <c r="AH1354">
        <v>18.818016477152799</v>
      </c>
      <c r="AI1354">
        <v>93.090984688186595</v>
      </c>
      <c r="AJ1354">
        <v>66.914172107186204</v>
      </c>
      <c r="AK1354">
        <v>20.485981260581099</v>
      </c>
      <c r="AL1354">
        <v>94.178334931235099</v>
      </c>
      <c r="AM1354">
        <v>72.865080977321995</v>
      </c>
      <c r="AN1354">
        <v>0.99999999195327305</v>
      </c>
    </row>
    <row r="1355" spans="1:40" x14ac:dyDescent="0.25">
      <c r="A1355" t="str">
        <f>"20190305135218524"</f>
        <v>20190305135218524</v>
      </c>
      <c r="B1355" t="str">
        <f>"1551765138520959"</f>
        <v>1551765138520959</v>
      </c>
      <c r="C1355" t="s">
        <v>40</v>
      </c>
      <c r="D1355">
        <v>4.9056689999999996</v>
      </c>
      <c r="E1355">
        <v>0.54750750000000004</v>
      </c>
      <c r="F1355" t="s">
        <v>42</v>
      </c>
      <c r="G1355">
        <v>-194.88159999999999</v>
      </c>
      <c r="H1355" s="1">
        <v>-4.7848109999999996E-6</v>
      </c>
      <c r="I1355">
        <v>328.5027</v>
      </c>
      <c r="J1355">
        <v>-194.94049999999999</v>
      </c>
      <c r="K1355">
        <v>1.104725</v>
      </c>
      <c r="L1355">
        <v>356.23</v>
      </c>
      <c r="M1355">
        <v>0.40462779999999998</v>
      </c>
      <c r="N1355">
        <v>-1.4313869999999999E-2</v>
      </c>
      <c r="O1355">
        <v>-0.91436980000000001</v>
      </c>
      <c r="P1355">
        <v>0.1186359</v>
      </c>
      <c r="Q1355">
        <v>-8.3795789999999995E-2</v>
      </c>
      <c r="R1355">
        <v>-0.98939589999999999</v>
      </c>
      <c r="S1355">
        <v>1.4770510000000001E-2</v>
      </c>
      <c r="T1355">
        <v>-0.1195562</v>
      </c>
      <c r="U1355">
        <v>-3.022125</v>
      </c>
      <c r="V1355">
        <v>0.29105550000000002</v>
      </c>
      <c r="W1355">
        <v>-7.3534269999999999E-2</v>
      </c>
      <c r="X1355">
        <v>0.95387599999999995</v>
      </c>
      <c r="Y1355">
        <v>0.40002270000000001</v>
      </c>
      <c r="Z1355">
        <v>1.851862E-2</v>
      </c>
      <c r="AA1355">
        <v>0.91631810000000002</v>
      </c>
      <c r="AB1355">
        <v>21</v>
      </c>
      <c r="AC1355">
        <v>5.8899999999994103E-2</v>
      </c>
      <c r="AD1355">
        <v>-1.104729784811</v>
      </c>
      <c r="AE1355">
        <v>-27.7273</v>
      </c>
      <c r="AF1355">
        <v>11.148822254363999</v>
      </c>
      <c r="AG1355">
        <v>-1.104729784811</v>
      </c>
      <c r="AH1355">
        <v>25.339205607233399</v>
      </c>
      <c r="AI1355">
        <v>92.285223203276203</v>
      </c>
      <c r="AJ1355">
        <v>66.251316716947301</v>
      </c>
      <c r="AK1355">
        <v>27.705450842072501</v>
      </c>
      <c r="AL1355">
        <v>94.217009556348501</v>
      </c>
      <c r="AM1355">
        <v>73.031517410315203</v>
      </c>
      <c r="AN1355">
        <v>1.00000000816034</v>
      </c>
    </row>
    <row r="1356" spans="1:40" x14ac:dyDescent="0.25">
      <c r="A1356" t="str">
        <f>"20190305135218546"</f>
        <v>20190305135218546</v>
      </c>
      <c r="B1356" t="str">
        <f>"1551765138540478"</f>
        <v>1551765138540478</v>
      </c>
      <c r="C1356" t="s">
        <v>40</v>
      </c>
      <c r="D1356">
        <v>4.8737620000000001</v>
      </c>
      <c r="E1356">
        <v>0.54744399999999904</v>
      </c>
      <c r="F1356" t="s">
        <v>42</v>
      </c>
      <c r="G1356">
        <v>-195.05860000000001</v>
      </c>
      <c r="H1356" s="1">
        <v>-4.5841680000000001E-6</v>
      </c>
      <c r="I1356">
        <v>327.82080000000002</v>
      </c>
      <c r="J1356">
        <v>-194.86959999999999</v>
      </c>
      <c r="K1356">
        <v>1.104806</v>
      </c>
      <c r="L1356">
        <v>356.0471</v>
      </c>
      <c r="M1356">
        <v>0.39745000000000003</v>
      </c>
      <c r="N1356">
        <v>-1.428714E-2</v>
      </c>
      <c r="O1356">
        <v>-0.91751260000000001</v>
      </c>
      <c r="P1356">
        <v>0.1135343</v>
      </c>
      <c r="Q1356">
        <v>-8.4556690000000004E-2</v>
      </c>
      <c r="R1356">
        <v>-0.98992939999999996</v>
      </c>
      <c r="S1356">
        <v>-1.2573239999999999E-2</v>
      </c>
      <c r="T1356">
        <v>-0.11758109999999999</v>
      </c>
      <c r="U1356">
        <v>-3.0237120000000002</v>
      </c>
      <c r="V1356">
        <v>0.28848230000000002</v>
      </c>
      <c r="W1356">
        <v>-7.4211579999999999E-2</v>
      </c>
      <c r="X1356">
        <v>0.95460500000000004</v>
      </c>
      <c r="Y1356">
        <v>0.40113169999999998</v>
      </c>
      <c r="Z1356">
        <v>1.8130489999999999E-2</v>
      </c>
      <c r="AA1356">
        <v>0.91584089999999996</v>
      </c>
      <c r="AB1356">
        <v>21</v>
      </c>
      <c r="AC1356">
        <v>-0.18900000000002101</v>
      </c>
      <c r="AD1356">
        <v>-1.104810584168</v>
      </c>
      <c r="AE1356">
        <v>-28.226299999999899</v>
      </c>
      <c r="AF1356">
        <v>11.3756885593346</v>
      </c>
      <c r="AG1356">
        <v>-1.104810584168</v>
      </c>
      <c r="AH1356">
        <v>25.786000619951899</v>
      </c>
      <c r="AI1356">
        <v>92.244860082679295</v>
      </c>
      <c r="AJ1356">
        <v>66.194964490336403</v>
      </c>
      <c r="AK1356">
        <v>28.2054024009236</v>
      </c>
      <c r="AL1356">
        <v>94.255922702800305</v>
      </c>
      <c r="AM1356">
        <v>73.185146251443896</v>
      </c>
      <c r="AN1356">
        <v>1.00000005102219</v>
      </c>
    </row>
    <row r="1357" spans="1:40" x14ac:dyDescent="0.25">
      <c r="A1357" t="str">
        <f>"20190305135218569"</f>
        <v>20190305135218569</v>
      </c>
      <c r="B1357" t="str">
        <f>"1551765138560975"</f>
        <v>1551765138560975</v>
      </c>
      <c r="C1357" t="s">
        <v>40</v>
      </c>
      <c r="D1357">
        <v>4.839035</v>
      </c>
      <c r="E1357">
        <v>0.54744700000000002</v>
      </c>
      <c r="F1357" t="s">
        <v>42</v>
      </c>
      <c r="G1357">
        <v>-195.1258</v>
      </c>
      <c r="H1357" s="1">
        <v>-4.7366149999999999E-6</v>
      </c>
      <c r="I1357">
        <v>328.2337</v>
      </c>
      <c r="J1357">
        <v>-194.79159999999999</v>
      </c>
      <c r="K1357">
        <v>1.104897</v>
      </c>
      <c r="L1357">
        <v>355.84109999999998</v>
      </c>
      <c r="M1357">
        <v>0.3895054</v>
      </c>
      <c r="N1357">
        <v>-1.4257590000000001E-2</v>
      </c>
      <c r="O1357">
        <v>-0.92091389999999995</v>
      </c>
      <c r="P1357">
        <v>0.1080932</v>
      </c>
      <c r="Q1357">
        <v>-8.6349960000000003E-2</v>
      </c>
      <c r="R1357">
        <v>-0.99038329999999997</v>
      </c>
      <c r="S1357">
        <v>-2.784729E-2</v>
      </c>
      <c r="T1357">
        <v>-0.12009889999999999</v>
      </c>
      <c r="U1357">
        <v>-3.0234679999999998</v>
      </c>
      <c r="V1357">
        <v>0.28541830000000001</v>
      </c>
      <c r="W1357">
        <v>-7.5912510000000002E-2</v>
      </c>
      <c r="X1357">
        <v>0.95539189999999996</v>
      </c>
      <c r="Y1357">
        <v>0.39783819999999998</v>
      </c>
      <c r="Z1357">
        <v>1.9070839999999999E-2</v>
      </c>
      <c r="AA1357">
        <v>0.9172574</v>
      </c>
      <c r="AB1357">
        <v>21</v>
      </c>
      <c r="AC1357">
        <v>-0.33420000000000899</v>
      </c>
      <c r="AD1357">
        <v>-1.104901736615</v>
      </c>
      <c r="AE1357">
        <v>-27.607399999999899</v>
      </c>
      <c r="AF1357">
        <v>11.0444365011373</v>
      </c>
      <c r="AG1357">
        <v>-1.104901736615</v>
      </c>
      <c r="AH1357">
        <v>25.255987092684901</v>
      </c>
      <c r="AI1357">
        <v>92.295363715050598</v>
      </c>
      <c r="AJ1357">
        <v>66.380253825382894</v>
      </c>
      <c r="AK1357">
        <v>27.587411431685599</v>
      </c>
      <c r="AL1357">
        <v>94.353654762226398</v>
      </c>
      <c r="AM1357">
        <v>73.366761463662598</v>
      </c>
      <c r="AN1357">
        <v>0.99999999886750002</v>
      </c>
    </row>
    <row r="1358" spans="1:40" x14ac:dyDescent="0.25">
      <c r="A1358" t="str">
        <f>"20190305135218592"</f>
        <v>20190305135218592</v>
      </c>
      <c r="B1358" t="str">
        <f>"1551765138580494"</f>
        <v>1551765138580494</v>
      </c>
      <c r="C1358" t="s">
        <v>40</v>
      </c>
      <c r="D1358">
        <v>4.8472200000000001</v>
      </c>
      <c r="E1358">
        <v>0.54721319999999996</v>
      </c>
      <c r="F1358" t="s">
        <v>42</v>
      </c>
      <c r="G1358">
        <v>-195.18889999999999</v>
      </c>
      <c r="H1358" s="1">
        <v>-4.8996749999999998E-6</v>
      </c>
      <c r="I1358">
        <v>328.68</v>
      </c>
      <c r="J1358">
        <v>-194.7184</v>
      </c>
      <c r="K1358">
        <v>1.104965</v>
      </c>
      <c r="L1358">
        <v>355.64319999999998</v>
      </c>
      <c r="M1358">
        <v>0.38198789999999999</v>
      </c>
      <c r="N1358">
        <v>-1.423077E-2</v>
      </c>
      <c r="O1358">
        <v>-0.92405769999999998</v>
      </c>
      <c r="P1358">
        <v>0.1036489</v>
      </c>
      <c r="Q1358">
        <v>-8.7628250000000005E-2</v>
      </c>
      <c r="R1358">
        <v>-0.99074629999999997</v>
      </c>
      <c r="S1358">
        <v>-4.4219969999999997E-2</v>
      </c>
      <c r="T1358">
        <v>-0.1229837</v>
      </c>
      <c r="U1358">
        <v>-3.0232239999999999</v>
      </c>
      <c r="V1358">
        <v>0.28188049999999998</v>
      </c>
      <c r="W1358">
        <v>-7.7103459999999999E-2</v>
      </c>
      <c r="X1358">
        <v>0.95634640000000004</v>
      </c>
      <c r="Y1358">
        <v>0.39532630000000002</v>
      </c>
      <c r="Z1358">
        <v>2.0096969999999999E-2</v>
      </c>
      <c r="AA1358">
        <v>0.9183209</v>
      </c>
      <c r="AB1358">
        <v>21</v>
      </c>
      <c r="AC1358">
        <v>-0.47049999999998698</v>
      </c>
      <c r="AD1358">
        <v>-1.1049698996749999</v>
      </c>
      <c r="AE1358">
        <v>-26.963199999999901</v>
      </c>
      <c r="AF1358">
        <v>10.7174792957934</v>
      </c>
      <c r="AG1358">
        <v>-1.1049698996749999</v>
      </c>
      <c r="AH1358">
        <v>24.696869861462201</v>
      </c>
      <c r="AI1358">
        <v>92.350284191309299</v>
      </c>
      <c r="AJ1358">
        <v>66.541035008239504</v>
      </c>
      <c r="AK1358">
        <v>26.944771327457001</v>
      </c>
      <c r="AL1358">
        <v>94.422091768523899</v>
      </c>
      <c r="AM1358">
        <v>73.577262263409594</v>
      </c>
      <c r="AN1358">
        <v>0.99999999830858999</v>
      </c>
    </row>
    <row r="1359" spans="1:40" x14ac:dyDescent="0.25">
      <c r="A1359" t="str">
        <f>"20190305135218615"</f>
        <v>20190305135218615</v>
      </c>
      <c r="B1359" t="str">
        <f>"1551765138611257"</f>
        <v>1551765138611257</v>
      </c>
      <c r="C1359" t="s">
        <v>40</v>
      </c>
      <c r="D1359">
        <v>4.8274800000000004</v>
      </c>
      <c r="E1359">
        <v>0.5467746</v>
      </c>
      <c r="F1359" t="s">
        <v>42</v>
      </c>
      <c r="G1359">
        <v>-195.21299999999999</v>
      </c>
      <c r="H1359" s="1">
        <v>-4.9187089999999996E-6</v>
      </c>
      <c r="I1359">
        <v>328.72340000000003</v>
      </c>
      <c r="J1359">
        <v>-194.64439999999999</v>
      </c>
      <c r="K1359">
        <v>1.105027</v>
      </c>
      <c r="L1359">
        <v>355.43849999999998</v>
      </c>
      <c r="M1359">
        <v>0.37432140000000003</v>
      </c>
      <c r="N1359">
        <v>-1.420535E-2</v>
      </c>
      <c r="O1359">
        <v>-0.92719030000000002</v>
      </c>
      <c r="P1359">
        <v>9.851588E-2</v>
      </c>
      <c r="Q1359">
        <v>-8.8683700000000004E-2</v>
      </c>
      <c r="R1359">
        <v>-0.99117619999999895</v>
      </c>
      <c r="S1359">
        <v>-5.5541989999999999E-2</v>
      </c>
      <c r="T1359">
        <v>-0.1240771</v>
      </c>
      <c r="U1359">
        <v>-3.0228269999999999</v>
      </c>
      <c r="V1359">
        <v>0.27888279999999999</v>
      </c>
      <c r="W1359">
        <v>-7.8088039999999997E-2</v>
      </c>
      <c r="X1359">
        <v>0.95714500000000002</v>
      </c>
      <c r="Y1359">
        <v>0.39115640000000002</v>
      </c>
      <c r="Z1359">
        <v>2.0650020000000002E-2</v>
      </c>
      <c r="AA1359">
        <v>0.92009249999999998</v>
      </c>
      <c r="AB1359">
        <v>21</v>
      </c>
      <c r="AC1359">
        <v>-0.56860000000000299</v>
      </c>
      <c r="AD1359">
        <v>-1.1050319187090001</v>
      </c>
      <c r="AE1359">
        <v>-26.7150999999999</v>
      </c>
      <c r="AF1359">
        <v>10.5103211002689</v>
      </c>
      <c r="AG1359">
        <v>-1.1050319187090001</v>
      </c>
      <c r="AH1359">
        <v>24.517689202808</v>
      </c>
      <c r="AI1359">
        <v>92.372117255871899</v>
      </c>
      <c r="AJ1359">
        <v>66.796000121330593</v>
      </c>
      <c r="AK1359">
        <v>26.698408735683401</v>
      </c>
      <c r="AL1359">
        <v>94.478674848615796</v>
      </c>
      <c r="AM1359">
        <v>73.755491386075903</v>
      </c>
      <c r="AN1359">
        <v>0.99999995457593904</v>
      </c>
    </row>
    <row r="1360" spans="1:40" x14ac:dyDescent="0.25">
      <c r="A1360" t="str">
        <f>"20190305135218638"</f>
        <v>20190305135218638</v>
      </c>
      <c r="B1360" t="str">
        <f>"1551765138630777"</f>
        <v>1551765138630777</v>
      </c>
      <c r="C1360" t="s">
        <v>40</v>
      </c>
      <c r="D1360">
        <v>4.7795930000000002</v>
      </c>
      <c r="E1360">
        <v>0.54622209999999904</v>
      </c>
      <c r="F1360" t="s">
        <v>42</v>
      </c>
      <c r="G1360">
        <v>-195.2336</v>
      </c>
      <c r="H1360" s="1">
        <v>-5.075578E-6</v>
      </c>
      <c r="I1360">
        <v>329.17360000000002</v>
      </c>
      <c r="J1360">
        <v>-194.57329999999999</v>
      </c>
      <c r="K1360">
        <v>1.1050739999999999</v>
      </c>
      <c r="L1360">
        <v>355.23669999999998</v>
      </c>
      <c r="M1360">
        <v>0.3668669</v>
      </c>
      <c r="N1360">
        <v>-1.4181940000000001E-2</v>
      </c>
      <c r="O1360">
        <v>-0.93016540000000003</v>
      </c>
      <c r="P1360">
        <v>9.2922859999999996E-2</v>
      </c>
      <c r="Q1360">
        <v>-9.0173939999999994E-2</v>
      </c>
      <c r="R1360">
        <v>-0.99158159999999895</v>
      </c>
      <c r="S1360">
        <v>-6.7794800000000002E-2</v>
      </c>
      <c r="T1360">
        <v>-0.12714589999999901</v>
      </c>
      <c r="U1360">
        <v>-3.0220639999999999</v>
      </c>
      <c r="V1360">
        <v>0.27654859999999998</v>
      </c>
      <c r="W1360">
        <v>-7.9523499999999997E-2</v>
      </c>
      <c r="X1360">
        <v>0.95770390000000005</v>
      </c>
      <c r="Y1360">
        <v>0.3874976</v>
      </c>
      <c r="Z1360">
        <v>2.1752560000000001E-2</v>
      </c>
      <c r="AA1360">
        <v>0.92161409999999999</v>
      </c>
      <c r="AB1360">
        <v>21</v>
      </c>
      <c r="AC1360">
        <v>-0.66030000000000599</v>
      </c>
      <c r="AD1360">
        <v>-1.10507907557799</v>
      </c>
      <c r="AE1360">
        <v>-26.063099999999899</v>
      </c>
      <c r="AF1360">
        <v>10.1586485592976</v>
      </c>
      <c r="AG1360">
        <v>-1.10507907557799</v>
      </c>
      <c r="AH1360">
        <v>23.960116944226598</v>
      </c>
      <c r="AI1360">
        <v>92.431472321439699</v>
      </c>
      <c r="AJ1360">
        <v>67.023949420151993</v>
      </c>
      <c r="AK1360">
        <v>26.048158174727401</v>
      </c>
      <c r="AL1360">
        <v>94.561177319997896</v>
      </c>
      <c r="AM1360">
        <v>73.893286303899004</v>
      </c>
      <c r="AN1360">
        <v>0.99999993764470796</v>
      </c>
    </row>
    <row r="1361" spans="1:40" x14ac:dyDescent="0.25">
      <c r="A1361" t="str">
        <f>"20190305135218660"</f>
        <v>20190305135218660</v>
      </c>
      <c r="B1361" t="str">
        <f>"1551765138650297"</f>
        <v>1551765138650297</v>
      </c>
      <c r="C1361" t="s">
        <v>40</v>
      </c>
      <c r="D1361">
        <v>4.8111360000000003</v>
      </c>
      <c r="E1361">
        <v>0.54577790000000004</v>
      </c>
      <c r="F1361" t="s">
        <v>42</v>
      </c>
      <c r="G1361">
        <v>-195.24119999999999</v>
      </c>
      <c r="H1361" s="1">
        <v>-1.6319190000000001E-6</v>
      </c>
      <c r="I1361">
        <v>330.14240000000001</v>
      </c>
      <c r="J1361">
        <v>-194.50739999999999</v>
      </c>
      <c r="K1361">
        <v>1.105119</v>
      </c>
      <c r="L1361">
        <v>355.04570000000001</v>
      </c>
      <c r="M1361">
        <v>0.35989500000000002</v>
      </c>
      <c r="N1361">
        <v>-1.4160600000000001E-2</v>
      </c>
      <c r="O1361">
        <v>-0.93288550000000003</v>
      </c>
      <c r="P1361">
        <v>8.8071090000000005E-2</v>
      </c>
      <c r="Q1361">
        <v>-9.1739559999999998E-2</v>
      </c>
      <c r="R1361">
        <v>-0.99188080000000001</v>
      </c>
      <c r="S1361">
        <v>-8.0413819999999997E-2</v>
      </c>
      <c r="T1361">
        <v>-0.13303119999999999</v>
      </c>
      <c r="U1361">
        <v>-3.020905</v>
      </c>
      <c r="V1361">
        <v>0.27401120000000001</v>
      </c>
      <c r="W1361">
        <v>-8.1035170000000004E-2</v>
      </c>
      <c r="X1361">
        <v>0.9583064</v>
      </c>
      <c r="Y1361">
        <v>0.3844458</v>
      </c>
      <c r="Z1361">
        <v>2.3647089999999999E-2</v>
      </c>
      <c r="AA1361">
        <v>0.92284460000000001</v>
      </c>
      <c r="AB1361">
        <v>21</v>
      </c>
      <c r="AC1361">
        <v>-0.73380000000000201</v>
      </c>
      <c r="AD1361">
        <v>-1.1051206319189999</v>
      </c>
      <c r="AE1361">
        <v>-24.903300000000002</v>
      </c>
      <c r="AF1361">
        <v>9.6291445648787306</v>
      </c>
      <c r="AG1361">
        <v>-1.1051206319189999</v>
      </c>
      <c r="AH1361">
        <v>22.925029882112401</v>
      </c>
      <c r="AI1361">
        <v>92.544807376336493</v>
      </c>
      <c r="AJ1361">
        <v>67.216251565158302</v>
      </c>
      <c r="AK1361">
        <v>24.889731050338199</v>
      </c>
      <c r="AL1361">
        <v>94.648069825908493</v>
      </c>
      <c r="AM1361">
        <v>74.043031502829294</v>
      </c>
      <c r="AN1361">
        <v>0.99999999639166404</v>
      </c>
    </row>
    <row r="1362" spans="1:40" x14ac:dyDescent="0.25">
      <c r="A1362" t="str">
        <f>"20190305135218683"</f>
        <v>20190305135218683</v>
      </c>
      <c r="B1362" t="str">
        <f>"1551765138670793"</f>
        <v>1551765138670793</v>
      </c>
      <c r="C1362" t="s">
        <v>40</v>
      </c>
      <c r="D1362">
        <v>4.8286300000000004</v>
      </c>
      <c r="E1362">
        <v>0.54532000000000003</v>
      </c>
      <c r="F1362" t="s">
        <v>42</v>
      </c>
      <c r="G1362">
        <v>-195.2407</v>
      </c>
      <c r="H1362" s="1">
        <v>-1.9589110000000001E-6</v>
      </c>
      <c r="I1362">
        <v>330.9049</v>
      </c>
      <c r="J1362">
        <v>-194.43780000000001</v>
      </c>
      <c r="K1362">
        <v>1.1051759999999999</v>
      </c>
      <c r="L1362">
        <v>354.83909999999997</v>
      </c>
      <c r="M1362">
        <v>0.3524196</v>
      </c>
      <c r="N1362">
        <v>-1.413856E-2</v>
      </c>
      <c r="O1362">
        <v>-0.93573550000000005</v>
      </c>
      <c r="P1362">
        <v>8.3183859999999998E-2</v>
      </c>
      <c r="Q1362">
        <v>-9.3810110000000002E-2</v>
      </c>
      <c r="R1362">
        <v>-0.99210909999999997</v>
      </c>
      <c r="S1362">
        <v>-9.1735839999999999E-2</v>
      </c>
      <c r="T1362">
        <v>-0.138246799999999</v>
      </c>
      <c r="U1362">
        <v>-3.0199280000000002</v>
      </c>
      <c r="V1362">
        <v>0.27098939999999999</v>
      </c>
      <c r="W1362">
        <v>-8.3045919999999995E-2</v>
      </c>
      <c r="X1362">
        <v>0.95899330000000005</v>
      </c>
      <c r="Y1362">
        <v>0.38051699999999999</v>
      </c>
      <c r="Z1362">
        <v>2.5386369999999998E-2</v>
      </c>
      <c r="AA1362">
        <v>0.92442539999999995</v>
      </c>
      <c r="AB1362">
        <v>21</v>
      </c>
      <c r="AC1362">
        <v>-0.80289999999999395</v>
      </c>
      <c r="AD1362">
        <v>-1.105177958911</v>
      </c>
      <c r="AE1362">
        <v>-23.934199999999901</v>
      </c>
      <c r="AF1362">
        <v>9.1675746103875007</v>
      </c>
      <c r="AG1362">
        <v>-1.105177958911</v>
      </c>
      <c r="AH1362">
        <v>22.0683279653562</v>
      </c>
      <c r="AI1362">
        <v>92.647928971814594</v>
      </c>
      <c r="AJ1362">
        <v>67.441135472301198</v>
      </c>
      <c r="AK1362">
        <v>23.922310543599401</v>
      </c>
      <c r="AL1362">
        <v>94.763666926985906</v>
      </c>
      <c r="AM1362">
        <v>74.220931168736001</v>
      </c>
      <c r="AN1362">
        <v>1.00000001459294</v>
      </c>
    </row>
    <row r="1363" spans="1:40" x14ac:dyDescent="0.25">
      <c r="A1363" t="str">
        <f>"20190305135218706"</f>
        <v>20190305135218706</v>
      </c>
      <c r="B1363" t="str">
        <f>"1551765138700581"</f>
        <v>1551765138700581</v>
      </c>
      <c r="C1363" t="s">
        <v>40</v>
      </c>
      <c r="D1363">
        <v>4.805072</v>
      </c>
      <c r="E1363">
        <v>0.54467989999999999</v>
      </c>
      <c r="F1363" t="s">
        <v>42</v>
      </c>
      <c r="G1363">
        <v>-195.22989999999999</v>
      </c>
      <c r="H1363" s="1">
        <v>-2.232876E-6</v>
      </c>
      <c r="I1363">
        <v>331.55029999999999</v>
      </c>
      <c r="J1363">
        <v>-194.3708</v>
      </c>
      <c r="K1363">
        <v>1.105235</v>
      </c>
      <c r="L1363">
        <v>354.6352</v>
      </c>
      <c r="M1363">
        <v>0.34510390000000002</v>
      </c>
      <c r="N1363">
        <v>-1.4118840000000001E-2</v>
      </c>
      <c r="O1363">
        <v>-0.93845849999999997</v>
      </c>
      <c r="P1363">
        <v>7.9703090000000004E-2</v>
      </c>
      <c r="Q1363">
        <v>-9.434244E-2</v>
      </c>
      <c r="R1363">
        <v>-0.99234429999999996</v>
      </c>
      <c r="S1363">
        <v>-0.1026764</v>
      </c>
      <c r="T1363">
        <v>-0.1432657</v>
      </c>
      <c r="U1363">
        <v>-3.0189509999999999</v>
      </c>
      <c r="V1363">
        <v>0.26685759999999997</v>
      </c>
      <c r="W1363">
        <v>-8.3504540000000002E-2</v>
      </c>
      <c r="X1363">
        <v>0.96011139999999995</v>
      </c>
      <c r="Y1363">
        <v>0.37664579999999998</v>
      </c>
      <c r="Z1363">
        <v>2.7075459999999999E-2</v>
      </c>
      <c r="AA1363">
        <v>0.92596160000000005</v>
      </c>
      <c r="AB1363">
        <v>21</v>
      </c>
      <c r="AC1363">
        <v>-0.85909999999998299</v>
      </c>
      <c r="AD1363">
        <v>-1.1052372328760001</v>
      </c>
      <c r="AE1363">
        <v>-23.084900000000001</v>
      </c>
      <c r="AF1363">
        <v>8.7537537802794496</v>
      </c>
      <c r="AG1363">
        <v>-1.1052372328760001</v>
      </c>
      <c r="AH1363">
        <v>21.3210628229516</v>
      </c>
      <c r="AI1363">
        <v>92.745427855268105</v>
      </c>
      <c r="AJ1363">
        <v>67.678498151738594</v>
      </c>
      <c r="AK1363">
        <v>23.074606702757499</v>
      </c>
      <c r="AL1363">
        <v>94.790035846877501</v>
      </c>
      <c r="AM1363">
        <v>74.467025778824294</v>
      </c>
      <c r="AN1363">
        <v>0.999999943644164</v>
      </c>
    </row>
    <row r="1364" spans="1:40" x14ac:dyDescent="0.25">
      <c r="A1364" t="str">
        <f>"20190305135218724"</f>
        <v>20190305135218724</v>
      </c>
      <c r="B1364" t="str">
        <f>"1551765138721077"</f>
        <v>1551765138721077</v>
      </c>
      <c r="C1364" t="s">
        <v>40</v>
      </c>
      <c r="D1364">
        <v>4.8086830000000003</v>
      </c>
      <c r="E1364">
        <v>0.54439740000000003</v>
      </c>
      <c r="F1364" t="s">
        <v>42</v>
      </c>
      <c r="G1364">
        <v>-195.20089999999999</v>
      </c>
      <c r="H1364" s="1">
        <v>-2.1682970000000002E-6</v>
      </c>
      <c r="I1364">
        <v>331.41770000000002</v>
      </c>
      <c r="J1364">
        <v>-194.31489999999999</v>
      </c>
      <c r="K1364">
        <v>1.1052869999999999</v>
      </c>
      <c r="L1364">
        <v>354.4606</v>
      </c>
      <c r="M1364">
        <v>0.3388775</v>
      </c>
      <c r="N1364">
        <v>-1.4104149999999999E-2</v>
      </c>
      <c r="O1364">
        <v>-0.94072480000000003</v>
      </c>
      <c r="P1364">
        <v>7.7712680000000006E-2</v>
      </c>
      <c r="Q1364">
        <v>-9.2689590000000002E-2</v>
      </c>
      <c r="R1364">
        <v>-0.99265769999999998</v>
      </c>
      <c r="S1364">
        <v>-0.107910199999999</v>
      </c>
      <c r="T1364">
        <v>-0.14367559999999999</v>
      </c>
      <c r="U1364">
        <v>-3.0181580000000001</v>
      </c>
      <c r="V1364">
        <v>0.26250050000000003</v>
      </c>
      <c r="W1364">
        <v>-8.1779760000000007E-2</v>
      </c>
      <c r="X1364">
        <v>0.96146010000000004</v>
      </c>
      <c r="Y1364">
        <v>0.37211719999999998</v>
      </c>
      <c r="Z1364">
        <v>2.7420090000000001E-2</v>
      </c>
      <c r="AA1364">
        <v>0.92778059999999996</v>
      </c>
      <c r="AB1364">
        <v>21</v>
      </c>
      <c r="AC1364">
        <v>-0.88599999999999501</v>
      </c>
      <c r="AD1364">
        <v>-1.1052891682969901</v>
      </c>
      <c r="AE1364">
        <v>-23.0428999999999</v>
      </c>
      <c r="AF1364">
        <v>8.6232510450344506</v>
      </c>
      <c r="AG1364">
        <v>-1.1052891682969901</v>
      </c>
      <c r="AH1364">
        <v>21.329904916717499</v>
      </c>
      <c r="AI1364">
        <v>92.750448014347199</v>
      </c>
      <c r="AJ1364">
        <v>67.987508068882093</v>
      </c>
      <c r="AK1364">
        <v>23.0336051561072</v>
      </c>
      <c r="AL1364">
        <v>94.690873825956203</v>
      </c>
      <c r="AM1364">
        <v>74.729123847282906</v>
      </c>
      <c r="AN1364">
        <v>0.99999998276895796</v>
      </c>
    </row>
    <row r="1365" spans="1:40" x14ac:dyDescent="0.25">
      <c r="A1365" t="str">
        <f>"20190305135218750"</f>
        <v>20190305135218750</v>
      </c>
      <c r="B1365" t="str">
        <f>"1551765138740598"</f>
        <v>1551765138740598</v>
      </c>
      <c r="C1365" t="s">
        <v>40</v>
      </c>
      <c r="D1365">
        <v>4.8050300000000004</v>
      </c>
      <c r="E1365">
        <v>0.54393429999999998</v>
      </c>
      <c r="F1365" t="s">
        <v>42</v>
      </c>
      <c r="G1365">
        <v>-195.21520000000001</v>
      </c>
      <c r="H1365" s="1">
        <v>-1.6264809999999999E-6</v>
      </c>
      <c r="I1365">
        <v>330.14589999999998</v>
      </c>
      <c r="J1365">
        <v>-194.24709999999999</v>
      </c>
      <c r="K1365">
        <v>1.105329</v>
      </c>
      <c r="L1365">
        <v>354.24329999999998</v>
      </c>
      <c r="M1365">
        <v>0.33115319999999998</v>
      </c>
      <c r="N1365">
        <v>-1.408877E-2</v>
      </c>
      <c r="O1365">
        <v>-0.94347210000000004</v>
      </c>
      <c r="P1365">
        <v>7.3587100000000003E-2</v>
      </c>
      <c r="Q1365">
        <v>-8.9617829999999996E-2</v>
      </c>
      <c r="R1365">
        <v>-0.99325450000000004</v>
      </c>
      <c r="S1365">
        <v>-0.1117554</v>
      </c>
      <c r="T1365">
        <v>-0.1371965</v>
      </c>
      <c r="U1365">
        <v>-3.0181269999999998</v>
      </c>
      <c r="V1365">
        <v>0.2587448</v>
      </c>
      <c r="W1365">
        <v>-7.8650209999999998E-2</v>
      </c>
      <c r="X1365">
        <v>0.96273839999999999</v>
      </c>
      <c r="Y1365">
        <v>0.36569200000000002</v>
      </c>
      <c r="Z1365">
        <v>2.580592E-2</v>
      </c>
      <c r="AA1365">
        <v>0.93037809999999999</v>
      </c>
      <c r="AB1365">
        <v>21</v>
      </c>
      <c r="AC1365">
        <v>-0.96810000000002105</v>
      </c>
      <c r="AD1365">
        <v>-1.1053306264809999</v>
      </c>
      <c r="AE1365">
        <v>-24.0974</v>
      </c>
      <c r="AF1365">
        <v>8.8755428502390696</v>
      </c>
      <c r="AG1365">
        <v>-1.1053306264809999</v>
      </c>
      <c r="AH1365">
        <v>22.369863872050999</v>
      </c>
      <c r="AI1365">
        <v>92.629666588588293</v>
      </c>
      <c r="AJ1365">
        <v>68.358634699578104</v>
      </c>
      <c r="AK1365">
        <v>24.0916547031199</v>
      </c>
      <c r="AL1365">
        <v>94.510984088034107</v>
      </c>
      <c r="AM1365">
        <v>74.9567077632056</v>
      </c>
      <c r="AN1365">
        <v>0.99999997694732101</v>
      </c>
    </row>
    <row r="1366" spans="1:40" x14ac:dyDescent="0.25">
      <c r="A1366" t="str">
        <f>"20190305135218769"</f>
        <v>20190305135218769</v>
      </c>
      <c r="B1366" t="str">
        <f>"1551765138761093"</f>
        <v>1551765138761093</v>
      </c>
      <c r="C1366" t="s">
        <v>40</v>
      </c>
      <c r="D1366">
        <v>4.7856969999999999</v>
      </c>
      <c r="E1366">
        <v>0.54358700000000004</v>
      </c>
      <c r="F1366" t="s">
        <v>42</v>
      </c>
      <c r="G1366">
        <v>-195.28100000000001</v>
      </c>
      <c r="H1366" s="1">
        <v>-4.7995200000000001E-6</v>
      </c>
      <c r="I1366">
        <v>328.33769999999998</v>
      </c>
      <c r="J1366">
        <v>-194.19290000000001</v>
      </c>
      <c r="K1366">
        <v>1.1053470000000001</v>
      </c>
      <c r="L1366">
        <v>354.06560000000002</v>
      </c>
      <c r="M1366">
        <v>0.32484610000000003</v>
      </c>
      <c r="N1366">
        <v>-1.407805E-2</v>
      </c>
      <c r="O1366">
        <v>-0.945662</v>
      </c>
      <c r="P1366">
        <v>7.3315749999999999E-2</v>
      </c>
      <c r="Q1366">
        <v>-8.7710200000000002E-2</v>
      </c>
      <c r="R1366">
        <v>-0.99344440000000001</v>
      </c>
      <c r="S1366">
        <v>-0.12043760000000001</v>
      </c>
      <c r="T1366">
        <v>-0.12875710000000001</v>
      </c>
      <c r="U1366">
        <v>-3.0176699999999999</v>
      </c>
      <c r="V1366">
        <v>0.2526581</v>
      </c>
      <c r="W1366">
        <v>-7.6661300000000002E-2</v>
      </c>
      <c r="X1366">
        <v>0.96451379999999998</v>
      </c>
      <c r="Y1366">
        <v>0.3621665</v>
      </c>
      <c r="Z1366">
        <v>2.352858E-2</v>
      </c>
      <c r="AA1366">
        <v>0.93181650000000005</v>
      </c>
      <c r="AB1366">
        <v>21</v>
      </c>
      <c r="AC1366">
        <v>-1.0880999999999601</v>
      </c>
      <c r="AD1366">
        <v>-1.10535179952</v>
      </c>
      <c r="AE1366">
        <v>-25.727900000000002</v>
      </c>
      <c r="AF1366">
        <v>9.3702490214934198</v>
      </c>
      <c r="AG1366">
        <v>-1.10535179952</v>
      </c>
      <c r="AH1366">
        <v>23.934710468066701</v>
      </c>
      <c r="AI1366">
        <v>92.462423360812707</v>
      </c>
      <c r="AJ1366">
        <v>68.620051524510799</v>
      </c>
      <c r="AK1366">
        <v>25.727295514991098</v>
      </c>
      <c r="AL1366">
        <v>94.396682782683897</v>
      </c>
      <c r="AM1366">
        <v>75.320975076067299</v>
      </c>
      <c r="AN1366">
        <v>0.99999997040186905</v>
      </c>
    </row>
    <row r="1367" spans="1:40" x14ac:dyDescent="0.25">
      <c r="A1367" t="str">
        <f>"20190305135218802"</f>
        <v>20190305135218802</v>
      </c>
      <c r="B1367" t="str">
        <f>"1551765138791350"</f>
        <v>1551765138791350</v>
      </c>
      <c r="C1367" t="s">
        <v>40</v>
      </c>
      <c r="D1367">
        <v>4.7986300000000002</v>
      </c>
      <c r="E1367">
        <v>0.54326470000000004</v>
      </c>
      <c r="F1367" t="s">
        <v>42</v>
      </c>
      <c r="G1367">
        <v>-195.25649999999999</v>
      </c>
      <c r="H1367" s="1">
        <v>-4.3240480000000001E-6</v>
      </c>
      <c r="I1367">
        <v>326.95330000000001</v>
      </c>
      <c r="J1367">
        <v>-194.10650000000001</v>
      </c>
      <c r="K1367">
        <v>1.105343</v>
      </c>
      <c r="L1367">
        <v>353.77269999999999</v>
      </c>
      <c r="M1367">
        <v>0.31444559999999999</v>
      </c>
      <c r="N1367">
        <v>-1.40633999999999E-2</v>
      </c>
      <c r="O1367">
        <v>-0.9491714</v>
      </c>
      <c r="P1367">
        <v>6.9977250000000005E-2</v>
      </c>
      <c r="Q1367">
        <v>-8.8161840000000005E-2</v>
      </c>
      <c r="R1367">
        <v>-0.99364549999999996</v>
      </c>
      <c r="S1367">
        <v>-0.1183777</v>
      </c>
      <c r="T1367">
        <v>-0.1230282</v>
      </c>
      <c r="U1367">
        <v>-3.0176699999999999</v>
      </c>
      <c r="V1367">
        <v>0.2452954</v>
      </c>
      <c r="W1367">
        <v>-7.7028520000000003E-2</v>
      </c>
      <c r="X1367">
        <v>0.96638329999999995</v>
      </c>
      <c r="Y1367">
        <v>0.35128809999999999</v>
      </c>
      <c r="Z1367">
        <v>2.217297E-2</v>
      </c>
      <c r="AA1367">
        <v>0.93600479999999997</v>
      </c>
      <c r="AB1367">
        <v>20</v>
      </c>
      <c r="AC1367">
        <v>-1.1499999999999699</v>
      </c>
      <c r="AD1367">
        <v>-1.1053473240480001</v>
      </c>
      <c r="AE1367">
        <v>-26.819399999999899</v>
      </c>
      <c r="AF1367">
        <v>9.5096070281130007</v>
      </c>
      <c r="AG1367">
        <v>-1.1053473240480001</v>
      </c>
      <c r="AH1367">
        <v>25.054594504822099</v>
      </c>
      <c r="AI1367">
        <v>92.361908536546593</v>
      </c>
      <c r="AJ1367">
        <v>69.2154709356426</v>
      </c>
      <c r="AK1367">
        <v>26.821393034981899</v>
      </c>
      <c r="AL1367">
        <v>94.417785409728296</v>
      </c>
      <c r="AM1367">
        <v>75.7575021356988</v>
      </c>
      <c r="AN1367">
        <v>0.99999995433671895</v>
      </c>
    </row>
    <row r="1368" spans="1:40" x14ac:dyDescent="0.25">
      <c r="A1368" t="str">
        <f>"20190305135218824"</f>
        <v>20190305135218824</v>
      </c>
      <c r="B1368" t="str">
        <f>"1551765138821135"</f>
        <v>1551765138821135</v>
      </c>
      <c r="C1368" t="s">
        <v>40</v>
      </c>
      <c r="D1368">
        <v>4.6943919999999997</v>
      </c>
      <c r="E1368">
        <v>0.5371629</v>
      </c>
      <c r="F1368" t="s">
        <v>42</v>
      </c>
      <c r="G1368">
        <v>-195.2234</v>
      </c>
      <c r="H1368" s="1">
        <v>-4.3078020000000001E-6</v>
      </c>
      <c r="I1368">
        <v>326.9228</v>
      </c>
      <c r="J1368">
        <v>-194.0513</v>
      </c>
      <c r="K1368">
        <v>1.1053299999999999</v>
      </c>
      <c r="L1368">
        <v>353.57920000000001</v>
      </c>
      <c r="M1368">
        <v>0.3075639</v>
      </c>
      <c r="N1368">
        <v>-1.405529E-2</v>
      </c>
      <c r="O1368">
        <v>-0.95142380000000004</v>
      </c>
      <c r="P1368">
        <v>6.8050079999999999E-2</v>
      </c>
      <c r="Q1368">
        <v>-8.8095909999999999E-2</v>
      </c>
      <c r="R1368">
        <v>-0.99378509999999998</v>
      </c>
      <c r="S1368">
        <v>-0.12550349999999999</v>
      </c>
      <c r="T1368">
        <v>-0.12420399999999999</v>
      </c>
      <c r="U1368">
        <v>-3.017029</v>
      </c>
      <c r="V1368">
        <v>0.2401759</v>
      </c>
      <c r="W1368">
        <v>-7.6903860000000004E-2</v>
      </c>
      <c r="X1368">
        <v>0.96767829999999999</v>
      </c>
      <c r="Y1368">
        <v>0.34671970000000002</v>
      </c>
      <c r="Z1368">
        <v>2.270459E-2</v>
      </c>
      <c r="AA1368">
        <v>0.93769400000000003</v>
      </c>
      <c r="AB1368">
        <v>20</v>
      </c>
      <c r="AC1368">
        <v>-1.1720999999999999</v>
      </c>
      <c r="AD1368">
        <v>-1.1053343078019999</v>
      </c>
      <c r="AE1368">
        <v>-26.656400000000001</v>
      </c>
      <c r="AF1368">
        <v>9.2986710943246198</v>
      </c>
      <c r="AG1368">
        <v>-1.1053343078019999</v>
      </c>
      <c r="AH1368">
        <v>24.960667921198901</v>
      </c>
      <c r="AI1368">
        <v>92.376243341187504</v>
      </c>
      <c r="AJ1368">
        <v>69.567980153957905</v>
      </c>
      <c r="AK1368">
        <v>26.6593696685574</v>
      </c>
      <c r="AL1368">
        <v>94.410621556720699</v>
      </c>
      <c r="AM1368">
        <v>76.060966765724004</v>
      </c>
      <c r="AN1368">
        <v>0.99999997945729902</v>
      </c>
    </row>
    <row r="1369" spans="1:40" x14ac:dyDescent="0.25">
      <c r="A1369" t="str">
        <f>"20190305135218847"</f>
        <v>20190305135218847</v>
      </c>
      <c r="B1369" t="str">
        <f>"1551765138840656"</f>
        <v>1551765138840656</v>
      </c>
      <c r="C1369" t="s">
        <v>40</v>
      </c>
      <c r="D1369">
        <v>4.805466</v>
      </c>
      <c r="E1369">
        <v>0.53684889999999996</v>
      </c>
      <c r="F1369" t="s">
        <v>42</v>
      </c>
      <c r="G1369">
        <v>-194.7261</v>
      </c>
      <c r="H1369" s="1">
        <v>-4.9986330000000002E-6</v>
      </c>
      <c r="I1369">
        <v>329.21199999999999</v>
      </c>
      <c r="J1369">
        <v>-193.99590000000001</v>
      </c>
      <c r="K1369">
        <v>1.105332</v>
      </c>
      <c r="L1369">
        <v>353.37900000000002</v>
      </c>
      <c r="M1369">
        <v>0.30043639999999999</v>
      </c>
      <c r="N1369">
        <v>-1.4047560000000001E-2</v>
      </c>
      <c r="O1369">
        <v>-0.9536985</v>
      </c>
      <c r="P1369">
        <v>6.5879499999999994E-2</v>
      </c>
      <c r="Q1369">
        <v>-8.7679950000000006E-2</v>
      </c>
      <c r="R1369">
        <v>-0.99396810000000002</v>
      </c>
      <c r="S1369">
        <v>-8.3419800000000002E-2</v>
      </c>
      <c r="T1369">
        <v>-0.13664579999999901</v>
      </c>
      <c r="U1369">
        <v>-3.0123600000000001</v>
      </c>
      <c r="V1369">
        <v>0.235067</v>
      </c>
      <c r="W1369">
        <v>-7.6426190000000005E-2</v>
      </c>
      <c r="X1369">
        <v>0.96896979999999999</v>
      </c>
      <c r="Y1369">
        <v>0.326596</v>
      </c>
      <c r="Z1369">
        <v>2.6823380000000001E-2</v>
      </c>
      <c r="AA1369">
        <v>0.94478329999999999</v>
      </c>
      <c r="AB1369">
        <v>20</v>
      </c>
      <c r="AC1369">
        <v>-0.73019999999999596</v>
      </c>
      <c r="AD1369">
        <v>-1.1053369986329999</v>
      </c>
      <c r="AE1369">
        <v>-24.167000000000002</v>
      </c>
      <c r="AF1369">
        <v>7.9412243569609799</v>
      </c>
      <c r="AG1369">
        <v>-1.1053369986329999</v>
      </c>
      <c r="AH1369">
        <v>22.783286334952201</v>
      </c>
      <c r="AI1369">
        <v>92.623008084073206</v>
      </c>
      <c r="AJ1369">
        <v>70.7837531326213</v>
      </c>
      <c r="AK1369">
        <v>24.1529077004935</v>
      </c>
      <c r="AL1369">
        <v>94.383172357926</v>
      </c>
      <c r="AM1369">
        <v>76.363777647570501</v>
      </c>
      <c r="AN1369">
        <v>0.99999996515947698</v>
      </c>
    </row>
    <row r="1370" spans="1:40" x14ac:dyDescent="0.25">
      <c r="A1370" t="str">
        <f>"20190305135218871"</f>
        <v>20190305135218871</v>
      </c>
      <c r="B1370" t="str">
        <f>"1551765138861152"</f>
        <v>1551765138861152</v>
      </c>
      <c r="C1370" t="s">
        <v>40</v>
      </c>
      <c r="D1370">
        <v>4.8010820000000001</v>
      </c>
      <c r="E1370">
        <v>0.53640940000000004</v>
      </c>
      <c r="F1370" t="s">
        <v>42</v>
      </c>
      <c r="G1370">
        <v>-194.70650000000001</v>
      </c>
      <c r="H1370" s="1">
        <v>-4.9275849999999998E-6</v>
      </c>
      <c r="I1370">
        <v>329.01350000000002</v>
      </c>
      <c r="J1370">
        <v>-193.9374</v>
      </c>
      <c r="K1370">
        <v>1.105334</v>
      </c>
      <c r="L1370">
        <v>353.16070000000002</v>
      </c>
      <c r="M1370">
        <v>0.2926607</v>
      </c>
      <c r="N1370">
        <v>-1.403979E-2</v>
      </c>
      <c r="O1370">
        <v>-0.95611330000000005</v>
      </c>
      <c r="P1370">
        <v>6.3299659999999994E-2</v>
      </c>
      <c r="Q1370">
        <v>-8.6813130000000002E-2</v>
      </c>
      <c r="R1370">
        <v>-0.99421170000000003</v>
      </c>
      <c r="S1370">
        <v>-8.7844850000000002E-2</v>
      </c>
      <c r="T1370">
        <v>-0.13663699999999901</v>
      </c>
      <c r="U1370">
        <v>-3.0119630000000002</v>
      </c>
      <c r="V1370">
        <v>0.2297273</v>
      </c>
      <c r="W1370">
        <v>-7.5488979999999997E-2</v>
      </c>
      <c r="X1370">
        <v>0.97032300000000005</v>
      </c>
      <c r="Y1370">
        <v>0.32028649999999997</v>
      </c>
      <c r="Z1370">
        <v>2.704465E-2</v>
      </c>
      <c r="AA1370">
        <v>0.94693459999999996</v>
      </c>
      <c r="AB1370">
        <v>20</v>
      </c>
      <c r="AC1370">
        <v>-0.769100000000008</v>
      </c>
      <c r="AD1370">
        <v>-1.1053389275849901</v>
      </c>
      <c r="AE1370">
        <v>-24.147200000000002</v>
      </c>
      <c r="AF1370">
        <v>7.7867526474284503</v>
      </c>
      <c r="AG1370">
        <v>-1.1053389275849901</v>
      </c>
      <c r="AH1370">
        <v>22.816865879756399</v>
      </c>
      <c r="AI1370">
        <v>92.625035937139799</v>
      </c>
      <c r="AJ1370">
        <v>71.156674646859202</v>
      </c>
      <c r="AK1370">
        <v>24.134304620433198</v>
      </c>
      <c r="AL1370">
        <v>94.329318568609395</v>
      </c>
      <c r="AM1370">
        <v>76.680279604766994</v>
      </c>
      <c r="AN1370">
        <v>0.99999997139786401</v>
      </c>
    </row>
    <row r="1371" spans="1:40" x14ac:dyDescent="0.25">
      <c r="A1371" t="str">
        <f>"20190305135218893"</f>
        <v>20190305135218893</v>
      </c>
      <c r="B1371" t="str">
        <f>"1551765138880671"</f>
        <v>1551765138880671</v>
      </c>
      <c r="C1371" t="s">
        <v>40</v>
      </c>
      <c r="D1371">
        <v>4.7706679999999997</v>
      </c>
      <c r="E1371">
        <v>0.53572919999999902</v>
      </c>
      <c r="F1371" t="s">
        <v>42</v>
      </c>
      <c r="G1371">
        <v>-194.7098</v>
      </c>
      <c r="H1371" s="1">
        <v>-4.5697660000000002E-6</v>
      </c>
      <c r="I1371">
        <v>327.96030000000002</v>
      </c>
      <c r="J1371">
        <v>-193.8862</v>
      </c>
      <c r="K1371">
        <v>1.105337</v>
      </c>
      <c r="L1371">
        <v>352.96390000000002</v>
      </c>
      <c r="M1371">
        <v>0.2856535</v>
      </c>
      <c r="N1371">
        <v>-1.403276E-2</v>
      </c>
      <c r="O1371">
        <v>-0.95823040000000004</v>
      </c>
      <c r="P1371">
        <v>6.1872190000000001E-2</v>
      </c>
      <c r="Q1371">
        <v>-8.6310799999999993E-2</v>
      </c>
      <c r="R1371">
        <v>-0.99434540000000005</v>
      </c>
      <c r="S1371">
        <v>-9.2315670000000002E-2</v>
      </c>
      <c r="T1371">
        <v>-0.13210539999999901</v>
      </c>
      <c r="U1371">
        <v>-3.011841</v>
      </c>
      <c r="V1371">
        <v>0.2240403</v>
      </c>
      <c r="W1371">
        <v>-7.4909020000000007E-2</v>
      </c>
      <c r="X1371">
        <v>0.97169669999999997</v>
      </c>
      <c r="Y1371">
        <v>0.31475969999999998</v>
      </c>
      <c r="Z1371">
        <v>2.5868149999999999E-2</v>
      </c>
      <c r="AA1371">
        <v>0.94881879999999996</v>
      </c>
      <c r="AB1371">
        <v>20</v>
      </c>
      <c r="AC1371">
        <v>-0.823599999999999</v>
      </c>
      <c r="AD1371">
        <v>-1.1053415697660001</v>
      </c>
      <c r="AE1371">
        <v>-25.003599999999999</v>
      </c>
      <c r="AF1371">
        <v>7.9168890227416897</v>
      </c>
      <c r="AG1371">
        <v>-1.1053415697660001</v>
      </c>
      <c r="AH1371">
        <v>23.6800501461965</v>
      </c>
      <c r="AI1371">
        <v>92.534805479312496</v>
      </c>
      <c r="AJ1371">
        <v>71.513807481224703</v>
      </c>
      <c r="AK1371">
        <v>24.992872718249899</v>
      </c>
      <c r="AL1371">
        <v>94.295995057437494</v>
      </c>
      <c r="AM1371">
        <v>77.016434806127506</v>
      </c>
      <c r="AN1371">
        <v>0.99999994704616801</v>
      </c>
    </row>
    <row r="1372" spans="1:40" x14ac:dyDescent="0.25">
      <c r="A1372" t="str">
        <f>"20190305135218913"</f>
        <v>20190305135218913</v>
      </c>
      <c r="B1372" t="str">
        <f>"1551765138910927"</f>
        <v>1551765138910927</v>
      </c>
      <c r="C1372" t="s">
        <v>40</v>
      </c>
      <c r="D1372">
        <v>4.7646480000000002</v>
      </c>
      <c r="E1372">
        <v>0.53532440000000003</v>
      </c>
      <c r="F1372" t="s">
        <v>42</v>
      </c>
      <c r="G1372">
        <v>-194.64779999999999</v>
      </c>
      <c r="H1372" s="1">
        <v>-4.5424659999999996E-6</v>
      </c>
      <c r="I1372">
        <v>327.91239999999999</v>
      </c>
      <c r="J1372">
        <v>-193.83959999999999</v>
      </c>
      <c r="K1372">
        <v>1.1053519999999999</v>
      </c>
      <c r="L1372">
        <v>352.77969999999999</v>
      </c>
      <c r="M1372">
        <v>0.27910459999999998</v>
      </c>
      <c r="N1372">
        <v>-1.402603E-2</v>
      </c>
      <c r="O1372">
        <v>-0.96015839999999997</v>
      </c>
      <c r="P1372">
        <v>6.1133930000000003E-2</v>
      </c>
      <c r="Q1372">
        <v>-8.7177679999999994E-2</v>
      </c>
      <c r="R1372">
        <v>-0.99431539999999996</v>
      </c>
      <c r="S1372">
        <v>-9.1552729999999999E-2</v>
      </c>
      <c r="T1372">
        <v>-0.1328636</v>
      </c>
      <c r="U1372">
        <v>-3.0112299999999999</v>
      </c>
      <c r="V1372">
        <v>0.21810450000000001</v>
      </c>
      <c r="W1372">
        <v>-7.5694949999999997E-2</v>
      </c>
      <c r="X1372">
        <v>0.9729854</v>
      </c>
      <c r="Y1372">
        <v>0.30803989999999998</v>
      </c>
      <c r="Z1372">
        <v>2.629047E-2</v>
      </c>
      <c r="AA1372">
        <v>0.95101009999999997</v>
      </c>
      <c r="AB1372">
        <v>20</v>
      </c>
      <c r="AC1372">
        <v>-0.80819999999999903</v>
      </c>
      <c r="AD1372">
        <v>-1.1053565424659999</v>
      </c>
      <c r="AE1372">
        <v>-24.8673</v>
      </c>
      <c r="AF1372">
        <v>7.7021340077011198</v>
      </c>
      <c r="AG1372">
        <v>-1.1053565424659999</v>
      </c>
      <c r="AH1372">
        <v>23.606704931055301</v>
      </c>
      <c r="AI1372">
        <v>92.548806488601002</v>
      </c>
      <c r="AJ1372">
        <v>71.930105128731597</v>
      </c>
      <c r="AK1372">
        <v>24.8560093148613</v>
      </c>
      <c r="AL1372">
        <v>94.341153764150405</v>
      </c>
      <c r="AM1372">
        <v>77.365428897176301</v>
      </c>
      <c r="AN1372">
        <v>0.99999994349445398</v>
      </c>
    </row>
    <row r="1373" spans="1:40" x14ac:dyDescent="0.25">
      <c r="A1373" t="str">
        <f>"20190305135218937"</f>
        <v>20190305135218937</v>
      </c>
      <c r="B1373" t="str">
        <f>"1551765138930446"</f>
        <v>1551765138930446</v>
      </c>
      <c r="C1373" t="s">
        <v>40</v>
      </c>
      <c r="D1373">
        <v>4.7850760000000001</v>
      </c>
      <c r="E1373">
        <v>0.53526629999999997</v>
      </c>
      <c r="F1373" t="s">
        <v>42</v>
      </c>
      <c r="G1373">
        <v>-194.5641</v>
      </c>
      <c r="H1373" s="1">
        <v>-4.83341E-6</v>
      </c>
      <c r="I1373">
        <v>328.8109</v>
      </c>
      <c r="J1373">
        <v>-193.78880000000001</v>
      </c>
      <c r="K1373">
        <v>1.105378</v>
      </c>
      <c r="L1373">
        <v>352.57249999999999</v>
      </c>
      <c r="M1373">
        <v>0.27176509999999998</v>
      </c>
      <c r="N1373">
        <v>-1.4018320000000001E-2</v>
      </c>
      <c r="O1373">
        <v>-0.96226149999999999</v>
      </c>
      <c r="P1373">
        <v>6.0526160000000002E-2</v>
      </c>
      <c r="Q1373">
        <v>-8.7826130000000002E-2</v>
      </c>
      <c r="R1373">
        <v>-0.99429540000000005</v>
      </c>
      <c r="S1373">
        <v>-9.1003420000000002E-2</v>
      </c>
      <c r="T1373">
        <v>-0.13883670000000001</v>
      </c>
      <c r="U1373">
        <v>-3.0105590000000002</v>
      </c>
      <c r="V1373">
        <v>0.21125640000000001</v>
      </c>
      <c r="W1373">
        <v>-7.6247930000000005E-2</v>
      </c>
      <c r="X1373">
        <v>0.97445210000000004</v>
      </c>
      <c r="Y1373">
        <v>0.3005969</v>
      </c>
      <c r="Z1373">
        <v>2.8322239999999999E-2</v>
      </c>
      <c r="AA1373">
        <v>0.95333069999999998</v>
      </c>
      <c r="AB1373">
        <v>20</v>
      </c>
      <c r="AC1373">
        <v>-0.775299999999987</v>
      </c>
      <c r="AD1373">
        <v>-1.10538283341</v>
      </c>
      <c r="AE1373">
        <v>-23.761599999999898</v>
      </c>
      <c r="AF1373">
        <v>7.1887823477425696</v>
      </c>
      <c r="AG1373">
        <v>-1.10538283341</v>
      </c>
      <c r="AH1373">
        <v>22.6075273320556</v>
      </c>
      <c r="AI1373">
        <v>92.6677949247469</v>
      </c>
      <c r="AJ1373">
        <v>72.360282754489305</v>
      </c>
      <c r="AK1373">
        <v>23.7487000680301</v>
      </c>
      <c r="AL1373">
        <v>94.372928969922199</v>
      </c>
      <c r="AM1373">
        <v>77.767851055343399</v>
      </c>
      <c r="AN1373">
        <v>0.99999995428232602</v>
      </c>
    </row>
    <row r="1374" spans="1:40" x14ac:dyDescent="0.25">
      <c r="A1374" t="str">
        <f>"20190305135218959"</f>
        <v>20190305135218959</v>
      </c>
      <c r="B1374" t="str">
        <f>"1551765138950943"</f>
        <v>1551765138950943</v>
      </c>
      <c r="C1374" t="s">
        <v>40</v>
      </c>
      <c r="D1374">
        <v>4.7911419999999998</v>
      </c>
      <c r="E1374">
        <v>0.53518149999999998</v>
      </c>
      <c r="F1374" t="s">
        <v>42</v>
      </c>
      <c r="G1374">
        <v>-194.5051</v>
      </c>
      <c r="H1374" s="1">
        <v>-4.9675439999999998E-6</v>
      </c>
      <c r="I1374">
        <v>329.23579999999998</v>
      </c>
      <c r="J1374">
        <v>-193.7413</v>
      </c>
      <c r="K1374">
        <v>1.1054299999999999</v>
      </c>
      <c r="L1374">
        <v>352.37290000000002</v>
      </c>
      <c r="M1374">
        <v>0.26473239999999998</v>
      </c>
      <c r="N1374">
        <v>-1.401029E-2</v>
      </c>
      <c r="O1374">
        <v>-0.96422050000000004</v>
      </c>
      <c r="P1374">
        <v>6.0258800000000001E-2</v>
      </c>
      <c r="Q1374">
        <v>-8.8739960000000007E-2</v>
      </c>
      <c r="R1374">
        <v>-0.99423050000000002</v>
      </c>
      <c r="S1374">
        <v>-9.2407230000000007E-2</v>
      </c>
      <c r="T1374">
        <v>-0.14258779999999999</v>
      </c>
      <c r="U1374">
        <v>-3.010284</v>
      </c>
      <c r="V1374">
        <v>0.2043828</v>
      </c>
      <c r="W1374">
        <v>-7.7065969999999998E-2</v>
      </c>
      <c r="X1374">
        <v>0.97585270000000002</v>
      </c>
      <c r="Y1374">
        <v>0.29407280000000002</v>
      </c>
      <c r="Z1374">
        <v>2.966533E-2</v>
      </c>
      <c r="AA1374">
        <v>0.95532260000000002</v>
      </c>
      <c r="AB1374">
        <v>20</v>
      </c>
      <c r="AC1374">
        <v>-0.76380000000000303</v>
      </c>
      <c r="AD1374">
        <v>-1.1054349675439901</v>
      </c>
      <c r="AE1374">
        <v>-23.1371</v>
      </c>
      <c r="AF1374">
        <v>6.8466708667637599</v>
      </c>
      <c r="AG1374">
        <v>-1.1054349675439901</v>
      </c>
      <c r="AH1374">
        <v>22.058926668935801</v>
      </c>
      <c r="AI1374">
        <v>92.740111752589399</v>
      </c>
      <c r="AJ1374">
        <v>72.756652188144997</v>
      </c>
      <c r="AK1374">
        <v>23.123475824597602</v>
      </c>
      <c r="AL1374">
        <v>94.419937365587401</v>
      </c>
      <c r="AM1374">
        <v>78.1709429220234</v>
      </c>
      <c r="AN1374">
        <v>0.99999999238258497</v>
      </c>
    </row>
    <row r="1375" spans="1:40" x14ac:dyDescent="0.25">
      <c r="A1375" t="str">
        <f>"20190305135218983"</f>
        <v>20190305135218983</v>
      </c>
      <c r="B1375" t="str">
        <f>"1551765138970463"</f>
        <v>1551765138970463</v>
      </c>
      <c r="C1375" t="s">
        <v>40</v>
      </c>
      <c r="D1375">
        <v>4.7866739999999997</v>
      </c>
      <c r="E1375">
        <v>0.53522230000000004</v>
      </c>
      <c r="F1375" t="s">
        <v>42</v>
      </c>
      <c r="G1375">
        <v>-194.4383</v>
      </c>
      <c r="H1375" s="1">
        <v>-1.247572E-6</v>
      </c>
      <c r="I1375">
        <v>329.74450000000002</v>
      </c>
      <c r="J1375">
        <v>-193.69380000000001</v>
      </c>
      <c r="K1375">
        <v>1.105494</v>
      </c>
      <c r="L1375">
        <v>352.16649999999998</v>
      </c>
      <c r="M1375">
        <v>0.25750820000000002</v>
      </c>
      <c r="N1375">
        <v>-1.4001069999999999E-2</v>
      </c>
      <c r="O1375">
        <v>-0.9661748</v>
      </c>
      <c r="P1375">
        <v>5.9545229999999998E-2</v>
      </c>
      <c r="Q1375">
        <v>-8.7095339999999993E-2</v>
      </c>
      <c r="R1375">
        <v>-0.99441869999999999</v>
      </c>
      <c r="S1375">
        <v>-9.27124E-2</v>
      </c>
      <c r="T1375">
        <v>-0.14703749999999999</v>
      </c>
      <c r="U1375">
        <v>-3.0098880000000001</v>
      </c>
      <c r="V1375">
        <v>0.19784399999999999</v>
      </c>
      <c r="W1375">
        <v>-7.5325210000000004E-2</v>
      </c>
      <c r="X1375">
        <v>0.97733510000000001</v>
      </c>
      <c r="Y1375">
        <v>0.28701090000000001</v>
      </c>
      <c r="Z1375">
        <v>3.1239579999999999E-2</v>
      </c>
      <c r="AA1375">
        <v>0.95741779999999999</v>
      </c>
      <c r="AB1375">
        <v>20</v>
      </c>
      <c r="AC1375">
        <v>-0.74449999999998795</v>
      </c>
      <c r="AD1375">
        <v>-1.1054952475719999</v>
      </c>
      <c r="AE1375">
        <v>-22.421999999999901</v>
      </c>
      <c r="AF1375">
        <v>6.4780715893268104</v>
      </c>
      <c r="AG1375">
        <v>-1.1054952475719999</v>
      </c>
      <c r="AH1375">
        <v>21.4219417235736</v>
      </c>
      <c r="AI1375">
        <v>92.827914760038794</v>
      </c>
      <c r="AJ1375">
        <v>73.174496151266098</v>
      </c>
      <c r="AK1375">
        <v>22.407300561804199</v>
      </c>
      <c r="AL1375">
        <v>94.319908250483493</v>
      </c>
      <c r="AM1375">
        <v>78.556140737076802</v>
      </c>
      <c r="AN1375">
        <v>1.00000001664477</v>
      </c>
    </row>
    <row r="1376" spans="1:40" x14ac:dyDescent="0.25">
      <c r="A1376" t="str">
        <f>"20190305135219003"</f>
        <v>20190305135219003</v>
      </c>
      <c r="B1376" t="str">
        <f>"1551765139000720"</f>
        <v>1551765139000720</v>
      </c>
      <c r="C1376" t="s">
        <v>40</v>
      </c>
      <c r="D1376">
        <v>4.7880900000000004</v>
      </c>
      <c r="E1376">
        <v>0.53531280000000003</v>
      </c>
      <c r="F1376" t="s">
        <v>42</v>
      </c>
      <c r="G1376">
        <v>-194.4263</v>
      </c>
      <c r="H1376" s="1">
        <v>-4.8798250000000003E-6</v>
      </c>
      <c r="I1376">
        <v>329.01920000000001</v>
      </c>
      <c r="J1376">
        <v>-193.65219999999999</v>
      </c>
      <c r="K1376">
        <v>1.105564</v>
      </c>
      <c r="L1376">
        <v>351.97969999999998</v>
      </c>
      <c r="M1376">
        <v>0.25103730000000002</v>
      </c>
      <c r="N1376">
        <v>-1.399164E-2</v>
      </c>
      <c r="O1376">
        <v>-0.96787650000000003</v>
      </c>
      <c r="P1376">
        <v>5.7582580000000001E-2</v>
      </c>
      <c r="Q1376">
        <v>-8.2689319999999997E-2</v>
      </c>
      <c r="R1376">
        <v>-0.99491079999999998</v>
      </c>
      <c r="S1376">
        <v>-9.5245360000000001E-2</v>
      </c>
      <c r="T1376">
        <v>-0.14375170000000001</v>
      </c>
      <c r="U1376">
        <v>-3.0099179999999999</v>
      </c>
      <c r="V1376">
        <v>0.19338169999999999</v>
      </c>
      <c r="W1376">
        <v>-7.0844119999999997E-2</v>
      </c>
      <c r="X1376">
        <v>0.9785625</v>
      </c>
      <c r="Y1376">
        <v>0.28140739999999997</v>
      </c>
      <c r="Z1376">
        <v>3.039913E-2</v>
      </c>
      <c r="AA1376">
        <v>0.95910669999999998</v>
      </c>
      <c r="AB1376">
        <v>20</v>
      </c>
      <c r="AC1376">
        <v>-0.77410000000000401</v>
      </c>
      <c r="AD1376">
        <v>-1.1055688798250001</v>
      </c>
      <c r="AE1376">
        <v>-22.9604999999999</v>
      </c>
      <c r="AF1376">
        <v>6.4987610745677902</v>
      </c>
      <c r="AG1376">
        <v>-1.1055688798250001</v>
      </c>
      <c r="AH1376">
        <v>21.979849778445601</v>
      </c>
      <c r="AI1376">
        <v>92.761522273815899</v>
      </c>
      <c r="AJ1376">
        <v>73.528682909262699</v>
      </c>
      <c r="AK1376">
        <v>22.947112548976399</v>
      </c>
      <c r="AL1376">
        <v>94.062472233975896</v>
      </c>
      <c r="AM1376">
        <v>78.8213491522136</v>
      </c>
      <c r="AN1376">
        <v>0.99999996881985598</v>
      </c>
    </row>
    <row r="1377" spans="1:40" x14ac:dyDescent="0.25">
      <c r="A1377" t="str">
        <f>"20190305135219025"</f>
        <v>20190305135219025</v>
      </c>
      <c r="B1377" t="str">
        <f>"1551765139021214"</f>
        <v>1551765139021214</v>
      </c>
      <c r="C1377" t="s">
        <v>40</v>
      </c>
      <c r="D1377">
        <v>4.7432359999999996</v>
      </c>
      <c r="E1377">
        <v>0.53537080000000004</v>
      </c>
      <c r="F1377" t="s">
        <v>42</v>
      </c>
      <c r="G1377">
        <v>-194.5121</v>
      </c>
      <c r="H1377" s="1">
        <v>-4.0839269999999997E-6</v>
      </c>
      <c r="I1377">
        <v>326.63569999999999</v>
      </c>
      <c r="J1377">
        <v>-193.6104</v>
      </c>
      <c r="K1377">
        <v>1.105642</v>
      </c>
      <c r="L1377">
        <v>351.78660000000002</v>
      </c>
      <c r="M1377">
        <v>0.2444317</v>
      </c>
      <c r="N1377">
        <v>-1.3980390000000001E-2</v>
      </c>
      <c r="O1377">
        <v>-0.96956569999999997</v>
      </c>
      <c r="P1377">
        <v>5.3228030000000003E-2</v>
      </c>
      <c r="Q1377">
        <v>-7.8691860000000002E-2</v>
      </c>
      <c r="R1377">
        <v>-0.9954771</v>
      </c>
      <c r="S1377">
        <v>-0.10214230000000001</v>
      </c>
      <c r="T1377">
        <v>-0.13131870000000001</v>
      </c>
      <c r="U1377">
        <v>-3.010345</v>
      </c>
      <c r="V1377">
        <v>0.19112180000000001</v>
      </c>
      <c r="W1377">
        <v>-6.6793740000000004E-2</v>
      </c>
      <c r="X1377">
        <v>0.97929109999999997</v>
      </c>
      <c r="Y1377">
        <v>0.27706730000000002</v>
      </c>
      <c r="Z1377">
        <v>2.6700620000000001E-2</v>
      </c>
      <c r="AA1377">
        <v>0.96047939999999998</v>
      </c>
      <c r="AB1377">
        <v>20</v>
      </c>
      <c r="AC1377">
        <v>-0.90170000000000505</v>
      </c>
      <c r="AD1377">
        <v>-1.1056460839269999</v>
      </c>
      <c r="AE1377">
        <v>-25.1509</v>
      </c>
      <c r="AF1377">
        <v>7.0090932582735297</v>
      </c>
      <c r="AG1377">
        <v>-1.1056460839269999</v>
      </c>
      <c r="AH1377">
        <v>24.120854024431601</v>
      </c>
      <c r="AI1377">
        <v>92.520365108687898</v>
      </c>
      <c r="AJ1377">
        <v>73.7970705981012</v>
      </c>
      <c r="AK1377">
        <v>25.142900398204201</v>
      </c>
      <c r="AL1377">
        <v>93.829850750670104</v>
      </c>
      <c r="AM1377">
        <v>78.956771007776595</v>
      </c>
      <c r="AN1377">
        <v>1.00000000233881</v>
      </c>
    </row>
    <row r="1378" spans="1:40" x14ac:dyDescent="0.25">
      <c r="A1378" t="str">
        <f>"20190305135219048"</f>
        <v>20190305135219048</v>
      </c>
      <c r="B1378" t="str">
        <f>"1551765139040735"</f>
        <v>1551765139040735</v>
      </c>
      <c r="C1378" t="s">
        <v>40</v>
      </c>
      <c r="D1378">
        <v>4.8028209999999998</v>
      </c>
      <c r="E1378">
        <v>0.53537829999999997</v>
      </c>
      <c r="F1378" t="s">
        <v>42</v>
      </c>
      <c r="G1378">
        <v>-194.67240000000001</v>
      </c>
      <c r="H1378" s="1">
        <v>-3.2619399999999999E-6</v>
      </c>
      <c r="I1378">
        <v>324.29480000000001</v>
      </c>
      <c r="J1378">
        <v>-193.56809999999999</v>
      </c>
      <c r="K1378">
        <v>1.105745</v>
      </c>
      <c r="L1378">
        <v>351.58429999999998</v>
      </c>
      <c r="M1378">
        <v>0.23764769999999999</v>
      </c>
      <c r="N1378">
        <v>-1.396565E-2</v>
      </c>
      <c r="O1378">
        <v>-0.97125110000000003</v>
      </c>
      <c r="P1378">
        <v>4.9002980000000002E-2</v>
      </c>
      <c r="Q1378">
        <v>-7.7427969999999999E-2</v>
      </c>
      <c r="R1378">
        <v>-0.99579320000000004</v>
      </c>
      <c r="S1378">
        <v>-0.11628719999999999</v>
      </c>
      <c r="T1378">
        <v>-0.12106550000000001</v>
      </c>
      <c r="U1378">
        <v>-3.010284</v>
      </c>
      <c r="V1378">
        <v>0.1884844</v>
      </c>
      <c r="W1378">
        <v>-6.5466650000000001E-2</v>
      </c>
      <c r="X1378">
        <v>0.97989170000000003</v>
      </c>
      <c r="Y1378">
        <v>0.27486909999999998</v>
      </c>
      <c r="Z1378">
        <v>2.3644189999999999E-2</v>
      </c>
      <c r="AA1378">
        <v>0.96119089999999996</v>
      </c>
      <c r="AB1378">
        <v>20</v>
      </c>
      <c r="AC1378">
        <v>-1.10430000000002</v>
      </c>
      <c r="AD1378">
        <v>-1.1057482619399901</v>
      </c>
      <c r="AE1378">
        <v>-27.289499999999901</v>
      </c>
      <c r="AF1378">
        <v>7.5462068701223197</v>
      </c>
      <c r="AG1378">
        <v>-1.1057482619399901</v>
      </c>
      <c r="AH1378">
        <v>26.202131428896699</v>
      </c>
      <c r="AI1378">
        <v>92.322209578894004</v>
      </c>
      <c r="AJ1378">
        <v>73.933613561668906</v>
      </c>
      <c r="AK1378">
        <v>27.289551274482999</v>
      </c>
      <c r="AL1378">
        <v>93.753647298077098</v>
      </c>
      <c r="AM1378">
        <v>79.112009537089904</v>
      </c>
      <c r="AN1378">
        <v>0.99999999751723601</v>
      </c>
    </row>
    <row r="1379" spans="1:40" x14ac:dyDescent="0.25">
      <c r="A1379" t="str">
        <f>"20190305135219072"</f>
        <v>20190305135219072</v>
      </c>
      <c r="B1379" t="str">
        <f>"1551765139061231"</f>
        <v>1551765139061231</v>
      </c>
      <c r="C1379" t="s">
        <v>40</v>
      </c>
      <c r="D1379">
        <v>4.827769</v>
      </c>
      <c r="E1379">
        <v>0.53543390000000002</v>
      </c>
      <c r="F1379" t="s">
        <v>42</v>
      </c>
      <c r="G1379">
        <v>-194.7732</v>
      </c>
      <c r="H1379" s="1">
        <v>-2.959593E-6</v>
      </c>
      <c r="I1379">
        <v>323.52760000000001</v>
      </c>
      <c r="J1379">
        <v>-193.52430000000001</v>
      </c>
      <c r="K1379">
        <v>1.1058600000000001</v>
      </c>
      <c r="L1379">
        <v>351.36770000000001</v>
      </c>
      <c r="M1379">
        <v>0.23056170000000001</v>
      </c>
      <c r="N1379">
        <v>-1.3947090000000001E-2</v>
      </c>
      <c r="O1379">
        <v>-0.97295779999999998</v>
      </c>
      <c r="P1379">
        <v>4.3617030000000001E-2</v>
      </c>
      <c r="Q1379">
        <v>-7.8550430000000004E-2</v>
      </c>
      <c r="R1379">
        <v>-0.9959557</v>
      </c>
      <c r="S1379">
        <v>-0.12927249999999901</v>
      </c>
      <c r="T1379">
        <v>-0.11862209999999999</v>
      </c>
      <c r="U1379">
        <v>-3.0098569999999998</v>
      </c>
      <c r="V1379">
        <v>0.18663270000000001</v>
      </c>
      <c r="W1379">
        <v>-6.6528149999999994E-2</v>
      </c>
      <c r="X1379">
        <v>0.98017460000000001</v>
      </c>
      <c r="Y1379">
        <v>0.27200839999999998</v>
      </c>
      <c r="Z1379">
        <v>2.3017019999999999E-2</v>
      </c>
      <c r="AA1379">
        <v>0.96201959999999997</v>
      </c>
      <c r="AB1379">
        <v>20</v>
      </c>
      <c r="AC1379">
        <v>-1.2488999999999899</v>
      </c>
      <c r="AD1379">
        <v>-1.1058629595930001</v>
      </c>
      <c r="AE1379">
        <v>-27.8401</v>
      </c>
      <c r="AF1379">
        <v>7.6227267613262404</v>
      </c>
      <c r="AG1379">
        <v>-1.1058629595930001</v>
      </c>
      <c r="AH1379">
        <v>26.759761867244201</v>
      </c>
      <c r="AI1379">
        <v>92.275995598640606</v>
      </c>
      <c r="AJ1379">
        <v>74.0999840118983</v>
      </c>
      <c r="AK1379">
        <v>27.846252016292201</v>
      </c>
      <c r="AL1379">
        <v>93.8145996389093</v>
      </c>
      <c r="AM1379">
        <v>79.219494148530998</v>
      </c>
      <c r="AN1379">
        <v>1.0000000029684299</v>
      </c>
    </row>
    <row r="1380" spans="1:40" x14ac:dyDescent="0.25">
      <c r="A1380" t="str">
        <f>"20190305135219094"</f>
        <v>20190305135219094</v>
      </c>
      <c r="B1380" t="str">
        <f>"1551765139090511"</f>
        <v>1551765139090511</v>
      </c>
      <c r="C1380" t="s">
        <v>40</v>
      </c>
      <c r="D1380">
        <v>4.8296270000000003</v>
      </c>
      <c r="E1380">
        <v>0.53538269999999899</v>
      </c>
      <c r="F1380" t="s">
        <v>42</v>
      </c>
      <c r="G1380">
        <v>-194.8271</v>
      </c>
      <c r="H1380" s="1">
        <v>-3.4309780000000001E-6</v>
      </c>
      <c r="I1380">
        <v>324.59289999999999</v>
      </c>
      <c r="J1380">
        <v>-193.48580000000001</v>
      </c>
      <c r="K1380">
        <v>1.105966</v>
      </c>
      <c r="L1380">
        <v>351.17189999999999</v>
      </c>
      <c r="M1380">
        <v>0.22430079999999999</v>
      </c>
      <c r="N1380">
        <v>-1.392908E-2</v>
      </c>
      <c r="O1380">
        <v>-0.97442039999999996</v>
      </c>
      <c r="P1380">
        <v>3.8494830000000001E-2</v>
      </c>
      <c r="Q1380">
        <v>-7.9860029999999999E-2</v>
      </c>
      <c r="R1380">
        <v>-0.99606260000000002</v>
      </c>
      <c r="S1380">
        <v>-0.14640810000000001</v>
      </c>
      <c r="T1380">
        <v>-0.12427009999999999</v>
      </c>
      <c r="U1380">
        <v>-3.0087890000000002</v>
      </c>
      <c r="V1380">
        <v>0.18535670000000001</v>
      </c>
      <c r="W1380">
        <v>-6.7787509999999995E-2</v>
      </c>
      <c r="X1380">
        <v>0.98033040000000005</v>
      </c>
      <c r="Y1380">
        <v>0.27129730000000002</v>
      </c>
      <c r="Z1380">
        <v>2.489216E-2</v>
      </c>
      <c r="AA1380">
        <v>0.96217359999999996</v>
      </c>
      <c r="AB1380">
        <v>20</v>
      </c>
      <c r="AC1380">
        <v>-1.34129999999998</v>
      </c>
      <c r="AD1380">
        <v>-1.1059694309779999</v>
      </c>
      <c r="AE1380">
        <v>-26.579000000000001</v>
      </c>
      <c r="AF1380">
        <v>7.2568534052727696</v>
      </c>
      <c r="AG1380">
        <v>-1.1059694309779999</v>
      </c>
      <c r="AH1380">
        <v>25.556611501310201</v>
      </c>
      <c r="AI1380">
        <v>92.383820362437504</v>
      </c>
      <c r="AJ1380">
        <v>74.147993437160494</v>
      </c>
      <c r="AK1380">
        <v>26.589950755064901</v>
      </c>
      <c r="AL1380">
        <v>93.886919043867707</v>
      </c>
      <c r="AM1380">
        <v>79.293152413690905</v>
      </c>
      <c r="AN1380">
        <v>0.99999997295552401</v>
      </c>
    </row>
    <row r="1381" spans="1:40" x14ac:dyDescent="0.25">
      <c r="A1381" t="str">
        <f>"20190305135219115"</f>
        <v>20190305135219115</v>
      </c>
      <c r="B1381" t="str">
        <f>"1551765139111007"</f>
        <v>1551765139111007</v>
      </c>
      <c r="C1381" t="s">
        <v>40</v>
      </c>
      <c r="D1381">
        <v>4.7924439999999997</v>
      </c>
      <c r="E1381">
        <v>0.53527499999999995</v>
      </c>
      <c r="F1381" t="s">
        <v>42</v>
      </c>
      <c r="G1381">
        <v>-194.85740000000001</v>
      </c>
      <c r="H1381" s="1">
        <v>-3.8258949999999997E-6</v>
      </c>
      <c r="I1381">
        <v>325.69740000000002</v>
      </c>
      <c r="J1381">
        <v>-193.44970000000001</v>
      </c>
      <c r="K1381">
        <v>1.106066</v>
      </c>
      <c r="L1381">
        <v>350.983</v>
      </c>
      <c r="M1381">
        <v>0.21842329999999999</v>
      </c>
      <c r="N1381">
        <v>-1.391121E-2</v>
      </c>
      <c r="O1381">
        <v>-0.97575489999999998</v>
      </c>
      <c r="P1381">
        <v>3.325343E-2</v>
      </c>
      <c r="Q1381">
        <v>-8.2550159999999997E-2</v>
      </c>
      <c r="R1381">
        <v>-0.99603209999999998</v>
      </c>
      <c r="S1381">
        <v>-0.16194149999999999</v>
      </c>
      <c r="T1381">
        <v>-0.13057579999999999</v>
      </c>
      <c r="U1381">
        <v>-3.0076290000000001</v>
      </c>
      <c r="V1381">
        <v>0.18455630000000001</v>
      </c>
      <c r="W1381">
        <v>-7.0434640000000007E-2</v>
      </c>
      <c r="X1381">
        <v>0.98029480000000002</v>
      </c>
      <c r="Y1381">
        <v>0.27046330000000002</v>
      </c>
      <c r="Z1381">
        <v>2.6977109999999999E-2</v>
      </c>
      <c r="AA1381">
        <v>0.96235230000000005</v>
      </c>
      <c r="AB1381">
        <v>20</v>
      </c>
      <c r="AC1381">
        <v>-1.4077</v>
      </c>
      <c r="AD1381">
        <v>-1.1060698258949999</v>
      </c>
      <c r="AE1381">
        <v>-25.285599999999899</v>
      </c>
      <c r="AF1381">
        <v>6.8840705082052196</v>
      </c>
      <c r="AG1381">
        <v>-1.1060698258949999</v>
      </c>
      <c r="AH1381">
        <v>24.321039497081902</v>
      </c>
      <c r="AI1381">
        <v>92.505593485107497</v>
      </c>
      <c r="AJ1381">
        <v>74.195833996508696</v>
      </c>
      <c r="AK1381">
        <v>25.3007268559683</v>
      </c>
      <c r="AL1381">
        <v>94.038951953990804</v>
      </c>
      <c r="AM1381">
        <v>79.337945873861301</v>
      </c>
      <c r="AN1381">
        <v>0.99999998064432905</v>
      </c>
    </row>
    <row r="1382" spans="1:40" x14ac:dyDescent="0.25">
      <c r="A1382" t="str">
        <f>"20190305135219138"</f>
        <v>20190305135219138</v>
      </c>
      <c r="B1382" t="str">
        <f>"1551765139130528"</f>
        <v>1551765139130528</v>
      </c>
      <c r="C1382" t="s">
        <v>40</v>
      </c>
      <c r="D1382">
        <v>4.8086699999999896</v>
      </c>
      <c r="E1382">
        <v>0.53505970000000003</v>
      </c>
      <c r="F1382" t="s">
        <v>42</v>
      </c>
      <c r="G1382">
        <v>-194.84719999999999</v>
      </c>
      <c r="H1382" s="1">
        <v>-4.3550650000000001E-6</v>
      </c>
      <c r="I1382">
        <v>327.25779999999997</v>
      </c>
      <c r="J1382">
        <v>-193.41159999999999</v>
      </c>
      <c r="K1382">
        <v>1.106196</v>
      </c>
      <c r="L1382">
        <v>350.77809999999999</v>
      </c>
      <c r="M1382">
        <v>0.2122685</v>
      </c>
      <c r="N1382">
        <v>-1.3890319999999999E-2</v>
      </c>
      <c r="O1382">
        <v>-0.97711269999999995</v>
      </c>
      <c r="P1382">
        <v>2.8818819999999998E-2</v>
      </c>
      <c r="Q1382">
        <v>-8.6310590000000006E-2</v>
      </c>
      <c r="R1382">
        <v>-0.99585129999999999</v>
      </c>
      <c r="S1382">
        <v>-0.17707819999999999</v>
      </c>
      <c r="T1382">
        <v>-0.1401519</v>
      </c>
      <c r="U1382">
        <v>-3.006256</v>
      </c>
      <c r="V1382">
        <v>0.18267</v>
      </c>
      <c r="W1382">
        <v>-7.4136060000000004E-2</v>
      </c>
      <c r="X1382">
        <v>0.9803752</v>
      </c>
      <c r="Y1382">
        <v>0.26923740000000002</v>
      </c>
      <c r="Z1382">
        <v>3.0108989999999999E-2</v>
      </c>
      <c r="AA1382">
        <v>0.96260310000000004</v>
      </c>
      <c r="AB1382">
        <v>20</v>
      </c>
      <c r="AC1382">
        <v>-1.43559999999999</v>
      </c>
      <c r="AD1382">
        <v>-1.1062003550649999</v>
      </c>
      <c r="AE1382">
        <v>-23.520299999999999</v>
      </c>
      <c r="AF1382">
        <v>6.3819142792776002</v>
      </c>
      <c r="AG1382">
        <v>-1.1062003550649999</v>
      </c>
      <c r="AH1382">
        <v>22.6295677722627</v>
      </c>
      <c r="AI1382">
        <v>92.693655182496499</v>
      </c>
      <c r="AJ1382">
        <v>74.250665843374406</v>
      </c>
      <c r="AK1382">
        <v>23.538263458739301</v>
      </c>
      <c r="AL1382">
        <v>94.251583954401397</v>
      </c>
      <c r="AM1382">
        <v>79.445304800848504</v>
      </c>
      <c r="AN1382">
        <v>1.00000000853368</v>
      </c>
    </row>
    <row r="1383" spans="1:40" x14ac:dyDescent="0.25">
      <c r="A1383" t="str">
        <f>"20190305135219160"</f>
        <v>20190305135219160</v>
      </c>
      <c r="B1383" t="str">
        <f>"1551765139151024"</f>
        <v>1551765139151024</v>
      </c>
      <c r="C1383" t="s">
        <v>40</v>
      </c>
      <c r="D1383">
        <v>4.8396410000000003</v>
      </c>
      <c r="E1383">
        <v>0.53492030000000002</v>
      </c>
      <c r="F1383" t="s">
        <v>42</v>
      </c>
      <c r="G1383">
        <v>-194.78530000000001</v>
      </c>
      <c r="H1383" s="1">
        <v>-4.9096499999999997E-6</v>
      </c>
      <c r="I1383">
        <v>328.91969999999998</v>
      </c>
      <c r="J1383">
        <v>-193.37629999999999</v>
      </c>
      <c r="K1383">
        <v>1.1063320000000001</v>
      </c>
      <c r="L1383">
        <v>350.5829</v>
      </c>
      <c r="M1383">
        <v>0.2066335</v>
      </c>
      <c r="N1383">
        <v>-1.386809E-2</v>
      </c>
      <c r="O1383">
        <v>-0.97832010000000003</v>
      </c>
      <c r="P1383">
        <v>2.546296E-2</v>
      </c>
      <c r="Q1383">
        <v>-8.8817720000000003E-2</v>
      </c>
      <c r="R1383">
        <v>-0.99572260000000001</v>
      </c>
      <c r="S1383">
        <v>-0.18884280000000001</v>
      </c>
      <c r="T1383">
        <v>-0.15206500000000001</v>
      </c>
      <c r="U1383">
        <v>-3.004791</v>
      </c>
      <c r="V1383">
        <v>0.1802878</v>
      </c>
      <c r="W1383">
        <v>-7.6577249999999999E-2</v>
      </c>
      <c r="X1383">
        <v>0.98062850000000001</v>
      </c>
      <c r="Y1383">
        <v>0.26745400000000003</v>
      </c>
      <c r="Z1383">
        <v>3.3989400000000003E-2</v>
      </c>
      <c r="AA1383">
        <v>0.96297100000000002</v>
      </c>
      <c r="AB1383">
        <v>20</v>
      </c>
      <c r="AC1383">
        <v>-1.40900000000002</v>
      </c>
      <c r="AD1383">
        <v>-1.10633690965</v>
      </c>
      <c r="AE1383">
        <v>-21.6632</v>
      </c>
      <c r="AF1383">
        <v>5.8401912830349199</v>
      </c>
      <c r="AG1383">
        <v>-1.10633690965</v>
      </c>
      <c r="AH1383">
        <v>20.850257119696298</v>
      </c>
      <c r="AI1383">
        <v>92.924958524947002</v>
      </c>
      <c r="AJ1383">
        <v>74.352353338791701</v>
      </c>
      <c r="AK1383">
        <v>21.680983315743202</v>
      </c>
      <c r="AL1383">
        <v>94.391852697802804</v>
      </c>
      <c r="AM1383">
        <v>79.582546992962406</v>
      </c>
      <c r="AN1383">
        <v>1.0000000105293201</v>
      </c>
    </row>
    <row r="1384" spans="1:40" x14ac:dyDescent="0.25">
      <c r="A1384" t="str">
        <f>"20190305135219183"</f>
        <v>20190305135219183</v>
      </c>
      <c r="B1384" t="str">
        <f>"1551765139181278"</f>
        <v>1551765139181278</v>
      </c>
      <c r="C1384" t="s">
        <v>40</v>
      </c>
      <c r="D1384">
        <v>4.8455750000000002</v>
      </c>
      <c r="E1384">
        <v>0.53471579999999996</v>
      </c>
      <c r="F1384" t="s">
        <v>42</v>
      </c>
      <c r="G1384">
        <v>-194.73500000000001</v>
      </c>
      <c r="H1384" s="1">
        <v>-1.4060899999999999E-6</v>
      </c>
      <c r="I1384">
        <v>329.93</v>
      </c>
      <c r="J1384">
        <v>-193.34010000000001</v>
      </c>
      <c r="K1384">
        <v>1.106495</v>
      </c>
      <c r="L1384">
        <v>350.37799999999999</v>
      </c>
      <c r="M1384">
        <v>0.2009599</v>
      </c>
      <c r="N1384">
        <v>-1.3843390000000001E-2</v>
      </c>
      <c r="O1384">
        <v>-0.97950179999999998</v>
      </c>
      <c r="P1384">
        <v>2.244494E-2</v>
      </c>
      <c r="Q1384">
        <v>-8.9674190000000001E-2</v>
      </c>
      <c r="R1384">
        <v>-0.99571849999999995</v>
      </c>
      <c r="S1384">
        <v>-0.19760130000000001</v>
      </c>
      <c r="T1384">
        <v>-0.16089870000000001</v>
      </c>
      <c r="U1384">
        <v>-3.0036320000000001</v>
      </c>
      <c r="V1384">
        <v>0.17758860000000001</v>
      </c>
      <c r="W1384">
        <v>-7.7359209999999998E-2</v>
      </c>
      <c r="X1384">
        <v>0.98105960000000003</v>
      </c>
      <c r="Y1384">
        <v>0.264677</v>
      </c>
      <c r="Z1384">
        <v>3.6921500000000003E-2</v>
      </c>
      <c r="AA1384">
        <v>0.96363010000000004</v>
      </c>
      <c r="AB1384">
        <v>20</v>
      </c>
      <c r="AC1384">
        <v>-1.3949</v>
      </c>
      <c r="AD1384">
        <v>-1.10649640609</v>
      </c>
      <c r="AE1384">
        <v>-20.448</v>
      </c>
      <c r="AF1384">
        <v>5.4601447721730496</v>
      </c>
      <c r="AG1384">
        <v>-1.10649640609</v>
      </c>
      <c r="AH1384">
        <v>19.693025781764501</v>
      </c>
      <c r="AI1384">
        <v>93.099229554180994</v>
      </c>
      <c r="AJ1384">
        <v>74.503281556910906</v>
      </c>
      <c r="AK1384">
        <v>20.465893082663602</v>
      </c>
      <c r="AL1384">
        <v>94.4367888390003</v>
      </c>
      <c r="AM1384">
        <v>79.739587587541195</v>
      </c>
      <c r="AN1384">
        <v>1.00000004848697</v>
      </c>
    </row>
    <row r="1385" spans="1:40" x14ac:dyDescent="0.25">
      <c r="A1385" t="str">
        <f>"20190305135219203"</f>
        <v>20190305135219203</v>
      </c>
      <c r="B1385" t="str">
        <f>"1551765139200800"</f>
        <v>1551765139200800</v>
      </c>
      <c r="C1385" t="s">
        <v>40</v>
      </c>
      <c r="D1385">
        <v>4.8489139999999997</v>
      </c>
      <c r="E1385">
        <v>0.53066089999999999</v>
      </c>
      <c r="F1385" t="s">
        <v>42</v>
      </c>
      <c r="G1385">
        <v>-194.72069999999999</v>
      </c>
      <c r="H1385" s="1">
        <v>-1.507562E-6</v>
      </c>
      <c r="I1385">
        <v>330.17540000000002</v>
      </c>
      <c r="J1385">
        <v>-193.3098</v>
      </c>
      <c r="K1385">
        <v>1.1066469999999999</v>
      </c>
      <c r="L1385">
        <v>350.20139999999998</v>
      </c>
      <c r="M1385">
        <v>0.19627620000000001</v>
      </c>
      <c r="N1385">
        <v>-1.382216E-2</v>
      </c>
      <c r="O1385">
        <v>-0.98045139999999997</v>
      </c>
      <c r="P1385">
        <v>1.9772809999999998E-2</v>
      </c>
      <c r="Q1385">
        <v>-8.7953340000000005E-2</v>
      </c>
      <c r="R1385">
        <v>-0.99592860000000005</v>
      </c>
      <c r="S1385">
        <v>-0.2052002</v>
      </c>
      <c r="T1385">
        <v>-0.16446040000000001</v>
      </c>
      <c r="U1385">
        <v>-3.0027469999999998</v>
      </c>
      <c r="V1385">
        <v>0.17560319999999999</v>
      </c>
      <c r="W1385">
        <v>-7.5576309999999994E-2</v>
      </c>
      <c r="X1385">
        <v>0.98155579999999998</v>
      </c>
      <c r="Y1385">
        <v>0.26250959999999901</v>
      </c>
      <c r="Z1385">
        <v>3.8169439999999999E-2</v>
      </c>
      <c r="AA1385">
        <v>0.96417419999999998</v>
      </c>
      <c r="AB1385">
        <v>20</v>
      </c>
      <c r="AC1385">
        <v>-1.4108999999999901</v>
      </c>
      <c r="AD1385">
        <v>-1.1066485075619901</v>
      </c>
      <c r="AE1385">
        <v>-20.0259999999999</v>
      </c>
      <c r="AF1385">
        <v>5.2983529955598403</v>
      </c>
      <c r="AG1385">
        <v>-1.1066485075619901</v>
      </c>
      <c r="AH1385">
        <v>19.300791369339098</v>
      </c>
      <c r="AI1385">
        <v>93.164744293132699</v>
      </c>
      <c r="AJ1385">
        <v>74.649597001151704</v>
      </c>
      <c r="AK1385">
        <v>20.045392559578399</v>
      </c>
      <c r="AL1385">
        <v>94.334336308942994</v>
      </c>
      <c r="AM1385">
        <v>79.856923201435706</v>
      </c>
      <c r="AN1385">
        <v>1.0000000254985399</v>
      </c>
    </row>
    <row r="1386" spans="1:40" x14ac:dyDescent="0.25">
      <c r="A1386" t="str">
        <f>"20190305135219227"</f>
        <v>20190305135219227</v>
      </c>
      <c r="B1386" t="str">
        <f>"1551765139221295"</f>
        <v>1551765139221295</v>
      </c>
      <c r="C1386" t="s">
        <v>40</v>
      </c>
      <c r="D1386">
        <v>4.8973950000000004</v>
      </c>
      <c r="E1386">
        <v>0.53062799999999999</v>
      </c>
      <c r="F1386" t="s">
        <v>42</v>
      </c>
      <c r="G1386">
        <v>-194.39959999999999</v>
      </c>
      <c r="H1386" s="1">
        <v>-2.3102279999999998E-6</v>
      </c>
      <c r="I1386">
        <v>332.24560000000002</v>
      </c>
      <c r="J1386">
        <v>-193.27510000000001</v>
      </c>
      <c r="K1386">
        <v>1.1068199999999999</v>
      </c>
      <c r="L1386">
        <v>349.99509999999998</v>
      </c>
      <c r="M1386">
        <v>0.19101989999999999</v>
      </c>
      <c r="N1386">
        <v>-1.3798339999999999E-2</v>
      </c>
      <c r="O1386">
        <v>-0.98148930000000001</v>
      </c>
      <c r="P1386">
        <v>1.7638629999999999E-2</v>
      </c>
      <c r="Q1386">
        <v>-8.5895639999999995E-2</v>
      </c>
      <c r="R1386">
        <v>-0.99614809999999998</v>
      </c>
      <c r="S1386">
        <v>-0.18205260000000001</v>
      </c>
      <c r="T1386">
        <v>-0.18487120000000001</v>
      </c>
      <c r="U1386">
        <v>-2.999603</v>
      </c>
      <c r="V1386">
        <v>0.1725257</v>
      </c>
      <c r="W1386">
        <v>-7.3445529999999995E-2</v>
      </c>
      <c r="X1386">
        <v>0.982263</v>
      </c>
      <c r="Y1386">
        <v>0.2499535</v>
      </c>
      <c r="Z1386">
        <v>4.4924510000000001E-2</v>
      </c>
      <c r="AA1386">
        <v>0.96721509999999999</v>
      </c>
      <c r="AB1386">
        <v>20</v>
      </c>
      <c r="AC1386">
        <v>-1.1244999999999801</v>
      </c>
      <c r="AD1386">
        <v>-1.1068223102279999</v>
      </c>
      <c r="AE1386">
        <v>-17.749499999999902</v>
      </c>
      <c r="AF1386">
        <v>4.4772794229824102</v>
      </c>
      <c r="AG1386">
        <v>-1.1068223102279999</v>
      </c>
      <c r="AH1386">
        <v>17.141390517431802</v>
      </c>
      <c r="AI1386">
        <v>93.574862011473698</v>
      </c>
      <c r="AJ1386">
        <v>75.361563267072597</v>
      </c>
      <c r="AK1386">
        <v>17.751009986166402</v>
      </c>
      <c r="AL1386">
        <v>94.2119114530975</v>
      </c>
      <c r="AM1386">
        <v>80.038120598111007</v>
      </c>
      <c r="AN1386">
        <v>0.99999998210323504</v>
      </c>
    </row>
    <row r="1387" spans="1:40" x14ac:dyDescent="0.25">
      <c r="A1387" t="str">
        <f>"20190305135219249"</f>
        <v>20190305135219249</v>
      </c>
      <c r="B1387" t="str">
        <f>"1551765139240815"</f>
        <v>1551765139240815</v>
      </c>
      <c r="C1387" t="s">
        <v>40</v>
      </c>
      <c r="D1387">
        <v>4.8975289999999996</v>
      </c>
      <c r="E1387">
        <v>0.52017159999999996</v>
      </c>
      <c r="F1387" t="s">
        <v>42</v>
      </c>
      <c r="G1387">
        <v>-194.45830000000001</v>
      </c>
      <c r="H1387" s="1">
        <v>-1.842749E-6</v>
      </c>
      <c r="I1387">
        <v>331.11950000000002</v>
      </c>
      <c r="J1387">
        <v>-193.2413</v>
      </c>
      <c r="K1387">
        <v>1.106959</v>
      </c>
      <c r="L1387">
        <v>349.78899999999999</v>
      </c>
      <c r="M1387">
        <v>0.18599360000000001</v>
      </c>
      <c r="N1387">
        <v>-1.377595E-2</v>
      </c>
      <c r="O1387">
        <v>-0.9824543</v>
      </c>
      <c r="P1387">
        <v>1.6723289999999998E-2</v>
      </c>
      <c r="Q1387">
        <v>-8.4705370000000002E-2</v>
      </c>
      <c r="R1387">
        <v>-0.99626590000000004</v>
      </c>
      <c r="S1387">
        <v>-0.18803410000000001</v>
      </c>
      <c r="T1387">
        <v>-0.1759001</v>
      </c>
      <c r="U1387">
        <v>-2.9997859999999998</v>
      </c>
      <c r="V1387">
        <v>0.16845270000000001</v>
      </c>
      <c r="W1387">
        <v>-7.2187459999999995E-2</v>
      </c>
      <c r="X1387">
        <v>0.98306289999999996</v>
      </c>
      <c r="Y1387">
        <v>0.2469296</v>
      </c>
      <c r="Z1387">
        <v>4.2202400000000001E-2</v>
      </c>
      <c r="AA1387">
        <v>0.96811400000000003</v>
      </c>
      <c r="AB1387">
        <v>20</v>
      </c>
      <c r="AC1387">
        <v>-1.2170000000000101</v>
      </c>
      <c r="AD1387">
        <v>-1.1069608427490001</v>
      </c>
      <c r="AE1387">
        <v>-18.6694999999999</v>
      </c>
      <c r="AF1387">
        <v>4.6522116620261302</v>
      </c>
      <c r="AG1387">
        <v>-1.1069608427490001</v>
      </c>
      <c r="AH1387">
        <v>18.0540945615999</v>
      </c>
      <c r="AI1387">
        <v>93.397891991835195</v>
      </c>
      <c r="AJ1387">
        <v>75.550266425592298</v>
      </c>
      <c r="AK1387">
        <v>18.6766904481191</v>
      </c>
      <c r="AL1387">
        <v>94.139637395445405</v>
      </c>
      <c r="AM1387">
        <v>80.276518936229095</v>
      </c>
      <c r="AN1387">
        <v>1.0000000034374701</v>
      </c>
    </row>
    <row r="1388" spans="1:40" x14ac:dyDescent="0.25">
      <c r="A1388" t="str">
        <f>"20190305135219274"</f>
        <v>20190305135219274</v>
      </c>
      <c r="B1388" t="str">
        <f>"1551765139271071"</f>
        <v>1551765139271071</v>
      </c>
      <c r="C1388" t="s">
        <v>40</v>
      </c>
      <c r="D1388">
        <v>4.9138510000000002</v>
      </c>
      <c r="E1388">
        <v>0.51857240000000004</v>
      </c>
      <c r="F1388" t="s">
        <v>42</v>
      </c>
      <c r="G1388">
        <v>-193.78919999999999</v>
      </c>
      <c r="H1388" s="1">
        <v>-3.2411589999999999E-6</v>
      </c>
      <c r="I1388">
        <v>334.79419999999999</v>
      </c>
      <c r="J1388">
        <v>-193.20769999999999</v>
      </c>
      <c r="K1388">
        <v>1.107062</v>
      </c>
      <c r="L1388">
        <v>349.5779</v>
      </c>
      <c r="M1388">
        <v>0.18101139999999999</v>
      </c>
      <c r="N1388">
        <v>-1.375494E-2</v>
      </c>
      <c r="O1388">
        <v>-0.98338479999999995</v>
      </c>
      <c r="P1388">
        <v>1.6517319999999999E-2</v>
      </c>
      <c r="Q1388">
        <v>-8.4572099999999997E-2</v>
      </c>
      <c r="R1388">
        <v>-0.99628039999999995</v>
      </c>
      <c r="S1388">
        <v>-0.1093903</v>
      </c>
      <c r="T1388">
        <v>-0.2210462</v>
      </c>
      <c r="U1388">
        <v>-2.9942630000000001</v>
      </c>
      <c r="V1388">
        <v>0.16369520000000001</v>
      </c>
      <c r="W1388">
        <v>-7.1998220000000002E-2</v>
      </c>
      <c r="X1388">
        <v>0.98388019999999998</v>
      </c>
      <c r="Y1388">
        <v>0.216616</v>
      </c>
      <c r="Z1388">
        <v>5.7129999999999903E-2</v>
      </c>
      <c r="AA1388">
        <v>0.97458389999999995</v>
      </c>
      <c r="AB1388">
        <v>20</v>
      </c>
      <c r="AC1388">
        <v>-0.58150000000000501</v>
      </c>
      <c r="AD1388">
        <v>-1.1070652411589901</v>
      </c>
      <c r="AE1388">
        <v>-14.7837</v>
      </c>
      <c r="AF1388">
        <v>3.23007866070922</v>
      </c>
      <c r="AG1388">
        <v>-1.1070652411589901</v>
      </c>
      <c r="AH1388">
        <v>14.353806689759599</v>
      </c>
      <c r="AI1388">
        <v>94.303127327674403</v>
      </c>
      <c r="AJ1388">
        <v>77.317822642941195</v>
      </c>
      <c r="AK1388">
        <v>14.754347430148799</v>
      </c>
      <c r="AL1388">
        <v>94.128766241613405</v>
      </c>
      <c r="AM1388">
        <v>80.553817377517802</v>
      </c>
      <c r="AN1388">
        <v>1.0000000550691199</v>
      </c>
    </row>
    <row r="1389" spans="1:40" x14ac:dyDescent="0.25">
      <c r="A1389" t="str">
        <f>"20190305135219295"</f>
        <v>20190305135219295</v>
      </c>
      <c r="B1389" t="str">
        <f>"1551765139290592"</f>
        <v>1551765139290592</v>
      </c>
      <c r="C1389" t="s">
        <v>40</v>
      </c>
      <c r="D1389">
        <v>4.9336149999999996</v>
      </c>
      <c r="E1389">
        <v>0.51812329999999995</v>
      </c>
      <c r="F1389" t="s">
        <v>42</v>
      </c>
      <c r="G1389">
        <v>-193.7184</v>
      </c>
      <c r="H1389" s="1">
        <v>-2.762821E-6</v>
      </c>
      <c r="I1389">
        <v>333.72309999999999</v>
      </c>
      <c r="J1389">
        <v>-193.17840000000001</v>
      </c>
      <c r="K1389">
        <v>1.107129</v>
      </c>
      <c r="L1389">
        <v>349.38929999999999</v>
      </c>
      <c r="M1389">
        <v>0.176678</v>
      </c>
      <c r="N1389">
        <v>-1.373799E-2</v>
      </c>
      <c r="O1389">
        <v>-0.98417279999999996</v>
      </c>
      <c r="P1389">
        <v>1.568808E-2</v>
      </c>
      <c r="Q1389">
        <v>-8.4718470000000004E-2</v>
      </c>
      <c r="R1389">
        <v>-0.99628150000000004</v>
      </c>
      <c r="S1389">
        <v>-9.6481319999999995E-2</v>
      </c>
      <c r="T1389">
        <v>-0.2091298</v>
      </c>
      <c r="U1389">
        <v>-2.9950559999999999</v>
      </c>
      <c r="V1389">
        <v>0.16018979999999999</v>
      </c>
      <c r="W1389">
        <v>-7.2110949999999993E-2</v>
      </c>
      <c r="X1389">
        <v>0.98444869999999995</v>
      </c>
      <c r="Y1389">
        <v>0.20812169999999999</v>
      </c>
      <c r="Z1389">
        <v>5.3480699999999999E-2</v>
      </c>
      <c r="AA1389">
        <v>0.9766397</v>
      </c>
      <c r="AB1389">
        <v>20</v>
      </c>
      <c r="AC1389">
        <v>-0.53999999999999204</v>
      </c>
      <c r="AD1389">
        <v>-1.107131762821</v>
      </c>
      <c r="AE1389">
        <v>-15.6662</v>
      </c>
      <c r="AF1389">
        <v>3.2832596710829498</v>
      </c>
      <c r="AG1389">
        <v>-1.107131762821</v>
      </c>
      <c r="AH1389">
        <v>15.24822510527</v>
      </c>
      <c r="AI1389">
        <v>94.060071510978503</v>
      </c>
      <c r="AJ1389">
        <v>77.848553883260095</v>
      </c>
      <c r="AK1389">
        <v>15.636940355101199</v>
      </c>
      <c r="AL1389">
        <v>94.135242246756107</v>
      </c>
      <c r="AM1389">
        <v>80.7578159649307</v>
      </c>
      <c r="AN1389">
        <v>1.0000000020328099</v>
      </c>
    </row>
    <row r="1390" spans="1:40" x14ac:dyDescent="0.25">
      <c r="A1390" t="str">
        <f>"20190305135219316"</f>
        <v>20190305135219316</v>
      </c>
      <c r="B1390" t="str">
        <f>"1551765139311087"</f>
        <v>1551765139311087</v>
      </c>
      <c r="C1390" t="s">
        <v>40</v>
      </c>
      <c r="D1390">
        <v>4.8950879999999897</v>
      </c>
      <c r="E1390">
        <v>0.51790970000000003</v>
      </c>
      <c r="F1390" t="s">
        <v>42</v>
      </c>
      <c r="G1390">
        <v>-193.6919</v>
      </c>
      <c r="H1390" s="1">
        <v>-2.5534750000000001E-6</v>
      </c>
      <c r="I1390">
        <v>333.2516</v>
      </c>
      <c r="J1390">
        <v>-193.1497</v>
      </c>
      <c r="K1390">
        <v>1.1071850000000001</v>
      </c>
      <c r="L1390">
        <v>349.20010000000002</v>
      </c>
      <c r="M1390">
        <v>0.17243269999999999</v>
      </c>
      <c r="N1390">
        <v>-1.3722470000000001E-2</v>
      </c>
      <c r="O1390">
        <v>-0.98492570000000002</v>
      </c>
      <c r="P1390">
        <v>1.7384259999999999E-2</v>
      </c>
      <c r="Q1390">
        <v>-8.4304840000000006E-2</v>
      </c>
      <c r="R1390">
        <v>-0.99628839999999996</v>
      </c>
      <c r="S1390">
        <v>-9.5306399999999999E-2</v>
      </c>
      <c r="T1390">
        <v>-0.2054858</v>
      </c>
      <c r="U1390">
        <v>-2.995209</v>
      </c>
      <c r="V1390">
        <v>0.15428919999999999</v>
      </c>
      <c r="W1390">
        <v>-7.1647859999999994E-2</v>
      </c>
      <c r="X1390">
        <v>0.98542450000000004</v>
      </c>
      <c r="Y1390">
        <v>0.2035246</v>
      </c>
      <c r="Z1390">
        <v>5.2438129999999999E-2</v>
      </c>
      <c r="AA1390">
        <v>0.97766450000000005</v>
      </c>
      <c r="AB1390">
        <v>20</v>
      </c>
      <c r="AC1390">
        <v>-0.54220000000000801</v>
      </c>
      <c r="AD1390">
        <v>-1.107187553475</v>
      </c>
      <c r="AE1390">
        <v>-15.948499999999999</v>
      </c>
      <c r="AF1390">
        <v>3.2686438489991598</v>
      </c>
      <c r="AG1390">
        <v>-1.107187553475</v>
      </c>
      <c r="AH1390">
        <v>15.541250358138999</v>
      </c>
      <c r="AI1390">
        <v>93.988013942990804</v>
      </c>
      <c r="AJ1390">
        <v>78.122633262728996</v>
      </c>
      <c r="AK1390">
        <v>15.919810287328399</v>
      </c>
      <c r="AL1390">
        <v>94.108640304416795</v>
      </c>
      <c r="AM1390">
        <v>81.1013710444861</v>
      </c>
      <c r="AN1390">
        <v>1.0000000091397301</v>
      </c>
    </row>
    <row r="1391" spans="1:40" x14ac:dyDescent="0.25">
      <c r="A1391" t="str">
        <f>"20190305135219339"</f>
        <v>20190305135219339</v>
      </c>
      <c r="B1391" t="str">
        <f>"1551765139330608"</f>
        <v>1551765139330608</v>
      </c>
      <c r="C1391" t="s">
        <v>40</v>
      </c>
      <c r="D1391">
        <v>4.8962469999999998</v>
      </c>
      <c r="E1391">
        <v>0.51768979999999998</v>
      </c>
      <c r="F1391" t="s">
        <v>42</v>
      </c>
      <c r="G1391">
        <v>-193.63460000000001</v>
      </c>
      <c r="H1391" s="1">
        <v>-2.330095E-6</v>
      </c>
      <c r="I1391">
        <v>332.76639999999998</v>
      </c>
      <c r="J1391">
        <v>-193.1206</v>
      </c>
      <c r="K1391">
        <v>1.1072439999999999</v>
      </c>
      <c r="L1391">
        <v>349.00330000000002</v>
      </c>
      <c r="M1391">
        <v>0.16811999999999999</v>
      </c>
      <c r="N1391">
        <v>-1.370682E-2</v>
      </c>
      <c r="O1391">
        <v>-0.98567119999999997</v>
      </c>
      <c r="P1391">
        <v>1.9493460000000001E-2</v>
      </c>
      <c r="Q1391">
        <v>-8.4023139999999996E-2</v>
      </c>
      <c r="R1391">
        <v>-0.99627310000000002</v>
      </c>
      <c r="S1391">
        <v>-8.8394169999999994E-2</v>
      </c>
      <c r="T1391">
        <v>-0.2018219</v>
      </c>
      <c r="U1391">
        <v>-2.9956049999999999</v>
      </c>
      <c r="V1391">
        <v>0.1479085</v>
      </c>
      <c r="W1391">
        <v>-7.1312529999999999E-2</v>
      </c>
      <c r="X1391">
        <v>0.98642669999999999</v>
      </c>
      <c r="Y1391">
        <v>0.19698460000000001</v>
      </c>
      <c r="Z1391">
        <v>5.1395799999999998E-2</v>
      </c>
      <c r="AA1391">
        <v>0.97905850000000005</v>
      </c>
      <c r="AB1391">
        <v>20</v>
      </c>
      <c r="AC1391">
        <v>-0.51400000000001</v>
      </c>
      <c r="AD1391">
        <v>-1.107246330095</v>
      </c>
      <c r="AE1391">
        <v>-16.236899999999999</v>
      </c>
      <c r="AF1391">
        <v>3.22171979895601</v>
      </c>
      <c r="AG1391">
        <v>-1.107246330095</v>
      </c>
      <c r="AH1391">
        <v>15.845713354178301</v>
      </c>
      <c r="AI1391">
        <v>93.917254274270803</v>
      </c>
      <c r="AJ1391">
        <v>78.5073854846286</v>
      </c>
      <c r="AK1391">
        <v>16.2077791384656</v>
      </c>
      <c r="AL1391">
        <v>94.089378002406605</v>
      </c>
      <c r="AM1391">
        <v>81.472387435191493</v>
      </c>
      <c r="AN1391">
        <v>1.0000000178900701</v>
      </c>
    </row>
    <row r="1392" spans="1:40" x14ac:dyDescent="0.25">
      <c r="A1392" t="str">
        <f>"20190305135219362"</f>
        <v>20190305135219362</v>
      </c>
      <c r="B1392" t="str">
        <f>"1551765139351103"</f>
        <v>1551765139351103</v>
      </c>
      <c r="C1392" t="s">
        <v>40</v>
      </c>
      <c r="D1392">
        <v>4.8979229999999996</v>
      </c>
      <c r="E1392">
        <v>0.51770819999999995</v>
      </c>
      <c r="F1392" t="s">
        <v>42</v>
      </c>
      <c r="G1392">
        <v>-193.5642</v>
      </c>
      <c r="H1392" s="1">
        <v>-2.1592730000000001E-6</v>
      </c>
      <c r="I1392">
        <v>332.41180000000003</v>
      </c>
      <c r="J1392">
        <v>-193.09119999999999</v>
      </c>
      <c r="K1392">
        <v>1.107299</v>
      </c>
      <c r="L1392">
        <v>348.79939999999999</v>
      </c>
      <c r="M1392">
        <v>0.16376949999999901</v>
      </c>
      <c r="N1392">
        <v>-1.3690809999999999E-2</v>
      </c>
      <c r="O1392">
        <v>-0.98640380000000005</v>
      </c>
      <c r="P1392">
        <v>2.1196550000000002E-2</v>
      </c>
      <c r="Q1392">
        <v>-8.3284120000000003E-2</v>
      </c>
      <c r="R1392">
        <v>-0.99630030000000003</v>
      </c>
      <c r="S1392">
        <v>-8.0108639999999995E-2</v>
      </c>
      <c r="T1392">
        <v>-0.19993469999999999</v>
      </c>
      <c r="U1392">
        <v>-2.995911</v>
      </c>
      <c r="V1392">
        <v>0.14190069999999999</v>
      </c>
      <c r="W1392">
        <v>-7.0518170000000005E-2</v>
      </c>
      <c r="X1392">
        <v>0.98736590000000002</v>
      </c>
      <c r="Y1392">
        <v>0.1899516</v>
      </c>
      <c r="Z1392">
        <v>5.0924549999999999E-2</v>
      </c>
      <c r="AA1392">
        <v>0.9804718</v>
      </c>
      <c r="AB1392">
        <v>20</v>
      </c>
      <c r="AC1392">
        <v>-0.47300000000001302</v>
      </c>
      <c r="AD1392">
        <v>-1.107301159273</v>
      </c>
      <c r="AE1392">
        <v>-16.3875999999999</v>
      </c>
      <c r="AF1392">
        <v>3.1363453280848801</v>
      </c>
      <c r="AG1392">
        <v>-1.107301159273</v>
      </c>
      <c r="AH1392">
        <v>16.015771837221902</v>
      </c>
      <c r="AI1392">
        <v>93.881537365016101</v>
      </c>
      <c r="AJ1392">
        <v>78.920064883451104</v>
      </c>
      <c r="AK1392">
        <v>16.3574975291539</v>
      </c>
      <c r="AL1392">
        <v>94.043749638316896</v>
      </c>
      <c r="AM1392">
        <v>81.821654732773297</v>
      </c>
      <c r="AN1392">
        <v>1.0000000207217199</v>
      </c>
    </row>
    <row r="1393" spans="1:40" x14ac:dyDescent="0.25">
      <c r="A1393" t="str">
        <f>"20190305135219383"</f>
        <v>20190305135219383</v>
      </c>
      <c r="B1393" t="str">
        <f>"1551765139370627"</f>
        <v>1551765139370627</v>
      </c>
      <c r="C1393" t="s">
        <v>40</v>
      </c>
      <c r="D1393">
        <v>4.8972519999999999</v>
      </c>
      <c r="E1393">
        <v>0.51781860000000002</v>
      </c>
      <c r="F1393" t="s">
        <v>42</v>
      </c>
      <c r="G1393">
        <v>-193.51240000000001</v>
      </c>
      <c r="H1393" s="1">
        <v>-1.9729560000000001E-6</v>
      </c>
      <c r="I1393">
        <v>332.00959999999998</v>
      </c>
      <c r="J1393">
        <v>-193.06559999999999</v>
      </c>
      <c r="K1393">
        <v>1.10738799999999</v>
      </c>
      <c r="L1393">
        <v>348.6173</v>
      </c>
      <c r="M1393">
        <v>0.16001580000000001</v>
      </c>
      <c r="N1393">
        <v>-1.3676519999999999E-2</v>
      </c>
      <c r="O1393">
        <v>-0.9870198</v>
      </c>
      <c r="P1393">
        <v>2.251684E-2</v>
      </c>
      <c r="Q1393">
        <v>-8.2113530000000004E-2</v>
      </c>
      <c r="R1393">
        <v>-0.9963689</v>
      </c>
      <c r="S1393">
        <v>-7.5164789999999995E-2</v>
      </c>
      <c r="T1393">
        <v>-0.19760259999999999</v>
      </c>
      <c r="U1393">
        <v>-2.996216</v>
      </c>
      <c r="V1393">
        <v>0.13687639999999901</v>
      </c>
      <c r="W1393">
        <v>-6.9294179999999997E-2</v>
      </c>
      <c r="X1393">
        <v>0.98816150000000003</v>
      </c>
      <c r="Y1393">
        <v>0.18459980000000001</v>
      </c>
      <c r="Z1393">
        <v>5.0279560000000001E-2</v>
      </c>
      <c r="AA1393">
        <v>0.98152680000000003</v>
      </c>
      <c r="AB1393">
        <v>20</v>
      </c>
      <c r="AC1393">
        <v>-0.44680000000002401</v>
      </c>
      <c r="AD1393">
        <v>-1.10738997295599</v>
      </c>
      <c r="AE1393">
        <v>-16.607700000000001</v>
      </c>
      <c r="AF1393">
        <v>3.0850776417347698</v>
      </c>
      <c r="AG1393">
        <v>-1.10738997295599</v>
      </c>
      <c r="AH1393">
        <v>16.2499615163801</v>
      </c>
      <c r="AI1393">
        <v>93.830312684686703</v>
      </c>
      <c r="AJ1393">
        <v>79.250251664641496</v>
      </c>
      <c r="AK1393">
        <v>16.577251457692601</v>
      </c>
      <c r="AL1393">
        <v>93.973448304234395</v>
      </c>
      <c r="AM1393">
        <v>82.113786376933305</v>
      </c>
      <c r="AN1393">
        <v>0.99999999117054095</v>
      </c>
    </row>
    <row r="1394" spans="1:40" x14ac:dyDescent="0.25">
      <c r="A1394" t="str">
        <f>"20190305135219405"</f>
        <v>20190305135219405</v>
      </c>
      <c r="B1394" t="str">
        <f>"1551765139400880"</f>
        <v>1551765139400880</v>
      </c>
      <c r="C1394" t="s">
        <v>40</v>
      </c>
      <c r="D1394">
        <v>4.8640889999999999</v>
      </c>
      <c r="E1394">
        <v>0.5179319</v>
      </c>
      <c r="F1394" t="s">
        <v>42</v>
      </c>
      <c r="G1394">
        <v>-193.477</v>
      </c>
      <c r="H1394" s="1">
        <v>-1.7521440000000001E-6</v>
      </c>
      <c r="I1394">
        <v>331.51690000000002</v>
      </c>
      <c r="J1394">
        <v>-193.03829999999999</v>
      </c>
      <c r="K1394">
        <v>1.107499</v>
      </c>
      <c r="L1394">
        <v>348.41930000000002</v>
      </c>
      <c r="M1394">
        <v>0.15611839999999999</v>
      </c>
      <c r="N1394">
        <v>-1.3660129999999999E-2</v>
      </c>
      <c r="O1394">
        <v>-0.98764430000000003</v>
      </c>
      <c r="P1394">
        <v>2.2643480000000001E-2</v>
      </c>
      <c r="Q1394">
        <v>-8.2285650000000002E-2</v>
      </c>
      <c r="R1394">
        <v>-0.99635200000000002</v>
      </c>
      <c r="S1394">
        <v>-7.2082519999999997E-2</v>
      </c>
      <c r="T1394">
        <v>-0.19405059999999999</v>
      </c>
      <c r="U1394">
        <v>-2.9965519999999999</v>
      </c>
      <c r="V1394">
        <v>0.13287199999999999</v>
      </c>
      <c r="W1394">
        <v>-6.9413130000000003E-2</v>
      </c>
      <c r="X1394">
        <v>0.98869960000000001</v>
      </c>
      <c r="Y1394">
        <v>0.17971219999999999</v>
      </c>
      <c r="Z1394">
        <v>4.9235439999999998E-2</v>
      </c>
      <c r="AA1394">
        <v>0.98248630000000003</v>
      </c>
      <c r="AB1394">
        <v>20</v>
      </c>
      <c r="AC1394">
        <v>-0.43870000000001103</v>
      </c>
      <c r="AD1394">
        <v>-1.1075007521439999</v>
      </c>
      <c r="AE1394">
        <v>-16.9024</v>
      </c>
      <c r="AF1394">
        <v>3.0592153150221799</v>
      </c>
      <c r="AG1394">
        <v>-1.1075007521439999</v>
      </c>
      <c r="AH1394">
        <v>16.555584156255801</v>
      </c>
      <c r="AI1394">
        <v>93.763622875499607</v>
      </c>
      <c r="AJ1394">
        <v>79.530721041775493</v>
      </c>
      <c r="AK1394">
        <v>16.872247124035798</v>
      </c>
      <c r="AL1394">
        <v>93.980279952325304</v>
      </c>
      <c r="AM1394">
        <v>82.345842245356494</v>
      </c>
      <c r="AN1394">
        <v>1.0000000250202701</v>
      </c>
    </row>
    <row r="1395" spans="1:40" x14ac:dyDescent="0.25">
      <c r="A1395" t="str">
        <f>"20190305135219429"</f>
        <v>20190305135219429</v>
      </c>
      <c r="B1395" t="str">
        <f>"1551765139421376"</f>
        <v>1551765139421376</v>
      </c>
      <c r="C1395" t="s">
        <v>40</v>
      </c>
      <c r="D1395">
        <v>4.857062</v>
      </c>
      <c r="E1395">
        <v>0.51825500000000002</v>
      </c>
      <c r="F1395" t="s">
        <v>42</v>
      </c>
      <c r="G1395">
        <v>-193.45330000000001</v>
      </c>
      <c r="H1395" s="1">
        <v>-1.642133E-6</v>
      </c>
      <c r="I1395">
        <v>331.27510000000001</v>
      </c>
      <c r="J1395">
        <v>-193.01050000000001</v>
      </c>
      <c r="K1395">
        <v>1.1076520000000001</v>
      </c>
      <c r="L1395">
        <v>348.21319999999997</v>
      </c>
      <c r="M1395">
        <v>0.152363</v>
      </c>
      <c r="N1395">
        <v>-1.3641759999999999E-2</v>
      </c>
      <c r="O1395">
        <v>-0.98823059999999996</v>
      </c>
      <c r="P1395">
        <v>2.3268130000000001E-2</v>
      </c>
      <c r="Q1395">
        <v>-8.448783E-2</v>
      </c>
      <c r="R1395">
        <v>-0.99615279999999995</v>
      </c>
      <c r="S1395">
        <v>-7.2525019999999996E-2</v>
      </c>
      <c r="T1395">
        <v>-0.19358110000000001</v>
      </c>
      <c r="U1395">
        <v>-2.9966430000000002</v>
      </c>
      <c r="V1395">
        <v>0.12848860000000001</v>
      </c>
      <c r="W1395">
        <v>-7.1553160000000005E-2</v>
      </c>
      <c r="X1395">
        <v>0.98912630000000001</v>
      </c>
      <c r="Y1395">
        <v>0.17611859999999999</v>
      </c>
      <c r="Z1395">
        <v>4.9178270000000003E-2</v>
      </c>
      <c r="AA1395">
        <v>0.98313980000000001</v>
      </c>
      <c r="AB1395">
        <v>20</v>
      </c>
      <c r="AC1395">
        <v>-0.44280000000000502</v>
      </c>
      <c r="AD1395">
        <v>-1.1076536421330001</v>
      </c>
      <c r="AE1395">
        <v>-16.938099999999899</v>
      </c>
      <c r="AF1395">
        <v>3.00576360148021</v>
      </c>
      <c r="AG1395">
        <v>-1.1076536421330001</v>
      </c>
      <c r="AH1395">
        <v>16.601883497127101</v>
      </c>
      <c r="AI1395">
        <v>93.756148700333199</v>
      </c>
      <c r="AJ1395">
        <v>79.737789173014207</v>
      </c>
      <c r="AK1395">
        <v>16.908105957530999</v>
      </c>
      <c r="AL1395">
        <v>94.103200444221002</v>
      </c>
      <c r="AM1395">
        <v>82.598660002831707</v>
      </c>
      <c r="AN1395">
        <v>1.0000000061938099</v>
      </c>
    </row>
    <row r="1396" spans="1:40" x14ac:dyDescent="0.25">
      <c r="A1396" t="str">
        <f>"20190305135219451"</f>
        <v>20190305135219451</v>
      </c>
      <c r="B1396" t="str">
        <f>"1551765139440895"</f>
        <v>1551765139440895</v>
      </c>
      <c r="C1396" t="s">
        <v>40</v>
      </c>
      <c r="D1396">
        <v>4.8704409999999996</v>
      </c>
      <c r="E1396">
        <v>0.5185748</v>
      </c>
      <c r="F1396" t="s">
        <v>42</v>
      </c>
      <c r="G1396">
        <v>-193.4162</v>
      </c>
      <c r="H1396" s="1">
        <v>-1.7760969999999999E-6</v>
      </c>
      <c r="I1396">
        <v>331.61040000000003</v>
      </c>
      <c r="J1396">
        <v>-192.98439999999999</v>
      </c>
      <c r="K1396">
        <v>1.1077980000000001</v>
      </c>
      <c r="L1396">
        <v>348.01670000000001</v>
      </c>
      <c r="M1396">
        <v>0.1490263</v>
      </c>
      <c r="N1396">
        <v>-1.362435E-2</v>
      </c>
      <c r="O1396">
        <v>-0.98873960000000005</v>
      </c>
      <c r="P1396">
        <v>2.4140809999999999E-2</v>
      </c>
      <c r="Q1396">
        <v>-8.7155940000000001E-2</v>
      </c>
      <c r="R1396">
        <v>-0.99590230000000002</v>
      </c>
      <c r="S1396">
        <v>-7.3211670000000006E-2</v>
      </c>
      <c r="T1396">
        <v>-0.19990040000000001</v>
      </c>
      <c r="U1396">
        <v>-2.9963380000000002</v>
      </c>
      <c r="V1396">
        <v>0.1242708</v>
      </c>
      <c r="W1396">
        <v>-7.4165519999999999E-2</v>
      </c>
      <c r="X1396">
        <v>0.98947269999999998</v>
      </c>
      <c r="Y1396">
        <v>0.17301920000000001</v>
      </c>
      <c r="Z1396">
        <v>5.1315060000000003E-2</v>
      </c>
      <c r="AA1396">
        <v>0.98358080000000003</v>
      </c>
      <c r="AB1396">
        <v>20</v>
      </c>
      <c r="AC1396">
        <v>-0.43180000000000901</v>
      </c>
      <c r="AD1396">
        <v>-1.107799776097</v>
      </c>
      <c r="AE1396">
        <v>-16.406299999999899</v>
      </c>
      <c r="AF1396">
        <v>2.8591470926076901</v>
      </c>
      <c r="AG1396">
        <v>-1.107799776097</v>
      </c>
      <c r="AH1396">
        <v>16.0854170327232</v>
      </c>
      <c r="AI1396">
        <v>93.879116688598103</v>
      </c>
      <c r="AJ1396">
        <v>79.921068370594597</v>
      </c>
      <c r="AK1396">
        <v>16.3750598031796</v>
      </c>
      <c r="AL1396">
        <v>94.253276626378494</v>
      </c>
      <c r="AM1396">
        <v>82.841534967386906</v>
      </c>
      <c r="AN1396">
        <v>0.99999999006740004</v>
      </c>
    </row>
    <row r="1397" spans="1:40" x14ac:dyDescent="0.25">
      <c r="A1397" t="str">
        <f>"20190305135219475"</f>
        <v>20190305135219475</v>
      </c>
      <c r="B1397" t="str">
        <f>"1551765139471152"</f>
        <v>1551765139471152</v>
      </c>
      <c r="C1397" t="s">
        <v>40</v>
      </c>
      <c r="D1397">
        <v>4.8513210000000004</v>
      </c>
      <c r="E1397">
        <v>0.51904220000000001</v>
      </c>
      <c r="F1397" t="s">
        <v>42</v>
      </c>
      <c r="G1397">
        <v>-193.37569999999999</v>
      </c>
      <c r="H1397" s="1">
        <v>-1.920089E-6</v>
      </c>
      <c r="I1397">
        <v>331.97120000000001</v>
      </c>
      <c r="J1397">
        <v>-192.9581</v>
      </c>
      <c r="K1397">
        <v>1.1079509999999999</v>
      </c>
      <c r="L1397">
        <v>347.81619999999998</v>
      </c>
      <c r="M1397">
        <v>0.14591750000000001</v>
      </c>
      <c r="N1397">
        <v>-1.36072E-2</v>
      </c>
      <c r="O1397">
        <v>-0.98920319999999995</v>
      </c>
      <c r="P1397">
        <v>2.3825059999999999E-2</v>
      </c>
      <c r="Q1397">
        <v>-8.9586970000000002E-2</v>
      </c>
      <c r="R1397">
        <v>-0.99569419999999997</v>
      </c>
      <c r="S1397">
        <v>-7.3074340000000002E-2</v>
      </c>
      <c r="T1397">
        <v>-0.20684540000000001</v>
      </c>
      <c r="U1397">
        <v>-2.9959720000000001</v>
      </c>
      <c r="V1397">
        <v>0.1214679</v>
      </c>
      <c r="W1397">
        <v>-7.6549560000000003E-2</v>
      </c>
      <c r="X1397">
        <v>0.98963920000000005</v>
      </c>
      <c r="Y1397">
        <v>0.16987629999999901</v>
      </c>
      <c r="Z1397">
        <v>5.3655370000000001E-2</v>
      </c>
      <c r="AA1397">
        <v>0.98400359999999998</v>
      </c>
      <c r="AB1397">
        <v>20</v>
      </c>
      <c r="AC1397">
        <v>-0.41759999999999298</v>
      </c>
      <c r="AD1397">
        <v>-1.1079529200889999</v>
      </c>
      <c r="AE1397">
        <v>-15.844999999999899</v>
      </c>
      <c r="AF1397">
        <v>2.7121546263440099</v>
      </c>
      <c r="AG1397">
        <v>-1.1079529200889999</v>
      </c>
      <c r="AH1397">
        <v>15.5385131168619</v>
      </c>
      <c r="AI1397">
        <v>94.017954320214699</v>
      </c>
      <c r="AJ1397">
        <v>80.099105564780302</v>
      </c>
      <c r="AK1397">
        <v>15.8122968689947</v>
      </c>
      <c r="AL1397">
        <v>94.390261482925993</v>
      </c>
      <c r="AM1397">
        <v>83.002538938829304</v>
      </c>
      <c r="AN1397">
        <v>1.00000001602162</v>
      </c>
    </row>
    <row r="1398" spans="1:40" x14ac:dyDescent="0.25">
      <c r="A1398" t="str">
        <f>"20190305135219496"</f>
        <v>20190305135219496</v>
      </c>
      <c r="B1398" t="str">
        <f>"1551765139490671"</f>
        <v>1551765139490671</v>
      </c>
      <c r="C1398" t="s">
        <v>40</v>
      </c>
      <c r="D1398">
        <v>4.8759220000000001</v>
      </c>
      <c r="E1398">
        <v>0.51938569999999995</v>
      </c>
      <c r="F1398" t="s">
        <v>42</v>
      </c>
      <c r="G1398">
        <v>-193.36359999999999</v>
      </c>
      <c r="H1398" s="1">
        <v>-2.012462E-6</v>
      </c>
      <c r="I1398">
        <v>332.19400000000002</v>
      </c>
      <c r="J1398">
        <v>-192.9332</v>
      </c>
      <c r="K1398">
        <v>1.1081160000000001</v>
      </c>
      <c r="L1398">
        <v>347.62439999999998</v>
      </c>
      <c r="M1398">
        <v>0.1432775</v>
      </c>
      <c r="N1398">
        <v>-1.3590659999999999E-2</v>
      </c>
      <c r="O1398">
        <v>-0.98958930000000001</v>
      </c>
      <c r="P1398">
        <v>2.4011810000000001E-2</v>
      </c>
      <c r="Q1398">
        <v>-9.1027479999999994E-2</v>
      </c>
      <c r="R1398">
        <v>-0.99555899999999997</v>
      </c>
      <c r="S1398">
        <v>-7.7774049999999997E-2</v>
      </c>
      <c r="T1398">
        <v>-0.21246680000000001</v>
      </c>
      <c r="U1398">
        <v>-2.9957889999999998</v>
      </c>
      <c r="V1398">
        <v>0.1186546</v>
      </c>
      <c r="W1398">
        <v>-7.7941730000000001E-2</v>
      </c>
      <c r="X1398">
        <v>0.98987179999999997</v>
      </c>
      <c r="Y1398">
        <v>0.16878670000000001</v>
      </c>
      <c r="Z1398">
        <v>5.5541769999999997E-2</v>
      </c>
      <c r="AA1398">
        <v>0.98408649999999998</v>
      </c>
      <c r="AB1398">
        <v>20</v>
      </c>
      <c r="AC1398">
        <v>-0.43039999999999101</v>
      </c>
      <c r="AD1398">
        <v>-1.10811801246199</v>
      </c>
      <c r="AE1398">
        <v>-15.430399999999899</v>
      </c>
      <c r="AF1398">
        <v>2.6234723755021698</v>
      </c>
      <c r="AG1398">
        <v>-1.10811801246199</v>
      </c>
      <c r="AH1398">
        <v>15.1315195443508</v>
      </c>
      <c r="AI1398">
        <v>94.127079525301895</v>
      </c>
      <c r="AJ1398">
        <v>80.1639522992716</v>
      </c>
      <c r="AK1398">
        <v>15.3971885925852</v>
      </c>
      <c r="AL1398">
        <v>94.470266054059394</v>
      </c>
      <c r="AM1398">
        <v>83.164645461213595</v>
      </c>
      <c r="AN1398">
        <v>1.0000000039058901</v>
      </c>
    </row>
    <row r="1399" spans="1:40" x14ac:dyDescent="0.25">
      <c r="A1399" t="str">
        <f>"20190305135219518"</f>
        <v>20190305135219518</v>
      </c>
      <c r="B1399" t="str">
        <f>"1551765139511168"</f>
        <v>1551765139511168</v>
      </c>
      <c r="C1399" t="s">
        <v>40</v>
      </c>
      <c r="D1399">
        <v>4.8732579999999999</v>
      </c>
      <c r="E1399">
        <v>0.50333349999999999</v>
      </c>
      <c r="F1399" t="s">
        <v>42</v>
      </c>
      <c r="G1399">
        <v>-193.3417</v>
      </c>
      <c r="H1399" s="1">
        <v>-2.043355E-6</v>
      </c>
      <c r="I1399">
        <v>332.27960000000002</v>
      </c>
      <c r="J1399">
        <v>-192.9091</v>
      </c>
      <c r="K1399">
        <v>1.1083050000000001</v>
      </c>
      <c r="L1399">
        <v>347.43799999999999</v>
      </c>
      <c r="M1399">
        <v>0.1410566</v>
      </c>
      <c r="N1399">
        <v>-1.357417E-2</v>
      </c>
      <c r="O1399">
        <v>-0.98990849999999997</v>
      </c>
      <c r="P1399">
        <v>2.5114939999999999E-2</v>
      </c>
      <c r="Q1399">
        <v>-9.2833860000000004E-2</v>
      </c>
      <c r="R1399">
        <v>-0.9953649</v>
      </c>
      <c r="S1399">
        <v>-7.9757690000000006E-2</v>
      </c>
      <c r="T1399">
        <v>-0.2163194</v>
      </c>
      <c r="U1399">
        <v>-2.995514</v>
      </c>
      <c r="V1399">
        <v>0.1153488</v>
      </c>
      <c r="W1399">
        <v>-7.9695870000000002E-2</v>
      </c>
      <c r="X1399">
        <v>0.99012290000000003</v>
      </c>
      <c r="Y1399">
        <v>0.16722600000000001</v>
      </c>
      <c r="Z1399">
        <v>5.6856080000000003E-2</v>
      </c>
      <c r="AA1399">
        <v>0.98427779999999998</v>
      </c>
      <c r="AB1399">
        <v>20</v>
      </c>
      <c r="AC1399">
        <v>-0.43260000000000698</v>
      </c>
      <c r="AD1399">
        <v>-1.108307043355</v>
      </c>
      <c r="AE1399">
        <v>-15.1584</v>
      </c>
      <c r="AF1399">
        <v>2.55302629450249</v>
      </c>
      <c r="AG1399">
        <v>-1.108307043355</v>
      </c>
      <c r="AH1399">
        <v>14.8663763323637</v>
      </c>
      <c r="AI1399">
        <v>94.202294212517302</v>
      </c>
      <c r="AJ1399">
        <v>80.255556833435705</v>
      </c>
      <c r="AK1399">
        <v>15.1246630712302</v>
      </c>
      <c r="AL1399">
        <v>94.571084245892294</v>
      </c>
      <c r="AM1399">
        <v>83.355025765392995</v>
      </c>
      <c r="AN1399">
        <v>1.0000000672304501</v>
      </c>
    </row>
    <row r="1400" spans="1:40" x14ac:dyDescent="0.25">
      <c r="A1400" t="str">
        <f>"20190305135219540"</f>
        <v>20190305135219540</v>
      </c>
      <c r="B1400" t="str">
        <f>"1551765139530688"</f>
        <v>1551765139530688</v>
      </c>
      <c r="C1400" t="s">
        <v>40</v>
      </c>
      <c r="D1400">
        <v>4.8592069999999996</v>
      </c>
      <c r="E1400">
        <v>0.4999421</v>
      </c>
      <c r="F1400" t="s">
        <v>41</v>
      </c>
      <c r="G1400">
        <v>-192.89599999999999</v>
      </c>
      <c r="H1400">
        <v>1.037183</v>
      </c>
      <c r="I1400">
        <v>346.64100000000002</v>
      </c>
      <c r="J1400">
        <v>-192.8845</v>
      </c>
      <c r="K1400">
        <v>1.1085229999999999</v>
      </c>
      <c r="L1400">
        <v>347.24680000000001</v>
      </c>
      <c r="M1400">
        <v>0.13913819999999999</v>
      </c>
      <c r="N1400">
        <v>-1.355779E-2</v>
      </c>
      <c r="O1400">
        <v>-0.99018019999999995</v>
      </c>
      <c r="P1400">
        <v>2.6959799999999999E-2</v>
      </c>
      <c r="Q1400">
        <v>-9.475633E-2</v>
      </c>
      <c r="R1400">
        <v>-0.9951354</v>
      </c>
      <c r="S1400">
        <v>4.9316409999999998E-2</v>
      </c>
      <c r="T1400">
        <v>-0.26663320000000001</v>
      </c>
      <c r="U1400">
        <v>-2.987854</v>
      </c>
      <c r="V1400">
        <v>0.11161310000000001</v>
      </c>
      <c r="W1400">
        <v>-8.1560250000000001E-2</v>
      </c>
      <c r="X1400">
        <v>0.99039909999999998</v>
      </c>
      <c r="Y1400">
        <v>0.1227467</v>
      </c>
      <c r="Z1400">
        <v>7.3752410000000004E-2</v>
      </c>
      <c r="AA1400">
        <v>0.98969379999999996</v>
      </c>
      <c r="AB1400">
        <v>20</v>
      </c>
      <c r="AC1400">
        <v>-1.1499999999983799E-2</v>
      </c>
      <c r="AD1400">
        <v>-7.1339999999999903E-2</v>
      </c>
      <c r="AE1400">
        <v>-0.60580000000004397</v>
      </c>
      <c r="AF1400">
        <v>9.4377448162430905E-2</v>
      </c>
      <c r="AG1400">
        <v>-7.1339999999999903E-2</v>
      </c>
      <c r="AH1400">
        <v>0.59012524978286096</v>
      </c>
      <c r="AI1400">
        <v>96.807335843040207</v>
      </c>
      <c r="AJ1400">
        <v>80.913755179558905</v>
      </c>
      <c r="AK1400">
        <v>0.60186735145955295</v>
      </c>
      <c r="AL1400">
        <v>94.678254743759894</v>
      </c>
      <c r="AM1400">
        <v>83.570176274330393</v>
      </c>
      <c r="AN1400">
        <v>0.99999996787624001</v>
      </c>
    </row>
    <row r="1401" spans="1:40" x14ac:dyDescent="0.25">
      <c r="A1401" t="str">
        <f>"20190305135219562"</f>
        <v>20190305135219562</v>
      </c>
      <c r="B1401" t="str">
        <f>"1551765139551183"</f>
        <v>1551765139551183</v>
      </c>
      <c r="C1401" t="s">
        <v>40</v>
      </c>
      <c r="D1401">
        <v>4.732037</v>
      </c>
      <c r="E1401">
        <v>0.49984079999999897</v>
      </c>
      <c r="F1401" t="s">
        <v>41</v>
      </c>
      <c r="G1401">
        <v>-192.86320000000001</v>
      </c>
      <c r="H1401">
        <v>1.0404789999999999</v>
      </c>
      <c r="I1401">
        <v>346.46800000000002</v>
      </c>
      <c r="J1401">
        <v>-192.85939999999999</v>
      </c>
      <c r="K1401">
        <v>1.108757</v>
      </c>
      <c r="L1401">
        <v>347.05270000000002</v>
      </c>
      <c r="M1401">
        <v>0.1375596</v>
      </c>
      <c r="N1401">
        <v>-1.354269E-2</v>
      </c>
      <c r="O1401">
        <v>-0.99040099999999998</v>
      </c>
      <c r="P1401">
        <v>2.902308E-2</v>
      </c>
      <c r="Q1401">
        <v>-9.6052760000000001E-2</v>
      </c>
      <c r="R1401">
        <v>-0.99495319999999998</v>
      </c>
      <c r="S1401">
        <v>8.2504270000000005E-2</v>
      </c>
      <c r="T1401">
        <v>-0.26122669999999998</v>
      </c>
      <c r="U1401">
        <v>-2.9875790000000002</v>
      </c>
      <c r="V1401">
        <v>0.1080135</v>
      </c>
      <c r="W1401">
        <v>-8.2796919999999996E-2</v>
      </c>
      <c r="X1401">
        <v>0.99069560000000001</v>
      </c>
      <c r="Y1401">
        <v>0.11017250000000001</v>
      </c>
      <c r="Z1401">
        <v>7.2110709999999995E-2</v>
      </c>
      <c r="AA1401">
        <v>0.99129310000000004</v>
      </c>
      <c r="AB1401">
        <v>19</v>
      </c>
      <c r="AC1401">
        <v>-3.8000000000124601E-3</v>
      </c>
      <c r="AD1401">
        <v>-6.8277999999999797E-2</v>
      </c>
      <c r="AE1401">
        <v>-0.584699999999997</v>
      </c>
      <c r="AF1401">
        <v>8.3069624395706101E-2</v>
      </c>
      <c r="AG1401">
        <v>-6.8277999999999797E-2</v>
      </c>
      <c r="AH1401">
        <v>0.57083403187195203</v>
      </c>
      <c r="AI1401">
        <v>96.750362438200497</v>
      </c>
      <c r="AJ1401">
        <v>81.720252203616894</v>
      </c>
      <c r="AK1401">
        <v>0.58087342831673106</v>
      </c>
      <c r="AL1401">
        <v>94.749351001808606</v>
      </c>
      <c r="AM1401">
        <v>83.777736416206395</v>
      </c>
      <c r="AN1401">
        <v>1.00000000900154</v>
      </c>
    </row>
    <row r="1402" spans="1:40" x14ac:dyDescent="0.25">
      <c r="A1402" t="str">
        <f>"20190305135219585"</f>
        <v>20190305135219585</v>
      </c>
      <c r="B1402" t="str">
        <f>"1551765139580464"</f>
        <v>1551765139580464</v>
      </c>
      <c r="C1402" t="s">
        <v>40</v>
      </c>
      <c r="D1402">
        <v>4.7481039999999997</v>
      </c>
      <c r="E1402">
        <v>0.50080290000000005</v>
      </c>
      <c r="F1402" t="s">
        <v>41</v>
      </c>
      <c r="G1402">
        <v>-192.8364</v>
      </c>
      <c r="H1402">
        <v>1.0472330000000001</v>
      </c>
      <c r="I1402">
        <v>346.29129999999998</v>
      </c>
      <c r="J1402">
        <v>-192.83449999999999</v>
      </c>
      <c r="K1402">
        <v>1.108986</v>
      </c>
      <c r="L1402">
        <v>346.86130000000003</v>
      </c>
      <c r="M1402">
        <v>0.1363702</v>
      </c>
      <c r="N1402">
        <v>-1.352951E-2</v>
      </c>
      <c r="O1402">
        <v>-0.99056569999999999</v>
      </c>
      <c r="P1402">
        <v>3.1016869999999998E-2</v>
      </c>
      <c r="Q1402">
        <v>-9.4916760000000003E-2</v>
      </c>
      <c r="R1402">
        <v>-0.99500200000000005</v>
      </c>
      <c r="S1402">
        <v>9.092712E-2</v>
      </c>
      <c r="T1402">
        <v>-0.24169089999999999</v>
      </c>
      <c r="U1402">
        <v>-2.9891969999999999</v>
      </c>
      <c r="V1402">
        <v>0.104905</v>
      </c>
      <c r="W1402">
        <v>-8.1603449999999994E-2</v>
      </c>
      <c r="X1402">
        <v>0.99112860000000003</v>
      </c>
      <c r="Y1402">
        <v>0.1061964</v>
      </c>
      <c r="Z1402">
        <v>6.5753599999999995E-2</v>
      </c>
      <c r="AA1402">
        <v>0.99216870000000001</v>
      </c>
      <c r="AB1402">
        <v>19</v>
      </c>
      <c r="AC1402">
        <v>-1.90000000000623E-3</v>
      </c>
      <c r="AD1402">
        <v>-6.1752999999999898E-2</v>
      </c>
      <c r="AE1402">
        <v>-0.57000000000005002</v>
      </c>
      <c r="AF1402">
        <v>7.8696692365694695E-2</v>
      </c>
      <c r="AG1402">
        <v>-6.1752999999999898E-2</v>
      </c>
      <c r="AH1402">
        <v>0.55786717040417</v>
      </c>
      <c r="AI1402">
        <v>96.255195046310405</v>
      </c>
      <c r="AJ1402">
        <v>81.970434563337193</v>
      </c>
      <c r="AK1402">
        <v>0.56676483854686599</v>
      </c>
      <c r="AL1402">
        <v>94.680737852461405</v>
      </c>
      <c r="AM1402">
        <v>83.958081833678406</v>
      </c>
      <c r="AN1402">
        <v>1.00000004190743</v>
      </c>
    </row>
    <row r="1403" spans="1:40" x14ac:dyDescent="0.25">
      <c r="A1403" t="str">
        <f>"20190305135219608"</f>
        <v>20190305135219608</v>
      </c>
      <c r="B1403" t="str">
        <f>"1551765139600960"</f>
        <v>1551765139600960</v>
      </c>
      <c r="C1403" t="s">
        <v>40</v>
      </c>
      <c r="D1403">
        <v>4.8392299999999997</v>
      </c>
      <c r="E1403">
        <v>0.50027379999999999</v>
      </c>
      <c r="F1403" t="s">
        <v>42</v>
      </c>
      <c r="G1403">
        <v>-192.36070000000001</v>
      </c>
      <c r="H1403" s="1">
        <v>-1.3288460000000001E-6</v>
      </c>
      <c r="I1403">
        <v>331.22250000000003</v>
      </c>
      <c r="J1403">
        <v>-192.8083</v>
      </c>
      <c r="K1403">
        <v>1.1092040000000001</v>
      </c>
      <c r="L1403">
        <v>346.66199999999998</v>
      </c>
      <c r="M1403">
        <v>0.1355469</v>
      </c>
      <c r="N1403">
        <v>-1.35172E-2</v>
      </c>
      <c r="O1403">
        <v>-0.99067890000000003</v>
      </c>
      <c r="P1403">
        <v>3.2078170000000003E-2</v>
      </c>
      <c r="Q1403">
        <v>-9.443116E-2</v>
      </c>
      <c r="R1403">
        <v>-0.99501490000000004</v>
      </c>
      <c r="S1403">
        <v>9.0652469999999999E-2</v>
      </c>
      <c r="T1403">
        <v>-0.21217359999999999</v>
      </c>
      <c r="U1403">
        <v>-2.992035</v>
      </c>
      <c r="V1403">
        <v>0.1030771</v>
      </c>
      <c r="W1403">
        <v>-8.1068879999999996E-2</v>
      </c>
      <c r="X1403">
        <v>0.99136420000000003</v>
      </c>
      <c r="Y1403">
        <v>0.1054794</v>
      </c>
      <c r="Z1403">
        <v>5.6082229999999997E-2</v>
      </c>
      <c r="AA1403">
        <v>0.99283880000000002</v>
      </c>
      <c r="AB1403">
        <v>19</v>
      </c>
      <c r="AC1403">
        <v>0.447599999999994</v>
      </c>
      <c r="AD1403">
        <v>-1.109205328846</v>
      </c>
      <c r="AE1403">
        <v>-15.439499999999899</v>
      </c>
      <c r="AF1403">
        <v>1.6410361561804201</v>
      </c>
      <c r="AG1403">
        <v>-1.109205328846</v>
      </c>
      <c r="AH1403">
        <v>15.2788657208805</v>
      </c>
      <c r="AI1403">
        <v>94.128575528811496</v>
      </c>
      <c r="AJ1403">
        <v>83.869612101935203</v>
      </c>
      <c r="AK1403">
        <v>15.4067217098294</v>
      </c>
      <c r="AL1403">
        <v>94.650007558172604</v>
      </c>
      <c r="AM1403">
        <v>84.064000553972804</v>
      </c>
      <c r="AN1403">
        <v>1.0000000144452501</v>
      </c>
    </row>
    <row r="1404" spans="1:40" x14ac:dyDescent="0.25">
      <c r="A1404" t="str">
        <f>"20190305135219634"</f>
        <v>20190305135219634</v>
      </c>
      <c r="B1404" t="str">
        <f>"1551765139630437"</f>
        <v>1551765139630437</v>
      </c>
      <c r="C1404" t="s">
        <v>40</v>
      </c>
      <c r="D1404">
        <v>4.763007</v>
      </c>
      <c r="E1404">
        <v>0.50090979999999996</v>
      </c>
      <c r="F1404" t="s">
        <v>41</v>
      </c>
      <c r="G1404">
        <v>-192.77950000000001</v>
      </c>
      <c r="H1404">
        <v>1.0443720000000001</v>
      </c>
      <c r="I1404">
        <v>345.77569999999997</v>
      </c>
      <c r="J1404">
        <v>-192.77869999999999</v>
      </c>
      <c r="K1404">
        <v>1.109394</v>
      </c>
      <c r="L1404">
        <v>346.43900000000002</v>
      </c>
      <c r="M1404">
        <v>0.13505710000000001</v>
      </c>
      <c r="N1404">
        <v>-1.3505100000000001E-2</v>
      </c>
      <c r="O1404">
        <v>-0.99074600000000002</v>
      </c>
      <c r="P1404">
        <v>3.393753E-2</v>
      </c>
      <c r="Q1404">
        <v>-9.5395250000000001E-2</v>
      </c>
      <c r="R1404">
        <v>-0.99486110000000005</v>
      </c>
      <c r="S1404">
        <v>9.7595210000000002E-2</v>
      </c>
      <c r="T1404">
        <v>-0.2188919</v>
      </c>
      <c r="U1404">
        <v>-2.9911500000000002</v>
      </c>
      <c r="V1404">
        <v>0.10076590000000001</v>
      </c>
      <c r="W1404">
        <v>-8.1990969999999996E-2</v>
      </c>
      <c r="X1404">
        <v>0.99152589999999996</v>
      </c>
      <c r="Y1404">
        <v>0.1026806</v>
      </c>
      <c r="Z1404">
        <v>5.8325399999999999E-2</v>
      </c>
      <c r="AA1404">
        <v>0.99300299999999997</v>
      </c>
      <c r="AB1404">
        <v>19</v>
      </c>
      <c r="AC1404">
        <v>-8.0000000002655703E-4</v>
      </c>
      <c r="AD1404">
        <v>-6.5022000000000094E-2</v>
      </c>
      <c r="AE1404">
        <v>-0.66330000000004896</v>
      </c>
      <c r="AF1404">
        <v>8.9523915459450695E-2</v>
      </c>
      <c r="AG1404">
        <v>-6.5022000000000094E-2</v>
      </c>
      <c r="AH1404">
        <v>0.65085913772328596</v>
      </c>
      <c r="AI1404">
        <v>95.652155057295602</v>
      </c>
      <c r="AJ1404">
        <v>82.168263842963796</v>
      </c>
      <c r="AK1404">
        <v>0.66019694719158595</v>
      </c>
      <c r="AL1404">
        <v>94.703016207897903</v>
      </c>
      <c r="AM1404">
        <v>84.197118978804696</v>
      </c>
      <c r="AN1404">
        <v>0.99999994806757897</v>
      </c>
    </row>
    <row r="1405" spans="1:40" x14ac:dyDescent="0.25">
      <c r="A1405" t="str">
        <f>"20190305135219651"</f>
        <v>20190305135219651</v>
      </c>
      <c r="B1405" t="str">
        <f>"1551765139641172"</f>
        <v>1551765139641172</v>
      </c>
      <c r="C1405" t="s">
        <v>40</v>
      </c>
      <c r="D1405">
        <v>4.8595600000000001</v>
      </c>
      <c r="E1405">
        <v>0.50083739999999999</v>
      </c>
      <c r="F1405" t="s">
        <v>41</v>
      </c>
      <c r="G1405">
        <v>-192.75110000000001</v>
      </c>
      <c r="H1405">
        <v>1.049928</v>
      </c>
      <c r="I1405">
        <v>345.60039999999998</v>
      </c>
      <c r="J1405">
        <v>-192.75819999999999</v>
      </c>
      <c r="K1405">
        <v>1.1094850000000001</v>
      </c>
      <c r="L1405">
        <v>346.28590000000003</v>
      </c>
      <c r="M1405">
        <v>0.13490959999999999</v>
      </c>
      <c r="N1405">
        <v>-1.349765E-2</v>
      </c>
      <c r="O1405">
        <v>-0.99076620000000004</v>
      </c>
      <c r="P1405">
        <v>3.6153320000000003E-2</v>
      </c>
      <c r="Q1405">
        <v>-9.8388229999999993E-2</v>
      </c>
      <c r="R1405">
        <v>-0.99449149999999997</v>
      </c>
      <c r="S1405">
        <v>9.8526000000000002E-2</v>
      </c>
      <c r="T1405">
        <v>-0.21218239999999999</v>
      </c>
      <c r="U1405">
        <v>-2.9917910000000001</v>
      </c>
      <c r="V1405">
        <v>9.8395739999999995E-2</v>
      </c>
      <c r="W1405">
        <v>-8.4966710000000001E-2</v>
      </c>
      <c r="X1405">
        <v>0.99151339999999999</v>
      </c>
      <c r="Y1405">
        <v>0.1022285</v>
      </c>
      <c r="Z1405">
        <v>5.6130890000000003E-2</v>
      </c>
      <c r="AA1405">
        <v>0.99317599999999995</v>
      </c>
      <c r="AB1405">
        <v>19</v>
      </c>
      <c r="AC1405">
        <v>7.0999999999799002E-3</v>
      </c>
      <c r="AD1405">
        <v>-5.9556999999999999E-2</v>
      </c>
      <c r="AE1405">
        <v>-0.68550000000004696</v>
      </c>
      <c r="AF1405">
        <v>8.4813723137172198E-2</v>
      </c>
      <c r="AG1405">
        <v>-5.9556999999999999E-2</v>
      </c>
      <c r="AH1405">
        <v>0.67509461051886699</v>
      </c>
      <c r="AI1405">
        <v>95.002472680816496</v>
      </c>
      <c r="AJ1405">
        <v>82.839312783220194</v>
      </c>
      <c r="AK1405">
        <v>0.68300302856796302</v>
      </c>
      <c r="AL1405">
        <v>94.874110846771899</v>
      </c>
      <c r="AM1405">
        <v>84.332641050551302</v>
      </c>
      <c r="AN1405">
        <v>0.99999994291896399</v>
      </c>
    </row>
    <row r="1406" spans="1:40" x14ac:dyDescent="0.25">
      <c r="A1406" t="str">
        <f>"20190305135219675"</f>
        <v>20190305135219675</v>
      </c>
      <c r="B1406" t="str">
        <f>"1551765139670452"</f>
        <v>1551765139670452</v>
      </c>
      <c r="C1406" t="s">
        <v>40</v>
      </c>
      <c r="D1406">
        <v>4.759709</v>
      </c>
      <c r="E1406">
        <v>0.50200769999999995</v>
      </c>
      <c r="F1406" t="s">
        <v>41</v>
      </c>
      <c r="G1406">
        <v>-192.72819999999999</v>
      </c>
      <c r="H1406">
        <v>1.0463089999999999</v>
      </c>
      <c r="I1406">
        <v>345.43259999999998</v>
      </c>
      <c r="J1406">
        <v>-192.73179999999999</v>
      </c>
      <c r="K1406">
        <v>1.1095660000000001</v>
      </c>
      <c r="L1406">
        <v>346.09050000000002</v>
      </c>
      <c r="M1406">
        <v>0.13491689999999901</v>
      </c>
      <c r="N1406">
        <v>-1.3488969999999999E-2</v>
      </c>
      <c r="O1406">
        <v>-0.99076509999999995</v>
      </c>
      <c r="P1406">
        <v>3.7674060000000002E-2</v>
      </c>
      <c r="Q1406">
        <v>-9.9791080000000004E-2</v>
      </c>
      <c r="R1406">
        <v>-0.99429480000000003</v>
      </c>
      <c r="S1406">
        <v>0.1056671</v>
      </c>
      <c r="T1406">
        <v>-0.22161330000000001</v>
      </c>
      <c r="U1406">
        <v>-2.9908450000000002</v>
      </c>
      <c r="V1406">
        <v>9.6889779999999995E-2</v>
      </c>
      <c r="W1406">
        <v>-8.6356920000000004E-2</v>
      </c>
      <c r="X1406">
        <v>0.99154169999999997</v>
      </c>
      <c r="Y1406">
        <v>9.9862370000000006E-2</v>
      </c>
      <c r="Z1406">
        <v>5.9249049999999998E-2</v>
      </c>
      <c r="AA1406">
        <v>0.9932356</v>
      </c>
      <c r="AB1406">
        <v>19</v>
      </c>
      <c r="AC1406">
        <v>3.6000000000058199E-3</v>
      </c>
      <c r="AD1406">
        <v>-6.3257000000000105E-2</v>
      </c>
      <c r="AE1406">
        <v>-0.65790000000004001</v>
      </c>
      <c r="AF1406">
        <v>8.4422381226100698E-2</v>
      </c>
      <c r="AG1406">
        <v>-6.3257000000000105E-2</v>
      </c>
      <c r="AH1406">
        <v>0.64639381001019003</v>
      </c>
      <c r="AI1406">
        <v>95.542473518722403</v>
      </c>
      <c r="AJ1406">
        <v>82.558992394823704</v>
      </c>
      <c r="AK1406">
        <v>0.65494545125558001</v>
      </c>
      <c r="AL1406">
        <v>94.954057380402006</v>
      </c>
      <c r="AM1406">
        <v>84.418987159850602</v>
      </c>
      <c r="AN1406">
        <v>1.00000004496961</v>
      </c>
    </row>
    <row r="1407" spans="1:40" x14ac:dyDescent="0.25">
      <c r="A1407" t="str">
        <f>"20190305135219698"</f>
        <v>20190305135219698</v>
      </c>
      <c r="B1407" t="str">
        <f>"1551765139690948"</f>
        <v>1551765139690948</v>
      </c>
      <c r="C1407" t="s">
        <v>40</v>
      </c>
      <c r="D1407">
        <v>4.8243479999999996</v>
      </c>
      <c r="E1407">
        <v>0.50163210000000003</v>
      </c>
      <c r="F1407" t="s">
        <v>41</v>
      </c>
      <c r="G1407">
        <v>-192.70349999999999</v>
      </c>
      <c r="H1407">
        <v>1.050235</v>
      </c>
      <c r="I1407">
        <v>345.25850000000003</v>
      </c>
      <c r="J1407">
        <v>-192.7046</v>
      </c>
      <c r="K1407">
        <v>1.1096140000000001</v>
      </c>
      <c r="L1407">
        <v>345.89069999999998</v>
      </c>
      <c r="M1407">
        <v>0.13507810000000001</v>
      </c>
      <c r="N1407">
        <v>-1.3481180000000001E-2</v>
      </c>
      <c r="O1407">
        <v>-0.99074340000000005</v>
      </c>
      <c r="P1407">
        <v>3.8325100000000001E-2</v>
      </c>
      <c r="Q1407">
        <v>-9.9850300000000003E-2</v>
      </c>
      <c r="R1407">
        <v>-0.9942645</v>
      </c>
      <c r="S1407">
        <v>0.1014709</v>
      </c>
      <c r="T1407">
        <v>-0.21319340000000001</v>
      </c>
      <c r="U1407">
        <v>-2.9920040000000001</v>
      </c>
      <c r="V1407">
        <v>9.6412520000000002E-2</v>
      </c>
      <c r="W1407">
        <v>-8.6411509999999997E-2</v>
      </c>
      <c r="X1407">
        <v>0.9915834</v>
      </c>
      <c r="Y1407">
        <v>0.1014245</v>
      </c>
      <c r="Z1407">
        <v>5.6472759999999997E-2</v>
      </c>
      <c r="AA1407">
        <v>0.99323910000000004</v>
      </c>
      <c r="AB1407">
        <v>19</v>
      </c>
      <c r="AC1407">
        <v>1.1000000000080899E-3</v>
      </c>
      <c r="AD1407">
        <v>-5.93789999999998E-2</v>
      </c>
      <c r="AE1407">
        <v>-0.63219999999995402</v>
      </c>
      <c r="AF1407">
        <v>8.3576909845658506E-2</v>
      </c>
      <c r="AG1407">
        <v>-5.93789999999998E-2</v>
      </c>
      <c r="AH1407">
        <v>0.62107442897211496</v>
      </c>
      <c r="AI1407">
        <v>95.412776839667202</v>
      </c>
      <c r="AJ1407">
        <v>82.335847321300903</v>
      </c>
      <c r="AK1407">
        <v>0.62947947688815697</v>
      </c>
      <c r="AL1407">
        <v>94.9571972100197</v>
      </c>
      <c r="AM1407">
        <v>84.446537934507106</v>
      </c>
      <c r="AN1407">
        <v>0.99999998111439503</v>
      </c>
    </row>
    <row r="1408" spans="1:40" x14ac:dyDescent="0.25">
      <c r="A1408" t="str">
        <f>"20190305135219719"</f>
        <v>20190305135219719</v>
      </c>
      <c r="B1408" t="str">
        <f>"1551765139710469"</f>
        <v>1551765139710469</v>
      </c>
      <c r="C1408" t="s">
        <v>40</v>
      </c>
      <c r="D1408">
        <v>4.8678559999999997</v>
      </c>
      <c r="E1408">
        <v>0.50151849999999998</v>
      </c>
      <c r="F1408" t="s">
        <v>41</v>
      </c>
      <c r="G1408">
        <v>-192.67619999999999</v>
      </c>
      <c r="H1408">
        <v>1.0516080000000001</v>
      </c>
      <c r="I1408">
        <v>345.08749999999998</v>
      </c>
      <c r="J1408">
        <v>-192.68010000000001</v>
      </c>
      <c r="K1408">
        <v>1.1096360000000001</v>
      </c>
      <c r="L1408">
        <v>345.71199999999999</v>
      </c>
      <c r="M1408">
        <v>0.13528679999999901</v>
      </c>
      <c r="N1408">
        <v>-1.347511E-2</v>
      </c>
      <c r="O1408">
        <v>-0.99071509999999996</v>
      </c>
      <c r="P1408">
        <v>3.9271340000000002E-2</v>
      </c>
      <c r="Q1408">
        <v>-9.9882650000000003E-2</v>
      </c>
      <c r="R1408">
        <v>-0.99422429999999995</v>
      </c>
      <c r="S1408">
        <v>0.106308</v>
      </c>
      <c r="T1408">
        <v>-0.21636749999999999</v>
      </c>
      <c r="U1408">
        <v>-2.9914550000000002</v>
      </c>
      <c r="V1408">
        <v>9.5681349999999998E-2</v>
      </c>
      <c r="W1408">
        <v>-8.644607E-2</v>
      </c>
      <c r="X1408">
        <v>0.99165119999999896</v>
      </c>
      <c r="Y1408">
        <v>0.100026</v>
      </c>
      <c r="Z1408">
        <v>5.7529589999999999E-2</v>
      </c>
      <c r="AA1408">
        <v>0.99332030000000004</v>
      </c>
      <c r="AB1408">
        <v>19</v>
      </c>
      <c r="AC1408">
        <v>3.9000000000157702E-3</v>
      </c>
      <c r="AD1408">
        <v>-5.8027999999999899E-2</v>
      </c>
      <c r="AE1408">
        <v>-0.62450000000001105</v>
      </c>
      <c r="AF1408">
        <v>7.9939946147137203E-2</v>
      </c>
      <c r="AG1408">
        <v>-5.8027999999999899E-2</v>
      </c>
      <c r="AH1408">
        <v>0.61398435560131304</v>
      </c>
      <c r="AI1408">
        <v>95.354094851198695</v>
      </c>
      <c r="AJ1408">
        <v>82.581894410653405</v>
      </c>
      <c r="AK1408">
        <v>0.62187975742676005</v>
      </c>
      <c r="AL1408">
        <v>94.959184829459304</v>
      </c>
      <c r="AM1408">
        <v>84.488768286390794</v>
      </c>
      <c r="AN1408">
        <v>0.99999997310885302</v>
      </c>
    </row>
    <row r="1409" spans="1:40" x14ac:dyDescent="0.25">
      <c r="A1409" t="str">
        <f>"20190305135219741"</f>
        <v>20190305135219741</v>
      </c>
      <c r="B1409" t="str">
        <f>"1551765139730967"</f>
        <v>1551765139730967</v>
      </c>
      <c r="C1409" t="s">
        <v>40</v>
      </c>
      <c r="D1409">
        <v>4.8585289999999999</v>
      </c>
      <c r="E1409">
        <v>0.50131020000000004</v>
      </c>
      <c r="F1409" t="s">
        <v>41</v>
      </c>
      <c r="G1409">
        <v>-192.65090000000001</v>
      </c>
      <c r="H1409">
        <v>1.051817</v>
      </c>
      <c r="I1409">
        <v>344.91739999999999</v>
      </c>
      <c r="J1409">
        <v>-192.654</v>
      </c>
      <c r="K1409">
        <v>1.109632</v>
      </c>
      <c r="L1409">
        <v>345.52289999999999</v>
      </c>
      <c r="M1409">
        <v>0.1355172</v>
      </c>
      <c r="N1409">
        <v>-1.346936E-2</v>
      </c>
      <c r="O1409">
        <v>-0.99068369999999994</v>
      </c>
      <c r="P1409">
        <v>4.0784050000000002E-2</v>
      </c>
      <c r="Q1409">
        <v>-0.10006900000000001</v>
      </c>
      <c r="R1409">
        <v>-0.99414460000000004</v>
      </c>
      <c r="S1409">
        <v>0.1099091</v>
      </c>
      <c r="T1409">
        <v>-0.2176062</v>
      </c>
      <c r="U1409">
        <v>-2.9912109999999998</v>
      </c>
      <c r="V1409">
        <v>9.4399880000000005E-2</v>
      </c>
      <c r="W1409">
        <v>-8.6640400000000006E-2</v>
      </c>
      <c r="X1409">
        <v>0.99175709999999995</v>
      </c>
      <c r="Y1409">
        <v>9.9061440000000001E-2</v>
      </c>
      <c r="Z1409">
        <v>5.7945219999999999E-2</v>
      </c>
      <c r="AA1409">
        <v>0.99339279999999996</v>
      </c>
      <c r="AB1409">
        <v>19</v>
      </c>
      <c r="AC1409">
        <v>3.1000000000176399E-3</v>
      </c>
      <c r="AD1409">
        <v>-5.7814999999999901E-2</v>
      </c>
      <c r="AE1409">
        <v>-0.60550000000000603</v>
      </c>
      <c r="AF1409">
        <v>7.8278046480979302E-2</v>
      </c>
      <c r="AG1409">
        <v>-5.7814999999999901E-2</v>
      </c>
      <c r="AH1409">
        <v>0.59490972488038296</v>
      </c>
      <c r="AI1409">
        <v>95.503591147419698</v>
      </c>
      <c r="AJ1409">
        <v>82.504099653998907</v>
      </c>
      <c r="AK1409">
        <v>0.60281639621291905</v>
      </c>
      <c r="AL1409">
        <v>94.970360812943198</v>
      </c>
      <c r="AM1409">
        <v>84.5627125188457</v>
      </c>
      <c r="AN1409">
        <v>1.00000002082829</v>
      </c>
    </row>
    <row r="1410" spans="1:40" x14ac:dyDescent="0.25">
      <c r="A1410" t="str">
        <f>"20190305135219764"</f>
        <v>20190305135219764</v>
      </c>
      <c r="B1410" t="str">
        <f>"1551765139761220"</f>
        <v>1551765139761220</v>
      </c>
      <c r="C1410" t="s">
        <v>40</v>
      </c>
      <c r="D1410">
        <v>4.8709110000000004</v>
      </c>
      <c r="E1410">
        <v>0.50109359999999903</v>
      </c>
      <c r="F1410" t="s">
        <v>41</v>
      </c>
      <c r="G1410">
        <v>-192.6241</v>
      </c>
      <c r="H1410">
        <v>1.0527489999999999</v>
      </c>
      <c r="I1410">
        <v>344.74709999999999</v>
      </c>
      <c r="J1410">
        <v>-192.62780000000001</v>
      </c>
      <c r="K1410">
        <v>1.1096140000000001</v>
      </c>
      <c r="L1410">
        <v>345.33319999999998</v>
      </c>
      <c r="M1410">
        <v>0.13572379999999901</v>
      </c>
      <c r="N1410">
        <v>-1.3464449999999999E-2</v>
      </c>
      <c r="O1410">
        <v>-0.99065519999999996</v>
      </c>
      <c r="P1410">
        <v>4.1635459999999999E-2</v>
      </c>
      <c r="Q1410">
        <v>-9.8705139999999997E-2</v>
      </c>
      <c r="R1410">
        <v>-0.99424539999999995</v>
      </c>
      <c r="S1410">
        <v>0.11608889999999999</v>
      </c>
      <c r="T1410">
        <v>-0.2195106</v>
      </c>
      <c r="U1410">
        <v>-2.9907840000000001</v>
      </c>
      <c r="V1410">
        <v>9.3767900000000001E-2</v>
      </c>
      <c r="W1410">
        <v>-8.5287790000000002E-2</v>
      </c>
      <c r="X1410">
        <v>0.99193419999999999</v>
      </c>
      <c r="Y1410">
        <v>9.7216049999999998E-2</v>
      </c>
      <c r="Z1410">
        <v>5.8584789999999998E-2</v>
      </c>
      <c r="AA1410">
        <v>0.99353749999999996</v>
      </c>
      <c r="AB1410">
        <v>19</v>
      </c>
      <c r="AC1410">
        <v>3.70000000000914E-3</v>
      </c>
      <c r="AD1410">
        <v>-5.6864999999999902E-2</v>
      </c>
      <c r="AE1410">
        <v>-0.58609999999998696</v>
      </c>
      <c r="AF1410">
        <v>7.5181490098962703E-2</v>
      </c>
      <c r="AG1410">
        <v>-5.6864999999999902E-2</v>
      </c>
      <c r="AH1410">
        <v>0.57575825574905504</v>
      </c>
      <c r="AI1410">
        <v>95.593369285591095</v>
      </c>
      <c r="AJ1410">
        <v>82.560511115028206</v>
      </c>
      <c r="AK1410">
        <v>0.58342390569952995</v>
      </c>
      <c r="AL1410">
        <v>94.892574404038498</v>
      </c>
      <c r="AM1410">
        <v>84.599856222013599</v>
      </c>
      <c r="AN1410">
        <v>0.99999994166156503</v>
      </c>
    </row>
    <row r="1411" spans="1:40" x14ac:dyDescent="0.25">
      <c r="A1411" t="str">
        <f>"20190305135219784"</f>
        <v>20190305135219784</v>
      </c>
      <c r="B1411" t="str">
        <f>"1551765139780741"</f>
        <v>1551765139780741</v>
      </c>
      <c r="C1411" t="s">
        <v>40</v>
      </c>
      <c r="D1411">
        <v>4.8903379999999999</v>
      </c>
      <c r="E1411">
        <v>0.50092700000000001</v>
      </c>
      <c r="F1411" t="s">
        <v>41</v>
      </c>
      <c r="G1411">
        <v>-192.59700000000001</v>
      </c>
      <c r="H1411">
        <v>1.054236</v>
      </c>
      <c r="I1411">
        <v>344.56670000000003</v>
      </c>
      <c r="J1411">
        <v>-192.60310000000001</v>
      </c>
      <c r="K1411">
        <v>1.1095839999999999</v>
      </c>
      <c r="L1411">
        <v>345.15480000000002</v>
      </c>
      <c r="M1411">
        <v>0.13588069999999999</v>
      </c>
      <c r="N1411">
        <v>-1.346022E-2</v>
      </c>
      <c r="O1411">
        <v>-0.99063380000000001</v>
      </c>
      <c r="P1411">
        <v>4.2420769999999997E-2</v>
      </c>
      <c r="Q1411">
        <v>-9.6542879999999998E-2</v>
      </c>
      <c r="R1411">
        <v>-0.99442450000000004</v>
      </c>
      <c r="S1411">
        <v>0.1204071</v>
      </c>
      <c r="T1411">
        <v>-0.21607979999999999</v>
      </c>
      <c r="U1411">
        <v>-2.9909059999999998</v>
      </c>
      <c r="V1411">
        <v>9.3159080000000005E-2</v>
      </c>
      <c r="W1411">
        <v>-8.3138390000000006E-2</v>
      </c>
      <c r="X1411">
        <v>0.99217409999999995</v>
      </c>
      <c r="Y1411">
        <v>9.594184E-2</v>
      </c>
      <c r="Z1411">
        <v>5.746743E-2</v>
      </c>
      <c r="AA1411">
        <v>0.99372669999999996</v>
      </c>
      <c r="AB1411">
        <v>19</v>
      </c>
      <c r="AC1411">
        <v>6.1000000000035401E-3</v>
      </c>
      <c r="AD1411">
        <v>-5.5347999999999897E-2</v>
      </c>
      <c r="AE1411">
        <v>-0.58809999999999696</v>
      </c>
      <c r="AF1411">
        <v>7.3226741880638102E-2</v>
      </c>
      <c r="AG1411">
        <v>-5.5347999999999897E-2</v>
      </c>
      <c r="AH1411">
        <v>0.57835136650853702</v>
      </c>
      <c r="AI1411">
        <v>95.423498540582202</v>
      </c>
      <c r="AJ1411">
        <v>82.784011333038293</v>
      </c>
      <c r="AK1411">
        <v>0.58559018090533799</v>
      </c>
      <c r="AL1411">
        <v>94.768983401260499</v>
      </c>
      <c r="AM1411">
        <v>84.636002937409799</v>
      </c>
      <c r="AN1411">
        <v>1.00000002539452</v>
      </c>
    </row>
    <row r="1412" spans="1:40" x14ac:dyDescent="0.25">
      <c r="A1412" t="str">
        <f>"20190305135219808"</f>
        <v>20190305135219808</v>
      </c>
      <c r="B1412" t="str">
        <f>"1551765139801236"</f>
        <v>1551765139801236</v>
      </c>
      <c r="C1412" t="s">
        <v>40</v>
      </c>
      <c r="D1412">
        <v>4.885459</v>
      </c>
      <c r="E1412">
        <v>0.50075449999999999</v>
      </c>
      <c r="F1412" t="s">
        <v>42</v>
      </c>
      <c r="G1412">
        <v>-191.94659999999999</v>
      </c>
      <c r="H1412" s="1">
        <v>-4.5445030000000002E-6</v>
      </c>
      <c r="I1412">
        <v>329.32639999999998</v>
      </c>
      <c r="J1412">
        <v>-192.5763</v>
      </c>
      <c r="K1412">
        <v>1.109531</v>
      </c>
      <c r="L1412">
        <v>344.96120000000002</v>
      </c>
      <c r="M1412">
        <v>0.13600110000000001</v>
      </c>
      <c r="N1412">
        <v>-1.345622E-2</v>
      </c>
      <c r="O1412">
        <v>-0.99061750000000004</v>
      </c>
      <c r="P1412">
        <v>4.2698949999999999E-2</v>
      </c>
      <c r="Q1412">
        <v>-9.3516660000000001E-2</v>
      </c>
      <c r="R1412">
        <v>-0.99470170000000002</v>
      </c>
      <c r="S1412">
        <v>0.1240692</v>
      </c>
      <c r="T1412">
        <v>-0.20968410000000001</v>
      </c>
      <c r="U1412">
        <v>-2.9911799999999999</v>
      </c>
      <c r="V1412">
        <v>9.3027139999999994E-2</v>
      </c>
      <c r="W1412">
        <v>-8.0127119999999996E-2</v>
      </c>
      <c r="X1412">
        <v>0.99243419999999904</v>
      </c>
      <c r="Y1412">
        <v>9.4848950000000001E-2</v>
      </c>
      <c r="Z1412">
        <v>5.5377610000000001E-2</v>
      </c>
      <c r="AA1412">
        <v>0.99395020000000001</v>
      </c>
      <c r="AB1412">
        <v>19</v>
      </c>
      <c r="AC1412">
        <v>0.62970000000001303</v>
      </c>
      <c r="AD1412">
        <v>-1.109535544503</v>
      </c>
      <c r="AE1412">
        <v>-15.6348</v>
      </c>
      <c r="AF1412">
        <v>1.49517618843536</v>
      </c>
      <c r="AG1412">
        <v>-1.109535544503</v>
      </c>
      <c r="AH1412">
        <v>15.4972335828821</v>
      </c>
      <c r="AI1412">
        <v>94.076281077269499</v>
      </c>
      <c r="AJ1412">
        <v>84.489148643762206</v>
      </c>
      <c r="AK1412">
        <v>15.6086793061229</v>
      </c>
      <c r="AL1412">
        <v>94.595872527468998</v>
      </c>
      <c r="AM1412">
        <v>84.644951348897195</v>
      </c>
      <c r="AN1412">
        <v>1.00000002273285</v>
      </c>
    </row>
    <row r="1413" spans="1:40" x14ac:dyDescent="0.25">
      <c r="A1413" t="str">
        <f>"20190305135219841"</f>
        <v>20190305135219841</v>
      </c>
      <c r="B1413" t="str">
        <f>"1551765139830522"</f>
        <v>1551765139830522</v>
      </c>
      <c r="C1413" t="s">
        <v>40</v>
      </c>
      <c r="D1413">
        <v>4.878482</v>
      </c>
      <c r="E1413">
        <v>0.50047929999999996</v>
      </c>
      <c r="F1413" t="s">
        <v>41</v>
      </c>
      <c r="G1413">
        <v>-192.53890000000001</v>
      </c>
      <c r="H1413">
        <v>1.0495049999999999</v>
      </c>
      <c r="I1413">
        <v>344.07040000000001</v>
      </c>
      <c r="J1413">
        <v>-192.53720000000001</v>
      </c>
      <c r="K1413">
        <v>1.1094269999999999</v>
      </c>
      <c r="L1413">
        <v>344.67759999999998</v>
      </c>
      <c r="M1413">
        <v>0.13609070000000001</v>
      </c>
      <c r="N1413">
        <v>-1.345067E-2</v>
      </c>
      <c r="O1413">
        <v>-0.99060519999999996</v>
      </c>
      <c r="P1413">
        <v>4.2331889999999997E-2</v>
      </c>
      <c r="Q1413">
        <v>-9.279403E-2</v>
      </c>
      <c r="R1413">
        <v>-0.99478520000000004</v>
      </c>
      <c r="S1413">
        <v>0.1260529</v>
      </c>
      <c r="T1413">
        <v>-0.20176830000000001</v>
      </c>
      <c r="U1413">
        <v>-2.991638</v>
      </c>
      <c r="V1413">
        <v>9.3474219999999997E-2</v>
      </c>
      <c r="W1413">
        <v>-7.9429840000000002E-2</v>
      </c>
      <c r="X1413">
        <v>0.9924482</v>
      </c>
      <c r="Y1413">
        <v>9.4283549999999994E-2</v>
      </c>
      <c r="Z1413">
        <v>5.2786939999999997E-2</v>
      </c>
      <c r="AA1413">
        <v>0.9941449</v>
      </c>
      <c r="AB1413">
        <v>19</v>
      </c>
      <c r="AC1413">
        <v>-1.6999999999995901E-3</v>
      </c>
      <c r="AD1413">
        <v>-5.9922000000000003E-2</v>
      </c>
      <c r="AE1413">
        <v>-0.60719999999997698</v>
      </c>
      <c r="AF1413">
        <v>8.3512606357410701E-2</v>
      </c>
      <c r="AG1413">
        <v>-5.9922000000000003E-2</v>
      </c>
      <c r="AH1413">
        <v>0.59551880104598598</v>
      </c>
      <c r="AI1413">
        <v>95.690536740161207</v>
      </c>
      <c r="AJ1413">
        <v>82.0171817798646</v>
      </c>
      <c r="AK1413">
        <v>0.604324121563799</v>
      </c>
      <c r="AL1413">
        <v>94.555793776914896</v>
      </c>
      <c r="AM1413">
        <v>84.619441613331304</v>
      </c>
      <c r="AN1413">
        <v>0.99999997948513597</v>
      </c>
    </row>
    <row r="1414" spans="1:40" x14ac:dyDescent="0.25">
      <c r="A1414" t="str">
        <f>"20190305135219862"</f>
        <v>20190305135219862</v>
      </c>
      <c r="B1414" t="str">
        <f>"1551765139851012"</f>
        <v>1551765139851012</v>
      </c>
      <c r="C1414" t="s">
        <v>40</v>
      </c>
      <c r="D1414">
        <v>4.8083239999999998</v>
      </c>
      <c r="E1414">
        <v>0.50083140000000004</v>
      </c>
      <c r="F1414" t="s">
        <v>42</v>
      </c>
      <c r="G1414">
        <v>-191.83670000000001</v>
      </c>
      <c r="H1414" s="1">
        <v>-4.1328889999999998E-6</v>
      </c>
      <c r="I1414">
        <v>328.17410000000001</v>
      </c>
      <c r="J1414">
        <v>-192.51159999999999</v>
      </c>
      <c r="K1414">
        <v>1.1093649999999999</v>
      </c>
      <c r="L1414">
        <v>344.49239999999998</v>
      </c>
      <c r="M1414">
        <v>0.13610610000000001</v>
      </c>
      <c r="N1414">
        <v>-1.34471E-2</v>
      </c>
      <c r="O1414">
        <v>-0.99060309999999996</v>
      </c>
      <c r="P1414">
        <v>4.1789010000000001E-2</v>
      </c>
      <c r="Q1414">
        <v>-9.3833200000000005E-2</v>
      </c>
      <c r="R1414">
        <v>-0.99471089999999995</v>
      </c>
      <c r="S1414">
        <v>0.12696840000000001</v>
      </c>
      <c r="T1414">
        <v>-0.20110600000000001</v>
      </c>
      <c r="U1414">
        <v>-2.9915769999999999</v>
      </c>
      <c r="V1414">
        <v>9.4008649999999999E-2</v>
      </c>
      <c r="W1414">
        <v>-8.0484739999999999E-2</v>
      </c>
      <c r="X1414">
        <v>0.99231270000000005</v>
      </c>
      <c r="Y1414">
        <v>9.3994309999999998E-2</v>
      </c>
      <c r="Z1414">
        <v>5.2575980000000001E-2</v>
      </c>
      <c r="AA1414">
        <v>0.9941835</v>
      </c>
      <c r="AB1414">
        <v>19</v>
      </c>
      <c r="AC1414">
        <v>0.67489999999997896</v>
      </c>
      <c r="AD1414">
        <v>-1.1093691328890001</v>
      </c>
      <c r="AE1414">
        <v>-16.318299999999901</v>
      </c>
      <c r="AF1414">
        <v>1.5454718475320399</v>
      </c>
      <c r="AG1414">
        <v>-1.1093691328890001</v>
      </c>
      <c r="AH1414">
        <v>16.183616789575701</v>
      </c>
      <c r="AI1414">
        <v>93.903723828446402</v>
      </c>
      <c r="AJ1414">
        <v>84.545020162109694</v>
      </c>
      <c r="AK1414">
        <v>16.295049416812301</v>
      </c>
      <c r="AL1414">
        <v>94.6164293394731</v>
      </c>
      <c r="AM1414">
        <v>84.588126359957201</v>
      </c>
      <c r="AN1414">
        <v>0.99999995711448897</v>
      </c>
    </row>
    <row r="1415" spans="1:40" x14ac:dyDescent="0.25">
      <c r="A1415" t="str">
        <f>"20190305135219887"</f>
        <v>20190305135219887</v>
      </c>
      <c r="B1415" t="str">
        <f>"1551765139881268"</f>
        <v>1551765139881268</v>
      </c>
      <c r="C1415" t="s">
        <v>40</v>
      </c>
      <c r="D1415">
        <v>4.9466679999999998</v>
      </c>
      <c r="E1415">
        <v>0.50104309999999996</v>
      </c>
      <c r="F1415" t="s">
        <v>42</v>
      </c>
      <c r="G1415">
        <v>-191.83500000000001</v>
      </c>
      <c r="H1415" s="1">
        <v>-4.0716150000000003E-6</v>
      </c>
      <c r="I1415">
        <v>327.99489999999997</v>
      </c>
      <c r="J1415">
        <v>-192.48490000000001</v>
      </c>
      <c r="K1415">
        <v>1.109316</v>
      </c>
      <c r="L1415">
        <v>344.29840000000002</v>
      </c>
      <c r="M1415">
        <v>0.136099</v>
      </c>
      <c r="N1415">
        <v>-1.344365E-2</v>
      </c>
      <c r="O1415">
        <v>-0.99060420000000005</v>
      </c>
      <c r="P1415">
        <v>3.9924389999999997E-2</v>
      </c>
      <c r="Q1415">
        <v>-9.5201690000000005E-2</v>
      </c>
      <c r="R1415">
        <v>-0.99465729999999997</v>
      </c>
      <c r="S1415">
        <v>0.122695899999999</v>
      </c>
      <c r="T1415">
        <v>-0.20118649999999999</v>
      </c>
      <c r="U1415">
        <v>-2.9918520000000002</v>
      </c>
      <c r="V1415">
        <v>9.5834959999999997E-2</v>
      </c>
      <c r="W1415">
        <v>-8.1868270000000007E-2</v>
      </c>
      <c r="X1415">
        <v>0.99202480000000004</v>
      </c>
      <c r="Y1415">
        <v>9.5407400000000003E-2</v>
      </c>
      <c r="Z1415">
        <v>5.2595919999999997E-2</v>
      </c>
      <c r="AA1415">
        <v>0.99404780000000004</v>
      </c>
      <c r="AB1415">
        <v>19</v>
      </c>
      <c r="AC1415">
        <v>0.64990000000000203</v>
      </c>
      <c r="AD1415">
        <v>-1.109320071615</v>
      </c>
      <c r="AE1415">
        <v>-16.3035</v>
      </c>
      <c r="AF1415">
        <v>1.5679906590080199</v>
      </c>
      <c r="AG1415">
        <v>-1.109320071615</v>
      </c>
      <c r="AH1415">
        <v>16.165508516507501</v>
      </c>
      <c r="AI1415">
        <v>93.907353632653098</v>
      </c>
      <c r="AJ1415">
        <v>84.459865963823503</v>
      </c>
      <c r="AK1415">
        <v>16.279215316633099</v>
      </c>
      <c r="AL1415">
        <v>94.695962157729198</v>
      </c>
      <c r="AM1415">
        <v>84.482041006205506</v>
      </c>
      <c r="AN1415">
        <v>0.99999997850301703</v>
      </c>
    </row>
    <row r="1416" spans="1:40" x14ac:dyDescent="0.25">
      <c r="A1416" t="str">
        <f>"20190305135219909"</f>
        <v>20190305135219909</v>
      </c>
      <c r="B1416" t="str">
        <f>"1551765139900789"</f>
        <v>1551765139900789</v>
      </c>
      <c r="C1416" t="s">
        <v>40</v>
      </c>
      <c r="D1416">
        <v>4.9615499999999999</v>
      </c>
      <c r="E1416">
        <v>0.50140509999999905</v>
      </c>
      <c r="F1416" t="s">
        <v>41</v>
      </c>
      <c r="G1416">
        <v>-192.4502</v>
      </c>
      <c r="H1416">
        <v>1.0484</v>
      </c>
      <c r="I1416">
        <v>343.39609999999999</v>
      </c>
      <c r="J1416">
        <v>-192.45769999999999</v>
      </c>
      <c r="K1416">
        <v>1.109291</v>
      </c>
      <c r="L1416">
        <v>344.10070000000002</v>
      </c>
      <c r="M1416">
        <v>0.13608339999999999</v>
      </c>
      <c r="N1416">
        <v>-1.344037E-2</v>
      </c>
      <c r="O1416">
        <v>-0.9906064</v>
      </c>
      <c r="P1416">
        <v>3.7665549999999999E-2</v>
      </c>
      <c r="Q1416">
        <v>-9.5828410000000003E-2</v>
      </c>
      <c r="R1416">
        <v>-0.99468520000000005</v>
      </c>
      <c r="S1416">
        <v>0.1156464</v>
      </c>
      <c r="T1416">
        <v>-0.2022246</v>
      </c>
      <c r="U1416">
        <v>-2.9920650000000002</v>
      </c>
      <c r="V1416">
        <v>9.8056909999999997E-2</v>
      </c>
      <c r="W1416">
        <v>-8.2506689999999994E-2</v>
      </c>
      <c r="X1416">
        <v>0.99175480000000005</v>
      </c>
      <c r="Y1416">
        <v>9.7731890000000002E-2</v>
      </c>
      <c r="Z1416">
        <v>5.2927139999999998E-2</v>
      </c>
      <c r="AA1416">
        <v>0.99380440000000003</v>
      </c>
      <c r="AB1416">
        <v>19</v>
      </c>
      <c r="AC1416">
        <v>7.4999999999931797E-3</v>
      </c>
      <c r="AD1416">
        <v>-6.0891000000000001E-2</v>
      </c>
      <c r="AE1416">
        <v>-0.70460000000002698</v>
      </c>
      <c r="AF1416">
        <v>8.78070953270918E-2</v>
      </c>
      <c r="AG1416">
        <v>-6.0891000000000001E-2</v>
      </c>
      <c r="AH1416">
        <v>0.69388337513027498</v>
      </c>
      <c r="AI1416">
        <v>94.9756047822721</v>
      </c>
      <c r="AJ1416">
        <v>82.787870774980902</v>
      </c>
      <c r="AK1416">
        <v>0.70206263121815704</v>
      </c>
      <c r="AL1416">
        <v>94.732664774095298</v>
      </c>
      <c r="AM1416">
        <v>84.353396320970006</v>
      </c>
      <c r="AN1416">
        <v>1.00000004740827</v>
      </c>
    </row>
    <row r="1417" spans="1:40" x14ac:dyDescent="0.25">
      <c r="A1417" t="str">
        <f>"20190305135219931"</f>
        <v>20190305135219931</v>
      </c>
      <c r="B1417" t="str">
        <f>"1551765139921296"</f>
        <v>1551765139921296</v>
      </c>
      <c r="C1417" t="s">
        <v>40</v>
      </c>
      <c r="D1417">
        <v>4.9484789999999998</v>
      </c>
      <c r="E1417">
        <v>0.52176820000000002</v>
      </c>
      <c r="F1417" t="s">
        <v>41</v>
      </c>
      <c r="G1417">
        <v>-192.42670000000001</v>
      </c>
      <c r="H1417">
        <v>1.050068</v>
      </c>
      <c r="I1417">
        <v>343.22660000000002</v>
      </c>
      <c r="J1417">
        <v>-192.43279999999999</v>
      </c>
      <c r="K1417">
        <v>1.1092820000000001</v>
      </c>
      <c r="L1417">
        <v>343.92</v>
      </c>
      <c r="M1417">
        <v>0.13607330000000001</v>
      </c>
      <c r="N1417">
        <v>-1.343754E-2</v>
      </c>
      <c r="O1417">
        <v>-0.99060780000000004</v>
      </c>
      <c r="P1417">
        <v>3.5505269999999998E-2</v>
      </c>
      <c r="Q1417">
        <v>-9.6619220000000006E-2</v>
      </c>
      <c r="R1417">
        <v>-0.99468789999999996</v>
      </c>
      <c r="S1417">
        <v>0.10604860000000001</v>
      </c>
      <c r="T1417">
        <v>-0.20266770000000001</v>
      </c>
      <c r="U1417">
        <v>-2.9924930000000001</v>
      </c>
      <c r="V1417">
        <v>0.1001855</v>
      </c>
      <c r="W1417">
        <v>-8.3306480000000002E-2</v>
      </c>
      <c r="X1417">
        <v>0.99147510000000005</v>
      </c>
      <c r="Y1417">
        <v>0.1009081</v>
      </c>
      <c r="Z1417">
        <v>5.3055610000000003E-2</v>
      </c>
      <c r="AA1417">
        <v>0.99348009999999998</v>
      </c>
      <c r="AB1417">
        <v>19</v>
      </c>
      <c r="AC1417">
        <v>6.0999999999751201E-3</v>
      </c>
      <c r="AD1417">
        <v>-5.9213999999999802E-2</v>
      </c>
      <c r="AE1417">
        <v>-0.69339999999999602</v>
      </c>
      <c r="AF1417">
        <v>8.7679121010437303E-2</v>
      </c>
      <c r="AG1417">
        <v>-5.9213999999999802E-2</v>
      </c>
      <c r="AH1417">
        <v>0.68280049138746801</v>
      </c>
      <c r="AI1417">
        <v>94.916251824989601</v>
      </c>
      <c r="AJ1417">
        <v>82.682633688779106</v>
      </c>
      <c r="AK1417">
        <v>0.69094893957233205</v>
      </c>
      <c r="AL1417">
        <v>94.778647948815703</v>
      </c>
      <c r="AM1417">
        <v>84.230023136121801</v>
      </c>
      <c r="AN1417">
        <v>0.99999998897012499</v>
      </c>
    </row>
    <row r="1418" spans="1:40" x14ac:dyDescent="0.25">
      <c r="A1418" t="str">
        <f>"20190305135219953"</f>
        <v>20190305135219953</v>
      </c>
      <c r="B1418" t="str">
        <f>"1551765139940804"</f>
        <v>1551765139940804</v>
      </c>
      <c r="C1418" t="s">
        <v>40</v>
      </c>
      <c r="D1418">
        <v>4.9206190000000003</v>
      </c>
      <c r="E1418">
        <v>0.52248530000000004</v>
      </c>
      <c r="F1418" t="s">
        <v>42</v>
      </c>
      <c r="G1418">
        <v>-192.8879</v>
      </c>
      <c r="H1418" s="1">
        <v>-1.356054E-6</v>
      </c>
      <c r="I1418">
        <v>320.959</v>
      </c>
      <c r="J1418">
        <v>-192.40770000000001</v>
      </c>
      <c r="K1418">
        <v>1.109281</v>
      </c>
      <c r="L1418">
        <v>343.73770000000002</v>
      </c>
      <c r="M1418">
        <v>0.1360722</v>
      </c>
      <c r="N1418">
        <v>-1.343478E-2</v>
      </c>
      <c r="O1418">
        <v>-0.99060789999999999</v>
      </c>
      <c r="P1418">
        <v>3.3576120000000001E-2</v>
      </c>
      <c r="Q1418">
        <v>-9.716901E-2</v>
      </c>
      <c r="R1418">
        <v>-0.99470150000000002</v>
      </c>
      <c r="S1418">
        <v>-5.9539790000000002E-2</v>
      </c>
      <c r="T1418">
        <v>-0.1451325</v>
      </c>
      <c r="U1418">
        <v>-3.004089</v>
      </c>
      <c r="V1418">
        <v>0.1020967</v>
      </c>
      <c r="W1418">
        <v>-8.386325E-2</v>
      </c>
      <c r="X1418">
        <v>0.99123320000000004</v>
      </c>
      <c r="Y1418">
        <v>0.155612</v>
      </c>
      <c r="Z1418">
        <v>3.3841789999999997E-2</v>
      </c>
      <c r="AA1418">
        <v>0.98723839999999996</v>
      </c>
      <c r="AB1418">
        <v>19</v>
      </c>
      <c r="AC1418">
        <v>-0.48019999999999602</v>
      </c>
      <c r="AD1418">
        <v>-1.1092823560539999</v>
      </c>
      <c r="AE1418">
        <v>-22.778700000000001</v>
      </c>
      <c r="AF1418">
        <v>3.5671044741754701</v>
      </c>
      <c r="AG1418">
        <v>-1.1092823560539999</v>
      </c>
      <c r="AH1418">
        <v>22.448234668991699</v>
      </c>
      <c r="AI1418">
        <v>92.793979074508698</v>
      </c>
      <c r="AJ1418">
        <v>80.970986661937104</v>
      </c>
      <c r="AK1418">
        <v>22.7569326015009</v>
      </c>
      <c r="AL1418">
        <v>94.810660399706293</v>
      </c>
      <c r="AM1418">
        <v>84.119290693736403</v>
      </c>
      <c r="AN1418">
        <v>1.0000000188168401</v>
      </c>
    </row>
    <row r="1419" spans="1:40" x14ac:dyDescent="0.25">
      <c r="A1419" t="str">
        <f>"20190305135219974"</f>
        <v>20190305135219974</v>
      </c>
      <c r="B1419" t="str">
        <f>"1551765139971061"</f>
        <v>1551765139971061</v>
      </c>
      <c r="C1419" t="s">
        <v>40</v>
      </c>
      <c r="D1419">
        <v>4.931362</v>
      </c>
      <c r="E1419">
        <v>0.52217389999999997</v>
      </c>
      <c r="F1419" t="s">
        <v>42</v>
      </c>
      <c r="G1419">
        <v>-192.934</v>
      </c>
      <c r="H1419" s="1">
        <v>-1.569822E-6</v>
      </c>
      <c r="I1419">
        <v>321.42860000000002</v>
      </c>
      <c r="J1419">
        <v>-192.3828</v>
      </c>
      <c r="K1419">
        <v>1.1092900000000001</v>
      </c>
      <c r="L1419">
        <v>343.55619999999999</v>
      </c>
      <c r="M1419">
        <v>0.13607820000000001</v>
      </c>
      <c r="N1419">
        <v>-1.343213E-2</v>
      </c>
      <c r="O1419">
        <v>-0.99060740000000003</v>
      </c>
      <c r="P1419">
        <v>3.2688589999999997E-2</v>
      </c>
      <c r="Q1419">
        <v>-9.6889340000000004E-2</v>
      </c>
      <c r="R1419">
        <v>-0.9947587</v>
      </c>
      <c r="S1419">
        <v>-7.0861820000000006E-2</v>
      </c>
      <c r="T1419">
        <v>-0.1493602</v>
      </c>
      <c r="U1419">
        <v>-3.0038149999999999</v>
      </c>
      <c r="V1419">
        <v>0.10298930000000001</v>
      </c>
      <c r="W1419">
        <v>-8.3587439999999999E-2</v>
      </c>
      <c r="X1419">
        <v>0.99116409999999999</v>
      </c>
      <c r="Y1419">
        <v>0.15933359999999999</v>
      </c>
      <c r="Z1419">
        <v>3.5203400000000003E-2</v>
      </c>
      <c r="AA1419">
        <v>0.9865969</v>
      </c>
      <c r="AB1419">
        <v>19</v>
      </c>
      <c r="AC1419">
        <v>-0.55120000000002201</v>
      </c>
      <c r="AD1419">
        <v>-1.1092915698219901</v>
      </c>
      <c r="AE1419">
        <v>-22.127599999999902</v>
      </c>
      <c r="AF1419">
        <v>3.54851392325893</v>
      </c>
      <c r="AG1419">
        <v>-1.1092915698219901</v>
      </c>
      <c r="AH1419">
        <v>21.791987918804701</v>
      </c>
      <c r="AI1419">
        <v>92.876230734589299</v>
      </c>
      <c r="AJ1419">
        <v>80.751374586158207</v>
      </c>
      <c r="AK1419">
        <v>22.106859032973698</v>
      </c>
      <c r="AL1419">
        <v>94.794802230628903</v>
      </c>
      <c r="AM1419">
        <v>84.067831888015505</v>
      </c>
      <c r="AN1419">
        <v>0.999999964584526</v>
      </c>
    </row>
    <row r="1420" spans="1:40" x14ac:dyDescent="0.25">
      <c r="A1420" t="str">
        <f>"20190305135219997"</f>
        <v>20190305135219997</v>
      </c>
      <c r="B1420" t="str">
        <f>"1551765139990581"</f>
        <v>1551765139990581</v>
      </c>
      <c r="C1420" t="s">
        <v>40</v>
      </c>
      <c r="D1420">
        <v>4.9534979999999997</v>
      </c>
      <c r="E1420">
        <v>0.52201769999999903</v>
      </c>
      <c r="F1420" t="s">
        <v>42</v>
      </c>
      <c r="G1420">
        <v>-192.85589999999999</v>
      </c>
      <c r="H1420" s="1">
        <v>-2.6023570000000001E-6</v>
      </c>
      <c r="I1420">
        <v>323.88400000000001</v>
      </c>
      <c r="J1420">
        <v>-192.35669999999999</v>
      </c>
      <c r="K1420">
        <v>1.1092959999999901</v>
      </c>
      <c r="L1420">
        <v>343.36630000000002</v>
      </c>
      <c r="M1420">
        <v>0.13608619999999999</v>
      </c>
      <c r="N1420">
        <v>-1.3429450000000001E-2</v>
      </c>
      <c r="O1420">
        <v>-0.99060619999999999</v>
      </c>
      <c r="P1420">
        <v>3.1885549999999999E-2</v>
      </c>
      <c r="Q1420">
        <v>-9.4814079999999995E-2</v>
      </c>
      <c r="R1420">
        <v>-0.9949846</v>
      </c>
      <c r="S1420">
        <v>-7.2189329999999996E-2</v>
      </c>
      <c r="T1420">
        <v>-0.16926099999999999</v>
      </c>
      <c r="U1420">
        <v>-3.0016780000000001</v>
      </c>
      <c r="V1420">
        <v>0.1038234</v>
      </c>
      <c r="W1420">
        <v>-8.1514030000000001E-2</v>
      </c>
      <c r="X1420">
        <v>0.99124979999999996</v>
      </c>
      <c r="Y1420">
        <v>0.15978049999999999</v>
      </c>
      <c r="Z1420">
        <v>4.1708729999999999E-2</v>
      </c>
      <c r="AA1420">
        <v>0.98627109999999996</v>
      </c>
      <c r="AB1420">
        <v>19</v>
      </c>
      <c r="AC1420">
        <v>-0.49920000000000098</v>
      </c>
      <c r="AD1420">
        <v>-1.10929860235699</v>
      </c>
      <c r="AE1420">
        <v>-19.482299999999999</v>
      </c>
      <c r="AF1420">
        <v>3.1359057777391799</v>
      </c>
      <c r="AG1420">
        <v>-1.10929860235699</v>
      </c>
      <c r="AH1420">
        <v>19.170971053999899</v>
      </c>
      <c r="AI1420">
        <v>93.268298721222294</v>
      </c>
      <c r="AJ1420">
        <v>80.710074325383303</v>
      </c>
      <c r="AK1420">
        <v>19.457404235646401</v>
      </c>
      <c r="AL1420">
        <v>94.675597531562005</v>
      </c>
      <c r="AM1420">
        <v>84.020647852848199</v>
      </c>
      <c r="AN1420">
        <v>1.0000000007372201</v>
      </c>
    </row>
    <row r="1421" spans="1:40" x14ac:dyDescent="0.25">
      <c r="A1421" t="str">
        <f>"20190305135220020"</f>
        <v>20190305135220020</v>
      </c>
      <c r="B1421" t="str">
        <f>"1551765140011076"</f>
        <v>1551765140011076</v>
      </c>
      <c r="C1421" t="s">
        <v>40</v>
      </c>
      <c r="D1421">
        <v>4.9867990000000004</v>
      </c>
      <c r="E1421">
        <v>0.52166349999999995</v>
      </c>
      <c r="F1421" t="s">
        <v>42</v>
      </c>
      <c r="G1421">
        <v>-192.8486</v>
      </c>
      <c r="H1421" s="1">
        <v>-2.3388430000000001E-6</v>
      </c>
      <c r="I1421">
        <v>323.27429999999998</v>
      </c>
      <c r="J1421">
        <v>-192.33009999999999</v>
      </c>
      <c r="K1421">
        <v>1.1093010000000001</v>
      </c>
      <c r="L1421">
        <v>343.17250000000001</v>
      </c>
      <c r="M1421">
        <v>0.13607929999999999</v>
      </c>
      <c r="N1421">
        <v>-1.3426820000000001E-2</v>
      </c>
      <c r="O1421">
        <v>-0.99060709999999996</v>
      </c>
      <c r="P1421">
        <v>3.1684249999999997E-2</v>
      </c>
      <c r="Q1421">
        <v>-9.2996720000000005E-2</v>
      </c>
      <c r="R1421">
        <v>-0.99516249999999995</v>
      </c>
      <c r="S1421">
        <v>-7.3486330000000002E-2</v>
      </c>
      <c r="T1421">
        <v>-0.1657264</v>
      </c>
      <c r="U1421">
        <v>-3.001709</v>
      </c>
      <c r="V1421">
        <v>0.1040384</v>
      </c>
      <c r="W1421">
        <v>-7.9699720000000002E-2</v>
      </c>
      <c r="X1421">
        <v>0.9913748</v>
      </c>
      <c r="Y1421">
        <v>0.1602015</v>
      </c>
      <c r="Z1421">
        <v>4.0559530000000003E-2</v>
      </c>
      <c r="AA1421">
        <v>0.98625070000000004</v>
      </c>
      <c r="AB1421">
        <v>19</v>
      </c>
      <c r="AC1421">
        <v>-0.51850000000001695</v>
      </c>
      <c r="AD1421">
        <v>-1.109303338843</v>
      </c>
      <c r="AE1421">
        <v>-19.898199999999999</v>
      </c>
      <c r="AF1421">
        <v>3.21167792724117</v>
      </c>
      <c r="AG1421">
        <v>-1.109303338843</v>
      </c>
      <c r="AH1421">
        <v>19.5816914738921</v>
      </c>
      <c r="AI1421">
        <v>93.199681298471006</v>
      </c>
      <c r="AJ1421">
        <v>80.685601776816796</v>
      </c>
      <c r="AK1421">
        <v>19.8743067799758</v>
      </c>
      <c r="AL1421">
        <v>94.571305782125293</v>
      </c>
      <c r="AM1421">
        <v>84.009105625948294</v>
      </c>
      <c r="AN1421">
        <v>1.0000000140588301</v>
      </c>
    </row>
    <row r="1422" spans="1:40" x14ac:dyDescent="0.25">
      <c r="A1422" t="str">
        <f>"20190305135220043"</f>
        <v>20190305135220043</v>
      </c>
      <c r="B1422" t="str">
        <f>"1551765140041332"</f>
        <v>1551765140041332</v>
      </c>
      <c r="C1422" t="s">
        <v>40</v>
      </c>
      <c r="D1422">
        <v>4.925592</v>
      </c>
      <c r="E1422">
        <v>0.52083190000000001</v>
      </c>
      <c r="F1422" t="s">
        <v>42</v>
      </c>
      <c r="G1422">
        <v>-192.81379999999999</v>
      </c>
      <c r="H1422" s="1">
        <v>-2.1485479999999999E-6</v>
      </c>
      <c r="I1422">
        <v>322.85230000000001</v>
      </c>
      <c r="J1422">
        <v>-192.30439999999999</v>
      </c>
      <c r="K1422">
        <v>1.1092869999999999</v>
      </c>
      <c r="L1422">
        <v>342.98480000000001</v>
      </c>
      <c r="M1422">
        <v>0.13602349999999999</v>
      </c>
      <c r="N1422">
        <v>-1.342437E-2</v>
      </c>
      <c r="O1422">
        <v>-0.99061480000000002</v>
      </c>
      <c r="P1422">
        <v>3.1727970000000001E-2</v>
      </c>
      <c r="Q1422">
        <v>-9.2350420000000003E-2</v>
      </c>
      <c r="R1422">
        <v>-0.99522089999999996</v>
      </c>
      <c r="S1422">
        <v>-7.1441649999999995E-2</v>
      </c>
      <c r="T1422">
        <v>-0.16385839999999999</v>
      </c>
      <c r="U1422">
        <v>-3.0015559999999999</v>
      </c>
      <c r="V1422">
        <v>0.1039422</v>
      </c>
      <c r="W1422">
        <v>-7.906175E-2</v>
      </c>
      <c r="X1422">
        <v>0.99143590000000004</v>
      </c>
      <c r="Y1422">
        <v>0.15947729999999999</v>
      </c>
      <c r="Z1422">
        <v>3.9962409999999997E-2</v>
      </c>
      <c r="AA1422">
        <v>0.98639239999999995</v>
      </c>
      <c r="AB1422">
        <v>19</v>
      </c>
      <c r="AC1422">
        <v>-0.50939999999999896</v>
      </c>
      <c r="AD1422">
        <v>-1.1092891485480001</v>
      </c>
      <c r="AE1422">
        <v>-20.1325</v>
      </c>
      <c r="AF1422">
        <v>3.2335933560058998</v>
      </c>
      <c r="AG1422">
        <v>-1.1092891485480001</v>
      </c>
      <c r="AH1422">
        <v>19.8159286656077</v>
      </c>
      <c r="AI1422">
        <v>93.162314558052799</v>
      </c>
      <c r="AJ1422">
        <v>80.732074247065498</v>
      </c>
      <c r="AK1422">
        <v>20.1086468288531</v>
      </c>
      <c r="AL1422">
        <v>94.534637405743496</v>
      </c>
      <c r="AM1422">
        <v>84.014971114906601</v>
      </c>
      <c r="AN1422">
        <v>0.99999994253135405</v>
      </c>
    </row>
    <row r="1423" spans="1:40" x14ac:dyDescent="0.25">
      <c r="A1423" t="str">
        <f>"20190305135220063"</f>
        <v>20190305135220063</v>
      </c>
      <c r="B1423" t="str">
        <f>"1551765140060853"</f>
        <v>1551765140060853</v>
      </c>
      <c r="C1423" t="s">
        <v>40</v>
      </c>
      <c r="D1423">
        <v>4.9260380000000001</v>
      </c>
      <c r="E1423">
        <v>0.5204259</v>
      </c>
      <c r="F1423" t="s">
        <v>42</v>
      </c>
      <c r="G1423">
        <v>-192.7413</v>
      </c>
      <c r="H1423" s="1">
        <v>-2.1309440000000002E-6</v>
      </c>
      <c r="I1423">
        <v>322.85610000000003</v>
      </c>
      <c r="J1423">
        <v>-192.28049999999999</v>
      </c>
      <c r="K1423">
        <v>1.10924</v>
      </c>
      <c r="L1423">
        <v>342.81020000000001</v>
      </c>
      <c r="M1423">
        <v>0.1358896</v>
      </c>
      <c r="N1423">
        <v>-1.3422109999999999E-2</v>
      </c>
      <c r="O1423">
        <v>-0.99063319999999999</v>
      </c>
      <c r="P1423">
        <v>3.1758920000000003E-2</v>
      </c>
      <c r="Q1423">
        <v>-9.243345E-2</v>
      </c>
      <c r="R1423">
        <v>-0.99521230000000005</v>
      </c>
      <c r="S1423">
        <v>-6.5155030000000003E-2</v>
      </c>
      <c r="T1423">
        <v>-0.16539000000000001</v>
      </c>
      <c r="U1423">
        <v>-3.001099</v>
      </c>
      <c r="V1423">
        <v>0.103766899999999</v>
      </c>
      <c r="W1423">
        <v>-7.9159480000000004E-2</v>
      </c>
      <c r="X1423">
        <v>0.99144650000000001</v>
      </c>
      <c r="Y1423">
        <v>0.1572819</v>
      </c>
      <c r="Z1423">
        <v>4.0485239999999999E-2</v>
      </c>
      <c r="AA1423">
        <v>0.98672349999999998</v>
      </c>
      <c r="AB1423">
        <v>19</v>
      </c>
      <c r="AC1423">
        <v>-0.46080000000000598</v>
      </c>
      <c r="AD1423">
        <v>-1.1092421309439999</v>
      </c>
      <c r="AE1423">
        <v>-19.954099999999901</v>
      </c>
      <c r="AF1423">
        <v>3.1585679716578401</v>
      </c>
      <c r="AG1423">
        <v>-1.1092421309439999</v>
      </c>
      <c r="AH1423">
        <v>19.645671521287898</v>
      </c>
      <c r="AI1423">
        <v>93.190737499770194</v>
      </c>
      <c r="AJ1423">
        <v>80.866332584651502</v>
      </c>
      <c r="AK1423">
        <v>19.928857951698799</v>
      </c>
      <c r="AL1423">
        <v>94.540254368047897</v>
      </c>
      <c r="AM1423">
        <v>84.025055287997205</v>
      </c>
      <c r="AN1423">
        <v>0.99999997758586501</v>
      </c>
    </row>
    <row r="1424" spans="1:40" x14ac:dyDescent="0.25">
      <c r="A1424" t="str">
        <f>"20190305135220089"</f>
        <v>20190305135220089</v>
      </c>
      <c r="B1424" t="str">
        <f>"1551765140081348"</f>
        <v>1551765140081348</v>
      </c>
      <c r="C1424" t="s">
        <v>40</v>
      </c>
      <c r="D1424">
        <v>4.9739469999999999</v>
      </c>
      <c r="E1424">
        <v>0.52025540000000003</v>
      </c>
      <c r="F1424" t="s">
        <v>42</v>
      </c>
      <c r="G1424">
        <v>-192.6883</v>
      </c>
      <c r="H1424" s="1">
        <v>-2.2378969999999999E-6</v>
      </c>
      <c r="I1424">
        <v>323.13830000000002</v>
      </c>
      <c r="J1424">
        <v>-192.2527</v>
      </c>
      <c r="K1424">
        <v>1.1091470000000001</v>
      </c>
      <c r="L1424">
        <v>342.60579999999999</v>
      </c>
      <c r="M1424">
        <v>0.13557810000000001</v>
      </c>
      <c r="N1424">
        <v>-1.342016E-2</v>
      </c>
      <c r="O1424">
        <v>-0.9906758</v>
      </c>
      <c r="P1424">
        <v>3.1592870000000002E-2</v>
      </c>
      <c r="Q1424">
        <v>-9.2779379999999995E-2</v>
      </c>
      <c r="R1424">
        <v>-0.9951856</v>
      </c>
      <c r="S1424">
        <v>-6.2210080000000001E-2</v>
      </c>
      <c r="T1424">
        <v>-0.16919960000000001</v>
      </c>
      <c r="U1424">
        <v>-3.0006710000000001</v>
      </c>
      <c r="V1424">
        <v>0.1035981</v>
      </c>
      <c r="W1424">
        <v>-7.9531249999999998E-2</v>
      </c>
      <c r="X1424">
        <v>0.99143440000000005</v>
      </c>
      <c r="Y1424">
        <v>0.15600449999999999</v>
      </c>
      <c r="Z1424">
        <v>4.1744620000000003E-2</v>
      </c>
      <c r="AA1424">
        <v>0.98687389999999997</v>
      </c>
      <c r="AB1424">
        <v>19</v>
      </c>
      <c r="AC1424">
        <v>-0.43559999999999299</v>
      </c>
      <c r="AD1424">
        <v>-1.10914923789699</v>
      </c>
      <c r="AE1424">
        <v>-19.467499999999902</v>
      </c>
      <c r="AF1424">
        <v>3.0612494209335299</v>
      </c>
      <c r="AG1424">
        <v>-1.10914923789699</v>
      </c>
      <c r="AH1424">
        <v>19.166469525042299</v>
      </c>
      <c r="AI1424">
        <v>93.270607605499706</v>
      </c>
      <c r="AJ1424">
        <v>80.925421787884602</v>
      </c>
      <c r="AK1424">
        <v>19.4410651483777</v>
      </c>
      <c r="AL1424">
        <v>94.561622589753696</v>
      </c>
      <c r="AM1424">
        <v>84.034632446360106</v>
      </c>
      <c r="AN1424">
        <v>0.99999997777676597</v>
      </c>
    </row>
    <row r="1425" spans="1:40" x14ac:dyDescent="0.25">
      <c r="A1425" t="str">
        <f>"20190305135220111"</f>
        <v>20190305135220111</v>
      </c>
      <c r="B1425" t="str">
        <f>"1551765140100868"</f>
        <v>1551765140100868</v>
      </c>
      <c r="C1425" t="s">
        <v>40</v>
      </c>
      <c r="D1425">
        <v>4.9919609999999999</v>
      </c>
      <c r="E1425">
        <v>0.52002490000000001</v>
      </c>
      <c r="F1425" t="s">
        <v>42</v>
      </c>
      <c r="G1425">
        <v>-192.6447</v>
      </c>
      <c r="H1425" s="1">
        <v>-2.3686660000000002E-6</v>
      </c>
      <c r="I1425">
        <v>323.47019999999998</v>
      </c>
      <c r="J1425">
        <v>-192.227</v>
      </c>
      <c r="K1425">
        <v>1.1090279999999999</v>
      </c>
      <c r="L1425">
        <v>342.41430000000003</v>
      </c>
      <c r="M1425">
        <v>0.1351021</v>
      </c>
      <c r="N1425">
        <v>-1.341905E-2</v>
      </c>
      <c r="O1425">
        <v>-0.99074099999999998</v>
      </c>
      <c r="P1425">
        <v>3.1429159999999998E-2</v>
      </c>
      <c r="Q1425">
        <v>-9.2595559999999993E-2</v>
      </c>
      <c r="R1425">
        <v>-0.99520779999999998</v>
      </c>
      <c r="S1425">
        <v>-6.1447139999999997E-2</v>
      </c>
      <c r="T1425">
        <v>-0.17390220000000001</v>
      </c>
      <c r="U1425">
        <v>-3.0002439999999999</v>
      </c>
      <c r="V1425">
        <v>0.1032657</v>
      </c>
      <c r="W1425">
        <v>-7.9376269999999999E-2</v>
      </c>
      <c r="X1425">
        <v>0.99148150000000002</v>
      </c>
      <c r="Y1425">
        <v>0.15527929999999901</v>
      </c>
      <c r="Z1425">
        <v>4.3292459999999998E-2</v>
      </c>
      <c r="AA1425">
        <v>0.98692150000000001</v>
      </c>
      <c r="AB1425">
        <v>19</v>
      </c>
      <c r="AC1425">
        <v>-0.41769999999999602</v>
      </c>
      <c r="AD1425">
        <v>-1.1090303686659999</v>
      </c>
      <c r="AE1425">
        <v>-18.944099999999999</v>
      </c>
      <c r="AF1425">
        <v>2.96333637939594</v>
      </c>
      <c r="AG1425">
        <v>-1.1090303686659999</v>
      </c>
      <c r="AH1425">
        <v>18.650059546235301</v>
      </c>
      <c r="AI1425">
        <v>93.361035829945095</v>
      </c>
      <c r="AJ1425">
        <v>80.971659478044003</v>
      </c>
      <c r="AK1425">
        <v>18.916554441393298</v>
      </c>
      <c r="AL1425">
        <v>94.552714713473904</v>
      </c>
      <c r="AM1425">
        <v>84.053915738450897</v>
      </c>
      <c r="AN1425">
        <v>0.99999998093892595</v>
      </c>
    </row>
    <row r="1426" spans="1:40" x14ac:dyDescent="0.25">
      <c r="A1426" t="str">
        <f>"20190305135220133"</f>
        <v>20190305135220133</v>
      </c>
      <c r="B1426" t="str">
        <f>"1551765140120388"</f>
        <v>1551765140120388</v>
      </c>
      <c r="C1426" t="s">
        <v>40</v>
      </c>
      <c r="D1426">
        <v>4.9719290000000003</v>
      </c>
      <c r="E1426">
        <v>0.51985239999999999</v>
      </c>
      <c r="F1426" t="s">
        <v>42</v>
      </c>
      <c r="G1426">
        <v>-192.6078</v>
      </c>
      <c r="H1426" s="1">
        <v>-2.3585380000000002E-6</v>
      </c>
      <c r="I1426">
        <v>323.46949999999998</v>
      </c>
      <c r="J1426">
        <v>-192.20349999999999</v>
      </c>
      <c r="K1426">
        <v>1.1089260000000001</v>
      </c>
      <c r="L1426">
        <v>342.23700000000002</v>
      </c>
      <c r="M1426">
        <v>0.13450909999999999</v>
      </c>
      <c r="N1426">
        <v>-1.341851E-2</v>
      </c>
      <c r="O1426">
        <v>-0.99082139999999996</v>
      </c>
      <c r="P1426">
        <v>3.061413E-2</v>
      </c>
      <c r="Q1426">
        <v>-9.2591549999999995E-2</v>
      </c>
      <c r="R1426">
        <v>-0.99523320000000004</v>
      </c>
      <c r="S1426">
        <v>-6.0302729999999999E-2</v>
      </c>
      <c r="T1426">
        <v>-0.175622</v>
      </c>
      <c r="U1426">
        <v>-3.0000309999999999</v>
      </c>
      <c r="V1426">
        <v>0.10346329999999999</v>
      </c>
      <c r="W1426">
        <v>-7.9400299999999993E-2</v>
      </c>
      <c r="X1426">
        <v>0.99145899999999998</v>
      </c>
      <c r="Y1426">
        <v>0.15431239999999999</v>
      </c>
      <c r="Z1426">
        <v>4.3868589999999999E-2</v>
      </c>
      <c r="AA1426">
        <v>0.98704769999999997</v>
      </c>
      <c r="AB1426">
        <v>19</v>
      </c>
      <c r="AC1426">
        <v>-0.40430000000000599</v>
      </c>
      <c r="AD1426">
        <v>-1.1089283585380001</v>
      </c>
      <c r="AE1426">
        <v>-18.767499999999899</v>
      </c>
      <c r="AF1426">
        <v>2.9150794253824799</v>
      </c>
      <c r="AG1426">
        <v>-1.1089283585380001</v>
      </c>
      <c r="AH1426">
        <v>18.4780463537091</v>
      </c>
      <c r="AI1426">
        <v>93.392531834821298</v>
      </c>
      <c r="AJ1426">
        <v>81.034957552674001</v>
      </c>
      <c r="AK1426">
        <v>18.739413203472498</v>
      </c>
      <c r="AL1426">
        <v>94.554095778834906</v>
      </c>
      <c r="AM1426">
        <v>84.042485370236705</v>
      </c>
      <c r="AN1426">
        <v>1.0000000053839899</v>
      </c>
    </row>
    <row r="1427" spans="1:40" x14ac:dyDescent="0.25">
      <c r="A1427" t="str">
        <f>"20190305135220153"</f>
        <v>20190305135220153</v>
      </c>
      <c r="B1427" t="str">
        <f>"1551765140150645"</f>
        <v>1551765140150645</v>
      </c>
      <c r="C1427" t="s">
        <v>40</v>
      </c>
      <c r="D1427">
        <v>4.9767640000000002</v>
      </c>
      <c r="E1427">
        <v>0.5197079</v>
      </c>
      <c r="F1427" t="s">
        <v>42</v>
      </c>
      <c r="G1427">
        <v>-192.5874</v>
      </c>
      <c r="H1427" s="1">
        <v>-2.3884139999999998E-6</v>
      </c>
      <c r="I1427">
        <v>323.55180000000001</v>
      </c>
      <c r="J1427">
        <v>-192.1808</v>
      </c>
      <c r="K1427">
        <v>1.1088309999999999</v>
      </c>
      <c r="L1427">
        <v>342.06380000000001</v>
      </c>
      <c r="M1427">
        <v>0.1337692</v>
      </c>
      <c r="N1427">
        <v>-1.341821E-2</v>
      </c>
      <c r="O1427">
        <v>-0.99092179999999996</v>
      </c>
      <c r="P1427">
        <v>3.0022699999999999E-2</v>
      </c>
      <c r="Q1427">
        <v>-9.2611100000000002E-2</v>
      </c>
      <c r="R1427">
        <v>-0.99524999999999997</v>
      </c>
      <c r="S1427">
        <v>-6.1630249999999998E-2</v>
      </c>
      <c r="T1427">
        <v>-0.17802200000000001</v>
      </c>
      <c r="U1427">
        <v>-2.9996339999999999</v>
      </c>
      <c r="V1427">
        <v>0.1032918</v>
      </c>
      <c r="W1427">
        <v>-7.9445950000000001E-2</v>
      </c>
      <c r="X1427">
        <v>0.99147320000000005</v>
      </c>
      <c r="Y1427">
        <v>0.15401239999999999</v>
      </c>
      <c r="Z1427">
        <v>4.4666989999999997E-2</v>
      </c>
      <c r="AA1427">
        <v>0.98705880000000001</v>
      </c>
      <c r="AB1427">
        <v>19</v>
      </c>
      <c r="AC1427">
        <v>-0.40659999999999702</v>
      </c>
      <c r="AD1427">
        <v>-1.10883338841399</v>
      </c>
      <c r="AE1427">
        <v>-18.512</v>
      </c>
      <c r="AF1427">
        <v>2.8692139480241101</v>
      </c>
      <c r="AG1427">
        <v>-1.10883338841399</v>
      </c>
      <c r="AH1427">
        <v>18.225839355799501</v>
      </c>
      <c r="AI1427">
        <v>93.439247440110904</v>
      </c>
      <c r="AJ1427">
        <v>81.053600239871798</v>
      </c>
      <c r="AK1427">
        <v>18.483590570725301</v>
      </c>
      <c r="AL1427">
        <v>94.556719732973704</v>
      </c>
      <c r="AM1427">
        <v>84.052374227803497</v>
      </c>
      <c r="AN1427">
        <v>0.99999998061844098</v>
      </c>
    </row>
    <row r="1428" spans="1:40" x14ac:dyDescent="0.25">
      <c r="A1428" t="str">
        <f>"20190305135220176"</f>
        <v>20190305135220176</v>
      </c>
      <c r="B1428" t="str">
        <f>"1551765140171140"</f>
        <v>1551765140171140</v>
      </c>
      <c r="C1428" t="s">
        <v>40</v>
      </c>
      <c r="D1428">
        <v>4.9902889999999998</v>
      </c>
      <c r="E1428">
        <v>0.51966950000000001</v>
      </c>
      <c r="F1428" t="s">
        <v>42</v>
      </c>
      <c r="G1428">
        <v>-192.56299999999999</v>
      </c>
      <c r="H1428" s="1">
        <v>-2.4346559999999998E-6</v>
      </c>
      <c r="I1428">
        <v>323.67469999999997</v>
      </c>
      <c r="J1428">
        <v>-192.15600000000001</v>
      </c>
      <c r="K1428">
        <v>1.108711</v>
      </c>
      <c r="L1428">
        <v>341.8716</v>
      </c>
      <c r="M1428">
        <v>0.1327451</v>
      </c>
      <c r="N1428">
        <v>-1.3418090000000001E-2</v>
      </c>
      <c r="O1428">
        <v>-0.99105969999999999</v>
      </c>
      <c r="P1428">
        <v>2.878646E-2</v>
      </c>
      <c r="Q1428">
        <v>-9.2526639999999993E-2</v>
      </c>
      <c r="R1428">
        <v>-0.99529420000000002</v>
      </c>
      <c r="S1428">
        <v>-6.2347409999999999E-2</v>
      </c>
      <c r="T1428">
        <v>-0.1808584</v>
      </c>
      <c r="U1428">
        <v>-2.99939</v>
      </c>
      <c r="V1428">
        <v>0.103477</v>
      </c>
      <c r="W1428">
        <v>-7.9391690000000001E-2</v>
      </c>
      <c r="X1428">
        <v>0.99145819999999996</v>
      </c>
      <c r="Y1428">
        <v>0.15322729999999901</v>
      </c>
      <c r="Z1428">
        <v>4.5610600000000001E-2</v>
      </c>
      <c r="AA1428">
        <v>0.98713779999999995</v>
      </c>
      <c r="AB1428">
        <v>19</v>
      </c>
      <c r="AC1428">
        <v>-0.40700000000001002</v>
      </c>
      <c r="AD1428">
        <v>-1.1087134346559999</v>
      </c>
      <c r="AE1428">
        <v>-18.196899999999999</v>
      </c>
      <c r="AF1428">
        <v>2.80874181531874</v>
      </c>
      <c r="AG1428">
        <v>-1.1087134346559999</v>
      </c>
      <c r="AH1428">
        <v>17.9153261997923</v>
      </c>
      <c r="AI1428">
        <v>93.498679140944503</v>
      </c>
      <c r="AJ1428">
        <v>81.089772067209097</v>
      </c>
      <c r="AK1428">
        <v>18.168026555195102</v>
      </c>
      <c r="AL1428">
        <v>94.553601170177899</v>
      </c>
      <c r="AM1428">
        <v>84.041697412821193</v>
      </c>
      <c r="AN1428">
        <v>0.99999994615864596</v>
      </c>
    </row>
    <row r="1429" spans="1:40" x14ac:dyDescent="0.25">
      <c r="A1429" t="str">
        <f>"20190305135220199"</f>
        <v>20190305135220199</v>
      </c>
      <c r="B1429" t="str">
        <f>"1551765140190661"</f>
        <v>1551765140190661</v>
      </c>
      <c r="C1429" t="s">
        <v>40</v>
      </c>
      <c r="D1429">
        <v>4.9525189999999997</v>
      </c>
      <c r="E1429">
        <v>0.51961579999999996</v>
      </c>
      <c r="F1429" t="s">
        <v>42</v>
      </c>
      <c r="G1429">
        <v>-192.55719999999999</v>
      </c>
      <c r="H1429" s="1">
        <v>-2.4026429999999998E-6</v>
      </c>
      <c r="I1429">
        <v>323.6037</v>
      </c>
      <c r="J1429">
        <v>-192.13220000000001</v>
      </c>
      <c r="K1429">
        <v>1.1085940000000001</v>
      </c>
      <c r="L1429">
        <v>341.68419999999998</v>
      </c>
      <c r="M1429">
        <v>0.13154479999999999</v>
      </c>
      <c r="N1429">
        <v>-1.3418660000000001E-2</v>
      </c>
      <c r="O1429">
        <v>-0.99121979999999998</v>
      </c>
      <c r="P1429">
        <v>2.6998970000000001E-2</v>
      </c>
      <c r="Q1429">
        <v>-9.2939179999999996E-2</v>
      </c>
      <c r="R1429">
        <v>-0.99530600000000002</v>
      </c>
      <c r="S1429">
        <v>-6.5872189999999997E-2</v>
      </c>
      <c r="T1429">
        <v>-0.18202380000000001</v>
      </c>
      <c r="U1429">
        <v>-2.9991460000000001</v>
      </c>
      <c r="V1429">
        <v>0.1040277</v>
      </c>
      <c r="W1429">
        <v>-7.9835409999999996E-2</v>
      </c>
      <c r="X1429">
        <v>0.99136500000000005</v>
      </c>
      <c r="Y1429">
        <v>0.1531911</v>
      </c>
      <c r="Z1429">
        <v>4.600717E-2</v>
      </c>
      <c r="AA1429">
        <v>0.98712500000000003</v>
      </c>
      <c r="AB1429">
        <v>19</v>
      </c>
      <c r="AC1429">
        <v>-0.424999999999982</v>
      </c>
      <c r="AD1429">
        <v>-1.108596402643</v>
      </c>
      <c r="AE1429">
        <v>-18.080499999999901</v>
      </c>
      <c r="AF1429">
        <v>2.7894341688719999</v>
      </c>
      <c r="AG1429">
        <v>-1.108596402643</v>
      </c>
      <c r="AH1429">
        <v>17.800561074199301</v>
      </c>
      <c r="AI1429">
        <v>93.520848457076994</v>
      </c>
      <c r="AJ1429">
        <v>81.093902986264396</v>
      </c>
      <c r="AK1429">
        <v>18.051867037033201</v>
      </c>
      <c r="AL1429">
        <v>94.579105121504796</v>
      </c>
      <c r="AM1429">
        <v>84.009658503436498</v>
      </c>
      <c r="AN1429">
        <v>1.0000000091410699</v>
      </c>
    </row>
    <row r="1430" spans="1:40" x14ac:dyDescent="0.25">
      <c r="A1430" t="str">
        <f>"20190305135220222"</f>
        <v>20190305135220222</v>
      </c>
      <c r="B1430" t="str">
        <f>"1551765140210784"</f>
        <v>1551765140210784</v>
      </c>
      <c r="C1430" t="s">
        <v>40</v>
      </c>
      <c r="D1430">
        <v>4.9835510000000003</v>
      </c>
      <c r="E1430">
        <v>0.51958099999999996</v>
      </c>
      <c r="F1430" t="s">
        <v>42</v>
      </c>
      <c r="G1430">
        <v>-192.55709999999999</v>
      </c>
      <c r="H1430" s="1">
        <v>-2.444268E-6</v>
      </c>
      <c r="I1430">
        <v>323.70069999999998</v>
      </c>
      <c r="J1430">
        <v>-192.10919999999999</v>
      </c>
      <c r="K1430">
        <v>1.108481</v>
      </c>
      <c r="L1430">
        <v>341.49939999999998</v>
      </c>
      <c r="M1430">
        <v>0.1301746</v>
      </c>
      <c r="N1430">
        <v>-1.341994E-2</v>
      </c>
      <c r="O1430">
        <v>-0.99140039999999996</v>
      </c>
      <c r="P1430">
        <v>2.472473E-2</v>
      </c>
      <c r="Q1430">
        <v>-9.3183409999999994E-2</v>
      </c>
      <c r="R1430">
        <v>-0.99534180000000005</v>
      </c>
      <c r="S1430">
        <v>-7.0861820000000006E-2</v>
      </c>
      <c r="T1430">
        <v>-0.18486430000000001</v>
      </c>
      <c r="U1430">
        <v>-2.99884</v>
      </c>
      <c r="V1430">
        <v>0.1048965</v>
      </c>
      <c r="W1430">
        <v>-8.0110050000000002E-2</v>
      </c>
      <c r="X1430">
        <v>0.99125129999999995</v>
      </c>
      <c r="Y1430">
        <v>0.15346679999999999</v>
      </c>
      <c r="Z1430">
        <v>4.6949539999999998E-2</v>
      </c>
      <c r="AA1430">
        <v>0.98703779999999997</v>
      </c>
      <c r="AB1430">
        <v>19</v>
      </c>
      <c r="AC1430">
        <v>-0.44790000000000402</v>
      </c>
      <c r="AD1430">
        <v>-1.1084834442680001</v>
      </c>
      <c r="AE1430">
        <v>-17.798699999999901</v>
      </c>
      <c r="AF1430">
        <v>2.7505733757939601</v>
      </c>
      <c r="AG1430">
        <v>-1.1084834442680001</v>
      </c>
      <c r="AH1430">
        <v>17.520999575360801</v>
      </c>
      <c r="AI1430">
        <v>93.576363971588194</v>
      </c>
      <c r="AJ1430">
        <v>81.078111409714793</v>
      </c>
      <c r="AK1430">
        <v>17.770194584236702</v>
      </c>
      <c r="AL1430">
        <v>94.594891357104203</v>
      </c>
      <c r="AM1430">
        <v>83.959310060151097</v>
      </c>
      <c r="AN1430">
        <v>1.0000000177874699</v>
      </c>
    </row>
    <row r="1431" spans="1:40" x14ac:dyDescent="0.25">
      <c r="A1431" t="str">
        <f>"20190305135220243"</f>
        <v>20190305135220243</v>
      </c>
      <c r="B1431" t="str">
        <f>"1551765140241040"</f>
        <v>1551765140241040</v>
      </c>
      <c r="C1431" t="s">
        <v>40</v>
      </c>
      <c r="D1431">
        <v>4.9353819999999997</v>
      </c>
      <c r="E1431">
        <v>0.51946809999999999</v>
      </c>
      <c r="F1431" t="s">
        <v>42</v>
      </c>
      <c r="G1431">
        <v>-192.57060000000001</v>
      </c>
      <c r="H1431" s="1">
        <v>-2.444705E-6</v>
      </c>
      <c r="I1431">
        <v>323.6934</v>
      </c>
      <c r="J1431">
        <v>-192.08750000000001</v>
      </c>
      <c r="K1431">
        <v>1.108385</v>
      </c>
      <c r="L1431">
        <v>341.3211</v>
      </c>
      <c r="M1431">
        <v>0.12869140000000001</v>
      </c>
      <c r="N1431">
        <v>-1.3421290000000001E-2</v>
      </c>
      <c r="O1431">
        <v>-0.99159399999999998</v>
      </c>
      <c r="P1431">
        <v>2.212163E-2</v>
      </c>
      <c r="Q1431">
        <v>-9.361672E-2</v>
      </c>
      <c r="R1431">
        <v>-0.99536279999999999</v>
      </c>
      <c r="S1431">
        <v>-7.7697749999999996E-2</v>
      </c>
      <c r="T1431">
        <v>-0.18666720000000001</v>
      </c>
      <c r="U1431">
        <v>-2.9985050000000002</v>
      </c>
      <c r="V1431">
        <v>0.1059792</v>
      </c>
      <c r="W1431">
        <v>-8.0571630000000005E-2</v>
      </c>
      <c r="X1431">
        <v>0.9910987</v>
      </c>
      <c r="Y1431">
        <v>0.15423819999999999</v>
      </c>
      <c r="Z1431">
        <v>4.7552770000000001E-2</v>
      </c>
      <c r="AA1431">
        <v>0.98688869999999895</v>
      </c>
      <c r="AB1431">
        <v>19</v>
      </c>
      <c r="AC1431">
        <v>-0.48310000000000702</v>
      </c>
      <c r="AD1431">
        <v>-1.1083874447049999</v>
      </c>
      <c r="AE1431">
        <v>-17.627700000000001</v>
      </c>
      <c r="AF1431">
        <v>2.7370066918692202</v>
      </c>
      <c r="AG1431">
        <v>-1.1083874447049999</v>
      </c>
      <c r="AH1431">
        <v>17.3503724972289</v>
      </c>
      <c r="AI1431">
        <v>93.610708715290102</v>
      </c>
      <c r="AJ1431">
        <v>81.035511603226794</v>
      </c>
      <c r="AK1431">
        <v>17.599862333311499</v>
      </c>
      <c r="AL1431">
        <v>94.621423765605599</v>
      </c>
      <c r="AM1431">
        <v>83.8964960354255</v>
      </c>
      <c r="AN1431">
        <v>1.00000000576759</v>
      </c>
    </row>
    <row r="1432" spans="1:40" x14ac:dyDescent="0.25">
      <c r="A1432" t="str">
        <f>"20190305135220266"</f>
        <v>20190305135220266</v>
      </c>
      <c r="B1432" t="str">
        <f>"1551765140260561"</f>
        <v>1551765140260561</v>
      </c>
      <c r="C1432" t="s">
        <v>40</v>
      </c>
      <c r="D1432">
        <v>4.9683140000000003</v>
      </c>
      <c r="E1432">
        <v>0.51933209999999996</v>
      </c>
      <c r="F1432" t="s">
        <v>42</v>
      </c>
      <c r="G1432">
        <v>-192.5822</v>
      </c>
      <c r="H1432" s="1">
        <v>-2.5041139999999998E-6</v>
      </c>
      <c r="I1432">
        <v>323.82470000000001</v>
      </c>
      <c r="J1432">
        <v>-192.06530000000001</v>
      </c>
      <c r="K1432">
        <v>1.1083000000000001</v>
      </c>
      <c r="L1432">
        <v>341.13490000000002</v>
      </c>
      <c r="M1432">
        <v>0.12699240000000001</v>
      </c>
      <c r="N1432">
        <v>-1.342283E-2</v>
      </c>
      <c r="O1432">
        <v>-0.9918129</v>
      </c>
      <c r="P1432">
        <v>1.9666590000000001E-2</v>
      </c>
      <c r="Q1432">
        <v>-9.4133939999999999E-2</v>
      </c>
      <c r="R1432">
        <v>-0.9953651</v>
      </c>
      <c r="S1432">
        <v>-8.4762569999999995E-2</v>
      </c>
      <c r="T1432">
        <v>-0.1899189</v>
      </c>
      <c r="U1432">
        <v>-2.9979550000000001</v>
      </c>
      <c r="V1432">
        <v>0.106701</v>
      </c>
      <c r="W1432">
        <v>-8.1112470000000006E-2</v>
      </c>
      <c r="X1432">
        <v>0.99097710000000006</v>
      </c>
      <c r="Y1432">
        <v>0.15487119999999999</v>
      </c>
      <c r="Z1432">
        <v>4.8635270000000001E-2</v>
      </c>
      <c r="AA1432">
        <v>0.98673679999999997</v>
      </c>
      <c r="AB1432">
        <v>19</v>
      </c>
      <c r="AC1432">
        <v>-0.51689999999999203</v>
      </c>
      <c r="AD1432">
        <v>-1.108302504114</v>
      </c>
      <c r="AE1432">
        <v>-17.310199999999998</v>
      </c>
      <c r="AF1432">
        <v>2.7001172851478499</v>
      </c>
      <c r="AG1432">
        <v>-1.108302504114</v>
      </c>
      <c r="AH1432">
        <v>17.034609416957</v>
      </c>
      <c r="AI1432">
        <v>93.676746675378496</v>
      </c>
      <c r="AJ1432">
        <v>80.9931089717753</v>
      </c>
      <c r="AK1432">
        <v>17.282849469415002</v>
      </c>
      <c r="AL1432">
        <v>94.652513519817504</v>
      </c>
      <c r="AM1432">
        <v>83.854495188435905</v>
      </c>
      <c r="AN1432">
        <v>0.99999997445745503</v>
      </c>
    </row>
    <row r="1433" spans="1:40" x14ac:dyDescent="0.25">
      <c r="A1433" t="str">
        <f>"20190305135220288"</f>
        <v>20190305135220288</v>
      </c>
      <c r="B1433" t="str">
        <f>"1551765140281057"</f>
        <v>1551765140281057</v>
      </c>
      <c r="C1433" t="s">
        <v>40</v>
      </c>
      <c r="D1433">
        <v>4.9800300000000002</v>
      </c>
      <c r="E1433">
        <v>0.51922690000000005</v>
      </c>
      <c r="F1433" t="s">
        <v>42</v>
      </c>
      <c r="G1433">
        <v>-192.59020000000001</v>
      </c>
      <c r="H1433" s="1">
        <v>-2.5272269999999998E-6</v>
      </c>
      <c r="I1433">
        <v>323.87360000000001</v>
      </c>
      <c r="J1433">
        <v>-192.04300000000001</v>
      </c>
      <c r="K1433">
        <v>1.1082299999999901</v>
      </c>
      <c r="L1433">
        <v>340.9434</v>
      </c>
      <c r="M1433">
        <v>0.125113</v>
      </c>
      <c r="N1433">
        <v>-1.342368E-2</v>
      </c>
      <c r="O1433">
        <v>-0.99205189999999999</v>
      </c>
      <c r="P1433">
        <v>1.6810100000000001E-2</v>
      </c>
      <c r="Q1433">
        <v>-9.4464519999999996E-2</v>
      </c>
      <c r="R1433">
        <v>-0.99538660000000001</v>
      </c>
      <c r="S1433">
        <v>-9.1156009999999996E-2</v>
      </c>
      <c r="T1433">
        <v>-0.19246440000000001</v>
      </c>
      <c r="U1433">
        <v>-2.997528</v>
      </c>
      <c r="V1433">
        <v>0.10764990000000001</v>
      </c>
      <c r="W1433">
        <v>-8.14613E-2</v>
      </c>
      <c r="X1433">
        <v>0.99084589999999995</v>
      </c>
      <c r="Y1433">
        <v>0.15510370000000001</v>
      </c>
      <c r="Z1433">
        <v>4.9490770000000003E-2</v>
      </c>
      <c r="AA1433">
        <v>0.98665769999999997</v>
      </c>
      <c r="AB1433">
        <v>19</v>
      </c>
      <c r="AC1433">
        <v>-0.54720000000000302</v>
      </c>
      <c r="AD1433">
        <v>-1.1082325272269899</v>
      </c>
      <c r="AE1433">
        <v>-17.069799999999901</v>
      </c>
      <c r="AF1433">
        <v>2.6675132542529898</v>
      </c>
      <c r="AG1433">
        <v>-1.1082325272269899</v>
      </c>
      <c r="AH1433">
        <v>16.796456240778902</v>
      </c>
      <c r="AI1433">
        <v>93.728321374545004</v>
      </c>
      <c r="AJ1433">
        <v>80.975989098237804</v>
      </c>
      <c r="AK1433">
        <v>17.043026390416198</v>
      </c>
      <c r="AL1433">
        <v>94.672566149420405</v>
      </c>
      <c r="AM1433">
        <v>83.799451974975199</v>
      </c>
      <c r="AN1433">
        <v>1.0000000209572499</v>
      </c>
    </row>
    <row r="1434" spans="1:40" x14ac:dyDescent="0.25">
      <c r="A1434" t="str">
        <f>"20190305135220313"</f>
        <v>20190305135220313</v>
      </c>
      <c r="B1434" t="str">
        <f>"1551765140300576"</f>
        <v>1551765140300576</v>
      </c>
      <c r="C1434" t="s">
        <v>40</v>
      </c>
      <c r="D1434">
        <v>4.9215629999999999</v>
      </c>
      <c r="E1434">
        <v>0.51902769999999998</v>
      </c>
      <c r="F1434" t="s">
        <v>42</v>
      </c>
      <c r="G1434">
        <v>-192.60769999999999</v>
      </c>
      <c r="H1434" s="1">
        <v>-2.5170280000000001E-6</v>
      </c>
      <c r="I1434">
        <v>323.839</v>
      </c>
      <c r="J1434">
        <v>-192.02099999999999</v>
      </c>
      <c r="K1434">
        <v>1.1082019999999999</v>
      </c>
      <c r="L1434">
        <v>340.75060000000002</v>
      </c>
      <c r="M1434">
        <v>0.123142</v>
      </c>
      <c r="N1434">
        <v>-1.3424230000000001E-2</v>
      </c>
      <c r="O1434">
        <v>-0.99229829999999997</v>
      </c>
      <c r="P1434">
        <v>1.384751E-2</v>
      </c>
      <c r="Q1434">
        <v>-9.4478549999999994E-2</v>
      </c>
      <c r="R1434">
        <v>-0.99543060000000005</v>
      </c>
      <c r="S1434">
        <v>-9.8953250000000006E-2</v>
      </c>
      <c r="T1434">
        <v>-0.19419130000000001</v>
      </c>
      <c r="U1434">
        <v>-2.997131</v>
      </c>
      <c r="V1434">
        <v>0.10862429999999999</v>
      </c>
      <c r="W1434">
        <v>-8.1485260000000004E-2</v>
      </c>
      <c r="X1434">
        <v>0.9907376</v>
      </c>
      <c r="Y1434">
        <v>0.1557076</v>
      </c>
      <c r="Z1434">
        <v>5.0077700000000003E-2</v>
      </c>
      <c r="AA1434">
        <v>0.98653299999999999</v>
      </c>
      <c r="AB1434">
        <v>19</v>
      </c>
      <c r="AC1434">
        <v>-0.58670000000000699</v>
      </c>
      <c r="AD1434">
        <v>-1.1082045170279999</v>
      </c>
      <c r="AE1434">
        <v>-16.9116</v>
      </c>
      <c r="AF1434">
        <v>2.6535687445395602</v>
      </c>
      <c r="AG1434">
        <v>-1.1082045170279999</v>
      </c>
      <c r="AH1434">
        <v>16.639245231582201</v>
      </c>
      <c r="AI1434">
        <v>93.762965886137806</v>
      </c>
      <c r="AJ1434">
        <v>80.938970605546501</v>
      </c>
      <c r="AK1434">
        <v>16.8859120633233</v>
      </c>
      <c r="AL1434">
        <v>94.673943450361605</v>
      </c>
      <c r="AM1434">
        <v>83.7430919320784</v>
      </c>
      <c r="AN1434">
        <v>1.00000003910075</v>
      </c>
    </row>
    <row r="1435" spans="1:40" x14ac:dyDescent="0.25">
      <c r="A1435" t="str">
        <f>"20190305135220332"</f>
        <v>20190305135220332</v>
      </c>
      <c r="B1435" t="str">
        <f>"1551765140321072"</f>
        <v>1551765140321072</v>
      </c>
      <c r="C1435" t="s">
        <v>40</v>
      </c>
      <c r="D1435">
        <v>4.9391689999999997</v>
      </c>
      <c r="E1435">
        <v>0.51893420000000001</v>
      </c>
      <c r="F1435" t="s">
        <v>42</v>
      </c>
      <c r="G1435">
        <v>-192.62549999999999</v>
      </c>
      <c r="H1435" s="1">
        <v>-2.4679659999999998E-6</v>
      </c>
      <c r="I1435">
        <v>323.71359999999999</v>
      </c>
      <c r="J1435">
        <v>-192.00280000000001</v>
      </c>
      <c r="K1435">
        <v>1.1082050000000001</v>
      </c>
      <c r="L1435">
        <v>340.58699999999999</v>
      </c>
      <c r="M1435">
        <v>0.12143669999999999</v>
      </c>
      <c r="N1435">
        <v>-1.34241E-2</v>
      </c>
      <c r="O1435">
        <v>-0.99250859999999996</v>
      </c>
      <c r="P1435">
        <v>1.191529E-2</v>
      </c>
      <c r="Q1435">
        <v>-9.4493549999999996E-2</v>
      </c>
      <c r="R1435">
        <v>-0.99545450000000002</v>
      </c>
      <c r="S1435">
        <v>-0.10632320000000001</v>
      </c>
      <c r="T1435">
        <v>-0.19492419999999999</v>
      </c>
      <c r="U1435">
        <v>-2.9966740000000001</v>
      </c>
      <c r="V1435">
        <v>0.1088451</v>
      </c>
      <c r="W1435">
        <v>-8.1500630000000004E-2</v>
      </c>
      <c r="X1435">
        <v>0.99071200000000004</v>
      </c>
      <c r="Y1435">
        <v>0.15643750000000001</v>
      </c>
      <c r="Z1435">
        <v>5.033878E-2</v>
      </c>
      <c r="AA1435">
        <v>0.98640419999999995</v>
      </c>
      <c r="AB1435">
        <v>18</v>
      </c>
      <c r="AC1435">
        <v>-0.62269999999998005</v>
      </c>
      <c r="AD1435">
        <v>-1.1082074679659999</v>
      </c>
      <c r="AE1435">
        <v>-16.8734</v>
      </c>
      <c r="AF1435">
        <v>2.6558841681574301</v>
      </c>
      <c r="AG1435">
        <v>-1.1082074679659999</v>
      </c>
      <c r="AH1435">
        <v>16.601361241282898</v>
      </c>
      <c r="AI1435">
        <v>93.771243315186396</v>
      </c>
      <c r="AJ1435">
        <v>80.910845790132797</v>
      </c>
      <c r="AK1435">
        <v>16.848947728873</v>
      </c>
      <c r="AL1435">
        <v>94.674827500319495</v>
      </c>
      <c r="AM1435">
        <v>83.730314014826703</v>
      </c>
      <c r="AN1435">
        <v>0.99999993771420104</v>
      </c>
    </row>
    <row r="1436" spans="1:40" x14ac:dyDescent="0.25">
      <c r="A1436" t="str">
        <f>"20190305135220355"</f>
        <v>20190305135220355</v>
      </c>
      <c r="B1436" t="str">
        <f>"1551765140351328"</f>
        <v>1551765140351328</v>
      </c>
      <c r="C1436" t="s">
        <v>40</v>
      </c>
      <c r="D1436">
        <v>4.9413340000000003</v>
      </c>
      <c r="E1436">
        <v>0.51862470000000005</v>
      </c>
      <c r="F1436" t="s">
        <v>42</v>
      </c>
      <c r="G1436">
        <v>-192.63489999999999</v>
      </c>
      <c r="H1436" s="1">
        <v>-2.4203060000000001E-6</v>
      </c>
      <c r="I1436">
        <v>323.5967</v>
      </c>
      <c r="J1436">
        <v>-191.9828</v>
      </c>
      <c r="K1436">
        <v>1.10822</v>
      </c>
      <c r="L1436">
        <v>340.40449999999998</v>
      </c>
      <c r="M1436">
        <v>0.1195272</v>
      </c>
      <c r="N1436">
        <v>-1.3423330000000001E-2</v>
      </c>
      <c r="O1436">
        <v>-0.99274019999999996</v>
      </c>
      <c r="P1436">
        <v>8.8632609999999903E-3</v>
      </c>
      <c r="Q1436">
        <v>-9.4354199999999999E-2</v>
      </c>
      <c r="R1436">
        <v>-0.99549909999999997</v>
      </c>
      <c r="S1436">
        <v>-0.1114807</v>
      </c>
      <c r="T1436">
        <v>-0.19545109999999999</v>
      </c>
      <c r="U1436">
        <v>-2.996521</v>
      </c>
      <c r="V1436">
        <v>0.1099818</v>
      </c>
      <c r="W1436">
        <v>-8.1360550000000004E-2</v>
      </c>
      <c r="X1436">
        <v>0.99059799999999998</v>
      </c>
      <c r="Y1436">
        <v>0.1562345</v>
      </c>
      <c r="Z1436">
        <v>5.053531E-2</v>
      </c>
      <c r="AA1436">
        <v>0.98642640000000004</v>
      </c>
      <c r="AB1436">
        <v>18</v>
      </c>
      <c r="AC1436">
        <v>-0.65209999999999002</v>
      </c>
      <c r="AD1436">
        <v>-1.108222420306</v>
      </c>
      <c r="AE1436">
        <v>-16.807799999999901</v>
      </c>
      <c r="AF1436">
        <v>2.6451123072743701</v>
      </c>
      <c r="AG1436">
        <v>-1.108222420306</v>
      </c>
      <c r="AH1436">
        <v>16.5375434718148</v>
      </c>
      <c r="AI1436">
        <v>93.785825114003302</v>
      </c>
      <c r="AJ1436">
        <v>80.912745323612697</v>
      </c>
      <c r="AK1436">
        <v>16.7843713058645</v>
      </c>
      <c r="AL1436">
        <v>94.6667746292906</v>
      </c>
      <c r="AM1436">
        <v>83.6646443942941</v>
      </c>
      <c r="AN1436">
        <v>0.99999996651576994</v>
      </c>
    </row>
    <row r="1437" spans="1:40" x14ac:dyDescent="0.25">
      <c r="A1437" t="str">
        <f>"20190305135220377"</f>
        <v>20190305135220377</v>
      </c>
      <c r="B1437" t="str">
        <f>"1551765140370849"</f>
        <v>1551765140370849</v>
      </c>
      <c r="C1437" t="s">
        <v>40</v>
      </c>
      <c r="D1437">
        <v>4.8343499999999997</v>
      </c>
      <c r="E1437">
        <v>0.52100210000000002</v>
      </c>
      <c r="F1437" t="s">
        <v>42</v>
      </c>
      <c r="G1437">
        <v>-192.6507</v>
      </c>
      <c r="H1437" s="1">
        <v>-2.376505E-6</v>
      </c>
      <c r="I1437">
        <v>323.48480000000001</v>
      </c>
      <c r="J1437">
        <v>-191.96250000000001</v>
      </c>
      <c r="K1437">
        <v>1.1082510000000001</v>
      </c>
      <c r="L1437">
        <v>340.21690000000001</v>
      </c>
      <c r="M1437">
        <v>0.1175831</v>
      </c>
      <c r="N1437">
        <v>-1.3422190000000001E-2</v>
      </c>
      <c r="O1437">
        <v>-0.99297239999999998</v>
      </c>
      <c r="P1437">
        <v>6.2712449999999999E-3</v>
      </c>
      <c r="Q1437">
        <v>-9.5031190000000001E-2</v>
      </c>
      <c r="R1437">
        <v>-0.99545459999999997</v>
      </c>
      <c r="S1437">
        <v>-0.118270899999999</v>
      </c>
      <c r="T1437">
        <v>-0.1962351</v>
      </c>
      <c r="U1437">
        <v>-2.9960019999999998</v>
      </c>
      <c r="V1437">
        <v>0.11061840000000001</v>
      </c>
      <c r="W1437">
        <v>-8.2032350000000004E-2</v>
      </c>
      <c r="X1437">
        <v>0.99047169999999896</v>
      </c>
      <c r="Y1437">
        <v>0.15653810000000001</v>
      </c>
      <c r="Z1437">
        <v>5.0820270000000001E-2</v>
      </c>
      <c r="AA1437">
        <v>0.98636360000000001</v>
      </c>
      <c r="AB1437">
        <v>18</v>
      </c>
      <c r="AC1437">
        <v>-0.68819999999999404</v>
      </c>
      <c r="AD1437">
        <v>-1.108253376505</v>
      </c>
      <c r="AE1437">
        <v>-16.732099999999999</v>
      </c>
      <c r="AF1437">
        <v>2.6394544455323601</v>
      </c>
      <c r="AG1437">
        <v>-1.108253376505</v>
      </c>
      <c r="AH1437">
        <v>16.462978551746598</v>
      </c>
      <c r="AI1437">
        <v>93.802802352098098</v>
      </c>
      <c r="AJ1437">
        <v>80.891474672673297</v>
      </c>
      <c r="AK1437">
        <v>16.7100152038185</v>
      </c>
      <c r="AL1437">
        <v>94.705395052130299</v>
      </c>
      <c r="AM1437">
        <v>83.627468824934098</v>
      </c>
      <c r="AN1437">
        <v>0.99999996268298497</v>
      </c>
    </row>
    <row r="1438" spans="1:40" x14ac:dyDescent="0.25">
      <c r="A1438" t="str">
        <f>"20190305135220402"</f>
        <v>20190305135220402</v>
      </c>
      <c r="B1438" t="str">
        <f>"1551765140391345"</f>
        <v>1551765140391345</v>
      </c>
      <c r="C1438" t="s">
        <v>40</v>
      </c>
      <c r="D1438">
        <v>4.781739</v>
      </c>
      <c r="E1438">
        <v>0.51766990000000002</v>
      </c>
      <c r="F1438" t="s">
        <v>41</v>
      </c>
      <c r="G1438">
        <v>-192.0043</v>
      </c>
      <c r="H1438">
        <v>0.96894659999999999</v>
      </c>
      <c r="I1438">
        <v>339.44729999999998</v>
      </c>
      <c r="J1438">
        <v>-191.94159999999999</v>
      </c>
      <c r="K1438">
        <v>1.1082970000000001</v>
      </c>
      <c r="L1438">
        <v>340.01940000000002</v>
      </c>
      <c r="M1438">
        <v>0.11557290000000001</v>
      </c>
      <c r="N1438">
        <v>-1.342059E-2</v>
      </c>
      <c r="O1438">
        <v>-0.9932086</v>
      </c>
      <c r="P1438">
        <v>3.6154590000000001E-3</v>
      </c>
      <c r="Q1438">
        <v>-9.4958299999999995E-2</v>
      </c>
      <c r="R1438">
        <v>-0.99547509999999995</v>
      </c>
      <c r="S1438">
        <v>-0.1597595</v>
      </c>
      <c r="T1438">
        <v>-0.53646559999999999</v>
      </c>
      <c r="U1438">
        <v>-2.96347</v>
      </c>
      <c r="V1438">
        <v>0.11126460000000001</v>
      </c>
      <c r="W1438">
        <v>-8.1951999999999997E-2</v>
      </c>
      <c r="X1438">
        <v>0.99040600000000001</v>
      </c>
      <c r="Y1438">
        <v>0.16794110000000001</v>
      </c>
      <c r="Z1438">
        <v>0.16169320000000001</v>
      </c>
      <c r="AA1438">
        <v>0.97244600000000003</v>
      </c>
      <c r="AB1438">
        <v>18</v>
      </c>
      <c r="AC1438">
        <v>-6.2700000000006598E-2</v>
      </c>
      <c r="AD1438">
        <v>-0.13935039999999899</v>
      </c>
      <c r="AE1438">
        <v>-0.57210000000003403</v>
      </c>
      <c r="AF1438">
        <v>0.121294032172255</v>
      </c>
      <c r="AG1438">
        <v>-0.13935039999999899</v>
      </c>
      <c r="AH1438">
        <v>0.52994997031281399</v>
      </c>
      <c r="AI1438">
        <v>104.37665243922299</v>
      </c>
      <c r="AJ1438">
        <v>77.108291756499199</v>
      </c>
      <c r="AK1438">
        <v>0.56122878334536297</v>
      </c>
      <c r="AL1438">
        <v>94.700775639202703</v>
      </c>
      <c r="AM1438">
        <v>83.590129643530801</v>
      </c>
      <c r="AN1438">
        <v>0.99999999317657995</v>
      </c>
    </row>
    <row r="1439" spans="1:40" x14ac:dyDescent="0.25">
      <c r="A1439" t="str">
        <f>"20190305135220423"</f>
        <v>20190305135220423</v>
      </c>
      <c r="B1439" t="str">
        <f>"1551765140410864"</f>
        <v>1551765140410864</v>
      </c>
      <c r="C1439" t="s">
        <v>40</v>
      </c>
      <c r="D1439">
        <v>4.8364789999999998</v>
      </c>
      <c r="E1439">
        <v>0.51583829999999997</v>
      </c>
      <c r="F1439" t="s">
        <v>41</v>
      </c>
      <c r="G1439">
        <v>-191.97730000000001</v>
      </c>
      <c r="H1439">
        <v>0.95594369999999995</v>
      </c>
      <c r="I1439">
        <v>339.29140000000001</v>
      </c>
      <c r="J1439">
        <v>-191.92269999999999</v>
      </c>
      <c r="K1439">
        <v>1.1083339999999999</v>
      </c>
      <c r="L1439">
        <v>339.83780000000002</v>
      </c>
      <c r="M1439">
        <v>0.11376410000000001</v>
      </c>
      <c r="N1439">
        <v>-1.3418799999999899E-2</v>
      </c>
      <c r="O1439">
        <v>-0.99341729999999995</v>
      </c>
      <c r="P1439">
        <v>2.3869220000000001E-3</v>
      </c>
      <c r="Q1439">
        <v>-9.4957910000000006E-2</v>
      </c>
      <c r="R1439">
        <v>-0.9954788</v>
      </c>
      <c r="S1439">
        <v>-0.14450070000000001</v>
      </c>
      <c r="T1439">
        <v>-0.61849119999999902</v>
      </c>
      <c r="U1439">
        <v>-2.9551699999999999</v>
      </c>
      <c r="V1439">
        <v>0.1106915</v>
      </c>
      <c r="W1439">
        <v>-8.1941150000000004E-2</v>
      </c>
      <c r="X1439">
        <v>0.99047110000000005</v>
      </c>
      <c r="Y1439">
        <v>0.1610259</v>
      </c>
      <c r="Z1439">
        <v>0.1882238</v>
      </c>
      <c r="AA1439">
        <v>0.96883560000000002</v>
      </c>
      <c r="AB1439">
        <v>18</v>
      </c>
      <c r="AC1439">
        <v>-5.4600000000021902E-2</v>
      </c>
      <c r="AD1439">
        <v>-0.15239029999999901</v>
      </c>
      <c r="AE1439">
        <v>-0.54640000000000499</v>
      </c>
      <c r="AF1439">
        <v>0.10808735219372601</v>
      </c>
      <c r="AG1439">
        <v>-0.15239029999999901</v>
      </c>
      <c r="AH1439">
        <v>0.49826574841506899</v>
      </c>
      <c r="AI1439">
        <v>106.64086722004301</v>
      </c>
      <c r="AJ1439">
        <v>77.760624526304994</v>
      </c>
      <c r="AK1439">
        <v>0.53214136776045695</v>
      </c>
      <c r="AL1439">
        <v>94.700151943792207</v>
      </c>
      <c r="AM1439">
        <v>83.623288508639405</v>
      </c>
      <c r="AN1439">
        <v>0.99999998008539104</v>
      </c>
    </row>
    <row r="1440" spans="1:40" x14ac:dyDescent="0.25">
      <c r="A1440" t="str">
        <f>"20190305135220444"</f>
        <v>20190305135220444</v>
      </c>
      <c r="B1440" t="str">
        <f>"1551765140430384"</f>
        <v>1551765140430384</v>
      </c>
      <c r="C1440" t="s">
        <v>40</v>
      </c>
      <c r="D1440">
        <v>4.8448070000000003</v>
      </c>
      <c r="E1440">
        <v>0.51466179999999995</v>
      </c>
      <c r="F1440" t="s">
        <v>41</v>
      </c>
      <c r="G1440">
        <v>-191.95519999999999</v>
      </c>
      <c r="H1440">
        <v>0.95284159999999996</v>
      </c>
      <c r="I1440">
        <v>339.1302</v>
      </c>
      <c r="J1440">
        <v>-191.9058</v>
      </c>
      <c r="K1440">
        <v>1.1083780000000001</v>
      </c>
      <c r="L1440">
        <v>339.6728</v>
      </c>
      <c r="M1440">
        <v>0.11215020000000001</v>
      </c>
      <c r="N1440">
        <v>-1.3416859999999999E-2</v>
      </c>
      <c r="O1440">
        <v>-0.99360099999999996</v>
      </c>
      <c r="P1440">
        <v>1.4401329999999999E-3</v>
      </c>
      <c r="Q1440">
        <v>-9.4143690000000002E-2</v>
      </c>
      <c r="R1440">
        <v>-0.99555800000000005</v>
      </c>
      <c r="S1440">
        <v>-0.1347961</v>
      </c>
      <c r="T1440">
        <v>-0.64862200000000003</v>
      </c>
      <c r="U1440">
        <v>-2.9520569999999999</v>
      </c>
      <c r="V1440">
        <v>0.11004170000000001</v>
      </c>
      <c r="W1440">
        <v>-8.1117560000000005E-2</v>
      </c>
      <c r="X1440">
        <v>0.99061129999999997</v>
      </c>
      <c r="Y1440">
        <v>0.15620120000000001</v>
      </c>
      <c r="Z1440">
        <v>0.19799839999999999</v>
      </c>
      <c r="AA1440">
        <v>0.96767650000000005</v>
      </c>
      <c r="AB1440">
        <v>18</v>
      </c>
      <c r="AC1440">
        <v>-4.9399999999991402E-2</v>
      </c>
      <c r="AD1440">
        <v>-0.15553639999999999</v>
      </c>
      <c r="AE1440">
        <v>-0.54259999999999298</v>
      </c>
      <c r="AF1440">
        <v>0.101661743845506</v>
      </c>
      <c r="AG1440">
        <v>-0.15553639999999999</v>
      </c>
      <c r="AH1440">
        <v>0.49342494019621402</v>
      </c>
      <c r="AI1440">
        <v>107.157197215742</v>
      </c>
      <c r="AJ1440">
        <v>78.358094356077899</v>
      </c>
      <c r="AK1440">
        <v>0.52725217258377099</v>
      </c>
      <c r="AL1440">
        <v>94.6528060424708</v>
      </c>
      <c r="AM1440">
        <v>83.661306424711199</v>
      </c>
      <c r="AN1440">
        <v>0.99999999098346604</v>
      </c>
    </row>
    <row r="1441" spans="1:40" x14ac:dyDescent="0.25">
      <c r="A1441" t="str">
        <f>"20190305135220468"</f>
        <v>20190305135220468</v>
      </c>
      <c r="B1441" t="str">
        <f>"1551765140460641"</f>
        <v>1551765140460641</v>
      </c>
      <c r="C1441" t="s">
        <v>40</v>
      </c>
      <c r="D1441">
        <v>4.7974560000000004</v>
      </c>
      <c r="E1441">
        <v>0.51360799999999995</v>
      </c>
      <c r="F1441" t="s">
        <v>41</v>
      </c>
      <c r="G1441">
        <v>-191.9367</v>
      </c>
      <c r="H1441">
        <v>0.95200280000000004</v>
      </c>
      <c r="I1441">
        <v>338.9676</v>
      </c>
      <c r="J1441">
        <v>-191.88630000000001</v>
      </c>
      <c r="K1441">
        <v>1.1084149999999999</v>
      </c>
      <c r="L1441">
        <v>339.47879999999998</v>
      </c>
      <c r="M1441">
        <v>0.11027770000000001</v>
      </c>
      <c r="N1441">
        <v>-1.341463E-2</v>
      </c>
      <c r="O1441">
        <v>-0.99381039999999998</v>
      </c>
      <c r="P1441">
        <v>-1.2786190000000001E-4</v>
      </c>
      <c r="Q1441">
        <v>-9.2570180000000002E-2</v>
      </c>
      <c r="R1441">
        <v>-0.99570650000000005</v>
      </c>
      <c r="S1441">
        <v>-0.12847900000000001</v>
      </c>
      <c r="T1441">
        <v>-0.65448189999999995</v>
      </c>
      <c r="U1441">
        <v>-2.951721</v>
      </c>
      <c r="V1441">
        <v>0.1097607</v>
      </c>
      <c r="W1441">
        <v>-7.9536040000000002E-2</v>
      </c>
      <c r="X1441">
        <v>0.9907707</v>
      </c>
      <c r="Y1441">
        <v>0.1522646</v>
      </c>
      <c r="Z1441">
        <v>0.19999420000000001</v>
      </c>
      <c r="AA1441">
        <v>0.96789349999999996</v>
      </c>
      <c r="AB1441">
        <v>18</v>
      </c>
      <c r="AC1441">
        <v>-5.0399999999996198E-2</v>
      </c>
      <c r="AD1441">
        <v>-0.156412199999999</v>
      </c>
      <c r="AE1441">
        <v>-0.51119999999997301</v>
      </c>
      <c r="AF1441">
        <v>9.7437480063552503E-2</v>
      </c>
      <c r="AG1441">
        <v>-0.156412199999999</v>
      </c>
      <c r="AH1441">
        <v>0.45988405656818199</v>
      </c>
      <c r="AI1441">
        <v>108.40363005072599</v>
      </c>
      <c r="AJ1441">
        <v>78.037421913094207</v>
      </c>
      <c r="AK1441">
        <v>0.49543131140005903</v>
      </c>
      <c r="AL1441">
        <v>94.561897869049503</v>
      </c>
      <c r="AM1441">
        <v>83.678370500252299</v>
      </c>
      <c r="AN1441">
        <v>0.99999998645093002</v>
      </c>
    </row>
    <row r="1442" spans="1:40" x14ac:dyDescent="0.25">
      <c r="A1442" t="str">
        <f>"20190305135220490"</f>
        <v>20190305135220490</v>
      </c>
      <c r="B1442" t="str">
        <f>"1551765140481136"</f>
        <v>1551765140481136</v>
      </c>
      <c r="C1442" t="s">
        <v>40</v>
      </c>
      <c r="D1442">
        <v>4.7789299999999999</v>
      </c>
      <c r="E1442">
        <v>0.51295409999999997</v>
      </c>
      <c r="F1442" t="s">
        <v>41</v>
      </c>
      <c r="G1442">
        <v>-191.9211</v>
      </c>
      <c r="H1442">
        <v>0.92416560000000003</v>
      </c>
      <c r="I1442">
        <v>338.6524</v>
      </c>
      <c r="J1442">
        <v>-191.86750000000001</v>
      </c>
      <c r="K1442">
        <v>1.108441</v>
      </c>
      <c r="L1442">
        <v>339.28919999999999</v>
      </c>
      <c r="M1442">
        <v>0.10846219999999999</v>
      </c>
      <c r="N1442">
        <v>-1.3412479999999999E-2</v>
      </c>
      <c r="O1442">
        <v>-0.99400999999999995</v>
      </c>
      <c r="P1442">
        <v>-1.6328409999999999E-3</v>
      </c>
      <c r="Q1442">
        <v>-9.1058200000000006E-2</v>
      </c>
      <c r="R1442">
        <v>-0.9958439</v>
      </c>
      <c r="S1442">
        <v>-0.1244659</v>
      </c>
      <c r="T1442">
        <v>-0.65809910000000005</v>
      </c>
      <c r="U1442">
        <v>-2.951721</v>
      </c>
      <c r="V1442">
        <v>0.1094712</v>
      </c>
      <c r="W1442">
        <v>-7.801806E-2</v>
      </c>
      <c r="X1442">
        <v>0.99092340000000001</v>
      </c>
      <c r="Y1442">
        <v>0.1491392</v>
      </c>
      <c r="Z1442">
        <v>0.20124639999999999</v>
      </c>
      <c r="AA1442">
        <v>0.9681206</v>
      </c>
      <c r="AB1442">
        <v>18</v>
      </c>
      <c r="AC1442">
        <v>-5.3599999999988698E-2</v>
      </c>
      <c r="AD1442">
        <v>-0.18427540000000001</v>
      </c>
      <c r="AE1442">
        <v>-0.63679999999999304</v>
      </c>
      <c r="AF1442">
        <v>0.11296558603689801</v>
      </c>
      <c r="AG1442">
        <v>-0.18427540000000001</v>
      </c>
      <c r="AH1442">
        <v>0.57907808768027502</v>
      </c>
      <c r="AI1442">
        <v>107.345384447025</v>
      </c>
      <c r="AJ1442">
        <v>78.961467509465905</v>
      </c>
      <c r="AK1442">
        <v>0.61810199668441801</v>
      </c>
      <c r="AL1442">
        <v>94.474652937443395</v>
      </c>
      <c r="AM1442">
        <v>83.695873475965499</v>
      </c>
      <c r="AN1442">
        <v>0.99999997299158105</v>
      </c>
    </row>
    <row r="1443" spans="1:40" x14ac:dyDescent="0.25">
      <c r="A1443" t="str">
        <f>"20190305135220514"</f>
        <v>20190305135220514</v>
      </c>
      <c r="B1443" t="str">
        <f>"1551765140500656"</f>
        <v>1551765140500656</v>
      </c>
      <c r="C1443" t="s">
        <v>40</v>
      </c>
      <c r="D1443">
        <v>4.7746199999999996</v>
      </c>
      <c r="E1443">
        <v>0.51219579999999998</v>
      </c>
      <c r="F1443" t="s">
        <v>41</v>
      </c>
      <c r="G1443">
        <v>-191.90100000000001</v>
      </c>
      <c r="H1443">
        <v>0.92954239999999999</v>
      </c>
      <c r="I1443">
        <v>338.48790000000002</v>
      </c>
      <c r="J1443">
        <v>-191.8493</v>
      </c>
      <c r="K1443">
        <v>1.108449</v>
      </c>
      <c r="L1443">
        <v>339.10199999999998</v>
      </c>
      <c r="M1443">
        <v>0.1066706</v>
      </c>
      <c r="N1443">
        <v>-1.3410490000000001E-2</v>
      </c>
      <c r="O1443">
        <v>-0.99420410000000004</v>
      </c>
      <c r="P1443">
        <v>-3.0231699999999999E-3</v>
      </c>
      <c r="Q1443">
        <v>-9.0456579999999995E-2</v>
      </c>
      <c r="R1443">
        <v>-0.995896</v>
      </c>
      <c r="S1443">
        <v>-0.1234283</v>
      </c>
      <c r="T1443">
        <v>-0.65909890000000004</v>
      </c>
      <c r="U1443">
        <v>-2.9520870000000001</v>
      </c>
      <c r="V1443">
        <v>0.1090791</v>
      </c>
      <c r="W1443">
        <v>-7.7412449999999994E-2</v>
      </c>
      <c r="X1443">
        <v>0.99101419999999996</v>
      </c>
      <c r="Y1443">
        <v>0.1470129</v>
      </c>
      <c r="Z1443">
        <v>0.20163410000000001</v>
      </c>
      <c r="AA1443">
        <v>0.96836509999999998</v>
      </c>
      <c r="AB1443">
        <v>18</v>
      </c>
      <c r="AC1443">
        <v>-5.1699999999982503E-2</v>
      </c>
      <c r="AD1443">
        <v>-0.178906599999999</v>
      </c>
      <c r="AE1443">
        <v>-0.61409999999995002</v>
      </c>
      <c r="AF1443">
        <v>0.107829737649787</v>
      </c>
      <c r="AG1443">
        <v>-0.178906599999999</v>
      </c>
      <c r="AH1443">
        <v>0.55804964955687397</v>
      </c>
      <c r="AI1443">
        <v>107.47245310459699</v>
      </c>
      <c r="AJ1443">
        <v>79.063739305385596</v>
      </c>
      <c r="AK1443">
        <v>0.595864275834465</v>
      </c>
      <c r="AL1443">
        <v>94.439848474370393</v>
      </c>
      <c r="AM1443">
        <v>83.718843491879397</v>
      </c>
      <c r="AN1443">
        <v>1.00000004103672</v>
      </c>
    </row>
    <row r="1444" spans="1:40" x14ac:dyDescent="0.25">
      <c r="A1444" t="str">
        <f>"20190305135220535"</f>
        <v>20190305135220535</v>
      </c>
      <c r="B1444" t="str">
        <f>"1551765140531419"</f>
        <v>1551765140531419</v>
      </c>
      <c r="C1444" t="s">
        <v>40</v>
      </c>
      <c r="D1444">
        <v>4.7525209999999998</v>
      </c>
      <c r="E1444">
        <v>0.51195570000000001</v>
      </c>
      <c r="F1444" t="s">
        <v>41</v>
      </c>
      <c r="G1444">
        <v>-191.88130000000001</v>
      </c>
      <c r="H1444">
        <v>0.93509160000000002</v>
      </c>
      <c r="I1444">
        <v>338.32339999999999</v>
      </c>
      <c r="J1444">
        <v>-191.83340000000001</v>
      </c>
      <c r="K1444">
        <v>1.1084449999999999</v>
      </c>
      <c r="L1444">
        <v>338.93529999999998</v>
      </c>
      <c r="M1444">
        <v>0.105072</v>
      </c>
      <c r="N1444">
        <v>-1.3408679999999999E-2</v>
      </c>
      <c r="O1444">
        <v>-0.99437419999999999</v>
      </c>
      <c r="P1444">
        <v>-3.9562449999999997E-3</v>
      </c>
      <c r="Q1444">
        <v>-9.1831010000000005E-2</v>
      </c>
      <c r="R1444">
        <v>-0.99576690000000001</v>
      </c>
      <c r="S1444">
        <v>-0.1212463</v>
      </c>
      <c r="T1444">
        <v>-0.65735589999999999</v>
      </c>
      <c r="U1444">
        <v>-2.9522400000000002</v>
      </c>
      <c r="V1444">
        <v>0.1084005</v>
      </c>
      <c r="W1444">
        <v>-7.8785430000000004E-2</v>
      </c>
      <c r="X1444">
        <v>0.99098039999999998</v>
      </c>
      <c r="Y1444">
        <v>0.14471489999999901</v>
      </c>
      <c r="Z1444">
        <v>0.20117869999999999</v>
      </c>
      <c r="AA1444">
        <v>0.96880580000000005</v>
      </c>
      <c r="AB1444">
        <v>18</v>
      </c>
      <c r="AC1444">
        <v>-4.7899999999998499E-2</v>
      </c>
      <c r="AD1444">
        <v>-0.17335339999999999</v>
      </c>
      <c r="AE1444">
        <v>-0.61189999999999101</v>
      </c>
      <c r="AF1444">
        <v>0.103664609482763</v>
      </c>
      <c r="AG1444">
        <v>-0.17335339999999999</v>
      </c>
      <c r="AH1444">
        <v>0.55889472104829097</v>
      </c>
      <c r="AI1444">
        <v>106.96014332848701</v>
      </c>
      <c r="AJ1444">
        <v>79.492111340550196</v>
      </c>
      <c r="AK1444">
        <v>0.59427355802393</v>
      </c>
      <c r="AL1444">
        <v>94.518755713020596</v>
      </c>
      <c r="AM1444">
        <v>83.757398976831297</v>
      </c>
      <c r="AN1444">
        <v>0.99999998278234703</v>
      </c>
    </row>
    <row r="1445" spans="1:40" x14ac:dyDescent="0.25">
      <c r="A1445" t="str">
        <f>"20190305135220556"</f>
        <v>20190305135220556</v>
      </c>
      <c r="B1445" t="str">
        <f>"1551765140550939"</f>
        <v>1551765140550939</v>
      </c>
      <c r="C1445" t="s">
        <v>40</v>
      </c>
      <c r="D1445">
        <v>4.7525339999999998</v>
      </c>
      <c r="E1445">
        <v>0.51179419999999998</v>
      </c>
      <c r="F1445" t="s">
        <v>41</v>
      </c>
      <c r="G1445">
        <v>-191.86539999999999</v>
      </c>
      <c r="H1445">
        <v>0.93550230000000001</v>
      </c>
      <c r="I1445">
        <v>338.161</v>
      </c>
      <c r="J1445">
        <v>-191.8168</v>
      </c>
      <c r="K1445">
        <v>1.108444</v>
      </c>
      <c r="L1445">
        <v>338.75779999999997</v>
      </c>
      <c r="M1445">
        <v>0.1033617</v>
      </c>
      <c r="N1445">
        <v>-1.340679E-2</v>
      </c>
      <c r="O1445">
        <v>-0.99455369999999998</v>
      </c>
      <c r="P1445">
        <v>-5.06005E-3</v>
      </c>
      <c r="Q1445">
        <v>-9.3277299999999994E-2</v>
      </c>
      <c r="R1445">
        <v>-0.99562790000000001</v>
      </c>
      <c r="S1445">
        <v>-0.1218567</v>
      </c>
      <c r="T1445">
        <v>-0.65915579999999996</v>
      </c>
      <c r="U1445">
        <v>-2.951508</v>
      </c>
      <c r="V1445">
        <v>0.1077795</v>
      </c>
      <c r="W1445">
        <v>-8.0231469999999999E-2</v>
      </c>
      <c r="X1445">
        <v>0.99093209999999998</v>
      </c>
      <c r="Y1445">
        <v>0.1432196</v>
      </c>
      <c r="Z1445">
        <v>0.20187350000000001</v>
      </c>
      <c r="AA1445">
        <v>0.96888350000000001</v>
      </c>
      <c r="AB1445">
        <v>18</v>
      </c>
      <c r="AC1445">
        <v>-4.8599999999993301E-2</v>
      </c>
      <c r="AD1445">
        <v>-0.172941699999999</v>
      </c>
      <c r="AE1445">
        <v>-0.59679999999997302</v>
      </c>
      <c r="AF1445">
        <v>0.10155933579271099</v>
      </c>
      <c r="AG1445">
        <v>-0.172941699999999</v>
      </c>
      <c r="AH1445">
        <v>0.54326016014939305</v>
      </c>
      <c r="AI1445">
        <v>107.37591716899</v>
      </c>
      <c r="AJ1445">
        <v>79.411111308685904</v>
      </c>
      <c r="AK1445">
        <v>0.57909820573983095</v>
      </c>
      <c r="AL1445">
        <v>94.601870905081697</v>
      </c>
      <c r="AM1445">
        <v>83.792581176493101</v>
      </c>
      <c r="AN1445">
        <v>0.99999996810450897</v>
      </c>
    </row>
    <row r="1446" spans="1:40" x14ac:dyDescent="0.25">
      <c r="A1446" t="str">
        <f>"20190305135220580"</f>
        <v>20190305135220580</v>
      </c>
      <c r="B1446" t="str">
        <f>"1551765140571436"</f>
        <v>1551765140571436</v>
      </c>
      <c r="C1446" t="s">
        <v>40</v>
      </c>
      <c r="D1446">
        <v>4.7861520000000004</v>
      </c>
      <c r="E1446">
        <v>0.51177299999999903</v>
      </c>
      <c r="F1446" t="s">
        <v>41</v>
      </c>
      <c r="G1446">
        <v>-191.84880000000001</v>
      </c>
      <c r="H1446">
        <v>0.93812099999999998</v>
      </c>
      <c r="I1446">
        <v>337.99790000000002</v>
      </c>
      <c r="J1446">
        <v>-191.7988</v>
      </c>
      <c r="K1446">
        <v>1.108449</v>
      </c>
      <c r="L1446">
        <v>338.5625</v>
      </c>
      <c r="M1446">
        <v>0.10147009999999999</v>
      </c>
      <c r="N1446">
        <v>-1.3404859999999999E-2</v>
      </c>
      <c r="O1446">
        <v>-0.99474839999999998</v>
      </c>
      <c r="P1446">
        <v>-5.8381589999999999E-3</v>
      </c>
      <c r="Q1446">
        <v>-9.4050960000000003E-2</v>
      </c>
      <c r="R1446">
        <v>-0.9955503</v>
      </c>
      <c r="S1446">
        <v>-0.1242065</v>
      </c>
      <c r="T1446">
        <v>-0.66129989999999905</v>
      </c>
      <c r="U1446">
        <v>-2.9506230000000002</v>
      </c>
      <c r="V1446">
        <v>0.1066622</v>
      </c>
      <c r="W1446">
        <v>-8.1003039999999998E-2</v>
      </c>
      <c r="X1446">
        <v>0.99099029999999999</v>
      </c>
      <c r="Y1446">
        <v>0.142114299999999</v>
      </c>
      <c r="Z1446">
        <v>0.20268249999999999</v>
      </c>
      <c r="AA1446">
        <v>0.9688774</v>
      </c>
      <c r="AB1446">
        <v>18</v>
      </c>
      <c r="AC1446">
        <v>-5.0000000000011299E-2</v>
      </c>
      <c r="AD1446">
        <v>-0.17032800000000001</v>
      </c>
      <c r="AE1446">
        <v>-0.564599999999984</v>
      </c>
      <c r="AF1446">
        <v>9.8171916144950799E-2</v>
      </c>
      <c r="AG1446">
        <v>-0.17032800000000001</v>
      </c>
      <c r="AH1446">
        <v>0.51051117325029505</v>
      </c>
      <c r="AI1446">
        <v>108.140816313881</v>
      </c>
      <c r="AJ1446">
        <v>79.114831129484301</v>
      </c>
      <c r="AK1446">
        <v>0.54705667962009596</v>
      </c>
      <c r="AL1446">
        <v>94.646222609419198</v>
      </c>
      <c r="AM1446">
        <v>83.856794008545705</v>
      </c>
      <c r="AN1446">
        <v>1.0000000460460801</v>
      </c>
    </row>
    <row r="1447" spans="1:40" x14ac:dyDescent="0.25">
      <c r="A1447" t="str">
        <f>"20190305135220602"</f>
        <v>20190305135220602</v>
      </c>
      <c r="B1447" t="str">
        <f>"1551765140590955"</f>
        <v>1551765140590955</v>
      </c>
      <c r="C1447" t="s">
        <v>40</v>
      </c>
      <c r="D1447">
        <v>4.7439960000000001</v>
      </c>
      <c r="E1447">
        <v>0.5116193</v>
      </c>
      <c r="F1447" t="s">
        <v>41</v>
      </c>
      <c r="G1447">
        <v>-191.83019999999999</v>
      </c>
      <c r="H1447">
        <v>0.94506049999999997</v>
      </c>
      <c r="I1447">
        <v>337.83319999999998</v>
      </c>
      <c r="J1447">
        <v>-191.7825</v>
      </c>
      <c r="K1447">
        <v>1.1084590000000001</v>
      </c>
      <c r="L1447">
        <v>338.38209999999998</v>
      </c>
      <c r="M1447">
        <v>9.9715780000000004E-2</v>
      </c>
      <c r="N1447">
        <v>-1.340299E-2</v>
      </c>
      <c r="O1447">
        <v>-0.99492570000000002</v>
      </c>
      <c r="P1447">
        <v>-6.4920890000000004E-3</v>
      </c>
      <c r="Q1447">
        <v>-9.354287E-2</v>
      </c>
      <c r="R1447">
        <v>-0.99559430000000004</v>
      </c>
      <c r="S1447">
        <v>-0.1262665</v>
      </c>
      <c r="T1447">
        <v>-0.66091109999999997</v>
      </c>
      <c r="U1447">
        <v>-2.9502259999999998</v>
      </c>
      <c r="V1447">
        <v>0.105573</v>
      </c>
      <c r="W1447">
        <v>-8.0491969999999996E-2</v>
      </c>
      <c r="X1447">
        <v>0.99114849999999999</v>
      </c>
      <c r="Y1447">
        <v>0.14105229999999999</v>
      </c>
      <c r="Z1447">
        <v>0.20266210000000001</v>
      </c>
      <c r="AA1447">
        <v>0.96903680000000003</v>
      </c>
      <c r="AB1447">
        <v>18</v>
      </c>
      <c r="AC1447">
        <v>-4.7699999999991798E-2</v>
      </c>
      <c r="AD1447">
        <v>-0.1633985</v>
      </c>
      <c r="AE1447">
        <v>-0.54890000000000305</v>
      </c>
      <c r="AF1447">
        <v>9.39390631686291E-2</v>
      </c>
      <c r="AG1447">
        <v>-0.1633985</v>
      </c>
      <c r="AH1447">
        <v>0.49763890725813098</v>
      </c>
      <c r="AI1447">
        <v>107.882254546608</v>
      </c>
      <c r="AJ1447">
        <v>79.310092514507303</v>
      </c>
      <c r="AK1447">
        <v>0.53213541454061897</v>
      </c>
      <c r="AL1447">
        <v>94.616844819794196</v>
      </c>
      <c r="AM1447">
        <v>83.9200173553197</v>
      </c>
      <c r="AN1447">
        <v>0.99999998230786502</v>
      </c>
    </row>
    <row r="1448" spans="1:40" x14ac:dyDescent="0.25">
      <c r="A1448" t="str">
        <f>"20190305135220624"</f>
        <v>20190305135220624</v>
      </c>
      <c r="B1448" t="str">
        <f>"1551765140610982"</f>
        <v>1551765140610982</v>
      </c>
      <c r="C1448" t="s">
        <v>40</v>
      </c>
      <c r="D1448">
        <v>4.7104910000000002</v>
      </c>
      <c r="E1448">
        <v>0.51159920000000003</v>
      </c>
      <c r="F1448" t="s">
        <v>41</v>
      </c>
      <c r="G1448">
        <v>-191.81309999999999</v>
      </c>
      <c r="H1448">
        <v>0.94957279999999999</v>
      </c>
      <c r="I1448">
        <v>337.6696</v>
      </c>
      <c r="J1448">
        <v>-191.76679999999999</v>
      </c>
      <c r="K1448">
        <v>1.108471</v>
      </c>
      <c r="L1448">
        <v>338.20499999999998</v>
      </c>
      <c r="M1448">
        <v>9.7987930000000001E-2</v>
      </c>
      <c r="N1448">
        <v>-1.3401039999999999E-2</v>
      </c>
      <c r="O1448">
        <v>-0.99509760000000003</v>
      </c>
      <c r="P1448">
        <v>-7.0563650000000002E-3</v>
      </c>
      <c r="Q1448">
        <v>-9.1974550000000002E-2</v>
      </c>
      <c r="R1448">
        <v>-0.99573679999999998</v>
      </c>
      <c r="S1448">
        <v>-0.1268311</v>
      </c>
      <c r="T1448">
        <v>-0.65802930000000004</v>
      </c>
      <c r="U1448">
        <v>-2.9505919999999999</v>
      </c>
      <c r="V1448">
        <v>0.1044326</v>
      </c>
      <c r="W1448">
        <v>-7.8919649999999994E-2</v>
      </c>
      <c r="X1448">
        <v>0.99139580000000005</v>
      </c>
      <c r="Y1448">
        <v>0.13952479999999901</v>
      </c>
      <c r="Z1448">
        <v>0.20181830000000001</v>
      </c>
      <c r="AA1448">
        <v>0.96943400000000002</v>
      </c>
      <c r="AB1448">
        <v>18</v>
      </c>
      <c r="AC1448">
        <v>-4.6300000000002201E-2</v>
      </c>
      <c r="AD1448">
        <v>-0.15889819999999899</v>
      </c>
      <c r="AE1448">
        <v>-0.535399999999981</v>
      </c>
      <c r="AF1448">
        <v>9.0621793071944998E-2</v>
      </c>
      <c r="AG1448">
        <v>-0.15889819999999899</v>
      </c>
      <c r="AH1448">
        <v>0.48581260129485698</v>
      </c>
      <c r="AI1448">
        <v>107.824208173342</v>
      </c>
      <c r="AJ1448">
        <v>79.433682403953995</v>
      </c>
      <c r="AK1448">
        <v>0.51910965211570703</v>
      </c>
      <c r="AL1448">
        <v>94.526469641997295</v>
      </c>
      <c r="AM1448">
        <v>83.986698675826403</v>
      </c>
      <c r="AN1448">
        <v>1.00000005567825</v>
      </c>
    </row>
    <row r="1449" spans="1:40" x14ac:dyDescent="0.25">
      <c r="A1449" t="str">
        <f>"20190305135220648"</f>
        <v>20190305135220648</v>
      </c>
      <c r="B1449" t="str">
        <f>"1551765140641239"</f>
        <v>1551765140641239</v>
      </c>
      <c r="C1449" t="s">
        <v>40</v>
      </c>
      <c r="D1449">
        <v>4.6992839999999996</v>
      </c>
      <c r="E1449">
        <v>0.51172779999999995</v>
      </c>
      <c r="F1449" t="s">
        <v>41</v>
      </c>
      <c r="G1449">
        <v>-191.79730000000001</v>
      </c>
      <c r="H1449">
        <v>0.95411250000000003</v>
      </c>
      <c r="I1449">
        <v>337.5061</v>
      </c>
      <c r="J1449">
        <v>-191.75129999999999</v>
      </c>
      <c r="K1449">
        <v>1.108482</v>
      </c>
      <c r="L1449">
        <v>338.02589999999998</v>
      </c>
      <c r="M1449">
        <v>9.623611E-2</v>
      </c>
      <c r="N1449">
        <v>-1.33992E-2</v>
      </c>
      <c r="O1449">
        <v>-0.99526840000000005</v>
      </c>
      <c r="P1449">
        <v>-7.1299789999999998E-3</v>
      </c>
      <c r="Q1449">
        <v>-9.0335090000000007E-2</v>
      </c>
      <c r="R1449">
        <v>-0.99588600000000005</v>
      </c>
      <c r="S1449">
        <v>-0.12844849999999999</v>
      </c>
      <c r="T1449">
        <v>-0.65188459999999904</v>
      </c>
      <c r="U1449">
        <v>-2.9516909999999998</v>
      </c>
      <c r="V1449">
        <v>0.10278039999999899</v>
      </c>
      <c r="W1449">
        <v>-7.7274369999999995E-2</v>
      </c>
      <c r="X1449">
        <v>0.99169799999999997</v>
      </c>
      <c r="Y1449">
        <v>0.13831860000000001</v>
      </c>
      <c r="Z1449">
        <v>0.19989609999999999</v>
      </c>
      <c r="AA1449">
        <v>0.97000489999999995</v>
      </c>
      <c r="AB1449">
        <v>18</v>
      </c>
      <c r="AC1449">
        <v>-4.6000000000020601E-2</v>
      </c>
      <c r="AD1449">
        <v>-0.15436949999999899</v>
      </c>
      <c r="AE1449">
        <v>-0.51979999999997495</v>
      </c>
      <c r="AF1449">
        <v>8.8104372723872795E-2</v>
      </c>
      <c r="AG1449">
        <v>-0.15436949999999899</v>
      </c>
      <c r="AH1449">
        <v>0.47168229539152101</v>
      </c>
      <c r="AI1449">
        <v>107.83351605451</v>
      </c>
      <c r="AJ1449">
        <v>79.419784726098101</v>
      </c>
      <c r="AK1449">
        <v>0.50406002698997199</v>
      </c>
      <c r="AL1449">
        <v>94.431913348124496</v>
      </c>
      <c r="AM1449">
        <v>84.082943596072397</v>
      </c>
      <c r="AN1449">
        <v>1.00000003104352</v>
      </c>
    </row>
    <row r="1450" spans="1:40" x14ac:dyDescent="0.25">
      <c r="A1450" t="str">
        <f>"20190305135220669"</f>
        <v>20190305135220669</v>
      </c>
      <c r="B1450" t="str">
        <f>"1551765140660759"</f>
        <v>1551765140660759</v>
      </c>
      <c r="C1450" t="s">
        <v>40</v>
      </c>
      <c r="D1450">
        <v>4.6364179999999999</v>
      </c>
      <c r="E1450">
        <v>0.51185700000000001</v>
      </c>
      <c r="F1450" t="s">
        <v>41</v>
      </c>
      <c r="G1450">
        <v>-191.78800000000001</v>
      </c>
      <c r="H1450">
        <v>0.92671910000000002</v>
      </c>
      <c r="I1450">
        <v>337.19439999999997</v>
      </c>
      <c r="J1450">
        <v>-191.73589999999999</v>
      </c>
      <c r="K1450">
        <v>1.1084909999999999</v>
      </c>
      <c r="L1450">
        <v>337.84449999999998</v>
      </c>
      <c r="M1450">
        <v>9.4460760000000005E-2</v>
      </c>
      <c r="N1450">
        <v>-1.339709E-2</v>
      </c>
      <c r="O1450">
        <v>-0.99543859999999995</v>
      </c>
      <c r="P1450">
        <v>-7.5159980000000003E-3</v>
      </c>
      <c r="Q1450">
        <v>-8.9056819999999995E-2</v>
      </c>
      <c r="R1450">
        <v>-0.9959983</v>
      </c>
      <c r="S1450">
        <v>-0.12982179999999999</v>
      </c>
      <c r="T1450">
        <v>-0.64549209999999901</v>
      </c>
      <c r="U1450">
        <v>-2.9529420000000002</v>
      </c>
      <c r="V1450">
        <v>0.101411</v>
      </c>
      <c r="W1450">
        <v>-7.5991950000000003E-2</v>
      </c>
      <c r="X1450">
        <v>0.99193799999999999</v>
      </c>
      <c r="Y1450">
        <v>0.1370075</v>
      </c>
      <c r="Z1450">
        <v>0.19788520000000001</v>
      </c>
      <c r="AA1450">
        <v>0.97060310000000005</v>
      </c>
      <c r="AB1450">
        <v>18</v>
      </c>
      <c r="AC1450">
        <v>-5.2099999999995802E-2</v>
      </c>
      <c r="AD1450">
        <v>-0.18177189999999999</v>
      </c>
      <c r="AE1450">
        <v>-0.650100000000009</v>
      </c>
      <c r="AF1450">
        <v>0.10511596462306699</v>
      </c>
      <c r="AG1450">
        <v>-0.18177189999999999</v>
      </c>
      <c r="AH1450">
        <v>0.59597504633027598</v>
      </c>
      <c r="AI1450">
        <v>106.718324183268</v>
      </c>
      <c r="AJ1450">
        <v>79.997250953669806</v>
      </c>
      <c r="AK1450">
        <v>0.63188341131621995</v>
      </c>
      <c r="AL1450">
        <v>94.358219599802794</v>
      </c>
      <c r="AM1450">
        <v>84.162634440012894</v>
      </c>
      <c r="AN1450">
        <v>0.999999981614901</v>
      </c>
    </row>
    <row r="1451" spans="1:40" x14ac:dyDescent="0.25">
      <c r="A1451" t="str">
        <f>"20190305135220693"</f>
        <v>20190305135220693</v>
      </c>
      <c r="B1451" t="str">
        <f>"1551765140681254"</f>
        <v>1551765140681254</v>
      </c>
      <c r="C1451" t="s">
        <v>40</v>
      </c>
      <c r="D1451">
        <v>4.6313389999999997</v>
      </c>
      <c r="E1451">
        <v>0.51191309999999901</v>
      </c>
      <c r="F1451" t="s">
        <v>41</v>
      </c>
      <c r="G1451">
        <v>-191.7723</v>
      </c>
      <c r="H1451">
        <v>0.93221560000000003</v>
      </c>
      <c r="I1451">
        <v>337.03129999999999</v>
      </c>
      <c r="J1451">
        <v>-191.72</v>
      </c>
      <c r="K1451">
        <v>1.1085</v>
      </c>
      <c r="L1451">
        <v>337.65230000000003</v>
      </c>
      <c r="M1451">
        <v>9.2579159999999994E-2</v>
      </c>
      <c r="N1451">
        <v>-1.3394980000000001E-2</v>
      </c>
      <c r="O1451">
        <v>-0.99561549999999999</v>
      </c>
      <c r="P1451">
        <v>-8.3776130000000008E-3</v>
      </c>
      <c r="Q1451">
        <v>-8.8739009999999993E-2</v>
      </c>
      <c r="R1451">
        <v>-0.99602000000000002</v>
      </c>
      <c r="S1451">
        <v>-0.13214110000000001</v>
      </c>
      <c r="T1451">
        <v>-0.64023969999999997</v>
      </c>
      <c r="U1451">
        <v>-2.9537960000000001</v>
      </c>
      <c r="V1451">
        <v>0.1003989</v>
      </c>
      <c r="W1451">
        <v>-7.5672069999999994E-2</v>
      </c>
      <c r="X1451">
        <v>0.99206539999999999</v>
      </c>
      <c r="Y1451">
        <v>0.13590260000000001</v>
      </c>
      <c r="Z1451">
        <v>0.19625329999999999</v>
      </c>
      <c r="AA1451">
        <v>0.97108969999999994</v>
      </c>
      <c r="AB1451">
        <v>18</v>
      </c>
      <c r="AC1451">
        <v>-5.23000000000024E-2</v>
      </c>
      <c r="AD1451">
        <v>-0.17628440000000001</v>
      </c>
      <c r="AE1451">
        <v>-0.62100000000003697</v>
      </c>
      <c r="AF1451">
        <v>0.101454221640788</v>
      </c>
      <c r="AG1451">
        <v>-0.17628440000000001</v>
      </c>
      <c r="AH1451">
        <v>0.56803824530569103</v>
      </c>
      <c r="AI1451">
        <v>106.988146789335</v>
      </c>
      <c r="AJ1451">
        <v>79.8734886500404</v>
      </c>
      <c r="AK1451">
        <v>0.60335445378489305</v>
      </c>
      <c r="AL1451">
        <v>94.339838909000306</v>
      </c>
      <c r="AM1451">
        <v>84.221233224358798</v>
      </c>
      <c r="AN1451">
        <v>0.99999997958822695</v>
      </c>
    </row>
    <row r="1452" spans="1:40" x14ac:dyDescent="0.25">
      <c r="A1452" t="str">
        <f>"20190305135220714"</f>
        <v>20190305135220714</v>
      </c>
      <c r="B1452" t="str">
        <f>"1551765140711040"</f>
        <v>1551765140711040</v>
      </c>
      <c r="C1452" t="s">
        <v>40</v>
      </c>
      <c r="D1452">
        <v>4.6007319999999998</v>
      </c>
      <c r="E1452">
        <v>0.51216240000000002</v>
      </c>
      <c r="F1452" t="s">
        <v>41</v>
      </c>
      <c r="G1452">
        <v>-191.756</v>
      </c>
      <c r="H1452">
        <v>0.93897120000000001</v>
      </c>
      <c r="I1452">
        <v>336.86779999999999</v>
      </c>
      <c r="J1452">
        <v>-191.70580000000001</v>
      </c>
      <c r="K1452">
        <v>1.1085069999999999</v>
      </c>
      <c r="L1452">
        <v>337.47820000000002</v>
      </c>
      <c r="M1452">
        <v>9.0878249999999994E-2</v>
      </c>
      <c r="N1452">
        <v>-1.3392899999999999E-2</v>
      </c>
      <c r="O1452">
        <v>-0.99577190000000004</v>
      </c>
      <c r="P1452">
        <v>-8.7424600000000005E-3</v>
      </c>
      <c r="Q1452">
        <v>-8.8123049999999994E-2</v>
      </c>
      <c r="R1452">
        <v>-0.99607109999999999</v>
      </c>
      <c r="S1452">
        <v>-0.13505549999999999</v>
      </c>
      <c r="T1452">
        <v>-0.63834869999999899</v>
      </c>
      <c r="U1452">
        <v>-2.9540099999999998</v>
      </c>
      <c r="V1452">
        <v>9.9075759999999999E-2</v>
      </c>
      <c r="W1452">
        <v>-7.5052220000000003E-2</v>
      </c>
      <c r="X1452">
        <v>0.9922455</v>
      </c>
      <c r="Y1452">
        <v>0.1351706</v>
      </c>
      <c r="Z1452">
        <v>0.19570360000000001</v>
      </c>
      <c r="AA1452">
        <v>0.97130269999999996</v>
      </c>
      <c r="AB1452">
        <v>18</v>
      </c>
      <c r="AC1452">
        <v>-5.0199999999961102E-2</v>
      </c>
      <c r="AD1452">
        <v>-0.16953579999999899</v>
      </c>
      <c r="AE1452">
        <v>-0.61040000000002603</v>
      </c>
      <c r="AF1452">
        <v>9.79629587068227E-2</v>
      </c>
      <c r="AG1452">
        <v>-0.16953579999999899</v>
      </c>
      <c r="AH1452">
        <v>0.56037305007479898</v>
      </c>
      <c r="AI1452">
        <v>106.595177327423</v>
      </c>
      <c r="AJ1452">
        <v>80.083906226004203</v>
      </c>
      <c r="AK1452">
        <v>0.59359673517495704</v>
      </c>
      <c r="AL1452">
        <v>94.304222802407097</v>
      </c>
      <c r="AM1452">
        <v>84.297913585849599</v>
      </c>
      <c r="AN1452">
        <v>0.99999998710837701</v>
      </c>
    </row>
    <row r="1453" spans="1:40" x14ac:dyDescent="0.25">
      <c r="A1453" t="str">
        <f>"20190305135220735"</f>
        <v>20190305135220735</v>
      </c>
      <c r="B1453" t="str">
        <f>"1551765140730560"</f>
        <v>1551765140730560</v>
      </c>
      <c r="C1453" t="s">
        <v>40</v>
      </c>
      <c r="D1453">
        <v>4.5815659999999996</v>
      </c>
      <c r="E1453">
        <v>0.51262509999999994</v>
      </c>
      <c r="F1453" t="s">
        <v>41</v>
      </c>
      <c r="G1453">
        <v>-191.74209999999999</v>
      </c>
      <c r="H1453">
        <v>0.94253129999999996</v>
      </c>
      <c r="I1453">
        <v>336.70569999999998</v>
      </c>
      <c r="J1453">
        <v>-191.69280000000001</v>
      </c>
      <c r="K1453">
        <v>1.108517</v>
      </c>
      <c r="L1453">
        <v>337.31420000000003</v>
      </c>
      <c r="M1453">
        <v>8.9287820000000004E-2</v>
      </c>
      <c r="N1453">
        <v>-1.3390829999999999E-2</v>
      </c>
      <c r="O1453">
        <v>-0.99591600000000002</v>
      </c>
      <c r="P1453">
        <v>-9.5095049999999997E-3</v>
      </c>
      <c r="Q1453">
        <v>-8.6902240000000006E-2</v>
      </c>
      <c r="R1453">
        <v>-0.99617149999999999</v>
      </c>
      <c r="S1453">
        <v>-0.13842769999999999</v>
      </c>
      <c r="T1453">
        <v>-0.6347235</v>
      </c>
      <c r="U1453">
        <v>-2.9544679999999999</v>
      </c>
      <c r="V1453">
        <v>9.8269570000000001E-2</v>
      </c>
      <c r="W1453">
        <v>-7.3827509999999999E-2</v>
      </c>
      <c r="X1453">
        <v>0.99241760000000001</v>
      </c>
      <c r="Y1453">
        <v>0.1347006</v>
      </c>
      <c r="Z1453">
        <v>0.19458420000000001</v>
      </c>
      <c r="AA1453">
        <v>0.97159289999999998</v>
      </c>
      <c r="AB1453">
        <v>18</v>
      </c>
      <c r="AC1453">
        <v>-4.9299999999988103E-2</v>
      </c>
      <c r="AD1453">
        <v>-0.16598570000000001</v>
      </c>
      <c r="AE1453">
        <v>-0.608500000000049</v>
      </c>
      <c r="AF1453">
        <v>9.6319353708283206E-2</v>
      </c>
      <c r="AG1453">
        <v>-0.16598570000000001</v>
      </c>
      <c r="AH1453">
        <v>0.56025145950823696</v>
      </c>
      <c r="AI1453">
        <v>106.277080893253</v>
      </c>
      <c r="AJ1453">
        <v>80.244979084951694</v>
      </c>
      <c r="AK1453">
        <v>0.59220804484942702</v>
      </c>
      <c r="AL1453">
        <v>94.233856580992494</v>
      </c>
      <c r="AM1453">
        <v>84.344984481780202</v>
      </c>
      <c r="AN1453">
        <v>1.00000005120527</v>
      </c>
    </row>
    <row r="1454" spans="1:40" x14ac:dyDescent="0.25">
      <c r="A1454" t="str">
        <f>"20190305135220757"</f>
        <v>20190305135220757</v>
      </c>
      <c r="B1454" t="str">
        <f>"1551765140751056"</f>
        <v>1551765140751056</v>
      </c>
      <c r="C1454" t="s">
        <v>40</v>
      </c>
      <c r="D1454">
        <v>4.601871</v>
      </c>
      <c r="E1454">
        <v>0.51310739999999999</v>
      </c>
      <c r="F1454" t="s">
        <v>41</v>
      </c>
      <c r="G1454">
        <v>-191.73060000000001</v>
      </c>
      <c r="H1454">
        <v>0.9444188</v>
      </c>
      <c r="I1454">
        <v>336.54430000000002</v>
      </c>
      <c r="J1454">
        <v>-191.6788</v>
      </c>
      <c r="K1454">
        <v>1.10854599999999</v>
      </c>
      <c r="L1454">
        <v>337.13409999999999</v>
      </c>
      <c r="M1454">
        <v>8.7566850000000002E-2</v>
      </c>
      <c r="N1454">
        <v>-1.3388219999999999E-2</v>
      </c>
      <c r="O1454">
        <v>-0.99606870000000003</v>
      </c>
      <c r="P1454">
        <v>-1.1365129999999999E-2</v>
      </c>
      <c r="Q1454">
        <v>-8.5495810000000005E-2</v>
      </c>
      <c r="R1454">
        <v>-0.99627359999999998</v>
      </c>
      <c r="S1454">
        <v>-0.14427190000000001</v>
      </c>
      <c r="T1454">
        <v>-0.62990579999999996</v>
      </c>
      <c r="U1454">
        <v>-2.9552</v>
      </c>
      <c r="V1454">
        <v>9.842012E-2</v>
      </c>
      <c r="W1454">
        <v>-7.2418289999999996E-2</v>
      </c>
      <c r="X1454">
        <v>0.99250640000000001</v>
      </c>
      <c r="Y1454">
        <v>0.1349108</v>
      </c>
      <c r="Z1454">
        <v>0.19306000000000001</v>
      </c>
      <c r="AA1454">
        <v>0.9718677</v>
      </c>
      <c r="AB1454">
        <v>18</v>
      </c>
      <c r="AC1454">
        <v>-5.1800000000014203E-2</v>
      </c>
      <c r="AD1454">
        <v>-0.164127199999999</v>
      </c>
      <c r="AE1454">
        <v>-0.58979999999996802</v>
      </c>
      <c r="AF1454">
        <v>9.5884325773979096E-2</v>
      </c>
      <c r="AG1454">
        <v>-0.164127199999999</v>
      </c>
      <c r="AH1454">
        <v>0.541394256248795</v>
      </c>
      <c r="AI1454">
        <v>106.62094438190699</v>
      </c>
      <c r="AJ1454">
        <v>79.956701285723895</v>
      </c>
      <c r="AK1454">
        <v>0.57379376295682805</v>
      </c>
      <c r="AL1454">
        <v>94.152897944192603</v>
      </c>
      <c r="AM1454">
        <v>84.336880654389304</v>
      </c>
      <c r="AN1454">
        <v>0.99999994139414705</v>
      </c>
    </row>
    <row r="1455" spans="1:40" x14ac:dyDescent="0.25">
      <c r="A1455" t="str">
        <f>"20190305135220781"</f>
        <v>20190305135220781</v>
      </c>
      <c r="B1455" t="str">
        <f>"1551765140770576"</f>
        <v>1551765140770576</v>
      </c>
      <c r="C1455" t="s">
        <v>40</v>
      </c>
      <c r="D1455">
        <v>4.5807589999999996</v>
      </c>
      <c r="E1455">
        <v>0.51347619999999905</v>
      </c>
      <c r="F1455" t="s">
        <v>41</v>
      </c>
      <c r="G1455">
        <v>-191.71789999999999</v>
      </c>
      <c r="H1455">
        <v>0.94957849999999999</v>
      </c>
      <c r="I1455">
        <v>336.3818</v>
      </c>
      <c r="J1455">
        <v>-191.66460000000001</v>
      </c>
      <c r="K1455">
        <v>1.1085719999999999</v>
      </c>
      <c r="L1455">
        <v>336.94819999999999</v>
      </c>
      <c r="M1455">
        <v>8.5840219999999995E-2</v>
      </c>
      <c r="N1455">
        <v>-1.3385330000000001E-2</v>
      </c>
      <c r="O1455">
        <v>-0.99621899999999997</v>
      </c>
      <c r="P1455">
        <v>-1.345671E-2</v>
      </c>
      <c r="Q1455">
        <v>-8.570564E-2</v>
      </c>
      <c r="R1455">
        <v>-0.99622960000000005</v>
      </c>
      <c r="S1455">
        <v>-0.15364069999999999</v>
      </c>
      <c r="T1455">
        <v>-0.62467830000000002</v>
      </c>
      <c r="U1455">
        <v>-2.955902</v>
      </c>
      <c r="V1455">
        <v>9.8787070000000005E-2</v>
      </c>
      <c r="W1455">
        <v>-7.2624359999999999E-2</v>
      </c>
      <c r="X1455">
        <v>0.99245490000000003</v>
      </c>
      <c r="Y1455">
        <v>0.1362718</v>
      </c>
      <c r="Z1455">
        <v>0.19138369999999999</v>
      </c>
      <c r="AA1455">
        <v>0.97200940000000002</v>
      </c>
      <c r="AB1455">
        <v>18</v>
      </c>
      <c r="AC1455">
        <v>-5.3299999999978802E-2</v>
      </c>
      <c r="AD1455">
        <v>-0.15899349999999901</v>
      </c>
      <c r="AE1455">
        <v>-0.56639999999998702</v>
      </c>
      <c r="AF1455">
        <v>9.4357609191896494E-2</v>
      </c>
      <c r="AG1455">
        <v>-0.15899349999999901</v>
      </c>
      <c r="AH1455">
        <v>0.51918215917653099</v>
      </c>
      <c r="AI1455">
        <v>106.76769698343099</v>
      </c>
      <c r="AJ1455">
        <v>79.699335518655403</v>
      </c>
      <c r="AK1455">
        <v>0.55111923016881303</v>
      </c>
      <c r="AL1455">
        <v>94.164735997897694</v>
      </c>
      <c r="AM1455">
        <v>84.315611241191803</v>
      </c>
      <c r="AN1455">
        <v>0.999999955699301</v>
      </c>
    </row>
    <row r="1456" spans="1:40" x14ac:dyDescent="0.25">
      <c r="A1456" t="str">
        <f>"20190305135220802"</f>
        <v>20190305135220802</v>
      </c>
      <c r="B1456" t="str">
        <f>"1551765140791072"</f>
        <v>1551765140791072</v>
      </c>
      <c r="C1456" t="s">
        <v>40</v>
      </c>
      <c r="D1456">
        <v>4.5455579999999998</v>
      </c>
      <c r="E1456">
        <v>0.51382190000000005</v>
      </c>
      <c r="F1456" t="s">
        <v>41</v>
      </c>
      <c r="G1456">
        <v>-191.70500000000001</v>
      </c>
      <c r="H1456">
        <v>0.9549955</v>
      </c>
      <c r="I1456">
        <v>336.21940000000001</v>
      </c>
      <c r="J1456">
        <v>-191.6515</v>
      </c>
      <c r="K1456">
        <v>1.108611</v>
      </c>
      <c r="L1456">
        <v>336.7747</v>
      </c>
      <c r="M1456">
        <v>8.4296189999999993E-2</v>
      </c>
      <c r="N1456">
        <v>-1.338218E-2</v>
      </c>
      <c r="O1456">
        <v>-0.99635110000000005</v>
      </c>
      <c r="P1456">
        <v>-1.499524E-2</v>
      </c>
      <c r="Q1456">
        <v>-8.6912349999999999E-2</v>
      </c>
      <c r="R1456">
        <v>-0.99610359999999998</v>
      </c>
      <c r="S1456">
        <v>-0.16288759999999999</v>
      </c>
      <c r="T1456">
        <v>-0.62277360000000004</v>
      </c>
      <c r="U1456">
        <v>-2.9555660000000001</v>
      </c>
      <c r="V1456">
        <v>9.8779080000000005E-2</v>
      </c>
      <c r="W1456">
        <v>-7.3823860000000005E-2</v>
      </c>
      <c r="X1456">
        <v>0.9923672</v>
      </c>
      <c r="Y1456">
        <v>0.13777909999999999</v>
      </c>
      <c r="Z1456">
        <v>0.1908115</v>
      </c>
      <c r="AA1456">
        <v>0.97190940000000003</v>
      </c>
      <c r="AB1456">
        <v>18</v>
      </c>
      <c r="AC1456">
        <v>-5.35000000000138E-2</v>
      </c>
      <c r="AD1456">
        <v>-0.15361549999999999</v>
      </c>
      <c r="AE1456">
        <v>-0.55529999999998803</v>
      </c>
      <c r="AF1456">
        <v>9.3066780438824506E-2</v>
      </c>
      <c r="AG1456">
        <v>-0.15361549999999999</v>
      </c>
      <c r="AH1456">
        <v>0.51013302338522004</v>
      </c>
      <c r="AI1456">
        <v>106.501333548242</v>
      </c>
      <c r="AJ1456">
        <v>79.660875092382597</v>
      </c>
      <c r="AK1456">
        <v>0.54082792920636402</v>
      </c>
      <c r="AL1456">
        <v>94.233647247790799</v>
      </c>
      <c r="AM1456">
        <v>84.315568964469904</v>
      </c>
      <c r="AN1456">
        <v>0.999999964293392</v>
      </c>
    </row>
    <row r="1457" spans="1:40" x14ac:dyDescent="0.25">
      <c r="A1457" t="str">
        <f>"20190305135220824"</f>
        <v>20190305135220824</v>
      </c>
      <c r="B1457" t="str">
        <f>"1551765140811585"</f>
        <v>1551765140811585</v>
      </c>
      <c r="C1457" t="s">
        <v>40</v>
      </c>
      <c r="D1457">
        <v>4.5328689999999998</v>
      </c>
      <c r="E1457">
        <v>0.51413969999999998</v>
      </c>
      <c r="F1457" t="s">
        <v>41</v>
      </c>
      <c r="G1457">
        <v>-191.69300000000001</v>
      </c>
      <c r="H1457">
        <v>0.95715950000000005</v>
      </c>
      <c r="I1457">
        <v>336.05869999999999</v>
      </c>
      <c r="J1457">
        <v>-191.63900000000001</v>
      </c>
      <c r="K1457">
        <v>1.108665</v>
      </c>
      <c r="L1457">
        <v>336.60570000000001</v>
      </c>
      <c r="M1457">
        <v>8.2876909999999998E-2</v>
      </c>
      <c r="N1457">
        <v>-1.337877E-2</v>
      </c>
      <c r="O1457">
        <v>-0.99646999999999997</v>
      </c>
      <c r="P1457">
        <v>-1.6483589999999999E-2</v>
      </c>
      <c r="Q1457">
        <v>-8.7892360000000003E-2</v>
      </c>
      <c r="R1457">
        <v>-0.99599389999999999</v>
      </c>
      <c r="S1457">
        <v>-0.1707611</v>
      </c>
      <c r="T1457">
        <v>-0.62493920000000003</v>
      </c>
      <c r="U1457">
        <v>-2.9546510000000001</v>
      </c>
      <c r="V1457">
        <v>9.8850579999999993E-2</v>
      </c>
      <c r="W1457">
        <v>-7.4793670000000007E-2</v>
      </c>
      <c r="X1457">
        <v>0.99228749999999999</v>
      </c>
      <c r="Y1457">
        <v>0.13895579999999999</v>
      </c>
      <c r="Z1457">
        <v>0.19156039999999999</v>
      </c>
      <c r="AA1457">
        <v>0.97159450000000003</v>
      </c>
      <c r="AB1457">
        <v>18</v>
      </c>
      <c r="AC1457">
        <v>-5.3999999999973597E-2</v>
      </c>
      <c r="AD1457">
        <v>-0.15150549999999999</v>
      </c>
      <c r="AE1457">
        <v>-0.54700000000002502</v>
      </c>
      <c r="AF1457">
        <v>9.2150776163112805E-2</v>
      </c>
      <c r="AG1457">
        <v>-0.15150549999999999</v>
      </c>
      <c r="AH1457">
        <v>0.50246721838947495</v>
      </c>
      <c r="AI1457">
        <v>106.519136018738</v>
      </c>
      <c r="AJ1457">
        <v>79.607635550492603</v>
      </c>
      <c r="AK1457">
        <v>0.53284048985955501</v>
      </c>
      <c r="AL1457">
        <v>94.289367141088306</v>
      </c>
      <c r="AM1457">
        <v>84.311027434463796</v>
      </c>
      <c r="AN1457">
        <v>1.00000000644732</v>
      </c>
    </row>
    <row r="1458" spans="1:40" x14ac:dyDescent="0.25">
      <c r="A1458" t="str">
        <f>"20190305135220848"</f>
        <v>20190305135220848</v>
      </c>
      <c r="B1458" t="str">
        <f>"1551765140840849"</f>
        <v>1551765140840849</v>
      </c>
      <c r="C1458" t="s">
        <v>40</v>
      </c>
      <c r="D1458">
        <v>4.5309599999999897</v>
      </c>
      <c r="E1458">
        <v>0.51456820000000003</v>
      </c>
      <c r="F1458" t="s">
        <v>41</v>
      </c>
      <c r="G1458">
        <v>-191.68170000000001</v>
      </c>
      <c r="H1458">
        <v>0.95848560000000005</v>
      </c>
      <c r="I1458">
        <v>335.89859999999999</v>
      </c>
      <c r="J1458">
        <v>-191.62459999999999</v>
      </c>
      <c r="K1458">
        <v>1.108744</v>
      </c>
      <c r="L1458">
        <v>336.40899999999999</v>
      </c>
      <c r="M1458">
        <v>8.1361310000000006E-2</v>
      </c>
      <c r="N1458">
        <v>-1.3374459999999999E-2</v>
      </c>
      <c r="O1458">
        <v>-0.99659509999999996</v>
      </c>
      <c r="P1458">
        <v>-1.8524120000000002E-2</v>
      </c>
      <c r="Q1458">
        <v>-8.8788290000000006E-2</v>
      </c>
      <c r="R1458">
        <v>-0.99587829999999999</v>
      </c>
      <c r="S1458">
        <v>-0.17773439999999999</v>
      </c>
      <c r="T1458">
        <v>-0.62728099999999998</v>
      </c>
      <c r="U1458">
        <v>-2.9537960000000001</v>
      </c>
      <c r="V1458">
        <v>9.9381890000000001E-2</v>
      </c>
      <c r="W1458">
        <v>-7.5675300000000001E-2</v>
      </c>
      <c r="X1458">
        <v>0.99216760000000004</v>
      </c>
      <c r="Y1458">
        <v>0.13974049999999999</v>
      </c>
      <c r="Z1458">
        <v>0.1923704</v>
      </c>
      <c r="AA1458">
        <v>0.97132189999999996</v>
      </c>
      <c r="AB1458">
        <v>18</v>
      </c>
      <c r="AC1458">
        <v>-5.71000000000196E-2</v>
      </c>
      <c r="AD1458">
        <v>-0.15025839999999999</v>
      </c>
      <c r="AE1458">
        <v>-0.51040000000000396</v>
      </c>
      <c r="AF1458">
        <v>9.0679371790618205E-2</v>
      </c>
      <c r="AG1458">
        <v>-0.15025839999999999</v>
      </c>
      <c r="AH1458">
        <v>0.464317588503044</v>
      </c>
      <c r="AI1458">
        <v>107.620421158714</v>
      </c>
      <c r="AJ1458">
        <v>78.949453139696601</v>
      </c>
      <c r="AK1458">
        <v>0.49637803963529997</v>
      </c>
      <c r="AL1458">
        <v>94.340024292601896</v>
      </c>
      <c r="AM1458">
        <v>84.279965492049001</v>
      </c>
      <c r="AN1458">
        <v>1.00000002878991</v>
      </c>
    </row>
    <row r="1459" spans="1:40" x14ac:dyDescent="0.25">
      <c r="A1459" t="str">
        <f>"20190305135220880"</f>
        <v>20190305135220880</v>
      </c>
      <c r="B1459" t="str">
        <f>"1551765140871104"</f>
        <v>1551765140871104</v>
      </c>
      <c r="C1459" t="s">
        <v>40</v>
      </c>
      <c r="D1459">
        <v>4.517131</v>
      </c>
      <c r="E1459">
        <v>0.51496600000000003</v>
      </c>
      <c r="F1459" t="s">
        <v>41</v>
      </c>
      <c r="G1459">
        <v>-191.67660000000001</v>
      </c>
      <c r="H1459">
        <v>0.93439499999999998</v>
      </c>
      <c r="I1459">
        <v>335.59010000000001</v>
      </c>
      <c r="J1459">
        <v>-191.60589999999999</v>
      </c>
      <c r="K1459">
        <v>1.1088469999999999</v>
      </c>
      <c r="L1459">
        <v>336.15190000000001</v>
      </c>
      <c r="M1459">
        <v>7.9613980000000001E-2</v>
      </c>
      <c r="N1459">
        <v>-1.336877E-2</v>
      </c>
      <c r="O1459">
        <v>-0.99673630000000002</v>
      </c>
      <c r="P1459">
        <v>-2.03617E-2</v>
      </c>
      <c r="Q1459">
        <v>-8.8501220000000005E-2</v>
      </c>
      <c r="R1459">
        <v>-0.99586810000000003</v>
      </c>
      <c r="S1459">
        <v>-0.18713379999999999</v>
      </c>
      <c r="T1459">
        <v>-0.62862489999999904</v>
      </c>
      <c r="U1459">
        <v>-2.9528500000000002</v>
      </c>
      <c r="V1459">
        <v>9.9497619999999995E-2</v>
      </c>
      <c r="W1459">
        <v>-7.536474E-2</v>
      </c>
      <c r="X1459">
        <v>0.99217960000000005</v>
      </c>
      <c r="Y1459">
        <v>0.141095</v>
      </c>
      <c r="Z1459">
        <v>0.19286490000000001</v>
      </c>
      <c r="AA1459">
        <v>0.971028</v>
      </c>
      <c r="AB1459">
        <v>18</v>
      </c>
      <c r="AC1459">
        <v>-7.0700000000016403E-2</v>
      </c>
      <c r="AD1459">
        <v>-0.174451999999999</v>
      </c>
      <c r="AE1459">
        <v>-0.56180000000000496</v>
      </c>
      <c r="AF1459">
        <v>0.105219114071906</v>
      </c>
      <c r="AG1459">
        <v>-0.174451999999999</v>
      </c>
      <c r="AH1459">
        <v>0.50632599017473001</v>
      </c>
      <c r="AI1459">
        <v>108.64120094707199</v>
      </c>
      <c r="AJ1459">
        <v>78.260504719633701</v>
      </c>
      <c r="AK1459">
        <v>0.54577520152210801</v>
      </c>
      <c r="AL1459">
        <v>94.322179726264395</v>
      </c>
      <c r="AM1459">
        <v>84.273417572204806</v>
      </c>
      <c r="AN1459">
        <v>0.99999998953854596</v>
      </c>
    </row>
    <row r="1460" spans="1:40" x14ac:dyDescent="0.25">
      <c r="A1460" t="str">
        <f>"20190305135220905"</f>
        <v>20190305135220905</v>
      </c>
      <c r="B1460" t="str">
        <f>"1551765140901361"</f>
        <v>1551765140901361</v>
      </c>
      <c r="C1460" t="s">
        <v>40</v>
      </c>
      <c r="D1460">
        <v>4.4111589999999996</v>
      </c>
      <c r="E1460">
        <v>0.51536419999999905</v>
      </c>
      <c r="F1460" t="s">
        <v>41</v>
      </c>
      <c r="G1460">
        <v>-191.6542</v>
      </c>
      <c r="H1460">
        <v>0.95434430000000003</v>
      </c>
      <c r="I1460">
        <v>335.42309999999998</v>
      </c>
      <c r="J1460">
        <v>-191.59200000000001</v>
      </c>
      <c r="K1460">
        <v>1.1089150000000001</v>
      </c>
      <c r="L1460">
        <v>335.95940000000002</v>
      </c>
      <c r="M1460">
        <v>7.8459059999999997E-2</v>
      </c>
      <c r="N1460">
        <v>-1.336449E-2</v>
      </c>
      <c r="O1460">
        <v>-0.99682769999999998</v>
      </c>
      <c r="P1460">
        <v>-2.1500689999999999E-2</v>
      </c>
      <c r="Q1460">
        <v>-8.8564680000000007E-2</v>
      </c>
      <c r="R1460">
        <v>-0.99583829999999995</v>
      </c>
      <c r="S1460">
        <v>-0.19525149999999999</v>
      </c>
      <c r="T1460">
        <v>-0.6260751</v>
      </c>
      <c r="U1460">
        <v>-2.95282</v>
      </c>
      <c r="V1460">
        <v>9.9496479999999998E-2</v>
      </c>
      <c r="W1460">
        <v>-7.5413759999999996E-2</v>
      </c>
      <c r="X1460">
        <v>0.99217599999999995</v>
      </c>
      <c r="Y1460">
        <v>0.1426161</v>
      </c>
      <c r="Z1460">
        <v>0.19205649999999999</v>
      </c>
      <c r="AA1460">
        <v>0.970966</v>
      </c>
      <c r="AB1460">
        <v>18</v>
      </c>
      <c r="AC1460">
        <v>-6.2199999999989999E-2</v>
      </c>
      <c r="AD1460">
        <v>-0.15457069999999901</v>
      </c>
      <c r="AE1460">
        <v>-0.53630000000003897</v>
      </c>
      <c r="AF1460">
        <v>9.62040765353607E-2</v>
      </c>
      <c r="AG1460">
        <v>-0.15457069999999901</v>
      </c>
      <c r="AH1460">
        <v>0.489632471325681</v>
      </c>
      <c r="AI1460">
        <v>107.211127373094</v>
      </c>
      <c r="AJ1460">
        <v>78.883999674108594</v>
      </c>
      <c r="AK1460">
        <v>0.52238614320922205</v>
      </c>
      <c r="AL1460">
        <v>94.324996336401</v>
      </c>
      <c r="AM1460">
        <v>84.273462108855895</v>
      </c>
      <c r="AN1460">
        <v>0.99999999985286303</v>
      </c>
    </row>
    <row r="1461" spans="1:40" x14ac:dyDescent="0.25">
      <c r="A1461" t="str">
        <f>"20190305135220928"</f>
        <v>20190305135220928</v>
      </c>
      <c r="B1461" t="str">
        <f>"1551765140920881"</f>
        <v>1551765140920881</v>
      </c>
      <c r="C1461" t="s">
        <v>40</v>
      </c>
      <c r="D1461">
        <v>4.5087039999999998</v>
      </c>
      <c r="E1461">
        <v>0.51562109999999906</v>
      </c>
      <c r="F1461" t="s">
        <v>41</v>
      </c>
      <c r="G1461">
        <v>-191.63990000000001</v>
      </c>
      <c r="H1461">
        <v>0.96110510000000005</v>
      </c>
      <c r="I1461">
        <v>335.26170000000002</v>
      </c>
      <c r="J1461">
        <v>-191.57900000000001</v>
      </c>
      <c r="K1461">
        <v>1.108968</v>
      </c>
      <c r="L1461">
        <v>335.77870000000001</v>
      </c>
      <c r="M1461">
        <v>7.7517379999999997E-2</v>
      </c>
      <c r="N1461">
        <v>-1.3356750000000001E-2</v>
      </c>
      <c r="O1461">
        <v>-0.99690179999999995</v>
      </c>
      <c r="P1461">
        <v>-2.2088940000000001E-2</v>
      </c>
      <c r="Q1461">
        <v>-8.9989970000000002E-2</v>
      </c>
      <c r="R1461">
        <v>-0.99569810000000003</v>
      </c>
      <c r="S1461">
        <v>-0.20164489999999999</v>
      </c>
      <c r="T1461">
        <v>-0.62567259999999902</v>
      </c>
      <c r="U1461">
        <v>-2.9525450000000002</v>
      </c>
      <c r="V1461">
        <v>9.914589E-2</v>
      </c>
      <c r="W1461">
        <v>-7.6832520000000001E-2</v>
      </c>
      <c r="X1461">
        <v>0.99210229999999999</v>
      </c>
      <c r="Y1461">
        <v>0.14378009999999999</v>
      </c>
      <c r="Z1461">
        <v>0.1919459</v>
      </c>
      <c r="AA1461">
        <v>0.97081620000000002</v>
      </c>
      <c r="AB1461">
        <v>18</v>
      </c>
      <c r="AC1461">
        <v>-6.0900000000003701E-2</v>
      </c>
      <c r="AD1461">
        <v>-0.14786289999999999</v>
      </c>
      <c r="AE1461">
        <v>-0.51699999999999502</v>
      </c>
      <c r="AF1461">
        <v>9.3271827409195901E-2</v>
      </c>
      <c r="AG1461">
        <v>-0.14786289999999999</v>
      </c>
      <c r="AH1461">
        <v>0.47259503611061299</v>
      </c>
      <c r="AI1461">
        <v>107.06404642830999</v>
      </c>
      <c r="AJ1461">
        <v>78.835529252379104</v>
      </c>
      <c r="AK1461">
        <v>0.50389397609125297</v>
      </c>
      <c r="AL1461">
        <v>94.406521596406506</v>
      </c>
      <c r="AM1461">
        <v>84.293085852833997</v>
      </c>
      <c r="AN1461">
        <v>1.00000005864936</v>
      </c>
    </row>
    <row r="1462" spans="1:40" x14ac:dyDescent="0.25">
      <c r="A1462" t="str">
        <f>"20190305135220947"</f>
        <v>20190305135220947</v>
      </c>
      <c r="B1462" t="str">
        <f>"1551765140941377"</f>
        <v>1551765140941377</v>
      </c>
      <c r="C1462" t="s">
        <v>40</v>
      </c>
      <c r="D1462">
        <v>4.5559329999999996</v>
      </c>
      <c r="E1462">
        <v>0.51569179999999903</v>
      </c>
      <c r="F1462" t="s">
        <v>41</v>
      </c>
      <c r="G1462">
        <v>-191.63659999999999</v>
      </c>
      <c r="H1462">
        <v>0.93390050000000002</v>
      </c>
      <c r="I1462">
        <v>334.95639999999997</v>
      </c>
      <c r="J1462">
        <v>-191.56809999999999</v>
      </c>
      <c r="K1462">
        <v>1.1090150000000001</v>
      </c>
      <c r="L1462">
        <v>335.62619999999998</v>
      </c>
      <c r="M1462">
        <v>7.6804990000000004E-2</v>
      </c>
      <c r="N1462">
        <v>-1.3322789999999999E-2</v>
      </c>
      <c r="O1462">
        <v>-0.99695739999999999</v>
      </c>
      <c r="P1462">
        <v>-2.1734420000000001E-2</v>
      </c>
      <c r="Q1462">
        <v>-9.0858599999999998E-2</v>
      </c>
      <c r="R1462">
        <v>-0.99562669999999998</v>
      </c>
      <c r="S1462">
        <v>-0.2057495</v>
      </c>
      <c r="T1462">
        <v>-0.62837430000000005</v>
      </c>
      <c r="U1462">
        <v>-2.9516300000000002</v>
      </c>
      <c r="V1462">
        <v>9.8086419999999994E-2</v>
      </c>
      <c r="W1462">
        <v>-7.7722799999999995E-2</v>
      </c>
      <c r="X1462">
        <v>0.99213819999999997</v>
      </c>
      <c r="Y1462">
        <v>0.14442289999999999</v>
      </c>
      <c r="Z1462">
        <v>0.19288759999999999</v>
      </c>
      <c r="AA1462">
        <v>0.97053409999999996</v>
      </c>
      <c r="AB1462">
        <v>18</v>
      </c>
      <c r="AC1462">
        <v>-6.85000000000002E-2</v>
      </c>
      <c r="AD1462">
        <v>-0.17511449999999901</v>
      </c>
      <c r="AE1462">
        <v>-0.66980000000000905</v>
      </c>
      <c r="AF1462">
        <v>0.112159160268332</v>
      </c>
      <c r="AG1462">
        <v>-0.17511449999999901</v>
      </c>
      <c r="AH1462">
        <v>0.62058042559978199</v>
      </c>
      <c r="AI1462">
        <v>105.51890492731501</v>
      </c>
      <c r="AJ1462">
        <v>79.755369743146204</v>
      </c>
      <c r="AK1462">
        <v>0.65449585940627197</v>
      </c>
      <c r="AL1462">
        <v>94.457684167128704</v>
      </c>
      <c r="AM1462">
        <v>84.353876584699194</v>
      </c>
      <c r="AN1462">
        <v>0.99999999366374803</v>
      </c>
    </row>
    <row r="1463" spans="1:40" x14ac:dyDescent="0.25">
      <c r="A1463" t="str">
        <f>"20190305135220970"</f>
        <v>20190305135220970</v>
      </c>
      <c r="B1463" t="str">
        <f>"1551765140960897"</f>
        <v>1551765140960897</v>
      </c>
      <c r="C1463" t="s">
        <v>40</v>
      </c>
      <c r="D1463">
        <v>4.3970649999999996</v>
      </c>
      <c r="E1463">
        <v>0.51569679999999996</v>
      </c>
      <c r="F1463" t="s">
        <v>41</v>
      </c>
      <c r="G1463">
        <v>-191.62569999999999</v>
      </c>
      <c r="H1463">
        <v>0.93200249999999996</v>
      </c>
      <c r="I1463">
        <v>334.79930000000002</v>
      </c>
      <c r="J1463">
        <v>-191.55500000000001</v>
      </c>
      <c r="K1463">
        <v>1.109043</v>
      </c>
      <c r="L1463">
        <v>335.4425</v>
      </c>
      <c r="M1463">
        <v>7.6020619999999997E-2</v>
      </c>
      <c r="N1463">
        <v>-1.324139E-2</v>
      </c>
      <c r="O1463">
        <v>-0.99701850000000003</v>
      </c>
      <c r="P1463">
        <v>-2.1279289999999999E-2</v>
      </c>
      <c r="Q1463">
        <v>-9.0368530000000002E-2</v>
      </c>
      <c r="R1463">
        <v>-0.9956815</v>
      </c>
      <c r="S1463">
        <v>-0.2052155</v>
      </c>
      <c r="T1463">
        <v>-0.6317123</v>
      </c>
      <c r="U1463">
        <v>-2.951111</v>
      </c>
      <c r="V1463">
        <v>9.6864160000000005E-2</v>
      </c>
      <c r="W1463">
        <v>-7.730178E-2</v>
      </c>
      <c r="X1463">
        <v>0.99229120000000004</v>
      </c>
      <c r="Y1463">
        <v>0.14346700000000001</v>
      </c>
      <c r="Z1463">
        <v>0.19408690000000001</v>
      </c>
      <c r="AA1463">
        <v>0.97043679999999999</v>
      </c>
      <c r="AB1463">
        <v>18</v>
      </c>
      <c r="AC1463">
        <v>-7.0699999999987995E-2</v>
      </c>
      <c r="AD1463">
        <v>-0.17704049999999999</v>
      </c>
      <c r="AE1463">
        <v>-0.64319999999997801</v>
      </c>
      <c r="AF1463">
        <v>0.111080843093584</v>
      </c>
      <c r="AG1463">
        <v>-0.17704049999999999</v>
      </c>
      <c r="AH1463">
        <v>0.59167198624681205</v>
      </c>
      <c r="AI1463">
        <v>106.387706423087</v>
      </c>
      <c r="AJ1463">
        <v>79.367029114303094</v>
      </c>
      <c r="AK1463">
        <v>0.627501419641326</v>
      </c>
      <c r="AL1463">
        <v>94.433488549988397</v>
      </c>
      <c r="AM1463">
        <v>84.424641395615296</v>
      </c>
      <c r="AN1463">
        <v>1.0000000281405499</v>
      </c>
    </row>
    <row r="1464" spans="1:40" x14ac:dyDescent="0.25">
      <c r="A1464" t="str">
        <f>"20190305135220992"</f>
        <v>20190305135220992</v>
      </c>
      <c r="B1464" t="str">
        <f>"1551765140981396"</f>
        <v>1551765140981396</v>
      </c>
      <c r="C1464" t="s">
        <v>40</v>
      </c>
      <c r="D1464">
        <v>4.5077020000000001</v>
      </c>
      <c r="E1464">
        <v>0.51593559999999905</v>
      </c>
      <c r="F1464" t="s">
        <v>41</v>
      </c>
      <c r="G1464">
        <v>-191.61080000000001</v>
      </c>
      <c r="H1464">
        <v>0.93669020000000003</v>
      </c>
      <c r="I1464">
        <v>334.6395</v>
      </c>
      <c r="J1464">
        <v>-191.54259999999999</v>
      </c>
      <c r="K1464">
        <v>1.1090359999999999</v>
      </c>
      <c r="L1464">
        <v>335.26819999999998</v>
      </c>
      <c r="M1464">
        <v>7.5302330000000001E-2</v>
      </c>
      <c r="N1464">
        <v>-1.3119749999999999E-2</v>
      </c>
      <c r="O1464">
        <v>-0.99707440000000003</v>
      </c>
      <c r="P1464">
        <v>-2.0729460000000002E-2</v>
      </c>
      <c r="Q1464">
        <v>-8.8947399999999996E-2</v>
      </c>
      <c r="R1464">
        <v>-0.99582079999999995</v>
      </c>
      <c r="S1464">
        <v>-0.20411679999999999</v>
      </c>
      <c r="T1464">
        <v>-0.63346669999999905</v>
      </c>
      <c r="U1464">
        <v>-2.9511720000000001</v>
      </c>
      <c r="V1464">
        <v>9.561559E-2</v>
      </c>
      <c r="W1464">
        <v>-7.5994229999999996E-2</v>
      </c>
      <c r="X1464">
        <v>0.99251319999999998</v>
      </c>
      <c r="Y1464">
        <v>0.14238679999999901</v>
      </c>
      <c r="Z1464">
        <v>0.1947903</v>
      </c>
      <c r="AA1464">
        <v>0.97045490000000001</v>
      </c>
      <c r="AB1464">
        <v>18</v>
      </c>
      <c r="AC1464">
        <v>-6.8200000000018607E-2</v>
      </c>
      <c r="AD1464">
        <v>-0.17234579999999999</v>
      </c>
      <c r="AE1464">
        <v>-0.62869999999998005</v>
      </c>
      <c r="AF1464">
        <v>0.107377667872622</v>
      </c>
      <c r="AG1464">
        <v>-0.17234579999999999</v>
      </c>
      <c r="AH1464">
        <v>0.57878985529299798</v>
      </c>
      <c r="AI1464">
        <v>106.318631825235</v>
      </c>
      <c r="AJ1464">
        <v>79.489921757964296</v>
      </c>
      <c r="AK1464">
        <v>0.61337650340186001</v>
      </c>
      <c r="AL1464">
        <v>94.358350715671406</v>
      </c>
      <c r="AM1464">
        <v>84.497286632470207</v>
      </c>
      <c r="AN1464">
        <v>0.99999995810928899</v>
      </c>
    </row>
    <row r="1465" spans="1:40" x14ac:dyDescent="0.25">
      <c r="A1465" t="str">
        <f>"20190305135221012"</f>
        <v>20190305135221012</v>
      </c>
      <c r="B1465" t="str">
        <f>"1551765141000912"</f>
        <v>1551765141000912</v>
      </c>
      <c r="C1465" t="s">
        <v>40</v>
      </c>
      <c r="D1465">
        <v>4.4978619999999996</v>
      </c>
      <c r="E1465">
        <v>0.51603650000000001</v>
      </c>
      <c r="F1465" t="s">
        <v>41</v>
      </c>
      <c r="G1465">
        <v>-191.59719999999999</v>
      </c>
      <c r="H1465">
        <v>0.94135829999999998</v>
      </c>
      <c r="I1465">
        <v>334.47949999999997</v>
      </c>
      <c r="J1465">
        <v>-191.5316</v>
      </c>
      <c r="K1465">
        <v>1.1090169999999999</v>
      </c>
      <c r="L1465">
        <v>335.11149999999998</v>
      </c>
      <c r="M1465">
        <v>7.4654910000000005E-2</v>
      </c>
      <c r="N1465">
        <v>-1.2978079999999999E-2</v>
      </c>
      <c r="O1465">
        <v>-0.99712520000000004</v>
      </c>
      <c r="P1465">
        <v>-2.0789249999999999E-2</v>
      </c>
      <c r="Q1465">
        <v>-8.7312189999999998E-2</v>
      </c>
      <c r="R1465">
        <v>-0.99596410000000002</v>
      </c>
      <c r="S1465">
        <v>-0.20434569999999999</v>
      </c>
      <c r="T1465">
        <v>-0.62770249999999905</v>
      </c>
      <c r="U1465">
        <v>-2.9522710000000001</v>
      </c>
      <c r="V1465">
        <v>9.5042409999999994E-2</v>
      </c>
      <c r="W1465">
        <v>-7.4497540000000001E-2</v>
      </c>
      <c r="X1465">
        <v>0.9926817</v>
      </c>
      <c r="Y1465">
        <v>0.14182320000000001</v>
      </c>
      <c r="Z1465">
        <v>0.19306690000000001</v>
      </c>
      <c r="AA1465">
        <v>0.97088180000000002</v>
      </c>
      <c r="AB1465">
        <v>18</v>
      </c>
      <c r="AC1465">
        <v>-6.5599999999989195E-2</v>
      </c>
      <c r="AD1465">
        <v>-0.16765869999999899</v>
      </c>
      <c r="AE1465">
        <v>-0.632000000000005</v>
      </c>
      <c r="AF1465">
        <v>0.105273151258962</v>
      </c>
      <c r="AG1465">
        <v>-0.16765869999999899</v>
      </c>
      <c r="AH1465">
        <v>0.58463330723242402</v>
      </c>
      <c r="AI1465">
        <v>105.761013459015</v>
      </c>
      <c r="AJ1465">
        <v>79.792309352781004</v>
      </c>
      <c r="AK1465">
        <v>0.61724223768890296</v>
      </c>
      <c r="AL1465">
        <v>94.272352913869199</v>
      </c>
      <c r="AM1465">
        <v>84.530995542258495</v>
      </c>
      <c r="AN1465">
        <v>0.99999995033977296</v>
      </c>
    </row>
    <row r="1466" spans="1:40" x14ac:dyDescent="0.25">
      <c r="A1466" t="str">
        <f>"20190305135221037"</f>
        <v>20190305135221037</v>
      </c>
      <c r="B1466" t="str">
        <f>"1551765141031169"</f>
        <v>1551765141031169</v>
      </c>
      <c r="C1466" t="s">
        <v>40</v>
      </c>
      <c r="D1466">
        <v>4.5371600000000001</v>
      </c>
      <c r="E1466">
        <v>0.52395379999999903</v>
      </c>
      <c r="F1466" t="s">
        <v>41</v>
      </c>
      <c r="G1466">
        <v>-191.5865</v>
      </c>
      <c r="H1466">
        <v>0.94242729999999997</v>
      </c>
      <c r="I1466">
        <v>334.32080000000002</v>
      </c>
      <c r="J1466">
        <v>-191.5181</v>
      </c>
      <c r="K1466">
        <v>1.1089610000000001</v>
      </c>
      <c r="L1466">
        <v>334.91849999999999</v>
      </c>
      <c r="M1466">
        <v>7.3833770000000007E-2</v>
      </c>
      <c r="N1466">
        <v>-1.2785029999999999E-2</v>
      </c>
      <c r="O1466">
        <v>-0.99718859999999998</v>
      </c>
      <c r="P1466">
        <v>-2.1657940000000001E-2</v>
      </c>
      <c r="Q1466">
        <v>-8.6051929999999999E-2</v>
      </c>
      <c r="R1466">
        <v>-0.99605540000000004</v>
      </c>
      <c r="S1466">
        <v>-0.20491029999999999</v>
      </c>
      <c r="T1466">
        <v>-0.62225220000000003</v>
      </c>
      <c r="U1466">
        <v>-2.9533390000000002</v>
      </c>
      <c r="V1466">
        <v>9.5095209999999999E-2</v>
      </c>
      <c r="W1466">
        <v>-7.3433109999999996E-2</v>
      </c>
      <c r="X1466">
        <v>0.99275599999999997</v>
      </c>
      <c r="Y1466">
        <v>0.14119609999999999</v>
      </c>
      <c r="Z1466">
        <v>0.19149749999999999</v>
      </c>
      <c r="AA1466">
        <v>0.97128389999999998</v>
      </c>
      <c r="AB1466">
        <v>18</v>
      </c>
      <c r="AC1466">
        <v>-6.8399999999996894E-2</v>
      </c>
      <c r="AD1466">
        <v>-0.16653370000000001</v>
      </c>
      <c r="AE1466">
        <v>-0.59769999999997403</v>
      </c>
      <c r="AF1466">
        <v>0.104351118138063</v>
      </c>
      <c r="AG1466">
        <v>-0.16653370000000001</v>
      </c>
      <c r="AH1466">
        <v>0.54895260671525603</v>
      </c>
      <c r="AI1466">
        <v>106.595605871535</v>
      </c>
      <c r="AJ1466">
        <v>79.236983803186007</v>
      </c>
      <c r="AK1466">
        <v>0.58307083061308196</v>
      </c>
      <c r="AL1466">
        <v>94.211197845349403</v>
      </c>
      <c r="AM1466">
        <v>84.528382772342596</v>
      </c>
      <c r="AN1466">
        <v>0.99999999807260798</v>
      </c>
    </row>
    <row r="1467" spans="1:40" x14ac:dyDescent="0.25">
      <c r="A1467" t="str">
        <f>"20190305135221060"</f>
        <v>20190305135221060</v>
      </c>
      <c r="B1467" t="str">
        <f>"1551765141050689"</f>
        <v>1551765141050689</v>
      </c>
      <c r="C1467" t="s">
        <v>40</v>
      </c>
      <c r="D1467">
        <v>4.5341110000000002</v>
      </c>
      <c r="E1467">
        <v>0.52322979999999997</v>
      </c>
      <c r="F1467" t="s">
        <v>41</v>
      </c>
      <c r="G1467">
        <v>-191.58779999999999</v>
      </c>
      <c r="H1467">
        <v>0.96108249999999995</v>
      </c>
      <c r="I1467">
        <v>334.15219999999999</v>
      </c>
      <c r="J1467">
        <v>-191.50540000000001</v>
      </c>
      <c r="K1467">
        <v>1.108892</v>
      </c>
      <c r="L1467">
        <v>334.73430000000002</v>
      </c>
      <c r="M1467">
        <v>7.3004630000000001E-2</v>
      </c>
      <c r="N1467">
        <v>-1.2606600000000001E-2</v>
      </c>
      <c r="O1467">
        <v>-0.99725209999999997</v>
      </c>
      <c r="P1467">
        <v>-2.3135300000000001E-2</v>
      </c>
      <c r="Q1467">
        <v>-8.5933010000000004E-2</v>
      </c>
      <c r="R1467">
        <v>-0.99603240000000004</v>
      </c>
      <c r="S1467">
        <v>-0.26850889999999999</v>
      </c>
      <c r="T1467">
        <v>-0.57066539999999999</v>
      </c>
      <c r="U1467">
        <v>-2.9567570000000001</v>
      </c>
      <c r="V1467">
        <v>9.5734819999999998E-2</v>
      </c>
      <c r="W1467">
        <v>-7.3501940000000002E-2</v>
      </c>
      <c r="X1467">
        <v>0.99268940000000006</v>
      </c>
      <c r="Y1467">
        <v>0.1612981</v>
      </c>
      <c r="Z1467">
        <v>0.17470050000000001</v>
      </c>
      <c r="AA1467">
        <v>0.97131999999999996</v>
      </c>
      <c r="AB1467">
        <v>18</v>
      </c>
      <c r="AC1467">
        <v>-8.2399999999978393E-2</v>
      </c>
      <c r="AD1467">
        <v>-0.14780949999999901</v>
      </c>
      <c r="AE1467">
        <v>-0.58210000000002504</v>
      </c>
      <c r="AF1467">
        <v>0.1172668899215</v>
      </c>
      <c r="AG1467">
        <v>-0.14780949999999901</v>
      </c>
      <c r="AH1467">
        <v>0.54037287947257395</v>
      </c>
      <c r="AI1467">
        <v>104.96585125049199</v>
      </c>
      <c r="AJ1467">
        <v>77.756031315678996</v>
      </c>
      <c r="AK1467">
        <v>0.57236528601199499</v>
      </c>
      <c r="AL1467">
        <v>94.215152327447797</v>
      </c>
      <c r="AM1467">
        <v>84.491439008660507</v>
      </c>
      <c r="AN1467">
        <v>0.99999996790827705</v>
      </c>
    </row>
    <row r="1468" spans="1:40" x14ac:dyDescent="0.25">
      <c r="A1468" t="str">
        <f>"20190305135221082"</f>
        <v>20190305135221082</v>
      </c>
      <c r="B1468" t="str">
        <f>"1551765141071184"</f>
        <v>1551765141071184</v>
      </c>
      <c r="C1468" t="s">
        <v>40</v>
      </c>
      <c r="D1468">
        <v>4.5398800000000001</v>
      </c>
      <c r="E1468">
        <v>0.52314669999999996</v>
      </c>
      <c r="F1468" t="s">
        <v>41</v>
      </c>
      <c r="G1468">
        <v>-191.57249999999999</v>
      </c>
      <c r="H1468">
        <v>0.96368730000000002</v>
      </c>
      <c r="I1468">
        <v>333.99299999999999</v>
      </c>
      <c r="J1468">
        <v>-191.4932</v>
      </c>
      <c r="K1468">
        <v>1.108803</v>
      </c>
      <c r="L1468">
        <v>334.55340000000001</v>
      </c>
      <c r="M1468">
        <v>7.2127949999999996E-2</v>
      </c>
      <c r="N1468">
        <v>-1.244498E-2</v>
      </c>
      <c r="O1468">
        <v>-0.99731780000000003</v>
      </c>
      <c r="P1468">
        <v>-2.52859E-2</v>
      </c>
      <c r="Q1468">
        <v>-8.8037889999999994E-2</v>
      </c>
      <c r="R1468">
        <v>-0.99579629999999997</v>
      </c>
      <c r="S1468">
        <v>-0.26710509999999998</v>
      </c>
      <c r="T1468">
        <v>-0.57905069999999903</v>
      </c>
      <c r="U1468">
        <v>-2.9558110000000002</v>
      </c>
      <c r="V1468">
        <v>9.6979109999999993E-2</v>
      </c>
      <c r="W1468">
        <v>-7.5784619999999997E-2</v>
      </c>
      <c r="X1468">
        <v>0.99239699999999997</v>
      </c>
      <c r="Y1468">
        <v>0.1599556</v>
      </c>
      <c r="Z1468">
        <v>0.177618</v>
      </c>
      <c r="AA1468">
        <v>0.97101289999999996</v>
      </c>
      <c r="AB1468">
        <v>18</v>
      </c>
      <c r="AC1468">
        <v>-7.9299999999989199E-2</v>
      </c>
      <c r="AD1468">
        <v>-0.14511569999999999</v>
      </c>
      <c r="AE1468">
        <v>-0.56039999999995804</v>
      </c>
      <c r="AF1468">
        <v>0.112144783305069</v>
      </c>
      <c r="AG1468">
        <v>-0.14511569999999999</v>
      </c>
      <c r="AH1468">
        <v>0.51909523075873398</v>
      </c>
      <c r="AI1468">
        <v>105.283049222714</v>
      </c>
      <c r="AJ1468">
        <v>77.8092351828071</v>
      </c>
      <c r="AK1468">
        <v>0.55054053202783804</v>
      </c>
      <c r="AL1468">
        <v>94.346305895895</v>
      </c>
      <c r="AM1468">
        <v>84.418658139079795</v>
      </c>
      <c r="AN1468">
        <v>1.0000000310069601</v>
      </c>
    </row>
    <row r="1469" spans="1:40" x14ac:dyDescent="0.25">
      <c r="A1469" t="str">
        <f>"20190305135221104"</f>
        <v>20190305135221104</v>
      </c>
      <c r="B1469" t="str">
        <f>"1551765141090705"</f>
        <v>1551765141090705</v>
      </c>
      <c r="C1469" t="s">
        <v>40</v>
      </c>
      <c r="D1469">
        <v>4.5677450000000004</v>
      </c>
      <c r="E1469">
        <v>0.5229644</v>
      </c>
      <c r="F1469" t="s">
        <v>41</v>
      </c>
      <c r="G1469">
        <v>-191.55959999999999</v>
      </c>
      <c r="H1469">
        <v>0.96542220000000001</v>
      </c>
      <c r="I1469">
        <v>333.8338</v>
      </c>
      <c r="J1469">
        <v>-191.4819</v>
      </c>
      <c r="K1469">
        <v>1.1087209999999901</v>
      </c>
      <c r="L1469">
        <v>334.38299999999998</v>
      </c>
      <c r="M1469">
        <v>7.1233969999999994E-2</v>
      </c>
      <c r="N1469">
        <v>-1.230287E-2</v>
      </c>
      <c r="O1469">
        <v>-0.99738389999999999</v>
      </c>
      <c r="P1469">
        <v>-2.7005169999999998E-2</v>
      </c>
      <c r="Q1469">
        <v>-8.9648569999999997E-2</v>
      </c>
      <c r="R1469">
        <v>-0.99560760000000004</v>
      </c>
      <c r="S1469">
        <v>-0.27270509999999998</v>
      </c>
      <c r="T1469">
        <v>-0.58849259999999903</v>
      </c>
      <c r="U1469">
        <v>-2.9536739999999999</v>
      </c>
      <c r="V1469">
        <v>9.7779249999999998E-2</v>
      </c>
      <c r="W1469">
        <v>-7.7553430000000007E-2</v>
      </c>
      <c r="X1469">
        <v>0.9921818</v>
      </c>
      <c r="Y1469">
        <v>0.16090270000000001</v>
      </c>
      <c r="Z1469">
        <v>0.1808662</v>
      </c>
      <c r="AA1469">
        <v>0.97025660000000002</v>
      </c>
      <c r="AB1469">
        <v>18</v>
      </c>
      <c r="AC1469">
        <v>-7.7699999999992997E-2</v>
      </c>
      <c r="AD1469">
        <v>-0.143298799999999</v>
      </c>
      <c r="AE1469">
        <v>-0.54920000000004099</v>
      </c>
      <c r="AF1469">
        <v>0.109330031888146</v>
      </c>
      <c r="AG1469">
        <v>-0.143298799999999</v>
      </c>
      <c r="AH1469">
        <v>0.50834028615792104</v>
      </c>
      <c r="AI1469">
        <v>105.40786179236299</v>
      </c>
      <c r="AJ1469">
        <v>77.862147786164698</v>
      </c>
      <c r="AK1469">
        <v>0.53934909704681999</v>
      </c>
      <c r="AL1469">
        <v>94.447950482681094</v>
      </c>
      <c r="AM1469">
        <v>84.371690169183296</v>
      </c>
      <c r="AN1469">
        <v>1.0000000202432799</v>
      </c>
    </row>
    <row r="1470" spans="1:40" x14ac:dyDescent="0.25">
      <c r="A1470" t="str">
        <f>"20190305135221127"</f>
        <v>20190305135221127</v>
      </c>
      <c r="B1470" t="str">
        <f>"1551765141120962"</f>
        <v>1551765141120962</v>
      </c>
      <c r="C1470" t="s">
        <v>40</v>
      </c>
      <c r="D1470">
        <v>4.5243279999999997</v>
      </c>
      <c r="E1470">
        <v>0.52235880000000001</v>
      </c>
      <c r="F1470" t="s">
        <v>41</v>
      </c>
      <c r="G1470">
        <v>-191.54839999999999</v>
      </c>
      <c r="H1470">
        <v>0.96577020000000002</v>
      </c>
      <c r="I1470">
        <v>333.67500000000001</v>
      </c>
      <c r="J1470">
        <v>-191.4699</v>
      </c>
      <c r="K1470">
        <v>1.108638</v>
      </c>
      <c r="L1470">
        <v>334.19880000000001</v>
      </c>
      <c r="M1470">
        <v>7.0189080000000001E-2</v>
      </c>
      <c r="N1470">
        <v>-1.215779E-2</v>
      </c>
      <c r="O1470">
        <v>-0.99745969999999995</v>
      </c>
      <c r="P1470">
        <v>-2.86357E-2</v>
      </c>
      <c r="Q1470">
        <v>-9.065811E-2</v>
      </c>
      <c r="R1470">
        <v>-0.99547059999999998</v>
      </c>
      <c r="S1470">
        <v>-0.27648929999999999</v>
      </c>
      <c r="T1470">
        <v>-0.59599179999999996</v>
      </c>
      <c r="U1470">
        <v>-2.9520569999999999</v>
      </c>
      <c r="V1470">
        <v>9.8344810000000005E-2</v>
      </c>
      <c r="W1470">
        <v>-7.8723799999999997E-2</v>
      </c>
      <c r="X1470">
        <v>0.99203370000000002</v>
      </c>
      <c r="Y1470">
        <v>0.1611049</v>
      </c>
      <c r="Z1470">
        <v>0.18348900000000001</v>
      </c>
      <c r="AA1470">
        <v>0.96973039999999999</v>
      </c>
      <c r="AB1470">
        <v>18</v>
      </c>
      <c r="AC1470">
        <v>-7.8499999999991105E-2</v>
      </c>
      <c r="AD1470">
        <v>-0.14286779999999999</v>
      </c>
      <c r="AE1470">
        <v>-0.52379999999999405</v>
      </c>
      <c r="AF1470">
        <v>0.1072692347541</v>
      </c>
      <c r="AG1470">
        <v>-0.14286779999999999</v>
      </c>
      <c r="AH1470">
        <v>0.481932413546167</v>
      </c>
      <c r="AI1470">
        <v>106.138670472906</v>
      </c>
      <c r="AJ1470">
        <v>77.4515779324703</v>
      </c>
      <c r="AK1470">
        <v>0.51398127225415902</v>
      </c>
      <c r="AL1470">
        <v>94.515213493763696</v>
      </c>
      <c r="AM1470">
        <v>84.338506986997601</v>
      </c>
      <c r="AN1470">
        <v>1.00000000013803</v>
      </c>
    </row>
    <row r="1471" spans="1:40" x14ac:dyDescent="0.25">
      <c r="A1471" t="str">
        <f>"20190305135221151"</f>
        <v>20190305135221151</v>
      </c>
      <c r="B1471" t="str">
        <f>"1551765141141457"</f>
        <v>1551765141141457</v>
      </c>
      <c r="C1471" t="s">
        <v>40</v>
      </c>
      <c r="D1471">
        <v>4.5420089999999904</v>
      </c>
      <c r="E1471">
        <v>0.52154639999999997</v>
      </c>
      <c r="F1471" t="s">
        <v>41</v>
      </c>
      <c r="G1471">
        <v>-191.54810000000001</v>
      </c>
      <c r="H1471">
        <v>0.93973329999999999</v>
      </c>
      <c r="I1471">
        <v>333.36750000000001</v>
      </c>
      <c r="J1471">
        <v>-191.45820000000001</v>
      </c>
      <c r="K1471">
        <v>1.1085750000000001</v>
      </c>
      <c r="L1471">
        <v>334.01389999999998</v>
      </c>
      <c r="M1471">
        <v>6.9070119999999999E-2</v>
      </c>
      <c r="N1471">
        <v>-1.2008329999999999E-2</v>
      </c>
      <c r="O1471">
        <v>-0.99753959999999997</v>
      </c>
      <c r="P1471">
        <v>-3.0019980000000002E-2</v>
      </c>
      <c r="Q1471">
        <v>-9.1084440000000003E-2</v>
      </c>
      <c r="R1471">
        <v>-0.99539089999999997</v>
      </c>
      <c r="S1471">
        <v>-0.27690120000000001</v>
      </c>
      <c r="T1471">
        <v>-0.59964450000000002</v>
      </c>
      <c r="U1471">
        <v>-2.9510800000000001</v>
      </c>
      <c r="V1471">
        <v>9.8598169999999999E-2</v>
      </c>
      <c r="W1471">
        <v>-7.9311290000000007E-2</v>
      </c>
      <c r="X1471">
        <v>0.9919618</v>
      </c>
      <c r="Y1471">
        <v>0.16014030000000001</v>
      </c>
      <c r="Z1471">
        <v>0.18489040000000001</v>
      </c>
      <c r="AA1471">
        <v>0.96962400000000004</v>
      </c>
      <c r="AB1471">
        <v>18</v>
      </c>
      <c r="AC1471">
        <v>-8.9899999999999994E-2</v>
      </c>
      <c r="AD1471">
        <v>-0.16884169999999901</v>
      </c>
      <c r="AE1471">
        <v>-0.646399999999971</v>
      </c>
      <c r="AF1471">
        <v>0.125908079977881</v>
      </c>
      <c r="AG1471">
        <v>-0.16884169999999901</v>
      </c>
      <c r="AH1471">
        <v>0.59858167827844999</v>
      </c>
      <c r="AI1471">
        <v>105.431064689918</v>
      </c>
      <c r="AJ1471">
        <v>78.121343509317498</v>
      </c>
      <c r="AK1471">
        <v>0.63455526932904105</v>
      </c>
      <c r="AL1471">
        <v>94.548979561076706</v>
      </c>
      <c r="AM1471">
        <v>84.323608006152696</v>
      </c>
      <c r="AN1471">
        <v>1.0000000462540199</v>
      </c>
    </row>
    <row r="1472" spans="1:40" x14ac:dyDescent="0.25">
      <c r="A1472" t="str">
        <f>"20190305135221171"</f>
        <v>20190305135221171</v>
      </c>
      <c r="B1472" t="str">
        <f>"1551765141160980"</f>
        <v>1551765141160980</v>
      </c>
      <c r="C1472" t="s">
        <v>40</v>
      </c>
      <c r="D1472">
        <v>4.518338</v>
      </c>
      <c r="E1472">
        <v>0.52095559999999996</v>
      </c>
      <c r="F1472" t="s">
        <v>41</v>
      </c>
      <c r="G1472">
        <v>-191.5333</v>
      </c>
      <c r="H1472">
        <v>0.94433979999999995</v>
      </c>
      <c r="I1472">
        <v>333.20670000000001</v>
      </c>
      <c r="J1472">
        <v>-191.4478</v>
      </c>
      <c r="K1472">
        <v>1.108528</v>
      </c>
      <c r="L1472">
        <v>333.84699999999998</v>
      </c>
      <c r="M1472">
        <v>6.8016489999999999E-2</v>
      </c>
      <c r="N1472">
        <v>-1.187099E-2</v>
      </c>
      <c r="O1472">
        <v>-0.99761369999999905</v>
      </c>
      <c r="P1472">
        <v>-3.112525E-2</v>
      </c>
      <c r="Q1472">
        <v>-9.0470490000000001E-2</v>
      </c>
      <c r="R1472">
        <v>-0.99541310000000005</v>
      </c>
      <c r="S1472">
        <v>-0.27468870000000001</v>
      </c>
      <c r="T1472">
        <v>-0.60028700000000002</v>
      </c>
      <c r="U1472">
        <v>-2.9506839999999999</v>
      </c>
      <c r="V1472">
        <v>9.8650489999999993E-2</v>
      </c>
      <c r="W1472">
        <v>-7.8840300000000002E-2</v>
      </c>
      <c r="X1472">
        <v>0.99199409999999999</v>
      </c>
      <c r="Y1472">
        <v>0.15838659999999999</v>
      </c>
      <c r="Z1472">
        <v>0.18531130000000001</v>
      </c>
      <c r="AA1472">
        <v>0.96983160000000002</v>
      </c>
      <c r="AB1472">
        <v>18</v>
      </c>
      <c r="AC1472">
        <v>-8.5499999999996107E-2</v>
      </c>
      <c r="AD1472">
        <v>-0.16418819999999901</v>
      </c>
      <c r="AE1472">
        <v>-0.64029999999996701</v>
      </c>
      <c r="AF1472">
        <v>0.121036852442894</v>
      </c>
      <c r="AG1472">
        <v>-0.16418819999999901</v>
      </c>
      <c r="AH1472">
        <v>0.59458987317562895</v>
      </c>
      <c r="AI1472">
        <v>105.140943403055</v>
      </c>
      <c r="AJ1472">
        <v>78.493876798806099</v>
      </c>
      <c r="AK1472">
        <v>0.62860544219051595</v>
      </c>
      <c r="AL1472">
        <v>94.521909249304599</v>
      </c>
      <c r="AM1472">
        <v>84.320799295433204</v>
      </c>
      <c r="AN1472">
        <v>1.00000000325807</v>
      </c>
    </row>
    <row r="1473" spans="1:40" x14ac:dyDescent="0.25">
      <c r="A1473" t="str">
        <f>"20190305135221194"</f>
        <v>20190305135221194</v>
      </c>
      <c r="B1473" t="str">
        <f>"1551765141180500"</f>
        <v>1551765141180500</v>
      </c>
      <c r="C1473" t="s">
        <v>40</v>
      </c>
      <c r="D1473">
        <v>4.5383849999999999</v>
      </c>
      <c r="E1473">
        <v>0.52047310000000002</v>
      </c>
      <c r="F1473" t="s">
        <v>41</v>
      </c>
      <c r="G1473">
        <v>-191.52209999999999</v>
      </c>
      <c r="H1473">
        <v>0.9466099</v>
      </c>
      <c r="I1473">
        <v>333.04629999999997</v>
      </c>
      <c r="J1473">
        <v>-191.43709999999999</v>
      </c>
      <c r="K1473">
        <v>1.1084969999999901</v>
      </c>
      <c r="L1473">
        <v>333.67070000000001</v>
      </c>
      <c r="M1473">
        <v>6.6875850000000001E-2</v>
      </c>
      <c r="N1473">
        <v>-1.1716529999999999E-2</v>
      </c>
      <c r="O1473">
        <v>-0.99769260000000004</v>
      </c>
      <c r="P1473">
        <v>-3.254866E-2</v>
      </c>
      <c r="Q1473">
        <v>-8.9861679999999999E-2</v>
      </c>
      <c r="R1473">
        <v>-0.99542220000000003</v>
      </c>
      <c r="S1473">
        <v>-0.2734375</v>
      </c>
      <c r="T1473">
        <v>-0.59680149999999998</v>
      </c>
      <c r="U1473">
        <v>-2.9510800000000001</v>
      </c>
      <c r="V1473">
        <v>9.8935789999999996E-2</v>
      </c>
      <c r="W1473">
        <v>-7.838871E-2</v>
      </c>
      <c r="X1473">
        <v>0.99200149999999998</v>
      </c>
      <c r="Y1473">
        <v>0.15686040000000001</v>
      </c>
      <c r="Z1473">
        <v>0.1843882</v>
      </c>
      <c r="AA1473">
        <v>0.9702556</v>
      </c>
      <c r="AB1473">
        <v>18</v>
      </c>
      <c r="AC1473">
        <v>-8.5000000000007903E-2</v>
      </c>
      <c r="AD1473">
        <v>-0.16188709999999901</v>
      </c>
      <c r="AE1473">
        <v>-0.62440000000003604</v>
      </c>
      <c r="AF1473">
        <v>0.118733756265624</v>
      </c>
      <c r="AG1473">
        <v>-0.16188709999999901</v>
      </c>
      <c r="AH1473">
        <v>0.57909837333054703</v>
      </c>
      <c r="AI1473">
        <v>105.31515520805399</v>
      </c>
      <c r="AJ1473">
        <v>78.413108702619496</v>
      </c>
      <c r="AK1473">
        <v>0.61291113876111003</v>
      </c>
      <c r="AL1473">
        <v>94.495954608809896</v>
      </c>
      <c r="AM1473">
        <v>84.304524924499106</v>
      </c>
      <c r="AN1473">
        <v>1.0000000282003101</v>
      </c>
    </row>
    <row r="1474" spans="1:40" x14ac:dyDescent="0.25">
      <c r="A1474" t="str">
        <f>"20190305135221214"</f>
        <v>20190305135221214</v>
      </c>
      <c r="B1474" t="str">
        <f>"1551765141210753"</f>
        <v>1551765141210753</v>
      </c>
      <c r="C1474" t="s">
        <v>40</v>
      </c>
      <c r="D1474">
        <v>4.5481239999999996</v>
      </c>
      <c r="E1474">
        <v>0.5198604</v>
      </c>
      <c r="F1474" t="s">
        <v>41</v>
      </c>
      <c r="G1474">
        <v>-191.5102</v>
      </c>
      <c r="H1474">
        <v>0.95049189999999995</v>
      </c>
      <c r="I1474">
        <v>332.88499999999999</v>
      </c>
      <c r="J1474">
        <v>-191.42699999999999</v>
      </c>
      <c r="K1474">
        <v>1.1084609999999999</v>
      </c>
      <c r="L1474">
        <v>333.50170000000003</v>
      </c>
      <c r="M1474">
        <v>6.5771239999999995E-2</v>
      </c>
      <c r="N1474">
        <v>-1.154665E-2</v>
      </c>
      <c r="O1474">
        <v>-0.99776810000000005</v>
      </c>
      <c r="P1474">
        <v>-3.3182400000000001E-2</v>
      </c>
      <c r="Q1474">
        <v>-8.9771320000000002E-2</v>
      </c>
      <c r="R1474">
        <v>-0.99540989999999996</v>
      </c>
      <c r="S1474">
        <v>-0.27420040000000001</v>
      </c>
      <c r="T1474">
        <v>-0.59359050000000002</v>
      </c>
      <c r="U1474">
        <v>-2.9512019999999999</v>
      </c>
      <c r="V1474">
        <v>9.8469119999999993E-2</v>
      </c>
      <c r="W1474">
        <v>-7.846641E-2</v>
      </c>
      <c r="X1474">
        <v>0.99204179999999997</v>
      </c>
      <c r="Y1474">
        <v>0.1560318</v>
      </c>
      <c r="Z1474">
        <v>0.18356510000000001</v>
      </c>
      <c r="AA1474">
        <v>0.9705452</v>
      </c>
      <c r="AB1474">
        <v>18</v>
      </c>
      <c r="AC1474">
        <v>-8.3199999999976598E-2</v>
      </c>
      <c r="AD1474">
        <v>-0.1579691</v>
      </c>
      <c r="AE1474">
        <v>-0.616700000000037</v>
      </c>
      <c r="AF1474">
        <v>0.116101913248279</v>
      </c>
      <c r="AG1474">
        <v>-0.1579691</v>
      </c>
      <c r="AH1474">
        <v>0.57296921308858495</v>
      </c>
      <c r="AI1474">
        <v>105.120842717541</v>
      </c>
      <c r="AJ1474">
        <v>78.545137291254093</v>
      </c>
      <c r="AK1474">
        <v>0.60558039099864602</v>
      </c>
      <c r="AL1474">
        <v>94.500420196948696</v>
      </c>
      <c r="AM1474">
        <v>84.331443295916301</v>
      </c>
      <c r="AN1474">
        <v>1.00000003901955</v>
      </c>
    </row>
    <row r="1475" spans="1:40" x14ac:dyDescent="0.25">
      <c r="A1475" t="str">
        <f>"20190305135221239"</f>
        <v>20190305135221239</v>
      </c>
      <c r="B1475" t="str">
        <f>"1551765141231249"</f>
        <v>1551765141231249</v>
      </c>
      <c r="C1475" t="s">
        <v>40</v>
      </c>
      <c r="D1475">
        <v>4.6028079999999996</v>
      </c>
      <c r="E1475">
        <v>0.51926090000000003</v>
      </c>
      <c r="F1475" t="s">
        <v>41</v>
      </c>
      <c r="G1475">
        <v>-191.49879999999999</v>
      </c>
      <c r="H1475">
        <v>0.95256779999999996</v>
      </c>
      <c r="I1475">
        <v>332.7242</v>
      </c>
      <c r="J1475">
        <v>-191.41569999999999</v>
      </c>
      <c r="K1475">
        <v>1.108425</v>
      </c>
      <c r="L1475">
        <v>333.30689999999998</v>
      </c>
      <c r="M1475">
        <v>6.4500790000000002E-2</v>
      </c>
      <c r="N1475">
        <v>-1.131411E-2</v>
      </c>
      <c r="O1475">
        <v>-0.99785360000000001</v>
      </c>
      <c r="P1475">
        <v>-3.3879970000000002E-2</v>
      </c>
      <c r="Q1475">
        <v>-8.9344140000000002E-2</v>
      </c>
      <c r="R1475">
        <v>-0.99542470000000005</v>
      </c>
      <c r="S1475">
        <v>-0.27148440000000001</v>
      </c>
      <c r="T1475">
        <v>-0.59186890000000003</v>
      </c>
      <c r="U1475">
        <v>-2.9514469999999999</v>
      </c>
      <c r="V1475">
        <v>9.7905210000000006E-2</v>
      </c>
      <c r="W1475">
        <v>-7.8266999999999906E-2</v>
      </c>
      <c r="X1475">
        <v>0.99211340000000003</v>
      </c>
      <c r="Y1475">
        <v>0.15389320000000001</v>
      </c>
      <c r="Z1475">
        <v>0.1833003</v>
      </c>
      <c r="AA1475">
        <v>0.97093660000000004</v>
      </c>
      <c r="AB1475">
        <v>18</v>
      </c>
      <c r="AC1475">
        <v>-8.31000000000017E-2</v>
      </c>
      <c r="AD1475">
        <v>-0.1558572</v>
      </c>
      <c r="AE1475">
        <v>-0.58269999999998801</v>
      </c>
      <c r="AF1475">
        <v>0.112617607610546</v>
      </c>
      <c r="AG1475">
        <v>-0.1558572</v>
      </c>
      <c r="AH1475">
        <v>0.53837704781839701</v>
      </c>
      <c r="AI1475">
        <v>105.82068637947</v>
      </c>
      <c r="AJ1475">
        <v>78.185236942191807</v>
      </c>
      <c r="AK1475">
        <v>0.57168526127005903</v>
      </c>
      <c r="AL1475">
        <v>94.488959433968702</v>
      </c>
      <c r="AM1475">
        <v>84.364100346109396</v>
      </c>
      <c r="AN1475">
        <v>1.0000000759468399</v>
      </c>
    </row>
    <row r="1476" spans="1:40" x14ac:dyDescent="0.25">
      <c r="A1476" t="str">
        <f>"20190305135221260"</f>
        <v>20190305135221260</v>
      </c>
      <c r="B1476" t="str">
        <f>"1551765141250768"</f>
        <v>1551765141250768</v>
      </c>
      <c r="C1476" t="s">
        <v>40</v>
      </c>
      <c r="D1476">
        <v>4.602582</v>
      </c>
      <c r="E1476">
        <v>0.51888909999999999</v>
      </c>
      <c r="F1476" t="s">
        <v>41</v>
      </c>
      <c r="G1476">
        <v>-191.4836</v>
      </c>
      <c r="H1476">
        <v>0.95762539999999996</v>
      </c>
      <c r="I1476">
        <v>332.56180000000001</v>
      </c>
      <c r="J1476">
        <v>-191.4058</v>
      </c>
      <c r="K1476">
        <v>1.108395</v>
      </c>
      <c r="L1476">
        <v>333.13470000000001</v>
      </c>
      <c r="M1476">
        <v>6.3390920000000003E-2</v>
      </c>
      <c r="N1476">
        <v>-1.1060209999999999E-2</v>
      </c>
      <c r="O1476">
        <v>-0.99792769999999997</v>
      </c>
      <c r="P1476">
        <v>-3.423785E-2</v>
      </c>
      <c r="Q1476">
        <v>-8.8509870000000004E-2</v>
      </c>
      <c r="R1476">
        <v>-0.99548720000000002</v>
      </c>
      <c r="S1476">
        <v>-0.26950069999999998</v>
      </c>
      <c r="T1476">
        <v>-0.59721789999999997</v>
      </c>
      <c r="U1476">
        <v>-2.95105</v>
      </c>
      <c r="V1476">
        <v>9.7165899999999999E-2</v>
      </c>
      <c r="W1476">
        <v>-7.7680269999999996E-2</v>
      </c>
      <c r="X1476">
        <v>0.99223209999999995</v>
      </c>
      <c r="Y1476">
        <v>0.1521294</v>
      </c>
      <c r="Z1476">
        <v>0.18532290000000001</v>
      </c>
      <c r="AA1476">
        <v>0.97083059999999999</v>
      </c>
      <c r="AB1476">
        <v>18</v>
      </c>
      <c r="AC1476">
        <v>-7.7799999999996303E-2</v>
      </c>
      <c r="AD1476">
        <v>-0.150769599999999</v>
      </c>
      <c r="AE1476">
        <v>-0.57290000000000396</v>
      </c>
      <c r="AF1476">
        <v>0.10670595918002999</v>
      </c>
      <c r="AG1476">
        <v>-0.150769599999999</v>
      </c>
      <c r="AH1476">
        <v>0.53072420450400304</v>
      </c>
      <c r="AI1476">
        <v>105.563014412512</v>
      </c>
      <c r="AJ1476">
        <v>78.631832218442398</v>
      </c>
      <c r="AK1476">
        <v>0.56194823182842901</v>
      </c>
      <c r="AL1476">
        <v>94.455240011670696</v>
      </c>
      <c r="AM1476">
        <v>84.407052621879004</v>
      </c>
      <c r="AN1476">
        <v>0.99999998837024595</v>
      </c>
    </row>
    <row r="1477" spans="1:40" x14ac:dyDescent="0.25">
      <c r="A1477" t="str">
        <f>"20190305135221283"</f>
        <v>20190305135221283</v>
      </c>
      <c r="B1477" t="str">
        <f>"1551765141271265"</f>
        <v>1551765141271265</v>
      </c>
      <c r="C1477" t="s">
        <v>40</v>
      </c>
      <c r="D1477">
        <v>4.5538100000000004</v>
      </c>
      <c r="E1477">
        <v>0.51890979999999998</v>
      </c>
      <c r="F1477" t="s">
        <v>41</v>
      </c>
      <c r="G1477">
        <v>-191.4726</v>
      </c>
      <c r="H1477">
        <v>0.95991539999999997</v>
      </c>
      <c r="I1477">
        <v>332.3997</v>
      </c>
      <c r="J1477">
        <v>-191.39519999999999</v>
      </c>
      <c r="K1477">
        <v>1.108341</v>
      </c>
      <c r="L1477">
        <v>332.94670000000002</v>
      </c>
      <c r="M1477">
        <v>6.2199459999999998E-2</v>
      </c>
      <c r="N1477">
        <v>-1.0701280000000001E-2</v>
      </c>
      <c r="O1477">
        <v>-0.99800650000000002</v>
      </c>
      <c r="P1477">
        <v>-3.5437330000000003E-2</v>
      </c>
      <c r="Q1477">
        <v>-8.7726819999999997E-2</v>
      </c>
      <c r="R1477">
        <v>-0.99551429999999996</v>
      </c>
      <c r="S1477">
        <v>-0.2678528</v>
      </c>
      <c r="T1477">
        <v>-0.59625660000000003</v>
      </c>
      <c r="U1477">
        <v>-2.951355</v>
      </c>
      <c r="V1477">
        <v>9.7183119999999998E-2</v>
      </c>
      <c r="W1477">
        <v>-7.7250799999999994E-2</v>
      </c>
      <c r="X1477">
        <v>0.99226400000000003</v>
      </c>
      <c r="Y1477">
        <v>0.15040990000000001</v>
      </c>
      <c r="Z1477">
        <v>0.18540670000000001</v>
      </c>
      <c r="AA1477">
        <v>0.97108249999999996</v>
      </c>
      <c r="AB1477">
        <v>18</v>
      </c>
      <c r="AC1477">
        <v>-7.7400000000011404E-2</v>
      </c>
      <c r="AD1477">
        <v>-0.14842559999999899</v>
      </c>
      <c r="AE1477">
        <v>-0.54700000000002502</v>
      </c>
      <c r="AF1477">
        <v>0.10378376672403999</v>
      </c>
      <c r="AG1477">
        <v>-0.14842559999999899</v>
      </c>
      <c r="AH1477">
        <v>0.50469589219495703</v>
      </c>
      <c r="AI1477">
        <v>106.06966545577799</v>
      </c>
      <c r="AJ1477">
        <v>78.379894359252006</v>
      </c>
      <c r="AK1477">
        <v>0.53620814295313801</v>
      </c>
      <c r="AL1477">
        <v>94.430558774400694</v>
      </c>
      <c r="AM1477">
        <v>84.406246408150807</v>
      </c>
      <c r="AN1477">
        <v>1.0000000453047799</v>
      </c>
    </row>
    <row r="1478" spans="1:40" x14ac:dyDescent="0.25">
      <c r="A1478" t="str">
        <f>"20190305135221307"</f>
        <v>20190305135221307</v>
      </c>
      <c r="B1478" t="str">
        <f>"1551765141290785"</f>
        <v>1551765141290785</v>
      </c>
      <c r="C1478" t="s">
        <v>40</v>
      </c>
      <c r="D1478">
        <v>4.5130520000000001</v>
      </c>
      <c r="E1478">
        <v>0.51833929999999995</v>
      </c>
      <c r="F1478" t="s">
        <v>41</v>
      </c>
      <c r="G1478">
        <v>-191.4607</v>
      </c>
      <c r="H1478">
        <v>0.96496309999999996</v>
      </c>
      <c r="I1478">
        <v>332.23570000000001</v>
      </c>
      <c r="J1478">
        <v>-191.38550000000001</v>
      </c>
      <c r="K1478">
        <v>1.108274</v>
      </c>
      <c r="L1478">
        <v>332.76920000000001</v>
      </c>
      <c r="M1478">
        <v>6.1094339999999997E-2</v>
      </c>
      <c r="N1478">
        <v>-1.0280869999999999E-2</v>
      </c>
      <c r="O1478">
        <v>-0.9980791</v>
      </c>
      <c r="P1478">
        <v>-3.6508470000000001E-2</v>
      </c>
      <c r="Q1478">
        <v>-8.7009379999999997E-2</v>
      </c>
      <c r="R1478">
        <v>-0.99553840000000005</v>
      </c>
      <c r="S1478">
        <v>-0.27124019999999999</v>
      </c>
      <c r="T1478">
        <v>-0.59522559999999902</v>
      </c>
      <c r="U1478">
        <v>-2.951416</v>
      </c>
      <c r="V1478">
        <v>9.7157279999999999E-2</v>
      </c>
      <c r="W1478">
        <v>-7.6948320000000001E-2</v>
      </c>
      <c r="X1478">
        <v>0.99229000000000001</v>
      </c>
      <c r="Y1478">
        <v>0.15042459999999999</v>
      </c>
      <c r="Z1478">
        <v>0.1855009</v>
      </c>
      <c r="AA1478">
        <v>0.97106219999999999</v>
      </c>
      <c r="AB1478">
        <v>18</v>
      </c>
      <c r="AC1478">
        <v>-7.5199999999995201E-2</v>
      </c>
      <c r="AD1478">
        <v>-0.14331089999999999</v>
      </c>
      <c r="AE1478">
        <v>-0.53350000000000297</v>
      </c>
      <c r="AF1478">
        <v>0.100541445094191</v>
      </c>
      <c r="AG1478">
        <v>-0.14331089999999999</v>
      </c>
      <c r="AH1478">
        <v>0.49302568868298602</v>
      </c>
      <c r="AI1478">
        <v>105.897719176084</v>
      </c>
      <c r="AJ1478">
        <v>78.473863342125696</v>
      </c>
      <c r="AK1478">
        <v>0.52318345342888195</v>
      </c>
      <c r="AL1478">
        <v>94.413176351586799</v>
      </c>
      <c r="AM1478">
        <v>84.407869901057197</v>
      </c>
      <c r="AN1478">
        <v>1.0000000125539099</v>
      </c>
    </row>
    <row r="1479" spans="1:40" x14ac:dyDescent="0.25">
      <c r="A1479" t="str">
        <f>"20190305135221329"</f>
        <v>20190305135221329</v>
      </c>
      <c r="B1479" t="str">
        <f>"1551765141321041"</f>
        <v>1551765141321041</v>
      </c>
      <c r="C1479" t="s">
        <v>40</v>
      </c>
      <c r="D1479">
        <v>4.5758179999999999</v>
      </c>
      <c r="E1479">
        <v>0.51860379999999995</v>
      </c>
      <c r="F1479" t="s">
        <v>41</v>
      </c>
      <c r="G1479">
        <v>-191.4632</v>
      </c>
      <c r="H1479">
        <v>0.93542709999999996</v>
      </c>
      <c r="I1479">
        <v>331.92110000000002</v>
      </c>
      <c r="J1479">
        <v>-191.37530000000001</v>
      </c>
      <c r="K1479">
        <v>1.108193</v>
      </c>
      <c r="L1479">
        <v>332.57929999999999</v>
      </c>
      <c r="M1479">
        <v>5.9931350000000001E-2</v>
      </c>
      <c r="N1479">
        <v>-9.7852259999999993E-3</v>
      </c>
      <c r="O1479">
        <v>-0.9981546</v>
      </c>
      <c r="P1479">
        <v>-3.7868560000000002E-2</v>
      </c>
      <c r="Q1479">
        <v>-8.6554389999999995E-2</v>
      </c>
      <c r="R1479">
        <v>-0.99552719999999995</v>
      </c>
      <c r="S1479">
        <v>-0.26969910000000002</v>
      </c>
      <c r="T1479">
        <v>-0.60149739999999996</v>
      </c>
      <c r="U1479">
        <v>-2.9510190000000001</v>
      </c>
      <c r="V1479">
        <v>9.7359500000000002E-2</v>
      </c>
      <c r="W1479">
        <v>-7.6984220000000006E-2</v>
      </c>
      <c r="X1479">
        <v>0.99226740000000002</v>
      </c>
      <c r="Y1479">
        <v>0.14874599999999999</v>
      </c>
      <c r="Z1479">
        <v>0.18804969999999999</v>
      </c>
      <c r="AA1479">
        <v>0.97083059999999999</v>
      </c>
      <c r="AB1479">
        <v>18</v>
      </c>
      <c r="AC1479">
        <v>-8.78999999999905E-2</v>
      </c>
      <c r="AD1479">
        <v>-0.172765899999999</v>
      </c>
      <c r="AE1479">
        <v>-0.65819999999996504</v>
      </c>
      <c r="AF1479">
        <v>0.11912700462788101</v>
      </c>
      <c r="AG1479">
        <v>-0.172765899999999</v>
      </c>
      <c r="AH1479">
        <v>0.61042876568887705</v>
      </c>
      <c r="AI1479">
        <v>105.524422059157</v>
      </c>
      <c r="AJ1479">
        <v>78.957346136823304</v>
      </c>
      <c r="AK1479">
        <v>0.64549405683930705</v>
      </c>
      <c r="AL1479">
        <v>94.415239366715397</v>
      </c>
      <c r="AM1479">
        <v>84.396177810419402</v>
      </c>
      <c r="AN1479">
        <v>1.000000017736</v>
      </c>
    </row>
    <row r="1480" spans="1:40" x14ac:dyDescent="0.25">
      <c r="A1480" t="str">
        <f>"20190305135221352"</f>
        <v>20190305135221352</v>
      </c>
      <c r="B1480" t="str">
        <f>"1551765141340561"</f>
        <v>1551765141340561</v>
      </c>
      <c r="C1480" t="s">
        <v>40</v>
      </c>
      <c r="D1480">
        <v>4.5489930000000003</v>
      </c>
      <c r="E1480">
        <v>0.51871820000000002</v>
      </c>
      <c r="F1480" t="s">
        <v>41</v>
      </c>
      <c r="G1480">
        <v>-191.45269999999999</v>
      </c>
      <c r="H1480">
        <v>0.94153900000000001</v>
      </c>
      <c r="I1480">
        <v>331.75369999999998</v>
      </c>
      <c r="J1480">
        <v>-191.36519999999999</v>
      </c>
      <c r="K1480">
        <v>1.108128</v>
      </c>
      <c r="L1480">
        <v>332.38940000000002</v>
      </c>
      <c r="M1480">
        <v>5.878183E-2</v>
      </c>
      <c r="N1480">
        <v>-9.2992230000000006E-3</v>
      </c>
      <c r="O1480">
        <v>-0.99822770000000005</v>
      </c>
      <c r="P1480">
        <v>-3.8942930000000001E-2</v>
      </c>
      <c r="Q1480">
        <v>-8.4894919999999999E-2</v>
      </c>
      <c r="R1480">
        <v>-0.99562890000000004</v>
      </c>
      <c r="S1480">
        <v>-0.27593990000000002</v>
      </c>
      <c r="T1480">
        <v>-0.5957074</v>
      </c>
      <c r="U1480">
        <v>-2.9512019999999999</v>
      </c>
      <c r="V1480">
        <v>9.7297910000000001E-2</v>
      </c>
      <c r="W1480">
        <v>-7.5805049999999999E-2</v>
      </c>
      <c r="X1480">
        <v>0.99236420000000003</v>
      </c>
      <c r="Y1480">
        <v>0.14967049999999901</v>
      </c>
      <c r="Z1480">
        <v>0.1866729</v>
      </c>
      <c r="AA1480">
        <v>0.97095419999999999</v>
      </c>
      <c r="AB1480">
        <v>18</v>
      </c>
      <c r="AC1480">
        <v>-8.7500000000005601E-2</v>
      </c>
      <c r="AD1480">
        <v>-0.16658899999999999</v>
      </c>
      <c r="AE1480">
        <v>-0.63570000000004201</v>
      </c>
      <c r="AF1480">
        <v>0.11684309354061399</v>
      </c>
      <c r="AG1480">
        <v>-0.16658899999999999</v>
      </c>
      <c r="AH1480">
        <v>0.58971251241136802</v>
      </c>
      <c r="AI1480">
        <v>105.48831807053</v>
      </c>
      <c r="AJ1480">
        <v>78.792813184909804</v>
      </c>
      <c r="AK1480">
        <v>0.62383094723143495</v>
      </c>
      <c r="AL1480">
        <v>94.347479972913703</v>
      </c>
      <c r="AM1480">
        <v>84.400243075467799</v>
      </c>
      <c r="AN1480">
        <v>0.99999999716875498</v>
      </c>
    </row>
    <row r="1481" spans="1:40" x14ac:dyDescent="0.25">
      <c r="A1481" t="str">
        <f>"20190305135221372"</f>
        <v>20190305135221372</v>
      </c>
      <c r="B1481" t="str">
        <f>"1551765141361058"</f>
        <v>1551765141361058</v>
      </c>
      <c r="C1481" t="s">
        <v>40</v>
      </c>
      <c r="D1481">
        <v>4.5710350000000002</v>
      </c>
      <c r="E1481">
        <v>0.51848329999999998</v>
      </c>
      <c r="F1481" t="s">
        <v>41</v>
      </c>
      <c r="G1481">
        <v>-191.44159999999999</v>
      </c>
      <c r="H1481">
        <v>0.94782040000000001</v>
      </c>
      <c r="I1481">
        <v>331.58519999999999</v>
      </c>
      <c r="J1481">
        <v>-191.35599999999999</v>
      </c>
      <c r="K1481">
        <v>1.1080650000000001</v>
      </c>
      <c r="L1481">
        <v>332.21100000000001</v>
      </c>
      <c r="M1481">
        <v>5.7707519999999998E-2</v>
      </c>
      <c r="N1481">
        <v>-8.8580039999999992E-3</v>
      </c>
      <c r="O1481">
        <v>-0.99829440000000003</v>
      </c>
      <c r="P1481">
        <v>-4.015647E-2</v>
      </c>
      <c r="Q1481">
        <v>-8.3972019999999994E-2</v>
      </c>
      <c r="R1481">
        <v>-0.99565879999999995</v>
      </c>
      <c r="S1481">
        <v>-0.28004459999999998</v>
      </c>
      <c r="T1481">
        <v>-0.58844640000000004</v>
      </c>
      <c r="U1481">
        <v>-2.9520569999999999</v>
      </c>
      <c r="V1481">
        <v>9.7444299999999998E-2</v>
      </c>
      <c r="W1481">
        <v>-7.5319780000000003E-2</v>
      </c>
      <c r="X1481">
        <v>0.99238680000000001</v>
      </c>
      <c r="Y1481">
        <v>0.14996189999999901</v>
      </c>
      <c r="Z1481">
        <v>0.18475610000000001</v>
      </c>
      <c r="AA1481">
        <v>0.97127569999999996</v>
      </c>
      <c r="AB1481">
        <v>18</v>
      </c>
      <c r="AC1481">
        <v>-8.5599999999999399E-2</v>
      </c>
      <c r="AD1481">
        <v>-0.16024459999999899</v>
      </c>
      <c r="AE1481">
        <v>-0.625800000000026</v>
      </c>
      <c r="AF1481">
        <v>0.114220399717945</v>
      </c>
      <c r="AG1481">
        <v>-0.16024459999999899</v>
      </c>
      <c r="AH1481">
        <v>0.58233546968710104</v>
      </c>
      <c r="AI1481">
        <v>105.111204419817</v>
      </c>
      <c r="AJ1481">
        <v>78.902773829981996</v>
      </c>
      <c r="AK1481">
        <v>0.61468628648814305</v>
      </c>
      <c r="AL1481">
        <v>94.319596273208205</v>
      </c>
      <c r="AM1481">
        <v>84.391998507078398</v>
      </c>
      <c r="AN1481">
        <v>1.0000000108379801</v>
      </c>
    </row>
    <row r="1482" spans="1:40" x14ac:dyDescent="0.25">
      <c r="A1482" t="str">
        <f>"20190305135221394"</f>
        <v>20190305135221394</v>
      </c>
      <c r="B1482" t="str">
        <f>"1551765141391313"</f>
        <v>1551765141391313</v>
      </c>
      <c r="C1482" t="s">
        <v>40</v>
      </c>
      <c r="D1482">
        <v>4.6498910000000002</v>
      </c>
      <c r="E1482">
        <v>0.51804050000000001</v>
      </c>
      <c r="F1482" t="s">
        <v>41</v>
      </c>
      <c r="G1482">
        <v>-191.43180000000001</v>
      </c>
      <c r="H1482">
        <v>0.95010830000000002</v>
      </c>
      <c r="I1482">
        <v>331.41739999999999</v>
      </c>
      <c r="J1482">
        <v>-191.34700000000001</v>
      </c>
      <c r="K1482">
        <v>1.108004</v>
      </c>
      <c r="L1482">
        <v>332.03390000000002</v>
      </c>
      <c r="M1482">
        <v>5.6643909999999999E-2</v>
      </c>
      <c r="N1482">
        <v>-8.4334389999999992E-3</v>
      </c>
      <c r="O1482">
        <v>-0.998359</v>
      </c>
      <c r="P1482">
        <v>-4.141032E-2</v>
      </c>
      <c r="Q1482">
        <v>-8.4034529999999996E-2</v>
      </c>
      <c r="R1482">
        <v>-0.99560199999999999</v>
      </c>
      <c r="S1482">
        <v>-0.28138730000000001</v>
      </c>
      <c r="T1482">
        <v>-0.58767499999999995</v>
      </c>
      <c r="U1482">
        <v>-2.9521480000000002</v>
      </c>
      <c r="V1482">
        <v>9.7634899999999997E-2</v>
      </c>
      <c r="W1482">
        <v>-7.5804819999999995E-2</v>
      </c>
      <c r="X1482">
        <v>0.99233110000000002</v>
      </c>
      <c r="Y1482">
        <v>0.14934800000000001</v>
      </c>
      <c r="Z1482">
        <v>0.18494730000000001</v>
      </c>
      <c r="AA1482">
        <v>0.97133400000000003</v>
      </c>
      <c r="AB1482">
        <v>19</v>
      </c>
      <c r="AC1482">
        <v>-8.4800000000001305E-2</v>
      </c>
      <c r="AD1482">
        <v>-0.157895699999999</v>
      </c>
      <c r="AE1482">
        <v>-0.61650000000003002</v>
      </c>
      <c r="AF1482">
        <v>0.11235303529344</v>
      </c>
      <c r="AG1482">
        <v>-0.157895699999999</v>
      </c>
      <c r="AH1482">
        <v>0.57376872143633595</v>
      </c>
      <c r="AI1482">
        <v>105.11286457227899</v>
      </c>
      <c r="AJ1482">
        <v>78.920763059289897</v>
      </c>
      <c r="AK1482">
        <v>0.60561109824443105</v>
      </c>
      <c r="AL1482">
        <v>94.347466839350403</v>
      </c>
      <c r="AM1482">
        <v>84.380786070660406</v>
      </c>
      <c r="AN1482">
        <v>0.99999997823022502</v>
      </c>
    </row>
    <row r="1483" spans="1:40" x14ac:dyDescent="0.25">
      <c r="A1483" t="str">
        <f>"20190305135221415"</f>
        <v>20190305135221415</v>
      </c>
      <c r="B1483" t="str">
        <f>"1551765141410833"</f>
        <v>1551765141410833</v>
      </c>
      <c r="C1483" t="s">
        <v>40</v>
      </c>
      <c r="D1483">
        <v>4.5418820000000002</v>
      </c>
      <c r="E1483">
        <v>0.51776299999999997</v>
      </c>
      <c r="F1483" t="s">
        <v>41</v>
      </c>
      <c r="G1483">
        <v>-191.42179999999999</v>
      </c>
      <c r="H1483">
        <v>0.95015819999999995</v>
      </c>
      <c r="I1483">
        <v>331.24959999999999</v>
      </c>
      <c r="J1483">
        <v>-191.33789999999999</v>
      </c>
      <c r="K1483">
        <v>1.1079380000000001</v>
      </c>
      <c r="L1483">
        <v>331.85149999999999</v>
      </c>
      <c r="M1483">
        <v>5.554854E-2</v>
      </c>
      <c r="N1483">
        <v>-8.0196759999999999E-3</v>
      </c>
      <c r="O1483">
        <v>-0.99842410000000004</v>
      </c>
      <c r="P1483">
        <v>-4.2794659999999998E-2</v>
      </c>
      <c r="Q1483">
        <v>-8.4282579999999996E-2</v>
      </c>
      <c r="R1483">
        <v>-0.99552269999999998</v>
      </c>
      <c r="S1483">
        <v>-0.28125</v>
      </c>
      <c r="T1483">
        <v>-0.59400059999999999</v>
      </c>
      <c r="U1483">
        <v>-2.951416</v>
      </c>
      <c r="V1483">
        <v>9.7922499999999996E-2</v>
      </c>
      <c r="W1483">
        <v>-7.6465569999999997E-2</v>
      </c>
      <c r="X1483">
        <v>0.99225209999999997</v>
      </c>
      <c r="Y1483">
        <v>0.14820269999999999</v>
      </c>
      <c r="Z1483">
        <v>0.1874403</v>
      </c>
      <c r="AA1483">
        <v>0.97103139999999999</v>
      </c>
      <c r="AB1483">
        <v>19</v>
      </c>
      <c r="AC1483">
        <v>-8.3899999999999794E-2</v>
      </c>
      <c r="AD1483">
        <v>-0.157779799999999</v>
      </c>
      <c r="AE1483">
        <v>-0.60189999999999999</v>
      </c>
      <c r="AF1483">
        <v>0.10980471556560201</v>
      </c>
      <c r="AG1483">
        <v>-0.157779799999999</v>
      </c>
      <c r="AH1483">
        <v>0.55865349588069602</v>
      </c>
      <c r="AI1483">
        <v>105.489455706719</v>
      </c>
      <c r="AJ1483">
        <v>78.880125368396094</v>
      </c>
      <c r="AK1483">
        <v>0.59080053258964305</v>
      </c>
      <c r="AL1483">
        <v>94.385435070155594</v>
      </c>
      <c r="AM1483">
        <v>84.363894326931501</v>
      </c>
      <c r="AN1483">
        <v>1.0000000146780399</v>
      </c>
    </row>
    <row r="1484" spans="1:40" x14ac:dyDescent="0.25">
      <c r="A1484" t="str">
        <f>"20190305135221439"</f>
        <v>20190305135221439</v>
      </c>
      <c r="B1484" t="str">
        <f>"1551765141431329"</f>
        <v>1551765141431329</v>
      </c>
      <c r="C1484" t="s">
        <v>40</v>
      </c>
      <c r="D1484">
        <v>4.636082</v>
      </c>
      <c r="E1484">
        <v>0.5175805</v>
      </c>
      <c r="F1484" t="s">
        <v>41</v>
      </c>
      <c r="G1484">
        <v>-191.41220000000001</v>
      </c>
      <c r="H1484">
        <v>0.95107079999999999</v>
      </c>
      <c r="I1484">
        <v>331.0804</v>
      </c>
      <c r="J1484">
        <v>-191.32820000000001</v>
      </c>
      <c r="K1484">
        <v>1.107877</v>
      </c>
      <c r="L1484">
        <v>331.65170000000001</v>
      </c>
      <c r="M1484">
        <v>5.434667E-2</v>
      </c>
      <c r="N1484">
        <v>-7.607763E-3</v>
      </c>
      <c r="O1484">
        <v>-0.99849330000000003</v>
      </c>
      <c r="P1484">
        <v>-4.4056390000000001E-2</v>
      </c>
      <c r="Q1484">
        <v>-8.5650909999999997E-2</v>
      </c>
      <c r="R1484">
        <v>-0.99535090000000004</v>
      </c>
      <c r="S1484">
        <v>-0.28329470000000001</v>
      </c>
      <c r="T1484">
        <v>-0.6003231</v>
      </c>
      <c r="U1484">
        <v>-2.9504700000000001</v>
      </c>
      <c r="V1484">
        <v>9.7975110000000004E-2</v>
      </c>
      <c r="W1484">
        <v>-7.8245540000000002E-2</v>
      </c>
      <c r="X1484">
        <v>0.99210810000000005</v>
      </c>
      <c r="Y1484">
        <v>0.14766889999999999</v>
      </c>
      <c r="Z1484">
        <v>0.18992829999999999</v>
      </c>
      <c r="AA1484">
        <v>0.97062930000000003</v>
      </c>
      <c r="AB1484">
        <v>19</v>
      </c>
      <c r="AC1484">
        <v>-8.40000000000031E-2</v>
      </c>
      <c r="AD1484">
        <v>-0.15680619999999901</v>
      </c>
      <c r="AE1484">
        <v>-0.57130000000000702</v>
      </c>
      <c r="AF1484">
        <v>0.10703232462034901</v>
      </c>
      <c r="AG1484">
        <v>-0.15680619999999901</v>
      </c>
      <c r="AH1484">
        <v>0.52702688849486001</v>
      </c>
      <c r="AI1484">
        <v>106.255500589498</v>
      </c>
      <c r="AJ1484">
        <v>78.520098070147796</v>
      </c>
      <c r="AK1484">
        <v>0.56017983190101495</v>
      </c>
      <c r="AL1484">
        <v>94.487726495981505</v>
      </c>
      <c r="AM1484">
        <v>84.3600725600148</v>
      </c>
      <c r="AN1484">
        <v>0.99999998439750604</v>
      </c>
    </row>
    <row r="1485" spans="1:40" x14ac:dyDescent="0.25">
      <c r="A1485" t="str">
        <f>"20190305135221463"</f>
        <v>20190305135221463</v>
      </c>
      <c r="B1485" t="str">
        <f>"1551765141450856"</f>
        <v>1551765141450856</v>
      </c>
      <c r="C1485" t="s">
        <v>40</v>
      </c>
      <c r="D1485">
        <v>4.6528809999999998</v>
      </c>
      <c r="E1485">
        <v>0.51741890000000001</v>
      </c>
      <c r="F1485" t="s">
        <v>41</v>
      </c>
      <c r="G1485">
        <v>-191.40010000000001</v>
      </c>
      <c r="H1485">
        <v>0.95491479999999995</v>
      </c>
      <c r="I1485">
        <v>330.90879999999999</v>
      </c>
      <c r="J1485">
        <v>-191.3185</v>
      </c>
      <c r="K1485">
        <v>1.1078330000000001</v>
      </c>
      <c r="L1485">
        <v>331.44819999999999</v>
      </c>
      <c r="M1485">
        <v>5.311776E-2</v>
      </c>
      <c r="N1485">
        <v>-7.2342659999999996E-3</v>
      </c>
      <c r="O1485">
        <v>-0.99856230000000001</v>
      </c>
      <c r="P1485">
        <v>-4.5105409999999999E-2</v>
      </c>
      <c r="Q1485">
        <v>-8.6527160000000006E-2</v>
      </c>
      <c r="R1485">
        <v>-0.99522820000000001</v>
      </c>
      <c r="S1485">
        <v>-0.28556819999999999</v>
      </c>
      <c r="T1485">
        <v>-0.60733870000000001</v>
      </c>
      <c r="U1485">
        <v>-2.9491580000000002</v>
      </c>
      <c r="V1485">
        <v>9.7791900000000001E-2</v>
      </c>
      <c r="W1485">
        <v>-7.9494969999999998E-2</v>
      </c>
      <c r="X1485">
        <v>0.99202690000000004</v>
      </c>
      <c r="Y1485">
        <v>0.14718889999999901</v>
      </c>
      <c r="Z1485">
        <v>0.1926184</v>
      </c>
      <c r="AA1485">
        <v>0.97017189999999998</v>
      </c>
      <c r="AB1485">
        <v>19</v>
      </c>
      <c r="AC1485">
        <v>-8.1600000000008693E-2</v>
      </c>
      <c r="AD1485">
        <v>-0.1529182</v>
      </c>
      <c r="AE1485">
        <v>-0.53939999999999999</v>
      </c>
      <c r="AF1485">
        <v>0.102113931119934</v>
      </c>
      <c r="AG1485">
        <v>-0.1529182</v>
      </c>
      <c r="AH1485">
        <v>0.49538073757117901</v>
      </c>
      <c r="AI1485">
        <v>106.821742956607</v>
      </c>
      <c r="AJ1485">
        <v>78.352632515662293</v>
      </c>
      <c r="AK1485">
        <v>0.52840638336092405</v>
      </c>
      <c r="AL1485">
        <v>94.559537020591705</v>
      </c>
      <c r="AM1485">
        <v>84.370093394706302</v>
      </c>
      <c r="AN1485">
        <v>1.00000003814225</v>
      </c>
    </row>
    <row r="1486" spans="1:40" x14ac:dyDescent="0.25">
      <c r="A1486" t="str">
        <f>"20190305135221484"</f>
        <v>20190305135221484</v>
      </c>
      <c r="B1486" t="str">
        <f>"1551765141471348"</f>
        <v>1551765141471348</v>
      </c>
      <c r="C1486" t="s">
        <v>40</v>
      </c>
      <c r="D1486">
        <v>4.5148519999999897</v>
      </c>
      <c r="E1486">
        <v>0.51724040000000004</v>
      </c>
      <c r="F1486" t="s">
        <v>41</v>
      </c>
      <c r="G1486">
        <v>-191.38810000000001</v>
      </c>
      <c r="H1486">
        <v>0.95974139999999997</v>
      </c>
      <c r="I1486">
        <v>330.73570000000001</v>
      </c>
      <c r="J1486">
        <v>-191.31010000000001</v>
      </c>
      <c r="K1486">
        <v>1.107801</v>
      </c>
      <c r="L1486">
        <v>331.26740000000001</v>
      </c>
      <c r="M1486">
        <v>5.2013530000000002E-2</v>
      </c>
      <c r="N1486">
        <v>-6.9331599999999998E-3</v>
      </c>
      <c r="O1486">
        <v>-0.99862240000000002</v>
      </c>
      <c r="P1486">
        <v>-4.5564340000000002E-2</v>
      </c>
      <c r="Q1486">
        <v>-8.7104130000000002E-2</v>
      </c>
      <c r="R1486">
        <v>-0.99515679999999995</v>
      </c>
      <c r="S1486">
        <v>-0.28784179999999998</v>
      </c>
      <c r="T1486">
        <v>-0.61283449999999995</v>
      </c>
      <c r="U1486">
        <v>-2.948029</v>
      </c>
      <c r="V1486">
        <v>9.7146150000000001E-2</v>
      </c>
      <c r="W1486">
        <v>-8.0372719999999995E-2</v>
      </c>
      <c r="X1486">
        <v>0.9920196</v>
      </c>
      <c r="Y1486">
        <v>0.14683570000000001</v>
      </c>
      <c r="Z1486">
        <v>0.19473989999999999</v>
      </c>
      <c r="AA1486">
        <v>0.96980180000000005</v>
      </c>
      <c r="AB1486">
        <v>19</v>
      </c>
      <c r="AC1486">
        <v>-7.80000000000029E-2</v>
      </c>
      <c r="AD1486">
        <v>-0.14805959999999899</v>
      </c>
      <c r="AE1486">
        <v>-0.53169999999999995</v>
      </c>
      <c r="AF1486">
        <v>9.8103723669994994E-2</v>
      </c>
      <c r="AG1486">
        <v>-0.14805959999999899</v>
      </c>
      <c r="AH1486">
        <v>0.48974694460277601</v>
      </c>
      <c r="AI1486">
        <v>106.511391819561</v>
      </c>
      <c r="AJ1486">
        <v>78.672707317058695</v>
      </c>
      <c r="AK1486">
        <v>0.52095878483602998</v>
      </c>
      <c r="AL1486">
        <v>94.609989925688794</v>
      </c>
      <c r="AM1486">
        <v>84.406992015679506</v>
      </c>
      <c r="AN1486">
        <v>1.00000001768209</v>
      </c>
    </row>
    <row r="1487" spans="1:40" x14ac:dyDescent="0.25">
      <c r="A1487" t="str">
        <f>"20190305135221529"</f>
        <v>20190305135221529</v>
      </c>
      <c r="B1487" t="str">
        <f>"1551765141521121"</f>
        <v>1551765141521121</v>
      </c>
      <c r="C1487" t="s">
        <v>40</v>
      </c>
      <c r="D1487">
        <v>4.6832799999999999</v>
      </c>
      <c r="E1487">
        <v>0.51706560000000001</v>
      </c>
      <c r="F1487" t="s">
        <v>41</v>
      </c>
      <c r="G1487">
        <v>-191.37899999999999</v>
      </c>
      <c r="H1487">
        <v>0.96043869999999998</v>
      </c>
      <c r="I1487">
        <v>330.56319999999999</v>
      </c>
      <c r="J1487">
        <v>-191.29249999999999</v>
      </c>
      <c r="K1487">
        <v>1.1077109999999999</v>
      </c>
      <c r="L1487">
        <v>330.87099999999998</v>
      </c>
      <c r="M1487">
        <v>4.9511939999999997E-2</v>
      </c>
      <c r="N1487">
        <v>-6.3172300000000001E-3</v>
      </c>
      <c r="O1487">
        <v>-0.99875369999999997</v>
      </c>
      <c r="P1487">
        <v>-4.5609539999999997E-2</v>
      </c>
      <c r="Q1487">
        <v>-8.5541770000000003E-2</v>
      </c>
      <c r="R1487">
        <v>-0.99529029999999996</v>
      </c>
      <c r="S1487">
        <v>-0.2881165</v>
      </c>
      <c r="T1487">
        <v>-0.61684079999999997</v>
      </c>
      <c r="U1487">
        <v>-2.9474179999999999</v>
      </c>
      <c r="V1487">
        <v>9.4705609999999996E-2</v>
      </c>
      <c r="W1487">
        <v>-7.9427109999999995E-2</v>
      </c>
      <c r="X1487">
        <v>0.99233170000000004</v>
      </c>
      <c r="Y1487">
        <v>0.14444000000000001</v>
      </c>
      <c r="Z1487">
        <v>0.1967247</v>
      </c>
      <c r="AA1487">
        <v>0.96976110000000004</v>
      </c>
      <c r="AB1487">
        <v>19</v>
      </c>
      <c r="AC1487">
        <v>-8.6500000000029303E-2</v>
      </c>
      <c r="AD1487">
        <v>-0.14727229999999999</v>
      </c>
      <c r="AE1487">
        <v>-0.30779999999998597</v>
      </c>
      <c r="AF1487">
        <v>8.3844352010971804E-2</v>
      </c>
      <c r="AG1487">
        <v>-0.14727229999999999</v>
      </c>
      <c r="AH1487">
        <v>0.25007918990932199</v>
      </c>
      <c r="AI1487">
        <v>119.17709799185999</v>
      </c>
      <c r="AJ1487">
        <v>71.465180521301903</v>
      </c>
      <c r="AK1487">
        <v>0.30209039530765103</v>
      </c>
      <c r="AL1487">
        <v>94.555636721644603</v>
      </c>
      <c r="AM1487">
        <v>84.548348495447996</v>
      </c>
      <c r="AN1487">
        <v>1.00000001059665</v>
      </c>
    </row>
    <row r="1488" spans="1:40" x14ac:dyDescent="0.25">
      <c r="A1488" t="str">
        <f>"20190305135221552"</f>
        <v>20190305135221552</v>
      </c>
      <c r="B1488" t="str">
        <f>"1551765141540641"</f>
        <v>1551765141540641</v>
      </c>
      <c r="C1488" t="s">
        <v>40</v>
      </c>
      <c r="D1488">
        <v>4.6856640000000001</v>
      </c>
      <c r="E1488">
        <v>0.51688590000000001</v>
      </c>
      <c r="F1488" t="s">
        <v>41</v>
      </c>
      <c r="G1488">
        <v>-191.37260000000001</v>
      </c>
      <c r="H1488">
        <v>0.93638809999999995</v>
      </c>
      <c r="I1488">
        <v>330.04910000000001</v>
      </c>
      <c r="J1488">
        <v>-191.2842</v>
      </c>
      <c r="K1488">
        <v>1.107656</v>
      </c>
      <c r="L1488">
        <v>330.6748</v>
      </c>
      <c r="M1488">
        <v>4.8232820000000003E-2</v>
      </c>
      <c r="N1488">
        <v>-6.0385639999999997E-3</v>
      </c>
      <c r="O1488">
        <v>-0.99881779999999998</v>
      </c>
      <c r="P1488">
        <v>-4.606785E-2</v>
      </c>
      <c r="Q1488">
        <v>-8.3298109999999995E-2</v>
      </c>
      <c r="R1488">
        <v>-0.99545939999999999</v>
      </c>
      <c r="S1488">
        <v>-0.28707890000000003</v>
      </c>
      <c r="T1488">
        <v>-0.61456549999999999</v>
      </c>
      <c r="U1488">
        <v>-2.9482119999999998</v>
      </c>
      <c r="V1488">
        <v>9.3898640000000005E-2</v>
      </c>
      <c r="W1488">
        <v>-7.7464060000000001E-2</v>
      </c>
      <c r="X1488">
        <v>0.99256350000000004</v>
      </c>
      <c r="Y1488">
        <v>0.14282449999999999</v>
      </c>
      <c r="Z1488">
        <v>0.1962749</v>
      </c>
      <c r="AA1488">
        <v>0.97009140000000005</v>
      </c>
      <c r="AB1488">
        <v>20</v>
      </c>
      <c r="AC1488">
        <v>-8.8400000000007098E-2</v>
      </c>
      <c r="AD1488">
        <v>-0.1712679</v>
      </c>
      <c r="AE1488">
        <v>-0.62569999999999404</v>
      </c>
      <c r="AF1488">
        <v>0.11036946940370899</v>
      </c>
      <c r="AG1488">
        <v>-0.1712679</v>
      </c>
      <c r="AH1488">
        <v>0.57823235894301905</v>
      </c>
      <c r="AI1488">
        <v>106.221810955838</v>
      </c>
      <c r="AJ1488">
        <v>79.193714083424297</v>
      </c>
      <c r="AK1488">
        <v>0.61307974544562704</v>
      </c>
      <c r="AL1488">
        <v>94.442814739249798</v>
      </c>
      <c r="AM1488">
        <v>84.595779650036306</v>
      </c>
      <c r="AN1488">
        <v>0.99999996835889104</v>
      </c>
    </row>
    <row r="1489" spans="1:40" x14ac:dyDescent="0.25">
      <c r="A1489" t="str">
        <f>"20190305135221574"</f>
        <v>20190305135221574</v>
      </c>
      <c r="B1489" t="str">
        <f>"1551765141561137"</f>
        <v>1551765141561137</v>
      </c>
      <c r="C1489" t="s">
        <v>40</v>
      </c>
      <c r="D1489">
        <v>4.6077199999999996</v>
      </c>
      <c r="E1489">
        <v>0.51680000000000004</v>
      </c>
      <c r="F1489" t="s">
        <v>41</v>
      </c>
      <c r="G1489">
        <v>-191.36259999999999</v>
      </c>
      <c r="H1489">
        <v>0.94075120000000001</v>
      </c>
      <c r="I1489">
        <v>329.87020000000001</v>
      </c>
      <c r="J1489">
        <v>-191.27600000000001</v>
      </c>
      <c r="K1489">
        <v>1.1076010000000001</v>
      </c>
      <c r="L1489">
        <v>330.47430000000003</v>
      </c>
      <c r="M1489">
        <v>4.6901079999999998E-2</v>
      </c>
      <c r="N1489">
        <v>-5.7841250000000002E-3</v>
      </c>
      <c r="O1489">
        <v>-0.99888279999999996</v>
      </c>
      <c r="P1489">
        <v>-4.6669450000000001E-2</v>
      </c>
      <c r="Q1489">
        <v>-8.2897490000000004E-2</v>
      </c>
      <c r="R1489">
        <v>-0.99546469999999998</v>
      </c>
      <c r="S1489">
        <v>-0.2871552</v>
      </c>
      <c r="T1489">
        <v>-0.61181039999999998</v>
      </c>
      <c r="U1489">
        <v>-2.9491879999999999</v>
      </c>
      <c r="V1489">
        <v>9.3171480000000001E-2</v>
      </c>
      <c r="W1489">
        <v>-7.7321100000000004E-2</v>
      </c>
      <c r="X1489">
        <v>0.99264319999999895</v>
      </c>
      <c r="Y1489">
        <v>0.14151710000000001</v>
      </c>
      <c r="Z1489">
        <v>0.19562940000000001</v>
      </c>
      <c r="AA1489">
        <v>0.97041330000000003</v>
      </c>
      <c r="AB1489">
        <v>20</v>
      </c>
      <c r="AC1489">
        <v>-8.6600000000004201E-2</v>
      </c>
      <c r="AD1489">
        <v>-0.16684979999999999</v>
      </c>
      <c r="AE1489">
        <v>-0.60410000000001596</v>
      </c>
      <c r="AF1489">
        <v>0.106851204394573</v>
      </c>
      <c r="AG1489">
        <v>-0.16684979999999999</v>
      </c>
      <c r="AH1489">
        <v>0.557687490200789</v>
      </c>
      <c r="AI1489">
        <v>106.374732162944</v>
      </c>
      <c r="AJ1489">
        <v>79.153750111093004</v>
      </c>
      <c r="AK1489">
        <v>0.59183728538092795</v>
      </c>
      <c r="AL1489">
        <v>94.434598953202496</v>
      </c>
      <c r="AM1489">
        <v>84.637813578551402</v>
      </c>
      <c r="AN1489">
        <v>0.99999999984842003</v>
      </c>
    </row>
    <row r="1490" spans="1:40" x14ac:dyDescent="0.25">
      <c r="A1490" t="str">
        <f>"20190305135221596"</f>
        <v>20190305135221596</v>
      </c>
      <c r="B1490" t="str">
        <f>"1551765141591393"</f>
        <v>1551765141591393</v>
      </c>
      <c r="C1490" t="s">
        <v>40</v>
      </c>
      <c r="D1490">
        <v>4.6811350000000003</v>
      </c>
      <c r="E1490">
        <v>0.51670609999999995</v>
      </c>
      <c r="F1490" t="s">
        <v>41</v>
      </c>
      <c r="G1490">
        <v>-191.3527</v>
      </c>
      <c r="H1490">
        <v>0.94515260000000001</v>
      </c>
      <c r="I1490">
        <v>329.6902</v>
      </c>
      <c r="J1490">
        <v>-191.26840000000001</v>
      </c>
      <c r="K1490">
        <v>1.1075539999999999</v>
      </c>
      <c r="L1490">
        <v>330.27949999999998</v>
      </c>
      <c r="M1490">
        <v>4.5585340000000002E-2</v>
      </c>
      <c r="N1490">
        <v>-5.5660199999999996E-3</v>
      </c>
      <c r="O1490">
        <v>-0.99894510000000003</v>
      </c>
      <c r="P1490">
        <v>-4.7637119999999998E-2</v>
      </c>
      <c r="Q1490">
        <v>-8.3359790000000003E-2</v>
      </c>
      <c r="R1490">
        <v>-0.9953805</v>
      </c>
      <c r="S1490">
        <v>-0.28785709999999998</v>
      </c>
      <c r="T1490">
        <v>-0.61098240000000004</v>
      </c>
      <c r="U1490">
        <v>-2.9492799999999999</v>
      </c>
      <c r="V1490">
        <v>9.2821150000000005E-2</v>
      </c>
      <c r="W1490">
        <v>-7.8005190000000002E-2</v>
      </c>
      <c r="X1490">
        <v>0.99262249999999996</v>
      </c>
      <c r="Y1490">
        <v>0.14044409999999999</v>
      </c>
      <c r="Z1490">
        <v>0.19560820000000001</v>
      </c>
      <c r="AA1490">
        <v>0.97057349999999998</v>
      </c>
      <c r="AB1490">
        <v>20</v>
      </c>
      <c r="AC1490">
        <v>-8.4299999999984707E-2</v>
      </c>
      <c r="AD1490">
        <v>-0.1624014</v>
      </c>
      <c r="AE1490">
        <v>-0.58929999999997995</v>
      </c>
      <c r="AF1490">
        <v>0.103382169866331</v>
      </c>
      <c r="AG1490">
        <v>-0.1624014</v>
      </c>
      <c r="AH1490">
        <v>0.54433336526032605</v>
      </c>
      <c r="AI1490">
        <v>106.33636590651</v>
      </c>
      <c r="AJ1490">
        <v>79.246215431048199</v>
      </c>
      <c r="AK1490">
        <v>0.57737414239283602</v>
      </c>
      <c r="AL1490">
        <v>94.473913158678002</v>
      </c>
      <c r="AM1490">
        <v>84.657748075576905</v>
      </c>
      <c r="AN1490">
        <v>1.0000000015302499</v>
      </c>
    </row>
    <row r="1491" spans="1:40" x14ac:dyDescent="0.25">
      <c r="A1491" t="str">
        <f>"20190305135221619"</f>
        <v>20190305135221619</v>
      </c>
      <c r="B1491" t="str">
        <f>"1551765141610914"</f>
        <v>1551765141610914</v>
      </c>
      <c r="C1491" t="s">
        <v>40</v>
      </c>
      <c r="D1491">
        <v>4.7171560000000001</v>
      </c>
      <c r="E1491">
        <v>0.51664489999999996</v>
      </c>
      <c r="F1491" t="s">
        <v>41</v>
      </c>
      <c r="G1491">
        <v>-191.3441</v>
      </c>
      <c r="H1491">
        <v>0.94734430000000003</v>
      </c>
      <c r="I1491">
        <v>329.50979999999998</v>
      </c>
      <c r="J1491">
        <v>-191.2603</v>
      </c>
      <c r="K1491">
        <v>1.107507</v>
      </c>
      <c r="L1491">
        <v>330.06689999999998</v>
      </c>
      <c r="M1491">
        <v>4.413044E-2</v>
      </c>
      <c r="N1491">
        <v>-5.3553589999999996E-3</v>
      </c>
      <c r="O1491">
        <v>-0.99901169999999995</v>
      </c>
      <c r="P1491">
        <v>-4.9235899999999999E-2</v>
      </c>
      <c r="Q1491">
        <v>-8.4035310000000002E-2</v>
      </c>
      <c r="R1491">
        <v>-0.99524590000000002</v>
      </c>
      <c r="S1491">
        <v>-0.29026790000000002</v>
      </c>
      <c r="T1491">
        <v>-0.61371119999999901</v>
      </c>
      <c r="U1491">
        <v>-2.948639</v>
      </c>
      <c r="V1491">
        <v>9.2961420000000003E-2</v>
      </c>
      <c r="W1491">
        <v>-7.8895460000000001E-2</v>
      </c>
      <c r="X1491">
        <v>0.99253899999999995</v>
      </c>
      <c r="Y1491">
        <v>0.1397902</v>
      </c>
      <c r="Z1491">
        <v>0.1967409</v>
      </c>
      <c r="AA1491">
        <v>0.97043900000000005</v>
      </c>
      <c r="AB1491">
        <v>20</v>
      </c>
      <c r="AC1491">
        <v>-8.3799999999996502E-2</v>
      </c>
      <c r="AD1491">
        <v>-0.16016269999999899</v>
      </c>
      <c r="AE1491">
        <v>-0.55709999999999105</v>
      </c>
      <c r="AF1491">
        <v>0.100204835395556</v>
      </c>
      <c r="AG1491">
        <v>-0.16016269999999899</v>
      </c>
      <c r="AH1491">
        <v>0.51151636236740705</v>
      </c>
      <c r="AI1491">
        <v>107.080785384959</v>
      </c>
      <c r="AJ1491">
        <v>78.916253784550406</v>
      </c>
      <c r="AK1491">
        <v>0.54529082926226202</v>
      </c>
      <c r="AL1491">
        <v>94.525079606873604</v>
      </c>
      <c r="AM1491">
        <v>84.649274260458199</v>
      </c>
      <c r="AN1491">
        <v>0.99999999286901298</v>
      </c>
    </row>
    <row r="1492" spans="1:40" x14ac:dyDescent="0.25">
      <c r="A1492" t="str">
        <f>"20190305135221641"</f>
        <v>20190305135221641</v>
      </c>
      <c r="B1492" t="str">
        <f>"1551765141631410"</f>
        <v>1551765141631410</v>
      </c>
      <c r="C1492" t="s">
        <v>40</v>
      </c>
      <c r="D1492">
        <v>4.7345670000000002</v>
      </c>
      <c r="E1492">
        <v>0.51659630000000001</v>
      </c>
      <c r="F1492" t="s">
        <v>41</v>
      </c>
      <c r="G1492">
        <v>-191.33439999999999</v>
      </c>
      <c r="H1492">
        <v>0.95247950000000003</v>
      </c>
      <c r="I1492">
        <v>329.327</v>
      </c>
      <c r="J1492">
        <v>-191.2534</v>
      </c>
      <c r="K1492">
        <v>1.1074679999999999</v>
      </c>
      <c r="L1492">
        <v>329.87709999999998</v>
      </c>
      <c r="M1492">
        <v>4.2821650000000003E-2</v>
      </c>
      <c r="N1492">
        <v>-5.1886889999999998E-3</v>
      </c>
      <c r="O1492">
        <v>-0.99906919999999999</v>
      </c>
      <c r="P1492">
        <v>-5.1256320000000001E-2</v>
      </c>
      <c r="Q1492">
        <v>-8.4437090000000006E-2</v>
      </c>
      <c r="R1492">
        <v>-0.99510980000000004</v>
      </c>
      <c r="S1492">
        <v>-0.29466249999999999</v>
      </c>
      <c r="T1492">
        <v>-0.61759609999999998</v>
      </c>
      <c r="U1492">
        <v>-2.9475709999999999</v>
      </c>
      <c r="V1492">
        <v>9.3670589999999998E-2</v>
      </c>
      <c r="W1492">
        <v>-7.9467709999999997E-2</v>
      </c>
      <c r="X1492">
        <v>0.99242669999999999</v>
      </c>
      <c r="Y1492">
        <v>0.1399331</v>
      </c>
      <c r="Z1492">
        <v>0.19820280000000001</v>
      </c>
      <c r="AA1492">
        <v>0.97012080000000001</v>
      </c>
      <c r="AB1492">
        <v>20</v>
      </c>
      <c r="AC1492">
        <v>-8.0999999999988803E-2</v>
      </c>
      <c r="AD1492">
        <v>-0.1549885</v>
      </c>
      <c r="AE1492">
        <v>-0.55009999999998604</v>
      </c>
      <c r="AF1492">
        <v>9.6949585988861303E-2</v>
      </c>
      <c r="AG1492">
        <v>-0.1549885</v>
      </c>
      <c r="AH1492">
        <v>0.50675390712161805</v>
      </c>
      <c r="AI1492">
        <v>106.720142310952</v>
      </c>
      <c r="AJ1492">
        <v>79.169335798522596</v>
      </c>
      <c r="AK1492">
        <v>0.53872087368013399</v>
      </c>
      <c r="AL1492">
        <v>94.557970237980399</v>
      </c>
      <c r="AM1492">
        <v>84.608088599157398</v>
      </c>
      <c r="AN1492">
        <v>1.00000002561824</v>
      </c>
    </row>
    <row r="1493" spans="1:40" x14ac:dyDescent="0.25">
      <c r="A1493" t="str">
        <f>"20190305135221663"</f>
        <v>20190305135221663</v>
      </c>
      <c r="B1493" t="str">
        <f>"1551765141650929"</f>
        <v>1551765141650929</v>
      </c>
      <c r="C1493" t="s">
        <v>40</v>
      </c>
      <c r="D1493">
        <v>4.7243639999999996</v>
      </c>
      <c r="E1493">
        <v>0.51653079999999996</v>
      </c>
      <c r="F1493" t="s">
        <v>41</v>
      </c>
      <c r="G1493">
        <v>-191.328</v>
      </c>
      <c r="H1493">
        <v>0.95318579999999997</v>
      </c>
      <c r="I1493">
        <v>329.1447</v>
      </c>
      <c r="J1493">
        <v>-191.24600000000001</v>
      </c>
      <c r="K1493">
        <v>1.107423</v>
      </c>
      <c r="L1493">
        <v>329.66730000000001</v>
      </c>
      <c r="M1493">
        <v>4.1372440000000003E-2</v>
      </c>
      <c r="N1493">
        <v>-5.0190979999999996E-3</v>
      </c>
      <c r="O1493">
        <v>-0.99913129999999994</v>
      </c>
      <c r="P1493">
        <v>-5.416663E-2</v>
      </c>
      <c r="Q1493">
        <v>-8.4924330000000006E-2</v>
      </c>
      <c r="R1493">
        <v>-0.99491419999999997</v>
      </c>
      <c r="S1493">
        <v>-0.30073549999999999</v>
      </c>
      <c r="T1493">
        <v>-0.62075659999999999</v>
      </c>
      <c r="U1493">
        <v>-2.946625</v>
      </c>
      <c r="V1493">
        <v>9.5128229999999994E-2</v>
      </c>
      <c r="W1493">
        <v>-8.0129060000000002E-2</v>
      </c>
      <c r="X1493">
        <v>0.99223479999999997</v>
      </c>
      <c r="Y1493">
        <v>0.14048429999999901</v>
      </c>
      <c r="Z1493">
        <v>0.19942009999999999</v>
      </c>
      <c r="AA1493">
        <v>0.96979170000000003</v>
      </c>
      <c r="AB1493">
        <v>20</v>
      </c>
      <c r="AC1493">
        <v>-8.2000000000022E-2</v>
      </c>
      <c r="AD1493">
        <v>-0.15423719999999999</v>
      </c>
      <c r="AE1493">
        <v>-0.52260000000001094</v>
      </c>
      <c r="AF1493">
        <v>9.54379898078761E-2</v>
      </c>
      <c r="AG1493">
        <v>-0.15423719999999999</v>
      </c>
      <c r="AH1493">
        <v>0.47811479757881298</v>
      </c>
      <c r="AI1493">
        <v>107.554946305774</v>
      </c>
      <c r="AJ1493">
        <v>78.711382755362806</v>
      </c>
      <c r="AK1493">
        <v>0.51136218419652202</v>
      </c>
      <c r="AL1493">
        <v>94.595984271824904</v>
      </c>
      <c r="AM1493">
        <v>84.523636750872498</v>
      </c>
      <c r="AN1493">
        <v>0.99999997236522797</v>
      </c>
    </row>
    <row r="1494" spans="1:40" x14ac:dyDescent="0.25">
      <c r="A1494" t="str">
        <f>"20190305135221685"</f>
        <v>20190305135221685</v>
      </c>
      <c r="B1494" t="str">
        <f>"1551765141681185"</f>
        <v>1551765141681185</v>
      </c>
      <c r="C1494" t="s">
        <v>40</v>
      </c>
      <c r="D1494">
        <v>4.6102720000000001</v>
      </c>
      <c r="E1494">
        <v>0.51638439999999997</v>
      </c>
      <c r="F1494" t="s">
        <v>41</v>
      </c>
      <c r="G1494">
        <v>-191.32050000000001</v>
      </c>
      <c r="H1494">
        <v>0.95747130000000003</v>
      </c>
      <c r="I1494">
        <v>328.9597</v>
      </c>
      <c r="J1494">
        <v>-191.23939999999999</v>
      </c>
      <c r="K1494">
        <v>1.1073959999999901</v>
      </c>
      <c r="L1494">
        <v>329.47070000000002</v>
      </c>
      <c r="M1494">
        <v>4.0023070000000001E-2</v>
      </c>
      <c r="N1494">
        <v>-4.867148E-3</v>
      </c>
      <c r="O1494">
        <v>-0.99918709999999999</v>
      </c>
      <c r="P1494">
        <v>-5.651461E-2</v>
      </c>
      <c r="Q1494">
        <v>-8.5527989999999998E-2</v>
      </c>
      <c r="R1494">
        <v>-0.9947317</v>
      </c>
      <c r="S1494">
        <v>-0.30941770000000002</v>
      </c>
      <c r="T1494">
        <v>-0.62422440000000001</v>
      </c>
      <c r="U1494">
        <v>-2.9452509999999998</v>
      </c>
      <c r="V1494">
        <v>9.6125699999999994E-2</v>
      </c>
      <c r="W1494">
        <v>-8.0886479999999997E-2</v>
      </c>
      <c r="X1494">
        <v>0.99207719999999999</v>
      </c>
      <c r="Y1494">
        <v>0.14199500000000001</v>
      </c>
      <c r="Z1494">
        <v>0.20071939999999999</v>
      </c>
      <c r="AA1494">
        <v>0.96930340000000004</v>
      </c>
      <c r="AB1494">
        <v>20</v>
      </c>
      <c r="AC1494">
        <v>-8.11000000000206E-2</v>
      </c>
      <c r="AD1494">
        <v>-0.14992469999999899</v>
      </c>
      <c r="AE1494">
        <v>-0.51100000000002399</v>
      </c>
      <c r="AF1494">
        <v>9.3625714095957394E-2</v>
      </c>
      <c r="AG1494">
        <v>-0.14992469999999899</v>
      </c>
      <c r="AH1494">
        <v>0.46804500985770903</v>
      </c>
      <c r="AI1494">
        <v>107.437427655343</v>
      </c>
      <c r="AJ1494">
        <v>78.688100408254698</v>
      </c>
      <c r="AK1494">
        <v>0.50030922564227298</v>
      </c>
      <c r="AL1494">
        <v>94.639522572161397</v>
      </c>
      <c r="AM1494">
        <v>84.465695156968394</v>
      </c>
      <c r="AN1494">
        <v>0.99999997180355904</v>
      </c>
    </row>
    <row r="1495" spans="1:40" x14ac:dyDescent="0.25">
      <c r="A1495" t="str">
        <f>"20190305135221708"</f>
        <v>20190305135221708</v>
      </c>
      <c r="B1495" t="str">
        <f>"1551765141700705"</f>
        <v>1551765141700705</v>
      </c>
      <c r="C1495" t="s">
        <v>40</v>
      </c>
      <c r="D1495">
        <v>4.6596299999999999</v>
      </c>
      <c r="E1495">
        <v>0.51640189999999997</v>
      </c>
      <c r="F1495" t="s">
        <v>41</v>
      </c>
      <c r="G1495">
        <v>-191.31399999999999</v>
      </c>
      <c r="H1495">
        <v>0.95828709999999995</v>
      </c>
      <c r="I1495">
        <v>328.77499999999998</v>
      </c>
      <c r="J1495">
        <v>-191.23259999999999</v>
      </c>
      <c r="K1495">
        <v>1.1073770000000001</v>
      </c>
      <c r="L1495">
        <v>329.26319999999998</v>
      </c>
      <c r="M1495">
        <v>3.8625649999999997E-2</v>
      </c>
      <c r="N1495">
        <v>-4.7123119999999998E-3</v>
      </c>
      <c r="O1495">
        <v>-0.99924279999999999</v>
      </c>
      <c r="P1495">
        <v>-5.8451240000000002E-2</v>
      </c>
      <c r="Q1495">
        <v>-8.5237579999999993E-2</v>
      </c>
      <c r="R1495">
        <v>-0.9946448</v>
      </c>
      <c r="S1495">
        <v>-0.31565860000000001</v>
      </c>
      <c r="T1495">
        <v>-0.630915</v>
      </c>
      <c r="U1495">
        <v>-2.943695</v>
      </c>
      <c r="V1495">
        <v>9.6672179999999996E-2</v>
      </c>
      <c r="W1495">
        <v>-8.074924E-2</v>
      </c>
      <c r="X1495">
        <v>0.99203529999999995</v>
      </c>
      <c r="Y1495">
        <v>0.1426461</v>
      </c>
      <c r="Z1495">
        <v>0.20307020000000001</v>
      </c>
      <c r="AA1495">
        <v>0.96871810000000003</v>
      </c>
      <c r="AB1495">
        <v>20</v>
      </c>
      <c r="AC1495">
        <v>-8.1400000000030504E-2</v>
      </c>
      <c r="AD1495">
        <v>-0.1490899</v>
      </c>
      <c r="AE1495">
        <v>-0.48820000000000602</v>
      </c>
      <c r="AF1495">
        <v>9.1861150854444407E-2</v>
      </c>
      <c r="AG1495">
        <v>-0.1490899</v>
      </c>
      <c r="AH1495">
        <v>0.44437000107352997</v>
      </c>
      <c r="AI1495">
        <v>108.188533656315</v>
      </c>
      <c r="AJ1495">
        <v>78.320209891269002</v>
      </c>
      <c r="AK1495">
        <v>0.47763057604429199</v>
      </c>
      <c r="AL1495">
        <v>94.631633393315795</v>
      </c>
      <c r="AM1495">
        <v>84.434195719605398</v>
      </c>
      <c r="AN1495">
        <v>0.99999999329630995</v>
      </c>
    </row>
    <row r="1496" spans="1:40" x14ac:dyDescent="0.25">
      <c r="A1496" t="str">
        <f>"20190305135221732"</f>
        <v>20190305135221732</v>
      </c>
      <c r="B1496" t="str">
        <f>"1551765141721201"</f>
        <v>1551765141721201</v>
      </c>
      <c r="C1496" t="s">
        <v>40</v>
      </c>
      <c r="D1496">
        <v>4.6945439999999996</v>
      </c>
      <c r="E1496">
        <v>0.51634990000000003</v>
      </c>
      <c r="F1496" t="s">
        <v>41</v>
      </c>
      <c r="G1496">
        <v>-191.3254</v>
      </c>
      <c r="H1496">
        <v>0.92642869999999999</v>
      </c>
      <c r="I1496">
        <v>328.41559999999998</v>
      </c>
      <c r="J1496">
        <v>-191.2253</v>
      </c>
      <c r="K1496">
        <v>1.1073809999999999</v>
      </c>
      <c r="L1496">
        <v>329.02800000000002</v>
      </c>
      <c r="M1496">
        <v>3.7089459999999998E-2</v>
      </c>
      <c r="N1496">
        <v>-4.5506749999999997E-3</v>
      </c>
      <c r="O1496">
        <v>-0.99930160000000001</v>
      </c>
      <c r="P1496">
        <v>-6.0204359999999998E-2</v>
      </c>
      <c r="Q1496">
        <v>-8.4004499999999996E-2</v>
      </c>
      <c r="R1496">
        <v>-0.9946448</v>
      </c>
      <c r="S1496">
        <v>-0.32147219999999999</v>
      </c>
      <c r="T1496">
        <v>-0.62838509999999903</v>
      </c>
      <c r="U1496">
        <v>-2.94339</v>
      </c>
      <c r="V1496">
        <v>9.6904920000000005E-2</v>
      </c>
      <c r="W1496">
        <v>-7.9672519999999997E-2</v>
      </c>
      <c r="X1496">
        <v>0.99209959999999997</v>
      </c>
      <c r="Y1496">
        <v>0.143043899999999</v>
      </c>
      <c r="Z1496">
        <v>0.20244309999999999</v>
      </c>
      <c r="AA1496">
        <v>0.96879059999999995</v>
      </c>
      <c r="AB1496">
        <v>21</v>
      </c>
      <c r="AC1496">
        <v>-0.100099999999997</v>
      </c>
      <c r="AD1496">
        <v>-0.18095229999999901</v>
      </c>
      <c r="AE1496">
        <v>-0.61240000000003603</v>
      </c>
      <c r="AF1496">
        <v>0.11312514611694401</v>
      </c>
      <c r="AG1496">
        <v>-0.18095229999999901</v>
      </c>
      <c r="AH1496">
        <v>0.56059475932721903</v>
      </c>
      <c r="AI1496">
        <v>107.557804085044</v>
      </c>
      <c r="AJ1496">
        <v>78.591218639307897</v>
      </c>
      <c r="AK1496">
        <v>0.59983957667397403</v>
      </c>
      <c r="AL1496">
        <v>94.569742680889604</v>
      </c>
      <c r="AM1496">
        <v>84.421239700133597</v>
      </c>
      <c r="AN1496">
        <v>0.99999994514175605</v>
      </c>
    </row>
    <row r="1497" spans="1:40" x14ac:dyDescent="0.25">
      <c r="A1497" t="str">
        <f>"20190305135221754"</f>
        <v>20190305135221754</v>
      </c>
      <c r="B1497" t="str">
        <f>"1551765141740721"</f>
        <v>1551765141740721</v>
      </c>
      <c r="C1497" t="s">
        <v>40</v>
      </c>
      <c r="D1497">
        <v>4.7028309999999998</v>
      </c>
      <c r="E1497">
        <v>0.51624479999999995</v>
      </c>
      <c r="F1497" t="s">
        <v>41</v>
      </c>
      <c r="G1497">
        <v>-191.31469999999999</v>
      </c>
      <c r="H1497">
        <v>0.93670699999999996</v>
      </c>
      <c r="I1497">
        <v>328.22329999999999</v>
      </c>
      <c r="J1497">
        <v>-191.2192</v>
      </c>
      <c r="K1497">
        <v>1.10738</v>
      </c>
      <c r="L1497">
        <v>328.82389999999998</v>
      </c>
      <c r="M1497">
        <v>3.5797309999999999E-2</v>
      </c>
      <c r="N1497">
        <v>-4.4251530000000002E-3</v>
      </c>
      <c r="O1497">
        <v>-0.9993493</v>
      </c>
      <c r="P1497">
        <v>-6.1444850000000002E-2</v>
      </c>
      <c r="Q1497">
        <v>-8.3271059999999994E-2</v>
      </c>
      <c r="R1497">
        <v>-0.99463089999999998</v>
      </c>
      <c r="S1497">
        <v>-0.32650759999999901</v>
      </c>
      <c r="T1497">
        <v>-0.62431000000000003</v>
      </c>
      <c r="U1497">
        <v>-2.943695</v>
      </c>
      <c r="V1497">
        <v>9.6866190000000005E-2</v>
      </c>
      <c r="W1497">
        <v>-7.9059069999999995E-2</v>
      </c>
      <c r="X1497">
        <v>0.99215249999999999</v>
      </c>
      <c r="Y1497">
        <v>0.14342070000000001</v>
      </c>
      <c r="Z1497">
        <v>0.2012514</v>
      </c>
      <c r="AA1497">
        <v>0.96898320000000004</v>
      </c>
      <c r="AB1497">
        <v>21</v>
      </c>
      <c r="AC1497">
        <v>-9.5499999999986998E-2</v>
      </c>
      <c r="AD1497">
        <v>-0.17067299999999999</v>
      </c>
      <c r="AE1497">
        <v>-0.60059999999998503</v>
      </c>
      <c r="AF1497">
        <v>0.108401016702398</v>
      </c>
      <c r="AG1497">
        <v>-0.17067299999999999</v>
      </c>
      <c r="AH1497">
        <v>0.553223550051269</v>
      </c>
      <c r="AI1497">
        <v>106.84364751436701</v>
      </c>
      <c r="AJ1497">
        <v>78.913676266794994</v>
      </c>
      <c r="AK1497">
        <v>0.58901303014656803</v>
      </c>
      <c r="AL1497">
        <v>94.534483158440906</v>
      </c>
      <c r="AM1497">
        <v>84.423750765246297</v>
      </c>
      <c r="AN1497">
        <v>0.99999998928531497</v>
      </c>
    </row>
    <row r="1498" spans="1:40" x14ac:dyDescent="0.25">
      <c r="A1498" t="str">
        <f>"20190305135221774"</f>
        <v>20190305135221774</v>
      </c>
      <c r="B1498" t="str">
        <f>"1551765141761217"</f>
        <v>1551765141761217</v>
      </c>
      <c r="C1498" t="s">
        <v>40</v>
      </c>
      <c r="D1498">
        <v>4.7174480000000001</v>
      </c>
      <c r="E1498">
        <v>0.51618560000000002</v>
      </c>
      <c r="F1498" t="s">
        <v>41</v>
      </c>
      <c r="G1498">
        <v>-191.30789999999999</v>
      </c>
      <c r="H1498">
        <v>0.93973139999999999</v>
      </c>
      <c r="I1498">
        <v>328.0326</v>
      </c>
      <c r="J1498">
        <v>-191.21369999999999</v>
      </c>
      <c r="K1498">
        <v>1.10738799999999</v>
      </c>
      <c r="L1498">
        <v>328.63319999999999</v>
      </c>
      <c r="M1498">
        <v>3.4632059999999999E-2</v>
      </c>
      <c r="N1498">
        <v>-4.3205750000000001E-3</v>
      </c>
      <c r="O1498">
        <v>-0.99939089999999997</v>
      </c>
      <c r="P1498">
        <v>-6.2294059999999998E-2</v>
      </c>
      <c r="Q1498">
        <v>-8.2758079999999998E-2</v>
      </c>
      <c r="R1498">
        <v>-0.99462099999999998</v>
      </c>
      <c r="S1498">
        <v>-0.32943729999999999</v>
      </c>
      <c r="T1498">
        <v>-0.62367890000000004</v>
      </c>
      <c r="U1498">
        <v>-2.9436040000000001</v>
      </c>
      <c r="V1498">
        <v>9.6562549999999997E-2</v>
      </c>
      <c r="W1498">
        <v>-7.8644359999999996E-2</v>
      </c>
      <c r="X1498">
        <v>0.99221499999999996</v>
      </c>
      <c r="Y1498">
        <v>0.14322699999999999</v>
      </c>
      <c r="Z1498">
        <v>0.20116600000000001</v>
      </c>
      <c r="AA1498">
        <v>0.96902949999999999</v>
      </c>
      <c r="AB1498">
        <v>21</v>
      </c>
      <c r="AC1498">
        <v>-9.42000000000007E-2</v>
      </c>
      <c r="AD1498">
        <v>-0.16765659999999899</v>
      </c>
      <c r="AE1498">
        <v>-0.60059999999998503</v>
      </c>
      <c r="AF1498">
        <v>0.106819736076152</v>
      </c>
      <c r="AG1498">
        <v>-0.16765659999999899</v>
      </c>
      <c r="AH1498">
        <v>0.55478432464745298</v>
      </c>
      <c r="AI1498">
        <v>106.52829665697</v>
      </c>
      <c r="AJ1498">
        <v>79.1014823652079</v>
      </c>
      <c r="AK1498">
        <v>0.589325748982233</v>
      </c>
      <c r="AL1498">
        <v>94.510648061189499</v>
      </c>
      <c r="AM1498">
        <v>84.441468571513795</v>
      </c>
      <c r="AN1498">
        <v>0.99999993382365304</v>
      </c>
    </row>
    <row r="1499" spans="1:40" x14ac:dyDescent="0.25">
      <c r="A1499" t="str">
        <f>"20190305135221798"</f>
        <v>20190305135221798</v>
      </c>
      <c r="B1499" t="str">
        <f>"1551765141790496"</f>
        <v>1551765141790496</v>
      </c>
      <c r="C1499" t="s">
        <v>40</v>
      </c>
      <c r="D1499">
        <v>4.7179529999999996</v>
      </c>
      <c r="E1499">
        <v>0.51612659999999999</v>
      </c>
      <c r="F1499" t="s">
        <v>41</v>
      </c>
      <c r="G1499">
        <v>-191.30279999999999</v>
      </c>
      <c r="H1499">
        <v>0.94016750000000004</v>
      </c>
      <c r="I1499">
        <v>327.84190000000001</v>
      </c>
      <c r="J1499">
        <v>-191.20740000000001</v>
      </c>
      <c r="K1499">
        <v>1.107397</v>
      </c>
      <c r="L1499">
        <v>328.4076</v>
      </c>
      <c r="M1499">
        <v>3.3317329999999999E-2</v>
      </c>
      <c r="N1499">
        <v>-4.210531E-3</v>
      </c>
      <c r="O1499">
        <v>-0.99943610000000005</v>
      </c>
      <c r="P1499">
        <v>-6.3095670000000006E-2</v>
      </c>
      <c r="Q1499">
        <v>-8.2719500000000001E-2</v>
      </c>
      <c r="R1499">
        <v>-0.9945737</v>
      </c>
      <c r="S1499">
        <v>-0.33090209999999998</v>
      </c>
      <c r="T1499">
        <v>-0.62206410000000001</v>
      </c>
      <c r="U1499">
        <v>-2.9437259999999998</v>
      </c>
      <c r="V1499">
        <v>9.6062529999999993E-2</v>
      </c>
      <c r="W1499">
        <v>-7.8707189999999996E-2</v>
      </c>
      <c r="X1499">
        <v>0.99225859999999999</v>
      </c>
      <c r="Y1499">
        <v>0.1424087</v>
      </c>
      <c r="Z1499">
        <v>0.20077709999999999</v>
      </c>
      <c r="AA1499">
        <v>0.96923079999999995</v>
      </c>
      <c r="AB1499">
        <v>21</v>
      </c>
      <c r="AC1499">
        <v>-9.5399999999983706E-2</v>
      </c>
      <c r="AD1499">
        <v>-0.1672295</v>
      </c>
      <c r="AE1499">
        <v>-0.56569999999999199</v>
      </c>
      <c r="AF1499">
        <v>0.105251415261377</v>
      </c>
      <c r="AG1499">
        <v>-0.1672295</v>
      </c>
      <c r="AH1499">
        <v>0.51817701756062995</v>
      </c>
      <c r="AI1499">
        <v>107.550514708587</v>
      </c>
      <c r="AJ1499">
        <v>78.518358164133303</v>
      </c>
      <c r="AK1499">
        <v>0.554572797397062</v>
      </c>
      <c r="AL1499">
        <v>94.514258938228394</v>
      </c>
      <c r="AM1499">
        <v>84.470314352530394</v>
      </c>
      <c r="AN1499">
        <v>0.99999998035082804</v>
      </c>
    </row>
    <row r="1500" spans="1:40" x14ac:dyDescent="0.25">
      <c r="A1500" t="str">
        <f>"20190305135221819"</f>
        <v>20190305135221819</v>
      </c>
      <c r="B1500" t="str">
        <f>"1551765141810994"</f>
        <v>1551765141810994</v>
      </c>
      <c r="C1500" t="s">
        <v>40</v>
      </c>
      <c r="D1500">
        <v>4.7179520000000004</v>
      </c>
      <c r="E1500">
        <v>0.51605469999999998</v>
      </c>
      <c r="F1500" t="s">
        <v>41</v>
      </c>
      <c r="G1500">
        <v>-191.29349999999999</v>
      </c>
      <c r="H1500">
        <v>0.94689860000000003</v>
      </c>
      <c r="I1500">
        <v>327.6472</v>
      </c>
      <c r="J1500">
        <v>-191.20169999999999</v>
      </c>
      <c r="K1500">
        <v>1.10741</v>
      </c>
      <c r="L1500">
        <v>328.19749999999999</v>
      </c>
      <c r="M1500">
        <v>3.2161149999999999E-2</v>
      </c>
      <c r="N1500">
        <v>-4.1199699999999997E-3</v>
      </c>
      <c r="O1500">
        <v>-0.99947430000000004</v>
      </c>
      <c r="P1500">
        <v>-6.3719999999999999E-2</v>
      </c>
      <c r="Q1500">
        <v>-8.3241679999999998E-2</v>
      </c>
      <c r="R1500">
        <v>-0.99449050000000006</v>
      </c>
      <c r="S1500">
        <v>-0.33277889999999999</v>
      </c>
      <c r="T1500">
        <v>-0.62134809999999996</v>
      </c>
      <c r="U1500">
        <v>-2.9435730000000002</v>
      </c>
      <c r="V1500">
        <v>9.5541390000000004E-2</v>
      </c>
      <c r="W1500">
        <v>-7.9310950000000005E-2</v>
      </c>
      <c r="X1500">
        <v>0.9922609</v>
      </c>
      <c r="Y1500">
        <v>0.1418845</v>
      </c>
      <c r="Z1500">
        <v>0.2006627</v>
      </c>
      <c r="AA1500">
        <v>0.96933130000000001</v>
      </c>
      <c r="AB1500">
        <v>21</v>
      </c>
      <c r="AC1500">
        <v>-9.1800000000006293E-2</v>
      </c>
      <c r="AD1500">
        <v>-0.1605114</v>
      </c>
      <c r="AE1500">
        <v>-0.55029999999999202</v>
      </c>
      <c r="AF1500">
        <v>0.10108385878166801</v>
      </c>
      <c r="AG1500">
        <v>-0.1605114</v>
      </c>
      <c r="AH1500">
        <v>0.50524216010739298</v>
      </c>
      <c r="AI1500">
        <v>107.302775075452</v>
      </c>
      <c r="AJ1500">
        <v>78.686204609746895</v>
      </c>
      <c r="AK1500">
        <v>0.53967721499627597</v>
      </c>
      <c r="AL1500">
        <v>94.548960052791699</v>
      </c>
      <c r="AM1500">
        <v>84.500141178287393</v>
      </c>
      <c r="AN1500">
        <v>1.00000003883092</v>
      </c>
    </row>
    <row r="1501" spans="1:40" x14ac:dyDescent="0.25">
      <c r="A1501" t="str">
        <f>"20190305135221841"</f>
        <v>20190305135221841</v>
      </c>
      <c r="B1501" t="str">
        <f>"1551765141831489"</f>
        <v>1551765141831489</v>
      </c>
      <c r="C1501" t="s">
        <v>40</v>
      </c>
      <c r="D1501">
        <v>4.6742429999999997</v>
      </c>
      <c r="E1501">
        <v>0.51599070000000002</v>
      </c>
      <c r="F1501" t="s">
        <v>41</v>
      </c>
      <c r="G1501">
        <v>-191.28639999999999</v>
      </c>
      <c r="H1501">
        <v>0.94951160000000001</v>
      </c>
      <c r="I1501">
        <v>327.45299999999997</v>
      </c>
      <c r="J1501">
        <v>-191.196</v>
      </c>
      <c r="K1501">
        <v>1.1074310000000001</v>
      </c>
      <c r="L1501">
        <v>327.98070000000001</v>
      </c>
      <c r="M1501">
        <v>3.1038159999999999E-2</v>
      </c>
      <c r="N1501">
        <v>-4.0375680000000001E-3</v>
      </c>
      <c r="O1501">
        <v>-0.99951020000000002</v>
      </c>
      <c r="P1501">
        <v>-6.4228670000000002E-2</v>
      </c>
      <c r="Q1501">
        <v>-8.3487290000000006E-2</v>
      </c>
      <c r="R1501">
        <v>-0.99443700000000002</v>
      </c>
      <c r="S1501">
        <v>-0.33421329999999999</v>
      </c>
      <c r="T1501">
        <v>-0.62412919999999905</v>
      </c>
      <c r="U1501">
        <v>-2.9429630000000002</v>
      </c>
      <c r="V1501">
        <v>9.4940129999999998E-2</v>
      </c>
      <c r="W1501">
        <v>-7.9628770000000001E-2</v>
      </c>
      <c r="X1501">
        <v>0.99229310000000004</v>
      </c>
      <c r="Y1501">
        <v>0.14123939999999999</v>
      </c>
      <c r="Z1501">
        <v>0.20167740000000001</v>
      </c>
      <c r="AA1501">
        <v>0.96921500000000005</v>
      </c>
      <c r="AB1501">
        <v>21</v>
      </c>
      <c r="AC1501">
        <v>-9.0399999999988198E-2</v>
      </c>
      <c r="AD1501">
        <v>-0.15791939999999999</v>
      </c>
      <c r="AE1501">
        <v>-0.52770000000003803</v>
      </c>
      <c r="AF1501">
        <v>9.8192366767811096E-2</v>
      </c>
      <c r="AG1501">
        <v>-0.15791939999999999</v>
      </c>
      <c r="AH1501">
        <v>0.48264798038274997</v>
      </c>
      <c r="AI1501">
        <v>107.777184835357</v>
      </c>
      <c r="AJ1501">
        <v>78.500396086131303</v>
      </c>
      <c r="AK1501">
        <v>0.517232395307344</v>
      </c>
      <c r="AL1501">
        <v>94.567227828489393</v>
      </c>
      <c r="AM1501">
        <v>84.534718872141397</v>
      </c>
      <c r="AN1501">
        <v>0.99999998280186897</v>
      </c>
    </row>
    <row r="1502" spans="1:40" x14ac:dyDescent="0.25">
      <c r="A1502" t="str">
        <f>"20190305135221865"</f>
        <v>20190305135221865</v>
      </c>
      <c r="B1502" t="str">
        <f>"1551765141860770"</f>
        <v>1551765141860770</v>
      </c>
      <c r="C1502" t="s">
        <v>40</v>
      </c>
      <c r="D1502">
        <v>4.6116729999999997</v>
      </c>
      <c r="E1502">
        <v>0.51591120000000001</v>
      </c>
      <c r="F1502" t="s">
        <v>41</v>
      </c>
      <c r="G1502">
        <v>-191.2784</v>
      </c>
      <c r="H1502">
        <v>0.95340360000000002</v>
      </c>
      <c r="I1502">
        <v>327.25700000000001</v>
      </c>
      <c r="J1502">
        <v>-191.1902</v>
      </c>
      <c r="K1502">
        <v>1.1074539999999999</v>
      </c>
      <c r="L1502">
        <v>327.75139999999999</v>
      </c>
      <c r="M1502">
        <v>2.9926029999999999E-2</v>
      </c>
      <c r="N1502">
        <v>-3.9613640000000002E-3</v>
      </c>
      <c r="O1502">
        <v>-0.99954430000000005</v>
      </c>
      <c r="P1502">
        <v>-6.4179609999999998E-2</v>
      </c>
      <c r="Q1502">
        <v>-8.3821279999999998E-2</v>
      </c>
      <c r="R1502">
        <v>-0.99441190000000002</v>
      </c>
      <c r="S1502">
        <v>-0.33493040000000002</v>
      </c>
      <c r="T1502">
        <v>-0.62630339999999995</v>
      </c>
      <c r="U1502">
        <v>-2.9425659999999998</v>
      </c>
      <c r="V1502">
        <v>9.3793680000000004E-2</v>
      </c>
      <c r="W1502">
        <v>-8.0027189999999998E-2</v>
      </c>
      <c r="X1502">
        <v>0.99237010000000003</v>
      </c>
      <c r="Y1502">
        <v>0.14036879999999999</v>
      </c>
      <c r="Z1502">
        <v>0.20248579999999999</v>
      </c>
      <c r="AA1502">
        <v>0.9691729</v>
      </c>
      <c r="AB1502">
        <v>22</v>
      </c>
      <c r="AC1502">
        <v>-8.82000000000005E-2</v>
      </c>
      <c r="AD1502">
        <v>-0.1540504</v>
      </c>
      <c r="AE1502">
        <v>-0.49439999999998402</v>
      </c>
      <c r="AF1502">
        <v>9.4101633684555305E-2</v>
      </c>
      <c r="AG1502">
        <v>-0.1540504</v>
      </c>
      <c r="AH1502">
        <v>0.44926581068718402</v>
      </c>
      <c r="AI1502">
        <v>108.552304994934</v>
      </c>
      <c r="AJ1502">
        <v>78.170050405789297</v>
      </c>
      <c r="AK1502">
        <v>0.48417601329957999</v>
      </c>
      <c r="AL1502">
        <v>94.590128570871499</v>
      </c>
      <c r="AM1502">
        <v>84.600738962937498</v>
      </c>
      <c r="AN1502">
        <v>1.0000000104606199</v>
      </c>
    </row>
    <row r="1503" spans="1:40" x14ac:dyDescent="0.25">
      <c r="A1503" t="str">
        <f>"20190305135221886"</f>
        <v>20190305135221886</v>
      </c>
      <c r="B1503" t="str">
        <f>"1551765141881266"</f>
        <v>1551765141881266</v>
      </c>
      <c r="C1503" t="s">
        <v>40</v>
      </c>
      <c r="D1503">
        <v>4.6417250000000001</v>
      </c>
      <c r="E1503">
        <v>0.50356749999999995</v>
      </c>
      <c r="F1503" t="s">
        <v>41</v>
      </c>
      <c r="G1503">
        <v>-191.26910000000001</v>
      </c>
      <c r="H1503">
        <v>0.95978719999999995</v>
      </c>
      <c r="I1503">
        <v>327.05860000000001</v>
      </c>
      <c r="J1503">
        <v>-191.18530000000001</v>
      </c>
      <c r="K1503">
        <v>1.1074809999999999</v>
      </c>
      <c r="L1503">
        <v>327.553</v>
      </c>
      <c r="M1503">
        <v>2.9024609999999999E-2</v>
      </c>
      <c r="N1503">
        <v>-3.9045099999999999E-3</v>
      </c>
      <c r="O1503">
        <v>-0.9995714</v>
      </c>
      <c r="P1503">
        <v>-6.4402189999999998E-2</v>
      </c>
      <c r="Q1503">
        <v>-8.3863510000000002E-2</v>
      </c>
      <c r="R1503">
        <v>-0.99439449999999996</v>
      </c>
      <c r="S1503">
        <v>-0.3340149</v>
      </c>
      <c r="T1503">
        <v>-0.62729040000000003</v>
      </c>
      <c r="U1503">
        <v>-2.9424130000000002</v>
      </c>
      <c r="V1503">
        <v>9.3127009999999996E-2</v>
      </c>
      <c r="W1503">
        <v>-8.0117369999999993E-2</v>
      </c>
      <c r="X1503">
        <v>0.99242560000000002</v>
      </c>
      <c r="Y1503">
        <v>0.13917599999999999</v>
      </c>
      <c r="Z1503">
        <v>0.20289260000000001</v>
      </c>
      <c r="AA1503">
        <v>0.9692598</v>
      </c>
      <c r="AB1503">
        <v>22</v>
      </c>
      <c r="AC1503">
        <v>-8.3799999999996502E-2</v>
      </c>
      <c r="AD1503">
        <v>-0.14769379999999999</v>
      </c>
      <c r="AE1503">
        <v>-0.49439999999998402</v>
      </c>
      <c r="AF1503">
        <v>9.0282606957337405E-2</v>
      </c>
      <c r="AG1503">
        <v>-0.14769379999999999</v>
      </c>
      <c r="AH1503">
        <v>0.452504909335464</v>
      </c>
      <c r="AI1503">
        <v>107.74898345826701</v>
      </c>
      <c r="AJ1503">
        <v>78.716656955043206</v>
      </c>
      <c r="AK1503">
        <v>0.48448436574377601</v>
      </c>
      <c r="AL1503">
        <v>94.595312186177694</v>
      </c>
      <c r="AM1503">
        <v>84.639189686059495</v>
      </c>
      <c r="AN1503">
        <v>1.0000000022513</v>
      </c>
    </row>
    <row r="1504" spans="1:40" x14ac:dyDescent="0.25">
      <c r="A1504" t="str">
        <f>"20190305135221909"</f>
        <v>20190305135221909</v>
      </c>
      <c r="B1504" t="str">
        <f>"1551765141900785"</f>
        <v>1551765141900785</v>
      </c>
      <c r="C1504" t="s">
        <v>40</v>
      </c>
      <c r="D1504">
        <v>4.7414639999999997</v>
      </c>
      <c r="E1504">
        <v>0.50090089999999998</v>
      </c>
      <c r="F1504" t="s">
        <v>41</v>
      </c>
      <c r="G1504">
        <v>-191.24010000000001</v>
      </c>
      <c r="H1504">
        <v>1.021692</v>
      </c>
      <c r="I1504">
        <v>326.83300000000003</v>
      </c>
      <c r="J1504">
        <v>-191.17959999999999</v>
      </c>
      <c r="K1504">
        <v>1.1075010000000001</v>
      </c>
      <c r="L1504">
        <v>327.3177</v>
      </c>
      <c r="M1504">
        <v>2.8020699999999999E-2</v>
      </c>
      <c r="N1504">
        <v>-3.8464179999999999E-3</v>
      </c>
      <c r="O1504">
        <v>-0.99960009999999999</v>
      </c>
      <c r="P1504">
        <v>-6.4922649999999998E-2</v>
      </c>
      <c r="Q1504">
        <v>-8.3549960000000006E-2</v>
      </c>
      <c r="R1504">
        <v>-0.99438660000000001</v>
      </c>
      <c r="S1504">
        <v>-0.2256012</v>
      </c>
      <c r="T1504">
        <v>-0.35428949999999998</v>
      </c>
      <c r="U1504">
        <v>-2.9724119999999998</v>
      </c>
      <c r="V1504">
        <v>9.2657089999999998E-2</v>
      </c>
      <c r="W1504">
        <v>-7.9853460000000001E-2</v>
      </c>
      <c r="X1504">
        <v>0.99249080000000001</v>
      </c>
      <c r="Y1504">
        <v>0.10307330000000001</v>
      </c>
      <c r="Z1504">
        <v>0.1139783</v>
      </c>
      <c r="AA1504">
        <v>0.9881219</v>
      </c>
      <c r="AB1504">
        <v>22</v>
      </c>
      <c r="AC1504">
        <v>-6.0500000000018803E-2</v>
      </c>
      <c r="AD1504">
        <v>-8.5808999999999996E-2</v>
      </c>
      <c r="AE1504">
        <v>-0.48470000000003199</v>
      </c>
      <c r="AF1504">
        <v>7.1840915754098303E-2</v>
      </c>
      <c r="AG1504">
        <v>-8.5808999999999996E-2</v>
      </c>
      <c r="AH1504">
        <v>0.46836048693077798</v>
      </c>
      <c r="AI1504">
        <v>100.26464618446199</v>
      </c>
      <c r="AJ1504">
        <v>81.279478372111797</v>
      </c>
      <c r="AK1504">
        <v>0.48154527032816202</v>
      </c>
      <c r="AL1504">
        <v>94.5801428953407</v>
      </c>
      <c r="AM1504">
        <v>84.666432367907404</v>
      </c>
      <c r="AN1504">
        <v>0.99999994974293804</v>
      </c>
    </row>
    <row r="1505" spans="1:40" x14ac:dyDescent="0.25">
      <c r="A1505" t="str">
        <f>"20190305135221932"</f>
        <v>20190305135221932</v>
      </c>
      <c r="B1505" t="str">
        <f>"1551765141921281"</f>
        <v>1551765141921281</v>
      </c>
      <c r="C1505" t="s">
        <v>40</v>
      </c>
      <c r="D1505">
        <v>4.7037909999999998</v>
      </c>
      <c r="E1505">
        <v>0.49986849999999999</v>
      </c>
      <c r="F1505" t="s">
        <v>41</v>
      </c>
      <c r="G1505">
        <v>-191.24</v>
      </c>
      <c r="H1505">
        <v>1.0200389999999999</v>
      </c>
      <c r="I1505">
        <v>326.43599999999998</v>
      </c>
      <c r="J1505">
        <v>-191.17420000000001</v>
      </c>
      <c r="K1505">
        <v>1.1075159999999999</v>
      </c>
      <c r="L1505">
        <v>327.08800000000002</v>
      </c>
      <c r="M1505">
        <v>2.7093280000000001E-2</v>
      </c>
      <c r="N1505">
        <v>-3.7977250000000001E-3</v>
      </c>
      <c r="O1505">
        <v>-0.99962600000000001</v>
      </c>
      <c r="P1505">
        <v>-6.5875110000000001E-2</v>
      </c>
      <c r="Q1505">
        <v>-8.3358669999999996E-2</v>
      </c>
      <c r="R1505">
        <v>-0.99434009999999995</v>
      </c>
      <c r="S1505">
        <v>-0.20365910000000001</v>
      </c>
      <c r="T1505">
        <v>-0.29557739999999999</v>
      </c>
      <c r="U1505">
        <v>-2.97879</v>
      </c>
      <c r="V1505">
        <v>9.2691999999999997E-2</v>
      </c>
      <c r="W1505">
        <v>-7.9705319999999996E-2</v>
      </c>
      <c r="X1505">
        <v>0.99249949999999998</v>
      </c>
      <c r="Y1505">
        <v>9.4891199999999995E-2</v>
      </c>
      <c r="Z1505">
        <v>9.4568070000000004E-2</v>
      </c>
      <c r="AA1505">
        <v>0.99098560000000002</v>
      </c>
      <c r="AB1505">
        <v>22</v>
      </c>
      <c r="AC1505">
        <v>-6.5799999999995806E-2</v>
      </c>
      <c r="AD1505">
        <v>-8.7476999999999999E-2</v>
      </c>
      <c r="AE1505">
        <v>-0.65199999999998604</v>
      </c>
      <c r="AF1505">
        <v>8.1979956694088599E-2</v>
      </c>
      <c r="AG1505">
        <v>-8.7476999999999999E-2</v>
      </c>
      <c r="AH1505">
        <v>0.638598497716655</v>
      </c>
      <c r="AI1505">
        <v>97.737273581943995</v>
      </c>
      <c r="AJ1505">
        <v>82.684676197112495</v>
      </c>
      <c r="AK1505">
        <v>0.64975455374666902</v>
      </c>
      <c r="AL1505">
        <v>94.5716277213957</v>
      </c>
      <c r="AM1505">
        <v>84.664480958857794</v>
      </c>
      <c r="AN1505">
        <v>1.0000000012002701</v>
      </c>
    </row>
    <row r="1506" spans="1:40" x14ac:dyDescent="0.25">
      <c r="A1506" t="str">
        <f>"20190305135221955"</f>
        <v>20190305135221955</v>
      </c>
      <c r="B1506" t="str">
        <f>"1551765141950561"</f>
        <v>1551765141950561</v>
      </c>
      <c r="C1506" t="s">
        <v>40</v>
      </c>
      <c r="D1506">
        <v>4.758006</v>
      </c>
      <c r="E1506">
        <v>0.49964389999999997</v>
      </c>
      <c r="F1506" t="s">
        <v>41</v>
      </c>
      <c r="G1506">
        <v>-191.2312</v>
      </c>
      <c r="H1506">
        <v>1.033898</v>
      </c>
      <c r="I1506">
        <v>326.22890000000001</v>
      </c>
      <c r="J1506">
        <v>-191.16909999999999</v>
      </c>
      <c r="K1506">
        <v>1.107526</v>
      </c>
      <c r="L1506">
        <v>326.86059999999998</v>
      </c>
      <c r="M1506">
        <v>2.6213899999999998E-2</v>
      </c>
      <c r="N1506">
        <v>-3.7564550000000001E-3</v>
      </c>
      <c r="O1506">
        <v>-0.99964929999999996</v>
      </c>
      <c r="P1506">
        <v>-6.6813540000000005E-2</v>
      </c>
      <c r="Q1506">
        <v>-8.3512719999999999E-2</v>
      </c>
      <c r="R1506">
        <v>-0.99426440000000005</v>
      </c>
      <c r="S1506">
        <v>-0.1969147</v>
      </c>
      <c r="T1506">
        <v>-0.25579420000000003</v>
      </c>
      <c r="U1506">
        <v>-2.9825740000000001</v>
      </c>
      <c r="V1506">
        <v>9.275775E-2</v>
      </c>
      <c r="W1506">
        <v>-7.9897360000000001E-2</v>
      </c>
      <c r="X1506">
        <v>0.99247790000000002</v>
      </c>
      <c r="Y1506">
        <v>9.1778579999999998E-2</v>
      </c>
      <c r="Z1506">
        <v>8.1386199999999895E-2</v>
      </c>
      <c r="AA1506">
        <v>0.992448</v>
      </c>
      <c r="AB1506">
        <v>22</v>
      </c>
      <c r="AC1506">
        <v>-6.2100000000015101E-2</v>
      </c>
      <c r="AD1506">
        <v>-7.3627999999999999E-2</v>
      </c>
      <c r="AE1506">
        <v>-0.63169999999996596</v>
      </c>
      <c r="AF1506">
        <v>7.7594060072706694E-2</v>
      </c>
      <c r="AG1506">
        <v>-7.3627999999999999E-2</v>
      </c>
      <c r="AH1506">
        <v>0.62149276756912197</v>
      </c>
      <c r="AI1506">
        <v>96.704742506698295</v>
      </c>
      <c r="AJ1506">
        <v>82.883383495761393</v>
      </c>
      <c r="AK1506">
        <v>0.63063077999990902</v>
      </c>
      <c r="AL1506">
        <v>94.582666080024296</v>
      </c>
      <c r="AM1506">
        <v>84.6606026041961</v>
      </c>
      <c r="AN1506">
        <v>0.99999998515422095</v>
      </c>
    </row>
    <row r="1507" spans="1:40" x14ac:dyDescent="0.25">
      <c r="A1507" t="str">
        <f>"20190305135221987"</f>
        <v>20190305135221987</v>
      </c>
      <c r="B1507" t="str">
        <f>"1551765141980818"</f>
        <v>1551765141980818</v>
      </c>
      <c r="C1507" t="s">
        <v>40</v>
      </c>
      <c r="D1507">
        <v>4.7515229999999997</v>
      </c>
      <c r="E1507">
        <v>0.49957659999999998</v>
      </c>
      <c r="F1507" t="s">
        <v>41</v>
      </c>
      <c r="G1507">
        <v>-191.2244</v>
      </c>
      <c r="H1507">
        <v>1.0434159999999999</v>
      </c>
      <c r="I1507">
        <v>326.02249999999998</v>
      </c>
      <c r="J1507">
        <v>-191.16200000000001</v>
      </c>
      <c r="K1507">
        <v>1.1075200000000001</v>
      </c>
      <c r="L1507">
        <v>326.53859999999997</v>
      </c>
      <c r="M1507">
        <v>2.5023070000000001E-2</v>
      </c>
      <c r="N1507">
        <v>-3.707639E-3</v>
      </c>
      <c r="O1507">
        <v>-0.99968009999999996</v>
      </c>
      <c r="P1507">
        <v>-6.9259059999999997E-2</v>
      </c>
      <c r="Q1507">
        <v>-8.3251389999999995E-2</v>
      </c>
      <c r="R1507">
        <v>-0.99411910000000003</v>
      </c>
      <c r="S1507">
        <v>-0.19673160000000001</v>
      </c>
      <c r="T1507">
        <v>-0.2284129</v>
      </c>
      <c r="U1507">
        <v>-2.9848940000000002</v>
      </c>
      <c r="V1507">
        <v>9.4019549999999993E-2</v>
      </c>
      <c r="W1507">
        <v>-7.9683480000000001E-2</v>
      </c>
      <c r="X1507">
        <v>0.99237640000000005</v>
      </c>
      <c r="Y1507">
        <v>9.052897E-2</v>
      </c>
      <c r="Z1507">
        <v>7.2324929999999996E-2</v>
      </c>
      <c r="AA1507">
        <v>0.99326409999999998</v>
      </c>
      <c r="AB1507">
        <v>22</v>
      </c>
      <c r="AC1507">
        <v>-6.2399999999996597E-2</v>
      </c>
      <c r="AD1507">
        <v>-6.4104000000000105E-2</v>
      </c>
      <c r="AE1507">
        <v>-0.51609999999999401</v>
      </c>
      <c r="AF1507">
        <v>7.4167207471978303E-2</v>
      </c>
      <c r="AG1507">
        <v>-6.4104000000000105E-2</v>
      </c>
      <c r="AH1507">
        <v>0.50667274720914302</v>
      </c>
      <c r="AI1507">
        <v>97.135477904666999</v>
      </c>
      <c r="AJ1507">
        <v>81.672138091149407</v>
      </c>
      <c r="AK1507">
        <v>0.51606915258001196</v>
      </c>
      <c r="AL1507">
        <v>94.570372275104305</v>
      </c>
      <c r="AM1507">
        <v>84.587847958534994</v>
      </c>
      <c r="AN1507">
        <v>1.0000000260220301</v>
      </c>
    </row>
    <row r="1508" spans="1:40" x14ac:dyDescent="0.25">
      <c r="A1508" t="str">
        <f>"20190305135222009"</f>
        <v>20190305135222009</v>
      </c>
      <c r="B1508" t="str">
        <f>"1551765142001314"</f>
        <v>1551765142001314</v>
      </c>
      <c r="C1508" t="s">
        <v>40</v>
      </c>
      <c r="D1508">
        <v>4.7745730000000002</v>
      </c>
      <c r="E1508">
        <v>0.49971409999999999</v>
      </c>
      <c r="F1508" t="s">
        <v>41</v>
      </c>
      <c r="G1508">
        <v>-191.22489999999999</v>
      </c>
      <c r="H1508">
        <v>1.039663</v>
      </c>
      <c r="I1508">
        <v>325.61660000000001</v>
      </c>
      <c r="J1508">
        <v>-191.15719999999999</v>
      </c>
      <c r="K1508">
        <v>1.107515</v>
      </c>
      <c r="L1508">
        <v>326.31009999999998</v>
      </c>
      <c r="M1508">
        <v>2.4223890000000001E-2</v>
      </c>
      <c r="N1508">
        <v>-3.6799430000000002E-3</v>
      </c>
      <c r="O1508">
        <v>-0.99970009999999998</v>
      </c>
      <c r="P1508">
        <v>-7.0592180000000004E-2</v>
      </c>
      <c r="Q1508">
        <v>-8.4247310000000006E-2</v>
      </c>
      <c r="R1508">
        <v>-0.99394179999999999</v>
      </c>
      <c r="S1508">
        <v>-0.2032928</v>
      </c>
      <c r="T1508">
        <v>-0.21983230000000001</v>
      </c>
      <c r="U1508">
        <v>-2.9851679999999998</v>
      </c>
      <c r="V1508">
        <v>9.4555749999999994E-2</v>
      </c>
      <c r="W1508">
        <v>-8.0705540000000006E-2</v>
      </c>
      <c r="X1508">
        <v>0.99224279999999998</v>
      </c>
      <c r="Y1508">
        <v>9.1914220000000005E-2</v>
      </c>
      <c r="Z1508">
        <v>6.9497000000000003E-2</v>
      </c>
      <c r="AA1508">
        <v>0.99333879999999997</v>
      </c>
      <c r="AB1508">
        <v>23</v>
      </c>
      <c r="AC1508">
        <v>-6.7700000000001995E-2</v>
      </c>
      <c r="AD1508">
        <v>-6.7851999999999996E-2</v>
      </c>
      <c r="AE1508">
        <v>-0.69349999999997103</v>
      </c>
      <c r="AF1508">
        <v>8.3685975263186593E-2</v>
      </c>
      <c r="AG1508">
        <v>-6.7851999999999996E-2</v>
      </c>
      <c r="AH1508">
        <v>0.68515964540837904</v>
      </c>
      <c r="AI1508">
        <v>95.614161670183904</v>
      </c>
      <c r="AJ1508">
        <v>83.036337479029001</v>
      </c>
      <c r="AK1508">
        <v>0.69357838493993296</v>
      </c>
      <c r="AL1508">
        <v>94.629121458098396</v>
      </c>
      <c r="AM1508">
        <v>84.5564384715221</v>
      </c>
      <c r="AN1508">
        <v>0.999999974098296</v>
      </c>
    </row>
    <row r="1509" spans="1:40" x14ac:dyDescent="0.25">
      <c r="A1509" t="str">
        <f>"20190305135222031"</f>
        <v>20190305135222031</v>
      </c>
      <c r="B1509" t="str">
        <f>"1551765142020706"</f>
        <v>1551765142020706</v>
      </c>
      <c r="C1509" t="s">
        <v>40</v>
      </c>
      <c r="D1509">
        <v>4.7321619999999998</v>
      </c>
      <c r="E1509">
        <v>0.49956139999999999</v>
      </c>
      <c r="F1509" t="s">
        <v>41</v>
      </c>
      <c r="G1509">
        <v>-191.22020000000001</v>
      </c>
      <c r="H1509">
        <v>1.0416379999999901</v>
      </c>
      <c r="I1509">
        <v>325.4101</v>
      </c>
      <c r="J1509">
        <v>-191.1525</v>
      </c>
      <c r="K1509">
        <v>1.1075109999999999</v>
      </c>
      <c r="L1509">
        <v>326.08019999999999</v>
      </c>
      <c r="M1509">
        <v>2.3451690000000001E-2</v>
      </c>
      <c r="N1509">
        <v>-3.6564810000000001E-3</v>
      </c>
      <c r="O1509">
        <v>-0.99971840000000001</v>
      </c>
      <c r="P1509">
        <v>-7.1548940000000005E-2</v>
      </c>
      <c r="Q1509">
        <v>-8.5580790000000004E-2</v>
      </c>
      <c r="R1509">
        <v>-0.99375919999999895</v>
      </c>
      <c r="S1509">
        <v>-0.2081604</v>
      </c>
      <c r="T1509">
        <v>-0.21875140000000001</v>
      </c>
      <c r="U1509">
        <v>-2.9849549999999998</v>
      </c>
      <c r="V1509">
        <v>9.4742740000000006E-2</v>
      </c>
      <c r="W1509">
        <v>-8.2060040000000001E-2</v>
      </c>
      <c r="X1509">
        <v>0.99211389999999999</v>
      </c>
      <c r="Y1509">
        <v>9.2763709999999999E-2</v>
      </c>
      <c r="Z1509">
        <v>6.9162790000000002E-2</v>
      </c>
      <c r="AA1509">
        <v>0.99328320000000003</v>
      </c>
      <c r="AB1509">
        <v>23</v>
      </c>
      <c r="AC1509">
        <v>-6.7700000000001995E-2</v>
      </c>
      <c r="AD1509">
        <v>-6.5873000000000195E-2</v>
      </c>
      <c r="AE1509">
        <v>-0.67009999999999004</v>
      </c>
      <c r="AF1509">
        <v>8.2606258829894905E-2</v>
      </c>
      <c r="AG1509">
        <v>-6.5873000000000195E-2</v>
      </c>
      <c r="AH1509">
        <v>0.66199543702442398</v>
      </c>
      <c r="AI1509">
        <v>95.639160315252198</v>
      </c>
      <c r="AJ1509">
        <v>82.887184786691606</v>
      </c>
      <c r="AK1509">
        <v>0.67037377989300095</v>
      </c>
      <c r="AL1509">
        <v>94.706986698365696</v>
      </c>
      <c r="AM1509">
        <v>84.545033968480098</v>
      </c>
      <c r="AN1509">
        <v>1.00000001376035</v>
      </c>
    </row>
    <row r="1510" spans="1:40" x14ac:dyDescent="0.25">
      <c r="A1510" t="str">
        <f>"20190305135222053"</f>
        <v>20190305135222053</v>
      </c>
      <c r="B1510" t="str">
        <f>"1551765142050960"</f>
        <v>1551765142050960</v>
      </c>
      <c r="C1510" t="s">
        <v>40</v>
      </c>
      <c r="D1510">
        <v>4.7395800000000001</v>
      </c>
      <c r="E1510">
        <v>0.49896499999999999</v>
      </c>
      <c r="F1510" t="s">
        <v>41</v>
      </c>
      <c r="G1510">
        <v>-191.21430000000001</v>
      </c>
      <c r="H1510">
        <v>1.0427420000000001</v>
      </c>
      <c r="I1510">
        <v>325.20280000000002</v>
      </c>
      <c r="J1510">
        <v>-191.14779999999999</v>
      </c>
      <c r="K1510">
        <v>1.1075090000000001</v>
      </c>
      <c r="L1510">
        <v>325.84289999999999</v>
      </c>
      <c r="M1510">
        <v>2.2702300000000002E-2</v>
      </c>
      <c r="N1510">
        <v>-3.6363580000000001E-3</v>
      </c>
      <c r="O1510">
        <v>-0.9997357</v>
      </c>
      <c r="P1510">
        <v>-7.2547899999999998E-2</v>
      </c>
      <c r="Q1510">
        <v>-8.656606E-2</v>
      </c>
      <c r="R1510">
        <v>-0.99360110000000001</v>
      </c>
      <c r="S1510">
        <v>-0.20986940000000001</v>
      </c>
      <c r="T1510">
        <v>-0.22044430000000001</v>
      </c>
      <c r="U1510">
        <v>-2.9847410000000001</v>
      </c>
      <c r="V1510">
        <v>9.4997639999999994E-2</v>
      </c>
      <c r="W1510">
        <v>-8.3060919999999996E-2</v>
      </c>
      <c r="X1510">
        <v>0.99200619999999995</v>
      </c>
      <c r="Y1510">
        <v>9.2585379999999995E-2</v>
      </c>
      <c r="Z1510">
        <v>6.9749809999999995E-2</v>
      </c>
      <c r="AA1510">
        <v>0.99325870000000005</v>
      </c>
      <c r="AB1510">
        <v>23</v>
      </c>
      <c r="AC1510">
        <v>-6.6500000000019099E-2</v>
      </c>
      <c r="AD1510">
        <v>-6.4767000000000005E-2</v>
      </c>
      <c r="AE1510">
        <v>-0.64009999999996103</v>
      </c>
      <c r="AF1510">
        <v>8.02023603671152E-2</v>
      </c>
      <c r="AG1510">
        <v>-6.4767000000000005E-2</v>
      </c>
      <c r="AH1510">
        <v>0.63202379253718</v>
      </c>
      <c r="AI1510">
        <v>95.804765146383005</v>
      </c>
      <c r="AJ1510">
        <v>82.767951814456396</v>
      </c>
      <c r="AK1510">
        <v>0.64037587183664002</v>
      </c>
      <c r="AL1510">
        <v>94.764529487238903</v>
      </c>
      <c r="AM1510">
        <v>84.529856355882998</v>
      </c>
      <c r="AN1510">
        <v>0.99999998443762705</v>
      </c>
    </row>
    <row r="1511" spans="1:40" x14ac:dyDescent="0.25">
      <c r="A1511" t="str">
        <f>"20190305135222074"</f>
        <v>20190305135222074</v>
      </c>
      <c r="B1511" t="str">
        <f>"1551765142071455"</f>
        <v>1551765142071455</v>
      </c>
      <c r="C1511" t="s">
        <v>40</v>
      </c>
      <c r="D1511">
        <v>4.8513310000000001</v>
      </c>
      <c r="E1511">
        <v>0.49888060000000001</v>
      </c>
      <c r="F1511" t="s">
        <v>41</v>
      </c>
      <c r="G1511">
        <v>-191.2072</v>
      </c>
      <c r="H1511">
        <v>1.04382</v>
      </c>
      <c r="I1511">
        <v>324.99430000000001</v>
      </c>
      <c r="J1511">
        <v>-191.14359999999999</v>
      </c>
      <c r="K1511">
        <v>1.1075219999999999</v>
      </c>
      <c r="L1511">
        <v>325.62720000000002</v>
      </c>
      <c r="M1511">
        <v>2.2078520000000001E-2</v>
      </c>
      <c r="N1511">
        <v>-3.6211640000000001E-3</v>
      </c>
      <c r="O1511">
        <v>-0.99974969999999996</v>
      </c>
      <c r="P1511">
        <v>-7.3352029999999999E-2</v>
      </c>
      <c r="Q1511">
        <v>-8.7547219999999995E-2</v>
      </c>
      <c r="R1511">
        <v>-0.99345620000000001</v>
      </c>
      <c r="S1511">
        <v>-0.20803830000000001</v>
      </c>
      <c r="T1511">
        <v>-0.2242335</v>
      </c>
      <c r="U1511">
        <v>-2.9845890000000002</v>
      </c>
      <c r="V1511">
        <v>9.5184679999999994E-2</v>
      </c>
      <c r="W1511">
        <v>-8.4050769999999997E-2</v>
      </c>
      <c r="X1511">
        <v>0.99190489999999998</v>
      </c>
      <c r="Y1511">
        <v>9.1354939999999996E-2</v>
      </c>
      <c r="Z1511">
        <v>7.1030910000000003E-2</v>
      </c>
      <c r="AA1511">
        <v>0.99328190000000005</v>
      </c>
      <c r="AB1511">
        <v>23</v>
      </c>
      <c r="AC1511">
        <v>-6.3600000000008095E-2</v>
      </c>
      <c r="AD1511">
        <v>-6.3701999999999898E-2</v>
      </c>
      <c r="AE1511">
        <v>-0.63290000000000601</v>
      </c>
      <c r="AF1511">
        <v>7.67879508635778E-2</v>
      </c>
      <c r="AG1511">
        <v>-6.3701999999999898E-2</v>
      </c>
      <c r="AH1511">
        <v>0.62507245502022302</v>
      </c>
      <c r="AI1511">
        <v>95.775879928750598</v>
      </c>
      <c r="AJ1511">
        <v>82.996505012465207</v>
      </c>
      <c r="AK1511">
        <v>0.63298491943081503</v>
      </c>
      <c r="AL1511">
        <v>94.821442696910793</v>
      </c>
      <c r="AM1511">
        <v>84.518595425220596</v>
      </c>
      <c r="AN1511">
        <v>0.99999999294415198</v>
      </c>
    </row>
    <row r="1512" spans="1:40" x14ac:dyDescent="0.25">
      <c r="A1512" t="str">
        <f>"20190305135222097"</f>
        <v>20190305135222097</v>
      </c>
      <c r="B1512" t="str">
        <f>"1551765142090975"</f>
        <v>1551765142090975</v>
      </c>
      <c r="C1512" t="s">
        <v>40</v>
      </c>
      <c r="D1512">
        <v>4.7422190000000004</v>
      </c>
      <c r="E1512">
        <v>0.49868099999999999</v>
      </c>
      <c r="F1512" t="s">
        <v>41</v>
      </c>
      <c r="G1512">
        <v>-191.2028</v>
      </c>
      <c r="H1512">
        <v>1.0436589999999999</v>
      </c>
      <c r="I1512">
        <v>324.7851</v>
      </c>
      <c r="J1512">
        <v>-191.13890000000001</v>
      </c>
      <c r="K1512">
        <v>1.1075569999999999</v>
      </c>
      <c r="L1512">
        <v>325.38249999999999</v>
      </c>
      <c r="M1512">
        <v>2.1455330000000002E-2</v>
      </c>
      <c r="N1512">
        <v>-3.6072270000000002E-3</v>
      </c>
      <c r="O1512">
        <v>-0.99976339999999997</v>
      </c>
      <c r="P1512">
        <v>-7.3526869999999994E-2</v>
      </c>
      <c r="Q1512">
        <v>-8.7995959999999998E-2</v>
      </c>
      <c r="R1512">
        <v>-0.9934037</v>
      </c>
      <c r="S1512">
        <v>-0.20970150000000001</v>
      </c>
      <c r="T1512">
        <v>-0.22632910000000001</v>
      </c>
      <c r="U1512">
        <v>-2.984375</v>
      </c>
      <c r="V1512">
        <v>9.4749659999999999E-2</v>
      </c>
      <c r="W1512">
        <v>-8.4501800000000002E-2</v>
      </c>
      <c r="X1512">
        <v>0.99190829999999997</v>
      </c>
      <c r="Y1512">
        <v>9.128638E-2</v>
      </c>
      <c r="Z1512">
        <v>7.1744370000000002E-2</v>
      </c>
      <c r="AA1512">
        <v>0.99323689999999998</v>
      </c>
      <c r="AB1512">
        <v>23</v>
      </c>
      <c r="AC1512">
        <v>-6.3899999999989604E-2</v>
      </c>
      <c r="AD1512">
        <v>-6.3897999999999705E-2</v>
      </c>
      <c r="AE1512">
        <v>-0.59739999999999305</v>
      </c>
      <c r="AF1512">
        <v>7.5844900278556296E-2</v>
      </c>
      <c r="AG1512">
        <v>-6.3897999999999705E-2</v>
      </c>
      <c r="AH1512">
        <v>0.58922669628950497</v>
      </c>
      <c r="AI1512">
        <v>96.138931101524093</v>
      </c>
      <c r="AJ1512">
        <v>82.665253852173805</v>
      </c>
      <c r="AK1512">
        <v>0.59751443741763199</v>
      </c>
      <c r="AL1512">
        <v>94.847376731261804</v>
      </c>
      <c r="AM1512">
        <v>84.543513993493406</v>
      </c>
      <c r="AN1512">
        <v>1.00000006394112</v>
      </c>
    </row>
    <row r="1513" spans="1:40" x14ac:dyDescent="0.25">
      <c r="A1513" t="str">
        <f>"20190305135222120"</f>
        <v>20190305135222120</v>
      </c>
      <c r="B1513" t="str">
        <f>"1551765142111471"</f>
        <v>1551765142111471</v>
      </c>
      <c r="C1513" t="s">
        <v>40</v>
      </c>
      <c r="D1513">
        <v>4.720294</v>
      </c>
      <c r="E1513">
        <v>0.49852010000000002</v>
      </c>
      <c r="F1513" t="s">
        <v>41</v>
      </c>
      <c r="G1513">
        <v>-191.19560000000001</v>
      </c>
      <c r="H1513">
        <v>1.046389</v>
      </c>
      <c r="I1513">
        <v>324.57330000000002</v>
      </c>
      <c r="J1513">
        <v>-191.1344</v>
      </c>
      <c r="K1513">
        <v>1.107604</v>
      </c>
      <c r="L1513">
        <v>325.14440000000002</v>
      </c>
      <c r="M1513">
        <v>2.09483E-2</v>
      </c>
      <c r="N1513">
        <v>-3.596821E-3</v>
      </c>
      <c r="O1513">
        <v>-0.99977400000000005</v>
      </c>
      <c r="P1513">
        <v>-7.3804910000000001E-2</v>
      </c>
      <c r="Q1513">
        <v>-8.802053E-2</v>
      </c>
      <c r="R1513">
        <v>-0.99338079999999995</v>
      </c>
      <c r="S1513">
        <v>-0.20848079999999999</v>
      </c>
      <c r="T1513">
        <v>-0.22577449999999999</v>
      </c>
      <c r="U1513">
        <v>-2.984467</v>
      </c>
      <c r="V1513">
        <v>9.4536419999999996E-2</v>
      </c>
      <c r="W1513">
        <v>-8.4522760000000002E-2</v>
      </c>
      <c r="X1513">
        <v>0.9919268</v>
      </c>
      <c r="Y1513">
        <v>9.037597E-2</v>
      </c>
      <c r="Z1513">
        <v>7.1574330000000005E-2</v>
      </c>
      <c r="AA1513">
        <v>0.9933324</v>
      </c>
      <c r="AB1513">
        <v>23</v>
      </c>
      <c r="AC1513">
        <v>-6.1200000000013598E-2</v>
      </c>
      <c r="AD1513">
        <v>-6.1214999999999999E-2</v>
      </c>
      <c r="AE1513">
        <v>-0.57110000000000105</v>
      </c>
      <c r="AF1513">
        <v>7.2328655817194998E-2</v>
      </c>
      <c r="AG1513">
        <v>-6.1214999999999999E-2</v>
      </c>
      <c r="AH1513">
        <v>0.56329428362558598</v>
      </c>
      <c r="AI1513">
        <v>96.152061159170799</v>
      </c>
      <c r="AJ1513">
        <v>82.683088867588594</v>
      </c>
      <c r="AK1513">
        <v>0.57120850890247099</v>
      </c>
      <c r="AL1513">
        <v>94.848582253296897</v>
      </c>
      <c r="AM1513">
        <v>84.555821216562407</v>
      </c>
      <c r="AN1513">
        <v>1.0000000041113299</v>
      </c>
    </row>
    <row r="1514" spans="1:40" x14ac:dyDescent="0.25">
      <c r="A1514" t="str">
        <f>"20190305135222143"</f>
        <v>20190305135222143</v>
      </c>
      <c r="B1514" t="str">
        <f>"1551765142140922"</f>
        <v>1551765142140922</v>
      </c>
      <c r="C1514" t="s">
        <v>40</v>
      </c>
      <c r="D1514">
        <v>4.7219740000000003</v>
      </c>
      <c r="E1514">
        <v>0.49822</v>
      </c>
      <c r="F1514" t="s">
        <v>41</v>
      </c>
      <c r="G1514">
        <v>-191.18899999999999</v>
      </c>
      <c r="H1514">
        <v>1.048899</v>
      </c>
      <c r="I1514">
        <v>324.36040000000003</v>
      </c>
      <c r="J1514">
        <v>-191.12970000000001</v>
      </c>
      <c r="K1514">
        <v>1.107658</v>
      </c>
      <c r="L1514">
        <v>324.89830000000001</v>
      </c>
      <c r="M1514">
        <v>2.053584E-2</v>
      </c>
      <c r="N1514">
        <v>-3.589096E-3</v>
      </c>
      <c r="O1514">
        <v>-0.99978270000000002</v>
      </c>
      <c r="P1514">
        <v>-7.4620339999999993E-2</v>
      </c>
      <c r="Q1514">
        <v>-8.8453080000000003E-2</v>
      </c>
      <c r="R1514">
        <v>-0.99328150000000004</v>
      </c>
      <c r="S1514">
        <v>-0.20779420000000001</v>
      </c>
      <c r="T1514">
        <v>-0.22348879999999999</v>
      </c>
      <c r="U1514">
        <v>-2.9847109999999999</v>
      </c>
      <c r="V1514">
        <v>9.4954650000000002E-2</v>
      </c>
      <c r="W1514">
        <v>-8.4947419999999996E-2</v>
      </c>
      <c r="X1514">
        <v>0.99185060000000003</v>
      </c>
      <c r="Y1514">
        <v>8.973602E-2</v>
      </c>
      <c r="Z1514">
        <v>7.0822889999999999E-2</v>
      </c>
      <c r="AA1514">
        <v>0.99344429999999995</v>
      </c>
      <c r="AB1514">
        <v>24</v>
      </c>
      <c r="AC1514">
        <v>-5.9300000000007402E-2</v>
      </c>
      <c r="AD1514">
        <v>-5.8758999999999999E-2</v>
      </c>
      <c r="AE1514">
        <v>-0.53789999999997895</v>
      </c>
      <c r="AF1514">
        <v>6.9514248167406895E-2</v>
      </c>
      <c r="AG1514">
        <v>-5.8758999999999999E-2</v>
      </c>
      <c r="AH1514">
        <v>0.53031655879511197</v>
      </c>
      <c r="AI1514">
        <v>96.269376441332298</v>
      </c>
      <c r="AJ1514">
        <v>82.532207673559</v>
      </c>
      <c r="AK1514">
        <v>0.53807109503444694</v>
      </c>
      <c r="AL1514">
        <v>94.873001169432399</v>
      </c>
      <c r="AM1514">
        <v>84.531464234119596</v>
      </c>
      <c r="AN1514">
        <v>1.0000000312208099</v>
      </c>
    </row>
    <row r="1515" spans="1:40" x14ac:dyDescent="0.25">
      <c r="A1515" t="str">
        <f>"20190305135222165"</f>
        <v>20190305135222165</v>
      </c>
      <c r="B1515" t="str">
        <f>"1551765142161417"</f>
        <v>1551765142161417</v>
      </c>
      <c r="C1515" t="s">
        <v>40</v>
      </c>
      <c r="D1515">
        <v>4.7168260000000002</v>
      </c>
      <c r="E1515">
        <v>0.49782109999999902</v>
      </c>
      <c r="F1515" t="s">
        <v>41</v>
      </c>
      <c r="G1515">
        <v>-191.18219999999999</v>
      </c>
      <c r="H1515">
        <v>1.051598</v>
      </c>
      <c r="I1515">
        <v>324.14589999999998</v>
      </c>
      <c r="J1515">
        <v>-191.12540000000001</v>
      </c>
      <c r="K1515">
        <v>1.1077189999999999</v>
      </c>
      <c r="L1515">
        <v>324.66989999999998</v>
      </c>
      <c r="M1515">
        <v>2.0258689999999999E-2</v>
      </c>
      <c r="N1515">
        <v>-3.5842230000000001E-3</v>
      </c>
      <c r="O1515">
        <v>-0.99978860000000003</v>
      </c>
      <c r="P1515">
        <v>-7.4345099999999997E-2</v>
      </c>
      <c r="Q1515">
        <v>-8.8404189999999994E-2</v>
      </c>
      <c r="R1515">
        <v>-0.99330660000000004</v>
      </c>
      <c r="S1515">
        <v>-0.20780940000000001</v>
      </c>
      <c r="T1515">
        <v>-0.22257440000000001</v>
      </c>
      <c r="U1515">
        <v>-2.9848629999999998</v>
      </c>
      <c r="V1515">
        <v>9.4418799999999997E-2</v>
      </c>
      <c r="W1515">
        <v>-8.4887649999999995E-2</v>
      </c>
      <c r="X1515">
        <v>0.99190679999999998</v>
      </c>
      <c r="Y1515">
        <v>8.9463050000000002E-2</v>
      </c>
      <c r="Z1515">
        <v>7.0522710000000002E-2</v>
      </c>
      <c r="AA1515">
        <v>0.99349030000000005</v>
      </c>
      <c r="AB1515">
        <v>24</v>
      </c>
      <c r="AC1515">
        <v>-5.6799999999981303E-2</v>
      </c>
      <c r="AD1515">
        <v>-5.6120999999999997E-2</v>
      </c>
      <c r="AE1515">
        <v>-0.52400000000000002</v>
      </c>
      <c r="AF1515">
        <v>6.6648340292041294E-2</v>
      </c>
      <c r="AG1515">
        <v>-5.6120999999999997E-2</v>
      </c>
      <c r="AH1515">
        <v>0.51688164295813899</v>
      </c>
      <c r="AI1515">
        <v>96.146189329232598</v>
      </c>
      <c r="AJ1515">
        <v>82.652643357010405</v>
      </c>
      <c r="AK1515">
        <v>0.52417382682826597</v>
      </c>
      <c r="AL1515">
        <v>94.869564527168606</v>
      </c>
      <c r="AM1515">
        <v>84.562445135951506</v>
      </c>
      <c r="AN1515">
        <v>0.99999996140110003</v>
      </c>
    </row>
    <row r="1516" spans="1:40" x14ac:dyDescent="0.25">
      <c r="A1516" t="str">
        <f>"20190305135222187"</f>
        <v>20190305135222187</v>
      </c>
      <c r="B1516" t="str">
        <f>"1551765142180938"</f>
        <v>1551765142180938</v>
      </c>
      <c r="C1516" t="s">
        <v>40</v>
      </c>
      <c r="D1516">
        <v>4.7247389999999996</v>
      </c>
      <c r="E1516">
        <v>0.49752089999999999</v>
      </c>
      <c r="F1516" t="s">
        <v>41</v>
      </c>
      <c r="G1516">
        <v>-191.17599999999999</v>
      </c>
      <c r="H1516">
        <v>1.0523420000000001</v>
      </c>
      <c r="I1516">
        <v>323.93110000000001</v>
      </c>
      <c r="J1516">
        <v>-191.1208</v>
      </c>
      <c r="K1516">
        <v>1.1077809999999999</v>
      </c>
      <c r="L1516">
        <v>324.43</v>
      </c>
      <c r="M1516">
        <v>2.006693E-2</v>
      </c>
      <c r="N1516">
        <v>-3.5812750000000001E-3</v>
      </c>
      <c r="O1516">
        <v>-0.99979240000000003</v>
      </c>
      <c r="P1516">
        <v>-7.4393340000000002E-2</v>
      </c>
      <c r="Q1516">
        <v>-8.839764E-2</v>
      </c>
      <c r="R1516">
        <v>-0.99330370000000001</v>
      </c>
      <c r="S1516">
        <v>-0.20394899999999999</v>
      </c>
      <c r="T1516">
        <v>-0.2239757</v>
      </c>
      <c r="U1516">
        <v>-2.984985</v>
      </c>
      <c r="V1516">
        <v>9.4289540000000005E-2</v>
      </c>
      <c r="W1516">
        <v>-8.4869700000000006E-2</v>
      </c>
      <c r="X1516">
        <v>0.99192069999999999</v>
      </c>
      <c r="Y1516">
        <v>8.7988179999999999E-2</v>
      </c>
      <c r="Z1516">
        <v>7.09954E-2</v>
      </c>
      <c r="AA1516">
        <v>0.99358829999999998</v>
      </c>
      <c r="AB1516">
        <v>24</v>
      </c>
      <c r="AC1516">
        <v>-5.5199999999984997E-2</v>
      </c>
      <c r="AD1516">
        <v>-5.5438999999999697E-2</v>
      </c>
      <c r="AE1516">
        <v>-0.49889999999999102</v>
      </c>
      <c r="AF1516">
        <v>6.4414554094934198E-2</v>
      </c>
      <c r="AG1516">
        <v>-5.5438999999999697E-2</v>
      </c>
      <c r="AH1516">
        <v>0.49169373271224398</v>
      </c>
      <c r="AI1516">
        <v>96.378941260806798</v>
      </c>
      <c r="AJ1516">
        <v>82.536445054494394</v>
      </c>
      <c r="AK1516">
        <v>0.498984412871533</v>
      </c>
      <c r="AL1516">
        <v>94.868532012110606</v>
      </c>
      <c r="AM1516">
        <v>84.569920300035506</v>
      </c>
      <c r="AN1516">
        <v>1.00000002920999</v>
      </c>
    </row>
    <row r="1517" spans="1:40" x14ac:dyDescent="0.25">
      <c r="A1517" t="str">
        <f>"20190305135222210"</f>
        <v>20190305135222210</v>
      </c>
      <c r="B1517" t="str">
        <f>"1551765142201434"</f>
        <v>1551765142201434</v>
      </c>
      <c r="C1517" t="s">
        <v>40</v>
      </c>
      <c r="D1517">
        <v>4.7314550000000004</v>
      </c>
      <c r="E1517">
        <v>0.4972454</v>
      </c>
      <c r="F1517" t="s">
        <v>41</v>
      </c>
      <c r="G1517">
        <v>-191.1833</v>
      </c>
      <c r="H1517">
        <v>1.0382039999999999</v>
      </c>
      <c r="I1517">
        <v>323.50619999999998</v>
      </c>
      <c r="J1517">
        <v>-191.11580000000001</v>
      </c>
      <c r="K1517">
        <v>1.1078349999999999</v>
      </c>
      <c r="L1517">
        <v>324.1771</v>
      </c>
      <c r="M1517">
        <v>1.99434E-2</v>
      </c>
      <c r="N1517">
        <v>-3.5801399999999999E-3</v>
      </c>
      <c r="O1517">
        <v>-0.99979499999999999</v>
      </c>
      <c r="P1517">
        <v>-7.4084780000000003E-2</v>
      </c>
      <c r="Q1517">
        <v>-8.7758719999999998E-2</v>
      </c>
      <c r="R1517">
        <v>-0.99338349999999997</v>
      </c>
      <c r="S1517">
        <v>-0.20179749999999999</v>
      </c>
      <c r="T1517">
        <v>-0.2249564</v>
      </c>
      <c r="U1517">
        <v>-2.9850460000000001</v>
      </c>
      <c r="V1517">
        <v>9.3870029999999993E-2</v>
      </c>
      <c r="W1517">
        <v>-8.4220569999999995E-2</v>
      </c>
      <c r="X1517">
        <v>0.9920158</v>
      </c>
      <c r="Y1517">
        <v>8.7149329999999997E-2</v>
      </c>
      <c r="Z1517">
        <v>7.1324680000000001E-2</v>
      </c>
      <c r="AA1517">
        <v>0.99363860000000004</v>
      </c>
      <c r="AB1517">
        <v>24</v>
      </c>
      <c r="AC1517">
        <v>-6.7499999999995397E-2</v>
      </c>
      <c r="AD1517">
        <v>-6.9630999999999998E-2</v>
      </c>
      <c r="AE1517">
        <v>-0.67090000000001704</v>
      </c>
      <c r="AF1517">
        <v>8.0013429321281901E-2</v>
      </c>
      <c r="AG1517">
        <v>-6.9630999999999998E-2</v>
      </c>
      <c r="AH1517">
        <v>0.66235707380077302</v>
      </c>
      <c r="AI1517">
        <v>95.958236190143793</v>
      </c>
      <c r="AJ1517">
        <v>83.111985688346905</v>
      </c>
      <c r="AK1517">
        <v>0.67079618234354499</v>
      </c>
      <c r="AL1517">
        <v>94.831206021058193</v>
      </c>
      <c r="AM1517">
        <v>84.594451372140796</v>
      </c>
      <c r="AN1517">
        <v>1.00000001719648</v>
      </c>
    </row>
    <row r="1518" spans="1:40" x14ac:dyDescent="0.25">
      <c r="A1518" t="str">
        <f>"20190305135222232"</f>
        <v>20190305135222232</v>
      </c>
      <c r="B1518" t="str">
        <f>"1551765142220954"</f>
        <v>1551765142220954</v>
      </c>
      <c r="C1518" t="s">
        <v>40</v>
      </c>
      <c r="D1518">
        <v>4.7553729999999996</v>
      </c>
      <c r="E1518">
        <v>0.49699959999999999</v>
      </c>
      <c r="F1518" t="s">
        <v>41</v>
      </c>
      <c r="G1518">
        <v>-191.17529999999999</v>
      </c>
      <c r="H1518">
        <v>1.041083</v>
      </c>
      <c r="I1518">
        <v>323.28699999999998</v>
      </c>
      <c r="J1518">
        <v>-191.11109999999999</v>
      </c>
      <c r="K1518">
        <v>1.107869</v>
      </c>
      <c r="L1518">
        <v>323.9366</v>
      </c>
      <c r="M1518">
        <v>1.987297E-2</v>
      </c>
      <c r="N1518">
        <v>-3.580658E-3</v>
      </c>
      <c r="O1518">
        <v>-0.99979640000000003</v>
      </c>
      <c r="P1518">
        <v>-7.3960810000000002E-2</v>
      </c>
      <c r="Q1518">
        <v>-8.7054679999999995E-2</v>
      </c>
      <c r="R1518">
        <v>-0.99345450000000002</v>
      </c>
      <c r="S1518">
        <v>-0.19856260000000001</v>
      </c>
      <c r="T1518">
        <v>-0.22415099999999999</v>
      </c>
      <c r="U1518">
        <v>-2.985382</v>
      </c>
      <c r="V1518">
        <v>9.3683100000000005E-2</v>
      </c>
      <c r="W1518">
        <v>-8.3509710000000001E-2</v>
      </c>
      <c r="X1518">
        <v>0.99209360000000002</v>
      </c>
      <c r="Y1518">
        <v>8.60012E-2</v>
      </c>
      <c r="Z1518">
        <v>7.1055759999999996E-2</v>
      </c>
      <c r="AA1518">
        <v>0.99375800000000003</v>
      </c>
      <c r="AB1518">
        <v>24</v>
      </c>
      <c r="AC1518">
        <v>-6.4199999999999494E-2</v>
      </c>
      <c r="AD1518">
        <v>-6.6785999999999998E-2</v>
      </c>
      <c r="AE1518">
        <v>-0.64959999999996398</v>
      </c>
      <c r="AF1518">
        <v>7.6298203235489498E-2</v>
      </c>
      <c r="AG1518">
        <v>-6.6785999999999998E-2</v>
      </c>
      <c r="AH1518">
        <v>0.64148093214565105</v>
      </c>
      <c r="AI1518">
        <v>95.902469246209805</v>
      </c>
      <c r="AJ1518">
        <v>83.2170648366384</v>
      </c>
      <c r="AK1518">
        <v>0.64944558811298303</v>
      </c>
      <c r="AL1518">
        <v>94.790332579144206</v>
      </c>
      <c r="AM1518">
        <v>84.605572817024196</v>
      </c>
      <c r="AN1518">
        <v>1.0000000530254201</v>
      </c>
    </row>
    <row r="1519" spans="1:40" x14ac:dyDescent="0.25">
      <c r="A1519" t="str">
        <f>"20190305135222253"</f>
        <v>20190305135222253</v>
      </c>
      <c r="B1519" t="str">
        <f>"1551765142251210"</f>
        <v>1551765142251210</v>
      </c>
      <c r="C1519" t="s">
        <v>40</v>
      </c>
      <c r="D1519">
        <v>4.7686060000000001</v>
      </c>
      <c r="E1519">
        <v>0.4966854</v>
      </c>
      <c r="F1519" t="s">
        <v>41</v>
      </c>
      <c r="G1519">
        <v>-191.16849999999999</v>
      </c>
      <c r="H1519">
        <v>1.043064</v>
      </c>
      <c r="I1519">
        <v>323.06700000000001</v>
      </c>
      <c r="J1519">
        <v>-191.10669999999999</v>
      </c>
      <c r="K1519">
        <v>1.107882</v>
      </c>
      <c r="L1519">
        <v>323.709</v>
      </c>
      <c r="M1519">
        <v>1.982925E-2</v>
      </c>
      <c r="N1519">
        <v>-3.5824300000000002E-3</v>
      </c>
      <c r="O1519">
        <v>-0.99979709999999999</v>
      </c>
      <c r="P1519">
        <v>-7.4475269999999996E-2</v>
      </c>
      <c r="Q1519">
        <v>-8.6030129999999996E-2</v>
      </c>
      <c r="R1519">
        <v>-0.99350539999999998</v>
      </c>
      <c r="S1519">
        <v>-0.1963654</v>
      </c>
      <c r="T1519">
        <v>-0.22275729999999999</v>
      </c>
      <c r="U1519">
        <v>-2.9856259999999999</v>
      </c>
      <c r="V1519">
        <v>9.4157149999999995E-2</v>
      </c>
      <c r="W1519">
        <v>-8.2481029999999997E-2</v>
      </c>
      <c r="X1519">
        <v>0.99213470000000004</v>
      </c>
      <c r="Y1519">
        <v>8.5226419999999997E-2</v>
      </c>
      <c r="Z1519">
        <v>7.059079E-2</v>
      </c>
      <c r="AA1519">
        <v>0.99385789999999996</v>
      </c>
      <c r="AB1519">
        <v>24</v>
      </c>
      <c r="AC1519">
        <v>-6.1800000000005101E-2</v>
      </c>
      <c r="AD1519">
        <v>-6.4818000000000001E-2</v>
      </c>
      <c r="AE1519">
        <v>-0.64199999999999502</v>
      </c>
      <c r="AF1519">
        <v>7.3773208058149103E-2</v>
      </c>
      <c r="AG1519">
        <v>-6.4818000000000001E-2</v>
      </c>
      <c r="AH1519">
        <v>0.63424255177903099</v>
      </c>
      <c r="AI1519">
        <v>95.796415186568495</v>
      </c>
      <c r="AJ1519">
        <v>83.365339614226897</v>
      </c>
      <c r="AK1519">
        <v>0.64180018217383505</v>
      </c>
      <c r="AL1519">
        <v>94.731189874482496</v>
      </c>
      <c r="AM1519">
        <v>84.5786617320462</v>
      </c>
      <c r="AN1519">
        <v>0.99999997607503599</v>
      </c>
    </row>
    <row r="1520" spans="1:40" x14ac:dyDescent="0.25">
      <c r="A1520" t="str">
        <f>"20190305135222277"</f>
        <v>20190305135222277</v>
      </c>
      <c r="B1520" t="str">
        <f>"1551765142270730"</f>
        <v>1551765142270730</v>
      </c>
      <c r="C1520" t="s">
        <v>40</v>
      </c>
      <c r="D1520">
        <v>5.0660309999999997</v>
      </c>
      <c r="E1520">
        <v>0.49665949999999998</v>
      </c>
      <c r="F1520" t="s">
        <v>41</v>
      </c>
      <c r="G1520">
        <v>-191.16329999999999</v>
      </c>
      <c r="H1520">
        <v>1.0441590000000001</v>
      </c>
      <c r="I1520">
        <v>322.84620000000001</v>
      </c>
      <c r="J1520">
        <v>-191.10149999999999</v>
      </c>
      <c r="K1520">
        <v>1.107877</v>
      </c>
      <c r="L1520">
        <v>323.44529999999997</v>
      </c>
      <c r="M1520">
        <v>1.9780599999999999E-2</v>
      </c>
      <c r="N1520">
        <v>-3.5900160000000001E-3</v>
      </c>
      <c r="O1520">
        <v>-0.99979810000000002</v>
      </c>
      <c r="P1520">
        <v>-7.5589909999999996E-2</v>
      </c>
      <c r="Q1520">
        <v>-8.5736530000000005E-2</v>
      </c>
      <c r="R1520">
        <v>-0.99344650000000001</v>
      </c>
      <c r="S1520">
        <v>-0.1954041</v>
      </c>
      <c r="T1520">
        <v>-0.22067200000000001</v>
      </c>
      <c r="U1520">
        <v>-2.9859309999999999</v>
      </c>
      <c r="V1520">
        <v>9.5221120000000006E-2</v>
      </c>
      <c r="W1520">
        <v>-8.2181450000000003E-2</v>
      </c>
      <c r="X1520">
        <v>0.992058</v>
      </c>
      <c r="Y1520">
        <v>8.4856050000000002E-2</v>
      </c>
      <c r="Z1520">
        <v>6.9887119999999997E-2</v>
      </c>
      <c r="AA1520">
        <v>0.99393929999999997</v>
      </c>
      <c r="AB1520">
        <v>25</v>
      </c>
      <c r="AC1520">
        <v>-6.1800000000005101E-2</v>
      </c>
      <c r="AD1520">
        <v>-6.37179999999999E-2</v>
      </c>
      <c r="AE1520">
        <v>-0.59909999999996399</v>
      </c>
      <c r="AF1520">
        <v>7.2823460115348904E-2</v>
      </c>
      <c r="AG1520">
        <v>-6.37179999999999E-2</v>
      </c>
      <c r="AH1520">
        <v>0.59114392907873703</v>
      </c>
      <c r="AI1520">
        <v>96.106217524366102</v>
      </c>
      <c r="AJ1520">
        <v>82.977074228399999</v>
      </c>
      <c r="AK1520">
        <v>0.59901117247829205</v>
      </c>
      <c r="AL1520">
        <v>94.713966789726499</v>
      </c>
      <c r="AM1520">
        <v>84.517350827717394</v>
      </c>
      <c r="AN1520">
        <v>0.99999996389107704</v>
      </c>
    </row>
    <row r="1521" spans="1:40" x14ac:dyDescent="0.25">
      <c r="A1521" t="str">
        <f>"20190305135222322"</f>
        <v>20190305135222322</v>
      </c>
      <c r="B1521" t="str">
        <f>"1551765142310745"</f>
        <v>1551765142310745</v>
      </c>
      <c r="C1521" t="s">
        <v>40</v>
      </c>
      <c r="D1521">
        <v>4.8628090000000004</v>
      </c>
      <c r="E1521">
        <v>0.56353710000000001</v>
      </c>
      <c r="F1521" t="s">
        <v>41</v>
      </c>
      <c r="G1521">
        <v>-191.15629999999999</v>
      </c>
      <c r="H1521">
        <v>1.0474460000000001</v>
      </c>
      <c r="I1521">
        <v>322.6232</v>
      </c>
      <c r="J1521">
        <v>-191.09180000000001</v>
      </c>
      <c r="K1521">
        <v>1.1078170000000001</v>
      </c>
      <c r="L1521">
        <v>322.94</v>
      </c>
      <c r="M1521">
        <v>1.9567370000000001E-2</v>
      </c>
      <c r="N1521">
        <v>-3.6937379999999998E-3</v>
      </c>
      <c r="O1521">
        <v>-0.99980190000000002</v>
      </c>
      <c r="P1521">
        <v>-7.746509E-2</v>
      </c>
      <c r="Q1521">
        <v>-8.7724419999999997E-2</v>
      </c>
      <c r="R1521">
        <v>-0.99312840000000002</v>
      </c>
      <c r="S1521">
        <v>-0.19851679999999999</v>
      </c>
      <c r="T1521">
        <v>-0.21960160000000001</v>
      </c>
      <c r="U1521">
        <v>-2.985779</v>
      </c>
      <c r="V1521">
        <v>9.6865430000000002E-2</v>
      </c>
      <c r="W1521">
        <v>-8.4082359999999995E-2</v>
      </c>
      <c r="X1521">
        <v>0.9917395</v>
      </c>
      <c r="Y1521">
        <v>8.5680279999999998E-2</v>
      </c>
      <c r="Z1521">
        <v>6.9428130000000005E-2</v>
      </c>
      <c r="AA1521">
        <v>0.99390069999999997</v>
      </c>
      <c r="AB1521">
        <v>25</v>
      </c>
      <c r="AC1521">
        <v>-6.44999999999811E-2</v>
      </c>
      <c r="AD1521">
        <v>-6.0371000000000098E-2</v>
      </c>
      <c r="AE1521">
        <v>-0.31680000000000003</v>
      </c>
      <c r="AF1521">
        <v>6.8304871007672394E-2</v>
      </c>
      <c r="AG1521">
        <v>-6.0371000000000098E-2</v>
      </c>
      <c r="AH1521">
        <v>0.30484733582586498</v>
      </c>
      <c r="AI1521">
        <v>100.937327708697</v>
      </c>
      <c r="AJ1521">
        <v>77.370750622048604</v>
      </c>
      <c r="AK1521">
        <v>0.31818565524627701</v>
      </c>
      <c r="AL1521">
        <v>94.823259088894105</v>
      </c>
      <c r="AM1521">
        <v>84.421486729556904</v>
      </c>
      <c r="AN1521">
        <v>0.99999999532625194</v>
      </c>
    </row>
    <row r="1522" spans="1:40" x14ac:dyDescent="0.25">
      <c r="A1522" t="str">
        <f>"20190305135222347"</f>
        <v>20190305135222347</v>
      </c>
      <c r="B1522" t="str">
        <f>"1551765142341509"</f>
        <v>1551765142341509</v>
      </c>
      <c r="C1522" t="s">
        <v>40</v>
      </c>
      <c r="D1522">
        <v>4.6351310000000003</v>
      </c>
      <c r="E1522">
        <v>0.56652579999999997</v>
      </c>
      <c r="F1522" t="s">
        <v>42</v>
      </c>
      <c r="G1522">
        <v>-196.85830000000001</v>
      </c>
      <c r="H1522" s="1">
        <v>-1.8837949999999999E-6</v>
      </c>
      <c r="I1522">
        <v>299.72660000000002</v>
      </c>
      <c r="J1522">
        <v>-191.08680000000001</v>
      </c>
      <c r="K1522">
        <v>1.107782</v>
      </c>
      <c r="L1522">
        <v>322.67520000000002</v>
      </c>
      <c r="M1522">
        <v>1.9347710000000001E-2</v>
      </c>
      <c r="N1522">
        <v>-3.8232650000000002E-3</v>
      </c>
      <c r="O1522">
        <v>-0.99980550000000001</v>
      </c>
      <c r="P1522">
        <v>-7.8169000000000002E-2</v>
      </c>
      <c r="Q1522">
        <v>-8.8109489999999999E-2</v>
      </c>
      <c r="R1522">
        <v>-0.99303900000000001</v>
      </c>
      <c r="S1522">
        <v>-0.73310850000000005</v>
      </c>
      <c r="T1522">
        <v>-0.14083979999999999</v>
      </c>
      <c r="U1522">
        <v>-2.9511720000000001</v>
      </c>
      <c r="V1522">
        <v>9.7338430000000004E-2</v>
      </c>
      <c r="W1522">
        <v>-8.4352250000000004E-2</v>
      </c>
      <c r="X1522">
        <v>0.9916703</v>
      </c>
      <c r="Y1522">
        <v>0.25957669999999999</v>
      </c>
      <c r="Z1522">
        <v>4.2310720000000003E-2</v>
      </c>
      <c r="AA1522">
        <v>0.96479519999999996</v>
      </c>
      <c r="AB1522">
        <v>25</v>
      </c>
      <c r="AC1522">
        <v>-5.7714999999999996</v>
      </c>
      <c r="AD1522">
        <v>-1.107783883795</v>
      </c>
      <c r="AE1522">
        <v>-22.948599999999999</v>
      </c>
      <c r="AF1522">
        <v>6.2008359789283301</v>
      </c>
      <c r="AG1522">
        <v>-1.107783883795</v>
      </c>
      <c r="AH1522">
        <v>22.782707523553398</v>
      </c>
      <c r="AI1522">
        <v>92.686185832643503</v>
      </c>
      <c r="AJ1522">
        <v>74.774448738734705</v>
      </c>
      <c r="AK1522">
        <v>23.637455744528499</v>
      </c>
      <c r="AL1522">
        <v>94.8387776201279</v>
      </c>
      <c r="AM1522">
        <v>84.394030901356601</v>
      </c>
      <c r="AN1522">
        <v>1.0000000279685</v>
      </c>
    </row>
    <row r="1523" spans="1:40" x14ac:dyDescent="0.25">
      <c r="A1523" t="str">
        <f>"20190305135222369"</f>
        <v>20190305135222369</v>
      </c>
      <c r="B1523" t="str">
        <f>"1551765142361029"</f>
        <v>1551765142361029</v>
      </c>
      <c r="C1523" t="s">
        <v>40</v>
      </c>
      <c r="D1523">
        <v>4.7106830000000004</v>
      </c>
      <c r="E1523">
        <v>0.56623169999999901</v>
      </c>
      <c r="F1523" t="s">
        <v>55</v>
      </c>
      <c r="G1523">
        <v>-199.9967</v>
      </c>
      <c r="H1523" s="1">
        <v>1.927579E-6</v>
      </c>
      <c r="I1523">
        <v>287.91000000000003</v>
      </c>
      <c r="J1523">
        <v>-191.0821</v>
      </c>
      <c r="K1523">
        <v>1.107782</v>
      </c>
      <c r="L1523">
        <v>322.41890000000001</v>
      </c>
      <c r="M1523">
        <v>1.901692E-2</v>
      </c>
      <c r="N1523">
        <v>-4.1118020000000003E-3</v>
      </c>
      <c r="O1523">
        <v>-0.99981059999999999</v>
      </c>
      <c r="P1523">
        <v>-7.8390719999999997E-2</v>
      </c>
      <c r="Q1523">
        <v>-8.7752220000000006E-2</v>
      </c>
      <c r="R1523">
        <v>-0.99305339999999998</v>
      </c>
      <c r="S1523">
        <v>-0.75685119999999995</v>
      </c>
      <c r="T1523">
        <v>-9.4100240000000002E-2</v>
      </c>
      <c r="U1523">
        <v>-2.953125</v>
      </c>
      <c r="V1523">
        <v>9.7217310000000001E-2</v>
      </c>
      <c r="W1523">
        <v>-8.3726449999999994E-2</v>
      </c>
      <c r="X1523">
        <v>0.99173520000000004</v>
      </c>
      <c r="Y1523">
        <v>0.2665341</v>
      </c>
      <c r="Z1523">
        <v>2.6647170000000001E-2</v>
      </c>
      <c r="AA1523">
        <v>0.96345700000000001</v>
      </c>
      <c r="AB1523">
        <v>25</v>
      </c>
      <c r="AC1523">
        <v>-8.9146000000000001</v>
      </c>
      <c r="AD1523">
        <v>-1.1077800724210001</v>
      </c>
      <c r="AE1523">
        <v>-34.508899999999898</v>
      </c>
      <c r="AF1523">
        <v>9.5600112575632004</v>
      </c>
      <c r="AG1523">
        <v>-1.1077800724210001</v>
      </c>
      <c r="AH1523">
        <v>34.299994980002303</v>
      </c>
      <c r="AI1523">
        <v>91.781953851323493</v>
      </c>
      <c r="AJ1523">
        <v>74.425912163636596</v>
      </c>
      <c r="AK1523">
        <v>35.624579261540397</v>
      </c>
      <c r="AL1523">
        <v>94.8027946903252</v>
      </c>
      <c r="AM1523">
        <v>84.401326237979006</v>
      </c>
      <c r="AN1523">
        <v>1.0000000153561299</v>
      </c>
    </row>
    <row r="1524" spans="1:40" x14ac:dyDescent="0.25">
      <c r="A1524" t="str">
        <f>"20190305135222389"</f>
        <v>20190305135222389</v>
      </c>
      <c r="B1524" t="str">
        <f>"1551765142381526"</f>
        <v>1551765142381526</v>
      </c>
      <c r="C1524" t="s">
        <v>40</v>
      </c>
      <c r="D1524">
        <v>4.6959619999999997</v>
      </c>
      <c r="E1524">
        <v>0.56613359999999902</v>
      </c>
      <c r="F1524" t="s">
        <v>55</v>
      </c>
      <c r="G1524">
        <v>-199.91820000000001</v>
      </c>
      <c r="H1524" s="1">
        <v>1.9205169999999999E-6</v>
      </c>
      <c r="I1524">
        <v>287.87349999999998</v>
      </c>
      <c r="J1524">
        <v>-191.07810000000001</v>
      </c>
      <c r="K1524">
        <v>1.1078319999999999</v>
      </c>
      <c r="L1524">
        <v>322.18720000000002</v>
      </c>
      <c r="M1524">
        <v>1.8626549999999999E-2</v>
      </c>
      <c r="N1524">
        <v>-4.6066279999999998E-3</v>
      </c>
      <c r="O1524">
        <v>-0.99981600000000004</v>
      </c>
      <c r="P1524">
        <v>-7.8738959999999997E-2</v>
      </c>
      <c r="Q1524">
        <v>-8.6776110000000004E-2</v>
      </c>
      <c r="R1524">
        <v>-0.99311150000000004</v>
      </c>
      <c r="S1524">
        <v>-0.75532529999999998</v>
      </c>
      <c r="T1524">
        <v>-9.4694970000000003E-2</v>
      </c>
      <c r="U1524">
        <v>-2.9530029999999998</v>
      </c>
      <c r="V1524">
        <v>9.7164909999999993E-2</v>
      </c>
      <c r="W1524">
        <v>-8.2277320000000001E-2</v>
      </c>
      <c r="X1524">
        <v>0.99186160000000001</v>
      </c>
      <c r="Y1524">
        <v>0.26569930000000003</v>
      </c>
      <c r="Z1524">
        <v>2.6353060000000001E-2</v>
      </c>
      <c r="AA1524">
        <v>0.96369570000000004</v>
      </c>
      <c r="AB1524">
        <v>25</v>
      </c>
      <c r="AC1524">
        <v>-8.8400999999999996</v>
      </c>
      <c r="AD1524">
        <v>-1.1078300794829901</v>
      </c>
      <c r="AE1524">
        <v>-34.313699999999997</v>
      </c>
      <c r="AF1524">
        <v>9.4684637449667299</v>
      </c>
      <c r="AG1524">
        <v>-1.1078300794829901</v>
      </c>
      <c r="AH1524">
        <v>34.109743318596699</v>
      </c>
      <c r="AI1524">
        <v>91.792489525966602</v>
      </c>
      <c r="AJ1524">
        <v>74.485971090919094</v>
      </c>
      <c r="AK1524">
        <v>35.416855908385003</v>
      </c>
      <c r="AL1524">
        <v>94.719478205719895</v>
      </c>
      <c r="AM1524">
        <v>84.4050333305387</v>
      </c>
      <c r="AN1524">
        <v>1.0000000053381199</v>
      </c>
    </row>
    <row r="1525" spans="1:40" x14ac:dyDescent="0.25">
      <c r="A1525" t="str">
        <f>"20190305135222412"</f>
        <v>20190305135222412</v>
      </c>
      <c r="B1525" t="str">
        <f>"1551765142401045"</f>
        <v>1551765142401045</v>
      </c>
      <c r="C1525" t="s">
        <v>40</v>
      </c>
      <c r="D1525">
        <v>4.8385989999999897</v>
      </c>
      <c r="E1525">
        <v>0.56580569999999997</v>
      </c>
      <c r="F1525" t="s">
        <v>55</v>
      </c>
      <c r="G1525">
        <v>-200.13130000000001</v>
      </c>
      <c r="H1525" s="1">
        <v>2.083551E-6</v>
      </c>
      <c r="I1525">
        <v>286.80880000000002</v>
      </c>
      <c r="J1525">
        <v>-191.07380000000001</v>
      </c>
      <c r="K1525">
        <v>1.1079300000000001</v>
      </c>
      <c r="L1525">
        <v>321.92520000000002</v>
      </c>
      <c r="M1525">
        <v>1.8069740000000001E-2</v>
      </c>
      <c r="N1525">
        <v>-5.4376219999999996E-3</v>
      </c>
      <c r="O1525">
        <v>-0.99982190000000004</v>
      </c>
      <c r="P1525">
        <v>-7.9393920000000007E-2</v>
      </c>
      <c r="Q1525">
        <v>-8.701776E-2</v>
      </c>
      <c r="R1525">
        <v>-0.99303819999999998</v>
      </c>
      <c r="S1525">
        <v>-0.75561519999999904</v>
      </c>
      <c r="T1525">
        <v>-9.2463729999999994E-2</v>
      </c>
      <c r="U1525">
        <v>-2.95282</v>
      </c>
      <c r="V1525">
        <v>9.7249100000000005E-2</v>
      </c>
      <c r="W1525">
        <v>-8.1715999999999997E-2</v>
      </c>
      <c r="X1525">
        <v>0.99189970000000005</v>
      </c>
      <c r="Y1525">
        <v>0.2652717</v>
      </c>
      <c r="Z1525">
        <v>2.479541E-2</v>
      </c>
      <c r="AA1525">
        <v>0.96385480000000001</v>
      </c>
      <c r="AB1525">
        <v>25</v>
      </c>
      <c r="AC1525">
        <v>-9.0574999999999992</v>
      </c>
      <c r="AD1525">
        <v>-1.1079279164489999</v>
      </c>
      <c r="AE1525">
        <v>-35.116399999999999</v>
      </c>
      <c r="AF1525">
        <v>9.6815387662397203</v>
      </c>
      <c r="AG1525">
        <v>-1.1079279164489999</v>
      </c>
      <c r="AH1525">
        <v>34.914410871270697</v>
      </c>
      <c r="AI1525">
        <v>91.751491763414094</v>
      </c>
      <c r="AJ1525">
        <v>74.501652326180704</v>
      </c>
      <c r="AK1525">
        <v>36.248803892516896</v>
      </c>
      <c r="AL1525">
        <v>94.687208516463699</v>
      </c>
      <c r="AM1525">
        <v>84.400430013581499</v>
      </c>
      <c r="AN1525">
        <v>0.99999995348344894</v>
      </c>
    </row>
    <row r="1526" spans="1:40" x14ac:dyDescent="0.25">
      <c r="A1526" t="str">
        <f>"20190305135222434"</f>
        <v>20190305135222434</v>
      </c>
      <c r="B1526" t="str">
        <f>"1551765142431301"</f>
        <v>1551765142431301</v>
      </c>
      <c r="C1526" t="s">
        <v>40</v>
      </c>
      <c r="D1526">
        <v>4.7252140000000002</v>
      </c>
      <c r="E1526">
        <v>0.56596230000000003</v>
      </c>
      <c r="F1526" t="s">
        <v>55</v>
      </c>
      <c r="G1526">
        <v>-199.85550000000001</v>
      </c>
      <c r="H1526" s="1">
        <v>1.956191E-6</v>
      </c>
      <c r="I1526">
        <v>287.59280000000001</v>
      </c>
      <c r="J1526">
        <v>-191.07</v>
      </c>
      <c r="K1526">
        <v>1.1080110000000001</v>
      </c>
      <c r="L1526">
        <v>321.6798</v>
      </c>
      <c r="M1526">
        <v>1.7423310000000001E-2</v>
      </c>
      <c r="N1526">
        <v>-6.2888379999999997E-3</v>
      </c>
      <c r="O1526">
        <v>-0.99982879999999996</v>
      </c>
      <c r="P1526">
        <v>-8.13023999999999E-2</v>
      </c>
      <c r="Q1526">
        <v>-8.7880330000000006E-2</v>
      </c>
      <c r="R1526">
        <v>-0.99280829999999998</v>
      </c>
      <c r="S1526">
        <v>-0.75514219999999999</v>
      </c>
      <c r="T1526">
        <v>-9.5271590000000003E-2</v>
      </c>
      <c r="U1526">
        <v>-2.9522710000000001</v>
      </c>
      <c r="V1526">
        <v>9.8495949999999999E-2</v>
      </c>
      <c r="W1526">
        <v>-8.1756259999999997E-2</v>
      </c>
      <c r="X1526">
        <v>0.99177340000000003</v>
      </c>
      <c r="Y1526">
        <v>0.26454060000000001</v>
      </c>
      <c r="Z1526">
        <v>2.4870639999999999E-2</v>
      </c>
      <c r="AA1526">
        <v>0.96405379999999996</v>
      </c>
      <c r="AB1526">
        <v>25</v>
      </c>
      <c r="AC1526">
        <v>-8.7855000000000096</v>
      </c>
      <c r="AD1526">
        <v>-1.108009043809</v>
      </c>
      <c r="AE1526">
        <v>-34.086999999999897</v>
      </c>
      <c r="AF1526">
        <v>9.3688037983745094</v>
      </c>
      <c r="AG1526">
        <v>-1.108009043809</v>
      </c>
      <c r="AH1526">
        <v>33.895167366972998</v>
      </c>
      <c r="AI1526">
        <v>91.804669507112905</v>
      </c>
      <c r="AJ1526">
        <v>74.548919126376802</v>
      </c>
      <c r="AK1526">
        <v>35.183583380444801</v>
      </c>
      <c r="AL1526">
        <v>94.689522734606399</v>
      </c>
      <c r="AM1526">
        <v>84.3283843673847</v>
      </c>
      <c r="AN1526">
        <v>1.00000000758157</v>
      </c>
    </row>
    <row r="1527" spans="1:40" x14ac:dyDescent="0.25">
      <c r="A1527" t="str">
        <f>"20190305135222455"</f>
        <v>20190305135222455</v>
      </c>
      <c r="B1527" t="str">
        <f>"1551765142450822"</f>
        <v>1551765142450822</v>
      </c>
      <c r="C1527" t="s">
        <v>40</v>
      </c>
      <c r="D1527">
        <v>4.7072839999999996</v>
      </c>
      <c r="E1527">
        <v>0.56605649999999996</v>
      </c>
      <c r="F1527" t="s">
        <v>55</v>
      </c>
      <c r="G1527">
        <v>-199.7414</v>
      </c>
      <c r="H1527" s="1">
        <v>1.931597E-6</v>
      </c>
      <c r="I1527">
        <v>288.10570000000001</v>
      </c>
      <c r="J1527">
        <v>-191.0667</v>
      </c>
      <c r="K1527">
        <v>1.108055</v>
      </c>
      <c r="L1527">
        <v>321.44470000000001</v>
      </c>
      <c r="M1527">
        <v>1.6687810000000001E-2</v>
      </c>
      <c r="N1527">
        <v>-7.0570889999999999E-3</v>
      </c>
      <c r="O1527">
        <v>-0.99983619999999995</v>
      </c>
      <c r="P1527">
        <v>-8.4213079999999996E-2</v>
      </c>
      <c r="Q1527">
        <v>-9.0153230000000001E-2</v>
      </c>
      <c r="R1527">
        <v>-0.99236199999999997</v>
      </c>
      <c r="S1527">
        <v>-0.76208500000000001</v>
      </c>
      <c r="T1527">
        <v>-9.7378019999999996E-2</v>
      </c>
      <c r="U1527">
        <v>-2.9506839999999999</v>
      </c>
      <c r="V1527">
        <v>0.1006522</v>
      </c>
      <c r="W1527">
        <v>-8.3291669999999998E-2</v>
      </c>
      <c r="X1527">
        <v>0.99142909999999995</v>
      </c>
      <c r="Y1527">
        <v>0.26607839999999999</v>
      </c>
      <c r="Z1527">
        <v>2.4791199999999999E-2</v>
      </c>
      <c r="AA1527">
        <v>0.96363259999999995</v>
      </c>
      <c r="AB1527">
        <v>25</v>
      </c>
      <c r="AC1527">
        <v>-8.6746999999999996</v>
      </c>
      <c r="AD1527">
        <v>-1.1080530684029899</v>
      </c>
      <c r="AE1527">
        <v>-33.338999999999999</v>
      </c>
      <c r="AF1527">
        <v>9.2203213347520592</v>
      </c>
      <c r="AG1527">
        <v>-1.1080530684029899</v>
      </c>
      <c r="AH1527">
        <v>33.155290043204701</v>
      </c>
      <c r="AI1527">
        <v>91.844185449256997</v>
      </c>
      <c r="AJ1527">
        <v>74.459015334832003</v>
      </c>
      <c r="AK1527">
        <v>34.431313727006</v>
      </c>
      <c r="AL1527">
        <v>94.777796319143206</v>
      </c>
      <c r="AM1527">
        <v>84.203060010733495</v>
      </c>
      <c r="AN1527">
        <v>1.00000001399151</v>
      </c>
    </row>
    <row r="1528" spans="1:40" x14ac:dyDescent="0.25">
      <c r="A1528" t="str">
        <f>"20190305135222484"</f>
        <v>20190305135222484</v>
      </c>
      <c r="B1528" t="str">
        <f>"1551765142481078"</f>
        <v>1551765142481078</v>
      </c>
      <c r="C1528" t="s">
        <v>40</v>
      </c>
      <c r="D1528">
        <v>4.6527710000000004</v>
      </c>
      <c r="E1528">
        <v>0.56618769999999996</v>
      </c>
      <c r="F1528" t="s">
        <v>55</v>
      </c>
      <c r="G1528">
        <v>-199.25649999999999</v>
      </c>
      <c r="H1528" s="1">
        <v>1.729213E-6</v>
      </c>
      <c r="I1528">
        <v>290.1508</v>
      </c>
      <c r="J1528">
        <v>-191.0624</v>
      </c>
      <c r="K1528">
        <v>1.1080840000000001</v>
      </c>
      <c r="L1528">
        <v>321.11110000000002</v>
      </c>
      <c r="M1528">
        <v>1.548915E-2</v>
      </c>
      <c r="N1528">
        <v>-8.0539830000000007E-3</v>
      </c>
      <c r="O1528">
        <v>-0.99984759999999995</v>
      </c>
      <c r="P1528">
        <v>-8.8474499999999998E-2</v>
      </c>
      <c r="Q1528">
        <v>-9.1746380000000002E-2</v>
      </c>
      <c r="R1528">
        <v>-0.99184430000000001</v>
      </c>
      <c r="S1528">
        <v>-0.77156069999999999</v>
      </c>
      <c r="T1528">
        <v>-0.1043891</v>
      </c>
      <c r="U1528">
        <v>-2.9481809999999999</v>
      </c>
      <c r="V1528">
        <v>0.1036945</v>
      </c>
      <c r="W1528">
        <v>-8.3931329999999998E-2</v>
      </c>
      <c r="X1528">
        <v>0.99106159999999999</v>
      </c>
      <c r="Y1528">
        <v>0.26800400000000002</v>
      </c>
      <c r="Z1528">
        <v>2.609146E-2</v>
      </c>
      <c r="AA1528">
        <v>0.96306440000000004</v>
      </c>
      <c r="AB1528">
        <v>25</v>
      </c>
      <c r="AC1528">
        <v>-8.1940999999999899</v>
      </c>
      <c r="AD1528">
        <v>-1.1080822707869999</v>
      </c>
      <c r="AE1528">
        <v>-30.9603</v>
      </c>
      <c r="AF1528">
        <v>8.6623115638104604</v>
      </c>
      <c r="AG1528">
        <v>-1.1080822707869999</v>
      </c>
      <c r="AH1528">
        <v>30.792799794317499</v>
      </c>
      <c r="AI1528">
        <v>91.983964627638599</v>
      </c>
      <c r="AJ1528">
        <v>74.288195345854604</v>
      </c>
      <c r="AK1528">
        <v>32.007186804220702</v>
      </c>
      <c r="AL1528">
        <v>94.814574716622801</v>
      </c>
      <c r="AM1528">
        <v>84.026891857215602</v>
      </c>
      <c r="AN1528">
        <v>1.0000000562401801</v>
      </c>
    </row>
    <row r="1529" spans="1:40" x14ac:dyDescent="0.25">
      <c r="A1529" t="str">
        <f>"20190305135222501"</f>
        <v>20190305135222501</v>
      </c>
      <c r="B1529" t="str">
        <f>"1551765142490837"</f>
        <v>1551765142490837</v>
      </c>
      <c r="C1529" t="s">
        <v>40</v>
      </c>
      <c r="D1529">
        <v>4.7097480000000003</v>
      </c>
      <c r="E1529">
        <v>0.5663395</v>
      </c>
      <c r="F1529" t="s">
        <v>55</v>
      </c>
      <c r="G1529">
        <v>-198.97049999999999</v>
      </c>
      <c r="H1529" s="1">
        <v>1.524064E-6</v>
      </c>
      <c r="I1529">
        <v>291.4597</v>
      </c>
      <c r="J1529">
        <v>-191.06039999999999</v>
      </c>
      <c r="K1529">
        <v>1.1080859999999999</v>
      </c>
      <c r="L1529">
        <v>320.92520000000002</v>
      </c>
      <c r="M1529">
        <v>1.474279E-2</v>
      </c>
      <c r="N1529">
        <v>-8.5719730000000001E-3</v>
      </c>
      <c r="O1529">
        <v>-0.99985469999999999</v>
      </c>
      <c r="P1529">
        <v>-9.2515559999999997E-2</v>
      </c>
      <c r="Q1529">
        <v>-9.1822169999999995E-2</v>
      </c>
      <c r="R1529">
        <v>-0.99146880000000004</v>
      </c>
      <c r="S1529">
        <v>-0.78529359999999904</v>
      </c>
      <c r="T1529">
        <v>-0.1100352</v>
      </c>
      <c r="U1529">
        <v>-2.944458</v>
      </c>
      <c r="V1529">
        <v>0.1069793</v>
      </c>
      <c r="W1529">
        <v>-8.3516999999999994E-2</v>
      </c>
      <c r="X1529">
        <v>0.99074739999999994</v>
      </c>
      <c r="Y1529">
        <v>0.2717639</v>
      </c>
      <c r="Z1529">
        <v>2.74229E-2</v>
      </c>
      <c r="AA1529">
        <v>0.96197310000000003</v>
      </c>
      <c r="AB1529">
        <v>25</v>
      </c>
      <c r="AC1529">
        <v>-7.9100999999999999</v>
      </c>
      <c r="AD1529">
        <v>-1.108084475936</v>
      </c>
      <c r="AE1529">
        <v>-29.465499999999999</v>
      </c>
      <c r="AF1529">
        <v>8.33266775633283</v>
      </c>
      <c r="AG1529">
        <v>-1.108084475936</v>
      </c>
      <c r="AH1529">
        <v>29.307015688407599</v>
      </c>
      <c r="AI1529">
        <v>92.082820727338301</v>
      </c>
      <c r="AJ1529">
        <v>74.1283132185916</v>
      </c>
      <c r="AK1529">
        <v>30.488725321072501</v>
      </c>
      <c r="AL1529">
        <v>94.790751814888793</v>
      </c>
      <c r="AM1529">
        <v>83.837171969357797</v>
      </c>
      <c r="AN1529">
        <v>1.0000000352621199</v>
      </c>
    </row>
    <row r="1530" spans="1:40" x14ac:dyDescent="0.25">
      <c r="A1530" t="str">
        <f>"20190305135222523"</f>
        <v>20190305135222523</v>
      </c>
      <c r="B1530" t="str">
        <f>"1551765142511334"</f>
        <v>1551765142511334</v>
      </c>
      <c r="C1530" t="s">
        <v>40</v>
      </c>
      <c r="D1530">
        <v>4.6839719999999998</v>
      </c>
      <c r="E1530">
        <v>0.56647740000000002</v>
      </c>
      <c r="F1530" t="s">
        <v>55</v>
      </c>
      <c r="G1530">
        <v>-199.06549999999999</v>
      </c>
      <c r="H1530" s="1">
        <v>1.519553E-6</v>
      </c>
      <c r="I1530">
        <v>291.4375</v>
      </c>
      <c r="J1530">
        <v>-191.05799999999999</v>
      </c>
      <c r="K1530">
        <v>1.1080730000000001</v>
      </c>
      <c r="L1530">
        <v>320.69040000000001</v>
      </c>
      <c r="M1530">
        <v>1.3728290000000001E-2</v>
      </c>
      <c r="N1530">
        <v>-9.1894119999999992E-3</v>
      </c>
      <c r="O1530">
        <v>-0.99986359999999996</v>
      </c>
      <c r="P1530">
        <v>-9.6633930000000007E-2</v>
      </c>
      <c r="Q1530">
        <v>-9.3070059999999996E-2</v>
      </c>
      <c r="R1530">
        <v>-0.99095940000000005</v>
      </c>
      <c r="S1530">
        <v>-0.79843140000000001</v>
      </c>
      <c r="T1530">
        <v>-0.1105202</v>
      </c>
      <c r="U1530">
        <v>-2.9411010000000002</v>
      </c>
      <c r="V1530">
        <v>0.1100701</v>
      </c>
      <c r="W1530">
        <v>-8.4181740000000005E-2</v>
      </c>
      <c r="X1530">
        <v>0.99035249999999997</v>
      </c>
      <c r="Y1530">
        <v>0.27506389999999997</v>
      </c>
      <c r="Z1530">
        <v>2.6966690000000001E-2</v>
      </c>
      <c r="AA1530">
        <v>0.9610476</v>
      </c>
      <c r="AB1530">
        <v>25</v>
      </c>
      <c r="AC1530">
        <v>-8.0074999999999896</v>
      </c>
      <c r="AD1530">
        <v>-1.10807148044699</v>
      </c>
      <c r="AE1530">
        <v>-29.2529</v>
      </c>
      <c r="AF1530">
        <v>8.3971460121104808</v>
      </c>
      <c r="AG1530">
        <v>-1.10807148044699</v>
      </c>
      <c r="AH1530">
        <v>29.101364515613302</v>
      </c>
      <c r="AI1530">
        <v>92.095159330168698</v>
      </c>
      <c r="AJ1530">
        <v>73.904600455629406</v>
      </c>
      <c r="AK1530">
        <v>30.308898037128898</v>
      </c>
      <c r="AL1530">
        <v>94.828973219323899</v>
      </c>
      <c r="AM1530">
        <v>83.658040469966494</v>
      </c>
      <c r="AN1530">
        <v>1.00000003325984</v>
      </c>
    </row>
    <row r="1531" spans="1:40" x14ac:dyDescent="0.25">
      <c r="A1531" t="str">
        <f>"20190305135222549"</f>
        <v>20190305135222549</v>
      </c>
      <c r="B1531" t="str">
        <f>"1551765142540614"</f>
        <v>1551765142540614</v>
      </c>
      <c r="C1531" t="s">
        <v>40</v>
      </c>
      <c r="D1531">
        <v>4.6579389999999998</v>
      </c>
      <c r="E1531">
        <v>0.56644869999999903</v>
      </c>
      <c r="F1531" t="s">
        <v>55</v>
      </c>
      <c r="G1531">
        <v>-198.9871</v>
      </c>
      <c r="H1531" s="1">
        <v>1.428702E-6</v>
      </c>
      <c r="I1531">
        <v>291.99279999999999</v>
      </c>
      <c r="J1531">
        <v>-191.0556</v>
      </c>
      <c r="K1531">
        <v>1.1080410000000001</v>
      </c>
      <c r="L1531">
        <v>320.40879999999999</v>
      </c>
      <c r="M1531">
        <v>1.237481E-2</v>
      </c>
      <c r="N1531">
        <v>-9.8551390000000006E-3</v>
      </c>
      <c r="O1531">
        <v>-0.99987499999999996</v>
      </c>
      <c r="P1531">
        <v>-9.9333589999999999E-2</v>
      </c>
      <c r="Q1531">
        <v>-9.4566910000000004E-2</v>
      </c>
      <c r="R1531">
        <v>-0.99055059999999995</v>
      </c>
      <c r="S1531">
        <v>-0.81164550000000002</v>
      </c>
      <c r="T1531">
        <v>-0.1134249</v>
      </c>
      <c r="U1531">
        <v>-2.9375610000000001</v>
      </c>
      <c r="V1531">
        <v>0.111406199999999</v>
      </c>
      <c r="W1531">
        <v>-8.5047139999999993E-2</v>
      </c>
      <c r="X1531">
        <v>0.99012909999999998</v>
      </c>
      <c r="Y1531">
        <v>0.27806609999999998</v>
      </c>
      <c r="Z1531">
        <v>2.7257110000000001E-2</v>
      </c>
      <c r="AA1531">
        <v>0.96017520000000001</v>
      </c>
      <c r="AB1531">
        <v>25</v>
      </c>
      <c r="AC1531">
        <v>-7.9314999999999998</v>
      </c>
      <c r="AD1531">
        <v>-1.108039571298</v>
      </c>
      <c r="AE1531">
        <v>-28.416</v>
      </c>
      <c r="AF1531">
        <v>8.2708853684839596</v>
      </c>
      <c r="AG1531">
        <v>-1.108039571298</v>
      </c>
      <c r="AH1531">
        <v>28.275782675637299</v>
      </c>
      <c r="AI1531">
        <v>92.153929775818995</v>
      </c>
      <c r="AJ1531">
        <v>73.695393327200094</v>
      </c>
      <c r="AK1531">
        <v>29.481437929484301</v>
      </c>
      <c r="AL1531">
        <v>94.878735627755006</v>
      </c>
      <c r="AM1531">
        <v>83.580260328032594</v>
      </c>
      <c r="AN1531">
        <v>0.99999999604371403</v>
      </c>
    </row>
    <row r="1532" spans="1:40" x14ac:dyDescent="0.25">
      <c r="A1532" t="str">
        <f>"20190305135222569"</f>
        <v>20190305135222569</v>
      </c>
      <c r="B1532" t="str">
        <f>"1551765142561110"</f>
        <v>1551765142561110</v>
      </c>
      <c r="C1532" t="s">
        <v>40</v>
      </c>
      <c r="D1532">
        <v>4.6370329999999997</v>
      </c>
      <c r="E1532">
        <v>0.5663686</v>
      </c>
      <c r="F1532" t="s">
        <v>55</v>
      </c>
      <c r="G1532">
        <v>-198.77189999999999</v>
      </c>
      <c r="H1532" s="1">
        <v>1.311734E-6</v>
      </c>
      <c r="I1532">
        <v>292.7654</v>
      </c>
      <c r="J1532">
        <v>-191.05410000000001</v>
      </c>
      <c r="K1532">
        <v>1.108007</v>
      </c>
      <c r="L1532">
        <v>320.17250000000001</v>
      </c>
      <c r="M1532">
        <v>1.1120639999999999E-2</v>
      </c>
      <c r="N1532">
        <v>-1.034701E-2</v>
      </c>
      <c r="O1532">
        <v>-0.99988489999999997</v>
      </c>
      <c r="P1532">
        <v>-9.9692959999999997E-2</v>
      </c>
      <c r="Q1532">
        <v>-9.5500020000000005E-2</v>
      </c>
      <c r="R1532">
        <v>-0.99042490000000005</v>
      </c>
      <c r="S1532">
        <v>-0.81932070000000001</v>
      </c>
      <c r="T1532">
        <v>-0.1176529</v>
      </c>
      <c r="U1532">
        <v>-2.9352109999999998</v>
      </c>
      <c r="V1532">
        <v>0.1105076</v>
      </c>
      <c r="W1532">
        <v>-8.5510249999999996E-2</v>
      </c>
      <c r="X1532">
        <v>0.99018989999999996</v>
      </c>
      <c r="Y1532">
        <v>0.27937640000000002</v>
      </c>
      <c r="Z1532">
        <v>2.8158260000000001E-2</v>
      </c>
      <c r="AA1532">
        <v>0.95976870000000003</v>
      </c>
      <c r="AB1532">
        <v>25</v>
      </c>
      <c r="AC1532">
        <v>-7.71779999999998</v>
      </c>
      <c r="AD1532">
        <v>-1.1080056882660001</v>
      </c>
      <c r="AE1532">
        <v>-27.4071</v>
      </c>
      <c r="AF1532">
        <v>8.0099937733766406</v>
      </c>
      <c r="AG1532">
        <v>-1.1080056882660001</v>
      </c>
      <c r="AH1532">
        <v>27.278265704065898</v>
      </c>
      <c r="AI1532">
        <v>92.231867067732594</v>
      </c>
      <c r="AJ1532">
        <v>73.635643758139196</v>
      </c>
      <c r="AK1532">
        <v>28.451563343274799</v>
      </c>
      <c r="AL1532">
        <v>94.905366943493803</v>
      </c>
      <c r="AM1532">
        <v>83.632002498670403</v>
      </c>
      <c r="AN1532">
        <v>0.99999998528741596</v>
      </c>
    </row>
    <row r="1533" spans="1:40" x14ac:dyDescent="0.25">
      <c r="A1533" t="str">
        <f>"20190305135222592"</f>
        <v>20190305135222592</v>
      </c>
      <c r="B1533" t="str">
        <f>"1551765142580631"</f>
        <v>1551765142580631</v>
      </c>
      <c r="C1533" t="s">
        <v>40</v>
      </c>
      <c r="D1533">
        <v>4.6519399999999997</v>
      </c>
      <c r="E1533">
        <v>0.56644079999999997</v>
      </c>
      <c r="F1533" t="s">
        <v>55</v>
      </c>
      <c r="G1533">
        <v>-198.5198</v>
      </c>
      <c r="H1533" s="1">
        <v>1.215113E-6</v>
      </c>
      <c r="I1533">
        <v>293.4409</v>
      </c>
      <c r="J1533">
        <v>-191.05289999999999</v>
      </c>
      <c r="K1533">
        <v>1.107979</v>
      </c>
      <c r="L1533">
        <v>319.9203</v>
      </c>
      <c r="M1533">
        <v>9.6793290000000004E-3</v>
      </c>
      <c r="N1533">
        <v>-1.081171E-2</v>
      </c>
      <c r="O1533">
        <v>-0.99989490000000003</v>
      </c>
      <c r="P1533">
        <v>-0.1000799</v>
      </c>
      <c r="Q1533">
        <v>-9.538423E-2</v>
      </c>
      <c r="R1533">
        <v>-0.99039699999999997</v>
      </c>
      <c r="S1533">
        <v>-0.81964110000000001</v>
      </c>
      <c r="T1533">
        <v>-0.121646</v>
      </c>
      <c r="U1533">
        <v>-2.9348139999999998</v>
      </c>
      <c r="V1533">
        <v>0.1094547</v>
      </c>
      <c r="W1533">
        <v>-8.4949670000000005E-2</v>
      </c>
      <c r="X1533">
        <v>0.99035510000000004</v>
      </c>
      <c r="Y1533">
        <v>0.278111</v>
      </c>
      <c r="Z1533">
        <v>2.9013710000000002E-2</v>
      </c>
      <c r="AA1533">
        <v>0.96011069999999998</v>
      </c>
      <c r="AB1533">
        <v>25</v>
      </c>
      <c r="AC1533">
        <v>-7.4669000000000096</v>
      </c>
      <c r="AD1533">
        <v>-1.1079777848870001</v>
      </c>
      <c r="AE1533">
        <v>-26.479399999999998</v>
      </c>
      <c r="AF1533">
        <v>7.7103627162888699</v>
      </c>
      <c r="AG1533">
        <v>-1.1079777848870001</v>
      </c>
      <c r="AH1533">
        <v>26.363123058798902</v>
      </c>
      <c r="AI1533">
        <v>92.309931240670494</v>
      </c>
      <c r="AJ1533">
        <v>73.697505306104404</v>
      </c>
      <c r="AK1533">
        <v>27.489844768603401</v>
      </c>
      <c r="AL1533">
        <v>94.873130700524797</v>
      </c>
      <c r="AM1533">
        <v>83.693228166662607</v>
      </c>
      <c r="AN1533">
        <v>1.0000000009406</v>
      </c>
    </row>
    <row r="1534" spans="1:40" x14ac:dyDescent="0.25">
      <c r="A1534" t="str">
        <f>"20190305135222616"</f>
        <v>20190305135222616</v>
      </c>
      <c r="B1534" t="str">
        <f>"1551765142610886"</f>
        <v>1551765142610886</v>
      </c>
      <c r="C1534" t="s">
        <v>40</v>
      </c>
      <c r="D1534">
        <v>4.6386450000000004</v>
      </c>
      <c r="E1534">
        <v>0.56661030000000001</v>
      </c>
      <c r="F1534" t="s">
        <v>55</v>
      </c>
      <c r="G1534">
        <v>-198.47239999999999</v>
      </c>
      <c r="H1534" s="1">
        <v>1.22139E-6</v>
      </c>
      <c r="I1534">
        <v>293.42919999999998</v>
      </c>
      <c r="J1534">
        <v>-191.0522</v>
      </c>
      <c r="K1534">
        <v>1.107925</v>
      </c>
      <c r="L1534">
        <v>319.6567</v>
      </c>
      <c r="M1534">
        <v>8.0393619999999996E-3</v>
      </c>
      <c r="N1534">
        <v>-1.1238430000000001E-2</v>
      </c>
      <c r="O1534">
        <v>-0.99990469999999998</v>
      </c>
      <c r="P1534">
        <v>-0.1004174</v>
      </c>
      <c r="Q1534">
        <v>-9.4757820000000006E-2</v>
      </c>
      <c r="R1534">
        <v>-0.99042300000000005</v>
      </c>
      <c r="S1534">
        <v>-0.82180789999999904</v>
      </c>
      <c r="T1534">
        <v>-0.1227229</v>
      </c>
      <c r="U1534">
        <v>-2.9342350000000001</v>
      </c>
      <c r="V1534">
        <v>0.108155399999999</v>
      </c>
      <c r="W1534">
        <v>-8.3916900000000003E-2</v>
      </c>
      <c r="X1534">
        <v>0.99058590000000002</v>
      </c>
      <c r="Y1534">
        <v>0.27723890000000001</v>
      </c>
      <c r="Z1534">
        <v>2.8951029999999999E-2</v>
      </c>
      <c r="AA1534">
        <v>0.96036480000000002</v>
      </c>
      <c r="AB1534">
        <v>25</v>
      </c>
      <c r="AC1534">
        <v>-7.4201999999999897</v>
      </c>
      <c r="AD1534">
        <v>-1.10792377861</v>
      </c>
      <c r="AE1534">
        <v>-26.227499999999999</v>
      </c>
      <c r="AF1534">
        <v>7.6182388907167899</v>
      </c>
      <c r="AG1534">
        <v>-1.10792377861</v>
      </c>
      <c r="AH1534">
        <v>26.123832819107001</v>
      </c>
      <c r="AI1534">
        <v>92.331484161537503</v>
      </c>
      <c r="AJ1534">
        <v>73.742245827130802</v>
      </c>
      <c r="AK1534">
        <v>27.234531390422202</v>
      </c>
      <c r="AL1534">
        <v>94.8137451334416</v>
      </c>
      <c r="AM1534">
        <v>83.768941779147795</v>
      </c>
      <c r="AN1534">
        <v>1.00000003096678</v>
      </c>
    </row>
    <row r="1535" spans="1:40" x14ac:dyDescent="0.25">
      <c r="A1535" t="str">
        <f>"20190305135222636"</f>
        <v>20190305135222636</v>
      </c>
      <c r="B1535" t="str">
        <f>"1551765142631382"</f>
        <v>1551765142631382</v>
      </c>
      <c r="C1535" t="s">
        <v>40</v>
      </c>
      <c r="D1535">
        <v>4.5937970000000004</v>
      </c>
      <c r="E1535">
        <v>0.56671719999999903</v>
      </c>
      <c r="F1535" t="s">
        <v>55</v>
      </c>
      <c r="G1535">
        <v>-198.5128</v>
      </c>
      <c r="H1535" s="1">
        <v>1.2736950000000001E-6</v>
      </c>
      <c r="I1535">
        <v>293.11180000000002</v>
      </c>
      <c r="J1535">
        <v>-191.0521</v>
      </c>
      <c r="K1535">
        <v>1.1078730000000001</v>
      </c>
      <c r="L1535">
        <v>319.4325</v>
      </c>
      <c r="M1535">
        <v>6.5159390000000001E-3</v>
      </c>
      <c r="N1535">
        <v>-1.155871E-2</v>
      </c>
      <c r="O1535">
        <v>-0.99991209999999997</v>
      </c>
      <c r="P1535">
        <v>-0.100938399999999</v>
      </c>
      <c r="Q1535">
        <v>-9.4244499999999995E-2</v>
      </c>
      <c r="R1535">
        <v>-0.9904193</v>
      </c>
      <c r="S1535">
        <v>-0.82453920000000003</v>
      </c>
      <c r="T1535">
        <v>-0.1224469</v>
      </c>
      <c r="U1535">
        <v>-2.933716</v>
      </c>
      <c r="V1535">
        <v>0.10715429999999999</v>
      </c>
      <c r="W1535">
        <v>-8.3103250000000004E-2</v>
      </c>
      <c r="X1535">
        <v>0.99076319999999996</v>
      </c>
      <c r="Y1535">
        <v>0.27664879999999997</v>
      </c>
      <c r="Z1535">
        <v>2.8548670000000002E-2</v>
      </c>
      <c r="AA1535">
        <v>0.96054700000000004</v>
      </c>
      <c r="AB1535">
        <v>25</v>
      </c>
      <c r="AC1535">
        <v>-7.4607000000000001</v>
      </c>
      <c r="AD1535">
        <v>-1.107871726305</v>
      </c>
      <c r="AE1535">
        <v>-26.320699999999899</v>
      </c>
      <c r="AF1535">
        <v>7.6195616765058896</v>
      </c>
      <c r="AG1535">
        <v>-1.107871726305</v>
      </c>
      <c r="AH1535">
        <v>26.228511938948099</v>
      </c>
      <c r="AI1535">
        <v>92.322773443948805</v>
      </c>
      <c r="AJ1535">
        <v>73.801058507780894</v>
      </c>
      <c r="AK1535">
        <v>27.335324004583601</v>
      </c>
      <c r="AL1535">
        <v>94.766963366129502</v>
      </c>
      <c r="AM1535">
        <v>83.827266073869495</v>
      </c>
      <c r="AN1535">
        <v>0.99999995632164496</v>
      </c>
    </row>
    <row r="1536" spans="1:40" x14ac:dyDescent="0.25">
      <c r="A1536" t="str">
        <f>"20190305135222658"</f>
        <v>20190305135222658</v>
      </c>
      <c r="B1536" t="str">
        <f>"1551765142650901"</f>
        <v>1551765142650901</v>
      </c>
      <c r="C1536" t="s">
        <v>40</v>
      </c>
      <c r="D1536">
        <v>4.6005120000000002</v>
      </c>
      <c r="E1536">
        <v>0.56685589999999997</v>
      </c>
      <c r="F1536" t="s">
        <v>55</v>
      </c>
      <c r="G1536">
        <v>-198.58690000000001</v>
      </c>
      <c r="H1536" s="1">
        <v>1.336599E-6</v>
      </c>
      <c r="I1536">
        <v>292.71730000000002</v>
      </c>
      <c r="J1536">
        <v>-191.05250000000001</v>
      </c>
      <c r="K1536">
        <v>1.1077980000000001</v>
      </c>
      <c r="L1536">
        <v>319.18669999999997</v>
      </c>
      <c r="M1536">
        <v>4.6961920000000001E-3</v>
      </c>
      <c r="N1536">
        <v>-1.1868699999999999E-2</v>
      </c>
      <c r="O1536">
        <v>-0.9999188</v>
      </c>
      <c r="P1536">
        <v>-0.1019741</v>
      </c>
      <c r="Q1536">
        <v>-9.3953270000000005E-2</v>
      </c>
      <c r="R1536">
        <v>-0.99034089999999997</v>
      </c>
      <c r="S1536">
        <v>-0.82727050000000002</v>
      </c>
      <c r="T1536">
        <v>-0.1216363</v>
      </c>
      <c r="U1536">
        <v>-2.9331360000000002</v>
      </c>
      <c r="V1536">
        <v>0.10636909999999999</v>
      </c>
      <c r="W1536">
        <v>-8.2528130000000005E-2</v>
      </c>
      <c r="X1536">
        <v>0.99089590000000005</v>
      </c>
      <c r="Y1536">
        <v>0.27578049999999998</v>
      </c>
      <c r="Z1536">
        <v>2.7984599999999998E-2</v>
      </c>
      <c r="AA1536">
        <v>0.96081320000000003</v>
      </c>
      <c r="AB1536">
        <v>25</v>
      </c>
      <c r="AC1536">
        <v>-7.5343999999999998</v>
      </c>
      <c r="AD1536">
        <v>-1.1077966634009999</v>
      </c>
      <c r="AE1536">
        <v>-26.469399999999901</v>
      </c>
      <c r="AF1536">
        <v>7.6462417652885399</v>
      </c>
      <c r="AG1536">
        <v>-1.1077966634009999</v>
      </c>
      <c r="AH1536">
        <v>26.3909611839448</v>
      </c>
      <c r="AI1536">
        <v>92.308814556014894</v>
      </c>
      <c r="AJ1536">
        <v>73.842134657504303</v>
      </c>
      <c r="AK1536">
        <v>27.498637398845101</v>
      </c>
      <c r="AL1536">
        <v>94.733897713610602</v>
      </c>
      <c r="AM1536">
        <v>83.872967329781801</v>
      </c>
      <c r="AN1536">
        <v>0.99999998115645805</v>
      </c>
    </row>
    <row r="1537" spans="1:40" x14ac:dyDescent="0.25">
      <c r="A1537" t="str">
        <f>"20190305135222680"</f>
        <v>20190305135222680</v>
      </c>
      <c r="B1537" t="str">
        <f>"1551765142671398"</f>
        <v>1551765142671398</v>
      </c>
      <c r="C1537" t="s">
        <v>40</v>
      </c>
      <c r="D1537">
        <v>4.7893949999999998</v>
      </c>
      <c r="E1537">
        <v>0.56645579999999995</v>
      </c>
      <c r="F1537" t="s">
        <v>55</v>
      </c>
      <c r="G1537">
        <v>-198.5933</v>
      </c>
      <c r="H1537" s="1">
        <v>1.3564959999999999E-6</v>
      </c>
      <c r="I1537">
        <v>292.60109999999997</v>
      </c>
      <c r="J1537">
        <v>-191.05350000000001</v>
      </c>
      <c r="K1537">
        <v>1.1077060000000001</v>
      </c>
      <c r="L1537">
        <v>318.94549999999998</v>
      </c>
      <c r="M1537">
        <v>2.7558629999999999E-3</v>
      </c>
      <c r="N1537">
        <v>-1.213536E-2</v>
      </c>
      <c r="O1537">
        <v>-0.9999228</v>
      </c>
      <c r="P1537">
        <v>-0.1039421</v>
      </c>
      <c r="Q1537">
        <v>-9.410984E-2</v>
      </c>
      <c r="R1537">
        <v>-0.99012120000000003</v>
      </c>
      <c r="S1537">
        <v>-0.83164979999999999</v>
      </c>
      <c r="T1537">
        <v>-0.12217550000000001</v>
      </c>
      <c r="U1537">
        <v>-2.9320369999999998</v>
      </c>
      <c r="V1537">
        <v>0.1063939</v>
      </c>
      <c r="W1537">
        <v>-8.2449099999999997E-2</v>
      </c>
      <c r="X1537">
        <v>0.99089989999999994</v>
      </c>
      <c r="Y1537">
        <v>0.27533629999999998</v>
      </c>
      <c r="Z1537">
        <v>2.7907029999999999E-2</v>
      </c>
      <c r="AA1537">
        <v>0.96094290000000004</v>
      </c>
      <c r="AB1537">
        <v>25</v>
      </c>
      <c r="AC1537">
        <v>-7.5397999999999801</v>
      </c>
      <c r="AD1537">
        <v>-1.1077046435040001</v>
      </c>
      <c r="AE1537">
        <v>-26.3444</v>
      </c>
      <c r="AF1537">
        <v>7.5999591261910799</v>
      </c>
      <c r="AG1537">
        <v>-1.1077046435040001</v>
      </c>
      <c r="AH1537">
        <v>26.2805745681265</v>
      </c>
      <c r="AI1537">
        <v>92.318645934689201</v>
      </c>
      <c r="AJ1537">
        <v>73.870901469263202</v>
      </c>
      <c r="AK1537">
        <v>27.379828120860601</v>
      </c>
      <c r="AL1537">
        <v>94.729353751237895</v>
      </c>
      <c r="AM1537">
        <v>83.871574229678899</v>
      </c>
      <c r="AN1537">
        <v>1.0000000639340101</v>
      </c>
    </row>
    <row r="1538" spans="1:40" x14ac:dyDescent="0.25">
      <c r="A1538" t="str">
        <f>"20190305135222701"</f>
        <v>20190305135222701</v>
      </c>
      <c r="B1538" t="str">
        <f>"1551765142690917"</f>
        <v>1551765142690917</v>
      </c>
      <c r="C1538" t="s">
        <v>40</v>
      </c>
      <c r="D1538">
        <v>4.7757940000000003</v>
      </c>
      <c r="E1538">
        <v>0.56624140000000001</v>
      </c>
      <c r="F1538" t="s">
        <v>55</v>
      </c>
      <c r="G1538">
        <v>-198.08850000000001</v>
      </c>
      <c r="H1538" s="1">
        <v>1.1096440000000001E-6</v>
      </c>
      <c r="I1538">
        <v>294.25700000000001</v>
      </c>
      <c r="J1538">
        <v>-191.05520000000001</v>
      </c>
      <c r="K1538">
        <v>1.1076159999999999</v>
      </c>
      <c r="L1538">
        <v>318.70589999999999</v>
      </c>
      <c r="M1538">
        <v>6.8117039999999996E-4</v>
      </c>
      <c r="N1538">
        <v>-1.236713E-2</v>
      </c>
      <c r="O1538">
        <v>-0.99992329999999996</v>
      </c>
      <c r="P1538">
        <v>-0.10695350000000001</v>
      </c>
      <c r="Q1538">
        <v>-9.328931E-2</v>
      </c>
      <c r="R1538">
        <v>-0.98987789999999998</v>
      </c>
      <c r="S1538">
        <v>-0.83485409999999904</v>
      </c>
      <c r="T1538">
        <v>-0.13145270000000001</v>
      </c>
      <c r="U1538">
        <v>-2.9298099999999998</v>
      </c>
      <c r="V1538">
        <v>0.1073337</v>
      </c>
      <c r="W1538">
        <v>-8.1430279999999994E-2</v>
      </c>
      <c r="X1538">
        <v>0.99088279999999995</v>
      </c>
      <c r="Y1538">
        <v>0.2744761</v>
      </c>
      <c r="Z1538">
        <v>3.0745709999999999E-2</v>
      </c>
      <c r="AA1538">
        <v>0.96110220000000002</v>
      </c>
      <c r="AB1538">
        <v>25</v>
      </c>
      <c r="AC1538">
        <v>-7.0332999999999899</v>
      </c>
      <c r="AD1538">
        <v>-1.1076148903559999</v>
      </c>
      <c r="AE1538">
        <v>-24.448899999999899</v>
      </c>
      <c r="AF1538">
        <v>7.03661546507489</v>
      </c>
      <c r="AG1538">
        <v>-1.1076148903559999</v>
      </c>
      <c r="AH1538">
        <v>24.397856466254201</v>
      </c>
      <c r="AI1538">
        <v>92.497663942941401</v>
      </c>
      <c r="AJ1538">
        <v>73.911845434750802</v>
      </c>
      <c r="AK1538">
        <v>25.416454672054702</v>
      </c>
      <c r="AL1538">
        <v>94.670782687514205</v>
      </c>
      <c r="AM1538">
        <v>83.817752041910097</v>
      </c>
      <c r="AN1538">
        <v>1.0000000684962</v>
      </c>
    </row>
    <row r="1539" spans="1:40" x14ac:dyDescent="0.25">
      <c r="A1539" t="str">
        <f>"20190305135222722"</f>
        <v>20190305135222722</v>
      </c>
      <c r="B1539" t="str">
        <f>"1551765142711417"</f>
        <v>1551765142711417</v>
      </c>
      <c r="C1539" t="s">
        <v>40</v>
      </c>
      <c r="D1539">
        <v>4.7881400000000003</v>
      </c>
      <c r="E1539">
        <v>0.56090369999999901</v>
      </c>
      <c r="F1539" t="s">
        <v>55</v>
      </c>
      <c r="G1539">
        <v>-198.05410000000001</v>
      </c>
      <c r="H1539" s="1">
        <v>1.0910429999999999E-6</v>
      </c>
      <c r="I1539">
        <v>294.38</v>
      </c>
      <c r="J1539">
        <v>-191.0574</v>
      </c>
      <c r="K1539">
        <v>1.10754</v>
      </c>
      <c r="L1539">
        <v>318.47329999999999</v>
      </c>
      <c r="M1539">
        <v>-1.4678270000000001E-3</v>
      </c>
      <c r="N1539">
        <v>-1.2563939999999999E-2</v>
      </c>
      <c r="O1539">
        <v>-0.99992009999999998</v>
      </c>
      <c r="P1539">
        <v>-0.1108365</v>
      </c>
      <c r="Q1539">
        <v>-9.2317449999999995E-2</v>
      </c>
      <c r="R1539">
        <v>-0.98954180000000003</v>
      </c>
      <c r="S1539">
        <v>-0.84216309999999905</v>
      </c>
      <c r="T1539">
        <v>-0.13327710000000001</v>
      </c>
      <c r="U1539">
        <v>-2.9270939999999999</v>
      </c>
      <c r="V1539">
        <v>0.1090759</v>
      </c>
      <c r="W1539">
        <v>-8.0295469999999994E-2</v>
      </c>
      <c r="X1539">
        <v>0.99078509999999997</v>
      </c>
      <c r="Y1539">
        <v>0.27485589999999999</v>
      </c>
      <c r="Z1539">
        <v>3.1171870000000001E-2</v>
      </c>
      <c r="AA1539">
        <v>0.96097999999999995</v>
      </c>
      <c r="AB1539">
        <v>25</v>
      </c>
      <c r="AC1539">
        <v>-6.9966999999999997</v>
      </c>
      <c r="AD1539">
        <v>-1.107538908957</v>
      </c>
      <c r="AE1539">
        <v>-24.093299999999999</v>
      </c>
      <c r="AF1539">
        <v>6.94778516649483</v>
      </c>
      <c r="AG1539">
        <v>-1.107538908957</v>
      </c>
      <c r="AH1539">
        <v>24.0566636293138</v>
      </c>
      <c r="AI1539">
        <v>92.532600481853507</v>
      </c>
      <c r="AJ1539">
        <v>73.890797338066605</v>
      </c>
      <c r="AK1539">
        <v>25.0643457151502</v>
      </c>
      <c r="AL1539">
        <v>94.605549490278804</v>
      </c>
      <c r="AM1539">
        <v>83.717585543646805</v>
      </c>
      <c r="AN1539">
        <v>1.0000000144226699</v>
      </c>
    </row>
    <row r="1540" spans="1:40" x14ac:dyDescent="0.25">
      <c r="A1540" t="str">
        <f>"20190305135222747"</f>
        <v>20190305135222747</v>
      </c>
      <c r="B1540" t="str">
        <f>"1551765142740693"</f>
        <v>1551765142740693</v>
      </c>
      <c r="C1540" t="s">
        <v>40</v>
      </c>
      <c r="D1540">
        <v>4.8326140000000004</v>
      </c>
      <c r="E1540">
        <v>0.56071740000000003</v>
      </c>
      <c r="F1540" t="s">
        <v>42</v>
      </c>
      <c r="G1540">
        <v>-194.64760000000001</v>
      </c>
      <c r="H1540" s="1">
        <v>-3.7619930000000002E-6</v>
      </c>
      <c r="I1540">
        <v>305.61900000000003</v>
      </c>
      <c r="J1540">
        <v>-191.0608</v>
      </c>
      <c r="K1540">
        <v>1.1074539999999999</v>
      </c>
      <c r="L1540">
        <v>318.20319999999998</v>
      </c>
      <c r="M1540">
        <v>-4.1030299999999997E-3</v>
      </c>
      <c r="N1540">
        <v>-1.276152E-2</v>
      </c>
      <c r="O1540">
        <v>-0.99991039999999998</v>
      </c>
      <c r="P1540">
        <v>-0.1153501</v>
      </c>
      <c r="Q1540">
        <v>-9.1630699999999995E-2</v>
      </c>
      <c r="R1540">
        <v>-0.98908980000000002</v>
      </c>
      <c r="S1540">
        <v>-0.8147278</v>
      </c>
      <c r="T1540">
        <v>-0.25133559999999999</v>
      </c>
      <c r="U1540">
        <v>-2.9170229999999999</v>
      </c>
      <c r="V1540">
        <v>0.1109696</v>
      </c>
      <c r="W1540">
        <v>-7.9445189999999999E-2</v>
      </c>
      <c r="X1540">
        <v>0.9906433</v>
      </c>
      <c r="Y1540">
        <v>0.26423249999999998</v>
      </c>
      <c r="Z1540">
        <v>7.0030060000000005E-2</v>
      </c>
      <c r="AA1540">
        <v>0.96191320000000002</v>
      </c>
      <c r="AB1540">
        <v>25</v>
      </c>
      <c r="AC1540">
        <v>-3.58680000000001</v>
      </c>
      <c r="AD1540">
        <v>-1.1074577619929999</v>
      </c>
      <c r="AE1540">
        <v>-12.5841999999999</v>
      </c>
      <c r="AF1540">
        <v>3.50999097296337</v>
      </c>
      <c r="AG1540">
        <v>-1.1074577619929999</v>
      </c>
      <c r="AH1540">
        <v>12.5092112877057</v>
      </c>
      <c r="AI1540">
        <v>94.872081385263598</v>
      </c>
      <c r="AJ1540">
        <v>74.326278205484201</v>
      </c>
      <c r="AK1540">
        <v>13.039435047782799</v>
      </c>
      <c r="AL1540">
        <v>94.556676102765806</v>
      </c>
      <c r="AM1540">
        <v>83.608502201031101</v>
      </c>
      <c r="AN1540">
        <v>0.99999996908659206</v>
      </c>
    </row>
    <row r="1541" spans="1:40" x14ac:dyDescent="0.25">
      <c r="A1541" t="str">
        <f>"20190305135222769"</f>
        <v>20190305135222769</v>
      </c>
      <c r="B1541" t="str">
        <f>"1551765142761190"</f>
        <v>1551765142761190</v>
      </c>
      <c r="C1541" t="s">
        <v>40</v>
      </c>
      <c r="D1541">
        <v>4.8061879999999997</v>
      </c>
      <c r="E1541">
        <v>0.5609286</v>
      </c>
      <c r="F1541" t="s">
        <v>42</v>
      </c>
      <c r="G1541">
        <v>-194.72909999999999</v>
      </c>
      <c r="H1541" s="1">
        <v>-3.6595510000000002E-6</v>
      </c>
      <c r="I1541">
        <v>305.27550000000002</v>
      </c>
      <c r="J1541">
        <v>-191.06469999999999</v>
      </c>
      <c r="K1541">
        <v>1.1074120000000001</v>
      </c>
      <c r="L1541">
        <v>317.95429999999999</v>
      </c>
      <c r="M1541">
        <v>-6.6385539999999996E-3</v>
      </c>
      <c r="N1541">
        <v>-1.2916550000000001E-2</v>
      </c>
      <c r="O1541">
        <v>-0.99989459999999997</v>
      </c>
      <c r="P1541">
        <v>-0.119076</v>
      </c>
      <c r="Q1541">
        <v>-9.2021370000000005E-2</v>
      </c>
      <c r="R1541">
        <v>-0.98861180000000004</v>
      </c>
      <c r="S1541">
        <v>-0.82673649999999999</v>
      </c>
      <c r="T1541">
        <v>-0.2495897</v>
      </c>
      <c r="U1541">
        <v>-2.9135439999999999</v>
      </c>
      <c r="V1541">
        <v>0.11217770000000001</v>
      </c>
      <c r="W1541">
        <v>-7.9703899999999994E-2</v>
      </c>
      <c r="X1541">
        <v>0.99048639999999999</v>
      </c>
      <c r="Y1541">
        <v>0.26576899999999998</v>
      </c>
      <c r="Z1541">
        <v>6.9338559999999994E-2</v>
      </c>
      <c r="AA1541">
        <v>0.9615399</v>
      </c>
      <c r="AB1541">
        <v>25</v>
      </c>
      <c r="AC1541">
        <v>-3.6644000000000001</v>
      </c>
      <c r="AD1541">
        <v>-1.1074156595510001</v>
      </c>
      <c r="AE1541">
        <v>-12.678799999999899</v>
      </c>
      <c r="AF1541">
        <v>3.5551124005106001</v>
      </c>
      <c r="AG1541">
        <v>-1.1074156595510001</v>
      </c>
      <c r="AH1541">
        <v>12.614035699690699</v>
      </c>
      <c r="AI1541">
        <v>94.830043000252005</v>
      </c>
      <c r="AJ1541">
        <v>74.260155845472497</v>
      </c>
      <c r="AK1541">
        <v>13.152151544760899</v>
      </c>
      <c r="AL1541">
        <v>94.571546435608298</v>
      </c>
      <c r="AM1541">
        <v>83.538489896058095</v>
      </c>
      <c r="AN1541">
        <v>0.99999992831872697</v>
      </c>
    </row>
    <row r="1542" spans="1:40" x14ac:dyDescent="0.25">
      <c r="A1542" t="str">
        <f>"20190305135222791"</f>
        <v>20190305135222791</v>
      </c>
      <c r="B1542" t="str">
        <f>"1551765142780713"</f>
        <v>1551765142780713</v>
      </c>
      <c r="C1542" t="s">
        <v>40</v>
      </c>
      <c r="D1542">
        <v>5.6435180000000003</v>
      </c>
      <c r="E1542">
        <v>0.56112030000000002</v>
      </c>
      <c r="F1542" t="s">
        <v>42</v>
      </c>
      <c r="G1542">
        <v>-194.7664</v>
      </c>
      <c r="H1542" s="1">
        <v>-3.6134239999999998E-6</v>
      </c>
      <c r="I1542">
        <v>305.12049999999999</v>
      </c>
      <c r="J1542">
        <v>-191.0692</v>
      </c>
      <c r="K1542">
        <v>1.1073820000000001</v>
      </c>
      <c r="L1542">
        <v>317.71420000000001</v>
      </c>
      <c r="M1542">
        <v>-9.1381629999999995E-3</v>
      </c>
      <c r="N1542">
        <v>-1.3045869999999999E-2</v>
      </c>
      <c r="O1542">
        <v>-0.99987309999999996</v>
      </c>
      <c r="P1542">
        <v>-0.1224726</v>
      </c>
      <c r="Q1542">
        <v>-9.2714000000000005E-2</v>
      </c>
      <c r="R1542">
        <v>-0.98813200000000001</v>
      </c>
      <c r="S1542">
        <v>-0.83937070000000003</v>
      </c>
      <c r="T1542">
        <v>-0.25110840000000001</v>
      </c>
      <c r="U1542">
        <v>-2.9100950000000001</v>
      </c>
      <c r="V1542">
        <v>0.113096699999999</v>
      </c>
      <c r="W1542">
        <v>-8.0282530000000005E-2</v>
      </c>
      <c r="X1542">
        <v>0.99033519999999997</v>
      </c>
      <c r="Y1542">
        <v>0.2675053</v>
      </c>
      <c r="Z1542">
        <v>6.9734500000000005E-2</v>
      </c>
      <c r="AA1542">
        <v>0.96102960000000004</v>
      </c>
      <c r="AB1542">
        <v>25</v>
      </c>
      <c r="AC1542">
        <v>-3.6972000000000098</v>
      </c>
      <c r="AD1542">
        <v>-1.1073856134240001</v>
      </c>
      <c r="AE1542">
        <v>-12.5937</v>
      </c>
      <c r="AF1542">
        <v>3.5566347203820299</v>
      </c>
      <c r="AG1542">
        <v>-1.1073856134240001</v>
      </c>
      <c r="AH1542">
        <v>12.537713229970599</v>
      </c>
      <c r="AI1542">
        <v>94.856848496569498</v>
      </c>
      <c r="AJ1542">
        <v>74.162690926474198</v>
      </c>
      <c r="AK1542">
        <v>13.079380966545299</v>
      </c>
      <c r="AL1542">
        <v>94.604805848462206</v>
      </c>
      <c r="AM1542">
        <v>83.485022049092194</v>
      </c>
      <c r="AN1542">
        <v>0.99999997826656495</v>
      </c>
    </row>
    <row r="1543" spans="1:40" x14ac:dyDescent="0.25">
      <c r="A1543" t="str">
        <f>"20190305135222812"</f>
        <v>20190305135222812</v>
      </c>
      <c r="B1543" t="str">
        <f>"1551765142801205"</f>
        <v>1551765142801205</v>
      </c>
      <c r="C1543" t="s">
        <v>40</v>
      </c>
      <c r="D1543">
        <v>4.824071</v>
      </c>
      <c r="E1543">
        <v>0.56117139999999999</v>
      </c>
      <c r="F1543" t="s">
        <v>42</v>
      </c>
      <c r="G1543">
        <v>-194.82300000000001</v>
      </c>
      <c r="H1543" s="1">
        <v>-3.5434490000000001E-6</v>
      </c>
      <c r="I1543">
        <v>304.8854</v>
      </c>
      <c r="J1543">
        <v>-191.07409999999999</v>
      </c>
      <c r="K1543">
        <v>1.1073729999999999</v>
      </c>
      <c r="L1543">
        <v>317.48169999999999</v>
      </c>
      <c r="M1543">
        <v>-1.1584229999999999E-2</v>
      </c>
      <c r="N1543">
        <v>-1.3154539999999999E-2</v>
      </c>
      <c r="O1543">
        <v>-0.99984649999999997</v>
      </c>
      <c r="P1543">
        <v>-0.1262112</v>
      </c>
      <c r="Q1543">
        <v>-9.4030340000000004E-2</v>
      </c>
      <c r="R1543">
        <v>-0.98753679999999999</v>
      </c>
      <c r="S1543">
        <v>-0.85063169999999899</v>
      </c>
      <c r="T1543">
        <v>-0.25093589999999999</v>
      </c>
      <c r="U1543">
        <v>-2.9070429999999998</v>
      </c>
      <c r="V1543">
        <v>0.11441419999999999</v>
      </c>
      <c r="W1543">
        <v>-8.1503530000000005E-2</v>
      </c>
      <c r="X1543">
        <v>0.99008410000000002</v>
      </c>
      <c r="Y1543">
        <v>0.26885019999999998</v>
      </c>
      <c r="Z1543">
        <v>6.9595000000000004E-2</v>
      </c>
      <c r="AA1543">
        <v>0.96066439999999997</v>
      </c>
      <c r="AB1543">
        <v>25</v>
      </c>
      <c r="AC1543">
        <v>-3.7488999999999901</v>
      </c>
      <c r="AD1543">
        <v>-1.1073765434489999</v>
      </c>
      <c r="AE1543">
        <v>-12.5962999999999</v>
      </c>
      <c r="AF1543">
        <v>3.5773191527180801</v>
      </c>
      <c r="AG1543">
        <v>-1.1073765434489999</v>
      </c>
      <c r="AH1543">
        <v>12.5497856926533</v>
      </c>
      <c r="AI1543">
        <v>94.850412192231104</v>
      </c>
      <c r="AJ1543">
        <v>74.089786953620802</v>
      </c>
      <c r="AK1543">
        <v>13.0965879549183</v>
      </c>
      <c r="AL1543">
        <v>94.674994015438898</v>
      </c>
      <c r="AM1543">
        <v>83.4081341239783</v>
      </c>
      <c r="AN1543">
        <v>0.99999997981845501</v>
      </c>
    </row>
    <row r="1544" spans="1:40" x14ac:dyDescent="0.25">
      <c r="A1544" t="str">
        <f>"20190305135222835"</f>
        <v>20190305135222835</v>
      </c>
      <c r="B1544" t="str">
        <f>"1551765142831461"</f>
        <v>1551765142831461</v>
      </c>
      <c r="C1544" t="s">
        <v>40</v>
      </c>
      <c r="D1544">
        <v>4.8154779999999997</v>
      </c>
      <c r="E1544">
        <v>0.56134700000000004</v>
      </c>
      <c r="F1544" t="s">
        <v>42</v>
      </c>
      <c r="G1544">
        <v>-194.73079999999999</v>
      </c>
      <c r="H1544" s="1">
        <v>-3.6252189999999999E-6</v>
      </c>
      <c r="I1544">
        <v>305.1737</v>
      </c>
      <c r="J1544">
        <v>-191.07980000000001</v>
      </c>
      <c r="K1544">
        <v>1.10738</v>
      </c>
      <c r="L1544">
        <v>317.23849999999999</v>
      </c>
      <c r="M1544">
        <v>-1.414785E-2</v>
      </c>
      <c r="N1544">
        <v>-1.3252460000000001E-2</v>
      </c>
      <c r="O1544">
        <v>-0.99981229999999999</v>
      </c>
      <c r="P1544">
        <v>-0.12998109999999999</v>
      </c>
      <c r="Q1544">
        <v>-9.5773280000000002E-2</v>
      </c>
      <c r="R1544">
        <v>-0.98688039999999999</v>
      </c>
      <c r="S1544">
        <v>-0.86242680000000005</v>
      </c>
      <c r="T1544">
        <v>-0.26117010000000002</v>
      </c>
      <c r="U1544">
        <v>-2.902771</v>
      </c>
      <c r="V1544">
        <v>0.1156503</v>
      </c>
      <c r="W1544">
        <v>-8.3158280000000001E-2</v>
      </c>
      <c r="X1544">
        <v>0.98980279999999998</v>
      </c>
      <c r="Y1544">
        <v>0.270277299999999</v>
      </c>
      <c r="Z1544">
        <v>7.2904109999999994E-2</v>
      </c>
      <c r="AA1544">
        <v>0.96001829999999999</v>
      </c>
      <c r="AB1544">
        <v>24</v>
      </c>
      <c r="AC1544">
        <v>-3.6509999999999798</v>
      </c>
      <c r="AD1544">
        <v>-1.1073836252189999</v>
      </c>
      <c r="AE1544">
        <v>-12.0647999999999</v>
      </c>
      <c r="AF1544">
        <v>3.4532763815470702</v>
      </c>
      <c r="AG1544">
        <v>-1.1073836252189999</v>
      </c>
      <c r="AH1544">
        <v>12.0224618699524</v>
      </c>
      <c r="AI1544">
        <v>95.059199073274399</v>
      </c>
      <c r="AJ1544">
        <v>73.974061859660097</v>
      </c>
      <c r="AK1544">
        <v>12.5575079404798</v>
      </c>
      <c r="AL1544">
        <v>94.770127396159296</v>
      </c>
      <c r="AM1544">
        <v>83.335677827876694</v>
      </c>
      <c r="AN1544">
        <v>0.99999993715524205</v>
      </c>
    </row>
    <row r="1545" spans="1:40" x14ac:dyDescent="0.25">
      <c r="A1545" t="str">
        <f>"20190305135222856"</f>
        <v>20190305135222856</v>
      </c>
      <c r="B1545" t="str">
        <f>"1551765142850982"</f>
        <v>1551765142850982</v>
      </c>
      <c r="C1545" t="s">
        <v>40</v>
      </c>
      <c r="D1545">
        <v>4.8397690000000004</v>
      </c>
      <c r="E1545">
        <v>0.56135419999999903</v>
      </c>
      <c r="F1545" t="s">
        <v>42</v>
      </c>
      <c r="G1545">
        <v>-194.62639999999999</v>
      </c>
      <c r="H1545" s="1">
        <v>-3.715628E-6</v>
      </c>
      <c r="I1545">
        <v>305.49380000000002</v>
      </c>
      <c r="J1545">
        <v>-191.08629999999999</v>
      </c>
      <c r="K1545">
        <v>1.1074170000000001</v>
      </c>
      <c r="L1545">
        <v>316.99329999999998</v>
      </c>
      <c r="M1545">
        <v>-1.672504E-2</v>
      </c>
      <c r="N1545">
        <v>-1.333732E-2</v>
      </c>
      <c r="O1545">
        <v>-0.99977139999999998</v>
      </c>
      <c r="P1545">
        <v>-0.13371250000000001</v>
      </c>
      <c r="Q1545">
        <v>-9.7400669999999995E-2</v>
      </c>
      <c r="R1545">
        <v>-0.9862223</v>
      </c>
      <c r="S1545">
        <v>-0.87516779999999905</v>
      </c>
      <c r="T1545">
        <v>-0.27325919999999998</v>
      </c>
      <c r="U1545">
        <v>-2.8981319999999999</v>
      </c>
      <c r="V1545">
        <v>0.1168389</v>
      </c>
      <c r="W1545">
        <v>-8.4707660000000004E-2</v>
      </c>
      <c r="X1545">
        <v>0.98953190000000002</v>
      </c>
      <c r="Y1545">
        <v>0.27199289999999998</v>
      </c>
      <c r="Z1545">
        <v>7.6835829999999994E-2</v>
      </c>
      <c r="AA1545">
        <v>0.95922680000000005</v>
      </c>
      <c r="AB1545">
        <v>24</v>
      </c>
      <c r="AC1545">
        <v>-3.54009999999999</v>
      </c>
      <c r="AD1545">
        <v>-1.107420715628</v>
      </c>
      <c r="AE1545">
        <v>-11.4994999999999</v>
      </c>
      <c r="AF1545">
        <v>3.3191410199377098</v>
      </c>
      <c r="AG1545">
        <v>-1.107420715628</v>
      </c>
      <c r="AH1545">
        <v>11.460024791959301</v>
      </c>
      <c r="AI1545">
        <v>95.302927719339493</v>
      </c>
      <c r="AJ1545">
        <v>73.847517540575694</v>
      </c>
      <c r="AK1545">
        <v>11.982288845790601</v>
      </c>
      <c r="AL1545">
        <v>94.859214155820993</v>
      </c>
      <c r="AM1545">
        <v>83.265984421358695</v>
      </c>
      <c r="AN1545">
        <v>1.00000004866674</v>
      </c>
    </row>
    <row r="1546" spans="1:40" x14ac:dyDescent="0.25">
      <c r="A1546" t="str">
        <f>"20190305135222880"</f>
        <v>20190305135222880</v>
      </c>
      <c r="B1546" t="str">
        <f>"1551765142871479"</f>
        <v>1551765142871479</v>
      </c>
      <c r="C1546" t="s">
        <v>40</v>
      </c>
      <c r="D1546">
        <v>5.5541049999999998</v>
      </c>
      <c r="E1546">
        <v>0.56160739999999998</v>
      </c>
      <c r="F1546" t="s">
        <v>42</v>
      </c>
      <c r="G1546">
        <v>-194.5745</v>
      </c>
      <c r="H1546" s="1">
        <v>-3.7431530000000002E-6</v>
      </c>
      <c r="I1546">
        <v>305.60180000000003</v>
      </c>
      <c r="J1546">
        <v>-191.09370000000001</v>
      </c>
      <c r="K1546">
        <v>1.1074569999999999</v>
      </c>
      <c r="L1546">
        <v>316.73349999999999</v>
      </c>
      <c r="M1546">
        <v>-1.9439399999999999E-2</v>
      </c>
      <c r="N1546">
        <v>-1.3414300000000001E-2</v>
      </c>
      <c r="O1546">
        <v>-0.99972110000000003</v>
      </c>
      <c r="P1546">
        <v>-0.13711889999999999</v>
      </c>
      <c r="Q1546">
        <v>-9.7339850000000006E-2</v>
      </c>
      <c r="R1546">
        <v>-0.98576019999999998</v>
      </c>
      <c r="S1546">
        <v>-0.88618469999999905</v>
      </c>
      <c r="T1546">
        <v>-0.28134009999999998</v>
      </c>
      <c r="U1546">
        <v>-2.894012</v>
      </c>
      <c r="V1546">
        <v>0.117573499999999</v>
      </c>
      <c r="W1546">
        <v>-8.4570469999999995E-2</v>
      </c>
      <c r="X1546">
        <v>0.98945660000000002</v>
      </c>
      <c r="Y1546">
        <v>0.27303369999999999</v>
      </c>
      <c r="Z1546">
        <v>7.946375E-2</v>
      </c>
      <c r="AA1546">
        <v>0.95871689999999998</v>
      </c>
      <c r="AB1546">
        <v>24</v>
      </c>
      <c r="AC1546">
        <v>-3.4807999999999799</v>
      </c>
      <c r="AD1546">
        <v>-1.1074607431529999</v>
      </c>
      <c r="AE1546">
        <v>-11.131699999999899</v>
      </c>
      <c r="AF1546">
        <v>3.2345658749463402</v>
      </c>
      <c r="AG1546">
        <v>-1.1074607431529999</v>
      </c>
      <c r="AH1546">
        <v>11.097213081025499</v>
      </c>
      <c r="AI1546">
        <v>95.472767352901798</v>
      </c>
      <c r="AJ1546">
        <v>73.749889451798097</v>
      </c>
      <c r="AK1546">
        <v>11.6119345443675</v>
      </c>
      <c r="AL1546">
        <v>94.851325542464195</v>
      </c>
      <c r="AM1546">
        <v>83.223527298172598</v>
      </c>
      <c r="AN1546">
        <v>1.00000002779091</v>
      </c>
    </row>
    <row r="1547" spans="1:40" x14ac:dyDescent="0.25">
      <c r="A1547" t="str">
        <f>"20190305135222902"</f>
        <v>20190305135222902</v>
      </c>
      <c r="B1547" t="str">
        <f>"1551765142890997"</f>
        <v>1551765142890997</v>
      </c>
      <c r="C1547" t="s">
        <v>40</v>
      </c>
      <c r="D1547">
        <v>4.8494489999999999</v>
      </c>
      <c r="E1547">
        <v>0.56153090000000005</v>
      </c>
      <c r="F1547" t="s">
        <v>42</v>
      </c>
      <c r="G1547">
        <v>-194.6388</v>
      </c>
      <c r="H1547" s="1">
        <v>-3.6592320000000001E-6</v>
      </c>
      <c r="I1547">
        <v>305.32170000000002</v>
      </c>
      <c r="J1547">
        <v>-191.10140000000001</v>
      </c>
      <c r="K1547">
        <v>1.107504</v>
      </c>
      <c r="L1547">
        <v>316.48899999999998</v>
      </c>
      <c r="M1547">
        <v>-2.1975979999999999E-2</v>
      </c>
      <c r="N1547">
        <v>-1.3476119999999999E-2</v>
      </c>
      <c r="O1547">
        <v>-0.99966759999999999</v>
      </c>
      <c r="P1547">
        <v>-0.14080239999999999</v>
      </c>
      <c r="Q1547">
        <v>-9.4033320000000004E-2</v>
      </c>
      <c r="R1547">
        <v>-0.98556200000000005</v>
      </c>
      <c r="S1547">
        <v>-0.89799499999999999</v>
      </c>
      <c r="T1547">
        <v>-0.2805301</v>
      </c>
      <c r="U1547">
        <v>-2.890717</v>
      </c>
      <c r="V1547">
        <v>0.118769899999999</v>
      </c>
      <c r="W1547">
        <v>-8.120115E-2</v>
      </c>
      <c r="X1547">
        <v>0.98959589999999997</v>
      </c>
      <c r="Y1547">
        <v>0.27448119999999998</v>
      </c>
      <c r="Z1547">
        <v>7.9162109999999994E-2</v>
      </c>
      <c r="AA1547">
        <v>0.95832839999999997</v>
      </c>
      <c r="AB1547">
        <v>24</v>
      </c>
      <c r="AC1547">
        <v>-3.5373999999999901</v>
      </c>
      <c r="AD1547">
        <v>-1.1075076592319999</v>
      </c>
      <c r="AE1547">
        <v>-11.167299999999999</v>
      </c>
      <c r="AF1547">
        <v>3.2619535349281898</v>
      </c>
      <c r="AG1547">
        <v>-1.1075076592319999</v>
      </c>
      <c r="AH1547">
        <v>11.1427467301249</v>
      </c>
      <c r="AI1547">
        <v>95.448920985759102</v>
      </c>
      <c r="AJ1547">
        <v>73.683013126548303</v>
      </c>
      <c r="AK1547">
        <v>11.663092161643799</v>
      </c>
      <c r="AL1547">
        <v>94.657611296894402</v>
      </c>
      <c r="AM1547">
        <v>83.1561768431106</v>
      </c>
      <c r="AN1547">
        <v>0.99999998060207096</v>
      </c>
    </row>
    <row r="1548" spans="1:40" x14ac:dyDescent="0.25">
      <c r="A1548" t="str">
        <f>"20190305135222922"</f>
        <v>20190305135222922</v>
      </c>
      <c r="B1548" t="str">
        <f>"1551765142911497"</f>
        <v>1551765142911497</v>
      </c>
      <c r="C1548" t="s">
        <v>40</v>
      </c>
      <c r="D1548">
        <v>4.8639289999999997</v>
      </c>
      <c r="E1548">
        <v>0.56162140000000005</v>
      </c>
      <c r="F1548" t="s">
        <v>42</v>
      </c>
      <c r="G1548">
        <v>-194.84960000000001</v>
      </c>
      <c r="H1548" s="1">
        <v>-3.4255040000000002E-6</v>
      </c>
      <c r="I1548">
        <v>304.56619999999998</v>
      </c>
      <c r="J1548">
        <v>-191.1086</v>
      </c>
      <c r="K1548">
        <v>1.1075379999999999</v>
      </c>
      <c r="L1548">
        <v>316.27730000000003</v>
      </c>
      <c r="M1548">
        <v>-2.4159150000000001E-2</v>
      </c>
      <c r="N1548">
        <v>-1.3522080000000001E-2</v>
      </c>
      <c r="O1548">
        <v>-0.99961670000000002</v>
      </c>
      <c r="P1548">
        <v>-0.1442417</v>
      </c>
      <c r="Q1548">
        <v>-9.0701950000000003E-2</v>
      </c>
      <c r="R1548">
        <v>-0.98537680000000005</v>
      </c>
      <c r="S1548">
        <v>-0.90809629999999997</v>
      </c>
      <c r="T1548">
        <v>-0.268322</v>
      </c>
      <c r="U1548">
        <v>-2.888611</v>
      </c>
      <c r="V1548">
        <v>0.1200702</v>
      </c>
      <c r="W1548">
        <v>-7.7824149999999995E-2</v>
      </c>
      <c r="X1548">
        <v>0.98971030000000004</v>
      </c>
      <c r="Y1548">
        <v>0.27573209999999998</v>
      </c>
      <c r="Z1548">
        <v>7.5116500000000003E-2</v>
      </c>
      <c r="AA1548">
        <v>0.95829500000000001</v>
      </c>
      <c r="AB1548">
        <v>24</v>
      </c>
      <c r="AC1548">
        <v>-3.7410000000000099</v>
      </c>
      <c r="AD1548">
        <v>-1.1075414255039999</v>
      </c>
      <c r="AE1548">
        <v>-11.7111</v>
      </c>
      <c r="AF1548">
        <v>3.4291220648827001</v>
      </c>
      <c r="AG1548">
        <v>-1.1075414255039999</v>
      </c>
      <c r="AH1548">
        <v>11.7030899969669</v>
      </c>
      <c r="AI1548">
        <v>95.189271704759193</v>
      </c>
      <c r="AJ1548">
        <v>73.668889350952099</v>
      </c>
      <c r="AK1548">
        <v>12.245319171919499</v>
      </c>
      <c r="AL1548">
        <v>94.463508866756797</v>
      </c>
      <c r="AM1548">
        <v>83.082764389090201</v>
      </c>
      <c r="AN1548">
        <v>0.99999996458867502</v>
      </c>
    </row>
    <row r="1549" spans="1:40" x14ac:dyDescent="0.25">
      <c r="A1549" t="str">
        <f>"20190305135222948"</f>
        <v>20190305135222948</v>
      </c>
      <c r="B1549" t="str">
        <f>"1551765142940774"</f>
        <v>1551765142940774</v>
      </c>
      <c r="C1549" t="s">
        <v>40</v>
      </c>
      <c r="D1549">
        <v>4.8532919999999997</v>
      </c>
      <c r="E1549">
        <v>0.56174849999999998</v>
      </c>
      <c r="F1549" t="s">
        <v>42</v>
      </c>
      <c r="G1549">
        <v>-195.06020000000001</v>
      </c>
      <c r="H1549" s="1">
        <v>-3.1814979999999999E-6</v>
      </c>
      <c r="I1549">
        <v>303.86680000000001</v>
      </c>
      <c r="J1549">
        <v>-191.11859999999999</v>
      </c>
      <c r="K1549">
        <v>1.107572</v>
      </c>
      <c r="L1549">
        <v>316.0016</v>
      </c>
      <c r="M1549">
        <v>-2.6993179999999999E-2</v>
      </c>
      <c r="N1549">
        <v>-1.3573440000000001E-2</v>
      </c>
      <c r="O1549">
        <v>-0.99954350000000003</v>
      </c>
      <c r="P1549">
        <v>-0.1480717</v>
      </c>
      <c r="Q1549">
        <v>-8.8971880000000003E-2</v>
      </c>
      <c r="R1549">
        <v>-0.98496649999999997</v>
      </c>
      <c r="S1549">
        <v>-0.91902159999999999</v>
      </c>
      <c r="T1549">
        <v>-0.2575809</v>
      </c>
      <c r="U1549">
        <v>-2.8863219999999998</v>
      </c>
      <c r="V1549">
        <v>0.1211168</v>
      </c>
      <c r="W1549">
        <v>-7.6042799999999994E-2</v>
      </c>
      <c r="X1549">
        <v>0.98972130000000003</v>
      </c>
      <c r="Y1549">
        <v>0.27660669999999998</v>
      </c>
      <c r="Z1549">
        <v>7.1547349999999996E-2</v>
      </c>
      <c r="AA1549">
        <v>0.9583161</v>
      </c>
      <c r="AB1549">
        <v>24</v>
      </c>
      <c r="AC1549">
        <v>-3.9416000000000202</v>
      </c>
      <c r="AD1549">
        <v>-1.1075751814979999</v>
      </c>
      <c r="AE1549">
        <v>-12.134799999999901</v>
      </c>
      <c r="AF1549">
        <v>3.5855570328325799</v>
      </c>
      <c r="AG1549">
        <v>-1.1075751814979999</v>
      </c>
      <c r="AH1549">
        <v>12.1452613459695</v>
      </c>
      <c r="AI1549">
        <v>94.998494463931195</v>
      </c>
      <c r="AJ1549">
        <v>73.552202428509602</v>
      </c>
      <c r="AK1549">
        <v>12.7118179337287</v>
      </c>
      <c r="AL1549">
        <v>94.361141380796298</v>
      </c>
      <c r="AM1549">
        <v>83.023138358965696</v>
      </c>
      <c r="AN1549">
        <v>1.00000001917388</v>
      </c>
    </row>
    <row r="1550" spans="1:40" x14ac:dyDescent="0.25">
      <c r="A1550" t="str">
        <f>"20190305135222970"</f>
        <v>20190305135222970</v>
      </c>
      <c r="B1550" t="str">
        <f>"1551765142961270"</f>
        <v>1551765142961270</v>
      </c>
      <c r="C1550" t="s">
        <v>40</v>
      </c>
      <c r="D1550">
        <v>4.8788739999999997</v>
      </c>
      <c r="E1550">
        <v>0.56174559999999996</v>
      </c>
      <c r="F1550" t="s">
        <v>42</v>
      </c>
      <c r="G1550">
        <v>-195.13069999999999</v>
      </c>
      <c r="H1550" s="1">
        <v>-3.0778110000000001E-6</v>
      </c>
      <c r="I1550">
        <v>303.58139999999997</v>
      </c>
      <c r="J1550">
        <v>-191.12809999999999</v>
      </c>
      <c r="K1550">
        <v>1.107588</v>
      </c>
      <c r="L1550">
        <v>315.75819999999999</v>
      </c>
      <c r="M1550">
        <v>-2.948955E-2</v>
      </c>
      <c r="N1550">
        <v>-1.361149E-2</v>
      </c>
      <c r="O1550">
        <v>-0.99947249999999999</v>
      </c>
      <c r="P1550">
        <v>-0.15116009999999999</v>
      </c>
      <c r="Q1550">
        <v>-8.9467320000000003E-2</v>
      </c>
      <c r="R1550">
        <v>-0.98445249999999995</v>
      </c>
      <c r="S1550">
        <v>-0.93116759999999998</v>
      </c>
      <c r="T1550">
        <v>-0.25705889999999998</v>
      </c>
      <c r="U1550">
        <v>-2.8826290000000001</v>
      </c>
      <c r="V1550">
        <v>0.1217497</v>
      </c>
      <c r="W1550">
        <v>-7.6501330000000006E-2</v>
      </c>
      <c r="X1550">
        <v>0.9896083</v>
      </c>
      <c r="Y1550">
        <v>0.27822529999999901</v>
      </c>
      <c r="Z1550">
        <v>7.1365029999999996E-2</v>
      </c>
      <c r="AA1550">
        <v>0.95786099999999996</v>
      </c>
      <c r="AB1550">
        <v>24</v>
      </c>
      <c r="AC1550">
        <v>-4.0026000000000002</v>
      </c>
      <c r="AD1550">
        <v>-1.1075910778110001</v>
      </c>
      <c r="AE1550">
        <v>-12.1768</v>
      </c>
      <c r="AF1550">
        <v>3.6147467633594799</v>
      </c>
      <c r="AG1550">
        <v>-1.1075910778110001</v>
      </c>
      <c r="AH1550">
        <v>12.198465625739599</v>
      </c>
      <c r="AI1550">
        <v>94.975385676120695</v>
      </c>
      <c r="AJ1550">
        <v>73.493969430827804</v>
      </c>
      <c r="AK1550">
        <v>12.7708933039633</v>
      </c>
      <c r="AL1550">
        <v>94.387489984126304</v>
      </c>
      <c r="AM1550">
        <v>82.9862498304703</v>
      </c>
      <c r="AN1550">
        <v>1.0000000151853701</v>
      </c>
    </row>
    <row r="1551" spans="1:40" x14ac:dyDescent="0.25">
      <c r="A1551" t="str">
        <f>"20190305135222992"</f>
        <v>20190305135222992</v>
      </c>
      <c r="B1551" t="str">
        <f>"1551765142980790"</f>
        <v>1551765142980790</v>
      </c>
      <c r="C1551" t="s">
        <v>40</v>
      </c>
      <c r="D1551">
        <v>4.8741269999999997</v>
      </c>
      <c r="E1551">
        <v>0.56179290000000004</v>
      </c>
      <c r="F1551" t="s">
        <v>42</v>
      </c>
      <c r="G1551">
        <v>-195.095</v>
      </c>
      <c r="H1551" s="1">
        <v>-3.0821340000000002E-6</v>
      </c>
      <c r="I1551">
        <v>303.61360000000002</v>
      </c>
      <c r="J1551">
        <v>-191.13820000000001</v>
      </c>
      <c r="K1551">
        <v>1.107604</v>
      </c>
      <c r="L1551">
        <v>315.5172</v>
      </c>
      <c r="M1551">
        <v>-3.195978E-2</v>
      </c>
      <c r="N1551">
        <v>-1.364372E-2</v>
      </c>
      <c r="O1551">
        <v>-0.99939599999999995</v>
      </c>
      <c r="P1551">
        <v>-0.15407119999999999</v>
      </c>
      <c r="Q1551">
        <v>-9.0714160000000002E-2</v>
      </c>
      <c r="R1551">
        <v>-0.98388679999999995</v>
      </c>
      <c r="S1551">
        <v>-0.94041439999999998</v>
      </c>
      <c r="T1551">
        <v>-0.26257350000000002</v>
      </c>
      <c r="U1551">
        <v>-2.879089</v>
      </c>
      <c r="V1551">
        <v>0.1222308</v>
      </c>
      <c r="W1551">
        <v>-7.7717480000000005E-2</v>
      </c>
      <c r="X1551">
        <v>0.98945419999999995</v>
      </c>
      <c r="Y1551">
        <v>0.2789334</v>
      </c>
      <c r="Z1551">
        <v>7.3187639999999998E-2</v>
      </c>
      <c r="AA1551">
        <v>0.95751750000000002</v>
      </c>
      <c r="AB1551">
        <v>24</v>
      </c>
      <c r="AC1551">
        <v>-3.9567999999999799</v>
      </c>
      <c r="AD1551">
        <v>-1.1076070821340001</v>
      </c>
      <c r="AE1551">
        <v>-11.9035999999999</v>
      </c>
      <c r="AF1551">
        <v>3.5466549819419</v>
      </c>
      <c r="AG1551">
        <v>-1.1076070821340001</v>
      </c>
      <c r="AH1551">
        <v>11.930968502089</v>
      </c>
      <c r="AI1551">
        <v>95.085137616944493</v>
      </c>
      <c r="AJ1551">
        <v>73.444648144088703</v>
      </c>
      <c r="AK1551">
        <v>12.496141980914199</v>
      </c>
      <c r="AL1551">
        <v>94.457378424909507</v>
      </c>
      <c r="AM1551">
        <v>82.957726709948901</v>
      </c>
      <c r="AN1551">
        <v>0.99999999453191502</v>
      </c>
    </row>
    <row r="1552" spans="1:40" x14ac:dyDescent="0.25">
      <c r="A1552" t="str">
        <f>"20190305135223013"</f>
        <v>20190305135223013</v>
      </c>
      <c r="B1552" t="str">
        <f>"1551765143001289"</f>
        <v>1551765143001289</v>
      </c>
      <c r="C1552" t="s">
        <v>40</v>
      </c>
      <c r="D1552">
        <v>4.8817659999999998</v>
      </c>
      <c r="E1552">
        <v>0.56175350000000002</v>
      </c>
      <c r="F1552" t="s">
        <v>42</v>
      </c>
      <c r="G1552">
        <v>-195.0301</v>
      </c>
      <c r="H1552" s="1">
        <v>-3.1141349999999999E-6</v>
      </c>
      <c r="I1552">
        <v>303.7285</v>
      </c>
      <c r="J1552">
        <v>-191.1481</v>
      </c>
      <c r="K1552">
        <v>1.1076189999999999</v>
      </c>
      <c r="L1552">
        <v>315.28980000000001</v>
      </c>
      <c r="M1552">
        <v>-3.4292570000000001E-2</v>
      </c>
      <c r="N1552">
        <v>-1.3669860000000001E-2</v>
      </c>
      <c r="O1552">
        <v>-0.99931820000000005</v>
      </c>
      <c r="P1552">
        <v>-0.15759619999999999</v>
      </c>
      <c r="Q1552">
        <v>-9.0927560000000004E-2</v>
      </c>
      <c r="R1552">
        <v>-0.98330859999999998</v>
      </c>
      <c r="S1552">
        <v>-0.94934079999999998</v>
      </c>
      <c r="T1552">
        <v>-0.27017279999999999</v>
      </c>
      <c r="U1552">
        <v>-2.8755799999999998</v>
      </c>
      <c r="V1552">
        <v>0.12346699999999999</v>
      </c>
      <c r="W1552">
        <v>-7.7909919999999994E-2</v>
      </c>
      <c r="X1552">
        <v>0.98928559999999999</v>
      </c>
      <c r="Y1552">
        <v>0.279655599999999</v>
      </c>
      <c r="Z1552">
        <v>7.5700530000000002E-2</v>
      </c>
      <c r="AA1552">
        <v>0.95711139999999995</v>
      </c>
      <c r="AB1552">
        <v>24</v>
      </c>
      <c r="AC1552">
        <v>-3.8820000000000001</v>
      </c>
      <c r="AD1552">
        <v>-1.107622114135</v>
      </c>
      <c r="AE1552">
        <v>-11.561299999999999</v>
      </c>
      <c r="AF1552">
        <v>3.4547163513646102</v>
      </c>
      <c r="AG1552">
        <v>-1.107622114135</v>
      </c>
      <c r="AH1552">
        <v>11.5920184196205</v>
      </c>
      <c r="AI1552">
        <v>95.232001115326</v>
      </c>
      <c r="AJ1552">
        <v>73.404604883845906</v>
      </c>
      <c r="AK1552">
        <v>12.146472033348999</v>
      </c>
      <c r="AL1552">
        <v>94.468437812637205</v>
      </c>
      <c r="AM1552">
        <v>82.886029717341899</v>
      </c>
      <c r="AN1552">
        <v>1.0000000270453799</v>
      </c>
    </row>
    <row r="1553" spans="1:40" x14ac:dyDescent="0.25">
      <c r="A1553" t="str">
        <f>"20190305135223036"</f>
        <v>20190305135223036</v>
      </c>
      <c r="B1553" t="str">
        <f>"1551765143031542"</f>
        <v>1551765143031542</v>
      </c>
      <c r="C1553" t="s">
        <v>40</v>
      </c>
      <c r="D1553">
        <v>4.8729430000000002</v>
      </c>
      <c r="E1553">
        <v>0.56182769999999904</v>
      </c>
      <c r="F1553" t="s">
        <v>42</v>
      </c>
      <c r="G1553">
        <v>-195.0127</v>
      </c>
      <c r="H1553" s="1">
        <v>-3.1059479999999998E-6</v>
      </c>
      <c r="I1553">
        <v>303.72019999999998</v>
      </c>
      <c r="J1553">
        <v>-191.15940000000001</v>
      </c>
      <c r="K1553">
        <v>1.107639</v>
      </c>
      <c r="L1553">
        <v>315.04610000000002</v>
      </c>
      <c r="M1553">
        <v>-3.679325E-2</v>
      </c>
      <c r="N1553">
        <v>-1.3693800000000001E-2</v>
      </c>
      <c r="O1553">
        <v>-0.99922929999999999</v>
      </c>
      <c r="P1553">
        <v>-0.16177040000000001</v>
      </c>
      <c r="Q1553">
        <v>-9.0547550000000004E-2</v>
      </c>
      <c r="R1553">
        <v>-0.98266560000000003</v>
      </c>
      <c r="S1553">
        <v>-0.95924379999999998</v>
      </c>
      <c r="T1553">
        <v>-0.2749298</v>
      </c>
      <c r="U1553">
        <v>-2.8717649999999999</v>
      </c>
      <c r="V1553">
        <v>0.12519179999999999</v>
      </c>
      <c r="W1553">
        <v>-7.7513479999999996E-2</v>
      </c>
      <c r="X1553">
        <v>0.98909990000000003</v>
      </c>
      <c r="Y1553">
        <v>0.28056199999999998</v>
      </c>
      <c r="Z1553">
        <v>7.7284409999999998E-2</v>
      </c>
      <c r="AA1553">
        <v>0.95671949999999994</v>
      </c>
      <c r="AB1553">
        <v>24</v>
      </c>
      <c r="AC1553">
        <v>-3.8532999999999902</v>
      </c>
      <c r="AD1553">
        <v>-1.1076421059479999</v>
      </c>
      <c r="AE1553">
        <v>-11.325900000000001</v>
      </c>
      <c r="AF1553">
        <v>3.40474897705649</v>
      </c>
      <c r="AG1553">
        <v>-1.1076421059479999</v>
      </c>
      <c r="AH1553">
        <v>11.362617119071199</v>
      </c>
      <c r="AI1553">
        <v>95.3347656567976</v>
      </c>
      <c r="AJ1553">
        <v>73.319429382606003</v>
      </c>
      <c r="AK1553">
        <v>11.913364530066501</v>
      </c>
      <c r="AL1553">
        <v>94.445654832218295</v>
      </c>
      <c r="AM1553">
        <v>82.786349090293299</v>
      </c>
      <c r="AN1553">
        <v>0.99999996927447898</v>
      </c>
    </row>
    <row r="1554" spans="1:40" x14ac:dyDescent="0.25">
      <c r="A1554" t="str">
        <f>"20190305135223058"</f>
        <v>20190305135223058</v>
      </c>
      <c r="B1554" t="str">
        <f>"1551765143051061"</f>
        <v>1551765143051061</v>
      </c>
      <c r="C1554" t="s">
        <v>40</v>
      </c>
      <c r="D1554">
        <v>4.8846350000000003</v>
      </c>
      <c r="E1554">
        <v>0.56175240000000004</v>
      </c>
      <c r="F1554" t="s">
        <v>42</v>
      </c>
      <c r="G1554">
        <v>-195.0496</v>
      </c>
      <c r="H1554" s="1">
        <v>-3.0515849999999999E-6</v>
      </c>
      <c r="I1554">
        <v>303.57049999999998</v>
      </c>
      <c r="J1554">
        <v>-191.17179999999999</v>
      </c>
      <c r="K1554">
        <v>1.1076539999999999</v>
      </c>
      <c r="L1554">
        <v>314.79320000000001</v>
      </c>
      <c r="M1554">
        <v>-3.9390349999999998E-2</v>
      </c>
      <c r="N1554">
        <v>-1.3714870000000001E-2</v>
      </c>
      <c r="O1554">
        <v>-0.99912970000000001</v>
      </c>
      <c r="P1554">
        <v>-0.16617199999999999</v>
      </c>
      <c r="Q1554">
        <v>-8.9956120000000001E-2</v>
      </c>
      <c r="R1554">
        <v>-0.981985</v>
      </c>
      <c r="S1554">
        <v>-0.97206119999999996</v>
      </c>
      <c r="T1554">
        <v>-0.27677040000000003</v>
      </c>
      <c r="U1554">
        <v>-2.867432</v>
      </c>
      <c r="V1554">
        <v>0.127052</v>
      </c>
      <c r="W1554">
        <v>-7.6909379999999999E-2</v>
      </c>
      <c r="X1554">
        <v>0.98890990000000001</v>
      </c>
      <c r="Y1554">
        <v>0.28232459999999998</v>
      </c>
      <c r="Z1554">
        <v>7.7903260000000002E-2</v>
      </c>
      <c r="AA1554">
        <v>0.95615050000000001</v>
      </c>
      <c r="AB1554">
        <v>24</v>
      </c>
      <c r="AC1554">
        <v>-3.8778000000000001</v>
      </c>
      <c r="AD1554">
        <v>-1.1076570515849999</v>
      </c>
      <c r="AE1554">
        <v>-11.2227</v>
      </c>
      <c r="AF1554">
        <v>3.4030676864917799</v>
      </c>
      <c r="AG1554">
        <v>-1.1076570515849999</v>
      </c>
      <c r="AH1554">
        <v>11.268687285753201</v>
      </c>
      <c r="AI1554">
        <v>95.375582619425202</v>
      </c>
      <c r="AJ1554">
        <v>73.196037388887603</v>
      </c>
      <c r="AK1554">
        <v>11.8233280833641</v>
      </c>
      <c r="AL1554">
        <v>94.410938559337893</v>
      </c>
      <c r="AM1554">
        <v>82.6789258810783</v>
      </c>
      <c r="AN1554">
        <v>1.00000002687699</v>
      </c>
    </row>
    <row r="1555" spans="1:40" x14ac:dyDescent="0.25">
      <c r="A1555" t="str">
        <f>"20190305135223082"</f>
        <v>20190305135223082</v>
      </c>
      <c r="B1555" t="str">
        <f>"1551765143071558"</f>
        <v>1551765143071558</v>
      </c>
      <c r="C1555" t="s">
        <v>40</v>
      </c>
      <c r="D1555">
        <v>4.8650070000000003</v>
      </c>
      <c r="E1555">
        <v>0.56172699999999998</v>
      </c>
      <c r="F1555" t="s">
        <v>42</v>
      </c>
      <c r="G1555">
        <v>-195.1018</v>
      </c>
      <c r="H1555" s="1">
        <v>-2.975947E-6</v>
      </c>
      <c r="I1555">
        <v>303.36180000000002</v>
      </c>
      <c r="J1555">
        <v>-191.18430000000001</v>
      </c>
      <c r="K1555">
        <v>1.1076710000000001</v>
      </c>
      <c r="L1555">
        <v>314.55009999999999</v>
      </c>
      <c r="M1555">
        <v>-4.1889099999999999E-2</v>
      </c>
      <c r="N1555">
        <v>-1.3732100000000001E-2</v>
      </c>
      <c r="O1555">
        <v>-0.99902800000000003</v>
      </c>
      <c r="P1555">
        <v>-0.1711358</v>
      </c>
      <c r="Q1555">
        <v>-8.8704430000000001E-2</v>
      </c>
      <c r="R1555">
        <v>-0.98124619999999996</v>
      </c>
      <c r="S1555">
        <v>-0.98429869999999997</v>
      </c>
      <c r="T1555">
        <v>-0.27741909999999997</v>
      </c>
      <c r="U1555">
        <v>-2.8630369999999998</v>
      </c>
      <c r="V1555">
        <v>0.12957750000000001</v>
      </c>
      <c r="W1555">
        <v>-7.5652189999999994E-2</v>
      </c>
      <c r="X1555">
        <v>0.98867910000000003</v>
      </c>
      <c r="Y1555">
        <v>0.28402379999999999</v>
      </c>
      <c r="Z1555">
        <v>7.8139260000000002E-2</v>
      </c>
      <c r="AA1555">
        <v>0.95562789999999997</v>
      </c>
      <c r="AB1555">
        <v>24</v>
      </c>
      <c r="AC1555">
        <v>-3.91749999999998</v>
      </c>
      <c r="AD1555">
        <v>-1.10767397594699</v>
      </c>
      <c r="AE1555">
        <v>-11.1882999999999</v>
      </c>
      <c r="AF1555">
        <v>3.41552743493081</v>
      </c>
      <c r="AG1555">
        <v>-1.10767397594699</v>
      </c>
      <c r="AH1555">
        <v>11.244417276905899</v>
      </c>
      <c r="AI1555">
        <v>95.3845847959889</v>
      </c>
      <c r="AJ1555">
        <v>73.103674789556194</v>
      </c>
      <c r="AK1555">
        <v>11.8037997777383</v>
      </c>
      <c r="AL1555">
        <v>94.338696624969501</v>
      </c>
      <c r="AM1555">
        <v>82.533302452545996</v>
      </c>
      <c r="AN1555">
        <v>0.99999997256742701</v>
      </c>
    </row>
    <row r="1556" spans="1:40" x14ac:dyDescent="0.25">
      <c r="A1556" t="str">
        <f>"20190305135223115"</f>
        <v>20190305135223115</v>
      </c>
      <c r="B1556" t="str">
        <f>"1551765143110600"</f>
        <v>1551765143110600</v>
      </c>
      <c r="C1556" t="s">
        <v>40</v>
      </c>
      <c r="D1556">
        <v>4.8679220000000001</v>
      </c>
      <c r="E1556">
        <v>0.56162469999999998</v>
      </c>
      <c r="F1556" t="s">
        <v>42</v>
      </c>
      <c r="G1556">
        <v>-195.1977</v>
      </c>
      <c r="H1556" s="1">
        <v>-2.8731629999999999E-6</v>
      </c>
      <c r="I1556">
        <v>303.06270000000001</v>
      </c>
      <c r="J1556">
        <v>-191.20330000000001</v>
      </c>
      <c r="K1556">
        <v>1.107696</v>
      </c>
      <c r="L1556">
        <v>314.20100000000002</v>
      </c>
      <c r="M1556">
        <v>-4.5479730000000003E-2</v>
      </c>
      <c r="N1556">
        <v>-1.3751599999999999E-2</v>
      </c>
      <c r="O1556">
        <v>-0.9988707</v>
      </c>
      <c r="P1556">
        <v>-0.17688950000000001</v>
      </c>
      <c r="Q1556">
        <v>-8.7940610000000002E-2</v>
      </c>
      <c r="R1556">
        <v>-0.98029409999999895</v>
      </c>
      <c r="S1556">
        <v>-0.99859620000000004</v>
      </c>
      <c r="T1556">
        <v>-0.27560259999999998</v>
      </c>
      <c r="U1556">
        <v>-2.8581850000000002</v>
      </c>
      <c r="V1556">
        <v>0.1318223</v>
      </c>
      <c r="W1556">
        <v>-7.4879269999999998E-2</v>
      </c>
      <c r="X1556">
        <v>0.98844120000000002</v>
      </c>
      <c r="Y1556">
        <v>0.28535870000000002</v>
      </c>
      <c r="Z1556">
        <v>7.7566469999999998E-2</v>
      </c>
      <c r="AA1556">
        <v>0.95527680000000004</v>
      </c>
      <c r="AB1556">
        <v>24</v>
      </c>
      <c r="AC1556">
        <v>-3.9943999999999802</v>
      </c>
      <c r="AD1556">
        <v>-1.107698873163</v>
      </c>
      <c r="AE1556">
        <v>-11.1382999999999</v>
      </c>
      <c r="AF1556">
        <v>3.4533885872168599</v>
      </c>
      <c r="AG1556">
        <v>-1.107698873163</v>
      </c>
      <c r="AH1556">
        <v>11.210216606799699</v>
      </c>
      <c r="AI1556">
        <v>95.394575612959699</v>
      </c>
      <c r="AJ1556">
        <v>72.878171331252403</v>
      </c>
      <c r="AK1556">
        <v>11.7822682832846</v>
      </c>
      <c r="AL1556">
        <v>94.294285415440299</v>
      </c>
      <c r="AM1556">
        <v>82.403640066057903</v>
      </c>
      <c r="AN1556">
        <v>1.0000000148552299</v>
      </c>
    </row>
    <row r="1557" spans="1:40" x14ac:dyDescent="0.25">
      <c r="A1557" t="str">
        <f>"20190305135223135"</f>
        <v>20190305135223135</v>
      </c>
      <c r="B1557" t="str">
        <f>"1551765143131094"</f>
        <v>1551765143131094</v>
      </c>
      <c r="C1557" t="s">
        <v>40</v>
      </c>
      <c r="D1557">
        <v>4.911003</v>
      </c>
      <c r="E1557">
        <v>0.56149659999999901</v>
      </c>
      <c r="F1557" t="s">
        <v>42</v>
      </c>
      <c r="G1557">
        <v>-195.29839999999999</v>
      </c>
      <c r="H1557" s="1">
        <v>-2.7394859999999998E-6</v>
      </c>
      <c r="I1557">
        <v>302.68869999999998</v>
      </c>
      <c r="J1557">
        <v>-191.21690000000001</v>
      </c>
      <c r="K1557">
        <v>1.1077060000000001</v>
      </c>
      <c r="L1557">
        <v>313.96469999999999</v>
      </c>
      <c r="M1557">
        <v>-4.7912700000000003E-2</v>
      </c>
      <c r="N1557">
        <v>-1.376233E-2</v>
      </c>
      <c r="O1557">
        <v>-0.9987568</v>
      </c>
      <c r="P1557">
        <v>-0.17986549999999901</v>
      </c>
      <c r="Q1557">
        <v>-8.8364620000000005E-2</v>
      </c>
      <c r="R1557">
        <v>-0.97971450000000004</v>
      </c>
      <c r="S1557">
        <v>-1.0147090000000001</v>
      </c>
      <c r="T1557">
        <v>-0.27447310000000003</v>
      </c>
      <c r="U1557">
        <v>-2.8525999999999998</v>
      </c>
      <c r="V1557">
        <v>0.13241629999999999</v>
      </c>
      <c r="W1557">
        <v>-7.5295340000000002E-2</v>
      </c>
      <c r="X1557">
        <v>0.98833020000000005</v>
      </c>
      <c r="Y1557">
        <v>0.28841159999999999</v>
      </c>
      <c r="Z1557">
        <v>7.7218549999999997E-2</v>
      </c>
      <c r="AA1557">
        <v>0.95438780000000001</v>
      </c>
      <c r="AB1557">
        <v>24</v>
      </c>
      <c r="AC1557">
        <v>-4.0814999999999699</v>
      </c>
      <c r="AD1557">
        <v>-1.1077087394859999</v>
      </c>
      <c r="AE1557">
        <v>-11.276</v>
      </c>
      <c r="AF1557">
        <v>3.5065773377682699</v>
      </c>
      <c r="AG1557">
        <v>-1.1077087394859999</v>
      </c>
      <c r="AH1557">
        <v>11.3616790595557</v>
      </c>
      <c r="AI1557">
        <v>95.322267192764798</v>
      </c>
      <c r="AJ1557">
        <v>72.848101907473605</v>
      </c>
      <c r="AK1557">
        <v>11.941978660575099</v>
      </c>
      <c r="AL1557">
        <v>94.318191917638899</v>
      </c>
      <c r="AM1557">
        <v>82.368965895241104</v>
      </c>
      <c r="AN1557">
        <v>1.00000002448172</v>
      </c>
    </row>
    <row r="1558" spans="1:40" x14ac:dyDescent="0.25">
      <c r="A1558" t="str">
        <f>"20190305135223161"</f>
        <v>20190305135223161</v>
      </c>
      <c r="B1558" t="str">
        <f>"1551765143151590"</f>
        <v>1551765143151590</v>
      </c>
      <c r="C1558" t="s">
        <v>40</v>
      </c>
      <c r="D1558">
        <v>4.8970010000000004</v>
      </c>
      <c r="E1558">
        <v>0.56144050000000001</v>
      </c>
      <c r="F1558" t="s">
        <v>42</v>
      </c>
      <c r="G1558">
        <v>-195.29140000000001</v>
      </c>
      <c r="H1558" s="1">
        <v>-2.70307E-6</v>
      </c>
      <c r="I1558">
        <v>302.60820000000001</v>
      </c>
      <c r="J1558">
        <v>-191.23240000000001</v>
      </c>
      <c r="K1558">
        <v>1.1077079999999999</v>
      </c>
      <c r="L1558">
        <v>313.70670000000001</v>
      </c>
      <c r="M1558">
        <v>-5.0569030000000001E-2</v>
      </c>
      <c r="N1558">
        <v>-1.3772E-2</v>
      </c>
      <c r="O1558">
        <v>-0.9986256</v>
      </c>
      <c r="P1558">
        <v>-0.18172240000000001</v>
      </c>
      <c r="Q1558">
        <v>-8.9219259999999995E-2</v>
      </c>
      <c r="R1558">
        <v>-0.97929409999999895</v>
      </c>
      <c r="S1558">
        <v>-1.022324</v>
      </c>
      <c r="T1558">
        <v>-0.27793129999999999</v>
      </c>
      <c r="U1558">
        <v>-2.8494259999999998</v>
      </c>
      <c r="V1558">
        <v>0.13166329999999901</v>
      </c>
      <c r="W1558">
        <v>-7.6135659999999994E-2</v>
      </c>
      <c r="X1558">
        <v>0.98836639999999998</v>
      </c>
      <c r="Y1558">
        <v>0.28842960000000001</v>
      </c>
      <c r="Z1558">
        <v>7.8389180000000003E-2</v>
      </c>
      <c r="AA1558">
        <v>0.95428690000000005</v>
      </c>
      <c r="AB1558">
        <v>24</v>
      </c>
      <c r="AC1558">
        <v>-4.0589999999999904</v>
      </c>
      <c r="AD1558">
        <v>-1.10771070307</v>
      </c>
      <c r="AE1558">
        <v>-11.0985</v>
      </c>
      <c r="AF1558">
        <v>3.4620932675956801</v>
      </c>
      <c r="AG1558">
        <v>-1.10771070307</v>
      </c>
      <c r="AH1558">
        <v>11.1912472750313</v>
      </c>
      <c r="AI1558">
        <v>95.401754972049602</v>
      </c>
      <c r="AJ1558">
        <v>72.810168997371207</v>
      </c>
      <c r="AK1558">
        <v>11.766780713777299</v>
      </c>
      <c r="AL1558">
        <v>94.366477410915095</v>
      </c>
      <c r="AM1558">
        <v>82.412128237506494</v>
      </c>
      <c r="AN1558">
        <v>1.0000000019697399</v>
      </c>
    </row>
    <row r="1559" spans="1:40" x14ac:dyDescent="0.25">
      <c r="A1559" t="str">
        <f>"20190305135223182"</f>
        <v>20190305135223182</v>
      </c>
      <c r="B1559" t="str">
        <f>"1551765143171111"</f>
        <v>1551765143171111</v>
      </c>
      <c r="C1559" t="s">
        <v>40</v>
      </c>
      <c r="D1559">
        <v>4.8878430000000002</v>
      </c>
      <c r="E1559">
        <v>0.56140579999999995</v>
      </c>
      <c r="F1559" t="s">
        <v>42</v>
      </c>
      <c r="G1559">
        <v>-195.2647</v>
      </c>
      <c r="H1559" s="1">
        <v>-2.6631759999999999E-6</v>
      </c>
      <c r="I1559">
        <v>302.5317</v>
      </c>
      <c r="J1559">
        <v>-191.2473</v>
      </c>
      <c r="K1559">
        <v>1.1077129999999999</v>
      </c>
      <c r="L1559">
        <v>313.46699999999998</v>
      </c>
      <c r="M1559">
        <v>-5.3036510000000002E-2</v>
      </c>
      <c r="N1559">
        <v>-1.377914E-2</v>
      </c>
      <c r="O1559">
        <v>-0.99849770000000004</v>
      </c>
      <c r="P1559">
        <v>-0.18271580000000001</v>
      </c>
      <c r="Q1559">
        <v>-9.0302380000000002E-2</v>
      </c>
      <c r="R1559">
        <v>-0.97901020000000005</v>
      </c>
      <c r="S1559">
        <v>-1.027328</v>
      </c>
      <c r="T1559">
        <v>-0.28221390000000002</v>
      </c>
      <c r="U1559">
        <v>-2.8470759999999999</v>
      </c>
      <c r="V1559">
        <v>0.13022709999999901</v>
      </c>
      <c r="W1559">
        <v>-7.7203229999999998E-2</v>
      </c>
      <c r="X1559">
        <v>0.98847379999999996</v>
      </c>
      <c r="Y1559">
        <v>0.28775859999999998</v>
      </c>
      <c r="Z1559">
        <v>7.9831739999999998E-2</v>
      </c>
      <c r="AA1559">
        <v>0.95436989999999999</v>
      </c>
      <c r="AB1559">
        <v>24</v>
      </c>
      <c r="AC1559">
        <v>-4.0174000000000003</v>
      </c>
      <c r="AD1559">
        <v>-1.1077156631759999</v>
      </c>
      <c r="AE1559">
        <v>-10.9352999999999</v>
      </c>
      <c r="AF1559">
        <v>3.4009717779108599</v>
      </c>
      <c r="AG1559">
        <v>-1.1077156631759999</v>
      </c>
      <c r="AH1559">
        <v>11.0332450179316</v>
      </c>
      <c r="AI1559">
        <v>95.480371779507905</v>
      </c>
      <c r="AJ1559">
        <v>72.868209028684504</v>
      </c>
      <c r="AK1559">
        <v>11.598540367231699</v>
      </c>
      <c r="AL1559">
        <v>94.427825496062894</v>
      </c>
      <c r="AM1559">
        <v>82.494755081074899</v>
      </c>
      <c r="AN1559">
        <v>0.99999994479163901</v>
      </c>
    </row>
    <row r="1560" spans="1:40" x14ac:dyDescent="0.25">
      <c r="A1560" t="str">
        <f>"20190305135223203"</f>
        <v>20190305135223203</v>
      </c>
      <c r="B1560" t="str">
        <f>"1551765143191616"</f>
        <v>1551765143191616</v>
      </c>
      <c r="C1560" t="s">
        <v>40</v>
      </c>
      <c r="D1560">
        <v>4.8970529999999997</v>
      </c>
      <c r="E1560">
        <v>0.56136569999999997</v>
      </c>
      <c r="F1560" t="s">
        <v>42</v>
      </c>
      <c r="G1560">
        <v>-195.22620000000001</v>
      </c>
      <c r="H1560" s="1">
        <v>-2.6273970000000002E-6</v>
      </c>
      <c r="I1560">
        <v>302.47230000000002</v>
      </c>
      <c r="J1560">
        <v>-191.26169999999999</v>
      </c>
      <c r="K1560">
        <v>1.10772</v>
      </c>
      <c r="L1560">
        <v>313.24549999999999</v>
      </c>
      <c r="M1560">
        <v>-5.5314189999999999E-2</v>
      </c>
      <c r="N1560">
        <v>-1.378471E-2</v>
      </c>
      <c r="O1560">
        <v>-0.99837399999999998</v>
      </c>
      <c r="P1560">
        <v>-0.1834906</v>
      </c>
      <c r="Q1560">
        <v>-9.0649250000000001E-2</v>
      </c>
      <c r="R1560">
        <v>-0.97883310000000001</v>
      </c>
      <c r="S1560">
        <v>-1.029785</v>
      </c>
      <c r="T1560">
        <v>-0.28669670000000003</v>
      </c>
      <c r="U1560">
        <v>-2.8456419999999998</v>
      </c>
      <c r="V1560">
        <v>0.12875739999999999</v>
      </c>
      <c r="W1560">
        <v>-7.7535049999999994E-2</v>
      </c>
      <c r="X1560">
        <v>0.98864039999999997</v>
      </c>
      <c r="Y1560">
        <v>0.28641339999999998</v>
      </c>
      <c r="Z1560">
        <v>8.1337110000000004E-2</v>
      </c>
      <c r="AA1560">
        <v>0.95464740000000003</v>
      </c>
      <c r="AB1560">
        <v>24</v>
      </c>
      <c r="AC1560">
        <v>-3.9645000000000099</v>
      </c>
      <c r="AD1560">
        <v>-1.107722627397</v>
      </c>
      <c r="AE1560">
        <v>-10.7731999999999</v>
      </c>
      <c r="AF1560">
        <v>3.3314414080599302</v>
      </c>
      <c r="AG1560">
        <v>-1.107722627397</v>
      </c>
      <c r="AH1560">
        <v>10.874757644585999</v>
      </c>
      <c r="AI1560">
        <v>95.562730296185805</v>
      </c>
      <c r="AJ1560">
        <v>72.9677500661235</v>
      </c>
      <c r="AK1560">
        <v>11.427419004441299</v>
      </c>
      <c r="AL1560">
        <v>94.446894312541403</v>
      </c>
      <c r="AM1560">
        <v>82.579743954653097</v>
      </c>
      <c r="AN1560">
        <v>0.99999999627271097</v>
      </c>
    </row>
    <row r="1561" spans="1:40" x14ac:dyDescent="0.25">
      <c r="A1561" t="str">
        <f>"20190305135223225"</f>
        <v>20190305135223225</v>
      </c>
      <c r="B1561" t="str">
        <f>"1551765143220886"</f>
        <v>1551765143220886</v>
      </c>
      <c r="C1561" t="s">
        <v>40</v>
      </c>
      <c r="D1561">
        <v>4.8724470000000002</v>
      </c>
      <c r="E1561">
        <v>0.56136469999999905</v>
      </c>
      <c r="F1561" t="s">
        <v>42</v>
      </c>
      <c r="G1561">
        <v>-195.20869999999999</v>
      </c>
      <c r="H1561" s="1">
        <v>-2.5761990000000002E-6</v>
      </c>
      <c r="I1561">
        <v>302.36369999999999</v>
      </c>
      <c r="J1561">
        <v>-191.27780000000001</v>
      </c>
      <c r="K1561">
        <v>1.1077399999999999</v>
      </c>
      <c r="L1561">
        <v>313.00659999999999</v>
      </c>
      <c r="M1561">
        <v>-5.7771280000000001E-2</v>
      </c>
      <c r="N1561">
        <v>-1.378967E-2</v>
      </c>
      <c r="O1561">
        <v>-0.99823490000000004</v>
      </c>
      <c r="P1561">
        <v>-0.18422520000000001</v>
      </c>
      <c r="Q1561">
        <v>-9.0266299999999994E-2</v>
      </c>
      <c r="R1561">
        <v>-0.97873060000000001</v>
      </c>
      <c r="S1561">
        <v>-1.0317989999999999</v>
      </c>
      <c r="T1561">
        <v>-0.28957450000000001</v>
      </c>
      <c r="U1561">
        <v>-2.8446660000000001</v>
      </c>
      <c r="V1561">
        <v>0.1270685</v>
      </c>
      <c r="W1561">
        <v>-7.713536E-2</v>
      </c>
      <c r="X1561">
        <v>0.98889020000000005</v>
      </c>
      <c r="Y1561">
        <v>0.28473039999999999</v>
      </c>
      <c r="Z1561">
        <v>8.2307350000000001E-2</v>
      </c>
      <c r="AA1561">
        <v>0.95506760000000002</v>
      </c>
      <c r="AB1561">
        <v>24</v>
      </c>
      <c r="AC1561">
        <v>-3.9308999999999799</v>
      </c>
      <c r="AD1561">
        <v>-1.1077425761990001</v>
      </c>
      <c r="AE1561">
        <v>-10.6428999999999</v>
      </c>
      <c r="AF1561">
        <v>3.2781711456748801</v>
      </c>
      <c r="AG1561">
        <v>-1.1077425761990001</v>
      </c>
      <c r="AH1561">
        <v>10.7497606512249</v>
      </c>
      <c r="AI1561">
        <v>95.629279031268894</v>
      </c>
      <c r="AJ1561">
        <v>73.040760855480897</v>
      </c>
      <c r="AK1561">
        <v>11.2929559343018</v>
      </c>
      <c r="AL1561">
        <v>94.423924745100095</v>
      </c>
      <c r="AM1561">
        <v>82.677841142991596</v>
      </c>
      <c r="AN1561">
        <v>1.0000000475552999</v>
      </c>
    </row>
    <row r="1562" spans="1:40" x14ac:dyDescent="0.25">
      <c r="A1562" t="str">
        <f>"20190305135223249"</f>
        <v>20190305135223249</v>
      </c>
      <c r="B1562" t="str">
        <f>"1551765143241383"</f>
        <v>1551765143241383</v>
      </c>
      <c r="C1562" t="s">
        <v>40</v>
      </c>
      <c r="D1562">
        <v>4.891883</v>
      </c>
      <c r="E1562">
        <v>0.56140900000000005</v>
      </c>
      <c r="F1562" t="s">
        <v>42</v>
      </c>
      <c r="G1562">
        <v>-195.2276</v>
      </c>
      <c r="H1562" s="1">
        <v>-2.4864520000000002E-6</v>
      </c>
      <c r="I1562">
        <v>302.14280000000002</v>
      </c>
      <c r="J1562">
        <v>-191.29499999999999</v>
      </c>
      <c r="K1562">
        <v>1.1077459999999999</v>
      </c>
      <c r="L1562">
        <v>312.76130000000001</v>
      </c>
      <c r="M1562">
        <v>-6.0292560000000002E-2</v>
      </c>
      <c r="N1562">
        <v>-1.3793450000000001E-2</v>
      </c>
      <c r="O1562">
        <v>-0.99808560000000002</v>
      </c>
      <c r="P1562">
        <v>-0.18600739999999999</v>
      </c>
      <c r="Q1562">
        <v>-9.012067E-2</v>
      </c>
      <c r="R1562">
        <v>-0.97840700000000003</v>
      </c>
      <c r="S1562">
        <v>-1.033936</v>
      </c>
      <c r="T1562">
        <v>-0.28997729999999999</v>
      </c>
      <c r="U1562">
        <v>-2.843842</v>
      </c>
      <c r="V1562">
        <v>0.12637329999999999</v>
      </c>
      <c r="W1562">
        <v>-7.6980140000000002E-2</v>
      </c>
      <c r="X1562">
        <v>0.98899130000000002</v>
      </c>
      <c r="Y1562">
        <v>0.28302870000000002</v>
      </c>
      <c r="Z1562">
        <v>8.2459379999999999E-2</v>
      </c>
      <c r="AA1562">
        <v>0.95556010000000002</v>
      </c>
      <c r="AB1562">
        <v>24</v>
      </c>
      <c r="AC1562">
        <v>-3.9325999999999999</v>
      </c>
      <c r="AD1562">
        <v>-1.107748486452</v>
      </c>
      <c r="AE1562">
        <v>-10.6184999999999</v>
      </c>
      <c r="AF1562">
        <v>3.2540243182765902</v>
      </c>
      <c r="AG1562">
        <v>-1.107748486452</v>
      </c>
      <c r="AH1562">
        <v>10.7335821170209</v>
      </c>
      <c r="AI1562">
        <v>95.6405305414618</v>
      </c>
      <c r="AJ1562">
        <v>73.134641069764101</v>
      </c>
      <c r="AK1562">
        <v>11.2705619219275</v>
      </c>
      <c r="AL1562">
        <v>94.415005105642393</v>
      </c>
      <c r="AM1562">
        <v>82.718206387909305</v>
      </c>
      <c r="AN1562">
        <v>0.99999997219149905</v>
      </c>
    </row>
    <row r="1563" spans="1:40" x14ac:dyDescent="0.25">
      <c r="A1563" t="str">
        <f>"20190305135223272"</f>
        <v>20190305135223272</v>
      </c>
      <c r="B1563" t="str">
        <f>"1551765143260902"</f>
        <v>1551765143260902</v>
      </c>
      <c r="C1563" t="s">
        <v>40</v>
      </c>
      <c r="D1563">
        <v>4.881723</v>
      </c>
      <c r="E1563">
        <v>0.56144369999999999</v>
      </c>
      <c r="F1563" t="s">
        <v>42</v>
      </c>
      <c r="G1563">
        <v>-195.2808</v>
      </c>
      <c r="H1563" s="1">
        <v>-2.3804979999999999E-6</v>
      </c>
      <c r="I1563">
        <v>301.86279999999999</v>
      </c>
      <c r="J1563">
        <v>-191.31299999999999</v>
      </c>
      <c r="K1563">
        <v>1.1077509999999999</v>
      </c>
      <c r="L1563">
        <v>312.5127</v>
      </c>
      <c r="M1563">
        <v>-6.2847029999999998E-2</v>
      </c>
      <c r="N1563">
        <v>-1.379644E-2</v>
      </c>
      <c r="O1563">
        <v>-0.99792780000000003</v>
      </c>
      <c r="P1563">
        <v>-0.1884816</v>
      </c>
      <c r="Q1563">
        <v>-9.0176080000000006E-2</v>
      </c>
      <c r="R1563">
        <v>-0.97792789999999996</v>
      </c>
      <c r="S1563">
        <v>-1.0393829999999999</v>
      </c>
      <c r="T1563">
        <v>-0.28886699999999998</v>
      </c>
      <c r="U1563">
        <v>-2.84198</v>
      </c>
      <c r="V1563">
        <v>0.1263445</v>
      </c>
      <c r="W1563">
        <v>-7.7030890000000005E-2</v>
      </c>
      <c r="X1563">
        <v>0.98899110000000001</v>
      </c>
      <c r="Y1563">
        <v>0.28240310000000002</v>
      </c>
      <c r="Z1563">
        <v>8.2112989999999997E-2</v>
      </c>
      <c r="AA1563">
        <v>0.95577509999999999</v>
      </c>
      <c r="AB1563">
        <v>24</v>
      </c>
      <c r="AC1563">
        <v>-3.9678000000000102</v>
      </c>
      <c r="AD1563">
        <v>-1.107753380498</v>
      </c>
      <c r="AE1563">
        <v>-10.649900000000001</v>
      </c>
      <c r="AF1563">
        <v>3.2596087148059598</v>
      </c>
      <c r="AG1563">
        <v>-1.107753380498</v>
      </c>
      <c r="AH1563">
        <v>10.775855397155301</v>
      </c>
      <c r="AI1563">
        <v>95.619608751130897</v>
      </c>
      <c r="AJ1563">
        <v>73.169860464932796</v>
      </c>
      <c r="AK1563">
        <v>11.312436787272899</v>
      </c>
      <c r="AL1563">
        <v>94.417921211641598</v>
      </c>
      <c r="AM1563">
        <v>82.719846618867294</v>
      </c>
      <c r="AN1563">
        <v>1.0000000432868199</v>
      </c>
    </row>
    <row r="1564" spans="1:40" x14ac:dyDescent="0.25">
      <c r="A1564" t="str">
        <f>"20190305135223293"</f>
        <v>20190305135223293</v>
      </c>
      <c r="B1564" t="str">
        <f>"1551765143281398"</f>
        <v>1551765143281398</v>
      </c>
      <c r="C1564" t="s">
        <v>40</v>
      </c>
      <c r="D1564">
        <v>4.8636710000000001</v>
      </c>
      <c r="E1564">
        <v>0.56149450000000001</v>
      </c>
      <c r="F1564" t="s">
        <v>42</v>
      </c>
      <c r="G1564">
        <v>-195.34479999999999</v>
      </c>
      <c r="H1564" s="1">
        <v>-2.2757629999999999E-6</v>
      </c>
      <c r="I1564">
        <v>301.57900000000001</v>
      </c>
      <c r="J1564">
        <v>-191.3296</v>
      </c>
      <c r="K1564">
        <v>1.1077539999999999</v>
      </c>
      <c r="L1564">
        <v>312.29050000000001</v>
      </c>
      <c r="M1564">
        <v>-6.5127690000000002E-2</v>
      </c>
      <c r="N1564">
        <v>-1.379852E-2</v>
      </c>
      <c r="O1564">
        <v>-0.99778180000000005</v>
      </c>
      <c r="P1564">
        <v>-0.19127959999999999</v>
      </c>
      <c r="Q1564">
        <v>-9.053688E-2</v>
      </c>
      <c r="R1564">
        <v>-0.97735150000000004</v>
      </c>
      <c r="S1564">
        <v>-1.0470280000000001</v>
      </c>
      <c r="T1564">
        <v>-0.28767100000000001</v>
      </c>
      <c r="U1564">
        <v>-2.8393549999999999</v>
      </c>
      <c r="V1564">
        <v>0.12691549999999999</v>
      </c>
      <c r="W1564">
        <v>-7.7391840000000003E-2</v>
      </c>
      <c r="X1564">
        <v>0.98888980000000004</v>
      </c>
      <c r="Y1564">
        <v>0.28277479999999999</v>
      </c>
      <c r="Z1564">
        <v>8.1737699999999996E-2</v>
      </c>
      <c r="AA1564">
        <v>0.95569740000000003</v>
      </c>
      <c r="AB1564">
        <v>24</v>
      </c>
      <c r="AC1564">
        <v>-4.0151999999999903</v>
      </c>
      <c r="AD1564">
        <v>-1.107756275763</v>
      </c>
      <c r="AE1564">
        <v>-10.711499999999999</v>
      </c>
      <c r="AF1564">
        <v>3.2782505190914599</v>
      </c>
      <c r="AG1564">
        <v>-1.107756275763</v>
      </c>
      <c r="AH1564">
        <v>10.848547570366801</v>
      </c>
      <c r="AI1564">
        <v>95.582681008908807</v>
      </c>
      <c r="AJ1564">
        <v>73.186056845934701</v>
      </c>
      <c r="AK1564">
        <v>11.3870555816211</v>
      </c>
      <c r="AL1564">
        <v>94.438664065076907</v>
      </c>
      <c r="AM1564">
        <v>82.686559136647602</v>
      </c>
      <c r="AN1564">
        <v>1.0000000387914301</v>
      </c>
    </row>
    <row r="1565" spans="1:40" x14ac:dyDescent="0.25">
      <c r="A1565" t="str">
        <f>"20190305135223314"</f>
        <v>20190305135223314</v>
      </c>
      <c r="B1565" t="str">
        <f>"1551765143310678"</f>
        <v>1551765143310678</v>
      </c>
      <c r="C1565" t="s">
        <v>40</v>
      </c>
      <c r="D1565">
        <v>4.8513650000000004</v>
      </c>
      <c r="E1565">
        <v>0.56174809999999997</v>
      </c>
      <c r="F1565" t="s">
        <v>42</v>
      </c>
      <c r="G1565">
        <v>-195.38749999999999</v>
      </c>
      <c r="H1565" s="1">
        <v>-2.2040540000000002E-6</v>
      </c>
      <c r="I1565">
        <v>301.38529999999997</v>
      </c>
      <c r="J1565">
        <v>-191.34739999999999</v>
      </c>
      <c r="K1565">
        <v>1.1077600000000001</v>
      </c>
      <c r="L1565">
        <v>312.06029999999998</v>
      </c>
      <c r="M1565">
        <v>-6.7487690000000003E-2</v>
      </c>
      <c r="N1565">
        <v>-1.3800089999999999E-2</v>
      </c>
      <c r="O1565">
        <v>-0.99762470000000003</v>
      </c>
      <c r="P1565">
        <v>-0.19434390000000001</v>
      </c>
      <c r="Q1565">
        <v>-9.0601050000000002E-2</v>
      </c>
      <c r="R1565">
        <v>-0.97674050000000001</v>
      </c>
      <c r="S1565">
        <v>-1.0554049999999999</v>
      </c>
      <c r="T1565">
        <v>-0.28811029999999999</v>
      </c>
      <c r="U1565">
        <v>-2.8362729999999998</v>
      </c>
      <c r="V1565">
        <v>0.12767809999999999</v>
      </c>
      <c r="W1565">
        <v>-7.7456979999999995E-2</v>
      </c>
      <c r="X1565">
        <v>0.98878650000000001</v>
      </c>
      <c r="Y1565">
        <v>0.28332000000000002</v>
      </c>
      <c r="Z1565">
        <v>8.1906489999999998E-2</v>
      </c>
      <c r="AA1565">
        <v>0.95552139999999997</v>
      </c>
      <c r="AB1565">
        <v>24</v>
      </c>
      <c r="AC1565">
        <v>-4.04009999999999</v>
      </c>
      <c r="AD1565">
        <v>-1.1077622040539901</v>
      </c>
      <c r="AE1565">
        <v>-10.675000000000001</v>
      </c>
      <c r="AF1565">
        <v>3.2794967771772501</v>
      </c>
      <c r="AG1565">
        <v>-1.1077622040539901</v>
      </c>
      <c r="AH1565">
        <v>10.821409604893301</v>
      </c>
      <c r="AI1565">
        <v>95.595276537437101</v>
      </c>
      <c r="AJ1565">
        <v>73.140234956058706</v>
      </c>
      <c r="AK1565">
        <v>11.361564243057501</v>
      </c>
      <c r="AL1565">
        <v>94.442407669359397</v>
      </c>
      <c r="AM1565">
        <v>82.642334544454201</v>
      </c>
      <c r="AN1565">
        <v>1.0000000117762899</v>
      </c>
    </row>
    <row r="1566" spans="1:40" x14ac:dyDescent="0.25">
      <c r="A1566" t="str">
        <f>"20190305135223338"</f>
        <v>20190305135223338</v>
      </c>
      <c r="B1566" t="str">
        <f>"1551765143331177"</f>
        <v>1551765143331177</v>
      </c>
      <c r="C1566" t="s">
        <v>40</v>
      </c>
      <c r="D1566">
        <v>4.8466389999999997</v>
      </c>
      <c r="E1566">
        <v>0.56188149999999903</v>
      </c>
      <c r="F1566" t="s">
        <v>42</v>
      </c>
      <c r="G1566">
        <v>-195.48439999999999</v>
      </c>
      <c r="H1566" s="1">
        <v>-2.0945890000000001E-6</v>
      </c>
      <c r="I1566">
        <v>301.07010000000002</v>
      </c>
      <c r="J1566">
        <v>-191.3673</v>
      </c>
      <c r="K1566">
        <v>1.107772</v>
      </c>
      <c r="L1566">
        <v>311.80990000000003</v>
      </c>
      <c r="M1566">
        <v>-7.0044010000000004E-2</v>
      </c>
      <c r="N1566">
        <v>-1.3800969999999999E-2</v>
      </c>
      <c r="O1566">
        <v>-0.99744869999999997</v>
      </c>
      <c r="P1566">
        <v>-0.19756789999999999</v>
      </c>
      <c r="Q1566">
        <v>-9.0695570000000003E-2</v>
      </c>
      <c r="R1566">
        <v>-0.97608490000000003</v>
      </c>
      <c r="S1566">
        <v>-1.06633</v>
      </c>
      <c r="T1566">
        <v>-0.28553200000000001</v>
      </c>
      <c r="U1566">
        <v>-2.8327939999999998</v>
      </c>
      <c r="V1566">
        <v>0.12841050000000001</v>
      </c>
      <c r="W1566">
        <v>-7.7551369999999994E-2</v>
      </c>
      <c r="X1566">
        <v>0.98868420000000001</v>
      </c>
      <c r="Y1566">
        <v>0.28450340000000002</v>
      </c>
      <c r="Z1566">
        <v>8.1070509999999998E-2</v>
      </c>
      <c r="AA1566">
        <v>0.95524100000000001</v>
      </c>
      <c r="AB1566">
        <v>24</v>
      </c>
      <c r="AC1566">
        <v>-4.11709999999999</v>
      </c>
      <c r="AD1566">
        <v>-1.107774094589</v>
      </c>
      <c r="AE1566">
        <v>-10.739800000000001</v>
      </c>
      <c r="AF1566">
        <v>3.3238240275546902</v>
      </c>
      <c r="AG1566">
        <v>-1.107774094589</v>
      </c>
      <c r="AH1566">
        <v>10.9007071121179</v>
      </c>
      <c r="AI1566">
        <v>95.552028996723095</v>
      </c>
      <c r="AJ1566">
        <v>73.042581949017901</v>
      </c>
      <c r="AK1566">
        <v>11.4499076483162</v>
      </c>
      <c r="AL1566">
        <v>94.447832367933898</v>
      </c>
      <c r="AM1566">
        <v>82.599838027968403</v>
      </c>
      <c r="AN1566">
        <v>0.99999995941438202</v>
      </c>
    </row>
    <row r="1567" spans="1:40" x14ac:dyDescent="0.25">
      <c r="A1567" t="str">
        <f>"20190305135223362"</f>
        <v>20190305135223362</v>
      </c>
      <c r="B1567" t="str">
        <f>"1551765143350697"</f>
        <v>1551765143350697</v>
      </c>
      <c r="C1567" t="s">
        <v>40</v>
      </c>
      <c r="D1567">
        <v>4.8973599999999999</v>
      </c>
      <c r="E1567">
        <v>0.56201269999999903</v>
      </c>
      <c r="F1567" t="s">
        <v>42</v>
      </c>
      <c r="G1567">
        <v>-195.5668</v>
      </c>
      <c r="H1567" s="1">
        <v>-1.9900110000000001E-6</v>
      </c>
      <c r="I1567">
        <v>300.77519999999998</v>
      </c>
      <c r="J1567">
        <v>-191.3877</v>
      </c>
      <c r="K1567">
        <v>1.1077889999999999</v>
      </c>
      <c r="L1567">
        <v>311.56139999999999</v>
      </c>
      <c r="M1567">
        <v>-7.2560760000000002E-2</v>
      </c>
      <c r="N1567">
        <v>-1.380112E-2</v>
      </c>
      <c r="O1567">
        <v>-0.99726859999999995</v>
      </c>
      <c r="P1567">
        <v>-0.20085500000000001</v>
      </c>
      <c r="Q1567">
        <v>-9.0630199999999994E-2</v>
      </c>
      <c r="R1567">
        <v>-0.97541990000000001</v>
      </c>
      <c r="S1567">
        <v>-1.0767059999999999</v>
      </c>
      <c r="T1567">
        <v>-0.28401979999999999</v>
      </c>
      <c r="U1567">
        <v>-2.8291629999999999</v>
      </c>
      <c r="V1567">
        <v>0.12924820000000001</v>
      </c>
      <c r="W1567">
        <v>-7.748526E-2</v>
      </c>
      <c r="X1567">
        <v>0.98858029999999997</v>
      </c>
      <c r="Y1567">
        <v>0.28556710000000002</v>
      </c>
      <c r="Z1567">
        <v>8.0593739999999997E-2</v>
      </c>
      <c r="AA1567">
        <v>0.95496389999999998</v>
      </c>
      <c r="AB1567">
        <v>24</v>
      </c>
      <c r="AC1567">
        <v>-4.1791</v>
      </c>
      <c r="AD1567">
        <v>-1.1077909900109999</v>
      </c>
      <c r="AE1567">
        <v>-10.786199999999999</v>
      </c>
      <c r="AF1567">
        <v>3.3545860890201</v>
      </c>
      <c r="AG1567">
        <v>-1.1077909900109999</v>
      </c>
      <c r="AH1567">
        <v>10.960506146619</v>
      </c>
      <c r="AI1567">
        <v>95.520256864345896</v>
      </c>
      <c r="AJ1567">
        <v>72.982681035985706</v>
      </c>
      <c r="AK1567">
        <v>11.5157780326068</v>
      </c>
      <c r="AL1567">
        <v>94.444032769928398</v>
      </c>
      <c r="AM1567">
        <v>82.551328538612395</v>
      </c>
      <c r="AN1567">
        <v>1.00000003613429</v>
      </c>
    </row>
    <row r="1568" spans="1:40" x14ac:dyDescent="0.25">
      <c r="A1568" t="str">
        <f>"20190305135223384"</f>
        <v>20190305135223384</v>
      </c>
      <c r="B1568" t="str">
        <f>"1551765143380953"</f>
        <v>1551765143380953</v>
      </c>
      <c r="C1568" t="s">
        <v>40</v>
      </c>
      <c r="D1568">
        <v>4.881596</v>
      </c>
      <c r="E1568">
        <v>0.56215939999999998</v>
      </c>
      <c r="F1568" t="s">
        <v>42</v>
      </c>
      <c r="G1568">
        <v>-195.64</v>
      </c>
      <c r="H1568" s="1">
        <v>-1.8968819999999999E-6</v>
      </c>
      <c r="I1568">
        <v>300.5127</v>
      </c>
      <c r="J1568">
        <v>-191.40780000000001</v>
      </c>
      <c r="K1568">
        <v>1.107815</v>
      </c>
      <c r="L1568">
        <v>311.3236</v>
      </c>
      <c r="M1568">
        <v>-7.494663E-2</v>
      </c>
      <c r="N1568">
        <v>-1.3800460000000001E-2</v>
      </c>
      <c r="O1568">
        <v>-0.99709230000000004</v>
      </c>
      <c r="P1568">
        <v>-0.20426</v>
      </c>
      <c r="Q1568">
        <v>-9.0320159999999997E-2</v>
      </c>
      <c r="R1568">
        <v>-0.97474130000000003</v>
      </c>
      <c r="S1568">
        <v>-1.0873870000000001</v>
      </c>
      <c r="T1568">
        <v>-0.2832808</v>
      </c>
      <c r="U1568">
        <v>-2.825348</v>
      </c>
      <c r="V1568">
        <v>0.13033710000000001</v>
      </c>
      <c r="W1568">
        <v>-7.7174530000000005E-2</v>
      </c>
      <c r="X1568">
        <v>0.98846160000000005</v>
      </c>
      <c r="Y1568">
        <v>0.2868578</v>
      </c>
      <c r="Z1568">
        <v>8.0372209999999999E-2</v>
      </c>
      <c r="AA1568">
        <v>0.95459570000000005</v>
      </c>
      <c r="AB1568">
        <v>24</v>
      </c>
      <c r="AC1568">
        <v>-4.2321999999999704</v>
      </c>
      <c r="AD1568">
        <v>-1.1078168968819999</v>
      </c>
      <c r="AE1568">
        <v>-10.8109</v>
      </c>
      <c r="AF1568">
        <v>3.3792091346957198</v>
      </c>
      <c r="AG1568">
        <v>-1.1078168968819999</v>
      </c>
      <c r="AH1568">
        <v>10.9975736179825</v>
      </c>
      <c r="AI1568">
        <v>95.500042716413205</v>
      </c>
      <c r="AJ1568">
        <v>72.9194503226568</v>
      </c>
      <c r="AK1568">
        <v>11.558241135050499</v>
      </c>
      <c r="AL1568">
        <v>94.426175936210996</v>
      </c>
      <c r="AM1568">
        <v>82.488396272844298</v>
      </c>
      <c r="AN1568">
        <v>1.0000000011958401</v>
      </c>
    </row>
    <row r="1569" spans="1:40" x14ac:dyDescent="0.25">
      <c r="A1569" t="str">
        <f>"20190305135223405"</f>
        <v>20190305135223405</v>
      </c>
      <c r="B1569" t="str">
        <f>"1551765143401450"</f>
        <v>1551765143401450</v>
      </c>
      <c r="C1569" t="s">
        <v>40</v>
      </c>
      <c r="D1569">
        <v>4.8829190000000002</v>
      </c>
      <c r="E1569">
        <v>0.56226100000000001</v>
      </c>
      <c r="F1569" t="s">
        <v>42</v>
      </c>
      <c r="G1569">
        <v>-195.6969</v>
      </c>
      <c r="H1569" s="1">
        <v>-1.823285E-6</v>
      </c>
      <c r="I1569">
        <v>300.30579999999998</v>
      </c>
      <c r="J1569">
        <v>-191.42670000000001</v>
      </c>
      <c r="K1569">
        <v>1.107836</v>
      </c>
      <c r="L1569">
        <v>311.1053</v>
      </c>
      <c r="M1569">
        <v>-7.7106610000000006E-2</v>
      </c>
      <c r="N1569">
        <v>-1.379946E-2</v>
      </c>
      <c r="O1569">
        <v>-0.99692740000000002</v>
      </c>
      <c r="P1569">
        <v>-0.20663129999999999</v>
      </c>
      <c r="Q1569">
        <v>-9.0828110000000004E-2</v>
      </c>
      <c r="R1569">
        <v>-0.974194</v>
      </c>
      <c r="S1569">
        <v>-1.098282</v>
      </c>
      <c r="T1569">
        <v>-0.28366960000000002</v>
      </c>
      <c r="U1569">
        <v>-2.8212280000000001</v>
      </c>
      <c r="V1569">
        <v>0.130607</v>
      </c>
      <c r="W1569">
        <v>-7.7677560000000007E-2</v>
      </c>
      <c r="X1569">
        <v>0.9883866</v>
      </c>
      <c r="Y1569">
        <v>0.28844959999999997</v>
      </c>
      <c r="Z1569">
        <v>8.0526280000000006E-2</v>
      </c>
      <c r="AA1569">
        <v>0.95410289999999998</v>
      </c>
      <c r="AB1569">
        <v>24</v>
      </c>
      <c r="AC1569">
        <v>-4.2701999999999796</v>
      </c>
      <c r="AD1569">
        <v>-1.1078378232849999</v>
      </c>
      <c r="AE1569">
        <v>-10.7995</v>
      </c>
      <c r="AF1569">
        <v>3.3938077176939001</v>
      </c>
      <c r="AG1569">
        <v>-1.1078378232849999</v>
      </c>
      <c r="AH1569">
        <v>10.9965618631851</v>
      </c>
      <c r="AI1569">
        <v>95.4985644575207</v>
      </c>
      <c r="AJ1569">
        <v>72.848495719297901</v>
      </c>
      <c r="AK1569">
        <v>11.5615573465791</v>
      </c>
      <c r="AL1569">
        <v>94.455084077351202</v>
      </c>
      <c r="AM1569">
        <v>82.472454925074501</v>
      </c>
      <c r="AN1569">
        <v>1.0000000314180499</v>
      </c>
    </row>
    <row r="1570" spans="1:40" x14ac:dyDescent="0.25">
      <c r="A1570" t="str">
        <f>"20190305135223428"</f>
        <v>20190305135223428</v>
      </c>
      <c r="B1570" t="str">
        <f>"1551765143420969"</f>
        <v>1551765143420969</v>
      </c>
      <c r="C1570" t="s">
        <v>40</v>
      </c>
      <c r="D1570">
        <v>4.8799199999999896</v>
      </c>
      <c r="E1570">
        <v>0.56234510000000004</v>
      </c>
      <c r="F1570" t="s">
        <v>42</v>
      </c>
      <c r="G1570">
        <v>-195.71180000000001</v>
      </c>
      <c r="H1570" s="1">
        <v>-1.7757420000000001E-6</v>
      </c>
      <c r="I1570">
        <v>300.18579999999997</v>
      </c>
      <c r="J1570">
        <v>-191.44829999999999</v>
      </c>
      <c r="K1570">
        <v>1.1078669999999999</v>
      </c>
      <c r="L1570">
        <v>310.86189999999999</v>
      </c>
      <c r="M1570">
        <v>-7.9476969999999994E-2</v>
      </c>
      <c r="N1570">
        <v>-1.3797780000000001E-2</v>
      </c>
      <c r="O1570">
        <v>-0.99674149999999995</v>
      </c>
      <c r="P1570">
        <v>-0.20856050000000001</v>
      </c>
      <c r="Q1570">
        <v>-9.1116150000000007E-2</v>
      </c>
      <c r="R1570">
        <v>-0.97375630000000002</v>
      </c>
      <c r="S1570">
        <v>-1.1059570000000001</v>
      </c>
      <c r="T1570">
        <v>-0.28592529999999999</v>
      </c>
      <c r="U1570">
        <v>-2.8182369999999999</v>
      </c>
      <c r="V1570">
        <v>0.1302218</v>
      </c>
      <c r="W1570">
        <v>-7.7955750000000004E-2</v>
      </c>
      <c r="X1570">
        <v>0.9884155</v>
      </c>
      <c r="Y1570">
        <v>0.28874529999999998</v>
      </c>
      <c r="Z1570">
        <v>8.1294309999999995E-2</v>
      </c>
      <c r="AA1570">
        <v>0.95394829999999997</v>
      </c>
      <c r="AB1570">
        <v>24</v>
      </c>
      <c r="AC1570">
        <v>-4.2635000000000201</v>
      </c>
      <c r="AD1570">
        <v>-1.107868775742</v>
      </c>
      <c r="AE1570">
        <v>-10.6761</v>
      </c>
      <c r="AF1570">
        <v>3.3701268345126398</v>
      </c>
      <c r="AG1570">
        <v>-1.107868775742</v>
      </c>
      <c r="AH1570">
        <v>10.880157184720399</v>
      </c>
      <c r="AI1570">
        <v>95.555426901808204</v>
      </c>
      <c r="AJ1570">
        <v>72.789641739075094</v>
      </c>
      <c r="AK1570">
        <v>11.443904424154701</v>
      </c>
      <c r="AL1570">
        <v>94.471071772330404</v>
      </c>
      <c r="AM1570">
        <v>82.494619428807994</v>
      </c>
      <c r="AN1570">
        <v>1.0000000083967699</v>
      </c>
    </row>
    <row r="1571" spans="1:40" x14ac:dyDescent="0.25">
      <c r="A1571" t="str">
        <f>"20190305135223449"</f>
        <v>20190305135223449</v>
      </c>
      <c r="B1571" t="str">
        <f>"1551765143441465"</f>
        <v>1551765143441465</v>
      </c>
      <c r="C1571" t="s">
        <v>40</v>
      </c>
      <c r="D1571">
        <v>4.8658109999999999</v>
      </c>
      <c r="E1571">
        <v>0.56247849999999999</v>
      </c>
      <c r="F1571" t="s">
        <v>42</v>
      </c>
      <c r="G1571">
        <v>-195.74359999999999</v>
      </c>
      <c r="H1571" s="1">
        <v>-1.699378E-6</v>
      </c>
      <c r="I1571">
        <v>299.98809999999997</v>
      </c>
      <c r="J1571">
        <v>-191.46889999999999</v>
      </c>
      <c r="K1571">
        <v>1.1078920000000001</v>
      </c>
      <c r="L1571">
        <v>310.63589999999999</v>
      </c>
      <c r="M1571">
        <v>-8.1646839999999998E-2</v>
      </c>
      <c r="N1571">
        <v>-1.3796060000000001E-2</v>
      </c>
      <c r="O1571">
        <v>-0.9965659</v>
      </c>
      <c r="P1571">
        <v>-0.20979719999999999</v>
      </c>
      <c r="Q1571">
        <v>-9.182469E-2</v>
      </c>
      <c r="R1571">
        <v>-0.97342379999999995</v>
      </c>
      <c r="S1571">
        <v>-1.1122590000000001</v>
      </c>
      <c r="T1571">
        <v>-0.28688160000000001</v>
      </c>
      <c r="U1571">
        <v>-2.8157649999999999</v>
      </c>
      <c r="V1571">
        <v>0.12933430000000001</v>
      </c>
      <c r="W1571">
        <v>-7.8653570000000006E-2</v>
      </c>
      <c r="X1571">
        <v>0.98847680000000004</v>
      </c>
      <c r="Y1571">
        <v>0.28878399999999999</v>
      </c>
      <c r="Z1571">
        <v>8.1631259999999997E-2</v>
      </c>
      <c r="AA1571">
        <v>0.95390779999999997</v>
      </c>
      <c r="AB1571">
        <v>24</v>
      </c>
      <c r="AC1571">
        <v>-4.2746999999999904</v>
      </c>
      <c r="AD1571">
        <v>-1.107893699378</v>
      </c>
      <c r="AE1571">
        <v>-10.6478</v>
      </c>
      <c r="AF1571">
        <v>3.3596596966443801</v>
      </c>
      <c r="AG1571">
        <v>-1.107893699378</v>
      </c>
      <c r="AH1571">
        <v>10.8600388912139</v>
      </c>
      <c r="AI1571">
        <v>95.566387605541905</v>
      </c>
      <c r="AJ1571">
        <v>72.810033514490797</v>
      </c>
      <c r="AK1571">
        <v>11.4216980543637</v>
      </c>
      <c r="AL1571">
        <v>94.511176803474896</v>
      </c>
      <c r="AM1571">
        <v>82.545650643601803</v>
      </c>
      <c r="AN1571">
        <v>1.00000006468423</v>
      </c>
    </row>
    <row r="1572" spans="1:40" x14ac:dyDescent="0.25">
      <c r="A1572" t="str">
        <f>"20190305135223472"</f>
        <v>20190305135223472</v>
      </c>
      <c r="B1572" t="str">
        <f>"1551765143460985"</f>
        <v>1551765143460985</v>
      </c>
      <c r="C1572" t="s">
        <v>40</v>
      </c>
      <c r="D1572">
        <v>4.898047</v>
      </c>
      <c r="E1572">
        <v>0.56254729999999997</v>
      </c>
      <c r="F1572" t="s">
        <v>42</v>
      </c>
      <c r="G1572">
        <v>-195.7747</v>
      </c>
      <c r="H1572" s="1">
        <v>-1.6212090000000001E-6</v>
      </c>
      <c r="I1572">
        <v>299.78660000000002</v>
      </c>
      <c r="J1572">
        <v>-191.49119999999999</v>
      </c>
      <c r="K1572">
        <v>1.1079190000000001</v>
      </c>
      <c r="L1572">
        <v>310.39699999999999</v>
      </c>
      <c r="M1572">
        <v>-8.3915050000000005E-2</v>
      </c>
      <c r="N1572">
        <v>-1.3794219999999999E-2</v>
      </c>
      <c r="O1572">
        <v>-0.99637759999999997</v>
      </c>
      <c r="P1572">
        <v>-0.2107443</v>
      </c>
      <c r="Q1572">
        <v>-9.1264390000000001E-2</v>
      </c>
      <c r="R1572">
        <v>-0.97327180000000002</v>
      </c>
      <c r="S1572">
        <v>-1.1168209999999901</v>
      </c>
      <c r="T1572">
        <v>-0.28736519999999999</v>
      </c>
      <c r="U1572">
        <v>-2.8140869999999998</v>
      </c>
      <c r="V1572">
        <v>0.12804949999999901</v>
      </c>
      <c r="W1572">
        <v>-7.8080590000000005E-2</v>
      </c>
      <c r="X1572">
        <v>0.98868940000000005</v>
      </c>
      <c r="Y1572">
        <v>0.28813169999999999</v>
      </c>
      <c r="Z1572">
        <v>8.1806500000000004E-2</v>
      </c>
      <c r="AA1572">
        <v>0.95409010000000005</v>
      </c>
      <c r="AB1572">
        <v>24</v>
      </c>
      <c r="AC1572">
        <v>-4.2835000000000001</v>
      </c>
      <c r="AD1572">
        <v>-1.107920621209</v>
      </c>
      <c r="AE1572">
        <v>-10.610399999999901</v>
      </c>
      <c r="AF1572">
        <v>3.3465573063915999</v>
      </c>
      <c r="AG1572">
        <v>-1.107920621209</v>
      </c>
      <c r="AH1572">
        <v>10.830911123376699</v>
      </c>
      <c r="AI1572">
        <v>95.581989026025397</v>
      </c>
      <c r="AJ1572">
        <v>72.8297889193868</v>
      </c>
      <c r="AK1572">
        <v>11.3901523111128</v>
      </c>
      <c r="AL1572">
        <v>94.478246522836699</v>
      </c>
      <c r="AM1572">
        <v>82.620450829436095</v>
      </c>
      <c r="AN1572">
        <v>0.99999999132867901</v>
      </c>
    </row>
    <row r="1573" spans="1:40" x14ac:dyDescent="0.25">
      <c r="A1573" t="str">
        <f>"20190305135223493"</f>
        <v>20190305135223493</v>
      </c>
      <c r="B1573" t="str">
        <f>"1551765143481485"</f>
        <v>1551765143481485</v>
      </c>
      <c r="C1573" t="s">
        <v>40</v>
      </c>
      <c r="D1573">
        <v>4.7387969999999999</v>
      </c>
      <c r="E1573">
        <v>0.56232760000000004</v>
      </c>
      <c r="F1573" t="s">
        <v>55</v>
      </c>
      <c r="G1573">
        <v>-195.82499999999999</v>
      </c>
      <c r="H1573" s="1">
        <v>1.8045770000000001E-8</v>
      </c>
      <c r="I1573">
        <v>299.51389999999998</v>
      </c>
      <c r="J1573">
        <v>-191.512</v>
      </c>
      <c r="K1573">
        <v>1.1079330000000001</v>
      </c>
      <c r="L1573">
        <v>310.1782</v>
      </c>
      <c r="M1573">
        <v>-8.5976060000000007E-2</v>
      </c>
      <c r="N1573">
        <v>-1.3792550000000001E-2</v>
      </c>
      <c r="O1573">
        <v>-0.99620160000000002</v>
      </c>
      <c r="P1573">
        <v>-0.21168890000000001</v>
      </c>
      <c r="Q1573">
        <v>-8.9755589999999996E-2</v>
      </c>
      <c r="R1573">
        <v>-0.97320680000000004</v>
      </c>
      <c r="S1573">
        <v>-1.1201779999999999</v>
      </c>
      <c r="T1573">
        <v>-0.28636929999999999</v>
      </c>
      <c r="U1573">
        <v>-2.8130190000000002</v>
      </c>
      <c r="V1573">
        <v>0.12696079999999901</v>
      </c>
      <c r="W1573">
        <v>-7.6561699999999996E-2</v>
      </c>
      <c r="X1573">
        <v>0.98894859999999896</v>
      </c>
      <c r="Y1573">
        <v>0.28726960000000001</v>
      </c>
      <c r="Z1573">
        <v>8.1487009999999999E-2</v>
      </c>
      <c r="AA1573">
        <v>0.95437729999999998</v>
      </c>
      <c r="AB1573">
        <v>23</v>
      </c>
      <c r="AC1573">
        <v>-4.3129999999999802</v>
      </c>
      <c r="AD1573">
        <v>-1.1079329819542201</v>
      </c>
      <c r="AE1573">
        <v>-10.664300000000001</v>
      </c>
      <c r="AF1573">
        <v>3.3489988986154802</v>
      </c>
      <c r="AG1573">
        <v>-1.1079329819542201</v>
      </c>
      <c r="AH1573">
        <v>10.894594133777501</v>
      </c>
      <c r="AI1573">
        <v>95.552082185058893</v>
      </c>
      <c r="AJ1573">
        <v>72.912568628968302</v>
      </c>
      <c r="AK1573">
        <v>11.4514405406119</v>
      </c>
      <c r="AL1573">
        <v>94.390959012885205</v>
      </c>
      <c r="AM1573">
        <v>82.684407300877794</v>
      </c>
      <c r="AN1573">
        <v>1.0000000360427399</v>
      </c>
    </row>
    <row r="1574" spans="1:40" x14ac:dyDescent="0.25">
      <c r="A1574" t="str">
        <f>"20190305135223528"</f>
        <v>20190305135223528</v>
      </c>
      <c r="B1574" t="str">
        <f>"1551765143521498"</f>
        <v>1551765143521498</v>
      </c>
      <c r="C1574" t="s">
        <v>40</v>
      </c>
      <c r="D1574">
        <v>4.7038919999999997</v>
      </c>
      <c r="E1574">
        <v>0.54376389999999997</v>
      </c>
      <c r="F1574" t="s">
        <v>55</v>
      </c>
      <c r="G1574">
        <v>-195.97329999999999</v>
      </c>
      <c r="H1574" s="1">
        <v>1.111936E-7</v>
      </c>
      <c r="I1574">
        <v>298.98500000000001</v>
      </c>
      <c r="J1574">
        <v>-191.547</v>
      </c>
      <c r="K1574">
        <v>1.1079589999999999</v>
      </c>
      <c r="L1574">
        <v>309.82029999999997</v>
      </c>
      <c r="M1574">
        <v>-8.9330510000000002E-2</v>
      </c>
      <c r="N1574">
        <v>-1.378981E-2</v>
      </c>
      <c r="O1574">
        <v>-0.99590670000000003</v>
      </c>
      <c r="P1574">
        <v>-0.21379809999999999</v>
      </c>
      <c r="Q1574">
        <v>-8.7010530000000003E-2</v>
      </c>
      <c r="R1574">
        <v>-0.97299519999999995</v>
      </c>
      <c r="S1574">
        <v>-1.1212009999999999</v>
      </c>
      <c r="T1574">
        <v>-0.27844170000000001</v>
      </c>
      <c r="U1574">
        <v>-2.8130489999999999</v>
      </c>
      <c r="V1574">
        <v>0.1257646</v>
      </c>
      <c r="W1574">
        <v>-7.3806590000000005E-2</v>
      </c>
      <c r="X1574">
        <v>0.98931080000000005</v>
      </c>
      <c r="Y1574">
        <v>0.28442410000000001</v>
      </c>
      <c r="Z1574">
        <v>7.8881190000000004E-2</v>
      </c>
      <c r="AA1574">
        <v>0.95544790000000002</v>
      </c>
      <c r="AB1574">
        <v>23</v>
      </c>
      <c r="AC1574">
        <v>-4.4262999999999897</v>
      </c>
      <c r="AD1574">
        <v>-1.10795888880639</v>
      </c>
      <c r="AE1574">
        <v>-10.835299999999901</v>
      </c>
      <c r="AF1574">
        <v>3.4100295533498</v>
      </c>
      <c r="AG1574">
        <v>-1.10795888880639</v>
      </c>
      <c r="AH1574">
        <v>11.088057544547</v>
      </c>
      <c r="AI1574">
        <v>95.455712092962997</v>
      </c>
      <c r="AJ1574">
        <v>72.905203874829496</v>
      </c>
      <c r="AK1574">
        <v>11.6533640879014</v>
      </c>
      <c r="AL1574">
        <v>94.232654877998201</v>
      </c>
      <c r="AM1574">
        <v>82.755222281937606</v>
      </c>
      <c r="AN1574">
        <v>1.00000000316861</v>
      </c>
    </row>
    <row r="1575" spans="1:40" x14ac:dyDescent="0.25">
      <c r="A1575" t="str">
        <f>"20190305135223549"</f>
        <v>20190305135223549</v>
      </c>
      <c r="B1575" t="str">
        <f>"1551765143541018"</f>
        <v>1551765143541018</v>
      </c>
      <c r="C1575" t="s">
        <v>40</v>
      </c>
      <c r="D1575">
        <v>4.720885</v>
      </c>
      <c r="E1575">
        <v>0.54457690000000003</v>
      </c>
      <c r="F1575" t="s">
        <v>55</v>
      </c>
      <c r="G1575">
        <v>-198.1395</v>
      </c>
      <c r="H1575" s="1">
        <v>1.7392410000000001E-6</v>
      </c>
      <c r="I1575">
        <v>290.65640000000002</v>
      </c>
      <c r="J1575">
        <v>-191.5711</v>
      </c>
      <c r="K1575">
        <v>1.1079600000000001</v>
      </c>
      <c r="L1575">
        <v>309.5813</v>
      </c>
      <c r="M1575">
        <v>-9.1568369999999996E-2</v>
      </c>
      <c r="N1575">
        <v>-1.3787870000000001E-2</v>
      </c>
      <c r="O1575">
        <v>-0.99570340000000002</v>
      </c>
      <c r="P1575">
        <v>-0.2157268</v>
      </c>
      <c r="Q1575">
        <v>-8.6163450000000003E-2</v>
      </c>
      <c r="R1575">
        <v>-0.97264510000000004</v>
      </c>
      <c r="S1575">
        <v>-0.98139949999999998</v>
      </c>
      <c r="T1575">
        <v>-0.1649389</v>
      </c>
      <c r="U1575">
        <v>-2.852875</v>
      </c>
      <c r="V1575">
        <v>0.12549939999999901</v>
      </c>
      <c r="W1575">
        <v>-7.2958399999999896E-2</v>
      </c>
      <c r="X1575">
        <v>0.98940740000000005</v>
      </c>
      <c r="Y1575">
        <v>0.23694370000000001</v>
      </c>
      <c r="Z1575">
        <v>4.1398539999999998E-2</v>
      </c>
      <c r="AA1575">
        <v>0.97064099999999998</v>
      </c>
      <c r="AB1575">
        <v>23</v>
      </c>
      <c r="AC1575">
        <v>-6.5683999999999898</v>
      </c>
      <c r="AD1575">
        <v>-1.1079582607589999</v>
      </c>
      <c r="AE1575">
        <v>-18.924899999999901</v>
      </c>
      <c r="AF1575">
        <v>4.79305062000366</v>
      </c>
      <c r="AG1575">
        <v>-1.1079582607589999</v>
      </c>
      <c r="AH1575">
        <v>19.387585229515601</v>
      </c>
      <c r="AI1575">
        <v>93.1753770228148</v>
      </c>
      <c r="AJ1575">
        <v>76.113622770912301</v>
      </c>
      <c r="AK1575">
        <v>20.001984071217301</v>
      </c>
      <c r="AL1575">
        <v>94.183925738420896</v>
      </c>
      <c r="AM1575">
        <v>82.771035939576606</v>
      </c>
      <c r="AN1575">
        <v>1.0000000153528299</v>
      </c>
    </row>
    <row r="1576" spans="1:40" x14ac:dyDescent="0.25">
      <c r="A1576" t="str">
        <f>"20190305135223573"</f>
        <v>20190305135223573</v>
      </c>
      <c r="B1576" t="str">
        <f>"1551765143571274"</f>
        <v>1551765143571274</v>
      </c>
      <c r="C1576" t="s">
        <v>40</v>
      </c>
      <c r="D1576">
        <v>4.6944239999999997</v>
      </c>
      <c r="E1576">
        <v>0.54553769999999902</v>
      </c>
      <c r="F1576" t="s">
        <v>55</v>
      </c>
      <c r="G1576">
        <v>-198.4933</v>
      </c>
      <c r="H1576" s="1">
        <v>1.9831059999999999E-6</v>
      </c>
      <c r="I1576">
        <v>289.72329999999999</v>
      </c>
      <c r="J1576">
        <v>-191.5959</v>
      </c>
      <c r="K1576">
        <v>1.107952</v>
      </c>
      <c r="L1576">
        <v>309.34120000000001</v>
      </c>
      <c r="M1576">
        <v>-9.3823539999999997E-2</v>
      </c>
      <c r="N1576">
        <v>-1.378588E-2</v>
      </c>
      <c r="O1576">
        <v>-0.99549350000000003</v>
      </c>
      <c r="P1576">
        <v>-0.2176815</v>
      </c>
      <c r="Q1576">
        <v>-8.6958800000000003E-2</v>
      </c>
      <c r="R1576">
        <v>-0.97213850000000002</v>
      </c>
      <c r="S1576">
        <v>-0.99343870000000001</v>
      </c>
      <c r="T1576">
        <v>-0.1590097</v>
      </c>
      <c r="U1576">
        <v>-2.849945</v>
      </c>
      <c r="V1576">
        <v>0.12525149999999999</v>
      </c>
      <c r="W1576">
        <v>-7.3755000000000001E-2</v>
      </c>
      <c r="X1576">
        <v>0.98937980000000003</v>
      </c>
      <c r="Y1576">
        <v>0.23873929999999999</v>
      </c>
      <c r="Z1576">
        <v>3.94242E-2</v>
      </c>
      <c r="AA1576">
        <v>0.97028309999999995</v>
      </c>
      <c r="AB1576">
        <v>23</v>
      </c>
      <c r="AC1576">
        <v>-6.8974000000000002</v>
      </c>
      <c r="AD1576">
        <v>-1.107950016894</v>
      </c>
      <c r="AE1576">
        <v>-19.617899999999999</v>
      </c>
      <c r="AF1576">
        <v>5.0119457620491898</v>
      </c>
      <c r="AG1576">
        <v>-1.107950016894</v>
      </c>
      <c r="AH1576">
        <v>20.121427257526101</v>
      </c>
      <c r="AI1576">
        <v>93.058441157861907</v>
      </c>
      <c r="AJ1576">
        <v>76.013108778598493</v>
      </c>
      <c r="AK1576">
        <v>20.7658129732879</v>
      </c>
      <c r="AL1576">
        <v>94.229690654908495</v>
      </c>
      <c r="AM1576">
        <v>82.784965609528797</v>
      </c>
      <c r="AN1576">
        <v>1.00000006346264</v>
      </c>
    </row>
    <row r="1577" spans="1:40" x14ac:dyDescent="0.25">
      <c r="A1577" t="str">
        <f>"20190305135223597"</f>
        <v>20190305135223597</v>
      </c>
      <c r="B1577" t="str">
        <f>"1551765143590794"</f>
        <v>1551765143590794</v>
      </c>
      <c r="C1577" t="s">
        <v>40</v>
      </c>
      <c r="D1577">
        <v>4.6906410000000003</v>
      </c>
      <c r="E1577">
        <v>0.54579140000000004</v>
      </c>
      <c r="F1577" t="s">
        <v>55</v>
      </c>
      <c r="G1577">
        <v>-198.2688</v>
      </c>
      <c r="H1577" s="1">
        <v>1.7594489999999999E-6</v>
      </c>
      <c r="I1577">
        <v>290.47649999999999</v>
      </c>
      <c r="J1577">
        <v>-191.62200000000001</v>
      </c>
      <c r="K1577">
        <v>1.107944</v>
      </c>
      <c r="L1577">
        <v>309.09339999999997</v>
      </c>
      <c r="M1577">
        <v>-9.6157900000000004E-2</v>
      </c>
      <c r="N1577">
        <v>-1.378383E-2</v>
      </c>
      <c r="O1577">
        <v>-0.99527069999999995</v>
      </c>
      <c r="P1577">
        <v>-0.21958549999999999</v>
      </c>
      <c r="Q1577">
        <v>-8.8477529999999999E-2</v>
      </c>
      <c r="R1577">
        <v>-0.97157300000000002</v>
      </c>
      <c r="S1577">
        <v>-1.0065770000000001</v>
      </c>
      <c r="T1577">
        <v>-0.16712929999999901</v>
      </c>
      <c r="U1577">
        <v>-2.8456419999999998</v>
      </c>
      <c r="V1577">
        <v>0.124878</v>
      </c>
      <c r="W1577">
        <v>-7.5275149999999999E-2</v>
      </c>
      <c r="X1577">
        <v>0.98931250000000004</v>
      </c>
      <c r="Y1577">
        <v>0.2408624</v>
      </c>
      <c r="Z1577">
        <v>4.2137510000000003E-2</v>
      </c>
      <c r="AA1577">
        <v>0.96964410000000001</v>
      </c>
      <c r="AB1577">
        <v>23</v>
      </c>
      <c r="AC1577">
        <v>-6.6467999999999803</v>
      </c>
      <c r="AD1577">
        <v>-1.107942240551</v>
      </c>
      <c r="AE1577">
        <v>-18.616899999999902</v>
      </c>
      <c r="AF1577">
        <v>4.8105499311499598</v>
      </c>
      <c r="AG1577">
        <v>-1.107942240551</v>
      </c>
      <c r="AH1577">
        <v>19.109787367585099</v>
      </c>
      <c r="AI1577">
        <v>93.217991428849999</v>
      </c>
      <c r="AJ1577">
        <v>75.870381878976701</v>
      </c>
      <c r="AK1577">
        <v>19.7370945147151</v>
      </c>
      <c r="AL1577">
        <v>94.317031744027105</v>
      </c>
      <c r="AM1577">
        <v>82.805770872188305</v>
      </c>
      <c r="AN1577">
        <v>1.00000004287388</v>
      </c>
    </row>
    <row r="1578" spans="1:40" x14ac:dyDescent="0.25">
      <c r="A1578" t="str">
        <f>"20190305135223617"</f>
        <v>20190305135223617</v>
      </c>
      <c r="B1578" t="str">
        <f>"1551765143611290"</f>
        <v>1551765143611290</v>
      </c>
      <c r="C1578" t="s">
        <v>40</v>
      </c>
      <c r="D1578">
        <v>4.6692359999999997</v>
      </c>
      <c r="E1578">
        <v>0.54628690000000002</v>
      </c>
      <c r="F1578" t="s">
        <v>55</v>
      </c>
      <c r="G1578">
        <v>-198.08940000000001</v>
      </c>
      <c r="H1578" s="1">
        <v>1.689112E-6</v>
      </c>
      <c r="I1578">
        <v>290.96620000000001</v>
      </c>
      <c r="J1578">
        <v>-191.64400000000001</v>
      </c>
      <c r="K1578">
        <v>1.107931</v>
      </c>
      <c r="L1578">
        <v>308.8886</v>
      </c>
      <c r="M1578">
        <v>-9.8092040000000005E-2</v>
      </c>
      <c r="N1578">
        <v>-1.37821E-2</v>
      </c>
      <c r="O1578">
        <v>-0.99508220000000003</v>
      </c>
      <c r="P1578">
        <v>-0.22172230000000001</v>
      </c>
      <c r="Q1578">
        <v>-9.0151060000000005E-2</v>
      </c>
      <c r="R1578">
        <v>-0.97093390000000002</v>
      </c>
      <c r="S1578">
        <v>-1.0142519999999999</v>
      </c>
      <c r="T1578">
        <v>-0.1737523</v>
      </c>
      <c r="U1578">
        <v>-2.8427730000000002</v>
      </c>
      <c r="V1578">
        <v>0.125141</v>
      </c>
      <c r="W1578">
        <v>-7.6953309999999997E-2</v>
      </c>
      <c r="X1578">
        <v>0.98915010000000003</v>
      </c>
      <c r="Y1578">
        <v>0.24157210000000001</v>
      </c>
      <c r="Z1578">
        <v>4.4353879999999998E-2</v>
      </c>
      <c r="AA1578">
        <v>0.96936869999999997</v>
      </c>
      <c r="AB1578">
        <v>23</v>
      </c>
      <c r="AC1578">
        <v>-6.4454000000000002</v>
      </c>
      <c r="AD1578">
        <v>-1.107929310888</v>
      </c>
      <c r="AE1578">
        <v>-17.9223999999999</v>
      </c>
      <c r="AF1578">
        <v>4.6403965455826404</v>
      </c>
      <c r="AG1578">
        <v>-1.107929310888</v>
      </c>
      <c r="AH1578">
        <v>18.405969498751599</v>
      </c>
      <c r="AI1578">
        <v>93.340429167881993</v>
      </c>
      <c r="AJ1578">
        <v>75.849832682486607</v>
      </c>
      <c r="AK1578">
        <v>19.014218381178701</v>
      </c>
      <c r="AL1578">
        <v>94.413463158590901</v>
      </c>
      <c r="AM1578">
        <v>82.789607509280899</v>
      </c>
      <c r="AN1578">
        <v>1.0000000010654799</v>
      </c>
    </row>
    <row r="1579" spans="1:40" x14ac:dyDescent="0.25">
      <c r="A1579" t="str">
        <f>"20190305135223640"</f>
        <v>20190305135223640</v>
      </c>
      <c r="B1579" t="str">
        <f>"1551765143631009"</f>
        <v>1551765143631009</v>
      </c>
      <c r="C1579" t="s">
        <v>40</v>
      </c>
      <c r="D1579">
        <v>4.6762759999999997</v>
      </c>
      <c r="E1579">
        <v>0.54684279999999996</v>
      </c>
      <c r="F1579" t="s">
        <v>55</v>
      </c>
      <c r="G1579">
        <v>-198.0915</v>
      </c>
      <c r="H1579" s="1">
        <v>1.6803410000000001E-6</v>
      </c>
      <c r="I1579">
        <v>291.01499999999999</v>
      </c>
      <c r="J1579">
        <v>-191.6705</v>
      </c>
      <c r="K1579">
        <v>1.1079289999999999</v>
      </c>
      <c r="L1579">
        <v>308.6472</v>
      </c>
      <c r="M1579">
        <v>-0.100378</v>
      </c>
      <c r="N1579">
        <v>-1.3779899999999999E-2</v>
      </c>
      <c r="O1579">
        <v>-0.99485409999999996</v>
      </c>
      <c r="P1579">
        <v>-0.22395419999999999</v>
      </c>
      <c r="Q1579">
        <v>-9.1374339999999998E-2</v>
      </c>
      <c r="R1579">
        <v>-0.97030700000000003</v>
      </c>
      <c r="S1579">
        <v>-1.0243070000000001</v>
      </c>
      <c r="T1579">
        <v>-0.17601600000000001</v>
      </c>
      <c r="U1579">
        <v>-2.839569</v>
      </c>
      <c r="V1579">
        <v>0.12515029999999999</v>
      </c>
      <c r="W1579">
        <v>-7.8179810000000002E-2</v>
      </c>
      <c r="X1579">
        <v>0.98905270000000001</v>
      </c>
      <c r="Y1579">
        <v>0.2427164</v>
      </c>
      <c r="Z1579">
        <v>4.5115250000000003E-2</v>
      </c>
      <c r="AA1579">
        <v>0.96904769999999896</v>
      </c>
      <c r="AB1579">
        <v>23</v>
      </c>
      <c r="AC1579">
        <v>-6.4209999999999896</v>
      </c>
      <c r="AD1579">
        <v>-1.107927319659</v>
      </c>
      <c r="AE1579">
        <v>-17.632200000000001</v>
      </c>
      <c r="AF1579">
        <v>4.6024668116562202</v>
      </c>
      <c r="AG1579">
        <v>-1.107927319659</v>
      </c>
      <c r="AH1579">
        <v>18.124535552949698</v>
      </c>
      <c r="AI1579">
        <v>93.390706343568198</v>
      </c>
      <c r="AJ1579">
        <v>75.751718944008502</v>
      </c>
      <c r="AK1579">
        <v>18.7325650328027</v>
      </c>
      <c r="AL1579">
        <v>94.483948973728602</v>
      </c>
      <c r="AM1579">
        <v>82.788374658880002</v>
      </c>
      <c r="AN1579">
        <v>0.99999996182950701</v>
      </c>
    </row>
    <row r="1580" spans="1:40" x14ac:dyDescent="0.25">
      <c r="A1580" t="str">
        <f>"20190305135223663"</f>
        <v>20190305135223663</v>
      </c>
      <c r="B1580" t="str">
        <f>"1551765143661265"</f>
        <v>1551765143661265</v>
      </c>
      <c r="C1580" t="s">
        <v>40</v>
      </c>
      <c r="D1580">
        <v>4.6963759999999999</v>
      </c>
      <c r="E1580">
        <v>0.54779419999999901</v>
      </c>
      <c r="F1580" t="s">
        <v>55</v>
      </c>
      <c r="G1580">
        <v>-198.00909999999999</v>
      </c>
      <c r="H1580" s="1">
        <v>1.6407499999999999E-6</v>
      </c>
      <c r="I1580">
        <v>291.28129999999999</v>
      </c>
      <c r="J1580">
        <v>-191.6977</v>
      </c>
      <c r="K1580">
        <v>1.1079289999999999</v>
      </c>
      <c r="L1580">
        <v>308.4042</v>
      </c>
      <c r="M1580">
        <v>-0.10268090000000001</v>
      </c>
      <c r="N1580">
        <v>-1.3777569999999999E-2</v>
      </c>
      <c r="O1580">
        <v>-0.99461900000000003</v>
      </c>
      <c r="P1580">
        <v>-0.22627410000000001</v>
      </c>
      <c r="Q1580">
        <v>-9.1660859999999997E-2</v>
      </c>
      <c r="R1580">
        <v>-0.96974150000000003</v>
      </c>
      <c r="S1580">
        <v>-1.03511</v>
      </c>
      <c r="T1580">
        <v>-0.18092849999999999</v>
      </c>
      <c r="U1580">
        <v>-2.8359070000000002</v>
      </c>
      <c r="V1580">
        <v>0.12522809999999901</v>
      </c>
      <c r="W1580">
        <v>-7.8468819999999995E-2</v>
      </c>
      <c r="X1580">
        <v>0.98902000000000001</v>
      </c>
      <c r="Y1580">
        <v>0.24410219999999999</v>
      </c>
      <c r="Z1580">
        <v>4.676023E-2</v>
      </c>
      <c r="AA1580">
        <v>0.96862150000000002</v>
      </c>
      <c r="AB1580">
        <v>23</v>
      </c>
      <c r="AC1580">
        <v>-6.3113999999999901</v>
      </c>
      <c r="AD1580">
        <v>-1.1079273592500001</v>
      </c>
      <c r="AE1580">
        <v>-17.122900000000001</v>
      </c>
      <c r="AF1580">
        <v>4.50307439241592</v>
      </c>
      <c r="AG1580">
        <v>-1.1079273592500001</v>
      </c>
      <c r="AH1580">
        <v>17.6155697111117</v>
      </c>
      <c r="AI1580">
        <v>93.487024844272</v>
      </c>
      <c r="AJ1580">
        <v>75.660541530394894</v>
      </c>
      <c r="AK1580">
        <v>18.215748084117799</v>
      </c>
      <c r="AL1580">
        <v>94.500558898281</v>
      </c>
      <c r="AM1580">
        <v>82.783702706633306</v>
      </c>
      <c r="AN1580">
        <v>0.999999996570901</v>
      </c>
    </row>
    <row r="1581" spans="1:40" x14ac:dyDescent="0.25">
      <c r="A1581" t="str">
        <f>"20190305135223683"</f>
        <v>20190305135223683</v>
      </c>
      <c r="B1581" t="str">
        <f>"1551765143680784"</f>
        <v>1551765143680784</v>
      </c>
      <c r="C1581" t="s">
        <v>40</v>
      </c>
      <c r="D1581">
        <v>4.7001660000000003</v>
      </c>
      <c r="E1581">
        <v>0.54830239999999997</v>
      </c>
      <c r="F1581" t="s">
        <v>55</v>
      </c>
      <c r="G1581">
        <v>-198.1026</v>
      </c>
      <c r="H1581" s="1">
        <v>1.6615680000000001E-6</v>
      </c>
      <c r="I1581">
        <v>291.11599999999999</v>
      </c>
      <c r="J1581">
        <v>-191.7216</v>
      </c>
      <c r="K1581">
        <v>1.107944</v>
      </c>
      <c r="L1581">
        <v>308.19529999999997</v>
      </c>
      <c r="M1581">
        <v>-0.1046618</v>
      </c>
      <c r="N1581">
        <v>-1.3775600000000001E-2</v>
      </c>
      <c r="O1581">
        <v>-0.99441250000000003</v>
      </c>
      <c r="P1581">
        <v>-0.2277641</v>
      </c>
      <c r="Q1581">
        <v>-9.1455270000000005E-2</v>
      </c>
      <c r="R1581">
        <v>-0.96941200000000005</v>
      </c>
      <c r="S1581">
        <v>-1.049072</v>
      </c>
      <c r="T1581">
        <v>-0.1814692</v>
      </c>
      <c r="U1581">
        <v>-2.8316650000000001</v>
      </c>
      <c r="V1581">
        <v>0.124777399999999</v>
      </c>
      <c r="W1581">
        <v>-7.8262070000000003E-2</v>
      </c>
      <c r="X1581">
        <v>0.98909340000000001</v>
      </c>
      <c r="Y1581">
        <v>0.24683869999999999</v>
      </c>
      <c r="Z1581">
        <v>4.694475E-2</v>
      </c>
      <c r="AA1581">
        <v>0.96791879999999997</v>
      </c>
      <c r="AB1581">
        <v>23</v>
      </c>
      <c r="AC1581">
        <v>-6.3810000000000002</v>
      </c>
      <c r="AD1581">
        <v>-1.107942338432</v>
      </c>
      <c r="AE1581">
        <v>-17.0792999999999</v>
      </c>
      <c r="AF1581">
        <v>4.54145784111636</v>
      </c>
      <c r="AG1581">
        <v>-1.107942338432</v>
      </c>
      <c r="AH1581">
        <v>17.588441373537499</v>
      </c>
      <c r="AI1581">
        <v>93.490274299868204</v>
      </c>
      <c r="AJ1581">
        <v>75.522054741601195</v>
      </c>
      <c r="AK1581">
        <v>18.199056170535101</v>
      </c>
      <c r="AL1581">
        <v>94.488676201988696</v>
      </c>
      <c r="AM1581">
        <v>82.809930089707095</v>
      </c>
      <c r="AN1581">
        <v>1.0000000525374999</v>
      </c>
    </row>
    <row r="1582" spans="1:40" x14ac:dyDescent="0.25">
      <c r="A1582" t="str">
        <f>"20190305135223707"</f>
        <v>20190305135223707</v>
      </c>
      <c r="B1582" t="str">
        <f>"1551765143701281"</f>
        <v>1551765143701281</v>
      </c>
      <c r="C1582" t="s">
        <v>40</v>
      </c>
      <c r="D1582">
        <v>4.6849499999999997</v>
      </c>
      <c r="E1582">
        <v>0.54857599999999995</v>
      </c>
      <c r="F1582" t="s">
        <v>55</v>
      </c>
      <c r="G1582">
        <v>-198.2131</v>
      </c>
      <c r="H1582" s="1">
        <v>1.703051E-6</v>
      </c>
      <c r="I1582">
        <v>290.82479999999998</v>
      </c>
      <c r="J1582">
        <v>-191.74879999999999</v>
      </c>
      <c r="K1582">
        <v>1.1079589999999999</v>
      </c>
      <c r="L1582">
        <v>307.9615</v>
      </c>
      <c r="M1582">
        <v>-0.106877</v>
      </c>
      <c r="N1582">
        <v>-1.377342E-2</v>
      </c>
      <c r="O1582">
        <v>-0.99417679999999997</v>
      </c>
      <c r="P1582">
        <v>-0.22985420000000001</v>
      </c>
      <c r="Q1582">
        <v>-9.0154659999999998E-2</v>
      </c>
      <c r="R1582">
        <v>-0.96904029999999997</v>
      </c>
      <c r="S1582">
        <v>-1.0572969999999999</v>
      </c>
      <c r="T1582">
        <v>-0.18045629999999999</v>
      </c>
      <c r="U1582">
        <v>-2.829224</v>
      </c>
      <c r="V1582">
        <v>0.1246992</v>
      </c>
      <c r="W1582">
        <v>-7.6960470000000003E-2</v>
      </c>
      <c r="X1582">
        <v>0.98920540000000001</v>
      </c>
      <c r="Y1582">
        <v>0.24742910000000001</v>
      </c>
      <c r="Z1582">
        <v>4.6610970000000002E-2</v>
      </c>
      <c r="AA1582">
        <v>0.96778419999999998</v>
      </c>
      <c r="AB1582">
        <v>23</v>
      </c>
      <c r="AC1582">
        <v>-6.4642999999999997</v>
      </c>
      <c r="AD1582">
        <v>-1.1079572969489999</v>
      </c>
      <c r="AE1582">
        <v>-17.136700000000001</v>
      </c>
      <c r="AF1582">
        <v>4.5788182692232002</v>
      </c>
      <c r="AG1582">
        <v>-1.1079572969489999</v>
      </c>
      <c r="AH1582">
        <v>17.664833909552002</v>
      </c>
      <c r="AI1582">
        <v>93.474425191835707</v>
      </c>
      <c r="AJ1582">
        <v>75.468442800896</v>
      </c>
      <c r="AK1582">
        <v>18.282218223358299</v>
      </c>
      <c r="AL1582">
        <v>94.413874338661699</v>
      </c>
      <c r="AM1582">
        <v>82.815194174693104</v>
      </c>
      <c r="AN1582">
        <v>1.0000000639062001</v>
      </c>
    </row>
    <row r="1583" spans="1:40" x14ac:dyDescent="0.25">
      <c r="A1583" t="str">
        <f>"20190305135223728"</f>
        <v>20190305135223728</v>
      </c>
      <c r="B1583" t="str">
        <f>"1551765143720801"</f>
        <v>1551765143720801</v>
      </c>
      <c r="C1583" t="s">
        <v>40</v>
      </c>
      <c r="D1583">
        <v>4.6818559999999998</v>
      </c>
      <c r="E1583">
        <v>0.54895479999999997</v>
      </c>
      <c r="F1583" t="s">
        <v>55</v>
      </c>
      <c r="G1583">
        <v>-198.398</v>
      </c>
      <c r="H1583" s="1">
        <v>1.7872E-6</v>
      </c>
      <c r="I1583">
        <v>290.32530000000003</v>
      </c>
      <c r="J1583">
        <v>-191.7749</v>
      </c>
      <c r="K1583">
        <v>1.10796299999999</v>
      </c>
      <c r="L1583">
        <v>307.74200000000002</v>
      </c>
      <c r="M1583">
        <v>-0.1089487</v>
      </c>
      <c r="N1583">
        <v>-1.3771139999999999E-2</v>
      </c>
      <c r="O1583">
        <v>-0.99395239999999996</v>
      </c>
      <c r="P1583">
        <v>-0.2324494</v>
      </c>
      <c r="Q1583">
        <v>-8.9007039999999996E-2</v>
      </c>
      <c r="R1583">
        <v>-0.9685279</v>
      </c>
      <c r="S1583">
        <v>-1.0656589999999999</v>
      </c>
      <c r="T1583">
        <v>-0.1775719</v>
      </c>
      <c r="U1583">
        <v>-2.8265380000000002</v>
      </c>
      <c r="V1583">
        <v>0.12528030000000001</v>
      </c>
      <c r="W1583">
        <v>-7.5814950000000006E-2</v>
      </c>
      <c r="X1583">
        <v>0.9892204</v>
      </c>
      <c r="Y1583">
        <v>0.2482374</v>
      </c>
      <c r="Z1583">
        <v>4.5659020000000002E-2</v>
      </c>
      <c r="AA1583">
        <v>0.9676226</v>
      </c>
      <c r="AB1583">
        <v>23</v>
      </c>
      <c r="AC1583">
        <v>-6.6230999999999902</v>
      </c>
      <c r="AD1583">
        <v>-1.10796121279999</v>
      </c>
      <c r="AE1583">
        <v>-17.416699999999899</v>
      </c>
      <c r="AF1583">
        <v>4.6694524830284196</v>
      </c>
      <c r="AG1583">
        <v>-1.10796121279999</v>
      </c>
      <c r="AH1583">
        <v>17.971113193250201</v>
      </c>
      <c r="AI1583">
        <v>93.414846101533797</v>
      </c>
      <c r="AJ1583">
        <v>75.434853528685395</v>
      </c>
      <c r="AK1583">
        <v>18.6008675589323</v>
      </c>
      <c r="AL1583">
        <v>94.348048695166796</v>
      </c>
      <c r="AM1583">
        <v>82.782173481797201</v>
      </c>
      <c r="AN1583">
        <v>1.0000000299938701</v>
      </c>
    </row>
    <row r="1584" spans="1:40" x14ac:dyDescent="0.25">
      <c r="A1584" t="str">
        <f>"20190305135223751"</f>
        <v>20190305135223751</v>
      </c>
      <c r="B1584" t="str">
        <f>"1551765143740832"</f>
        <v>1551765143740832</v>
      </c>
      <c r="C1584" t="s">
        <v>40</v>
      </c>
      <c r="D1584">
        <v>4.6793420000000001</v>
      </c>
      <c r="E1584">
        <v>0.54926260000000005</v>
      </c>
      <c r="F1584" t="s">
        <v>55</v>
      </c>
      <c r="G1584">
        <v>-198.65799999999999</v>
      </c>
      <c r="H1584" s="1">
        <v>1.9680839999999998E-6</v>
      </c>
      <c r="I1584">
        <v>289.6832</v>
      </c>
      <c r="J1584">
        <v>-191.80439999999999</v>
      </c>
      <c r="K1584">
        <v>1.1079749999999999</v>
      </c>
      <c r="L1584">
        <v>307.49770000000001</v>
      </c>
      <c r="M1584">
        <v>-0.111249</v>
      </c>
      <c r="N1584">
        <v>-1.376865E-2</v>
      </c>
      <c r="O1584">
        <v>-0.99369739999999995</v>
      </c>
      <c r="P1584">
        <v>-0.23529949999999999</v>
      </c>
      <c r="Q1584">
        <v>-8.8411340000000005E-2</v>
      </c>
      <c r="R1584">
        <v>-0.96789369999999997</v>
      </c>
      <c r="S1584">
        <v>-1.0760959999999999</v>
      </c>
      <c r="T1584">
        <v>-0.17321739999999999</v>
      </c>
      <c r="U1584">
        <v>-2.8233030000000001</v>
      </c>
      <c r="V1584">
        <v>0.12589939999999999</v>
      </c>
      <c r="W1584">
        <v>-7.5221609999999994E-2</v>
      </c>
      <c r="X1584">
        <v>0.98918709999999999</v>
      </c>
      <c r="Y1584">
        <v>0.24951319999999999</v>
      </c>
      <c r="Z1584">
        <v>4.4216909999999998E-2</v>
      </c>
      <c r="AA1584">
        <v>0.96736140000000004</v>
      </c>
      <c r="AB1584">
        <v>23</v>
      </c>
      <c r="AC1584">
        <v>-6.8536000000000001</v>
      </c>
      <c r="AD1584">
        <v>-1.1079730319159999</v>
      </c>
      <c r="AE1584">
        <v>-17.814499999999999</v>
      </c>
      <c r="AF1584">
        <v>4.8127991553724803</v>
      </c>
      <c r="AG1584">
        <v>-1.1079730319159999</v>
      </c>
      <c r="AH1584">
        <v>18.404411230575601</v>
      </c>
      <c r="AI1584">
        <v>93.3333118060239</v>
      </c>
      <c r="AJ1584">
        <v>75.345178573243402</v>
      </c>
      <c r="AK1584">
        <v>19.0555239417221</v>
      </c>
      <c r="AL1584">
        <v>94.313955443781097</v>
      </c>
      <c r="AM1584">
        <v>82.746642370768797</v>
      </c>
      <c r="AN1584">
        <v>1.0000000341688799</v>
      </c>
    </row>
    <row r="1585" spans="1:40" x14ac:dyDescent="0.25">
      <c r="A1585" t="str">
        <f>"20190305135223774"</f>
        <v>20190305135223774</v>
      </c>
      <c r="B1585" t="str">
        <f>"1551765143771084"</f>
        <v>1551765143771084</v>
      </c>
      <c r="C1585" t="s">
        <v>40</v>
      </c>
      <c r="D1585">
        <v>4.7355460000000003</v>
      </c>
      <c r="E1585">
        <v>0.54970419999999998</v>
      </c>
      <c r="F1585" t="s">
        <v>55</v>
      </c>
      <c r="G1585">
        <v>-198.83430000000001</v>
      </c>
      <c r="H1585" s="1">
        <v>1.9914900000000001E-6</v>
      </c>
      <c r="I1585">
        <v>289.26100000000002</v>
      </c>
      <c r="J1585">
        <v>-191.833</v>
      </c>
      <c r="K1585">
        <v>1.107982</v>
      </c>
      <c r="L1585">
        <v>307.26510000000002</v>
      </c>
      <c r="M1585">
        <v>-0.1134336</v>
      </c>
      <c r="N1585">
        <v>-1.376615E-2</v>
      </c>
      <c r="O1585">
        <v>-0.99345039999999996</v>
      </c>
      <c r="P1585">
        <v>-0.2388121</v>
      </c>
      <c r="Q1585">
        <v>-8.8450630000000002E-2</v>
      </c>
      <c r="R1585">
        <v>-0.96702929999999998</v>
      </c>
      <c r="S1585">
        <v>-1.086929</v>
      </c>
      <c r="T1585">
        <v>-0.17130960000000001</v>
      </c>
      <c r="U1585">
        <v>-2.8196720000000002</v>
      </c>
      <c r="V1585">
        <v>0.12731609999999999</v>
      </c>
      <c r="W1585">
        <v>-7.5268039999999994E-2</v>
      </c>
      <c r="X1585">
        <v>0.98900220000000005</v>
      </c>
      <c r="Y1585">
        <v>0.25104890000000002</v>
      </c>
      <c r="Z1585">
        <v>4.3591770000000002E-2</v>
      </c>
      <c r="AA1585">
        <v>0.96699239999999997</v>
      </c>
      <c r="AB1585">
        <v>23</v>
      </c>
      <c r="AC1585">
        <v>-7.0013000000000103</v>
      </c>
      <c r="AD1585">
        <v>-1.10798000851</v>
      </c>
      <c r="AE1585">
        <v>-18.004100000000001</v>
      </c>
      <c r="AF1585">
        <v>4.8975274587563797</v>
      </c>
      <c r="AG1585">
        <v>-1.10798000851</v>
      </c>
      <c r="AH1585">
        <v>18.620871800944201</v>
      </c>
      <c r="AI1585">
        <v>93.293451785618004</v>
      </c>
      <c r="AJ1585">
        <v>75.264212825119898</v>
      </c>
      <c r="AK1585">
        <v>19.286012069262298</v>
      </c>
      <c r="AL1585">
        <v>94.316623356909602</v>
      </c>
      <c r="AM1585">
        <v>82.664550545598402</v>
      </c>
      <c r="AN1585">
        <v>1.0000000093847401</v>
      </c>
    </row>
    <row r="1586" spans="1:40" x14ac:dyDescent="0.25">
      <c r="A1586" t="str">
        <f>"20190305135223797"</f>
        <v>20190305135223797</v>
      </c>
      <c r="B1586" t="str">
        <f>"1551765143790603"</f>
        <v>1551765143790603</v>
      </c>
      <c r="C1586" t="s">
        <v>40</v>
      </c>
      <c r="D1586">
        <v>4.8552650000000002</v>
      </c>
      <c r="E1586">
        <v>0.57290129999999995</v>
      </c>
      <c r="F1586" t="s">
        <v>55</v>
      </c>
      <c r="G1586">
        <v>-198.94900000000001</v>
      </c>
      <c r="H1586" s="1">
        <v>1.9881679999999998E-6</v>
      </c>
      <c r="I1586">
        <v>289.06630000000001</v>
      </c>
      <c r="J1586">
        <v>-191.86240000000001</v>
      </c>
      <c r="K1586">
        <v>1.107988</v>
      </c>
      <c r="L1586">
        <v>307.03070000000002</v>
      </c>
      <c r="M1586">
        <v>-0.1156285</v>
      </c>
      <c r="N1586">
        <v>-1.376352E-2</v>
      </c>
      <c r="O1586">
        <v>-0.99319740000000001</v>
      </c>
      <c r="P1586">
        <v>-0.24278759999999999</v>
      </c>
      <c r="Q1586">
        <v>-8.853838E-2</v>
      </c>
      <c r="R1586">
        <v>-0.96603090000000003</v>
      </c>
      <c r="S1586">
        <v>-1.1006320000000001</v>
      </c>
      <c r="T1586">
        <v>-0.17137230000000001</v>
      </c>
      <c r="U1586">
        <v>-2.814819</v>
      </c>
      <c r="V1586">
        <v>0.12919839999999999</v>
      </c>
      <c r="W1586">
        <v>-7.5365539999999995E-2</v>
      </c>
      <c r="X1586">
        <v>0.98875060000000004</v>
      </c>
      <c r="Y1586">
        <v>0.25355680000000003</v>
      </c>
      <c r="Z1586">
        <v>4.3626570000000003E-2</v>
      </c>
      <c r="AA1586">
        <v>0.96633630000000004</v>
      </c>
      <c r="AB1586">
        <v>23</v>
      </c>
      <c r="AC1586">
        <v>-7.0865999999999998</v>
      </c>
      <c r="AD1586">
        <v>-1.107986011832</v>
      </c>
      <c r="AE1586">
        <v>-17.964400000000001</v>
      </c>
      <c r="AF1586">
        <v>4.9453858104498201</v>
      </c>
      <c r="AG1586">
        <v>-1.107986011832</v>
      </c>
      <c r="AH1586">
        <v>18.6021377906706</v>
      </c>
      <c r="AI1586">
        <v>93.294472921806602</v>
      </c>
      <c r="AJ1586">
        <v>75.112255242718206</v>
      </c>
      <c r="AK1586">
        <v>19.280145336581601</v>
      </c>
      <c r="AL1586">
        <v>94.322225777835001</v>
      </c>
      <c r="AM1586">
        <v>82.555434406224606</v>
      </c>
      <c r="AN1586">
        <v>0.999999970091205</v>
      </c>
    </row>
    <row r="1587" spans="1:40" x14ac:dyDescent="0.25">
      <c r="A1587" t="str">
        <f>"20190305135223818"</f>
        <v>20190305135223818</v>
      </c>
      <c r="B1587" t="str">
        <f>"1551765143811100"</f>
        <v>1551765143811100</v>
      </c>
      <c r="C1587" t="s">
        <v>40</v>
      </c>
      <c r="D1587">
        <v>4.8287760000000004</v>
      </c>
      <c r="E1587">
        <v>0.57722309999999999</v>
      </c>
      <c r="F1587" t="s">
        <v>55</v>
      </c>
      <c r="G1587">
        <v>-198.53120000000001</v>
      </c>
      <c r="H1587" s="1">
        <v>1.330567E-6</v>
      </c>
      <c r="I1587">
        <v>292.77969999999999</v>
      </c>
      <c r="J1587">
        <v>-191.8903</v>
      </c>
      <c r="K1587">
        <v>1.1079870000000001</v>
      </c>
      <c r="L1587">
        <v>306.81229999999999</v>
      </c>
      <c r="M1587">
        <v>-0.117669</v>
      </c>
      <c r="N1587">
        <v>-1.3760980000000001E-2</v>
      </c>
      <c r="O1587">
        <v>-0.9929578</v>
      </c>
      <c r="P1587">
        <v>-0.24693780000000001</v>
      </c>
      <c r="Q1587">
        <v>-8.9323830000000007E-2</v>
      </c>
      <c r="R1587">
        <v>-0.96490580000000004</v>
      </c>
      <c r="S1587">
        <v>-1.292038</v>
      </c>
      <c r="T1587">
        <v>-0.21466740000000001</v>
      </c>
      <c r="U1587">
        <v>-2.7610779999999999</v>
      </c>
      <c r="V1587">
        <v>0.13142110000000001</v>
      </c>
      <c r="W1587">
        <v>-7.6163720000000004E-2</v>
      </c>
      <c r="X1587">
        <v>0.98839650000000001</v>
      </c>
      <c r="Y1587">
        <v>0.31342700000000001</v>
      </c>
      <c r="Z1587">
        <v>5.77113E-2</v>
      </c>
      <c r="AA1587">
        <v>0.94785699999999995</v>
      </c>
      <c r="AB1587">
        <v>23</v>
      </c>
      <c r="AC1587">
        <v>-6.64090000000001</v>
      </c>
      <c r="AD1587">
        <v>-1.1079856694329999</v>
      </c>
      <c r="AE1587">
        <v>-14.0326</v>
      </c>
      <c r="AF1587">
        <v>4.9183461488656004</v>
      </c>
      <c r="AG1587">
        <v>-1.1079856694329999</v>
      </c>
      <c r="AH1587">
        <v>14.6420167596777</v>
      </c>
      <c r="AI1587">
        <v>94.102963171978104</v>
      </c>
      <c r="AJ1587">
        <v>71.432473961057198</v>
      </c>
      <c r="AK1587">
        <v>15.485684223643901</v>
      </c>
      <c r="AL1587">
        <v>94.368089691810496</v>
      </c>
      <c r="AM1587">
        <v>82.426152223961907</v>
      </c>
      <c r="AN1587">
        <v>1.00000002949084</v>
      </c>
    </row>
    <row r="1588" spans="1:40" x14ac:dyDescent="0.25">
      <c r="A1588" t="str">
        <f>"20190305135223841"</f>
        <v>20190305135223841</v>
      </c>
      <c r="B1588" t="str">
        <f>"1551765143831596"</f>
        <v>1551765143831596</v>
      </c>
      <c r="C1588" t="s">
        <v>40</v>
      </c>
      <c r="D1588">
        <v>4.8001180000000003</v>
      </c>
      <c r="E1588">
        <v>0.57824169999999997</v>
      </c>
      <c r="F1588" t="s">
        <v>55</v>
      </c>
      <c r="G1588">
        <v>-198.0342</v>
      </c>
      <c r="H1588" s="1">
        <v>1.1234839999999999E-6</v>
      </c>
      <c r="I1588">
        <v>294.20569999999998</v>
      </c>
      <c r="J1588">
        <v>-191.92</v>
      </c>
      <c r="K1588">
        <v>1.1079829999999999</v>
      </c>
      <c r="L1588">
        <v>306.58260000000001</v>
      </c>
      <c r="M1588">
        <v>-0.11981029999999999</v>
      </c>
      <c r="N1588">
        <v>-1.3758340000000001E-2</v>
      </c>
      <c r="O1588">
        <v>-0.99270170000000002</v>
      </c>
      <c r="P1588">
        <v>-0.25015510000000002</v>
      </c>
      <c r="Q1588">
        <v>-9.0824000000000002E-2</v>
      </c>
      <c r="R1588">
        <v>-0.96393669999999998</v>
      </c>
      <c r="S1588">
        <v>-1.3375549999999901</v>
      </c>
      <c r="T1588">
        <v>-0.24121200000000001</v>
      </c>
      <c r="U1588">
        <v>-2.7444760000000001</v>
      </c>
      <c r="V1588">
        <v>0.13259789999999999</v>
      </c>
      <c r="W1588">
        <v>-7.7672519999999995E-2</v>
      </c>
      <c r="X1588">
        <v>0.9881219</v>
      </c>
      <c r="Y1588">
        <v>0.32607190000000003</v>
      </c>
      <c r="Z1588">
        <v>6.6432370000000004E-2</v>
      </c>
      <c r="AA1588">
        <v>0.94300790000000001</v>
      </c>
      <c r="AB1588">
        <v>23</v>
      </c>
      <c r="AC1588">
        <v>-6.1142000000000101</v>
      </c>
      <c r="AD1588">
        <v>-1.1079818765160001</v>
      </c>
      <c r="AE1588">
        <v>-12.376899999999999</v>
      </c>
      <c r="AF1588">
        <v>4.5577694292650897</v>
      </c>
      <c r="AG1588">
        <v>-1.1079818765160001</v>
      </c>
      <c r="AH1588">
        <v>12.937005358220601</v>
      </c>
      <c r="AI1588">
        <v>94.618208169165698</v>
      </c>
      <c r="AJ1588">
        <v>70.592393143271806</v>
      </c>
      <c r="AK1588">
        <v>13.7610680416769</v>
      </c>
      <c r="AL1588">
        <v>94.454794320226398</v>
      </c>
      <c r="AM1588">
        <v>82.357032229048201</v>
      </c>
      <c r="AN1588">
        <v>1.00000005635358</v>
      </c>
    </row>
    <row r="1589" spans="1:40" x14ac:dyDescent="0.25">
      <c r="A1589" t="str">
        <f>"20190305135223863"</f>
        <v>20190305135223863</v>
      </c>
      <c r="B1589" t="str">
        <f>"1551765143851116"</f>
        <v>1551765143851116</v>
      </c>
      <c r="C1589" t="s">
        <v>40</v>
      </c>
      <c r="D1589">
        <v>4.8327540000000004</v>
      </c>
      <c r="E1589">
        <v>0.57859430000000001</v>
      </c>
      <c r="F1589" t="s">
        <v>55</v>
      </c>
      <c r="G1589">
        <v>-197.72659999999999</v>
      </c>
      <c r="H1589" s="1">
        <v>9.9448700000000003E-7</v>
      </c>
      <c r="I1589">
        <v>294.85390000000001</v>
      </c>
      <c r="J1589">
        <v>-191.95</v>
      </c>
      <c r="K1589">
        <v>1.107988</v>
      </c>
      <c r="L1589">
        <v>306.35550000000001</v>
      </c>
      <c r="M1589">
        <v>-0.1219264</v>
      </c>
      <c r="N1589">
        <v>-1.375563E-2</v>
      </c>
      <c r="O1589">
        <v>-0.99244410000000005</v>
      </c>
      <c r="P1589">
        <v>-0.25272810000000001</v>
      </c>
      <c r="Q1589">
        <v>-9.1330140000000004E-2</v>
      </c>
      <c r="R1589">
        <v>-0.96321769999999995</v>
      </c>
      <c r="S1589">
        <v>-1.3546750000000001</v>
      </c>
      <c r="T1589">
        <v>-0.25849309999999998</v>
      </c>
      <c r="U1589">
        <v>-2.7363279999999999</v>
      </c>
      <c r="V1589">
        <v>0.13313410000000001</v>
      </c>
      <c r="W1589">
        <v>-7.8183230000000006E-2</v>
      </c>
      <c r="X1589">
        <v>0.98800949999999998</v>
      </c>
      <c r="Y1589">
        <v>0.32971980000000001</v>
      </c>
      <c r="Z1589">
        <v>7.2151779999999999E-2</v>
      </c>
      <c r="AA1589">
        <v>0.94131770000000003</v>
      </c>
      <c r="AB1589">
        <v>23</v>
      </c>
      <c r="AC1589">
        <v>-5.7766000000000002</v>
      </c>
      <c r="AD1589">
        <v>-1.1079870055129999</v>
      </c>
      <c r="AE1589">
        <v>-11.5015999999999</v>
      </c>
      <c r="AF1589">
        <v>4.2991525106225996</v>
      </c>
      <c r="AG1589">
        <v>-1.1079870055129999</v>
      </c>
      <c r="AH1589">
        <v>12.0309996800805</v>
      </c>
      <c r="AI1589">
        <v>94.956500685211907</v>
      </c>
      <c r="AJ1589">
        <v>70.336179636864401</v>
      </c>
      <c r="AK1589">
        <v>12.8240126643759</v>
      </c>
      <c r="AL1589">
        <v>94.484145179888102</v>
      </c>
      <c r="AM1589">
        <v>82.325630519011</v>
      </c>
      <c r="AN1589">
        <v>1.0000000390631401</v>
      </c>
    </row>
    <row r="1590" spans="1:40" x14ac:dyDescent="0.25">
      <c r="A1590" t="str">
        <f>"20190305135223885"</f>
        <v>20190305135223885</v>
      </c>
      <c r="B1590" t="str">
        <f>"1551765143881372"</f>
        <v>1551765143881372</v>
      </c>
      <c r="C1590" t="s">
        <v>40</v>
      </c>
      <c r="D1590">
        <v>4.8290660000000001</v>
      </c>
      <c r="E1590">
        <v>0.57891059999999905</v>
      </c>
      <c r="F1590" t="s">
        <v>55</v>
      </c>
      <c r="G1590">
        <v>-197.5428</v>
      </c>
      <c r="H1590" s="1">
        <v>9.0122930000000003E-7</v>
      </c>
      <c r="I1590">
        <v>295.16379999999998</v>
      </c>
      <c r="J1590">
        <v>-191.97919999999999</v>
      </c>
      <c r="K1590">
        <v>1.1079889999999999</v>
      </c>
      <c r="L1590">
        <v>306.13650000000001</v>
      </c>
      <c r="M1590">
        <v>-0.1239687</v>
      </c>
      <c r="N1590">
        <v>-1.375329E-2</v>
      </c>
      <c r="O1590">
        <v>-0.99219089999999999</v>
      </c>
      <c r="P1590">
        <v>-0.2544633</v>
      </c>
      <c r="Q1590">
        <v>-9.1136739999999994E-2</v>
      </c>
      <c r="R1590">
        <v>-0.96277860000000004</v>
      </c>
      <c r="S1590">
        <v>-1.364716</v>
      </c>
      <c r="T1590">
        <v>-0.27036110000000002</v>
      </c>
      <c r="U1590">
        <v>-2.730896</v>
      </c>
      <c r="V1590">
        <v>0.1328802</v>
      </c>
      <c r="W1590">
        <v>-7.7989699999999995E-2</v>
      </c>
      <c r="X1590">
        <v>0.98805889999999996</v>
      </c>
      <c r="Y1590">
        <v>0.33115460000000002</v>
      </c>
      <c r="Z1590">
        <v>7.6091370000000005E-2</v>
      </c>
      <c r="AA1590">
        <v>0.94050350000000005</v>
      </c>
      <c r="AB1590">
        <v>23</v>
      </c>
      <c r="AC1590">
        <v>-5.5636000000000001</v>
      </c>
      <c r="AD1590">
        <v>-1.10798809877069</v>
      </c>
      <c r="AE1590">
        <v>-10.9727</v>
      </c>
      <c r="AF1590">
        <v>4.1268023725785001</v>
      </c>
      <c r="AG1590">
        <v>-1.10798809877069</v>
      </c>
      <c r="AH1590">
        <v>11.4846667184765</v>
      </c>
      <c r="AI1590">
        <v>95.187765930971096</v>
      </c>
      <c r="AJ1590">
        <v>70.235039294075904</v>
      </c>
      <c r="AK1590">
        <v>12.2538036985998</v>
      </c>
      <c r="AL1590">
        <v>94.473023097144207</v>
      </c>
      <c r="AM1590">
        <v>82.340470799931097</v>
      </c>
      <c r="AN1590">
        <v>0.99999996536366897</v>
      </c>
    </row>
    <row r="1591" spans="1:40" x14ac:dyDescent="0.25">
      <c r="A1591" t="str">
        <f>"20190305135223908"</f>
        <v>20190305135223908</v>
      </c>
      <c r="B1591" t="str">
        <f>"1551765143900892"</f>
        <v>1551765143900892</v>
      </c>
      <c r="C1591" t="s">
        <v>40</v>
      </c>
      <c r="D1591">
        <v>4.8513330000000003</v>
      </c>
      <c r="E1591">
        <v>0.57929779999999997</v>
      </c>
      <c r="F1591" t="s">
        <v>55</v>
      </c>
      <c r="G1591">
        <v>-197.518</v>
      </c>
      <c r="H1591" s="1">
        <v>9.1619630000000004E-7</v>
      </c>
      <c r="I1591">
        <v>295.1277</v>
      </c>
      <c r="J1591">
        <v>-192.01169999999999</v>
      </c>
      <c r="K1591">
        <v>1.10799</v>
      </c>
      <c r="L1591">
        <v>305.89839999999998</v>
      </c>
      <c r="M1591">
        <v>-0.1261999</v>
      </c>
      <c r="N1591">
        <v>-1.3750739999999999E-2</v>
      </c>
      <c r="O1591">
        <v>-0.99190990000000001</v>
      </c>
      <c r="P1591">
        <v>-0.25657190000000002</v>
      </c>
      <c r="Q1591">
        <v>-9.0715519999999994E-2</v>
      </c>
      <c r="R1591">
        <v>-0.96225910000000003</v>
      </c>
      <c r="S1591">
        <v>-1.372177</v>
      </c>
      <c r="T1591">
        <v>-0.27449659999999998</v>
      </c>
      <c r="U1591">
        <v>-2.7273559999999999</v>
      </c>
      <c r="V1591">
        <v>0.13281870000000001</v>
      </c>
      <c r="W1591">
        <v>-7.7570550000000002E-2</v>
      </c>
      <c r="X1591">
        <v>0.98810019999999998</v>
      </c>
      <c r="Y1591">
        <v>0.33152619999999999</v>
      </c>
      <c r="Z1591">
        <v>7.7467599999999998E-2</v>
      </c>
      <c r="AA1591">
        <v>0.94026019999999999</v>
      </c>
      <c r="AB1591">
        <v>23</v>
      </c>
      <c r="AC1591">
        <v>-5.5063000000000004</v>
      </c>
      <c r="AD1591">
        <v>-1.1079890838036901</v>
      </c>
      <c r="AE1591">
        <v>-10.7706999999999</v>
      </c>
      <c r="AF1591">
        <v>4.0687431315515203</v>
      </c>
      <c r="AG1591">
        <v>-1.1079890838036901</v>
      </c>
      <c r="AH1591">
        <v>11.284853759193201</v>
      </c>
      <c r="AI1591">
        <v>95.277075981718795</v>
      </c>
      <c r="AJ1591">
        <v>70.173280271541998</v>
      </c>
      <c r="AK1591">
        <v>12.047001072746401</v>
      </c>
      <c r="AL1591">
        <v>94.448934434864199</v>
      </c>
      <c r="AM1591">
        <v>82.344289955361205</v>
      </c>
      <c r="AN1591">
        <v>1.00000000126851</v>
      </c>
    </row>
    <row r="1592" spans="1:40" x14ac:dyDescent="0.25">
      <c r="A1592" t="str">
        <f>"20190305135223930"</f>
        <v>20190305135223930</v>
      </c>
      <c r="B1592" t="str">
        <f>"1551765143921388"</f>
        <v>1551765143921388</v>
      </c>
      <c r="C1592" t="s">
        <v>40</v>
      </c>
      <c r="D1592">
        <v>4.7973129999999999</v>
      </c>
      <c r="E1592">
        <v>0.57935879999999995</v>
      </c>
      <c r="F1592" t="s">
        <v>55</v>
      </c>
      <c r="G1592">
        <v>-197.58629999999999</v>
      </c>
      <c r="H1592" s="1">
        <v>9.8898450000000008E-7</v>
      </c>
      <c r="I1592">
        <v>294.90460000000002</v>
      </c>
      <c r="J1592">
        <v>-192.04339999999999</v>
      </c>
      <c r="K1592">
        <v>1.107977</v>
      </c>
      <c r="L1592">
        <v>305.66969999999998</v>
      </c>
      <c r="M1592">
        <v>-0.12835969999999999</v>
      </c>
      <c r="N1592">
        <v>-1.374847E-2</v>
      </c>
      <c r="O1592">
        <v>-0.99163270000000003</v>
      </c>
      <c r="P1592">
        <v>-0.25816090000000003</v>
      </c>
      <c r="Q1592">
        <v>-9.1046520000000006E-2</v>
      </c>
      <c r="R1592">
        <v>-0.96180259999999995</v>
      </c>
      <c r="S1592">
        <v>-1.3810420000000001</v>
      </c>
      <c r="T1592">
        <v>-0.27448830000000002</v>
      </c>
      <c r="U1592">
        <v>-2.723541</v>
      </c>
      <c r="V1592">
        <v>0.13230120000000001</v>
      </c>
      <c r="W1592">
        <v>-7.7903639999999996E-2</v>
      </c>
      <c r="X1592">
        <v>0.98814340000000001</v>
      </c>
      <c r="Y1592">
        <v>0.33243820000000002</v>
      </c>
      <c r="Z1592">
        <v>7.7473429999999996E-2</v>
      </c>
      <c r="AA1592">
        <v>0.93993760000000004</v>
      </c>
      <c r="AB1592">
        <v>23</v>
      </c>
      <c r="AC1592">
        <v>-5.5429000000000004</v>
      </c>
      <c r="AD1592">
        <v>-1.1079760110154999</v>
      </c>
      <c r="AE1592">
        <v>-10.765099999999901</v>
      </c>
      <c r="AF1592">
        <v>4.0809328460866601</v>
      </c>
      <c r="AG1592">
        <v>-1.1079760110154999</v>
      </c>
      <c r="AH1592">
        <v>11.293023527547</v>
      </c>
      <c r="AI1592">
        <v>95.271847499711996</v>
      </c>
      <c r="AJ1592">
        <v>70.131786073725607</v>
      </c>
      <c r="AK1592">
        <v>12.0587729114112</v>
      </c>
      <c r="AL1592">
        <v>94.468077100753405</v>
      </c>
      <c r="AM1592">
        <v>82.374096560999106</v>
      </c>
      <c r="AN1592">
        <v>0.99999998180512395</v>
      </c>
    </row>
    <row r="1593" spans="1:40" x14ac:dyDescent="0.25">
      <c r="A1593" t="str">
        <f>"20190305135223952"</f>
        <v>20190305135223952</v>
      </c>
      <c r="B1593" t="str">
        <f>"1551765143941418"</f>
        <v>1551765143941418</v>
      </c>
      <c r="C1593" t="s">
        <v>40</v>
      </c>
      <c r="D1593">
        <v>4.8408129999999998</v>
      </c>
      <c r="E1593">
        <v>0.57961419999999997</v>
      </c>
      <c r="F1593" t="s">
        <v>55</v>
      </c>
      <c r="G1593">
        <v>-197.58369999999999</v>
      </c>
      <c r="H1593" s="1">
        <v>1.0283599999999999E-6</v>
      </c>
      <c r="I1593">
        <v>294.79390000000001</v>
      </c>
      <c r="J1593">
        <v>-192.07380000000001</v>
      </c>
      <c r="K1593">
        <v>1.1079680000000001</v>
      </c>
      <c r="L1593">
        <v>305.45359999999999</v>
      </c>
      <c r="M1593">
        <v>-0.13042029999999999</v>
      </c>
      <c r="N1593">
        <v>-1.374651E-2</v>
      </c>
      <c r="O1593">
        <v>-0.99136380000000002</v>
      </c>
      <c r="P1593">
        <v>-0.2594514</v>
      </c>
      <c r="Q1593">
        <v>-9.2046569999999994E-2</v>
      </c>
      <c r="R1593">
        <v>-0.96135990000000004</v>
      </c>
      <c r="S1593">
        <v>-1.386047</v>
      </c>
      <c r="T1593">
        <v>-0.27718389999999998</v>
      </c>
      <c r="U1593">
        <v>-2.720825</v>
      </c>
      <c r="V1593">
        <v>0.1315818</v>
      </c>
      <c r="W1593">
        <v>-7.8906359999999995E-2</v>
      </c>
      <c r="X1593">
        <v>0.98815989999999998</v>
      </c>
      <c r="Y1593">
        <v>0.33219739999999998</v>
      </c>
      <c r="Z1593">
        <v>7.8379519999999994E-2</v>
      </c>
      <c r="AA1593">
        <v>0.93994759999999999</v>
      </c>
      <c r="AB1593">
        <v>23</v>
      </c>
      <c r="AC1593">
        <v>-5.5098999999999796</v>
      </c>
      <c r="AD1593">
        <v>-1.10796697163999</v>
      </c>
      <c r="AE1593">
        <v>-10.6596999999999</v>
      </c>
      <c r="AF1593">
        <v>4.0380309182234502</v>
      </c>
      <c r="AG1593">
        <v>-1.10796697163999</v>
      </c>
      <c r="AH1593">
        <v>11.1918886522181</v>
      </c>
      <c r="AI1593">
        <v>95.3201304273354</v>
      </c>
      <c r="AJ1593">
        <v>70.160567605988305</v>
      </c>
      <c r="AK1593">
        <v>11.949546272157001</v>
      </c>
      <c r="AL1593">
        <v>94.525706115754502</v>
      </c>
      <c r="AM1593">
        <v>82.415204225729099</v>
      </c>
      <c r="AN1593">
        <v>0.99999998585384897</v>
      </c>
    </row>
    <row r="1594" spans="1:40" x14ac:dyDescent="0.25">
      <c r="A1594" t="str">
        <f>"20190305135223973"</f>
        <v>20190305135223973</v>
      </c>
      <c r="B1594" t="str">
        <f>"1551765143970695"</f>
        <v>1551765143970695</v>
      </c>
      <c r="C1594" t="s">
        <v>40</v>
      </c>
      <c r="D1594">
        <v>4.8277799999999997</v>
      </c>
      <c r="E1594">
        <v>0.57979829999999999</v>
      </c>
      <c r="F1594" t="s">
        <v>55</v>
      </c>
      <c r="G1594">
        <v>-197.55850000000001</v>
      </c>
      <c r="H1594" s="1">
        <v>1.0494840000000001E-6</v>
      </c>
      <c r="I1594">
        <v>294.7405</v>
      </c>
      <c r="J1594">
        <v>-192.10480000000001</v>
      </c>
      <c r="K1594">
        <v>1.107958</v>
      </c>
      <c r="L1594">
        <v>305.2364</v>
      </c>
      <c r="M1594">
        <v>-0.13251830000000001</v>
      </c>
      <c r="N1594">
        <v>-1.374469E-2</v>
      </c>
      <c r="O1594">
        <v>-0.99108540000000001</v>
      </c>
      <c r="P1594">
        <v>-0.26075189999999998</v>
      </c>
      <c r="Q1594">
        <v>-9.2110929999999994E-2</v>
      </c>
      <c r="R1594">
        <v>-0.96100169999999996</v>
      </c>
      <c r="S1594">
        <v>-1.391602</v>
      </c>
      <c r="T1594">
        <v>-0.28111409999999998</v>
      </c>
      <c r="U1594">
        <v>-2.71814</v>
      </c>
      <c r="V1594">
        <v>0.13082569999999999</v>
      </c>
      <c r="W1594">
        <v>-7.8973760000000004E-2</v>
      </c>
      <c r="X1594">
        <v>0.98825490000000005</v>
      </c>
      <c r="Y1594">
        <v>0.33205079999999998</v>
      </c>
      <c r="Z1594">
        <v>7.9682749999999997E-2</v>
      </c>
      <c r="AA1594">
        <v>0.9398898</v>
      </c>
      <c r="AB1594">
        <v>23</v>
      </c>
      <c r="AC1594">
        <v>-5.4536999999999898</v>
      </c>
      <c r="AD1594">
        <v>-1.1079569505159901</v>
      </c>
      <c r="AE1594">
        <v>-10.495900000000001</v>
      </c>
      <c r="AF1594">
        <v>3.97964411585254</v>
      </c>
      <c r="AG1594">
        <v>-1.1079569505159901</v>
      </c>
      <c r="AH1594">
        <v>11.0293243149546</v>
      </c>
      <c r="AI1594">
        <v>95.397995558300295</v>
      </c>
      <c r="AJ1594">
        <v>70.159343226361599</v>
      </c>
      <c r="AK1594">
        <v>11.777568965515901</v>
      </c>
      <c r="AL1594">
        <v>94.529579953272602</v>
      </c>
      <c r="AM1594">
        <v>82.459001779968105</v>
      </c>
      <c r="AN1594">
        <v>0.99999998296151804</v>
      </c>
    </row>
    <row r="1595" spans="1:40" x14ac:dyDescent="0.25">
      <c r="A1595" t="str">
        <f>"20190305135223998"</f>
        <v>20190305135223998</v>
      </c>
      <c r="B1595" t="str">
        <f>"1551765143991190"</f>
        <v>1551765143991190</v>
      </c>
      <c r="C1595" t="s">
        <v>40</v>
      </c>
      <c r="D1595">
        <v>4.8475799999999998</v>
      </c>
      <c r="E1595">
        <v>0.58019799999999999</v>
      </c>
      <c r="F1595" t="s">
        <v>55</v>
      </c>
      <c r="G1595">
        <v>-197.5583</v>
      </c>
      <c r="H1595" s="1">
        <v>1.0870989999999999E-6</v>
      </c>
      <c r="I1595">
        <v>294.63409999999999</v>
      </c>
      <c r="J1595">
        <v>-192.14</v>
      </c>
      <c r="K1595">
        <v>1.107939</v>
      </c>
      <c r="L1595">
        <v>304.9948</v>
      </c>
      <c r="M1595">
        <v>-0.1349021</v>
      </c>
      <c r="N1595">
        <v>-1.374292E-2</v>
      </c>
      <c r="O1595">
        <v>-0.99076359999999997</v>
      </c>
      <c r="P1595">
        <v>-0.26309579999999999</v>
      </c>
      <c r="Q1595">
        <v>-9.0413640000000003E-2</v>
      </c>
      <c r="R1595">
        <v>-0.96052380000000004</v>
      </c>
      <c r="S1595">
        <v>-1.3968050000000001</v>
      </c>
      <c r="T1595">
        <v>-0.28377829999999998</v>
      </c>
      <c r="U1595">
        <v>-2.7155459999999998</v>
      </c>
      <c r="V1595">
        <v>0.13083829999999999</v>
      </c>
      <c r="W1595">
        <v>-7.7284779999999997E-2</v>
      </c>
      <c r="X1595">
        <v>0.98838680000000001</v>
      </c>
      <c r="Y1595">
        <v>0.33153779999999999</v>
      </c>
      <c r="Z1595">
        <v>8.0571019999999993E-2</v>
      </c>
      <c r="AA1595">
        <v>0.93999520000000003</v>
      </c>
      <c r="AB1595">
        <v>23</v>
      </c>
      <c r="AC1595">
        <v>-5.4183000000000101</v>
      </c>
      <c r="AD1595">
        <v>-1.1079379129009901</v>
      </c>
      <c r="AE1595">
        <v>-10.3607</v>
      </c>
      <c r="AF1595">
        <v>3.93560923099135</v>
      </c>
      <c r="AG1595">
        <v>-1.1079379129009901</v>
      </c>
      <c r="AH1595">
        <v>10.8991138629214</v>
      </c>
      <c r="AI1595">
        <v>95.461534816881993</v>
      </c>
      <c r="AJ1595">
        <v>70.145631495228997</v>
      </c>
      <c r="AK1595">
        <v>11.6407572534966</v>
      </c>
      <c r="AL1595">
        <v>94.432511581130797</v>
      </c>
      <c r="AM1595">
        <v>82.459278713703696</v>
      </c>
      <c r="AN1595">
        <v>1.0000000321903799</v>
      </c>
    </row>
    <row r="1596" spans="1:40" x14ac:dyDescent="0.25">
      <c r="A1596" t="str">
        <f>"20190305135224019"</f>
        <v>20190305135224019</v>
      </c>
      <c r="B1596" t="str">
        <f>"1551765144010712"</f>
        <v>1551765144010712</v>
      </c>
      <c r="C1596" t="s">
        <v>40</v>
      </c>
      <c r="D1596">
        <v>4.8269279999999997</v>
      </c>
      <c r="E1596">
        <v>0.58058559999999904</v>
      </c>
      <c r="F1596" t="s">
        <v>55</v>
      </c>
      <c r="G1596">
        <v>-197.7201</v>
      </c>
      <c r="H1596" s="1">
        <v>1.146173E-6</v>
      </c>
      <c r="I1596">
        <v>294.23509999999999</v>
      </c>
      <c r="J1596">
        <v>-192.17310000000001</v>
      </c>
      <c r="K1596">
        <v>1.1079139999999901</v>
      </c>
      <c r="L1596">
        <v>304.7706</v>
      </c>
      <c r="M1596">
        <v>-0.13717199999999999</v>
      </c>
      <c r="N1596">
        <v>-1.374183E-2</v>
      </c>
      <c r="O1596">
        <v>-0.99045190000000005</v>
      </c>
      <c r="P1596">
        <v>-0.26600810000000003</v>
      </c>
      <c r="Q1596">
        <v>-8.912051E-2</v>
      </c>
      <c r="R1596">
        <v>-0.95984230000000004</v>
      </c>
      <c r="S1596">
        <v>-1.4063870000000001</v>
      </c>
      <c r="T1596">
        <v>-0.27923949999999997</v>
      </c>
      <c r="U1596">
        <v>-2.7118229999999999</v>
      </c>
      <c r="V1596">
        <v>0.13155220000000001</v>
      </c>
      <c r="W1596">
        <v>-7.6005879999999998E-2</v>
      </c>
      <c r="X1596">
        <v>0.98839120000000003</v>
      </c>
      <c r="Y1596">
        <v>0.33258090000000001</v>
      </c>
      <c r="Z1596">
        <v>7.9074169999999999E-2</v>
      </c>
      <c r="AA1596">
        <v>0.93975379999999997</v>
      </c>
      <c r="AB1596">
        <v>23</v>
      </c>
      <c r="AC1596">
        <v>-5.5469999999999899</v>
      </c>
      <c r="AD1596">
        <v>-1.10791285382699</v>
      </c>
      <c r="AE1596">
        <v>-10.535500000000001</v>
      </c>
      <c r="AF1596">
        <v>4.0144843675146404</v>
      </c>
      <c r="AG1596">
        <v>-1.10791285382699</v>
      </c>
      <c r="AH1596">
        <v>11.100741529420601</v>
      </c>
      <c r="AI1596">
        <v>95.361866129120699</v>
      </c>
      <c r="AJ1596">
        <v>70.117927085729804</v>
      </c>
      <c r="AK1596">
        <v>11.8562227598717</v>
      </c>
      <c r="AL1596">
        <v>94.359019878753003</v>
      </c>
      <c r="AM1596">
        <v>82.418644537431405</v>
      </c>
      <c r="AN1596">
        <v>1.00000001967842</v>
      </c>
    </row>
    <row r="1597" spans="1:40" x14ac:dyDescent="0.25">
      <c r="A1597" t="str">
        <f>"20190305135224041"</f>
        <v>20190305135224041</v>
      </c>
      <c r="B1597" t="str">
        <f>"1551765144031207"</f>
        <v>1551765144031207</v>
      </c>
      <c r="C1597" t="s">
        <v>40</v>
      </c>
      <c r="D1597">
        <v>4.8756009999999996</v>
      </c>
      <c r="E1597">
        <v>0.58085659999999995</v>
      </c>
      <c r="F1597" t="s">
        <v>55</v>
      </c>
      <c r="G1597">
        <v>-197.86359999999999</v>
      </c>
      <c r="H1597" s="1">
        <v>1.191348E-6</v>
      </c>
      <c r="I1597">
        <v>293.90629999999999</v>
      </c>
      <c r="J1597">
        <v>-192.20650000000001</v>
      </c>
      <c r="K1597">
        <v>1.1078760000000001</v>
      </c>
      <c r="L1597">
        <v>304.54930000000002</v>
      </c>
      <c r="M1597">
        <v>-0.13947660000000001</v>
      </c>
      <c r="N1597">
        <v>-1.3741140000000001E-2</v>
      </c>
      <c r="O1597">
        <v>-0.99013010000000001</v>
      </c>
      <c r="P1597">
        <v>-0.26923609999999998</v>
      </c>
      <c r="Q1597">
        <v>-8.9169490000000004E-2</v>
      </c>
      <c r="R1597">
        <v>-0.9589375</v>
      </c>
      <c r="S1597">
        <v>-1.417862</v>
      </c>
      <c r="T1597">
        <v>-0.27605410000000002</v>
      </c>
      <c r="U1597">
        <v>-2.707001</v>
      </c>
      <c r="V1597">
        <v>0.1325691</v>
      </c>
      <c r="W1597">
        <v>-7.6074500000000003E-2</v>
      </c>
      <c r="X1597">
        <v>0.98824999999999996</v>
      </c>
      <c r="Y1597">
        <v>0.33424160000000003</v>
      </c>
      <c r="Z1597">
        <v>7.8028169999999994E-2</v>
      </c>
      <c r="AA1597">
        <v>0.93925190000000003</v>
      </c>
      <c r="AB1597">
        <v>23</v>
      </c>
      <c r="AC1597">
        <v>-5.6570999999999803</v>
      </c>
      <c r="AD1597">
        <v>-1.1078748086520001</v>
      </c>
      <c r="AE1597">
        <v>-10.643000000000001</v>
      </c>
      <c r="AF1597">
        <v>4.0827105827659302</v>
      </c>
      <c r="AG1597">
        <v>-1.1078748086520001</v>
      </c>
      <c r="AH1597">
        <v>11.233151516376999</v>
      </c>
      <c r="AI1597">
        <v>95.295788250779694</v>
      </c>
      <c r="AJ1597">
        <v>70.026227237635894</v>
      </c>
      <c r="AK1597">
        <v>12.003316428560799</v>
      </c>
      <c r="AL1597">
        <v>94.362963108286607</v>
      </c>
      <c r="AM1597">
        <v>82.359651441292002</v>
      </c>
      <c r="AN1597">
        <v>0.99999997916252903</v>
      </c>
    </row>
    <row r="1598" spans="1:40" x14ac:dyDescent="0.25">
      <c r="A1598" t="str">
        <f>"20190305135224064"</f>
        <v>20190305135224064</v>
      </c>
      <c r="B1598" t="str">
        <f>"1551765144061463"</f>
        <v>1551765144061463</v>
      </c>
      <c r="C1598" t="s">
        <v>40</v>
      </c>
      <c r="D1598">
        <v>4.8612330000000004</v>
      </c>
      <c r="E1598">
        <v>0.58108400000000004</v>
      </c>
      <c r="F1598" t="s">
        <v>55</v>
      </c>
      <c r="G1598">
        <v>-197.89529999999999</v>
      </c>
      <c r="H1598" s="1">
        <v>1.208242E-6</v>
      </c>
      <c r="I1598">
        <v>293.7944</v>
      </c>
      <c r="J1598">
        <v>-192.24010000000001</v>
      </c>
      <c r="K1598">
        <v>1.107826</v>
      </c>
      <c r="L1598">
        <v>304.33019999999999</v>
      </c>
      <c r="M1598">
        <v>-0.1418314</v>
      </c>
      <c r="N1598">
        <v>-1.374095E-2</v>
      </c>
      <c r="O1598">
        <v>-0.9897956</v>
      </c>
      <c r="P1598">
        <v>-0.27248339999999999</v>
      </c>
      <c r="Q1598">
        <v>-8.9328679999999994E-2</v>
      </c>
      <c r="R1598">
        <v>-0.9580052</v>
      </c>
      <c r="S1598">
        <v>-1.428909</v>
      </c>
      <c r="T1598">
        <v>-0.2782731</v>
      </c>
      <c r="U1598">
        <v>-2.7013850000000001</v>
      </c>
      <c r="V1598">
        <v>0.13355810000000001</v>
      </c>
      <c r="W1598">
        <v>-7.6254669999999997E-2</v>
      </c>
      <c r="X1598">
        <v>0.98810299999999995</v>
      </c>
      <c r="Y1598">
        <v>0.33577869999999999</v>
      </c>
      <c r="Z1598">
        <v>7.8780760000000005E-2</v>
      </c>
      <c r="AA1598">
        <v>0.93864069999999999</v>
      </c>
      <c r="AB1598">
        <v>23</v>
      </c>
      <c r="AC1598">
        <v>-5.6551999999999696</v>
      </c>
      <c r="AD1598">
        <v>-1.107824791758</v>
      </c>
      <c r="AE1598">
        <v>-10.535799999999901</v>
      </c>
      <c r="AF1598">
        <v>4.0686492611410898</v>
      </c>
      <c r="AG1598">
        <v>-1.107824791758</v>
      </c>
      <c r="AH1598">
        <v>11.1358499757565</v>
      </c>
      <c r="AI1598">
        <v>95.338287691609807</v>
      </c>
      <c r="AJ1598">
        <v>69.929468214264304</v>
      </c>
      <c r="AK1598">
        <v>11.9074908046143</v>
      </c>
      <c r="AL1598">
        <v>94.373315896825204</v>
      </c>
      <c r="AM1598">
        <v>82.302201898459202</v>
      </c>
      <c r="AN1598">
        <v>1.0000000396907001</v>
      </c>
    </row>
    <row r="1599" spans="1:40" x14ac:dyDescent="0.25">
      <c r="A1599" t="str">
        <f>"20190305135224086"</f>
        <v>20190305135224086</v>
      </c>
      <c r="B1599" t="str">
        <f>"1551765144080983"</f>
        <v>1551765144080983</v>
      </c>
      <c r="C1599" t="s">
        <v>40</v>
      </c>
      <c r="D1599">
        <v>4.8647280000000004</v>
      </c>
      <c r="E1599">
        <v>0.58133299999999999</v>
      </c>
      <c r="F1599" t="s">
        <v>55</v>
      </c>
      <c r="G1599">
        <v>-197.8751</v>
      </c>
      <c r="H1599" s="1">
        <v>1.2127160000000001E-6</v>
      </c>
      <c r="I1599">
        <v>293.7792</v>
      </c>
      <c r="J1599">
        <v>-192.2756</v>
      </c>
      <c r="K1599">
        <v>1.107772</v>
      </c>
      <c r="L1599">
        <v>304.10320000000002</v>
      </c>
      <c r="M1599">
        <v>-0.1443557</v>
      </c>
      <c r="N1599">
        <v>-1.374094E-2</v>
      </c>
      <c r="O1599">
        <v>-0.98943060000000005</v>
      </c>
      <c r="P1599">
        <v>-0.2765591</v>
      </c>
      <c r="Q1599">
        <v>-8.8800699999999996E-2</v>
      </c>
      <c r="R1599">
        <v>-0.95688530000000005</v>
      </c>
      <c r="S1599">
        <v>-1.439651</v>
      </c>
      <c r="T1599">
        <v>-0.28303250000000002</v>
      </c>
      <c r="U1599">
        <v>-2.6956180000000001</v>
      </c>
      <c r="V1599">
        <v>0.13522709999999999</v>
      </c>
      <c r="W1599">
        <v>-7.5752589999999995E-2</v>
      </c>
      <c r="X1599">
        <v>0.98791459999999998</v>
      </c>
      <c r="Y1599">
        <v>0.33705760000000001</v>
      </c>
      <c r="Z1599">
        <v>8.0373169999999994E-2</v>
      </c>
      <c r="AA1599">
        <v>0.93804710000000002</v>
      </c>
      <c r="AB1599">
        <v>23</v>
      </c>
      <c r="AC1599">
        <v>-5.5994999999999999</v>
      </c>
      <c r="AD1599">
        <v>-1.1077707872839999</v>
      </c>
      <c r="AE1599">
        <v>-10.324</v>
      </c>
      <c r="AF1599">
        <v>4.0146544567467402</v>
      </c>
      <c r="AG1599">
        <v>-1.1077707872839999</v>
      </c>
      <c r="AH1599">
        <v>10.927029834251201</v>
      </c>
      <c r="AI1599">
        <v>95.435871491818304</v>
      </c>
      <c r="AJ1599">
        <v>69.826373659011594</v>
      </c>
      <c r="AK1599">
        <v>11.693784140424899</v>
      </c>
      <c r="AL1599">
        <v>94.344465381630798</v>
      </c>
      <c r="AM1599">
        <v>82.205713804288493</v>
      </c>
      <c r="AN1599">
        <v>1.0000000401796301</v>
      </c>
    </row>
    <row r="1600" spans="1:40" x14ac:dyDescent="0.25">
      <c r="A1600" t="str">
        <f>"20190305135224109"</f>
        <v>20190305135224109</v>
      </c>
      <c r="B1600" t="str">
        <f>"1551765144101479"</f>
        <v>1551765144101479</v>
      </c>
      <c r="C1600" t="s">
        <v>40</v>
      </c>
      <c r="D1600">
        <v>4.8683610000000002</v>
      </c>
      <c r="E1600">
        <v>0.5817293</v>
      </c>
      <c r="F1600" t="s">
        <v>55</v>
      </c>
      <c r="G1600">
        <v>-197.92490000000001</v>
      </c>
      <c r="H1600" s="1">
        <v>1.230771E-6</v>
      </c>
      <c r="I1600">
        <v>293.65159999999997</v>
      </c>
      <c r="J1600">
        <v>-192.31200000000001</v>
      </c>
      <c r="K1600">
        <v>1.1077079999999999</v>
      </c>
      <c r="L1600">
        <v>303.875</v>
      </c>
      <c r="M1600">
        <v>-0.1469867</v>
      </c>
      <c r="N1600">
        <v>-1.3741099999999999E-2</v>
      </c>
      <c r="O1600">
        <v>-0.98904309999999995</v>
      </c>
      <c r="P1600">
        <v>-0.28127150000000001</v>
      </c>
      <c r="Q1600">
        <v>-8.8651720000000003E-2</v>
      </c>
      <c r="R1600">
        <v>-0.95552459999999995</v>
      </c>
      <c r="S1600">
        <v>-1.4532929999999999</v>
      </c>
      <c r="T1600">
        <v>-0.2849756</v>
      </c>
      <c r="U1600">
        <v>-2.6886899999999998</v>
      </c>
      <c r="V1600">
        <v>0.13745399999999999</v>
      </c>
      <c r="W1600">
        <v>-7.5634049999999994E-2</v>
      </c>
      <c r="X1600">
        <v>0.98761620000000006</v>
      </c>
      <c r="Y1600">
        <v>0.33922049999999998</v>
      </c>
      <c r="Z1600">
        <v>8.1036810000000001E-2</v>
      </c>
      <c r="AA1600">
        <v>0.93720999999999999</v>
      </c>
      <c r="AB1600">
        <v>23</v>
      </c>
      <c r="AC1600">
        <v>-5.61289999999999</v>
      </c>
      <c r="AD1600">
        <v>-1.1077067692289999</v>
      </c>
      <c r="AE1600">
        <v>-10.2234</v>
      </c>
      <c r="AF1600">
        <v>4.0128792959480499</v>
      </c>
      <c r="AG1600">
        <v>-1.1077067692289999</v>
      </c>
      <c r="AH1600">
        <v>10.8396556999109</v>
      </c>
      <c r="AI1600">
        <v>95.4741634669234</v>
      </c>
      <c r="AJ1600">
        <v>69.685267483645006</v>
      </c>
      <c r="AK1600">
        <v>11.611561058834999</v>
      </c>
      <c r="AL1600">
        <v>94.337654456139902</v>
      </c>
      <c r="AM1600">
        <v>82.076612048948405</v>
      </c>
      <c r="AN1600">
        <v>0.99999993506891904</v>
      </c>
    </row>
    <row r="1601" spans="1:40" x14ac:dyDescent="0.25">
      <c r="A1601" t="str">
        <f>"20190305135224131"</f>
        <v>20190305135224131</v>
      </c>
      <c r="B1601" t="str">
        <f>"1551765144121002"</f>
        <v>1551765144121002</v>
      </c>
      <c r="C1601" t="s">
        <v>40</v>
      </c>
      <c r="D1601">
        <v>4.8698550000000003</v>
      </c>
      <c r="E1601">
        <v>0.58200010000000002</v>
      </c>
      <c r="F1601" t="s">
        <v>55</v>
      </c>
      <c r="G1601">
        <v>-197.99039999999999</v>
      </c>
      <c r="H1601" s="1">
        <v>1.2486560000000001E-6</v>
      </c>
      <c r="I1601">
        <v>293.51710000000003</v>
      </c>
      <c r="J1601">
        <v>-192.3485</v>
      </c>
      <c r="K1601">
        <v>1.107656</v>
      </c>
      <c r="L1601">
        <v>303.6506</v>
      </c>
      <c r="M1601">
        <v>-0.14964930000000001</v>
      </c>
      <c r="N1601">
        <v>-1.37416E-2</v>
      </c>
      <c r="O1601">
        <v>-0.98864370000000001</v>
      </c>
      <c r="P1601">
        <v>-0.28491519999999998</v>
      </c>
      <c r="Q1601">
        <v>-8.9650060000000004E-2</v>
      </c>
      <c r="R1601">
        <v>-0.95435170000000002</v>
      </c>
      <c r="S1601">
        <v>-1.4694670000000001</v>
      </c>
      <c r="T1601">
        <v>-0.28665380000000001</v>
      </c>
      <c r="U1601">
        <v>-2.68045</v>
      </c>
      <c r="V1601">
        <v>0.13856299999999999</v>
      </c>
      <c r="W1601">
        <v>-7.6655329999999994E-2</v>
      </c>
      <c r="X1601">
        <v>0.98738250000000005</v>
      </c>
      <c r="Y1601">
        <v>0.34222509999999901</v>
      </c>
      <c r="Z1601">
        <v>8.1616590000000003E-2</v>
      </c>
      <c r="AA1601">
        <v>0.93606659999999997</v>
      </c>
      <c r="AB1601">
        <v>23</v>
      </c>
      <c r="AC1601">
        <v>-5.6418999999999899</v>
      </c>
      <c r="AD1601">
        <v>-1.107654751344</v>
      </c>
      <c r="AE1601">
        <v>-10.1334999999999</v>
      </c>
      <c r="AF1601">
        <v>4.0250301166301297</v>
      </c>
      <c r="AG1601">
        <v>-1.107654751344</v>
      </c>
      <c r="AH1601">
        <v>10.7655635720423</v>
      </c>
      <c r="AI1601">
        <v>95.504772698337504</v>
      </c>
      <c r="AJ1601">
        <v>69.500229589980094</v>
      </c>
      <c r="AK1601">
        <v>11.546649969217899</v>
      </c>
      <c r="AL1601">
        <v>94.396339706165307</v>
      </c>
      <c r="AM1601">
        <v>82.011640654429897</v>
      </c>
      <c r="AN1601">
        <v>0.99999997294632903</v>
      </c>
    </row>
    <row r="1602" spans="1:40" x14ac:dyDescent="0.25">
      <c r="A1602" t="str">
        <f>"20190305135224152"</f>
        <v>20190305135224152</v>
      </c>
      <c r="B1602" t="str">
        <f>"1551765144141498"</f>
        <v>1551765144141498</v>
      </c>
      <c r="C1602" t="s">
        <v>40</v>
      </c>
      <c r="D1602">
        <v>4.8422330000000002</v>
      </c>
      <c r="E1602">
        <v>0.58222379999999996</v>
      </c>
      <c r="F1602" t="s">
        <v>55</v>
      </c>
      <c r="G1602">
        <v>-197.98140000000001</v>
      </c>
      <c r="H1602" s="1">
        <v>1.254884E-6</v>
      </c>
      <c r="I1602">
        <v>293.48630000000003</v>
      </c>
      <c r="J1602">
        <v>-192.3828</v>
      </c>
      <c r="K1602">
        <v>1.107612</v>
      </c>
      <c r="L1602">
        <v>303.44369999999998</v>
      </c>
      <c r="M1602">
        <v>-0.15217020000000001</v>
      </c>
      <c r="N1602">
        <v>-1.374182E-2</v>
      </c>
      <c r="O1602">
        <v>-0.98825879999999999</v>
      </c>
      <c r="P1602">
        <v>-0.28780109999999998</v>
      </c>
      <c r="Q1602">
        <v>-9.0865429999999997E-2</v>
      </c>
      <c r="R1602">
        <v>-0.95336989999999999</v>
      </c>
      <c r="S1602">
        <v>-1.481735</v>
      </c>
      <c r="T1602">
        <v>-0.29137269999999998</v>
      </c>
      <c r="U1602">
        <v>-2.6737669999999998</v>
      </c>
      <c r="V1602">
        <v>0.13903650000000001</v>
      </c>
      <c r="W1602">
        <v>-7.7888139999999995E-2</v>
      </c>
      <c r="X1602">
        <v>0.98721950000000003</v>
      </c>
      <c r="Y1602">
        <v>0.34403929999999999</v>
      </c>
      <c r="Z1602">
        <v>8.3196690000000004E-2</v>
      </c>
      <c r="AA1602">
        <v>0.93526209999999999</v>
      </c>
      <c r="AB1602">
        <v>23</v>
      </c>
      <c r="AC1602">
        <v>-5.5986000000000002</v>
      </c>
      <c r="AD1602">
        <v>-1.107610745116</v>
      </c>
      <c r="AE1602">
        <v>-9.9573999999999394</v>
      </c>
      <c r="AF1602">
        <v>3.9806029889803298</v>
      </c>
      <c r="AG1602">
        <v>-1.107610745116</v>
      </c>
      <c r="AH1602">
        <v>10.5938427867339</v>
      </c>
      <c r="AI1602">
        <v>95.589811459906102</v>
      </c>
      <c r="AJ1602">
        <v>69.406448608475799</v>
      </c>
      <c r="AK1602">
        <v>11.3710820377222</v>
      </c>
      <c r="AL1602">
        <v>94.467186111958398</v>
      </c>
      <c r="AM1602">
        <v>81.983390650130204</v>
      </c>
      <c r="AN1602">
        <v>1.0000000259325701</v>
      </c>
    </row>
    <row r="1603" spans="1:40" x14ac:dyDescent="0.25">
      <c r="A1603" t="str">
        <f>"20190305135224174"</f>
        <v>20190305135224174</v>
      </c>
      <c r="B1603" t="str">
        <f>"1551765144170775"</f>
        <v>1551765144170775</v>
      </c>
      <c r="C1603" t="s">
        <v>40</v>
      </c>
      <c r="D1603">
        <v>4.8641899999999998</v>
      </c>
      <c r="E1603">
        <v>0.58271430000000002</v>
      </c>
      <c r="F1603" t="s">
        <v>55</v>
      </c>
      <c r="G1603">
        <v>-197.95529999999999</v>
      </c>
      <c r="H1603" s="1">
        <v>1.2591890000000001E-6</v>
      </c>
      <c r="I1603">
        <v>293.47500000000002</v>
      </c>
      <c r="J1603">
        <v>-192.4205</v>
      </c>
      <c r="K1603">
        <v>1.1075649999999999</v>
      </c>
      <c r="L1603">
        <v>303.22050000000002</v>
      </c>
      <c r="M1603">
        <v>-0.154974799999999</v>
      </c>
      <c r="N1603">
        <v>-1.374218E-2</v>
      </c>
      <c r="O1603">
        <v>-0.98782289999999995</v>
      </c>
      <c r="P1603">
        <v>-0.29108610000000001</v>
      </c>
      <c r="Q1603">
        <v>-9.1015460000000006E-2</v>
      </c>
      <c r="R1603">
        <v>-0.95235800000000004</v>
      </c>
      <c r="S1603">
        <v>-1.4915160000000001</v>
      </c>
      <c r="T1603">
        <v>-0.29646050000000002</v>
      </c>
      <c r="U1603">
        <v>-2.6682130000000002</v>
      </c>
      <c r="V1603">
        <v>0.139629799999999</v>
      </c>
      <c r="W1603">
        <v>-7.8057080000000001E-2</v>
      </c>
      <c r="X1603">
        <v>0.98712239999999996</v>
      </c>
      <c r="Y1603">
        <v>0.34474260000000001</v>
      </c>
      <c r="Z1603">
        <v>8.4894430000000007E-2</v>
      </c>
      <c r="AA1603">
        <v>0.93485050000000003</v>
      </c>
      <c r="AB1603">
        <v>22</v>
      </c>
      <c r="AC1603">
        <v>-5.53479999999999</v>
      </c>
      <c r="AD1603">
        <v>-1.107563740811</v>
      </c>
      <c r="AE1603">
        <v>-9.7454999999999892</v>
      </c>
      <c r="AF1603">
        <v>3.9191938250353702</v>
      </c>
      <c r="AG1603">
        <v>-1.107563740811</v>
      </c>
      <c r="AH1603">
        <v>10.3841602296843</v>
      </c>
      <c r="AI1603">
        <v>95.698581573772998</v>
      </c>
      <c r="AJ1603">
        <v>69.322470701983605</v>
      </c>
      <c r="AK1603">
        <v>11.154262026414401</v>
      </c>
      <c r="AL1603">
        <v>94.476895288478801</v>
      </c>
      <c r="AM1603">
        <v>81.948847989658006</v>
      </c>
      <c r="AN1603">
        <v>1.0000000106839599</v>
      </c>
    </row>
    <row r="1604" spans="1:40" x14ac:dyDescent="0.25">
      <c r="A1604" t="str">
        <f>"20190305135224201"</f>
        <v>20190305135224201</v>
      </c>
      <c r="B1604" t="str">
        <f>"1551765144191271"</f>
        <v>1551765144191271</v>
      </c>
      <c r="C1604" t="s">
        <v>40</v>
      </c>
      <c r="D1604">
        <v>4.8916979999999999</v>
      </c>
      <c r="E1604">
        <v>0.58302159999999903</v>
      </c>
      <c r="F1604" t="s">
        <v>55</v>
      </c>
      <c r="G1604">
        <v>-198.01140000000001</v>
      </c>
      <c r="H1604" s="1">
        <v>1.2799950000000001E-6</v>
      </c>
      <c r="I1604">
        <v>293.32859999999999</v>
      </c>
      <c r="J1604">
        <v>-192.464</v>
      </c>
      <c r="K1604">
        <v>1.107507</v>
      </c>
      <c r="L1604">
        <v>302.9676</v>
      </c>
      <c r="M1604">
        <v>-0.1582654</v>
      </c>
      <c r="N1604">
        <v>-1.374336E-2</v>
      </c>
      <c r="O1604">
        <v>-0.98730090000000004</v>
      </c>
      <c r="P1604">
        <v>-0.29613620000000002</v>
      </c>
      <c r="Q1604">
        <v>-9.0429629999999997E-2</v>
      </c>
      <c r="R1604">
        <v>-0.95085560000000002</v>
      </c>
      <c r="S1604">
        <v>-1.5044249999999999</v>
      </c>
      <c r="T1604">
        <v>-0.29802869999999998</v>
      </c>
      <c r="U1604">
        <v>-2.6617739999999999</v>
      </c>
      <c r="V1604">
        <v>0.14155879999999901</v>
      </c>
      <c r="W1604">
        <v>-7.7502760000000004E-2</v>
      </c>
      <c r="X1604">
        <v>0.98689130000000003</v>
      </c>
      <c r="Y1604">
        <v>0.34599829999999998</v>
      </c>
      <c r="Z1604">
        <v>8.5418809999999998E-2</v>
      </c>
      <c r="AA1604">
        <v>0.93433869999999997</v>
      </c>
      <c r="AB1604">
        <v>22</v>
      </c>
      <c r="AC1604">
        <v>-5.5473999999999801</v>
      </c>
      <c r="AD1604">
        <v>-1.107505720005</v>
      </c>
      <c r="AE1604">
        <v>-9.63900000000001</v>
      </c>
      <c r="AF1604">
        <v>3.9130012024342999</v>
      </c>
      <c r="AG1604">
        <v>-1.107505720005</v>
      </c>
      <c r="AH1604">
        <v>10.2934574566333</v>
      </c>
      <c r="AI1604">
        <v>95.743011783200203</v>
      </c>
      <c r="AJ1604">
        <v>69.185974939550903</v>
      </c>
      <c r="AK1604">
        <v>11.0676742697649</v>
      </c>
      <c r="AL1604">
        <v>94.445038609740394</v>
      </c>
      <c r="AM1604">
        <v>81.837223489694594</v>
      </c>
      <c r="AN1604">
        <v>1.0000000048403701</v>
      </c>
    </row>
    <row r="1605" spans="1:40" x14ac:dyDescent="0.25">
      <c r="A1605" t="str">
        <f>"20190305135224232"</f>
        <v>20190305135224232</v>
      </c>
      <c r="B1605" t="str">
        <f>"1551765144221531"</f>
        <v>1551765144221531</v>
      </c>
      <c r="C1605" t="s">
        <v>40</v>
      </c>
      <c r="D1605">
        <v>4.9101819999999998</v>
      </c>
      <c r="E1605">
        <v>0.58325369999999999</v>
      </c>
      <c r="F1605" t="s">
        <v>55</v>
      </c>
      <c r="G1605">
        <v>-198.10669999999999</v>
      </c>
      <c r="H1605" s="1">
        <v>1.3074430000000001E-6</v>
      </c>
      <c r="I1605">
        <v>293.12470000000002</v>
      </c>
      <c r="J1605">
        <v>-192.51910000000001</v>
      </c>
      <c r="K1605">
        <v>1.107413</v>
      </c>
      <c r="L1605">
        <v>302.65660000000003</v>
      </c>
      <c r="M1605">
        <v>-0.16250290000000001</v>
      </c>
      <c r="N1605">
        <v>-1.374621E-2</v>
      </c>
      <c r="O1605">
        <v>-0.9866125</v>
      </c>
      <c r="P1605">
        <v>-0.30150009999999999</v>
      </c>
      <c r="Q1605">
        <v>-9.0958620000000004E-2</v>
      </c>
      <c r="R1605">
        <v>-0.94911780000000001</v>
      </c>
      <c r="S1605">
        <v>-1.5208889999999999</v>
      </c>
      <c r="T1605">
        <v>-0.29850969999999999</v>
      </c>
      <c r="U1605">
        <v>-2.6529850000000001</v>
      </c>
      <c r="V1605">
        <v>0.14288000000000001</v>
      </c>
      <c r="W1605">
        <v>-7.8071009999999996E-2</v>
      </c>
      <c r="X1605">
        <v>0.98665610000000004</v>
      </c>
      <c r="Y1605">
        <v>0.34766340000000001</v>
      </c>
      <c r="Z1605">
        <v>8.5601070000000001E-2</v>
      </c>
      <c r="AA1605">
        <v>0.93370370000000003</v>
      </c>
      <c r="AB1605">
        <v>22</v>
      </c>
      <c r="AC1605">
        <v>-5.5875999999999797</v>
      </c>
      <c r="AD1605">
        <v>-1.1074116925569999</v>
      </c>
      <c r="AE1605">
        <v>-9.5319000000000091</v>
      </c>
      <c r="AF1605">
        <v>3.9247813162811598</v>
      </c>
      <c r="AG1605">
        <v>-1.1074116925569999</v>
      </c>
      <c r="AH1605">
        <v>10.210692026884701</v>
      </c>
      <c r="AI1605">
        <v>95.780644686649495</v>
      </c>
      <c r="AJ1605">
        <v>68.974260416516501</v>
      </c>
      <c r="AK1605">
        <v>10.9949306821521</v>
      </c>
      <c r="AL1605">
        <v>94.477695827423304</v>
      </c>
      <c r="AM1605">
        <v>81.760142553014404</v>
      </c>
      <c r="AN1605">
        <v>1.0000000183348099</v>
      </c>
    </row>
    <row r="1606" spans="1:40" x14ac:dyDescent="0.25">
      <c r="A1606" t="str">
        <f>"20190305135224253"</f>
        <v>20190305135224253</v>
      </c>
      <c r="B1606" t="str">
        <f>"1551765144241047"</f>
        <v>1551765144241047</v>
      </c>
      <c r="C1606" t="s">
        <v>40</v>
      </c>
      <c r="D1606">
        <v>4.929386</v>
      </c>
      <c r="E1606">
        <v>0.59085659999999995</v>
      </c>
      <c r="F1606" t="s">
        <v>55</v>
      </c>
      <c r="G1606">
        <v>-198.10990000000001</v>
      </c>
      <c r="H1606" s="1">
        <v>1.321393E-6</v>
      </c>
      <c r="I1606">
        <v>293.04390000000001</v>
      </c>
      <c r="J1606">
        <v>-192.5583</v>
      </c>
      <c r="K1606">
        <v>1.107353</v>
      </c>
      <c r="L1606">
        <v>302.44049999999999</v>
      </c>
      <c r="M1606">
        <v>-0.16557639999999901</v>
      </c>
      <c r="N1606">
        <v>-1.3748700000000001E-2</v>
      </c>
      <c r="O1606">
        <v>-0.98610120000000001</v>
      </c>
      <c r="P1606">
        <v>-0.30429650000000003</v>
      </c>
      <c r="Q1606">
        <v>-9.1084090000000006E-2</v>
      </c>
      <c r="R1606">
        <v>-0.94821279999999997</v>
      </c>
      <c r="S1606">
        <v>-1.5373540000000001</v>
      </c>
      <c r="T1606">
        <v>-0.30451460000000002</v>
      </c>
      <c r="U1606">
        <v>-2.6432799999999999</v>
      </c>
      <c r="V1606">
        <v>0.14270169999999999</v>
      </c>
      <c r="W1606">
        <v>-7.8218309999999999E-2</v>
      </c>
      <c r="X1606">
        <v>0.98667020000000005</v>
      </c>
      <c r="Y1606">
        <v>0.35048230000000002</v>
      </c>
      <c r="Z1606">
        <v>8.7621640000000001E-2</v>
      </c>
      <c r="AA1606">
        <v>0.9324616</v>
      </c>
      <c r="AB1606">
        <v>22</v>
      </c>
      <c r="AC1606">
        <v>-5.5515999999999996</v>
      </c>
      <c r="AD1606">
        <v>-1.1073516786069999</v>
      </c>
      <c r="AE1606">
        <v>-9.3965999999999692</v>
      </c>
      <c r="AF1606">
        <v>3.87902225582364</v>
      </c>
      <c r="AG1606">
        <v>-1.1073516786069999</v>
      </c>
      <c r="AH1606">
        <v>10.0823827300914</v>
      </c>
      <c r="AI1606">
        <v>95.852699355892199</v>
      </c>
      <c r="AJ1606">
        <v>68.956634091827794</v>
      </c>
      <c r="AK1606">
        <v>10.859442108935999</v>
      </c>
      <c r="AL1606">
        <v>94.486161549110804</v>
      </c>
      <c r="AM1606">
        <v>81.770400138886799</v>
      </c>
      <c r="AN1606">
        <v>0.99999998138509205</v>
      </c>
    </row>
    <row r="1607" spans="1:40" x14ac:dyDescent="0.25">
      <c r="A1607" t="str">
        <f>"20190305135224276"</f>
        <v>20190305135224276</v>
      </c>
      <c r="B1607" t="str">
        <f>"1551765144271303"</f>
        <v>1551765144271303</v>
      </c>
      <c r="C1607" t="s">
        <v>40</v>
      </c>
      <c r="D1607">
        <v>4.9026690000000004</v>
      </c>
      <c r="E1607">
        <v>0.59360449999999998</v>
      </c>
      <c r="F1607" t="s">
        <v>55</v>
      </c>
      <c r="G1607">
        <v>-197.37950000000001</v>
      </c>
      <c r="H1607" s="1">
        <v>1.1158E-6</v>
      </c>
      <c r="I1607">
        <v>294.57909999999998</v>
      </c>
      <c r="J1607">
        <v>-192.59780000000001</v>
      </c>
      <c r="K1607">
        <v>1.1072949999999999</v>
      </c>
      <c r="L1607">
        <v>302.22719999999998</v>
      </c>
      <c r="M1607">
        <v>-0.16871539999999999</v>
      </c>
      <c r="N1607">
        <v>-1.3751340000000001E-2</v>
      </c>
      <c r="O1607">
        <v>-0.98556880000000002</v>
      </c>
      <c r="P1607">
        <v>-0.30770890000000001</v>
      </c>
      <c r="Q1607">
        <v>-9.0055789999999997E-2</v>
      </c>
      <c r="R1607">
        <v>-0.94720910000000003</v>
      </c>
      <c r="S1607">
        <v>-1.6030879999999901</v>
      </c>
      <c r="T1607">
        <v>-0.36820389999999997</v>
      </c>
      <c r="U1607">
        <v>-2.6139830000000002</v>
      </c>
      <c r="V1607">
        <v>0.14308779999999999</v>
      </c>
      <c r="W1607">
        <v>-7.7213000000000004E-2</v>
      </c>
      <c r="X1607">
        <v>0.9866935</v>
      </c>
      <c r="Y1607">
        <v>0.36806100000000003</v>
      </c>
      <c r="Z1607">
        <v>0.10834920000000001</v>
      </c>
      <c r="AA1607">
        <v>0.92346719999999904</v>
      </c>
      <c r="AB1607">
        <v>22</v>
      </c>
      <c r="AC1607">
        <v>-4.7816999999999998</v>
      </c>
      <c r="AD1607">
        <v>-1.1072938842</v>
      </c>
      <c r="AE1607">
        <v>-7.6480999999999897</v>
      </c>
      <c r="AF1607">
        <v>3.3718507988098798</v>
      </c>
      <c r="AG1607">
        <v>-1.1072938842</v>
      </c>
      <c r="AH1607">
        <v>8.2213655442767699</v>
      </c>
      <c r="AI1607">
        <v>97.103107687794903</v>
      </c>
      <c r="AJ1607">
        <v>67.699862450191105</v>
      </c>
      <c r="AK1607">
        <v>8.9546819579504202</v>
      </c>
      <c r="AL1607">
        <v>94.428386642893599</v>
      </c>
      <c r="AM1607">
        <v>81.748632145676595</v>
      </c>
      <c r="AN1607">
        <v>1.0000000144100401</v>
      </c>
    </row>
    <row r="1608" spans="1:40" x14ac:dyDescent="0.25">
      <c r="A1608" t="str">
        <f>"20190305135224298"</f>
        <v>20190305135224298</v>
      </c>
      <c r="B1608" t="str">
        <f>"1551765144290824"</f>
        <v>1551765144290824</v>
      </c>
      <c r="C1608" t="s">
        <v>40</v>
      </c>
      <c r="D1608">
        <v>4.8679709999999998</v>
      </c>
      <c r="E1608">
        <v>0.59394340000000001</v>
      </c>
      <c r="F1608" t="s">
        <v>55</v>
      </c>
      <c r="G1608">
        <v>-199.41470000000001</v>
      </c>
      <c r="H1608" s="1">
        <v>1.5079049999999999E-6</v>
      </c>
      <c r="I1608">
        <v>291.32780000000002</v>
      </c>
      <c r="J1608">
        <v>-192.6413</v>
      </c>
      <c r="K1608">
        <v>1.1072329999999999</v>
      </c>
      <c r="L1608">
        <v>301.99770000000001</v>
      </c>
      <c r="M1608">
        <v>-0.17222370000000001</v>
      </c>
      <c r="N1608">
        <v>-1.375435E-2</v>
      </c>
      <c r="O1608">
        <v>-0.9849618</v>
      </c>
      <c r="P1608">
        <v>-0.31158219999999998</v>
      </c>
      <c r="Q1608">
        <v>-8.8988929999999994E-2</v>
      </c>
      <c r="R1608">
        <v>-0.94604310000000003</v>
      </c>
      <c r="S1608">
        <v>-1.633224</v>
      </c>
      <c r="T1608">
        <v>-0.26529170000000002</v>
      </c>
      <c r="U1608">
        <v>-2.6113590000000002</v>
      </c>
      <c r="V1608">
        <v>0.1435854</v>
      </c>
      <c r="W1608">
        <v>-7.6171509999999998E-2</v>
      </c>
      <c r="X1608">
        <v>0.98670210000000003</v>
      </c>
      <c r="Y1608">
        <v>0.37459769999999998</v>
      </c>
      <c r="Z1608">
        <v>7.4369790000000005E-2</v>
      </c>
      <c r="AA1608">
        <v>0.92420009999999997</v>
      </c>
      <c r="AB1608">
        <v>22</v>
      </c>
      <c r="AC1608">
        <v>-6.7733999999999996</v>
      </c>
      <c r="AD1608">
        <v>-1.1072314920949999</v>
      </c>
      <c r="AE1608">
        <v>-10.669899999999901</v>
      </c>
      <c r="AF1608">
        <v>4.7975647606580702</v>
      </c>
      <c r="AG1608">
        <v>-1.1072314920949999</v>
      </c>
      <c r="AH1608">
        <v>11.588145060178</v>
      </c>
      <c r="AI1608">
        <v>95.045100792230102</v>
      </c>
      <c r="AJ1608">
        <v>67.510138174937097</v>
      </c>
      <c r="AK1608">
        <v>12.5907781787117</v>
      </c>
      <c r="AL1608">
        <v>94.368537673839498</v>
      </c>
      <c r="AM1608">
        <v>81.720405614849199</v>
      </c>
      <c r="AN1608">
        <v>0.99999995008662301</v>
      </c>
    </row>
    <row r="1609" spans="1:40" x14ac:dyDescent="0.25">
      <c r="A1609" t="str">
        <f>"20190305135224322"</f>
        <v>20190305135224322</v>
      </c>
      <c r="B1609" t="str">
        <f>"1551765144311319"</f>
        <v>1551765144311319</v>
      </c>
      <c r="C1609" t="s">
        <v>40</v>
      </c>
      <c r="D1609">
        <v>4.9305709999999996</v>
      </c>
      <c r="E1609">
        <v>0.59408249999999996</v>
      </c>
      <c r="F1609" t="s">
        <v>55</v>
      </c>
      <c r="G1609">
        <v>-199.46940000000001</v>
      </c>
      <c r="H1609" s="1">
        <v>1.5252529999999901E-6</v>
      </c>
      <c r="I1609">
        <v>291.20170000000002</v>
      </c>
      <c r="J1609">
        <v>-192.6857</v>
      </c>
      <c r="K1609">
        <v>1.10717</v>
      </c>
      <c r="L1609">
        <v>301.76839999999999</v>
      </c>
      <c r="M1609">
        <v>-0.1758731</v>
      </c>
      <c r="N1609">
        <v>-1.375795E-2</v>
      </c>
      <c r="O1609">
        <v>-0.98431670000000004</v>
      </c>
      <c r="P1609">
        <v>-0.31451420000000002</v>
      </c>
      <c r="Q1609">
        <v>-8.8603139999999997E-2</v>
      </c>
      <c r="R1609">
        <v>-0.94510859999999997</v>
      </c>
      <c r="S1609">
        <v>-1.6467130000000001</v>
      </c>
      <c r="T1609">
        <v>-0.26702670000000001</v>
      </c>
      <c r="U1609">
        <v>-2.6036380000000001</v>
      </c>
      <c r="V1609">
        <v>0.14297019999999999</v>
      </c>
      <c r="W1609">
        <v>-7.5803999999999996E-2</v>
      </c>
      <c r="X1609">
        <v>0.98681980000000002</v>
      </c>
      <c r="Y1609">
        <v>0.37579639999999997</v>
      </c>
      <c r="Z1609">
        <v>7.4952499999999894E-2</v>
      </c>
      <c r="AA1609">
        <v>0.92366619999999999</v>
      </c>
      <c r="AB1609">
        <v>22</v>
      </c>
      <c r="AC1609">
        <v>-6.7836999999999996</v>
      </c>
      <c r="AD1609">
        <v>-1.1071684747470001</v>
      </c>
      <c r="AE1609">
        <v>-10.5666999999999</v>
      </c>
      <c r="AF1609">
        <v>4.7821883085139296</v>
      </c>
      <c r="AG1609">
        <v>-1.1071684747470001</v>
      </c>
      <c r="AH1609">
        <v>11.5056969436977</v>
      </c>
      <c r="AI1609">
        <v>95.077861595536206</v>
      </c>
      <c r="AJ1609">
        <v>67.430443275524993</v>
      </c>
      <c r="AK1609">
        <v>12.5090450958406</v>
      </c>
      <c r="AL1609">
        <v>94.347419534558199</v>
      </c>
      <c r="AM1609">
        <v>81.756361164907801</v>
      </c>
      <c r="AN1609">
        <v>1.00000002108803</v>
      </c>
    </row>
    <row r="1610" spans="1:40" x14ac:dyDescent="0.25">
      <c r="A1610" t="str">
        <f>"20190305135224343"</f>
        <v>20190305135224343</v>
      </c>
      <c r="B1610" t="str">
        <f>"1551765144330843"</f>
        <v>1551765144330843</v>
      </c>
      <c r="C1610" t="s">
        <v>40</v>
      </c>
      <c r="D1610">
        <v>4.9255269999999998</v>
      </c>
      <c r="E1610">
        <v>0.59426210000000002</v>
      </c>
      <c r="F1610" t="s">
        <v>55</v>
      </c>
      <c r="G1610">
        <v>-199.57919999999999</v>
      </c>
      <c r="H1610" s="1">
        <v>1.5597549999999999E-6</v>
      </c>
      <c r="I1610">
        <v>290.95049999999998</v>
      </c>
      <c r="J1610">
        <v>-192.7268</v>
      </c>
      <c r="K1610">
        <v>1.1071059999999999</v>
      </c>
      <c r="L1610">
        <v>301.56079999999997</v>
      </c>
      <c r="M1610">
        <v>-0.17929909999999999</v>
      </c>
      <c r="N1610">
        <v>-1.376197E-2</v>
      </c>
      <c r="O1610">
        <v>-0.98369850000000003</v>
      </c>
      <c r="P1610">
        <v>-0.31663760000000002</v>
      </c>
      <c r="Q1610">
        <v>-8.9018600000000003E-2</v>
      </c>
      <c r="R1610">
        <v>-0.94436070000000005</v>
      </c>
      <c r="S1610">
        <v>-1.6557310000000001</v>
      </c>
      <c r="T1610">
        <v>-0.26592779999999999</v>
      </c>
      <c r="U1610">
        <v>-2.598328</v>
      </c>
      <c r="V1610">
        <v>0.1417455</v>
      </c>
      <c r="W1610">
        <v>-7.6231049999999995E-2</v>
      </c>
      <c r="X1610">
        <v>0.98696360000000005</v>
      </c>
      <c r="Y1610">
        <v>0.37572280000000002</v>
      </c>
      <c r="Z1610">
        <v>7.4600440000000004E-2</v>
      </c>
      <c r="AA1610">
        <v>0.92372469999999995</v>
      </c>
      <c r="AB1610">
        <v>22</v>
      </c>
      <c r="AC1610">
        <v>-6.8523999999999798</v>
      </c>
      <c r="AD1610">
        <v>-1.1071044402450001</v>
      </c>
      <c r="AE1610">
        <v>-10.610299999999899</v>
      </c>
      <c r="AF1610">
        <v>4.8018438556066396</v>
      </c>
      <c r="AG1610">
        <v>-1.1071044402450001</v>
      </c>
      <c r="AH1610">
        <v>11.5781151573361</v>
      </c>
      <c r="AI1610">
        <v>95.047578878965297</v>
      </c>
      <c r="AJ1610">
        <v>67.474528003076301</v>
      </c>
      <c r="AK1610">
        <v>12.5831687285744</v>
      </c>
      <c r="AL1610">
        <v>94.371958558369101</v>
      </c>
      <c r="AM1610">
        <v>81.827193733616696</v>
      </c>
      <c r="AN1610">
        <v>1.0000000537396501</v>
      </c>
    </row>
    <row r="1611" spans="1:40" x14ac:dyDescent="0.25">
      <c r="A1611" t="str">
        <f>"20190305135224365"</f>
        <v>20190305135224365</v>
      </c>
      <c r="B1611" t="str">
        <f>"1551765144361095"</f>
        <v>1551765144361095</v>
      </c>
      <c r="C1611" t="s">
        <v>40</v>
      </c>
      <c r="D1611">
        <v>4.9279529999999996</v>
      </c>
      <c r="E1611">
        <v>0.59462519999999996</v>
      </c>
      <c r="F1611" t="s">
        <v>55</v>
      </c>
      <c r="G1611">
        <v>-199.58340000000001</v>
      </c>
      <c r="H1611" s="1">
        <v>1.5743910000000001E-6</v>
      </c>
      <c r="I1611">
        <v>290.86529999999999</v>
      </c>
      <c r="J1611">
        <v>-192.77099999999999</v>
      </c>
      <c r="K1611">
        <v>1.107048</v>
      </c>
      <c r="L1611">
        <v>301.34219999999999</v>
      </c>
      <c r="M1611">
        <v>-0.18301480000000001</v>
      </c>
      <c r="N1611">
        <v>-1.376643E-2</v>
      </c>
      <c r="O1611">
        <v>-0.9830139</v>
      </c>
      <c r="P1611">
        <v>-0.3189379</v>
      </c>
      <c r="Q1611">
        <v>-8.8238159999999996E-2</v>
      </c>
      <c r="R1611">
        <v>-0.94365960000000004</v>
      </c>
      <c r="S1611">
        <v>-1.662857</v>
      </c>
      <c r="T1611">
        <v>-0.26849499999999998</v>
      </c>
      <c r="U1611">
        <v>-2.5938720000000002</v>
      </c>
      <c r="V1611">
        <v>0.14040059999999999</v>
      </c>
      <c r="W1611">
        <v>-7.5459200000000004E-2</v>
      </c>
      <c r="X1611">
        <v>0.98721499999999995</v>
      </c>
      <c r="Y1611">
        <v>0.37470619999999999</v>
      </c>
      <c r="Z1611">
        <v>7.5447050000000002E-2</v>
      </c>
      <c r="AA1611">
        <v>0.92406869999999997</v>
      </c>
      <c r="AB1611">
        <v>22</v>
      </c>
      <c r="AC1611">
        <v>-6.8124000000000198</v>
      </c>
      <c r="AD1611">
        <v>-1.107046425609</v>
      </c>
      <c r="AE1611">
        <v>-10.476900000000001</v>
      </c>
      <c r="AF1611">
        <v>4.7424925116057004</v>
      </c>
      <c r="AG1611">
        <v>-1.107046425609</v>
      </c>
      <c r="AH1611">
        <v>11.456894936075599</v>
      </c>
      <c r="AI1611">
        <v>95.101860559719398</v>
      </c>
      <c r="AJ1611">
        <v>67.513271327089001</v>
      </c>
      <c r="AK1611">
        <v>12.4489850424588</v>
      </c>
      <c r="AL1611">
        <v>94.327607565384994</v>
      </c>
      <c r="AM1611">
        <v>81.905739877416394</v>
      </c>
      <c r="AN1611">
        <v>0.99999993778499796</v>
      </c>
    </row>
    <row r="1612" spans="1:40" x14ac:dyDescent="0.25">
      <c r="A1612" t="str">
        <f>"20190305135224390"</f>
        <v>20190305135224390</v>
      </c>
      <c r="B1612" t="str">
        <f>"1551765144381591"</f>
        <v>1551765144381591</v>
      </c>
      <c r="C1612" t="s">
        <v>40</v>
      </c>
      <c r="D1612">
        <v>4.9406569999999999</v>
      </c>
      <c r="E1612">
        <v>0.59652819999999995</v>
      </c>
      <c r="F1612" t="s">
        <v>55</v>
      </c>
      <c r="G1612">
        <v>-199.732</v>
      </c>
      <c r="H1612" s="1">
        <v>1.614273E-6</v>
      </c>
      <c r="I1612">
        <v>290.56400000000002</v>
      </c>
      <c r="J1612">
        <v>-192.81970000000001</v>
      </c>
      <c r="K1612">
        <v>1.1069800000000001</v>
      </c>
      <c r="L1612">
        <v>301.10770000000002</v>
      </c>
      <c r="M1612">
        <v>-0.18711710000000001</v>
      </c>
      <c r="N1612">
        <v>-1.377047E-2</v>
      </c>
      <c r="O1612">
        <v>-0.98224109999999998</v>
      </c>
      <c r="P1612">
        <v>-0.32345289999999999</v>
      </c>
      <c r="Q1612">
        <v>-8.5833049999999994E-2</v>
      </c>
      <c r="R1612">
        <v>-0.94234340000000005</v>
      </c>
      <c r="S1612">
        <v>-1.67215</v>
      </c>
      <c r="T1612">
        <v>-0.26593109999999998</v>
      </c>
      <c r="U1612">
        <v>-2.5891109999999999</v>
      </c>
      <c r="V1612">
        <v>0.14096729999999999</v>
      </c>
      <c r="W1612">
        <v>-7.3072429999999994E-2</v>
      </c>
      <c r="X1612">
        <v>0.98731389999999997</v>
      </c>
      <c r="Y1612">
        <v>0.37399080000000001</v>
      </c>
      <c r="Z1612">
        <v>7.4591420000000005E-2</v>
      </c>
      <c r="AA1612">
        <v>0.92442789999999997</v>
      </c>
      <c r="AB1612">
        <v>22</v>
      </c>
      <c r="AC1612">
        <v>-6.9122999999999797</v>
      </c>
      <c r="AD1612">
        <v>-1.1069783857269999</v>
      </c>
      <c r="AE1612">
        <v>-10.543699999999999</v>
      </c>
      <c r="AF1612">
        <v>4.78024262223654</v>
      </c>
      <c r="AG1612">
        <v>-1.1069783857269999</v>
      </c>
      <c r="AH1612">
        <v>11.5618351417176</v>
      </c>
      <c r="AI1612">
        <v>95.056360075037603</v>
      </c>
      <c r="AJ1612">
        <v>67.537344132704007</v>
      </c>
      <c r="AK1612">
        <v>12.5599423771835</v>
      </c>
      <c r="AL1612">
        <v>94.190476522914494</v>
      </c>
      <c r="AM1612">
        <v>81.874307660473804</v>
      </c>
      <c r="AN1612">
        <v>1.0000000484142999</v>
      </c>
    </row>
    <row r="1613" spans="1:40" x14ac:dyDescent="0.25">
      <c r="A1613" t="str">
        <f>"20190305135224411"</f>
        <v>20190305135224411</v>
      </c>
      <c r="B1613" t="str">
        <f>"1551765144401111"</f>
        <v>1551765144401111</v>
      </c>
      <c r="C1613" t="s">
        <v>40</v>
      </c>
      <c r="D1613">
        <v>4.9331490000000002</v>
      </c>
      <c r="E1613">
        <v>0.59696700000000003</v>
      </c>
      <c r="F1613" t="s">
        <v>55</v>
      </c>
      <c r="G1613">
        <v>-198.38409999999999</v>
      </c>
      <c r="H1613" s="1">
        <v>1.3596610000000001E-6</v>
      </c>
      <c r="I1613">
        <v>292.68849999999998</v>
      </c>
      <c r="J1613">
        <v>-192.86590000000001</v>
      </c>
      <c r="K1613">
        <v>1.1069310000000001</v>
      </c>
      <c r="L1613">
        <v>300.88979999999998</v>
      </c>
      <c r="M1613">
        <v>-0.19099269999999999</v>
      </c>
      <c r="N1613">
        <v>-1.3773219999999999E-2</v>
      </c>
      <c r="O1613">
        <v>-0.98149489999999995</v>
      </c>
      <c r="P1613">
        <v>-0.3290825</v>
      </c>
      <c r="Q1613">
        <v>-8.4702849999999996E-2</v>
      </c>
      <c r="R1613">
        <v>-0.94049470000000002</v>
      </c>
      <c r="S1613">
        <v>-1.698456</v>
      </c>
      <c r="T1613">
        <v>-0.33788839999999998</v>
      </c>
      <c r="U1613">
        <v>-2.5698240000000001</v>
      </c>
      <c r="V1613">
        <v>0.142953</v>
      </c>
      <c r="W1613">
        <v>-7.1966050000000004E-2</v>
      </c>
      <c r="X1613">
        <v>0.98710960000000003</v>
      </c>
      <c r="Y1613">
        <v>0.37890089999999998</v>
      </c>
      <c r="Z1613">
        <v>9.8221210000000003E-2</v>
      </c>
      <c r="AA1613">
        <v>0.92021010000000003</v>
      </c>
      <c r="AB1613">
        <v>22</v>
      </c>
      <c r="AC1613">
        <v>-5.51819999999997</v>
      </c>
      <c r="AD1613">
        <v>-1.1069296403390001</v>
      </c>
      <c r="AE1613">
        <v>-8.2012999999999998</v>
      </c>
      <c r="AF1613">
        <v>3.80238030589901</v>
      </c>
      <c r="AG1613">
        <v>-1.1069296403390001</v>
      </c>
      <c r="AH1613">
        <v>8.9915797671987292</v>
      </c>
      <c r="AI1613">
        <v>96.468897916534004</v>
      </c>
      <c r="AJ1613">
        <v>67.077356336338994</v>
      </c>
      <c r="AK1613">
        <v>9.8250646781203095</v>
      </c>
      <c r="AL1613">
        <v>94.126918398001607</v>
      </c>
      <c r="AM1613">
        <v>81.759725966744597</v>
      </c>
      <c r="AN1613">
        <v>1.0000000174868799</v>
      </c>
    </row>
    <row r="1614" spans="1:40" x14ac:dyDescent="0.25">
      <c r="A1614" t="str">
        <f>"20190305135224433"</f>
        <v>20190305135224433</v>
      </c>
      <c r="B1614" t="str">
        <f>"1551765144431368"</f>
        <v>1551765144431368</v>
      </c>
      <c r="C1614" t="s">
        <v>40</v>
      </c>
      <c r="D1614">
        <v>4.9413809999999998</v>
      </c>
      <c r="E1614">
        <v>0.59849419999999898</v>
      </c>
      <c r="F1614" t="s">
        <v>55</v>
      </c>
      <c r="G1614">
        <v>-198.5384</v>
      </c>
      <c r="H1614" s="1">
        <v>1.3904850000000001E-6</v>
      </c>
      <c r="I1614">
        <v>292.43579999999997</v>
      </c>
      <c r="J1614">
        <v>-192.91120000000001</v>
      </c>
      <c r="K1614">
        <v>1.106911</v>
      </c>
      <c r="L1614">
        <v>300.68049999999999</v>
      </c>
      <c r="M1614">
        <v>-0.19475390000000001</v>
      </c>
      <c r="N1614">
        <v>-1.377484E-2</v>
      </c>
      <c r="O1614">
        <v>-0.98075559999999995</v>
      </c>
      <c r="P1614">
        <v>-0.33557310000000001</v>
      </c>
      <c r="Q1614">
        <v>-8.4489220000000004E-2</v>
      </c>
      <c r="R1614">
        <v>-0.938218</v>
      </c>
      <c r="S1614">
        <v>-1.7169490000000001</v>
      </c>
      <c r="T1614">
        <v>-0.33504830000000002</v>
      </c>
      <c r="U1614">
        <v>-2.5588679999999999</v>
      </c>
      <c r="V1614">
        <v>0.14598059999999999</v>
      </c>
      <c r="W1614">
        <v>-7.1779190000000007E-2</v>
      </c>
      <c r="X1614">
        <v>0.98668</v>
      </c>
      <c r="Y1614">
        <v>0.3818163</v>
      </c>
      <c r="Z1614">
        <v>9.7314750000000005E-2</v>
      </c>
      <c r="AA1614">
        <v>0.91910069999999999</v>
      </c>
      <c r="AB1614">
        <v>22</v>
      </c>
      <c r="AC1614">
        <v>-5.6271999999999798</v>
      </c>
      <c r="AD1614">
        <v>-1.1069096095149999</v>
      </c>
      <c r="AE1614">
        <v>-8.2447000000000195</v>
      </c>
      <c r="AF1614">
        <v>3.86605133587328</v>
      </c>
      <c r="AG1614">
        <v>-1.1069096095149999</v>
      </c>
      <c r="AH1614">
        <v>9.0712775802920405</v>
      </c>
      <c r="AI1614">
        <v>96.404872079609305</v>
      </c>
      <c r="AJ1614">
        <v>66.916976858606901</v>
      </c>
      <c r="AK1614">
        <v>9.9226850576823793</v>
      </c>
      <c r="AL1614">
        <v>94.1161843999148</v>
      </c>
      <c r="AM1614">
        <v>81.584066994105697</v>
      </c>
      <c r="AN1614">
        <v>1.0000000050466999</v>
      </c>
    </row>
    <row r="1615" spans="1:40" x14ac:dyDescent="0.25">
      <c r="A1615" t="str">
        <f>"20190305135224454"</f>
        <v>20190305135224454</v>
      </c>
      <c r="B1615" t="str">
        <f>"1551765144450888"</f>
        <v>1551765144450888</v>
      </c>
      <c r="C1615" t="s">
        <v>40</v>
      </c>
      <c r="D1615">
        <v>4.9713620000000001</v>
      </c>
      <c r="E1615">
        <v>0.59920260000000003</v>
      </c>
      <c r="F1615" t="s">
        <v>55</v>
      </c>
      <c r="G1615">
        <v>-198.72380000000001</v>
      </c>
      <c r="H1615" s="1">
        <v>1.412784E-6</v>
      </c>
      <c r="I1615">
        <v>292.2158</v>
      </c>
      <c r="J1615">
        <v>-192.95599999999999</v>
      </c>
      <c r="K1615">
        <v>1.1069150000000001</v>
      </c>
      <c r="L1615">
        <v>300.47730000000001</v>
      </c>
      <c r="M1615">
        <v>-0.1984233</v>
      </c>
      <c r="N1615">
        <v>-1.377542E-2</v>
      </c>
      <c r="O1615">
        <v>-0.98001959999999999</v>
      </c>
      <c r="P1615">
        <v>-0.34235359999999998</v>
      </c>
      <c r="Q1615">
        <v>-8.5861010000000001E-2</v>
      </c>
      <c r="R1615">
        <v>-0.93563989999999997</v>
      </c>
      <c r="S1615">
        <v>-1.746246</v>
      </c>
      <c r="T1615">
        <v>-0.33254210000000001</v>
      </c>
      <c r="U1615">
        <v>-2.542999</v>
      </c>
      <c r="V1615">
        <v>0.1494405</v>
      </c>
      <c r="W1615">
        <v>-7.3178049999999994E-2</v>
      </c>
      <c r="X1615">
        <v>0.98605909999999997</v>
      </c>
      <c r="Y1615">
        <v>0.38827820000000002</v>
      </c>
      <c r="Z1615">
        <v>9.6488760000000007E-2</v>
      </c>
      <c r="AA1615">
        <v>0.91647690000000004</v>
      </c>
      <c r="AB1615">
        <v>22</v>
      </c>
      <c r="AC1615">
        <v>-5.7678000000000198</v>
      </c>
      <c r="AD1615">
        <v>-1.1069135872160001</v>
      </c>
      <c r="AE1615">
        <v>-8.2615000000000105</v>
      </c>
      <c r="AF1615">
        <v>3.9658000371904798</v>
      </c>
      <c r="AG1615">
        <v>-1.1069135872160001</v>
      </c>
      <c r="AH1615">
        <v>9.1315647016917598</v>
      </c>
      <c r="AI1615">
        <v>96.344404193010305</v>
      </c>
      <c r="AJ1615">
        <v>66.524897074843096</v>
      </c>
      <c r="AK1615">
        <v>10.0169007944436</v>
      </c>
      <c r="AL1615">
        <v>94.196544469958098</v>
      </c>
      <c r="AM1615">
        <v>81.382215734604401</v>
      </c>
      <c r="AN1615">
        <v>1.0000000193674301</v>
      </c>
    </row>
    <row r="1616" spans="1:40" x14ac:dyDescent="0.25">
      <c r="A1616" t="str">
        <f>"20190305135224477"</f>
        <v>20190305135224477</v>
      </c>
      <c r="B1616" t="str">
        <f>"1551765144471383"</f>
        <v>1551765144471383</v>
      </c>
      <c r="C1616" t="s">
        <v>40</v>
      </c>
      <c r="D1616">
        <v>4.950609</v>
      </c>
      <c r="E1616">
        <v>0.59954019999999997</v>
      </c>
      <c r="F1616" t="s">
        <v>55</v>
      </c>
      <c r="G1616">
        <v>-198.80359999999999</v>
      </c>
      <c r="H1616" s="1">
        <v>1.421536E-6</v>
      </c>
      <c r="I1616">
        <v>292.1259</v>
      </c>
      <c r="J1616">
        <v>-193.0033</v>
      </c>
      <c r="K1616">
        <v>1.1069290000000001</v>
      </c>
      <c r="L1616">
        <v>300.26650000000001</v>
      </c>
      <c r="M1616">
        <v>-0.2022322</v>
      </c>
      <c r="N1616">
        <v>-1.377537E-2</v>
      </c>
      <c r="O1616">
        <v>-0.97924069999999996</v>
      </c>
      <c r="P1616">
        <v>-0.34882220000000003</v>
      </c>
      <c r="Q1616">
        <v>-8.8232720000000001E-2</v>
      </c>
      <c r="R1616">
        <v>-0.93302629999999998</v>
      </c>
      <c r="S1616">
        <v>-1.770081</v>
      </c>
      <c r="T1616">
        <v>-0.3350651</v>
      </c>
      <c r="U1616">
        <v>-2.5279850000000001</v>
      </c>
      <c r="V1616">
        <v>0.15246199999999999</v>
      </c>
      <c r="W1616">
        <v>-7.5570810000000002E-2</v>
      </c>
      <c r="X1616">
        <v>0.98541590000000001</v>
      </c>
      <c r="Y1616">
        <v>0.39299909999999999</v>
      </c>
      <c r="Z1616">
        <v>9.7353549999999997E-2</v>
      </c>
      <c r="AA1616">
        <v>0.91437080000000004</v>
      </c>
      <c r="AB1616">
        <v>22</v>
      </c>
      <c r="AC1616">
        <v>-5.8002999999999902</v>
      </c>
      <c r="AD1616">
        <v>-1.106927578464</v>
      </c>
      <c r="AE1616">
        <v>-8.1405999999999992</v>
      </c>
      <c r="AF1616">
        <v>3.98510951757445</v>
      </c>
      <c r="AG1616">
        <v>-1.106927578464</v>
      </c>
      <c r="AH1616">
        <v>9.0346846395832099</v>
      </c>
      <c r="AI1616">
        <v>96.396103229805703</v>
      </c>
      <c r="AJ1616">
        <v>66.198201321449503</v>
      </c>
      <c r="AK1616">
        <v>9.9363933631749592</v>
      </c>
      <c r="AL1616">
        <v>94.334020161702895</v>
      </c>
      <c r="AM1616">
        <v>81.205022014901004</v>
      </c>
      <c r="AN1616">
        <v>1.00000005237043</v>
      </c>
    </row>
    <row r="1617" spans="1:40" x14ac:dyDescent="0.25">
      <c r="A1617" t="str">
        <f>"20190305135224500"</f>
        <v>20190305135224500</v>
      </c>
      <c r="B1617" t="str">
        <f>"1551765144490903"</f>
        <v>1551765144490903</v>
      </c>
      <c r="C1617" t="s">
        <v>40</v>
      </c>
      <c r="D1617">
        <v>4.9970160000000003</v>
      </c>
      <c r="E1617">
        <v>0.59985889999999997</v>
      </c>
      <c r="F1617" t="s">
        <v>55</v>
      </c>
      <c r="G1617">
        <v>-198.8048</v>
      </c>
      <c r="H1617" s="1">
        <v>1.4222239999999999E-6</v>
      </c>
      <c r="I1617">
        <v>292.12139999999999</v>
      </c>
      <c r="J1617">
        <v>-193.05549999999999</v>
      </c>
      <c r="K1617">
        <v>1.106954</v>
      </c>
      <c r="L1617">
        <v>300.03809999999999</v>
      </c>
      <c r="M1617">
        <v>-0.2063469</v>
      </c>
      <c r="N1617">
        <v>-1.377452E-2</v>
      </c>
      <c r="O1617">
        <v>-0.97838190000000003</v>
      </c>
      <c r="P1617">
        <v>-0.35450359999999997</v>
      </c>
      <c r="Q1617">
        <v>-8.9527540000000003E-2</v>
      </c>
      <c r="R1617">
        <v>-0.93075909999999995</v>
      </c>
      <c r="S1617">
        <v>-1.79042099999999</v>
      </c>
      <c r="T1617">
        <v>-0.34160829999999998</v>
      </c>
      <c r="U1617">
        <v>-2.5136720000000001</v>
      </c>
      <c r="V1617">
        <v>0.1543467</v>
      </c>
      <c r="W1617">
        <v>-7.6874269999999995E-2</v>
      </c>
      <c r="X1617">
        <v>0.98502149999999999</v>
      </c>
      <c r="Y1617">
        <v>0.39636909999999997</v>
      </c>
      <c r="Z1617">
        <v>9.9554589999999998E-2</v>
      </c>
      <c r="AA1617">
        <v>0.91267759999999998</v>
      </c>
      <c r="AB1617">
        <v>22</v>
      </c>
      <c r="AC1617">
        <v>-5.7492999999999999</v>
      </c>
      <c r="AD1617">
        <v>-1.1069525777760001</v>
      </c>
      <c r="AE1617">
        <v>-7.9166999999999899</v>
      </c>
      <c r="AF1617">
        <v>3.9413533569700898</v>
      </c>
      <c r="AG1617">
        <v>-1.1069525777760001</v>
      </c>
      <c r="AH1617">
        <v>8.8198581944345396</v>
      </c>
      <c r="AI1617">
        <v>96.5367904356754</v>
      </c>
      <c r="AJ1617">
        <v>65.921438719163007</v>
      </c>
      <c r="AK1617">
        <v>9.7236571753573493</v>
      </c>
      <c r="AL1617">
        <v>94.408921242937893</v>
      </c>
      <c r="AM1617">
        <v>81.094524181941907</v>
      </c>
      <c r="AN1617">
        <v>0.99999995632558503</v>
      </c>
    </row>
    <row r="1618" spans="1:40" x14ac:dyDescent="0.25">
      <c r="A1618" t="str">
        <f>"20190305135224523"</f>
        <v>20190305135224523</v>
      </c>
      <c r="B1618" t="str">
        <f>"1551765144511403"</f>
        <v>1551765144511403</v>
      </c>
      <c r="C1618" t="s">
        <v>40</v>
      </c>
      <c r="D1618">
        <v>4.9934659999999997</v>
      </c>
      <c r="E1618">
        <v>0.6002265</v>
      </c>
      <c r="F1618" t="s">
        <v>55</v>
      </c>
      <c r="G1618">
        <v>-198.84129999999999</v>
      </c>
      <c r="H1618" s="1">
        <v>1.4345500000000001E-6</v>
      </c>
      <c r="I1618">
        <v>292.03309999999999</v>
      </c>
      <c r="J1618">
        <v>-193.10650000000001</v>
      </c>
      <c r="K1618">
        <v>1.1069770000000001</v>
      </c>
      <c r="L1618">
        <v>299.81880000000001</v>
      </c>
      <c r="M1618">
        <v>-0.2102745</v>
      </c>
      <c r="N1618">
        <v>-1.377313E-2</v>
      </c>
      <c r="O1618">
        <v>-0.97754529999999995</v>
      </c>
      <c r="P1618">
        <v>-0.35895830000000001</v>
      </c>
      <c r="Q1618">
        <v>-8.964308E-2</v>
      </c>
      <c r="R1618">
        <v>-0.92903860000000005</v>
      </c>
      <c r="S1618">
        <v>-1.8078460000000001</v>
      </c>
      <c r="T1618">
        <v>-0.3458811</v>
      </c>
      <c r="U1618">
        <v>-2.5012819999999998</v>
      </c>
      <c r="V1618">
        <v>0.15511449999999999</v>
      </c>
      <c r="W1618">
        <v>-7.6988719999999997E-2</v>
      </c>
      <c r="X1618">
        <v>0.98489199999999999</v>
      </c>
      <c r="Y1618">
        <v>0.3989162</v>
      </c>
      <c r="Z1618">
        <v>0.10100240000000001</v>
      </c>
      <c r="AA1618">
        <v>0.91140790000000005</v>
      </c>
      <c r="AB1618">
        <v>22</v>
      </c>
      <c r="AC1618">
        <v>-5.7347999999999697</v>
      </c>
      <c r="AD1618">
        <v>-1.10697556545</v>
      </c>
      <c r="AE1618">
        <v>-7.7857000000000101</v>
      </c>
      <c r="AF1618">
        <v>3.9179244876087602</v>
      </c>
      <c r="AG1618">
        <v>-1.10697556545</v>
      </c>
      <c r="AH1618">
        <v>8.7035327328771697</v>
      </c>
      <c r="AI1618">
        <v>96.615484810002002</v>
      </c>
      <c r="AJ1618">
        <v>65.764948011482502</v>
      </c>
      <c r="AK1618">
        <v>9.6086944599863298</v>
      </c>
      <c r="AL1618">
        <v>94.415497993276503</v>
      </c>
      <c r="AM1618">
        <v>81.049781375530003</v>
      </c>
      <c r="AN1618">
        <v>1.0000000113907399</v>
      </c>
    </row>
    <row r="1619" spans="1:40" x14ac:dyDescent="0.25">
      <c r="A1619" t="str">
        <f>"20190305135224544"</f>
        <v>20190305135224544</v>
      </c>
      <c r="B1619" t="str">
        <f>"1551765144540680"</f>
        <v>1551765144540680</v>
      </c>
      <c r="C1619" t="s">
        <v>40</v>
      </c>
      <c r="D1619">
        <v>5.2505670000000002</v>
      </c>
      <c r="E1619">
        <v>0.60048040000000003</v>
      </c>
      <c r="F1619" t="s">
        <v>55</v>
      </c>
      <c r="G1619">
        <v>-198.8854</v>
      </c>
      <c r="H1619" s="1">
        <v>1.450779E-6</v>
      </c>
      <c r="I1619">
        <v>291.9187</v>
      </c>
      <c r="J1619">
        <v>-193.1549</v>
      </c>
      <c r="K1619">
        <v>1.107003</v>
      </c>
      <c r="L1619">
        <v>299.61439999999999</v>
      </c>
      <c r="M1619">
        <v>-0.2139151</v>
      </c>
      <c r="N1619">
        <v>-1.3771540000000001E-2</v>
      </c>
      <c r="O1619">
        <v>-0.97675540000000005</v>
      </c>
      <c r="P1619">
        <v>-0.3627533</v>
      </c>
      <c r="Q1619">
        <v>-8.9993100000000006E-2</v>
      </c>
      <c r="R1619">
        <v>-0.92753019999999997</v>
      </c>
      <c r="S1619">
        <v>-1.8224180000000001</v>
      </c>
      <c r="T1619">
        <v>-0.34909390000000001</v>
      </c>
      <c r="U1619">
        <v>-2.4913639999999999</v>
      </c>
      <c r="V1619">
        <v>0.155479799999999</v>
      </c>
      <c r="W1619">
        <v>-7.7336139999999998E-2</v>
      </c>
      <c r="X1619">
        <v>0.98480719999999999</v>
      </c>
      <c r="Y1619">
        <v>0.40063690000000002</v>
      </c>
      <c r="Z1619">
        <v>0.1020745</v>
      </c>
      <c r="AA1619">
        <v>0.91053329999999999</v>
      </c>
      <c r="AB1619">
        <v>22</v>
      </c>
      <c r="AC1619">
        <v>-5.7305000000000001</v>
      </c>
      <c r="AD1619">
        <v>-1.1070015492209999</v>
      </c>
      <c r="AE1619">
        <v>-7.69569999999998</v>
      </c>
      <c r="AF1619">
        <v>3.8995371072835101</v>
      </c>
      <c r="AG1619">
        <v>-1.1070015492209999</v>
      </c>
      <c r="AH1619">
        <v>8.6286277178091098</v>
      </c>
      <c r="AI1619">
        <v>96.668151346799604</v>
      </c>
      <c r="AJ1619">
        <v>65.680354374795499</v>
      </c>
      <c r="AK1619">
        <v>9.5333655323606692</v>
      </c>
      <c r="AL1619">
        <v>94.435463118159205</v>
      </c>
      <c r="AM1619">
        <v>81.028285802209695</v>
      </c>
      <c r="AN1619">
        <v>1.0000000339649799</v>
      </c>
    </row>
    <row r="1620" spans="1:40" x14ac:dyDescent="0.25">
      <c r="A1620" t="str">
        <f>"20190305135224567"</f>
        <v>20190305135224567</v>
      </c>
      <c r="B1620" t="str">
        <f>"1551765144561176"</f>
        <v>1551765144561176</v>
      </c>
      <c r="C1620" t="s">
        <v>40</v>
      </c>
      <c r="D1620">
        <v>4.9984909999999996</v>
      </c>
      <c r="E1620">
        <v>0.6038924</v>
      </c>
      <c r="F1620" t="s">
        <v>55</v>
      </c>
      <c r="G1620">
        <v>-198.91499999999999</v>
      </c>
      <c r="H1620" s="1">
        <v>1.4659889999999999E-6</v>
      </c>
      <c r="I1620">
        <v>291.81740000000002</v>
      </c>
      <c r="J1620">
        <v>-193.2072</v>
      </c>
      <c r="K1620">
        <v>1.1070139999999999</v>
      </c>
      <c r="L1620">
        <v>299.39729999999997</v>
      </c>
      <c r="M1620">
        <v>-0.21776609999999999</v>
      </c>
      <c r="N1620">
        <v>-1.376955E-2</v>
      </c>
      <c r="O1620">
        <v>-0.97590379999999999</v>
      </c>
      <c r="P1620">
        <v>-0.3657881</v>
      </c>
      <c r="Q1620">
        <v>-9.0550430000000001E-2</v>
      </c>
      <c r="R1620">
        <v>-0.92628270000000001</v>
      </c>
      <c r="S1620">
        <v>-1.8342290000000001</v>
      </c>
      <c r="T1620">
        <v>-0.35250880000000001</v>
      </c>
      <c r="U1620">
        <v>-2.4828489999999999</v>
      </c>
      <c r="V1620">
        <v>0.15483250000000001</v>
      </c>
      <c r="W1620">
        <v>-7.7884060000000005E-2</v>
      </c>
      <c r="X1620">
        <v>0.98486600000000002</v>
      </c>
      <c r="Y1620">
        <v>0.40124789999999999</v>
      </c>
      <c r="Z1620">
        <v>0.1032106</v>
      </c>
      <c r="AA1620">
        <v>0.91013599999999995</v>
      </c>
      <c r="AB1620">
        <v>22</v>
      </c>
      <c r="AC1620">
        <v>-5.70779999999999</v>
      </c>
      <c r="AD1620">
        <v>-1.107012534011</v>
      </c>
      <c r="AE1620">
        <v>-7.5798999999999497</v>
      </c>
      <c r="AF1620">
        <v>3.8673506559925701</v>
      </c>
      <c r="AG1620">
        <v>-1.107012534011</v>
      </c>
      <c r="AH1620">
        <v>8.5250019495545306</v>
      </c>
      <c r="AI1620">
        <v>96.744214654303605</v>
      </c>
      <c r="AJ1620">
        <v>65.598671940212</v>
      </c>
      <c r="AK1620">
        <v>9.4264275357513991</v>
      </c>
      <c r="AL1620">
        <v>94.466951597204101</v>
      </c>
      <c r="AM1620">
        <v>81.065558213471803</v>
      </c>
      <c r="AN1620">
        <v>1.00000003390716</v>
      </c>
    </row>
    <row r="1621" spans="1:40" x14ac:dyDescent="0.25">
      <c r="A1621" t="str">
        <f>"20190305135224592"</f>
        <v>20190305135224592</v>
      </c>
      <c r="B1621" t="str">
        <f>"1551765144580696"</f>
        <v>1551765144580696</v>
      </c>
      <c r="C1621" t="s">
        <v>40</v>
      </c>
      <c r="D1621">
        <v>5.0273690000000002</v>
      </c>
      <c r="E1621">
        <v>0.60605209999999998</v>
      </c>
      <c r="F1621" t="s">
        <v>55</v>
      </c>
      <c r="G1621">
        <v>-200.9881</v>
      </c>
      <c r="H1621" s="1">
        <v>2.2641230000000001E-6</v>
      </c>
      <c r="I1621">
        <v>289.08949999999999</v>
      </c>
      <c r="J1621">
        <v>-193.2663</v>
      </c>
      <c r="K1621">
        <v>1.1070150000000001</v>
      </c>
      <c r="L1621">
        <v>299.1567</v>
      </c>
      <c r="M1621">
        <v>-0.22202379999999999</v>
      </c>
      <c r="N1621">
        <v>-1.37672E-2</v>
      </c>
      <c r="O1621">
        <v>-0.97494409999999998</v>
      </c>
      <c r="P1621">
        <v>-0.36889270000000002</v>
      </c>
      <c r="Q1621">
        <v>-9.1476059999999998E-2</v>
      </c>
      <c r="R1621">
        <v>-0.9249598</v>
      </c>
      <c r="S1621">
        <v>-1.868271</v>
      </c>
      <c r="T1621">
        <v>-0.26580479999999901</v>
      </c>
      <c r="U1621">
        <v>-2.475006</v>
      </c>
      <c r="V1621">
        <v>0.15385599999999999</v>
      </c>
      <c r="W1621">
        <v>-7.8799140000000004E-2</v>
      </c>
      <c r="X1621">
        <v>0.98494619999999999</v>
      </c>
      <c r="Y1621">
        <v>0.40827259999999999</v>
      </c>
      <c r="Z1621">
        <v>7.4604530000000002E-2</v>
      </c>
      <c r="AA1621">
        <v>0.90980640000000002</v>
      </c>
      <c r="AB1621">
        <v>22</v>
      </c>
      <c r="AC1621">
        <v>-7.7218</v>
      </c>
      <c r="AD1621">
        <v>-1.1070127358770001</v>
      </c>
      <c r="AE1621">
        <v>-10.0672</v>
      </c>
      <c r="AF1621">
        <v>5.2536713361270602</v>
      </c>
      <c r="AG1621">
        <v>-1.1070127358770001</v>
      </c>
      <c r="AH1621">
        <v>11.4433561906158</v>
      </c>
      <c r="AI1621">
        <v>95.024292731382403</v>
      </c>
      <c r="AJ1621">
        <v>65.340035106877906</v>
      </c>
      <c r="AK1621">
        <v>12.6402903689252</v>
      </c>
      <c r="AL1621">
        <v>94.519543632393393</v>
      </c>
      <c r="AM1621">
        <v>81.121716967480793</v>
      </c>
      <c r="AN1621">
        <v>0.99999999504758896</v>
      </c>
    </row>
    <row r="1622" spans="1:40" x14ac:dyDescent="0.25">
      <c r="A1622" t="str">
        <f>"20190305135224615"</f>
        <v>20190305135224615</v>
      </c>
      <c r="B1622" t="str">
        <f>"1551765144610952"</f>
        <v>1551765144610952</v>
      </c>
      <c r="C1622" t="s">
        <v>40</v>
      </c>
      <c r="D1622">
        <v>5.1202300000000003</v>
      </c>
      <c r="E1622">
        <v>0.60693140000000001</v>
      </c>
      <c r="F1622" t="s">
        <v>55</v>
      </c>
      <c r="G1622">
        <v>-198.83439999999999</v>
      </c>
      <c r="H1622" s="1">
        <v>1.451938E-6</v>
      </c>
      <c r="I1622">
        <v>291.93770000000001</v>
      </c>
      <c r="J1622">
        <v>-193.3219</v>
      </c>
      <c r="K1622">
        <v>1.1070120000000001</v>
      </c>
      <c r="L1622">
        <v>298.93400000000003</v>
      </c>
      <c r="M1622">
        <v>-0.22596540000000001</v>
      </c>
      <c r="N1622">
        <v>-1.3765039999999999E-2</v>
      </c>
      <c r="O1622">
        <v>-0.97403819999999997</v>
      </c>
      <c r="P1622">
        <v>-0.37211670000000002</v>
      </c>
      <c r="Q1622">
        <v>-9.2418520000000004E-2</v>
      </c>
      <c r="R1622">
        <v>-0.9235738</v>
      </c>
      <c r="S1622">
        <v>-1.8912199999999999</v>
      </c>
      <c r="T1622">
        <v>-0.37599670000000002</v>
      </c>
      <c r="U1622">
        <v>-2.4519039999999999</v>
      </c>
      <c r="V1622">
        <v>0.1533265</v>
      </c>
      <c r="W1622">
        <v>-7.9736139999999997E-2</v>
      </c>
      <c r="X1622">
        <v>0.98495330000000003</v>
      </c>
      <c r="Y1622">
        <v>0.41188219999999998</v>
      </c>
      <c r="Z1622">
        <v>0.1106867</v>
      </c>
      <c r="AA1622">
        <v>0.9044896</v>
      </c>
      <c r="AB1622">
        <v>22</v>
      </c>
      <c r="AC1622">
        <v>-5.5124999999999797</v>
      </c>
      <c r="AD1622">
        <v>-1.1070105480620001</v>
      </c>
      <c r="AE1622">
        <v>-6.9963000000000104</v>
      </c>
      <c r="AF1622">
        <v>3.7311880269015099</v>
      </c>
      <c r="AG1622">
        <v>-1.1070105480620001</v>
      </c>
      <c r="AH1622">
        <v>7.9384382599395398</v>
      </c>
      <c r="AI1622">
        <v>97.192944653786398</v>
      </c>
      <c r="AJ1622">
        <v>64.825753996082895</v>
      </c>
      <c r="AK1622">
        <v>8.8411559454906996</v>
      </c>
      <c r="AL1622">
        <v>94.573399517122894</v>
      </c>
      <c r="AM1622">
        <v>81.151850316254396</v>
      </c>
      <c r="AN1622">
        <v>0.999999935402617</v>
      </c>
    </row>
    <row r="1623" spans="1:40" x14ac:dyDescent="0.25">
      <c r="A1623" t="str">
        <f>"20190305135224637"</f>
        <v>20190305135224637</v>
      </c>
      <c r="B1623" t="str">
        <f>"1551765144631447"</f>
        <v>1551765144631447</v>
      </c>
      <c r="C1623" t="s">
        <v>40</v>
      </c>
      <c r="D1623">
        <v>5.0280170000000002</v>
      </c>
      <c r="E1623">
        <v>0.60759629999999998</v>
      </c>
      <c r="F1623" t="s">
        <v>55</v>
      </c>
      <c r="G1623">
        <v>-199.67689999999999</v>
      </c>
      <c r="H1623" s="1">
        <v>1.581339E-6</v>
      </c>
      <c r="I1623">
        <v>290.77870000000001</v>
      </c>
      <c r="J1623">
        <v>-193.37350000000001</v>
      </c>
      <c r="K1623">
        <v>1.1069979999999999</v>
      </c>
      <c r="L1623">
        <v>298.73059999999998</v>
      </c>
      <c r="M1623">
        <v>-0.22958000000000001</v>
      </c>
      <c r="N1623">
        <v>-1.3763259999999999E-2</v>
      </c>
      <c r="O1623">
        <v>-0.97319250000000002</v>
      </c>
      <c r="P1623">
        <v>-0.37533759999999999</v>
      </c>
      <c r="Q1623">
        <v>-9.3838790000000005E-2</v>
      </c>
      <c r="R1623">
        <v>-0.922126</v>
      </c>
      <c r="S1623">
        <v>-1.9067080000000001</v>
      </c>
      <c r="T1623">
        <v>-0.33213890000000001</v>
      </c>
      <c r="U1623">
        <v>-2.4468380000000001</v>
      </c>
      <c r="V1623">
        <v>0.15313309999999999</v>
      </c>
      <c r="W1623">
        <v>-8.115675E-2</v>
      </c>
      <c r="X1623">
        <v>0.98486750000000001</v>
      </c>
      <c r="Y1623">
        <v>0.4139466</v>
      </c>
      <c r="Z1623">
        <v>9.6304260000000003E-2</v>
      </c>
      <c r="AA1623">
        <v>0.90519260000000001</v>
      </c>
      <c r="AB1623">
        <v>22</v>
      </c>
      <c r="AC1623">
        <v>-6.3033999999999804</v>
      </c>
      <c r="AD1623">
        <v>-1.106996418661</v>
      </c>
      <c r="AE1623">
        <v>-7.9518999999999602</v>
      </c>
      <c r="AF1623">
        <v>4.2585494886441602</v>
      </c>
      <c r="AG1623">
        <v>-1.106996418661</v>
      </c>
      <c r="AH1623">
        <v>9.0786843092409395</v>
      </c>
      <c r="AI1623">
        <v>96.299500987724599</v>
      </c>
      <c r="AJ1623">
        <v>64.870078085518202</v>
      </c>
      <c r="AK1623">
        <v>10.0887657126636</v>
      </c>
      <c r="AL1623">
        <v>94.655058483697999</v>
      </c>
      <c r="AM1623">
        <v>81.162077026418601</v>
      </c>
      <c r="AN1623">
        <v>1.0000000784712</v>
      </c>
    </row>
    <row r="1624" spans="1:40" x14ac:dyDescent="0.25">
      <c r="A1624" t="str">
        <f>"20190305135224655"</f>
        <v>20190305135224655</v>
      </c>
      <c r="B1624" t="str">
        <f>"1551765144650968"</f>
        <v>1551765144650968</v>
      </c>
      <c r="C1624" t="s">
        <v>40</v>
      </c>
      <c r="D1624">
        <v>5.0401290000000003</v>
      </c>
      <c r="E1624">
        <v>0.60754180000000002</v>
      </c>
      <c r="F1624" t="s">
        <v>55</v>
      </c>
      <c r="G1624">
        <v>-199.97049999999999</v>
      </c>
      <c r="H1624" s="1">
        <v>1.6377959999999999E-6</v>
      </c>
      <c r="I1624">
        <v>290.3519</v>
      </c>
      <c r="J1624">
        <v>-193.41909999999999</v>
      </c>
      <c r="K1624">
        <v>1.1069789999999999</v>
      </c>
      <c r="L1624">
        <v>298.55369999999999</v>
      </c>
      <c r="M1624">
        <v>-0.2327486</v>
      </c>
      <c r="N1624">
        <v>-1.376221E-2</v>
      </c>
      <c r="O1624">
        <v>-0.97243970000000002</v>
      </c>
      <c r="P1624">
        <v>-0.37747239999999999</v>
      </c>
      <c r="Q1624">
        <v>-9.691226E-2</v>
      </c>
      <c r="R1624">
        <v>-0.92093579999999997</v>
      </c>
      <c r="S1624">
        <v>-1.920288</v>
      </c>
      <c r="T1624">
        <v>-0.3222332</v>
      </c>
      <c r="U1624">
        <v>-2.4389340000000002</v>
      </c>
      <c r="V1624">
        <v>0.15226300000000001</v>
      </c>
      <c r="W1624">
        <v>-8.4230609999999997E-2</v>
      </c>
      <c r="X1624">
        <v>0.98474419999999996</v>
      </c>
      <c r="Y1624">
        <v>0.41572550000000003</v>
      </c>
      <c r="Z1624">
        <v>9.3053940000000002E-2</v>
      </c>
      <c r="AA1624">
        <v>0.9047172</v>
      </c>
      <c r="AB1624">
        <v>22</v>
      </c>
      <c r="AC1624">
        <v>-6.5514000000000001</v>
      </c>
      <c r="AD1624">
        <v>-1.106977362204</v>
      </c>
      <c r="AE1624">
        <v>-8.2017999999999898</v>
      </c>
      <c r="AF1624">
        <v>4.4132275809555503</v>
      </c>
      <c r="AG1624">
        <v>-1.106977362204</v>
      </c>
      <c r="AH1624">
        <v>9.3969821714930202</v>
      </c>
      <c r="AI1624">
        <v>96.086319349865903</v>
      </c>
      <c r="AJ1624">
        <v>64.843228066747699</v>
      </c>
      <c r="AK1624">
        <v>10.440557958897401</v>
      </c>
      <c r="AL1624">
        <v>94.831783511191702</v>
      </c>
      <c r="AM1624">
        <v>81.210424594573595</v>
      </c>
      <c r="AN1624">
        <v>0.99999997813180497</v>
      </c>
    </row>
    <row r="1625" spans="1:40" x14ac:dyDescent="0.25">
      <c r="A1625" t="str">
        <f>"20190305135224679"</f>
        <v>20190305135224679</v>
      </c>
      <c r="B1625" t="str">
        <f>"1551765144671465"</f>
        <v>1551765144671465</v>
      </c>
      <c r="C1625" t="s">
        <v>40</v>
      </c>
      <c r="D1625">
        <v>5.02285</v>
      </c>
      <c r="E1625">
        <v>0.60818859999999997</v>
      </c>
      <c r="F1625" t="s">
        <v>55</v>
      </c>
      <c r="G1625">
        <v>-199.7294</v>
      </c>
      <c r="H1625" s="1">
        <v>1.6117759999999999E-6</v>
      </c>
      <c r="I1625">
        <v>290.5795</v>
      </c>
      <c r="J1625">
        <v>-193.47900000000001</v>
      </c>
      <c r="K1625">
        <v>1.106957</v>
      </c>
      <c r="L1625">
        <v>298.32490000000001</v>
      </c>
      <c r="M1625">
        <v>-0.23690749999999999</v>
      </c>
      <c r="N1625">
        <v>-1.376175E-2</v>
      </c>
      <c r="O1625">
        <v>-0.97143489999999999</v>
      </c>
      <c r="P1625">
        <v>-0.37920520000000002</v>
      </c>
      <c r="Q1625">
        <v>-0.10068100000000001</v>
      </c>
      <c r="R1625">
        <v>-0.91981900000000005</v>
      </c>
      <c r="S1625">
        <v>-1.925278</v>
      </c>
      <c r="T1625">
        <v>-0.33773700000000001</v>
      </c>
      <c r="U1625">
        <v>-2.432922</v>
      </c>
      <c r="V1625">
        <v>0.149974</v>
      </c>
      <c r="W1625">
        <v>-8.7997149999999996E-2</v>
      </c>
      <c r="X1625">
        <v>0.98476609999999998</v>
      </c>
      <c r="Y1625">
        <v>0.41374650000000002</v>
      </c>
      <c r="Z1625">
        <v>9.8131350000000006E-2</v>
      </c>
      <c r="AA1625">
        <v>0.90508789999999995</v>
      </c>
      <c r="AB1625">
        <v>22</v>
      </c>
      <c r="AC1625">
        <v>-6.2503999999999804</v>
      </c>
      <c r="AD1625">
        <v>-1.106955388224</v>
      </c>
      <c r="AE1625">
        <v>-7.7454000000000098</v>
      </c>
      <c r="AF1625">
        <v>4.18553908646832</v>
      </c>
      <c r="AG1625">
        <v>-1.106955388224</v>
      </c>
      <c r="AH1625">
        <v>8.8957302886694993</v>
      </c>
      <c r="AI1625">
        <v>96.424218876900497</v>
      </c>
      <c r="AJ1625">
        <v>64.802498706602606</v>
      </c>
      <c r="AK1625">
        <v>9.8933363960103993</v>
      </c>
      <c r="AL1625">
        <v>95.048395103087003</v>
      </c>
      <c r="AM1625">
        <v>81.340731782652398</v>
      </c>
      <c r="AN1625">
        <v>0.99999998539666601</v>
      </c>
    </row>
    <row r="1626" spans="1:40" x14ac:dyDescent="0.25">
      <c r="A1626" t="str">
        <f>"20190305135224701"</f>
        <v>20190305135224701</v>
      </c>
      <c r="B1626" t="str">
        <f>"1551765144690993"</f>
        <v>1551765144690993</v>
      </c>
      <c r="C1626" t="s">
        <v>40</v>
      </c>
      <c r="D1626">
        <v>5.052333</v>
      </c>
      <c r="E1626">
        <v>0.60863299999999998</v>
      </c>
      <c r="F1626" t="s">
        <v>55</v>
      </c>
      <c r="G1626">
        <v>-199.6276</v>
      </c>
      <c r="H1626" s="1">
        <v>1.61451E-6</v>
      </c>
      <c r="I1626">
        <v>290.61520000000002</v>
      </c>
      <c r="J1626">
        <v>-193.53450000000001</v>
      </c>
      <c r="K1626">
        <v>1.106924</v>
      </c>
      <c r="L1626">
        <v>298.1164</v>
      </c>
      <c r="M1626">
        <v>-0.24078939999999999</v>
      </c>
      <c r="N1626">
        <v>-1.3762959999999999E-2</v>
      </c>
      <c r="O1626">
        <v>-0.9704798</v>
      </c>
      <c r="P1626">
        <v>-0.38116679999999997</v>
      </c>
      <c r="Q1626">
        <v>-9.9471950000000003E-2</v>
      </c>
      <c r="R1626">
        <v>-0.91913940000000005</v>
      </c>
      <c r="S1626">
        <v>-1.934647</v>
      </c>
      <c r="T1626">
        <v>-0.3483</v>
      </c>
      <c r="U1626">
        <v>-2.4258120000000001</v>
      </c>
      <c r="V1626">
        <v>0.1481046</v>
      </c>
      <c r="W1626">
        <v>-8.6789240000000004E-2</v>
      </c>
      <c r="X1626">
        <v>0.98515620000000004</v>
      </c>
      <c r="Y1626">
        <v>0.41331560000000001</v>
      </c>
      <c r="Z1626">
        <v>0.1015537</v>
      </c>
      <c r="AA1626">
        <v>0.90490720000000002</v>
      </c>
      <c r="AB1626">
        <v>22</v>
      </c>
      <c r="AC1626">
        <v>-6.09309999999999</v>
      </c>
      <c r="AD1626">
        <v>-1.1069223854899899</v>
      </c>
      <c r="AE1626">
        <v>-7.5011999999999803</v>
      </c>
      <c r="AF1626">
        <v>4.0542208685746202</v>
      </c>
      <c r="AG1626">
        <v>-1.1069223854899899</v>
      </c>
      <c r="AH1626">
        <v>8.6344659840264093</v>
      </c>
      <c r="AI1626">
        <v>96.619164305529296</v>
      </c>
      <c r="AJ1626">
        <v>64.848100895937094</v>
      </c>
      <c r="AK1626">
        <v>9.6029155389388894</v>
      </c>
      <c r="AL1626">
        <v>94.978920857690497</v>
      </c>
      <c r="AM1626">
        <v>81.450398602785796</v>
      </c>
      <c r="AN1626">
        <v>1.0000000415596799</v>
      </c>
    </row>
    <row r="1627" spans="1:40" x14ac:dyDescent="0.25">
      <c r="A1627" t="str">
        <f>"20190305135224723"</f>
        <v>20190305135224723</v>
      </c>
      <c r="B1627" t="str">
        <f>"1551765144711483"</f>
        <v>1551765144711483</v>
      </c>
      <c r="C1627" t="s">
        <v>40</v>
      </c>
      <c r="D1627">
        <v>5.0717949999999998</v>
      </c>
      <c r="E1627">
        <v>0.60942839999999998</v>
      </c>
      <c r="F1627" t="s">
        <v>55</v>
      </c>
      <c r="G1627">
        <v>-199.7362</v>
      </c>
      <c r="H1627" s="1">
        <v>1.6441850000000001E-6</v>
      </c>
      <c r="I1627">
        <v>290.392</v>
      </c>
      <c r="J1627">
        <v>-193.58949999999999</v>
      </c>
      <c r="K1627">
        <v>1.1068709999999999</v>
      </c>
      <c r="L1627">
        <v>297.91370000000001</v>
      </c>
      <c r="M1627">
        <v>-0.24469109999999999</v>
      </c>
      <c r="N1627">
        <v>-1.376606E-2</v>
      </c>
      <c r="O1627">
        <v>-0.96950320000000001</v>
      </c>
      <c r="P1627">
        <v>-0.38419520000000001</v>
      </c>
      <c r="Q1627">
        <v>-9.5636429999999995E-2</v>
      </c>
      <c r="R1627">
        <v>-0.91828520000000002</v>
      </c>
      <c r="S1627">
        <v>-1.9433290000000001</v>
      </c>
      <c r="T1627">
        <v>-0.34686149999999999</v>
      </c>
      <c r="U1627">
        <v>-2.420471</v>
      </c>
      <c r="V1627">
        <v>0.14729729999999999</v>
      </c>
      <c r="W1627">
        <v>-8.2968390000000003E-2</v>
      </c>
      <c r="X1627">
        <v>0.98560630000000005</v>
      </c>
      <c r="Y1627">
        <v>0.41264129999999899</v>
      </c>
      <c r="Z1627">
        <v>0.10103819999999999</v>
      </c>
      <c r="AA1627">
        <v>0.90527259999999998</v>
      </c>
      <c r="AB1627">
        <v>22</v>
      </c>
      <c r="AC1627">
        <v>-6.1467000000000098</v>
      </c>
      <c r="AD1627">
        <v>-1.106869355815</v>
      </c>
      <c r="AE1627">
        <v>-7.5217000000000098</v>
      </c>
      <c r="AF1627">
        <v>4.0663450671694203</v>
      </c>
      <c r="AG1627">
        <v>-1.106869355815</v>
      </c>
      <c r="AH1627">
        <v>8.6844297524344398</v>
      </c>
      <c r="AI1627">
        <v>96.584378822832605</v>
      </c>
      <c r="AJ1627">
        <v>64.9094098049368</v>
      </c>
      <c r="AK1627">
        <v>9.6529602765734008</v>
      </c>
      <c r="AL1627">
        <v>94.759209407518398</v>
      </c>
      <c r="AM1627">
        <v>81.500144912396294</v>
      </c>
      <c r="AN1627">
        <v>1.00000001346308</v>
      </c>
    </row>
    <row r="1628" spans="1:40" x14ac:dyDescent="0.25">
      <c r="A1628" t="str">
        <f>"20190305135224745"</f>
        <v>20190305135224745</v>
      </c>
      <c r="B1628" t="str">
        <f>"1551765144740760"</f>
        <v>1551765144740760</v>
      </c>
      <c r="C1628" t="s">
        <v>40</v>
      </c>
      <c r="D1628">
        <v>5.016972</v>
      </c>
      <c r="E1628">
        <v>0.61037209999999997</v>
      </c>
      <c r="F1628" t="s">
        <v>55</v>
      </c>
      <c r="G1628">
        <v>-200.04169999999999</v>
      </c>
      <c r="H1628" s="1">
        <v>1.741625E-6</v>
      </c>
      <c r="I1628">
        <v>289.95940000000002</v>
      </c>
      <c r="J1628">
        <v>-193.64599999999999</v>
      </c>
      <c r="K1628">
        <v>1.106787</v>
      </c>
      <c r="L1628">
        <v>297.7097</v>
      </c>
      <c r="M1628">
        <v>-0.2487953</v>
      </c>
      <c r="N1628">
        <v>-1.3771769999999999E-2</v>
      </c>
      <c r="O1628">
        <v>-0.96845829999999999</v>
      </c>
      <c r="P1628">
        <v>-0.38771240000000001</v>
      </c>
      <c r="Q1628">
        <v>-9.1646930000000001E-2</v>
      </c>
      <c r="R1628">
        <v>-0.9172131</v>
      </c>
      <c r="S1628">
        <v>-1.9573670000000001</v>
      </c>
      <c r="T1628">
        <v>-0.33578709999999901</v>
      </c>
      <c r="U1628">
        <v>-2.4130549999999999</v>
      </c>
      <c r="V1628">
        <v>0.14680190000000001</v>
      </c>
      <c r="W1628">
        <v>-7.9005779999999998E-2</v>
      </c>
      <c r="X1628">
        <v>0.98600569999999998</v>
      </c>
      <c r="Y1628">
        <v>0.41357240000000001</v>
      </c>
      <c r="Z1628">
        <v>9.7361530000000002E-2</v>
      </c>
      <c r="AA1628">
        <v>0.90525049999999996</v>
      </c>
      <c r="AB1628">
        <v>22</v>
      </c>
      <c r="AC1628">
        <v>-6.3956999999999997</v>
      </c>
      <c r="AD1628">
        <v>-1.106785258375</v>
      </c>
      <c r="AE1628">
        <v>-7.7502999999999798</v>
      </c>
      <c r="AF1628">
        <v>4.2149990769222603</v>
      </c>
      <c r="AG1628">
        <v>-1.106785258375</v>
      </c>
      <c r="AH1628">
        <v>8.9888729637050293</v>
      </c>
      <c r="AI1628">
        <v>96.361108435441395</v>
      </c>
      <c r="AJ1628">
        <v>64.877510411133301</v>
      </c>
      <c r="AK1628">
        <v>9.98954593483802</v>
      </c>
      <c r="AL1628">
        <v>94.531420347142202</v>
      </c>
      <c r="AM1628">
        <v>81.531698512372103</v>
      </c>
      <c r="AN1628">
        <v>0.99999997577475397</v>
      </c>
    </row>
    <row r="1629" spans="1:40" x14ac:dyDescent="0.25">
      <c r="A1629" t="str">
        <f>"20190305135224768"</f>
        <v>20190305135224768</v>
      </c>
      <c r="B1629" t="str">
        <f>"1551765144761256"</f>
        <v>1551765144761256</v>
      </c>
      <c r="C1629" t="s">
        <v>40</v>
      </c>
      <c r="D1629">
        <v>5.0509469999999999</v>
      </c>
      <c r="E1629">
        <v>0.61116959999999998</v>
      </c>
      <c r="F1629" t="s">
        <v>55</v>
      </c>
      <c r="G1629">
        <v>-200.38919999999999</v>
      </c>
      <c r="H1629" s="1">
        <v>1.9628489999999999E-6</v>
      </c>
      <c r="I1629">
        <v>289.49779999999998</v>
      </c>
      <c r="J1629">
        <v>-193.70670000000001</v>
      </c>
      <c r="K1629">
        <v>1.1066499999999999</v>
      </c>
      <c r="L1629">
        <v>297.49520000000001</v>
      </c>
      <c r="M1629">
        <v>-0.25336560000000002</v>
      </c>
      <c r="N1629">
        <v>-1.378149E-2</v>
      </c>
      <c r="O1629">
        <v>-0.96727269999999999</v>
      </c>
      <c r="P1629">
        <v>-0.3913142</v>
      </c>
      <c r="Q1629">
        <v>-8.8607770000000002E-2</v>
      </c>
      <c r="R1629">
        <v>-0.91598170000000001</v>
      </c>
      <c r="S1629">
        <v>-1.97403</v>
      </c>
      <c r="T1629">
        <v>-0.32400240000000002</v>
      </c>
      <c r="U1629">
        <v>-2.4039609999999998</v>
      </c>
      <c r="V1629">
        <v>0.14593599999999901</v>
      </c>
      <c r="W1629">
        <v>-7.6003080000000001E-2</v>
      </c>
      <c r="X1629">
        <v>0.98637019999999997</v>
      </c>
      <c r="Y1629">
        <v>0.41496139999999998</v>
      </c>
      <c r="Z1629">
        <v>9.3447020000000006E-2</v>
      </c>
      <c r="AA1629">
        <v>0.90502740000000004</v>
      </c>
      <c r="AB1629">
        <v>22</v>
      </c>
      <c r="AC1629">
        <v>-6.6824999999999699</v>
      </c>
      <c r="AD1629">
        <v>-1.1066480371509999</v>
      </c>
      <c r="AE1629">
        <v>-7.9974000000000203</v>
      </c>
      <c r="AF1629">
        <v>4.3884722273917101</v>
      </c>
      <c r="AG1629">
        <v>-1.1066480371509999</v>
      </c>
      <c r="AH1629">
        <v>9.3245373396659801</v>
      </c>
      <c r="AI1629">
        <v>96.129107675397194</v>
      </c>
      <c r="AJ1629">
        <v>64.796589212997205</v>
      </c>
      <c r="AK1629">
        <v>10.364861550814</v>
      </c>
      <c r="AL1629">
        <v>94.358859167832307</v>
      </c>
      <c r="AM1629">
        <v>81.583996774755704</v>
      </c>
      <c r="AN1629">
        <v>0.99999997785676298</v>
      </c>
    </row>
    <row r="1630" spans="1:40" x14ac:dyDescent="0.25">
      <c r="A1630" t="str">
        <f>"20190305135224790"</f>
        <v>20190305135224790</v>
      </c>
      <c r="B1630" t="str">
        <f>"1551765144780776"</f>
        <v>1551765144780776</v>
      </c>
      <c r="C1630" t="s">
        <v>40</v>
      </c>
      <c r="D1630">
        <v>5.0759150000000002</v>
      </c>
      <c r="E1630">
        <v>0.61200759999999998</v>
      </c>
      <c r="F1630" t="s">
        <v>55</v>
      </c>
      <c r="G1630">
        <v>-200.72900000000001</v>
      </c>
      <c r="H1630" s="1">
        <v>2.153377E-6</v>
      </c>
      <c r="I1630">
        <v>289.04180000000002</v>
      </c>
      <c r="J1630">
        <v>-193.76779999999999</v>
      </c>
      <c r="K1630">
        <v>1.1064799999999999</v>
      </c>
      <c r="L1630">
        <v>297.28429999999997</v>
      </c>
      <c r="M1630">
        <v>-0.25814160000000003</v>
      </c>
      <c r="N1630">
        <v>-1.3794860000000001E-2</v>
      </c>
      <c r="O1630">
        <v>-0.9660088</v>
      </c>
      <c r="P1630">
        <v>-0.39538600000000002</v>
      </c>
      <c r="Q1630">
        <v>-8.6993310000000004E-2</v>
      </c>
      <c r="R1630">
        <v>-0.91438649999999999</v>
      </c>
      <c r="S1630">
        <v>-1.9895020000000001</v>
      </c>
      <c r="T1630">
        <v>-0.31352629999999998</v>
      </c>
      <c r="U1630">
        <v>-2.3949579999999999</v>
      </c>
      <c r="V1630">
        <v>0.14538999999999999</v>
      </c>
      <c r="W1630">
        <v>-7.4433239999999998E-2</v>
      </c>
      <c r="X1630">
        <v>0.98657050000000002</v>
      </c>
      <c r="Y1630">
        <v>0.415823</v>
      </c>
      <c r="Z1630">
        <v>8.9966889999999994E-2</v>
      </c>
      <c r="AA1630">
        <v>0.90498469999999998</v>
      </c>
      <c r="AB1630">
        <v>22</v>
      </c>
      <c r="AC1630">
        <v>-6.9612000000000096</v>
      </c>
      <c r="AD1630">
        <v>-1.1064778466230001</v>
      </c>
      <c r="AE1630">
        <v>-8.24249999999995</v>
      </c>
      <c r="AF1630">
        <v>4.5494328378326996</v>
      </c>
      <c r="AG1630">
        <v>-1.1064778466230001</v>
      </c>
      <c r="AH1630">
        <v>9.6586377705141704</v>
      </c>
      <c r="AI1630">
        <v>95.916852323495405</v>
      </c>
      <c r="AJ1630">
        <v>64.778523268567298</v>
      </c>
      <c r="AK1630">
        <v>10.7336347968906</v>
      </c>
      <c r="AL1630">
        <v>94.268658516378807</v>
      </c>
      <c r="AM1630">
        <v>81.616713824344004</v>
      </c>
      <c r="AN1630">
        <v>0.999999955393572</v>
      </c>
    </row>
    <row r="1631" spans="1:40" x14ac:dyDescent="0.25">
      <c r="A1631" t="str">
        <f>"20190305135224814"</f>
        <v>20190305135224814</v>
      </c>
      <c r="B1631" t="str">
        <f>"1551765144811031"</f>
        <v>1551765144811031</v>
      </c>
      <c r="C1631" t="s">
        <v>40</v>
      </c>
      <c r="D1631">
        <v>5.035088</v>
      </c>
      <c r="E1631">
        <v>0.61321680000000001</v>
      </c>
      <c r="F1631" t="s">
        <v>55</v>
      </c>
      <c r="G1631">
        <v>-200.9083</v>
      </c>
      <c r="H1631" s="1">
        <v>2.253947E-6</v>
      </c>
      <c r="I1631">
        <v>288.80090000000001</v>
      </c>
      <c r="J1631">
        <v>-193.83439999999999</v>
      </c>
      <c r="K1631">
        <v>1.1062909999999999</v>
      </c>
      <c r="L1631">
        <v>297.06</v>
      </c>
      <c r="M1631">
        <v>-0.26350679999999999</v>
      </c>
      <c r="N1631">
        <v>-1.381133E-2</v>
      </c>
      <c r="O1631">
        <v>-0.96455869999999999</v>
      </c>
      <c r="P1631">
        <v>-0.40098420000000001</v>
      </c>
      <c r="Q1631">
        <v>-8.6453970000000005E-2</v>
      </c>
      <c r="R1631">
        <v>-0.91199660000000005</v>
      </c>
      <c r="S1631">
        <v>-2.0064090000000001</v>
      </c>
      <c r="T1631">
        <v>-0.31090990000000002</v>
      </c>
      <c r="U1631">
        <v>-2.383759</v>
      </c>
      <c r="V1631">
        <v>0.1459107</v>
      </c>
      <c r="W1631">
        <v>-7.3948600000000003E-2</v>
      </c>
      <c r="X1631">
        <v>0.98653009999999997</v>
      </c>
      <c r="Y1631">
        <v>0.41668369999999999</v>
      </c>
      <c r="Z1631">
        <v>8.9054809999999998E-2</v>
      </c>
      <c r="AA1631">
        <v>0.90467889999999995</v>
      </c>
      <c r="AB1631">
        <v>22</v>
      </c>
      <c r="AC1631">
        <v>-7.0739000000000001</v>
      </c>
      <c r="AD1631">
        <v>-1.106288746053</v>
      </c>
      <c r="AE1631">
        <v>-8.2590999999999894</v>
      </c>
      <c r="AF1631">
        <v>4.5997005908430904</v>
      </c>
      <c r="AG1631">
        <v>-1.106288746053</v>
      </c>
      <c r="AH1631">
        <v>9.7306362203759296</v>
      </c>
      <c r="AI1631">
        <v>95.8686016910153</v>
      </c>
      <c r="AJ1631">
        <v>64.6997597376144</v>
      </c>
      <c r="AK1631">
        <v>10.8197228045979</v>
      </c>
      <c r="AL1631">
        <v>94.240813832873798</v>
      </c>
      <c r="AM1631">
        <v>81.586779251425398</v>
      </c>
      <c r="AN1631">
        <v>0.99999998301122905</v>
      </c>
    </row>
    <row r="1632" spans="1:40" x14ac:dyDescent="0.25">
      <c r="A1632" t="str">
        <f>"20190305135224836"</f>
        <v>20190305135224836</v>
      </c>
      <c r="B1632" t="str">
        <f>"1551765144831528"</f>
        <v>1551765144831528</v>
      </c>
      <c r="C1632" t="s">
        <v>40</v>
      </c>
      <c r="D1632">
        <v>5.0688899999999997</v>
      </c>
      <c r="E1632">
        <v>0.6137127</v>
      </c>
      <c r="F1632" t="s">
        <v>55</v>
      </c>
      <c r="G1632">
        <v>-200.96299999999999</v>
      </c>
      <c r="H1632" s="1">
        <v>2.2829429999999999E-6</v>
      </c>
      <c r="I1632">
        <v>288.74700000000001</v>
      </c>
      <c r="J1632">
        <v>-193.89660000000001</v>
      </c>
      <c r="K1632">
        <v>1.1061160000000001</v>
      </c>
      <c r="L1632">
        <v>296.85550000000001</v>
      </c>
      <c r="M1632">
        <v>-0.268679099999999</v>
      </c>
      <c r="N1632">
        <v>-1.382708E-2</v>
      </c>
      <c r="O1632">
        <v>-0.9631305</v>
      </c>
      <c r="P1632">
        <v>-0.40736860000000003</v>
      </c>
      <c r="Q1632">
        <v>-8.7336899999999995E-2</v>
      </c>
      <c r="R1632">
        <v>-0.90907819999999995</v>
      </c>
      <c r="S1632">
        <v>-2.0298919999999998</v>
      </c>
      <c r="T1632">
        <v>-0.3150173</v>
      </c>
      <c r="U1632">
        <v>-2.3671259999999998</v>
      </c>
      <c r="V1632">
        <v>0.14751689999999901</v>
      </c>
      <c r="W1632">
        <v>-7.4893329999999994E-2</v>
      </c>
      <c r="X1632">
        <v>0.98621990000000004</v>
      </c>
      <c r="Y1632">
        <v>0.42004380000000002</v>
      </c>
      <c r="Z1632">
        <v>9.0354130000000005E-2</v>
      </c>
      <c r="AA1632">
        <v>0.90299470000000004</v>
      </c>
      <c r="AB1632">
        <v>22</v>
      </c>
      <c r="AC1632">
        <v>-7.0663999999999803</v>
      </c>
      <c r="AD1632">
        <v>-1.1061137170569999</v>
      </c>
      <c r="AE1632">
        <v>-8.1084999999999905</v>
      </c>
      <c r="AF1632">
        <v>4.5792912207541496</v>
      </c>
      <c r="AG1632">
        <v>-1.1061137170569999</v>
      </c>
      <c r="AH1632">
        <v>9.6074542788419901</v>
      </c>
      <c r="AI1632">
        <v>95.933387036056601</v>
      </c>
      <c r="AJ1632">
        <v>64.5156916856522</v>
      </c>
      <c r="AK1632">
        <v>10.700307161926499</v>
      </c>
      <c r="AL1632">
        <v>94.295093460168303</v>
      </c>
      <c r="AM1632">
        <v>81.492876948398404</v>
      </c>
      <c r="AN1632">
        <v>0.99999996891005305</v>
      </c>
    </row>
    <row r="1633" spans="1:40" x14ac:dyDescent="0.25">
      <c r="A1633" t="str">
        <f>"20190305135224857"</f>
        <v>20190305135224857</v>
      </c>
      <c r="B1633" t="str">
        <f>"1551765144851048"</f>
        <v>1551765144851048</v>
      </c>
      <c r="C1633" t="s">
        <v>40</v>
      </c>
      <c r="D1633">
        <v>5.1201749999999997</v>
      </c>
      <c r="E1633">
        <v>0.62639029999999996</v>
      </c>
      <c r="F1633" t="s">
        <v>55</v>
      </c>
      <c r="G1633">
        <v>-200.99789999999999</v>
      </c>
      <c r="H1633" s="1">
        <v>2.3014530000000001E-6</v>
      </c>
      <c r="I1633">
        <v>288.71190000000001</v>
      </c>
      <c r="J1633">
        <v>-193.9597</v>
      </c>
      <c r="K1633">
        <v>1.105939</v>
      </c>
      <c r="L1633">
        <v>296.65280000000001</v>
      </c>
      <c r="M1633">
        <v>-0.27411370000000002</v>
      </c>
      <c r="N1633">
        <v>-1.3845089999999999E-2</v>
      </c>
      <c r="O1633">
        <v>-0.96159760000000005</v>
      </c>
      <c r="P1633">
        <v>-0.41306219999999999</v>
      </c>
      <c r="Q1633">
        <v>-8.8167670000000004E-2</v>
      </c>
      <c r="R1633">
        <v>-0.90642529999999999</v>
      </c>
      <c r="S1633">
        <v>-2.0498959999999999</v>
      </c>
      <c r="T1633">
        <v>-0.31929669999999999</v>
      </c>
      <c r="U1633">
        <v>-2.3507690000000001</v>
      </c>
      <c r="V1633">
        <v>0.1481152</v>
      </c>
      <c r="W1633">
        <v>-7.5777250000000004E-2</v>
      </c>
      <c r="X1633">
        <v>0.98606269999999996</v>
      </c>
      <c r="Y1633">
        <v>0.4223112</v>
      </c>
      <c r="Z1633">
        <v>9.1745389999999996E-2</v>
      </c>
      <c r="AA1633">
        <v>0.90179600000000004</v>
      </c>
      <c r="AB1633">
        <v>21</v>
      </c>
      <c r="AC1633">
        <v>-7.0381999999999802</v>
      </c>
      <c r="AD1633">
        <v>-1.1059366985470001</v>
      </c>
      <c r="AE1633">
        <v>-7.9408999999999903</v>
      </c>
      <c r="AF1633">
        <v>4.54230448214678</v>
      </c>
      <c r="AG1633">
        <v>-1.1059366985470001</v>
      </c>
      <c r="AH1633">
        <v>9.4633355385542206</v>
      </c>
      <c r="AI1633">
        <v>96.014340271224</v>
      </c>
      <c r="AJ1633">
        <v>64.359469406548797</v>
      </c>
      <c r="AK1633">
        <v>10.555109923870299</v>
      </c>
      <c r="AL1633">
        <v>94.345882646869697</v>
      </c>
      <c r="AM1633">
        <v>81.457540034302397</v>
      </c>
      <c r="AN1633">
        <v>0.99999997620994596</v>
      </c>
    </row>
    <row r="1634" spans="1:40" x14ac:dyDescent="0.25">
      <c r="A1634" t="str">
        <f>"20190305135224879"</f>
        <v>20190305135224879</v>
      </c>
      <c r="B1634" t="str">
        <f>"1551765144871544"</f>
        <v>1551765144871544</v>
      </c>
      <c r="C1634" t="s">
        <v>40</v>
      </c>
      <c r="D1634">
        <v>5.0718290000000001</v>
      </c>
      <c r="E1634">
        <v>0.62624519999999995</v>
      </c>
      <c r="F1634" t="s">
        <v>55</v>
      </c>
      <c r="G1634">
        <v>-200.9316</v>
      </c>
      <c r="H1634" s="1">
        <v>2.2259129999999999E-6</v>
      </c>
      <c r="I1634">
        <v>289.23970000000003</v>
      </c>
      <c r="J1634">
        <v>-194.02269999999999</v>
      </c>
      <c r="K1634">
        <v>1.1057589999999999</v>
      </c>
      <c r="L1634">
        <v>296.4556</v>
      </c>
      <c r="M1634">
        <v>-0.2797135</v>
      </c>
      <c r="N1634">
        <v>-1.386716E-2</v>
      </c>
      <c r="O1634">
        <v>-0.95998349999999999</v>
      </c>
      <c r="P1634">
        <v>-0.41861739999999997</v>
      </c>
      <c r="Q1634">
        <v>-8.7486019999999998E-2</v>
      </c>
      <c r="R1634">
        <v>-0.90393939999999995</v>
      </c>
      <c r="S1634">
        <v>-2.1569669999999999</v>
      </c>
      <c r="T1634">
        <v>-0.34215780000000001</v>
      </c>
      <c r="U1634">
        <v>-2.293488</v>
      </c>
      <c r="V1634">
        <v>0.14837210000000001</v>
      </c>
      <c r="W1634">
        <v>-7.5144760000000005E-2</v>
      </c>
      <c r="X1634">
        <v>0.98607250000000002</v>
      </c>
      <c r="Y1634">
        <v>0.45023160000000001</v>
      </c>
      <c r="Z1634">
        <v>9.8641569999999998E-2</v>
      </c>
      <c r="AA1634">
        <v>0.88744650000000003</v>
      </c>
      <c r="AB1634">
        <v>21</v>
      </c>
      <c r="AC1634">
        <v>-6.9089000000000098</v>
      </c>
      <c r="AD1634">
        <v>-1.105756774087</v>
      </c>
      <c r="AE1634">
        <v>-7.2158999999999702</v>
      </c>
      <c r="AF1634">
        <v>4.5586395427374304</v>
      </c>
      <c r="AG1634">
        <v>-1.105756774087</v>
      </c>
      <c r="AH1634">
        <v>8.7532700805647092</v>
      </c>
      <c r="AI1634">
        <v>96.392831049561096</v>
      </c>
      <c r="AJ1634">
        <v>62.489826767832803</v>
      </c>
      <c r="AK1634">
        <v>9.9309430381690298</v>
      </c>
      <c r="AL1634">
        <v>94.309539934290797</v>
      </c>
      <c r="AM1634">
        <v>81.443026414266797</v>
      </c>
      <c r="AN1634">
        <v>0.999999995135058</v>
      </c>
    </row>
    <row r="1635" spans="1:40" x14ac:dyDescent="0.25">
      <c r="A1635" t="str">
        <f>"20190305135224902"</f>
        <v>20190305135224902</v>
      </c>
      <c r="B1635" t="str">
        <f>"1551765144891064"</f>
        <v>1551765144891064</v>
      </c>
      <c r="C1635" t="s">
        <v>40</v>
      </c>
      <c r="D1635">
        <v>5.1034360000000003</v>
      </c>
      <c r="E1635">
        <v>0.62694179999999999</v>
      </c>
      <c r="F1635" t="s">
        <v>55</v>
      </c>
      <c r="G1635">
        <v>-201.17570000000001</v>
      </c>
      <c r="H1635" s="1">
        <v>2.3605460000000001E-6</v>
      </c>
      <c r="I1635">
        <v>288.93779999999998</v>
      </c>
      <c r="J1635">
        <v>-194.09119999999999</v>
      </c>
      <c r="K1635">
        <v>1.105551</v>
      </c>
      <c r="L1635">
        <v>296.24689999999998</v>
      </c>
      <c r="M1635">
        <v>-0.28598469999999998</v>
      </c>
      <c r="N1635">
        <v>-1.389556E-2</v>
      </c>
      <c r="O1635">
        <v>-0.95813360000000003</v>
      </c>
      <c r="P1635">
        <v>-0.42554940000000002</v>
      </c>
      <c r="Q1635">
        <v>-8.5654720000000004E-2</v>
      </c>
      <c r="R1635">
        <v>-0.90087280000000003</v>
      </c>
      <c r="S1635">
        <v>-2.170471</v>
      </c>
      <c r="T1635">
        <v>-0.33552910000000002</v>
      </c>
      <c r="U1635">
        <v>-2.2811889999999999</v>
      </c>
      <c r="V1635">
        <v>0.14942420000000001</v>
      </c>
      <c r="W1635">
        <v>-7.3377170000000005E-2</v>
      </c>
      <c r="X1635">
        <v>0.98604669999999905</v>
      </c>
      <c r="Y1635">
        <v>0.4497022</v>
      </c>
      <c r="Z1635">
        <v>9.6473439999999994E-2</v>
      </c>
      <c r="AA1635">
        <v>0.887953199999999</v>
      </c>
      <c r="AB1635">
        <v>21</v>
      </c>
      <c r="AC1635">
        <v>-7.08450000000001</v>
      </c>
      <c r="AD1635">
        <v>-1.1055486394539999</v>
      </c>
      <c r="AE1635">
        <v>-7.3090999999999999</v>
      </c>
      <c r="AF1635">
        <v>4.64328652117341</v>
      </c>
      <c r="AG1635">
        <v>-1.1055486394539999</v>
      </c>
      <c r="AH1635">
        <v>8.9247454043380294</v>
      </c>
      <c r="AI1635">
        <v>96.271148796133502</v>
      </c>
      <c r="AJ1635">
        <v>62.513345931253099</v>
      </c>
      <c r="AK1635">
        <v>10.1209400770957</v>
      </c>
      <c r="AL1635">
        <v>94.207984262032298</v>
      </c>
      <c r="AM1635">
        <v>81.383034861892995</v>
      </c>
      <c r="AN1635">
        <v>0.99999994760186794</v>
      </c>
    </row>
    <row r="1636" spans="1:40" x14ac:dyDescent="0.25">
      <c r="A1636" t="str">
        <f>"20190305135224924"</f>
        <v>20190305135224924</v>
      </c>
      <c r="B1636" t="str">
        <f>"1551765144921321"</f>
        <v>1551765144921321</v>
      </c>
      <c r="C1636" t="s">
        <v>40</v>
      </c>
      <c r="D1636">
        <v>5.0995660000000003</v>
      </c>
      <c r="E1636">
        <v>0.62806059999999997</v>
      </c>
      <c r="F1636" t="s">
        <v>55</v>
      </c>
      <c r="G1636">
        <v>-201.24860000000001</v>
      </c>
      <c r="H1636" s="1">
        <v>2.3992479999999999E-6</v>
      </c>
      <c r="I1636">
        <v>288.86520000000002</v>
      </c>
      <c r="J1636">
        <v>-194.15809999999999</v>
      </c>
      <c r="K1636">
        <v>1.105315</v>
      </c>
      <c r="L1636">
        <v>296.0487</v>
      </c>
      <c r="M1636">
        <v>-0.29230260000000002</v>
      </c>
      <c r="N1636">
        <v>-1.3927E-2</v>
      </c>
      <c r="O1636">
        <v>-0.95622450000000003</v>
      </c>
      <c r="P1636">
        <v>-0.43244199999999999</v>
      </c>
      <c r="Q1636">
        <v>-8.4874160000000004E-2</v>
      </c>
      <c r="R1636">
        <v>-0.89765830000000002</v>
      </c>
      <c r="S1636">
        <v>-2.193146</v>
      </c>
      <c r="T1636">
        <v>-0.33875699999999997</v>
      </c>
      <c r="U1636">
        <v>-2.2618710000000002</v>
      </c>
      <c r="V1636">
        <v>0.15041669999999999</v>
      </c>
      <c r="W1636">
        <v>-7.2663160000000004E-2</v>
      </c>
      <c r="X1636">
        <v>0.98594870000000001</v>
      </c>
      <c r="Y1636">
        <v>0.45212089999999999</v>
      </c>
      <c r="Z1636">
        <v>9.7477350000000004E-2</v>
      </c>
      <c r="AA1636">
        <v>0.88661429999999997</v>
      </c>
      <c r="AB1636">
        <v>21</v>
      </c>
      <c r="AC1636">
        <v>-7.0905000000000102</v>
      </c>
      <c r="AD1636">
        <v>-1.105312600752</v>
      </c>
      <c r="AE1636">
        <v>-7.18349999999998</v>
      </c>
      <c r="AF1636">
        <v>4.6253409708655404</v>
      </c>
      <c r="AG1636">
        <v>-1.105312600752</v>
      </c>
      <c r="AH1636">
        <v>8.8365101404384099</v>
      </c>
      <c r="AI1636">
        <v>96.323774812079805</v>
      </c>
      <c r="AJ1636">
        <v>62.3708541325122</v>
      </c>
      <c r="AK1636">
        <v>10.0349093919287</v>
      </c>
      <c r="AL1636">
        <v>94.166964867071798</v>
      </c>
      <c r="AM1636">
        <v>81.325818157753105</v>
      </c>
      <c r="AN1636">
        <v>0.99999997874588198</v>
      </c>
    </row>
    <row r="1637" spans="1:40" x14ac:dyDescent="0.25">
      <c r="A1637" t="str">
        <f>"20190305135224946"</f>
        <v>20190305135224946</v>
      </c>
      <c r="B1637" t="str">
        <f>"1551765144940840"</f>
        <v>1551765144940840</v>
      </c>
      <c r="C1637" t="s">
        <v>40</v>
      </c>
      <c r="D1637">
        <v>5.0941380000000001</v>
      </c>
      <c r="E1637">
        <v>0.62860629999999995</v>
      </c>
      <c r="F1637" t="s">
        <v>55</v>
      </c>
      <c r="G1637">
        <v>-201.28399999999999</v>
      </c>
      <c r="H1637" s="1">
        <v>2.4160729999999999E-6</v>
      </c>
      <c r="I1637">
        <v>288.85219999999998</v>
      </c>
      <c r="J1637">
        <v>-194.22749999999999</v>
      </c>
      <c r="K1637">
        <v>1.1050679999999999</v>
      </c>
      <c r="L1637">
        <v>295.84879999999998</v>
      </c>
      <c r="M1637">
        <v>-0.29906270000000001</v>
      </c>
      <c r="N1637">
        <v>-1.3963069999999999E-2</v>
      </c>
      <c r="O1637">
        <v>-0.95413119999999996</v>
      </c>
      <c r="P1637">
        <v>-0.43950840000000002</v>
      </c>
      <c r="Q1637">
        <v>-8.544823E-2</v>
      </c>
      <c r="R1637">
        <v>-0.89416499999999999</v>
      </c>
      <c r="S1637">
        <v>-2.2186889999999999</v>
      </c>
      <c r="T1637">
        <v>-0.34414479999999997</v>
      </c>
      <c r="U1637">
        <v>-2.2406619999999999</v>
      </c>
      <c r="V1637">
        <v>0.15117900000000001</v>
      </c>
      <c r="W1637">
        <v>-7.3306839999999998E-2</v>
      </c>
      <c r="X1637">
        <v>0.98578449999999995</v>
      </c>
      <c r="Y1637">
        <v>0.45499610000000001</v>
      </c>
      <c r="Z1637">
        <v>9.9143700000000001E-2</v>
      </c>
      <c r="AA1637">
        <v>0.88495709999999905</v>
      </c>
      <c r="AB1637">
        <v>21</v>
      </c>
      <c r="AC1637">
        <v>-7.0565000000000202</v>
      </c>
      <c r="AD1637">
        <v>-1.1050655839270001</v>
      </c>
      <c r="AE1637">
        <v>-6.9965999999999999</v>
      </c>
      <c r="AF1637">
        <v>4.5841665630919204</v>
      </c>
      <c r="AG1637">
        <v>-1.1050655839270001</v>
      </c>
      <c r="AH1637">
        <v>8.6795305587387208</v>
      </c>
      <c r="AI1637">
        <v>96.423365542675896</v>
      </c>
      <c r="AJ1637">
        <v>62.158851542605497</v>
      </c>
      <c r="AK1637">
        <v>9.8777529703384097</v>
      </c>
      <c r="AL1637">
        <v>94.203943414073706</v>
      </c>
      <c r="AM1637">
        <v>81.281101978976807</v>
      </c>
      <c r="AN1637">
        <v>1.00000003163601</v>
      </c>
    </row>
    <row r="1638" spans="1:40" x14ac:dyDescent="0.25">
      <c r="A1638" t="str">
        <f>"20190305135224969"</f>
        <v>20190305135224969</v>
      </c>
      <c r="B1638" t="str">
        <f>"1551765144961336"</f>
        <v>1551765144961336</v>
      </c>
      <c r="C1638" t="s">
        <v>40</v>
      </c>
      <c r="D1638">
        <v>5.0806149999999999</v>
      </c>
      <c r="E1638">
        <v>0.62909309999999996</v>
      </c>
      <c r="F1638" t="s">
        <v>55</v>
      </c>
      <c r="G1638">
        <v>-201.3484</v>
      </c>
      <c r="H1638" s="1">
        <v>2.450114E-6</v>
      </c>
      <c r="I1638">
        <v>288.78980000000001</v>
      </c>
      <c r="J1638">
        <v>-194.30330000000001</v>
      </c>
      <c r="K1638">
        <v>1.104789</v>
      </c>
      <c r="L1638">
        <v>295.63780000000003</v>
      </c>
      <c r="M1638">
        <v>-0.30668210000000001</v>
      </c>
      <c r="N1638">
        <v>-1.4007739999999999E-2</v>
      </c>
      <c r="O1638">
        <v>-0.95170889999999997</v>
      </c>
      <c r="P1638">
        <v>-0.44742490000000001</v>
      </c>
      <c r="Q1638">
        <v>-8.5565249999999995E-2</v>
      </c>
      <c r="R1638">
        <v>-0.89021899999999998</v>
      </c>
      <c r="S1638">
        <v>-2.2402500000000001</v>
      </c>
      <c r="T1638">
        <v>-0.3476552</v>
      </c>
      <c r="U1638">
        <v>-2.220764</v>
      </c>
      <c r="V1638">
        <v>0.15199460000000001</v>
      </c>
      <c r="W1638">
        <v>-7.3495660000000004E-2</v>
      </c>
      <c r="X1638">
        <v>0.98564499999999999</v>
      </c>
      <c r="Y1638">
        <v>0.45602809999999999</v>
      </c>
      <c r="Z1638">
        <v>0.1002091</v>
      </c>
      <c r="AA1638">
        <v>0.88430569999999897</v>
      </c>
      <c r="AB1638">
        <v>21</v>
      </c>
      <c r="AC1638">
        <v>-7.0450999999999899</v>
      </c>
      <c r="AD1638">
        <v>-1.1047865498859999</v>
      </c>
      <c r="AE1638">
        <v>-6.8480000000000096</v>
      </c>
      <c r="AF1638">
        <v>4.5476742931384404</v>
      </c>
      <c r="AG1638">
        <v>-1.1047865498859999</v>
      </c>
      <c r="AH1638">
        <v>8.57039212956232</v>
      </c>
      <c r="AI1638">
        <v>96.496262279071303</v>
      </c>
      <c r="AJ1638">
        <v>62.0484087116916</v>
      </c>
      <c r="AK1638">
        <v>9.7649124958570397</v>
      </c>
      <c r="AL1638">
        <v>94.214791321556504</v>
      </c>
      <c r="AM1638">
        <v>81.233571414120803</v>
      </c>
      <c r="AN1638">
        <v>1.0000000182464901</v>
      </c>
    </row>
    <row r="1639" spans="1:40" x14ac:dyDescent="0.25">
      <c r="A1639" t="str">
        <f>"20190305135224991"</f>
        <v>20190305135224991</v>
      </c>
      <c r="B1639" t="str">
        <f>"1551765144980856"</f>
        <v>1551765144980856</v>
      </c>
      <c r="C1639" t="s">
        <v>40</v>
      </c>
      <c r="D1639">
        <v>5.0633429999999997</v>
      </c>
      <c r="E1639">
        <v>0.62935920000000001</v>
      </c>
      <c r="F1639" t="s">
        <v>55</v>
      </c>
      <c r="G1639">
        <v>-201.49799999999999</v>
      </c>
      <c r="H1639" s="1">
        <v>2.5288490000000001E-6</v>
      </c>
      <c r="I1639">
        <v>288.64789999999999</v>
      </c>
      <c r="J1639">
        <v>-194.37870000000001</v>
      </c>
      <c r="K1639">
        <v>1.104554</v>
      </c>
      <c r="L1639">
        <v>295.43430000000001</v>
      </c>
      <c r="M1639">
        <v>-0.31441789999999997</v>
      </c>
      <c r="N1639">
        <v>-1.405353E-2</v>
      </c>
      <c r="O1639">
        <v>-0.94918080000000005</v>
      </c>
      <c r="P1639">
        <v>-0.45596249999999999</v>
      </c>
      <c r="Q1639">
        <v>-8.5591139999999996E-2</v>
      </c>
      <c r="R1639">
        <v>-0.8858743</v>
      </c>
      <c r="S1639">
        <v>-2.2634280000000002</v>
      </c>
      <c r="T1639">
        <v>-0.3475589</v>
      </c>
      <c r="U1639">
        <v>-2.1989749999999999</v>
      </c>
      <c r="V1639">
        <v>0.1534027</v>
      </c>
      <c r="W1639">
        <v>-7.3588539999999994E-2</v>
      </c>
      <c r="X1639">
        <v>0.98541990000000002</v>
      </c>
      <c r="Y1639">
        <v>0.45770690000000003</v>
      </c>
      <c r="Z1639">
        <v>0.1001234</v>
      </c>
      <c r="AA1639">
        <v>0.8834476</v>
      </c>
      <c r="AB1639">
        <v>21</v>
      </c>
      <c r="AC1639">
        <v>-7.1192999999999804</v>
      </c>
      <c r="AD1639">
        <v>-1.1045514711510001</v>
      </c>
      <c r="AE1639">
        <v>-6.7864000000000102</v>
      </c>
      <c r="AF1639">
        <v>4.5666014079314801</v>
      </c>
      <c r="AG1639">
        <v>-1.1045514711510001</v>
      </c>
      <c r="AH1639">
        <v>8.5726971504663005</v>
      </c>
      <c r="AI1639">
        <v>96.487651980952194</v>
      </c>
      <c r="AJ1639">
        <v>61.956159025906501</v>
      </c>
      <c r="AK1639">
        <v>9.7757362282825895</v>
      </c>
      <c r="AL1639">
        <v>94.220127393643594</v>
      </c>
      <c r="AM1639">
        <v>81.151647942463299</v>
      </c>
      <c r="AN1639">
        <v>1.00000002045131</v>
      </c>
    </row>
    <row r="1640" spans="1:40" x14ac:dyDescent="0.25">
      <c r="A1640" t="str">
        <f>"20190305135225015"</f>
        <v>20190305135225015</v>
      </c>
      <c r="B1640" t="str">
        <f>"1551765145011112"</f>
        <v>1551765145011112</v>
      </c>
      <c r="C1640" t="s">
        <v>40</v>
      </c>
      <c r="D1640">
        <v>5.0986669999999998</v>
      </c>
      <c r="E1640">
        <v>0.62988929999999999</v>
      </c>
      <c r="F1640" t="s">
        <v>55</v>
      </c>
      <c r="G1640">
        <v>-201.63509999999999</v>
      </c>
      <c r="H1640" s="1">
        <v>2.6000600000000001E-6</v>
      </c>
      <c r="I1640">
        <v>288.52879999999999</v>
      </c>
      <c r="J1640">
        <v>-194.46279999999999</v>
      </c>
      <c r="K1640">
        <v>1.104314</v>
      </c>
      <c r="L1640">
        <v>295.21429999999998</v>
      </c>
      <c r="M1640">
        <v>-0.3232158</v>
      </c>
      <c r="N1640">
        <v>-1.410292E-2</v>
      </c>
      <c r="O1640">
        <v>-0.94622030000000001</v>
      </c>
      <c r="P1640">
        <v>-0.46629039999999999</v>
      </c>
      <c r="Q1640">
        <v>-8.5209049999999995E-2</v>
      </c>
      <c r="R1640">
        <v>-0.88051840000000003</v>
      </c>
      <c r="S1640">
        <v>-2.2865600000000001</v>
      </c>
      <c r="T1640">
        <v>-0.34805180000000002</v>
      </c>
      <c r="U1640">
        <v>-2.175964</v>
      </c>
      <c r="V1640">
        <v>0.15572440000000001</v>
      </c>
      <c r="W1640">
        <v>-7.3282920000000001E-2</v>
      </c>
      <c r="X1640">
        <v>0.98507849999999997</v>
      </c>
      <c r="Y1640">
        <v>0.45858529999999997</v>
      </c>
      <c r="Z1640">
        <v>0.1002171</v>
      </c>
      <c r="AA1640">
        <v>0.88298140000000003</v>
      </c>
      <c r="AB1640">
        <v>21</v>
      </c>
      <c r="AC1640">
        <v>-7.1722999999999999</v>
      </c>
      <c r="AD1640">
        <v>-1.10431139994</v>
      </c>
      <c r="AE1640">
        <v>-6.6854999999999896</v>
      </c>
      <c r="AF1640">
        <v>4.5682284642123001</v>
      </c>
      <c r="AG1640">
        <v>-1.10431139994</v>
      </c>
      <c r="AH1640">
        <v>8.5367273763646896</v>
      </c>
      <c r="AI1640">
        <v>96.506819736304493</v>
      </c>
      <c r="AJ1640">
        <v>61.847587069225497</v>
      </c>
      <c r="AK1640">
        <v>9.7449437796044407</v>
      </c>
      <c r="AL1640">
        <v>94.202569070235</v>
      </c>
      <c r="AM1640">
        <v>81.016836022165705</v>
      </c>
      <c r="AN1640">
        <v>1.00000006314066</v>
      </c>
    </row>
    <row r="1641" spans="1:40" x14ac:dyDescent="0.25">
      <c r="A1641" t="str">
        <f>"20190305135225037"</f>
        <v>20190305135225037</v>
      </c>
      <c r="B1641" t="str">
        <f>"1551765145031609"</f>
        <v>1551765145031609</v>
      </c>
      <c r="C1641" t="s">
        <v>40</v>
      </c>
      <c r="D1641">
        <v>5.1043909999999997</v>
      </c>
      <c r="E1641">
        <v>0.63031369999999998</v>
      </c>
      <c r="F1641" t="s">
        <v>55</v>
      </c>
      <c r="G1641">
        <v>-201.79419999999999</v>
      </c>
      <c r="H1641" s="1">
        <v>2.6804499999999999E-6</v>
      </c>
      <c r="I1641">
        <v>288.4162</v>
      </c>
      <c r="J1641">
        <v>-194.53800000000001</v>
      </c>
      <c r="K1641">
        <v>1.104106</v>
      </c>
      <c r="L1641">
        <v>295.024</v>
      </c>
      <c r="M1641">
        <v>-0.33121109999999998</v>
      </c>
      <c r="N1641">
        <v>-1.414698E-2</v>
      </c>
      <c r="O1641">
        <v>-0.94345069999999998</v>
      </c>
      <c r="P1641">
        <v>-0.47725040000000002</v>
      </c>
      <c r="Q1641">
        <v>-8.4546380000000004E-2</v>
      </c>
      <c r="R1641">
        <v>-0.874691</v>
      </c>
      <c r="S1641">
        <v>-2.3155670000000002</v>
      </c>
      <c r="T1641">
        <v>-0.34878979999999998</v>
      </c>
      <c r="U1641">
        <v>-2.147125</v>
      </c>
      <c r="V1641">
        <v>0.15963629999999901</v>
      </c>
      <c r="W1641">
        <v>-7.2713710000000001E-2</v>
      </c>
      <c r="X1641">
        <v>0.98449430000000004</v>
      </c>
      <c r="Y1641">
        <v>0.46248359999999999</v>
      </c>
      <c r="Z1641">
        <v>0.10043970000000001</v>
      </c>
      <c r="AA1641">
        <v>0.8809205</v>
      </c>
      <c r="AB1641">
        <v>21</v>
      </c>
      <c r="AC1641">
        <v>-7.2561999999999998</v>
      </c>
      <c r="AD1641">
        <v>-1.1041033195500001</v>
      </c>
      <c r="AE1641">
        <v>-6.6077999999999903</v>
      </c>
      <c r="AF1641">
        <v>4.5995406235797098</v>
      </c>
      <c r="AG1641">
        <v>-1.1041033195500001</v>
      </c>
      <c r="AH1641">
        <v>8.53036433169075</v>
      </c>
      <c r="AI1641">
        <v>96.4994735070172</v>
      </c>
      <c r="AJ1641">
        <v>61.666619430924797</v>
      </c>
      <c r="AK1641">
        <v>9.7540726734827601</v>
      </c>
      <c r="AL1641">
        <v>94.1698686394611</v>
      </c>
      <c r="AM1641">
        <v>80.789621299348696</v>
      </c>
      <c r="AN1641">
        <v>1.00000002931607</v>
      </c>
    </row>
    <row r="1642" spans="1:40" x14ac:dyDescent="0.25">
      <c r="A1642" t="str">
        <f>"20190305135225058"</f>
        <v>20190305135225058</v>
      </c>
      <c r="B1642" t="str">
        <f>"1551765145051128"</f>
        <v>1551765145051128</v>
      </c>
      <c r="C1642" t="s">
        <v>40</v>
      </c>
      <c r="D1642">
        <v>5.1074780000000004</v>
      </c>
      <c r="E1642">
        <v>0.63059679999999996</v>
      </c>
      <c r="F1642" t="s">
        <v>55</v>
      </c>
      <c r="G1642">
        <v>-201.8999</v>
      </c>
      <c r="H1642" s="1">
        <v>2.7305439999999999E-6</v>
      </c>
      <c r="I1642">
        <v>288.37939999999998</v>
      </c>
      <c r="J1642">
        <v>-194.61519999999999</v>
      </c>
      <c r="K1642">
        <v>1.1038920000000001</v>
      </c>
      <c r="L1642">
        <v>294.83449999999999</v>
      </c>
      <c r="M1642">
        <v>-0.33954020000000001</v>
      </c>
      <c r="N1642">
        <v>-1.419552E-2</v>
      </c>
      <c r="O1642">
        <v>-0.94048449999999995</v>
      </c>
      <c r="P1642">
        <v>-0.4886084</v>
      </c>
      <c r="Q1642">
        <v>-8.5491880000000006E-2</v>
      </c>
      <c r="R1642">
        <v>-0.86830469999999904</v>
      </c>
      <c r="S1642">
        <v>-2.344849</v>
      </c>
      <c r="T1642">
        <v>-0.35166789999999998</v>
      </c>
      <c r="U1642">
        <v>-2.1163940000000001</v>
      </c>
      <c r="V1642">
        <v>0.1637371</v>
      </c>
      <c r="W1642">
        <v>-7.3758420000000005E-2</v>
      </c>
      <c r="X1642">
        <v>0.98374280000000003</v>
      </c>
      <c r="Y1642">
        <v>0.46640989999999999</v>
      </c>
      <c r="Z1642">
        <v>0.101359</v>
      </c>
      <c r="AA1642">
        <v>0.87874240000000003</v>
      </c>
      <c r="AB1642">
        <v>21</v>
      </c>
      <c r="AC1642">
        <v>-7.2847000000000097</v>
      </c>
      <c r="AD1642">
        <v>-1.1038892694560001</v>
      </c>
      <c r="AE1642">
        <v>-6.4551000000000096</v>
      </c>
      <c r="AF1642">
        <v>4.6006725521230898</v>
      </c>
      <c r="AG1642">
        <v>-1.1038892694560001</v>
      </c>
      <c r="AH1642">
        <v>8.4367095844520907</v>
      </c>
      <c r="AI1642">
        <v>96.553053659059401</v>
      </c>
      <c r="AJ1642">
        <v>61.395659464242797</v>
      </c>
      <c r="AK1642">
        <v>9.6727880191527298</v>
      </c>
      <c r="AL1642">
        <v>94.229887327958394</v>
      </c>
      <c r="AM1642">
        <v>80.550147206596705</v>
      </c>
      <c r="AN1642">
        <v>1.00000001949457</v>
      </c>
    </row>
    <row r="1643" spans="1:40" x14ac:dyDescent="0.25">
      <c r="A1643" t="str">
        <f>"20190305135225080"</f>
        <v>20190305135225080</v>
      </c>
      <c r="B1643" t="str">
        <f>"1551765145070648"</f>
        <v>1551765145070648</v>
      </c>
      <c r="C1643" t="s">
        <v>40</v>
      </c>
      <c r="D1643">
        <v>5.1199309999999896</v>
      </c>
      <c r="E1643">
        <v>0.6306735</v>
      </c>
      <c r="F1643" t="s">
        <v>55</v>
      </c>
      <c r="G1643">
        <v>-201.9496</v>
      </c>
      <c r="H1643" s="1">
        <v>2.751152E-6</v>
      </c>
      <c r="I1643">
        <v>288.39550000000003</v>
      </c>
      <c r="J1643">
        <v>-194.69739999999999</v>
      </c>
      <c r="K1643">
        <v>1.1036709999999901</v>
      </c>
      <c r="L1643">
        <v>294.63869999999997</v>
      </c>
      <c r="M1643">
        <v>-0.34850789999999998</v>
      </c>
      <c r="N1643">
        <v>-1.4250840000000001E-2</v>
      </c>
      <c r="O1643">
        <v>-0.93719779999999997</v>
      </c>
      <c r="P1643">
        <v>-0.50077090000000002</v>
      </c>
      <c r="Q1643">
        <v>-8.718397E-2</v>
      </c>
      <c r="R1643">
        <v>-0.86117819999999901</v>
      </c>
      <c r="S1643">
        <v>-2.373856</v>
      </c>
      <c r="T1643">
        <v>-0.35728670000000001</v>
      </c>
      <c r="U1643">
        <v>-2.0840450000000001</v>
      </c>
      <c r="V1643">
        <v>0.1681646</v>
      </c>
      <c r="W1643">
        <v>-7.5558799999999995E-2</v>
      </c>
      <c r="X1643">
        <v>0.98285880000000003</v>
      </c>
      <c r="Y1643">
        <v>0.46990330000000002</v>
      </c>
      <c r="Z1643">
        <v>0.1031555</v>
      </c>
      <c r="AA1643">
        <v>0.87666980000000005</v>
      </c>
      <c r="AB1643">
        <v>21</v>
      </c>
      <c r="AC1643">
        <v>-7.25220000000001</v>
      </c>
      <c r="AD1643">
        <v>-1.1036682488480001</v>
      </c>
      <c r="AE1643">
        <v>-6.2431999999999404</v>
      </c>
      <c r="AF1643">
        <v>4.5607426923163796</v>
      </c>
      <c r="AG1643">
        <v>-1.1036682488480001</v>
      </c>
      <c r="AH1643">
        <v>8.2694117411663299</v>
      </c>
      <c r="AI1643">
        <v>96.665814135785297</v>
      </c>
      <c r="AJ1643">
        <v>61.122403149333202</v>
      </c>
      <c r="AK1643">
        <v>9.5079770747500199</v>
      </c>
      <c r="AL1643">
        <v>94.333330541891897</v>
      </c>
      <c r="AM1643">
        <v>80.290854649140201</v>
      </c>
      <c r="AN1643">
        <v>0.99999994284401805</v>
      </c>
    </row>
    <row r="1644" spans="1:40" x14ac:dyDescent="0.25">
      <c r="A1644" t="str">
        <f>"20190305135225103"</f>
        <v>20190305135225103</v>
      </c>
      <c r="B1644" t="str">
        <f>"1551765145100904"</f>
        <v>1551765145100904</v>
      </c>
      <c r="C1644" t="s">
        <v>40</v>
      </c>
      <c r="D1644">
        <v>5.0875870000000001</v>
      </c>
      <c r="E1644">
        <v>0.63060819999999995</v>
      </c>
      <c r="F1644" t="s">
        <v>55</v>
      </c>
      <c r="G1644">
        <v>-202.0146</v>
      </c>
      <c r="H1644" s="1">
        <v>2.7796850000000001E-6</v>
      </c>
      <c r="I1644">
        <v>288.39929999999998</v>
      </c>
      <c r="J1644">
        <v>-194.78569999999999</v>
      </c>
      <c r="K1644">
        <v>1.103442</v>
      </c>
      <c r="L1644">
        <v>294.43520000000001</v>
      </c>
      <c r="M1644">
        <v>-0.35819889999999999</v>
      </c>
      <c r="N1644">
        <v>-1.431112E-2</v>
      </c>
      <c r="O1644">
        <v>-0.93353580000000003</v>
      </c>
      <c r="P1644">
        <v>-0.51446749999999997</v>
      </c>
      <c r="Q1644">
        <v>-8.8633669999999998E-2</v>
      </c>
      <c r="R1644">
        <v>-0.85291740000000005</v>
      </c>
      <c r="S1644">
        <v>-2.4033509999999998</v>
      </c>
      <c r="T1644">
        <v>-0.36249900000000002</v>
      </c>
      <c r="U1644">
        <v>-2.0493160000000001</v>
      </c>
      <c r="V1644">
        <v>0.1736683</v>
      </c>
      <c r="W1644">
        <v>-7.7138559999999995E-2</v>
      </c>
      <c r="X1644">
        <v>0.98177840000000005</v>
      </c>
      <c r="Y1644">
        <v>0.47326629999999997</v>
      </c>
      <c r="Z1644">
        <v>0.1048259</v>
      </c>
      <c r="AA1644">
        <v>0.87466029999999995</v>
      </c>
      <c r="AB1644">
        <v>21</v>
      </c>
      <c r="AC1644">
        <v>-7.2289000000000003</v>
      </c>
      <c r="AD1644">
        <v>-1.1034392203149901</v>
      </c>
      <c r="AE1644">
        <v>-6.0359000000000202</v>
      </c>
      <c r="AF1644">
        <v>4.52473480473276</v>
      </c>
      <c r="AG1644">
        <v>-1.1034392203149901</v>
      </c>
      <c r="AH1644">
        <v>8.1135656331172594</v>
      </c>
      <c r="AI1644">
        <v>96.773726916851004</v>
      </c>
      <c r="AJ1644">
        <v>60.852673301778601</v>
      </c>
      <c r="AK1644">
        <v>9.3552525593375098</v>
      </c>
      <c r="AL1644">
        <v>94.424109154914603</v>
      </c>
      <c r="AM1644">
        <v>79.968631154613206</v>
      </c>
      <c r="AN1644">
        <v>0.99999993128515896</v>
      </c>
    </row>
    <row r="1645" spans="1:40" x14ac:dyDescent="0.25">
      <c r="A1645" t="str">
        <f>"20190305135225125"</f>
        <v>20190305135225125</v>
      </c>
      <c r="B1645" t="str">
        <f>"1551765145121400"</f>
        <v>1551765145121400</v>
      </c>
      <c r="C1645" t="s">
        <v>40</v>
      </c>
      <c r="D1645">
        <v>5.1314739999999999</v>
      </c>
      <c r="E1645">
        <v>0.63042049999999905</v>
      </c>
      <c r="F1645" t="s">
        <v>55</v>
      </c>
      <c r="G1645">
        <v>-202.04140000000001</v>
      </c>
      <c r="H1645" s="1">
        <v>2.7874849999999998E-6</v>
      </c>
      <c r="I1645">
        <v>288.44600000000003</v>
      </c>
      <c r="J1645">
        <v>-194.86779999999999</v>
      </c>
      <c r="K1645">
        <v>1.103235</v>
      </c>
      <c r="L1645">
        <v>294.25200000000001</v>
      </c>
      <c r="M1645">
        <v>-0.36725780000000002</v>
      </c>
      <c r="N1645">
        <v>-1.4365569999999999E-2</v>
      </c>
      <c r="O1645">
        <v>-0.93000850000000002</v>
      </c>
      <c r="P1645">
        <v>-0.52791069999999995</v>
      </c>
      <c r="Q1645">
        <v>-8.9458529999999994E-2</v>
      </c>
      <c r="R1645">
        <v>-0.84457549999999904</v>
      </c>
      <c r="S1645">
        <v>-2.4350890000000001</v>
      </c>
      <c r="T1645">
        <v>-0.37032130000000002</v>
      </c>
      <c r="U1645">
        <v>-2.0100099999999999</v>
      </c>
      <c r="V1645">
        <v>0.17964459999999999</v>
      </c>
      <c r="W1645">
        <v>-7.8099589999999997E-2</v>
      </c>
      <c r="X1645">
        <v>0.98062649999999996</v>
      </c>
      <c r="Y1645">
        <v>0.47846349999999999</v>
      </c>
      <c r="Z1645">
        <v>0.107404</v>
      </c>
      <c r="AA1645">
        <v>0.87151429999999996</v>
      </c>
      <c r="AB1645">
        <v>21</v>
      </c>
      <c r="AC1645">
        <v>-7.17360000000002</v>
      </c>
      <c r="AD1645">
        <v>-1.103232212515</v>
      </c>
      <c r="AE1645">
        <v>-5.80600000000004</v>
      </c>
      <c r="AF1645">
        <v>4.4757174878270698</v>
      </c>
      <c r="AG1645">
        <v>-1.103232212515</v>
      </c>
      <c r="AH1645">
        <v>7.9218107915369798</v>
      </c>
      <c r="AI1645">
        <v>96.913425327850803</v>
      </c>
      <c r="AJ1645">
        <v>60.534130732545499</v>
      </c>
      <c r="AK1645">
        <v>9.1653834923850095</v>
      </c>
      <c r="AL1645">
        <v>94.479338301848102</v>
      </c>
      <c r="AM1645">
        <v>79.618882440819405</v>
      </c>
      <c r="AN1645">
        <v>1.00000003038478</v>
      </c>
    </row>
    <row r="1646" spans="1:40" x14ac:dyDescent="0.25">
      <c r="A1646" t="str">
        <f>"20190305135225148"</f>
        <v>20190305135225148</v>
      </c>
      <c r="B1646" t="str">
        <f>"1551765145140920"</f>
        <v>1551765145140920</v>
      </c>
      <c r="C1646" t="s">
        <v>40</v>
      </c>
      <c r="D1646">
        <v>5.1437480000000004</v>
      </c>
      <c r="E1646">
        <v>0.63017339999999999</v>
      </c>
      <c r="F1646" t="s">
        <v>55</v>
      </c>
      <c r="G1646">
        <v>-202.1345</v>
      </c>
      <c r="H1646" s="1">
        <v>2.829262E-6</v>
      </c>
      <c r="I1646">
        <v>288.44</v>
      </c>
      <c r="J1646">
        <v>-194.96199999999999</v>
      </c>
      <c r="K1646">
        <v>1.1030329999999999</v>
      </c>
      <c r="L1646">
        <v>294.04899999999998</v>
      </c>
      <c r="M1646">
        <v>-0.37767869999999998</v>
      </c>
      <c r="N1646">
        <v>-1.442585E-2</v>
      </c>
      <c r="O1646">
        <v>-0.92582430000000004</v>
      </c>
      <c r="P1646">
        <v>-0.54200569999999904</v>
      </c>
      <c r="Q1646">
        <v>-9.0921569999999993E-2</v>
      </c>
      <c r="R1646">
        <v>-0.83544189999999996</v>
      </c>
      <c r="S1646">
        <v>-2.4651489999999998</v>
      </c>
      <c r="T1646">
        <v>-0.3742627</v>
      </c>
      <c r="U1646">
        <v>-1.9716800000000001</v>
      </c>
      <c r="V1646">
        <v>0.18507370000000001</v>
      </c>
      <c r="W1646">
        <v>-7.9692799999999994E-2</v>
      </c>
      <c r="X1646">
        <v>0.97948800000000003</v>
      </c>
      <c r="Y1646">
        <v>0.48193859999999999</v>
      </c>
      <c r="Z1646">
        <v>0.1086712</v>
      </c>
      <c r="AA1646">
        <v>0.86943999999999999</v>
      </c>
      <c r="AB1646">
        <v>21</v>
      </c>
      <c r="AC1646">
        <v>-7.1724999999999799</v>
      </c>
      <c r="AD1646">
        <v>-1.1030301707379999</v>
      </c>
      <c r="AE1646">
        <v>-5.6090000000000302</v>
      </c>
      <c r="AF1646">
        <v>4.4571353453911602</v>
      </c>
      <c r="AG1646">
        <v>-1.1030301707379999</v>
      </c>
      <c r="AH1646">
        <v>7.7883738422360098</v>
      </c>
      <c r="AI1646">
        <v>97.007643938751201</v>
      </c>
      <c r="AJ1646">
        <v>60.218330720733697</v>
      </c>
      <c r="AK1646">
        <v>9.0411004944707702</v>
      </c>
      <c r="AL1646">
        <v>94.570908188586401</v>
      </c>
      <c r="AM1646">
        <v>79.300140009064904</v>
      </c>
      <c r="AN1646">
        <v>0.99999997947376396</v>
      </c>
    </row>
    <row r="1647" spans="1:40" x14ac:dyDescent="0.25">
      <c r="A1647" t="str">
        <f>"20190305135225170"</f>
        <v>20190305135225170</v>
      </c>
      <c r="B1647" t="str">
        <f>"1551765145161416"</f>
        <v>1551765145161416</v>
      </c>
      <c r="C1647" t="s">
        <v>40</v>
      </c>
      <c r="D1647">
        <v>5.1544589999999904</v>
      </c>
      <c r="E1647">
        <v>0.62989200000000001</v>
      </c>
      <c r="F1647" t="s">
        <v>55</v>
      </c>
      <c r="G1647">
        <v>-202.27080000000001</v>
      </c>
      <c r="H1647" s="1">
        <v>2.8934819999999998E-6</v>
      </c>
      <c r="I1647">
        <v>288.39710000000002</v>
      </c>
      <c r="J1647">
        <v>-195.054</v>
      </c>
      <c r="K1647">
        <v>1.102876</v>
      </c>
      <c r="L1647">
        <v>293.85739999999998</v>
      </c>
      <c r="M1647">
        <v>-0.38784039999999997</v>
      </c>
      <c r="N1647">
        <v>-1.4483269999999999E-2</v>
      </c>
      <c r="O1647">
        <v>-0.92161269999999995</v>
      </c>
      <c r="P1647">
        <v>-0.55619940000000001</v>
      </c>
      <c r="Q1647">
        <v>-9.0995619999999999E-2</v>
      </c>
      <c r="R1647">
        <v>-0.82605229999999996</v>
      </c>
      <c r="S1647">
        <v>-2.4963229999999998</v>
      </c>
      <c r="T1647">
        <v>-0.37674000000000002</v>
      </c>
      <c r="U1647">
        <v>-1.93042</v>
      </c>
      <c r="V1647">
        <v>0.1909911</v>
      </c>
      <c r="W1647">
        <v>-7.9898220000000006E-2</v>
      </c>
      <c r="X1647">
        <v>0.9783347</v>
      </c>
      <c r="Y1647">
        <v>0.48646909999999999</v>
      </c>
      <c r="Z1647">
        <v>0.1095081</v>
      </c>
      <c r="AA1647">
        <v>0.86680789999999996</v>
      </c>
      <c r="AB1647">
        <v>21</v>
      </c>
      <c r="AC1647">
        <v>-7.2168000000000001</v>
      </c>
      <c r="AD1647">
        <v>-1.102873106518</v>
      </c>
      <c r="AE1647">
        <v>-5.4602999999999602</v>
      </c>
      <c r="AF1647">
        <v>4.4674944648694703</v>
      </c>
      <c r="AG1647">
        <v>-1.102873106518</v>
      </c>
      <c r="AH1647">
        <v>7.7174512775012696</v>
      </c>
      <c r="AI1647">
        <v>97.0504497341025</v>
      </c>
      <c r="AJ1647">
        <v>59.934217733272298</v>
      </c>
      <c r="AK1647">
        <v>8.9852039544645894</v>
      </c>
      <c r="AL1647">
        <v>94.582715189220494</v>
      </c>
      <c r="AM1647">
        <v>78.953614335898806</v>
      </c>
      <c r="AN1647">
        <v>1.0000000555312301</v>
      </c>
    </row>
    <row r="1648" spans="1:40" x14ac:dyDescent="0.25">
      <c r="A1648" t="str">
        <f>"20190305135225192"</f>
        <v>20190305135225192</v>
      </c>
      <c r="B1648" t="str">
        <f>"1551765145180936"</f>
        <v>1551765145180936</v>
      </c>
      <c r="C1648" t="s">
        <v>40</v>
      </c>
      <c r="D1648">
        <v>5.1283810000000001</v>
      </c>
      <c r="E1648">
        <v>0.62966219999999995</v>
      </c>
      <c r="F1648" t="s">
        <v>55</v>
      </c>
      <c r="G1648">
        <v>-202.5309</v>
      </c>
      <c r="H1648" s="1">
        <v>3.0198880000000002E-6</v>
      </c>
      <c r="I1648">
        <v>288.27010000000001</v>
      </c>
      <c r="J1648">
        <v>-195.14789999999999</v>
      </c>
      <c r="K1648">
        <v>1.1027439999999999</v>
      </c>
      <c r="L1648">
        <v>293.66770000000002</v>
      </c>
      <c r="M1648">
        <v>-0.39816430000000003</v>
      </c>
      <c r="N1648">
        <v>-1.4538239999999999E-2</v>
      </c>
      <c r="O1648">
        <v>-0.91719910000000004</v>
      </c>
      <c r="P1648">
        <v>-0.57078319999999905</v>
      </c>
      <c r="Q1648">
        <v>-8.9582930000000005E-2</v>
      </c>
      <c r="R1648">
        <v>-0.81619949999999997</v>
      </c>
      <c r="S1648">
        <v>-2.527603</v>
      </c>
      <c r="T1648">
        <v>-0.37283300000000003</v>
      </c>
      <c r="U1648">
        <v>-1.8887940000000001</v>
      </c>
      <c r="V1648">
        <v>0.19730500000000001</v>
      </c>
      <c r="W1648">
        <v>-7.8613760000000005E-2</v>
      </c>
      <c r="X1648">
        <v>0.97718510000000003</v>
      </c>
      <c r="Y1648">
        <v>0.4910852</v>
      </c>
      <c r="Z1648">
        <v>0.10828260000000001</v>
      </c>
      <c r="AA1648">
        <v>0.8643554</v>
      </c>
      <c r="AB1648">
        <v>21</v>
      </c>
      <c r="AC1648">
        <v>-7.3830000000000098</v>
      </c>
      <c r="AD1648">
        <v>-1.1027409801119901</v>
      </c>
      <c r="AE1648">
        <v>-5.3976000000000104</v>
      </c>
      <c r="AF1648">
        <v>4.5567883738577502</v>
      </c>
      <c r="AG1648">
        <v>-1.1027409801119901</v>
      </c>
      <c r="AH1648">
        <v>7.7780722128564603</v>
      </c>
      <c r="AI1648">
        <v>96.974258946793796</v>
      </c>
      <c r="AJ1648">
        <v>59.636069085050799</v>
      </c>
      <c r="AK1648">
        <v>9.0817820553982394</v>
      </c>
      <c r="AL1648">
        <v>94.508888826847695</v>
      </c>
      <c r="AM1648">
        <v>78.584792691626902</v>
      </c>
      <c r="AN1648">
        <v>1.0000000529741699</v>
      </c>
    </row>
    <row r="1649" spans="1:40" x14ac:dyDescent="0.25">
      <c r="A1649" t="str">
        <f>"20190305135225216"</f>
        <v>20190305135225216</v>
      </c>
      <c r="B1649" t="str">
        <f>"1551765145211192"</f>
        <v>1551765145211192</v>
      </c>
      <c r="C1649" t="s">
        <v>40</v>
      </c>
      <c r="D1649">
        <v>5.1508620000000001</v>
      </c>
      <c r="E1649">
        <v>0.61952750000000001</v>
      </c>
      <c r="F1649" t="s">
        <v>55</v>
      </c>
      <c r="G1649">
        <v>-202.85509999999999</v>
      </c>
      <c r="H1649" s="1">
        <v>3.1775850000000001E-6</v>
      </c>
      <c r="I1649">
        <v>288.11130000000003</v>
      </c>
      <c r="J1649">
        <v>-195.24930000000001</v>
      </c>
      <c r="K1649">
        <v>1.10263</v>
      </c>
      <c r="L1649">
        <v>293.46929999999998</v>
      </c>
      <c r="M1649">
        <v>-0.40923199999999998</v>
      </c>
      <c r="N1649">
        <v>-1.4592290000000001E-2</v>
      </c>
      <c r="O1649">
        <v>-0.91231390000000001</v>
      </c>
      <c r="P1649">
        <v>-0.58631319999999998</v>
      </c>
      <c r="Q1649">
        <v>-8.8825710000000002E-2</v>
      </c>
      <c r="R1649">
        <v>-0.80520000000000003</v>
      </c>
      <c r="S1649">
        <v>-2.5596770000000002</v>
      </c>
      <c r="T1649">
        <v>-0.36623420000000001</v>
      </c>
      <c r="U1649">
        <v>-1.845337</v>
      </c>
      <c r="V1649">
        <v>0.2041433</v>
      </c>
      <c r="W1649">
        <v>-7.799391E-2</v>
      </c>
      <c r="X1649">
        <v>0.9758291</v>
      </c>
      <c r="Y1649">
        <v>0.49555139999999998</v>
      </c>
      <c r="Z1649">
        <v>0.1061674</v>
      </c>
      <c r="AA1649">
        <v>0.86206569999999905</v>
      </c>
      <c r="AB1649">
        <v>21</v>
      </c>
      <c r="AC1649">
        <v>-7.6057999999999799</v>
      </c>
      <c r="AD1649">
        <v>-1.102626822415</v>
      </c>
      <c r="AE1649">
        <v>-5.3579999999999401</v>
      </c>
      <c r="AF1649">
        <v>4.6809667262544101</v>
      </c>
      <c r="AG1649">
        <v>-1.102626822415</v>
      </c>
      <c r="AH1649">
        <v>7.8907303117617698</v>
      </c>
      <c r="AI1649">
        <v>96.853011912216601</v>
      </c>
      <c r="AJ1649">
        <v>59.322585617323597</v>
      </c>
      <c r="AK1649">
        <v>9.2407175183946606</v>
      </c>
      <c r="AL1649">
        <v>94.473264962835302</v>
      </c>
      <c r="AM1649">
        <v>78.184136851935804</v>
      </c>
      <c r="AN1649">
        <v>0.99999998466939399</v>
      </c>
    </row>
    <row r="1650" spans="1:40" x14ac:dyDescent="0.25">
      <c r="A1650" t="str">
        <f>"20190305135225238"</f>
        <v>20190305135225238</v>
      </c>
      <c r="B1650" t="str">
        <f>"1551765145231688"</f>
        <v>1551765145231688</v>
      </c>
      <c r="C1650" t="s">
        <v>40</v>
      </c>
      <c r="D1650">
        <v>5.1483429999999997</v>
      </c>
      <c r="E1650">
        <v>0.61842909999999995</v>
      </c>
      <c r="F1650" t="s">
        <v>55</v>
      </c>
      <c r="G1650">
        <v>-202.751</v>
      </c>
      <c r="H1650" s="1">
        <v>3.140796E-6</v>
      </c>
      <c r="I1650">
        <v>288.00400000000002</v>
      </c>
      <c r="J1650">
        <v>-195.34899999999999</v>
      </c>
      <c r="K1650">
        <v>1.1025339999999999</v>
      </c>
      <c r="L1650">
        <v>293.28059999999999</v>
      </c>
      <c r="M1650">
        <v>-0.42002650000000002</v>
      </c>
      <c r="N1650">
        <v>-1.4642580000000001E-2</v>
      </c>
      <c r="O1650">
        <v>-0.90739389999999998</v>
      </c>
      <c r="P1650">
        <v>-0.60113729999999999</v>
      </c>
      <c r="Q1650">
        <v>-8.7580290000000005E-2</v>
      </c>
      <c r="R1650">
        <v>-0.79433240000000005</v>
      </c>
      <c r="S1650">
        <v>-2.5294949999999998</v>
      </c>
      <c r="T1650">
        <v>-0.37179400000000001</v>
      </c>
      <c r="U1650">
        <v>-1.842865</v>
      </c>
      <c r="V1650">
        <v>0.21058370000000001</v>
      </c>
      <c r="W1650">
        <v>-7.6880589999999999E-2</v>
      </c>
      <c r="X1650">
        <v>0.97454799999999997</v>
      </c>
      <c r="Y1650">
        <v>0.48067949999999998</v>
      </c>
      <c r="Z1650">
        <v>0.1082415</v>
      </c>
      <c r="AA1650">
        <v>0.87019029999999997</v>
      </c>
      <c r="AB1650">
        <v>21</v>
      </c>
      <c r="AC1650">
        <v>-7.4019999999999504</v>
      </c>
      <c r="AD1650">
        <v>-1.102530859204</v>
      </c>
      <c r="AE1650">
        <v>-5.27659999999997</v>
      </c>
      <c r="AF1650">
        <v>4.4354510427746296</v>
      </c>
      <c r="AG1650">
        <v>-1.102530859204</v>
      </c>
      <c r="AH1650">
        <v>7.7833379452833302</v>
      </c>
      <c r="AI1650">
        <v>97.016212693391196</v>
      </c>
      <c r="AJ1650">
        <v>60.322702925985197</v>
      </c>
      <c r="AK1650">
        <v>9.0260262474045092</v>
      </c>
      <c r="AL1650">
        <v>94.409284401751904</v>
      </c>
      <c r="AM1650">
        <v>77.806798342538499</v>
      </c>
      <c r="AN1650">
        <v>0.99999996206421804</v>
      </c>
    </row>
    <row r="1651" spans="1:40" x14ac:dyDescent="0.25">
      <c r="A1651" t="str">
        <f>"20190305135225259"</f>
        <v>20190305135225259</v>
      </c>
      <c r="B1651" t="str">
        <f>"1551765145251208"</f>
        <v>1551765145251208</v>
      </c>
      <c r="C1651" t="s">
        <v>40</v>
      </c>
      <c r="D1651">
        <v>5.171869</v>
      </c>
      <c r="E1651">
        <v>0.633198699999999</v>
      </c>
      <c r="F1651" t="s">
        <v>55</v>
      </c>
      <c r="G1651">
        <v>-203.07230000000001</v>
      </c>
      <c r="H1651" s="1">
        <v>3.2977159999999998E-6</v>
      </c>
      <c r="I1651">
        <v>287.83839999999998</v>
      </c>
      <c r="J1651">
        <v>-195.4451</v>
      </c>
      <c r="K1651">
        <v>1.1024430000000001</v>
      </c>
      <c r="L1651">
        <v>293.10410000000002</v>
      </c>
      <c r="M1651">
        <v>-0.43037300000000001</v>
      </c>
      <c r="N1651">
        <v>-1.4692149999999999E-2</v>
      </c>
      <c r="O1651">
        <v>-0.90253159999999999</v>
      </c>
      <c r="P1651">
        <v>-0.6155235</v>
      </c>
      <c r="Q1651">
        <v>-8.5713750000000005E-2</v>
      </c>
      <c r="R1651">
        <v>-0.78344399999999903</v>
      </c>
      <c r="S1651">
        <v>-2.5567470000000001</v>
      </c>
      <c r="T1651">
        <v>-0.36498589999999997</v>
      </c>
      <c r="U1651">
        <v>-1.8016049999999999</v>
      </c>
      <c r="V1651">
        <v>0.21712409999999999</v>
      </c>
      <c r="W1651">
        <v>-7.5153860000000003E-2</v>
      </c>
      <c r="X1651">
        <v>0.97324659999999996</v>
      </c>
      <c r="Y1651">
        <v>0.48461280000000001</v>
      </c>
      <c r="Z1651">
        <v>0.10609250000000001</v>
      </c>
      <c r="AA1651">
        <v>0.86827119999999902</v>
      </c>
      <c r="AB1651">
        <v>21</v>
      </c>
      <c r="AC1651">
        <v>-7.62720000000001</v>
      </c>
      <c r="AD1651">
        <v>-1.102439702284</v>
      </c>
      <c r="AE1651">
        <v>-5.26570000000003</v>
      </c>
      <c r="AF1651">
        <v>4.5536453831217898</v>
      </c>
      <c r="AG1651">
        <v>-1.102439702284</v>
      </c>
      <c r="AH1651">
        <v>7.9237600929733603</v>
      </c>
      <c r="AI1651">
        <v>96.878354028096595</v>
      </c>
      <c r="AJ1651">
        <v>60.114776128906499</v>
      </c>
      <c r="AK1651">
        <v>9.2052720537415702</v>
      </c>
      <c r="AL1651">
        <v>94.310062952060704</v>
      </c>
      <c r="AM1651">
        <v>77.423679670675696</v>
      </c>
      <c r="AN1651">
        <v>0.99999996094263399</v>
      </c>
    </row>
    <row r="1652" spans="1:40" x14ac:dyDescent="0.25">
      <c r="A1652" t="str">
        <f>"20190305135225283"</f>
        <v>20190305135225283</v>
      </c>
      <c r="B1652" t="str">
        <f>"1551765145270731"</f>
        <v>1551765145270731</v>
      </c>
      <c r="C1652" t="s">
        <v>40</v>
      </c>
      <c r="D1652">
        <v>5.0197349999999998</v>
      </c>
      <c r="E1652">
        <v>0.64219369999999998</v>
      </c>
      <c r="F1652" t="s">
        <v>55</v>
      </c>
      <c r="G1652">
        <v>-205.649</v>
      </c>
      <c r="H1652" s="1">
        <v>4.5418280000000002E-6</v>
      </c>
      <c r="I1652">
        <v>286.6782</v>
      </c>
      <c r="J1652">
        <v>-195.55430000000001</v>
      </c>
      <c r="K1652">
        <v>1.102312</v>
      </c>
      <c r="L1652">
        <v>292.90989999999999</v>
      </c>
      <c r="M1652">
        <v>-0.44203559999999997</v>
      </c>
      <c r="N1652">
        <v>-1.4751419999999999E-2</v>
      </c>
      <c r="O1652">
        <v>-0.89687629999999996</v>
      </c>
      <c r="P1652">
        <v>-0.63154719999999998</v>
      </c>
      <c r="Q1652">
        <v>-8.422404E-2</v>
      </c>
      <c r="R1652">
        <v>-0.77074949999999998</v>
      </c>
      <c r="S1652">
        <v>-2.6829679999999998</v>
      </c>
      <c r="T1652">
        <v>-0.28987170000000001</v>
      </c>
      <c r="U1652">
        <v>-1.6896059999999999</v>
      </c>
      <c r="V1652">
        <v>0.2244893</v>
      </c>
      <c r="W1652">
        <v>-7.3833289999999996E-2</v>
      </c>
      <c r="X1652">
        <v>0.97167550000000003</v>
      </c>
      <c r="Y1652">
        <v>0.52008520000000003</v>
      </c>
      <c r="Z1652">
        <v>8.1663340000000001E-2</v>
      </c>
      <c r="AA1652">
        <v>0.8502014</v>
      </c>
      <c r="AB1652">
        <v>21</v>
      </c>
      <c r="AC1652">
        <v>-10.0946999999999</v>
      </c>
      <c r="AD1652">
        <v>-1.102307458172</v>
      </c>
      <c r="AE1652">
        <v>-6.2316999999999796</v>
      </c>
      <c r="AF1652">
        <v>6.2458242705682503</v>
      </c>
      <c r="AG1652">
        <v>-1.102307458172</v>
      </c>
      <c r="AH1652">
        <v>9.9663274195283496</v>
      </c>
      <c r="AI1652">
        <v>95.354117644863194</v>
      </c>
      <c r="AJ1652">
        <v>57.924929655962899</v>
      </c>
      <c r="AK1652">
        <v>11.813258855388</v>
      </c>
      <c r="AL1652">
        <v>94.234188709019307</v>
      </c>
      <c r="AM1652">
        <v>76.991024436033001</v>
      </c>
      <c r="AN1652">
        <v>1.00000003891348</v>
      </c>
    </row>
    <row r="1653" spans="1:40" x14ac:dyDescent="0.25">
      <c r="A1653" t="str">
        <f>"20190305135225303"</f>
        <v>20190305135225303</v>
      </c>
      <c r="B1653" t="str">
        <f>"1551765145300984"</f>
        <v>1551765145300984</v>
      </c>
      <c r="C1653" t="s">
        <v>40</v>
      </c>
      <c r="D1653">
        <v>5.0052699999999897</v>
      </c>
      <c r="E1653">
        <v>0.69112220000000002</v>
      </c>
      <c r="F1653" t="s">
        <v>56</v>
      </c>
      <c r="G1653">
        <v>-210.01599999999999</v>
      </c>
      <c r="H1653" s="1">
        <v>-1.5282940000000001E-6</v>
      </c>
      <c r="I1653">
        <v>284.58440000000002</v>
      </c>
      <c r="J1653">
        <v>-195.65219999999999</v>
      </c>
      <c r="K1653">
        <v>1.102179</v>
      </c>
      <c r="L1653">
        <v>292.7414</v>
      </c>
      <c r="M1653">
        <v>-0.45241819999999999</v>
      </c>
      <c r="N1653">
        <v>-1.480651E-2</v>
      </c>
      <c r="O1653">
        <v>-0.891683</v>
      </c>
      <c r="P1653">
        <v>-0.64607029999999999</v>
      </c>
      <c r="Q1653">
        <v>-8.2788849999999997E-2</v>
      </c>
      <c r="R1653">
        <v>-0.75877490000000003</v>
      </c>
      <c r="S1653">
        <v>-2.773514</v>
      </c>
      <c r="T1653">
        <v>-0.21140619999999999</v>
      </c>
      <c r="U1653">
        <v>-1.5966800000000001</v>
      </c>
      <c r="V1653">
        <v>0.23157549999999999</v>
      </c>
      <c r="W1653">
        <v>-7.2570540000000003E-2</v>
      </c>
      <c r="X1653">
        <v>0.97010640000000004</v>
      </c>
      <c r="Y1653">
        <v>0.54538929999999997</v>
      </c>
      <c r="Z1653">
        <v>5.6463220000000001E-2</v>
      </c>
      <c r="AA1653">
        <v>0.83627890000000005</v>
      </c>
      <c r="AB1653">
        <v>21</v>
      </c>
      <c r="AC1653">
        <v>-14.3637999999999</v>
      </c>
      <c r="AD1653">
        <v>-1.102180528294</v>
      </c>
      <c r="AE1653">
        <v>-8.1569999999999805</v>
      </c>
      <c r="AF1653">
        <v>9.0781628345743997</v>
      </c>
      <c r="AG1653">
        <v>-1.102180528294</v>
      </c>
      <c r="AH1653">
        <v>13.7123624852658</v>
      </c>
      <c r="AI1653">
        <v>93.834328769903195</v>
      </c>
      <c r="AJ1653">
        <v>56.4937591199078</v>
      </c>
      <c r="AK1653">
        <v>16.482012234412501</v>
      </c>
      <c r="AL1653">
        <v>94.161643739943997</v>
      </c>
      <c r="AM1653">
        <v>76.574094965787495</v>
      </c>
      <c r="AN1653">
        <v>1.00000006139854</v>
      </c>
    </row>
    <row r="1654" spans="1:40" x14ac:dyDescent="0.25">
      <c r="A1654" t="str">
        <f>"20190305135225327"</f>
        <v>20190305135225327</v>
      </c>
      <c r="B1654" t="str">
        <f>"1551765145321480"</f>
        <v>1551765145321480</v>
      </c>
      <c r="C1654" t="s">
        <v>40</v>
      </c>
      <c r="D1654">
        <v>4.9565419999999998</v>
      </c>
      <c r="E1654">
        <v>0.68996820000000003</v>
      </c>
      <c r="F1654" t="s">
        <v>57</v>
      </c>
      <c r="G1654">
        <v>-250.79499999999999</v>
      </c>
      <c r="H1654">
        <v>3.6497920000000001</v>
      </c>
      <c r="I1654">
        <v>269.1576</v>
      </c>
      <c r="J1654">
        <v>-195.7619</v>
      </c>
      <c r="K1654">
        <v>1.1020129999999999</v>
      </c>
      <c r="L1654">
        <v>292.55840000000001</v>
      </c>
      <c r="M1654">
        <v>-0.46397899999999997</v>
      </c>
      <c r="N1654">
        <v>-1.4869210000000001E-2</v>
      </c>
      <c r="O1654">
        <v>-0.8857216</v>
      </c>
      <c r="P1654">
        <v>-0.66171169999999901</v>
      </c>
      <c r="Q1654">
        <v>-8.1521689999999994E-2</v>
      </c>
      <c r="R1654">
        <v>-0.74531369999999997</v>
      </c>
      <c r="S1654">
        <v>-3.1031650000000002</v>
      </c>
      <c r="T1654">
        <v>0.14336750000000001</v>
      </c>
      <c r="U1654">
        <v>-1.3271790000000001</v>
      </c>
      <c r="V1654">
        <v>0.23904590000000001</v>
      </c>
      <c r="W1654">
        <v>-7.149759E-2</v>
      </c>
      <c r="X1654">
        <v>0.96837240000000002</v>
      </c>
      <c r="Y1654">
        <v>0.63053059999999905</v>
      </c>
      <c r="Z1654">
        <v>-5.5303959999999999E-2</v>
      </c>
      <c r="AA1654">
        <v>0.77419159999999998</v>
      </c>
      <c r="AB1654">
        <v>21</v>
      </c>
      <c r="AC1654">
        <v>-55.033099999999898</v>
      </c>
      <c r="AD1654">
        <v>2.5477789999999998</v>
      </c>
      <c r="AE1654">
        <v>-23.4008</v>
      </c>
      <c r="AF1654">
        <v>37.8220574928038</v>
      </c>
      <c r="AG1654">
        <v>2.5477789999999998</v>
      </c>
      <c r="AH1654">
        <v>46.182078865735903</v>
      </c>
      <c r="AI1654">
        <v>87.556034080275893</v>
      </c>
      <c r="AJ1654">
        <v>50.683314704713197</v>
      </c>
      <c r="AK1654">
        <v>59.747666223735003</v>
      </c>
      <c r="AL1654">
        <v>94.100008464535506</v>
      </c>
      <c r="AM1654">
        <v>76.133570203584298</v>
      </c>
      <c r="AN1654">
        <v>0.99999997638218796</v>
      </c>
    </row>
    <row r="1655" spans="1:40" x14ac:dyDescent="0.25">
      <c r="A1655" t="str">
        <f>"20190305135225350"</f>
        <v>20190305135225350</v>
      </c>
      <c r="B1655" t="str">
        <f>"1551765145340787"</f>
        <v>1551765145340787</v>
      </c>
      <c r="C1655" t="s">
        <v>40</v>
      </c>
      <c r="D1655">
        <v>4.9685620000000004</v>
      </c>
      <c r="E1655">
        <v>0.68812099999999998</v>
      </c>
      <c r="F1655" t="s">
        <v>50</v>
      </c>
      <c r="G1655">
        <v>-234.39879999999999</v>
      </c>
      <c r="H1655">
        <v>2.7458010000000002</v>
      </c>
      <c r="I1655">
        <v>276.87580000000003</v>
      </c>
      <c r="J1655">
        <v>-195.88220000000001</v>
      </c>
      <c r="K1655">
        <v>1.1018300000000001</v>
      </c>
      <c r="L1655">
        <v>292.36509999999998</v>
      </c>
      <c r="M1655">
        <v>-0.47656739999999997</v>
      </c>
      <c r="N1655">
        <v>-1.493913E-2</v>
      </c>
      <c r="O1655">
        <v>-0.87901099999999999</v>
      </c>
      <c r="P1655">
        <v>-0.67715309999999995</v>
      </c>
      <c r="Q1655">
        <v>-8.2009390000000001E-2</v>
      </c>
      <c r="R1655">
        <v>-0.73125779999999996</v>
      </c>
      <c r="S1655">
        <v>-3.122528</v>
      </c>
      <c r="T1655">
        <v>0.13285150000000001</v>
      </c>
      <c r="U1655">
        <v>-1.2674259999999999</v>
      </c>
      <c r="V1655">
        <v>0.2454557</v>
      </c>
      <c r="W1655">
        <v>-7.2165660000000006E-2</v>
      </c>
      <c r="X1655">
        <v>0.96671799999999997</v>
      </c>
      <c r="Y1655">
        <v>0.63400529999999999</v>
      </c>
      <c r="Z1655">
        <v>-5.1925930000000002E-2</v>
      </c>
      <c r="AA1655">
        <v>0.77158340000000003</v>
      </c>
      <c r="AB1655">
        <v>21</v>
      </c>
      <c r="AC1655">
        <v>-38.516599999999897</v>
      </c>
      <c r="AD1655">
        <v>1.6439709999999901</v>
      </c>
      <c r="AE1655">
        <v>-15.489299999999901</v>
      </c>
      <c r="AF1655">
        <v>26.436318029954801</v>
      </c>
      <c r="AG1655">
        <v>1.6439709999999901</v>
      </c>
      <c r="AH1655">
        <v>31.924526398344099</v>
      </c>
      <c r="AI1655">
        <v>87.728719510728496</v>
      </c>
      <c r="AJ1655">
        <v>50.372251388535098</v>
      </c>
      <c r="AK1655">
        <v>41.482007393426898</v>
      </c>
      <c r="AL1655">
        <v>94.138384940734397</v>
      </c>
      <c r="AM1655">
        <v>75.7533070101547</v>
      </c>
      <c r="AN1655">
        <v>1.0000000373348601</v>
      </c>
    </row>
    <row r="1656" spans="1:40" x14ac:dyDescent="0.25">
      <c r="A1656" t="str">
        <f>"20190305135225372"</f>
        <v>20190305135225372</v>
      </c>
      <c r="B1656" t="str">
        <f>"1551765145361283"</f>
        <v>1551765145361283</v>
      </c>
      <c r="C1656" t="s">
        <v>40</v>
      </c>
      <c r="D1656">
        <v>4.9315879999999996</v>
      </c>
      <c r="E1656">
        <v>0.68610839999999995</v>
      </c>
      <c r="F1656" t="s">
        <v>58</v>
      </c>
      <c r="G1656">
        <v>-264.61599999999999</v>
      </c>
      <c r="H1656">
        <v>3.8034919999999999</v>
      </c>
      <c r="I1656">
        <v>265.82839999999999</v>
      </c>
      <c r="J1656">
        <v>-195.9949</v>
      </c>
      <c r="K1656">
        <v>1.1016840000000001</v>
      </c>
      <c r="L1656">
        <v>292.18979999999999</v>
      </c>
      <c r="M1656">
        <v>-0.48824719999999999</v>
      </c>
      <c r="N1656">
        <v>-1.5002359999999999E-2</v>
      </c>
      <c r="O1656">
        <v>-0.87257640000000003</v>
      </c>
      <c r="P1656">
        <v>-0.69094929999999999</v>
      </c>
      <c r="Q1656">
        <v>-8.3590970000000001E-2</v>
      </c>
      <c r="R1656">
        <v>-0.71805430000000003</v>
      </c>
      <c r="S1656">
        <v>-3.137222</v>
      </c>
      <c r="T1656">
        <v>0.12331549999999999</v>
      </c>
      <c r="U1656">
        <v>-1.211212</v>
      </c>
      <c r="V1656">
        <v>0.25098819999999999</v>
      </c>
      <c r="W1656">
        <v>-7.3899519999999996E-2</v>
      </c>
      <c r="X1656">
        <v>0.96516519999999995</v>
      </c>
      <c r="Y1656">
        <v>0.63706280000000004</v>
      </c>
      <c r="Z1656">
        <v>-4.8869099999999999E-2</v>
      </c>
      <c r="AA1656">
        <v>0.76926119999999898</v>
      </c>
      <c r="AB1656">
        <v>21</v>
      </c>
      <c r="AC1656">
        <v>-68.621099999999899</v>
      </c>
      <c r="AD1656">
        <v>2.7018080000000002</v>
      </c>
      <c r="AE1656">
        <v>-26.3614</v>
      </c>
      <c r="AF1656">
        <v>46.948143538409298</v>
      </c>
      <c r="AG1656">
        <v>2.7018080000000002</v>
      </c>
      <c r="AH1656">
        <v>56.436518233282698</v>
      </c>
      <c r="AI1656">
        <v>87.892252220266698</v>
      </c>
      <c r="AJ1656">
        <v>50.243767269476898</v>
      </c>
      <c r="AK1656">
        <v>73.460932055532794</v>
      </c>
      <c r="AL1656">
        <v>94.237993801062999</v>
      </c>
      <c r="AM1656">
        <v>75.423267823946702</v>
      </c>
      <c r="AN1656">
        <v>1.00000003944325</v>
      </c>
    </row>
    <row r="1657" spans="1:40" x14ac:dyDescent="0.25">
      <c r="A1657" t="str">
        <f>"20190305135225393"</f>
        <v>20190305135225393</v>
      </c>
      <c r="B1657" t="str">
        <f>"1551765145391538"</f>
        <v>1551765145391538</v>
      </c>
      <c r="C1657" t="s">
        <v>40</v>
      </c>
      <c r="D1657">
        <v>4.9460989999999896</v>
      </c>
      <c r="E1657">
        <v>0.68281250000000004</v>
      </c>
      <c r="F1657" t="s">
        <v>59</v>
      </c>
      <c r="G1657">
        <v>-264.00959999999998</v>
      </c>
      <c r="H1657">
        <v>3.3417080000000001</v>
      </c>
      <c r="I1657">
        <v>267.10469999999998</v>
      </c>
      <c r="J1657">
        <v>-196.1062</v>
      </c>
      <c r="K1657">
        <v>1.101558</v>
      </c>
      <c r="L1657">
        <v>292.02210000000002</v>
      </c>
      <c r="M1657">
        <v>-0.49967329999999999</v>
      </c>
      <c r="N1657">
        <v>-1.506119E-2</v>
      </c>
      <c r="O1657">
        <v>-0.86608289999999999</v>
      </c>
      <c r="P1657">
        <v>-0.70453290000000002</v>
      </c>
      <c r="Q1657">
        <v>-8.4370580000000001E-2</v>
      </c>
      <c r="R1657">
        <v>-0.70463819999999999</v>
      </c>
      <c r="S1657">
        <v>-3.1478269999999999</v>
      </c>
      <c r="T1657">
        <v>0.10367179999999999</v>
      </c>
      <c r="U1657">
        <v>-1.1609799999999999</v>
      </c>
      <c r="V1657">
        <v>0.25672919999999999</v>
      </c>
      <c r="W1657">
        <v>-7.4829939999999998E-2</v>
      </c>
      <c r="X1657">
        <v>0.96358220000000006</v>
      </c>
      <c r="Y1657">
        <v>0.63883409999999996</v>
      </c>
      <c r="Z1657">
        <v>-4.2648810000000002E-2</v>
      </c>
      <c r="AA1657">
        <v>0.76816149999999905</v>
      </c>
      <c r="AB1657">
        <v>21</v>
      </c>
      <c r="AC1657">
        <v>-67.903399999999905</v>
      </c>
      <c r="AD1657">
        <v>2.2401499999999999</v>
      </c>
      <c r="AE1657">
        <v>-24.917400000000001</v>
      </c>
      <c r="AF1657">
        <v>46.320246686278502</v>
      </c>
      <c r="AG1657">
        <v>2.2401499999999999</v>
      </c>
      <c r="AH1657">
        <v>55.463151544693403</v>
      </c>
      <c r="AI1657">
        <v>88.224365363968403</v>
      </c>
      <c r="AJ1657">
        <v>50.132936093240801</v>
      </c>
      <c r="AK1657">
        <v>72.296228839199003</v>
      </c>
      <c r="AL1657">
        <v>94.291451001518396</v>
      </c>
      <c r="AM1657">
        <v>75.081132587445595</v>
      </c>
      <c r="AN1657">
        <v>1.00000002910494</v>
      </c>
    </row>
    <row r="1658" spans="1:40" x14ac:dyDescent="0.25">
      <c r="A1658" t="str">
        <f>"20190305135225417"</f>
        <v>20190305135225417</v>
      </c>
      <c r="B1658" t="str">
        <f>"1551765145411059"</f>
        <v>1551765145411059</v>
      </c>
      <c r="C1658" t="s">
        <v>40</v>
      </c>
      <c r="D1658">
        <v>4.9608220000000003</v>
      </c>
      <c r="E1658">
        <v>0.66527700000000001</v>
      </c>
      <c r="F1658" t="s">
        <v>60</v>
      </c>
      <c r="G1658">
        <v>-326.00330000000002</v>
      </c>
      <c r="H1658">
        <v>4.2524509999999998</v>
      </c>
      <c r="I1658">
        <v>245.98769999999999</v>
      </c>
      <c r="J1658">
        <v>-196.23089999999999</v>
      </c>
      <c r="K1658">
        <v>1.1014440000000001</v>
      </c>
      <c r="L1658">
        <v>291.84050000000002</v>
      </c>
      <c r="M1658">
        <v>-0.51233969999999995</v>
      </c>
      <c r="N1658">
        <v>-1.5124429999999999E-2</v>
      </c>
      <c r="O1658">
        <v>-0.85864989999999997</v>
      </c>
      <c r="P1658">
        <v>-0.71934169999999997</v>
      </c>
      <c r="Q1658">
        <v>-8.4775879999999998E-2</v>
      </c>
      <c r="R1658">
        <v>-0.68946399999999997</v>
      </c>
      <c r="S1658">
        <v>-3.150604</v>
      </c>
      <c r="T1658">
        <v>7.6425430000000003E-2</v>
      </c>
      <c r="U1658">
        <v>-1.116547</v>
      </c>
      <c r="V1658">
        <v>0.26302740000000002</v>
      </c>
      <c r="W1658">
        <v>-7.5400300000000003E-2</v>
      </c>
      <c r="X1658">
        <v>0.96183750000000001</v>
      </c>
      <c r="Y1658">
        <v>0.63766099999999903</v>
      </c>
      <c r="Z1658">
        <v>-3.4040960000000002E-2</v>
      </c>
      <c r="AA1658">
        <v>0.76956459999999904</v>
      </c>
      <c r="AB1658">
        <v>20</v>
      </c>
      <c r="AC1658">
        <v>-129.7724</v>
      </c>
      <c r="AD1658">
        <v>3.1510069999999999</v>
      </c>
      <c r="AE1658">
        <v>-45.852800000000002</v>
      </c>
      <c r="AF1658">
        <v>87.900820005373205</v>
      </c>
      <c r="AG1658">
        <v>3.1510069999999999</v>
      </c>
      <c r="AH1658">
        <v>105.81568325616701</v>
      </c>
      <c r="AI1658">
        <v>88.687814661929707</v>
      </c>
      <c r="AJ1658">
        <v>50.283673467686</v>
      </c>
      <c r="AK1658">
        <v>137.598843838531</v>
      </c>
      <c r="AL1658">
        <v>94.324222943836702</v>
      </c>
      <c r="AM1658">
        <v>74.705628991587503</v>
      </c>
      <c r="AN1658">
        <v>0.99999999739854994</v>
      </c>
    </row>
    <row r="1659" spans="1:40" x14ac:dyDescent="0.25">
      <c r="A1659" t="str">
        <f>"20190305135225440"</f>
        <v>20190305135225440</v>
      </c>
      <c r="B1659" t="str">
        <f>"1551765145431555"</f>
        <v>1551765145431555</v>
      </c>
      <c r="C1659" t="s">
        <v>40</v>
      </c>
      <c r="D1659">
        <v>4.9582430000000004</v>
      </c>
      <c r="E1659">
        <v>0.66212059999999995</v>
      </c>
      <c r="F1659" t="s">
        <v>61</v>
      </c>
      <c r="G1659">
        <v>-258.291</v>
      </c>
      <c r="H1659">
        <v>6.6863119999999998E-2</v>
      </c>
      <c r="I1659">
        <v>268.89830000000001</v>
      </c>
      <c r="J1659">
        <v>-196.35759999999999</v>
      </c>
      <c r="K1659">
        <v>1.101321</v>
      </c>
      <c r="L1659">
        <v>291.6619</v>
      </c>
      <c r="M1659">
        <v>-0.52508679999999996</v>
      </c>
      <c r="N1659">
        <v>-1.519003E-2</v>
      </c>
      <c r="O1659">
        <v>-0.85091319999999904</v>
      </c>
      <c r="P1659">
        <v>-0.73549119999999901</v>
      </c>
      <c r="Q1659">
        <v>-8.6365339999999999E-2</v>
      </c>
      <c r="R1659">
        <v>-0.67200769999999999</v>
      </c>
      <c r="S1659">
        <v>-3.0749050000000002</v>
      </c>
      <c r="T1659">
        <v>-5.1259520000000003E-2</v>
      </c>
      <c r="U1659">
        <v>-1.136719</v>
      </c>
      <c r="V1659">
        <v>0.27152739999999997</v>
      </c>
      <c r="W1659">
        <v>-7.7213240000000002E-2</v>
      </c>
      <c r="X1659">
        <v>0.95932839999999997</v>
      </c>
      <c r="Y1659">
        <v>0.61600549999999998</v>
      </c>
      <c r="Z1659">
        <v>5.95693E-3</v>
      </c>
      <c r="AA1659">
        <v>0.78771930000000001</v>
      </c>
      <c r="AB1659">
        <v>20</v>
      </c>
      <c r="AC1659">
        <v>-61.933399999999999</v>
      </c>
      <c r="AD1659">
        <v>-1.0344578799999999</v>
      </c>
      <c r="AE1659">
        <v>-22.7636</v>
      </c>
      <c r="AF1659">
        <v>40.741766751310401</v>
      </c>
      <c r="AG1659">
        <v>-1.0344578799999999</v>
      </c>
      <c r="AH1659">
        <v>51.883490100978399</v>
      </c>
      <c r="AI1659">
        <v>90.898392216241902</v>
      </c>
      <c r="AJ1659">
        <v>51.859049831094701</v>
      </c>
      <c r="AK1659">
        <v>65.976194238391798</v>
      </c>
      <c r="AL1659">
        <v>94.428400515794294</v>
      </c>
      <c r="AM1659">
        <v>74.196415401448206</v>
      </c>
      <c r="AN1659">
        <v>0.99999999621430802</v>
      </c>
    </row>
    <row r="1660" spans="1:40" x14ac:dyDescent="0.25">
      <c r="A1660" t="str">
        <f>"20190305135225472"</f>
        <v>20190305135225472</v>
      </c>
      <c r="B1660" t="str">
        <f>"1551765145460838"</f>
        <v>1551765145460838</v>
      </c>
      <c r="C1660" t="s">
        <v>40</v>
      </c>
      <c r="D1660">
        <v>4.9539010000000001</v>
      </c>
      <c r="E1660">
        <v>0.66001699999999996</v>
      </c>
      <c r="F1660" t="s">
        <v>56</v>
      </c>
      <c r="G1660">
        <v>-235.85470000000001</v>
      </c>
      <c r="H1660">
        <v>8.0001500000000003E-2</v>
      </c>
      <c r="I1660">
        <v>277.83839999999998</v>
      </c>
      <c r="J1660">
        <v>-196.5334</v>
      </c>
      <c r="K1660">
        <v>1.1011439999999999</v>
      </c>
      <c r="L1660">
        <v>291.42439999999999</v>
      </c>
      <c r="M1660">
        <v>-0.542554599999999</v>
      </c>
      <c r="N1660">
        <v>-1.528646E-2</v>
      </c>
      <c r="O1660">
        <v>-0.8398814</v>
      </c>
      <c r="P1660">
        <v>-0.75176449999999995</v>
      </c>
      <c r="Q1660">
        <v>-9.1557639999999996E-2</v>
      </c>
      <c r="R1660">
        <v>-0.65304499999999999</v>
      </c>
      <c r="S1660">
        <v>-3.0835110000000001</v>
      </c>
      <c r="T1660">
        <v>-7.9733609999999996E-2</v>
      </c>
      <c r="U1660">
        <v>-1.0791930000000001</v>
      </c>
      <c r="V1660">
        <v>0.275491599999999</v>
      </c>
      <c r="W1660">
        <v>-8.2543950000000005E-2</v>
      </c>
      <c r="X1660">
        <v>0.95775310000000002</v>
      </c>
      <c r="Y1660">
        <v>0.61333169999999904</v>
      </c>
      <c r="Z1660">
        <v>1.5037679999999999E-2</v>
      </c>
      <c r="AA1660">
        <v>0.78968229999999995</v>
      </c>
      <c r="AB1660">
        <v>20</v>
      </c>
      <c r="AC1660">
        <v>-39.321300000000001</v>
      </c>
      <c r="AD1660">
        <v>-1.0211424999999901</v>
      </c>
      <c r="AE1660">
        <v>-13.586</v>
      </c>
      <c r="AF1660">
        <v>25.641631944066699</v>
      </c>
      <c r="AG1660">
        <v>-1.0211424999999901</v>
      </c>
      <c r="AH1660">
        <v>32.728690167421803</v>
      </c>
      <c r="AI1660">
        <v>91.406911685710497</v>
      </c>
      <c r="AJ1660">
        <v>51.922707355836401</v>
      </c>
      <c r="AK1660">
        <v>41.589700417716202</v>
      </c>
      <c r="AL1660">
        <v>94.734806847888706</v>
      </c>
      <c r="AM1660">
        <v>73.952454673179503</v>
      </c>
      <c r="AN1660">
        <v>1.0000000629558801</v>
      </c>
    </row>
    <row r="1661" spans="1:40" x14ac:dyDescent="0.25">
      <c r="A1661" t="str">
        <f>"20190305135225494"</f>
        <v>20190305135225494</v>
      </c>
      <c r="B1661" t="str">
        <f>"1551765145491090"</f>
        <v>1551765145491090</v>
      </c>
      <c r="C1661" t="s">
        <v>40</v>
      </c>
      <c r="D1661">
        <v>4.9706270000000004</v>
      </c>
      <c r="E1661">
        <v>0.65623019999999999</v>
      </c>
      <c r="F1661" t="s">
        <v>56</v>
      </c>
      <c r="G1661">
        <v>-231.8245</v>
      </c>
      <c r="H1661" s="1">
        <v>-3.5831889999999998E-7</v>
      </c>
      <c r="I1661">
        <v>279.86790000000002</v>
      </c>
      <c r="J1661">
        <v>-196.66159999999999</v>
      </c>
      <c r="K1661">
        <v>1.1010169999999999</v>
      </c>
      <c r="L1661">
        <v>291.25810000000001</v>
      </c>
      <c r="M1661">
        <v>-0.55512050000000002</v>
      </c>
      <c r="N1661">
        <v>-1.5358490000000001E-2</v>
      </c>
      <c r="O1661">
        <v>-0.83162819999999904</v>
      </c>
      <c r="P1661">
        <v>-0.75975509999999902</v>
      </c>
      <c r="Q1661">
        <v>-9.4205109999999995E-2</v>
      </c>
      <c r="R1661">
        <v>-0.6433489</v>
      </c>
      <c r="S1661">
        <v>-3.0976870000000001</v>
      </c>
      <c r="T1661">
        <v>-9.6653219999999998E-2</v>
      </c>
      <c r="U1661">
        <v>-1.0143740000000001</v>
      </c>
      <c r="V1661">
        <v>0.27302700000000002</v>
      </c>
      <c r="W1661">
        <v>-8.5162539999999995E-2</v>
      </c>
      <c r="X1661">
        <v>0.95822940000000001</v>
      </c>
      <c r="Y1661">
        <v>0.61728660000000002</v>
      </c>
      <c r="Z1661">
        <v>2.0515539999999999E-2</v>
      </c>
      <c r="AA1661">
        <v>0.78647080000000003</v>
      </c>
      <c r="AB1661">
        <v>20</v>
      </c>
      <c r="AC1661">
        <v>-35.1629</v>
      </c>
      <c r="AD1661">
        <v>-1.10101735831889</v>
      </c>
      <c r="AE1661">
        <v>-11.390199999999901</v>
      </c>
      <c r="AF1661">
        <v>22.901906500006799</v>
      </c>
      <c r="AG1661">
        <v>-1.10101735831889</v>
      </c>
      <c r="AH1661">
        <v>28.969770724337</v>
      </c>
      <c r="AI1661">
        <v>91.707739367846102</v>
      </c>
      <c r="AJ1661">
        <v>51.672043849384998</v>
      </c>
      <c r="AK1661">
        <v>36.945326854407803</v>
      </c>
      <c r="AL1661">
        <v>94.885371656036895</v>
      </c>
      <c r="AM1661">
        <v>74.096229603178699</v>
      </c>
      <c r="AN1661">
        <v>0.99999999198630496</v>
      </c>
    </row>
    <row r="1662" spans="1:40" x14ac:dyDescent="0.25">
      <c r="A1662" t="str">
        <f>"20190305135225516"</f>
        <v>20190305135225516</v>
      </c>
      <c r="B1662" t="str">
        <f>"1551765145511587"</f>
        <v>1551765145511587</v>
      </c>
      <c r="C1662" t="s">
        <v>40</v>
      </c>
      <c r="D1662">
        <v>4.9701399999999998</v>
      </c>
      <c r="E1662">
        <v>0.65420409999999996</v>
      </c>
      <c r="F1662" t="s">
        <v>56</v>
      </c>
      <c r="G1662">
        <v>-225.98079999999999</v>
      </c>
      <c r="H1662" s="1">
        <v>1.6458749999999999E-6</v>
      </c>
      <c r="I1662">
        <v>281.79939999999999</v>
      </c>
      <c r="J1662">
        <v>-196.78919999999999</v>
      </c>
      <c r="K1662">
        <v>1.1009040000000001</v>
      </c>
      <c r="L1662">
        <v>291.09809999999999</v>
      </c>
      <c r="M1662">
        <v>-0.56746739999999996</v>
      </c>
      <c r="N1662">
        <v>-1.542864E-2</v>
      </c>
      <c r="O1662">
        <v>-0.82325139999999997</v>
      </c>
      <c r="P1662">
        <v>-0.76671529999999999</v>
      </c>
      <c r="Q1662">
        <v>-9.4203079999999995E-2</v>
      </c>
      <c r="R1662">
        <v>-0.6350384</v>
      </c>
      <c r="S1662">
        <v>-3.0900729999999998</v>
      </c>
      <c r="T1662">
        <v>-0.1160407</v>
      </c>
      <c r="U1662">
        <v>-0.99688719999999997</v>
      </c>
      <c r="V1662">
        <v>0.26913930000000003</v>
      </c>
      <c r="W1662">
        <v>-8.5086179999999997E-2</v>
      </c>
      <c r="X1662">
        <v>0.95933539999999995</v>
      </c>
      <c r="Y1662">
        <v>0.60879490000000003</v>
      </c>
      <c r="Z1662">
        <v>2.6569039999999999E-2</v>
      </c>
      <c r="AA1662">
        <v>0.79288269999999905</v>
      </c>
      <c r="AB1662">
        <v>20</v>
      </c>
      <c r="AC1662">
        <v>-29.191599999999902</v>
      </c>
      <c r="AD1662">
        <v>-1.100902354125</v>
      </c>
      <c r="AE1662">
        <v>-9.2986999999999895</v>
      </c>
      <c r="AF1662">
        <v>18.733358205437298</v>
      </c>
      <c r="AG1662">
        <v>-1.100902354125</v>
      </c>
      <c r="AH1662">
        <v>24.192092457386298</v>
      </c>
      <c r="AI1662">
        <v>92.060633357264194</v>
      </c>
      <c r="AJ1662">
        <v>52.247277328983898</v>
      </c>
      <c r="AK1662">
        <v>30.617119934985201</v>
      </c>
      <c r="AL1662">
        <v>94.880980498371002</v>
      </c>
      <c r="AM1662">
        <v>74.328660399633904</v>
      </c>
      <c r="AN1662">
        <v>1.0000000152623201</v>
      </c>
    </row>
    <row r="1663" spans="1:40" x14ac:dyDescent="0.25">
      <c r="A1663" t="str">
        <f>"20190305135225539"</f>
        <v>20190305135225539</v>
      </c>
      <c r="B1663" t="str">
        <f>"1551765145531106"</f>
        <v>1551765145531106</v>
      </c>
      <c r="C1663" t="s">
        <v>40</v>
      </c>
      <c r="D1663">
        <v>4.9712839999999998</v>
      </c>
      <c r="E1663">
        <v>0.64074180000000003</v>
      </c>
      <c r="F1663" t="s">
        <v>56</v>
      </c>
      <c r="G1663">
        <v>-224.95609999999999</v>
      </c>
      <c r="H1663" s="1">
        <v>1.1005830000000001E-6</v>
      </c>
      <c r="I1663">
        <v>282.21019999999999</v>
      </c>
      <c r="J1663">
        <v>-196.92679999999999</v>
      </c>
      <c r="K1663">
        <v>1.100784</v>
      </c>
      <c r="L1663">
        <v>290.9314</v>
      </c>
      <c r="M1663">
        <v>-0.58061980000000002</v>
      </c>
      <c r="N1663">
        <v>-1.550253E-2</v>
      </c>
      <c r="O1663">
        <v>-0.81402730000000001</v>
      </c>
      <c r="P1663">
        <v>-0.77538850000000004</v>
      </c>
      <c r="Q1663">
        <v>-9.3512280000000003E-2</v>
      </c>
      <c r="R1663">
        <v>-0.62452259999999904</v>
      </c>
      <c r="S1663">
        <v>-3.0903019999999999</v>
      </c>
      <c r="T1663">
        <v>-0.1207845</v>
      </c>
      <c r="U1663">
        <v>-0.9751282</v>
      </c>
      <c r="V1663">
        <v>0.26686789999999999</v>
      </c>
      <c r="W1663">
        <v>-8.4360630000000006E-2</v>
      </c>
      <c r="X1663">
        <v>0.96003380000000005</v>
      </c>
      <c r="Y1663">
        <v>0.60106210000000004</v>
      </c>
      <c r="Z1663">
        <v>2.7949160000000001E-2</v>
      </c>
      <c r="AA1663">
        <v>0.79871349999999997</v>
      </c>
      <c r="AB1663">
        <v>20</v>
      </c>
      <c r="AC1663">
        <v>-28.029299999999999</v>
      </c>
      <c r="AD1663">
        <v>-1.1007828994169999</v>
      </c>
      <c r="AE1663">
        <v>-8.7212000000000103</v>
      </c>
      <c r="AF1663">
        <v>17.730114465609201</v>
      </c>
      <c r="AG1663">
        <v>-1.1007828994169999</v>
      </c>
      <c r="AH1663">
        <v>23.343643357161501</v>
      </c>
      <c r="AI1663">
        <v>92.150563498291405</v>
      </c>
      <c r="AJ1663">
        <v>52.782368643241597</v>
      </c>
      <c r="AK1663">
        <v>29.3341842760559</v>
      </c>
      <c r="AL1663">
        <v>94.839259395852295</v>
      </c>
      <c r="AM1663">
        <v>74.465260244862506</v>
      </c>
      <c r="AN1663">
        <v>1.0000000445434201</v>
      </c>
    </row>
    <row r="1664" spans="1:40" x14ac:dyDescent="0.25">
      <c r="A1664" t="str">
        <f>"20190305135225561"</f>
        <v>20190305135225561</v>
      </c>
      <c r="B1664" t="str">
        <f>"1551765145551133"</f>
        <v>1551765145551133</v>
      </c>
      <c r="C1664" t="s">
        <v>40</v>
      </c>
      <c r="D1664">
        <v>4.9592280000000004</v>
      </c>
      <c r="E1664">
        <v>0.64084659999999904</v>
      </c>
      <c r="F1664" t="s">
        <v>56</v>
      </c>
      <c r="G1664">
        <v>-215.2398</v>
      </c>
      <c r="H1664" s="1">
        <v>1.2515570000000001E-6</v>
      </c>
      <c r="I1664">
        <v>284.8458</v>
      </c>
      <c r="J1664">
        <v>-197.06659999999999</v>
      </c>
      <c r="K1664">
        <v>1.1006499999999999</v>
      </c>
      <c r="L1664">
        <v>290.76799999999997</v>
      </c>
      <c r="M1664">
        <v>-0.59382460000000004</v>
      </c>
      <c r="N1664">
        <v>-1.5578730000000001E-2</v>
      </c>
      <c r="O1664">
        <v>-0.80444369999999998</v>
      </c>
      <c r="P1664">
        <v>-0.78457779999999999</v>
      </c>
      <c r="Q1664">
        <v>-9.4725379999999998E-2</v>
      </c>
      <c r="R1664">
        <v>-0.61275170000000001</v>
      </c>
      <c r="S1664">
        <v>-3.0347599999999999</v>
      </c>
      <c r="T1664">
        <v>-0.182418</v>
      </c>
      <c r="U1664">
        <v>-1.0084839999999999</v>
      </c>
      <c r="V1664">
        <v>0.26551789999999997</v>
      </c>
      <c r="W1664">
        <v>-8.5563210000000001E-2</v>
      </c>
      <c r="X1664">
        <v>0.96030159999999998</v>
      </c>
      <c r="Y1664">
        <v>0.57476680000000002</v>
      </c>
      <c r="Z1664">
        <v>4.6942009999999999E-2</v>
      </c>
      <c r="AA1664">
        <v>0.81696979999999997</v>
      </c>
      <c r="AB1664">
        <v>20</v>
      </c>
      <c r="AC1664">
        <v>-18.173200000000001</v>
      </c>
      <c r="AD1664">
        <v>-1.1006487484430001</v>
      </c>
      <c r="AE1664">
        <v>-5.9221999999999699</v>
      </c>
      <c r="AF1664">
        <v>11.0672176972932</v>
      </c>
      <c r="AG1664">
        <v>-1.1006487484430001</v>
      </c>
      <c r="AH1664">
        <v>15.506240230634001</v>
      </c>
      <c r="AI1664">
        <v>93.306582339526202</v>
      </c>
      <c r="AJ1664">
        <v>54.483536244655603</v>
      </c>
      <c r="AK1664">
        <v>19.082406067287799</v>
      </c>
      <c r="AL1664">
        <v>94.908412464029396</v>
      </c>
      <c r="AM1664">
        <v>74.544182714810304</v>
      </c>
      <c r="AN1664">
        <v>0.99999999054423705</v>
      </c>
    </row>
    <row r="1665" spans="1:40" x14ac:dyDescent="0.25">
      <c r="A1665" t="str">
        <f>"20190305135225584"</f>
        <v>20190305135225584</v>
      </c>
      <c r="B1665" t="str">
        <f>"1551765145581389"</f>
        <v>1551765145581389</v>
      </c>
      <c r="C1665" t="s">
        <v>40</v>
      </c>
      <c r="D1665">
        <v>4.9169539999999996</v>
      </c>
      <c r="E1665">
        <v>0.67458499999999999</v>
      </c>
      <c r="F1665" t="s">
        <v>56</v>
      </c>
      <c r="G1665">
        <v>-214.91929999999999</v>
      </c>
      <c r="H1665" s="1">
        <v>1.0810239999999999E-6</v>
      </c>
      <c r="I1665">
        <v>285.13780000000003</v>
      </c>
      <c r="J1665">
        <v>-197.20230000000001</v>
      </c>
      <c r="K1665">
        <v>1.100528</v>
      </c>
      <c r="L1665">
        <v>290.61520000000002</v>
      </c>
      <c r="M1665">
        <v>-0.6064813</v>
      </c>
      <c r="N1665">
        <v>-1.5656159999999999E-2</v>
      </c>
      <c r="O1665">
        <v>-0.79494350000000003</v>
      </c>
      <c r="P1665">
        <v>-0.79378070000000001</v>
      </c>
      <c r="Q1665">
        <v>-9.5244549999999997E-2</v>
      </c>
      <c r="R1665">
        <v>-0.60070040000000002</v>
      </c>
      <c r="S1665">
        <v>-3.0498349999999999</v>
      </c>
      <c r="T1665">
        <v>-0.18802769999999999</v>
      </c>
      <c r="U1665">
        <v>-0.96182250000000002</v>
      </c>
      <c r="V1665">
        <v>0.26489499999999999</v>
      </c>
      <c r="W1665">
        <v>-8.6083919999999994E-2</v>
      </c>
      <c r="X1665">
        <v>0.96042709999999998</v>
      </c>
      <c r="Y1665">
        <v>0.5742564</v>
      </c>
      <c r="Z1665">
        <v>4.85043E-2</v>
      </c>
      <c r="AA1665">
        <v>0.8172374</v>
      </c>
      <c r="AB1665">
        <v>20</v>
      </c>
      <c r="AC1665">
        <v>-17.716999999999899</v>
      </c>
      <c r="AD1665">
        <v>-1.1005269189759901</v>
      </c>
      <c r="AE1665">
        <v>-5.4773999999999798</v>
      </c>
      <c r="AF1665">
        <v>10.7256188046865</v>
      </c>
      <c r="AG1665">
        <v>-1.1005269189759901</v>
      </c>
      <c r="AH1665">
        <v>15.0481068220942</v>
      </c>
      <c r="AI1665">
        <v>93.4082010009936</v>
      </c>
      <c r="AJ1665">
        <v>54.520424479873597</v>
      </c>
      <c r="AK1665">
        <v>18.512038709229</v>
      </c>
      <c r="AL1665">
        <v>94.938357348241695</v>
      </c>
      <c r="AM1665">
        <v>74.580633164091907</v>
      </c>
      <c r="AN1665">
        <v>1.0000000083609799</v>
      </c>
    </row>
    <row r="1666" spans="1:40" x14ac:dyDescent="0.25">
      <c r="A1666" t="str">
        <f>"20190305135225610"</f>
        <v>20190305135225610</v>
      </c>
      <c r="B1666" t="str">
        <f>"1551765145600909"</f>
        <v>1551765145600909</v>
      </c>
      <c r="C1666" t="s">
        <v>40</v>
      </c>
      <c r="D1666">
        <v>4.8400239999999997</v>
      </c>
      <c r="E1666">
        <v>0.6815985</v>
      </c>
      <c r="F1666" t="s">
        <v>58</v>
      </c>
      <c r="G1666">
        <v>-328.97910000000002</v>
      </c>
      <c r="H1666">
        <v>1.75625099999999</v>
      </c>
      <c r="I1666">
        <v>261.07100000000003</v>
      </c>
      <c r="J1666">
        <v>-197.36500000000001</v>
      </c>
      <c r="K1666">
        <v>1.1003959999999999</v>
      </c>
      <c r="L1666">
        <v>290.43920000000003</v>
      </c>
      <c r="M1666">
        <v>-0.62145319999999904</v>
      </c>
      <c r="N1666">
        <v>-1.5751149999999998E-2</v>
      </c>
      <c r="O1666">
        <v>-0.78329309999999996</v>
      </c>
      <c r="P1666">
        <v>-0.80564959999999997</v>
      </c>
      <c r="Q1666">
        <v>-9.2831650000000002E-2</v>
      </c>
      <c r="R1666">
        <v>-0.58507369999999903</v>
      </c>
      <c r="S1666">
        <v>-3.2328190000000001</v>
      </c>
      <c r="T1666">
        <v>1.6086940000000001E-2</v>
      </c>
      <c r="U1666">
        <v>-0.72479249999999995</v>
      </c>
      <c r="V1666">
        <v>0.26568459999999899</v>
      </c>
      <c r="W1666">
        <v>-8.3700140000000006E-2</v>
      </c>
      <c r="X1666">
        <v>0.96041969999999999</v>
      </c>
      <c r="Y1666">
        <v>0.62828309999999998</v>
      </c>
      <c r="Z1666">
        <v>-1.3748369999999999E-2</v>
      </c>
      <c r="AA1666">
        <v>0.77786330000000004</v>
      </c>
      <c r="AB1666">
        <v>20</v>
      </c>
      <c r="AC1666">
        <v>-131.61410000000001</v>
      </c>
      <c r="AD1666">
        <v>0.65585499999999897</v>
      </c>
      <c r="AE1666">
        <v>-29.368200000000002</v>
      </c>
      <c r="AF1666">
        <v>84.849962962607194</v>
      </c>
      <c r="AG1666">
        <v>0.65585499999999897</v>
      </c>
      <c r="AH1666">
        <v>104.80642162699399</v>
      </c>
      <c r="AI1666">
        <v>89.721334311688395</v>
      </c>
      <c r="AJ1666">
        <v>51.006803462656499</v>
      </c>
      <c r="AK1666">
        <v>134.84929504744201</v>
      </c>
      <c r="AL1666">
        <v>94.8012819535641</v>
      </c>
      <c r="AM1666">
        <v>74.536754123791695</v>
      </c>
      <c r="AN1666">
        <v>1.0000000101306299</v>
      </c>
    </row>
    <row r="1667" spans="1:40" x14ac:dyDescent="0.25">
      <c r="A1667" t="str">
        <f>"20190305135225631"</f>
        <v>20190305135225631</v>
      </c>
      <c r="B1667" t="str">
        <f>"1551765145621405"</f>
        <v>1551765145621405</v>
      </c>
      <c r="C1667" t="s">
        <v>40</v>
      </c>
      <c r="D1667">
        <v>4.8609159999999996</v>
      </c>
      <c r="E1667">
        <v>0.6838535</v>
      </c>
      <c r="F1667" t="s">
        <v>58</v>
      </c>
      <c r="G1667">
        <v>-337.1388</v>
      </c>
      <c r="H1667">
        <v>3.2876829999999999</v>
      </c>
      <c r="I1667">
        <v>264.11720000000003</v>
      </c>
      <c r="J1667">
        <v>-197.50040000000001</v>
      </c>
      <c r="K1667">
        <v>1.1003080000000001</v>
      </c>
      <c r="L1667">
        <v>290.29809999999998</v>
      </c>
      <c r="M1667">
        <v>-0.63371519999999903</v>
      </c>
      <c r="N1667">
        <v>-1.5827129999999998E-2</v>
      </c>
      <c r="O1667">
        <v>-0.77340450000000005</v>
      </c>
      <c r="P1667">
        <v>-0.81668030000000003</v>
      </c>
      <c r="Q1667">
        <v>-9.001932E-2</v>
      </c>
      <c r="R1667">
        <v>-0.57002609999999998</v>
      </c>
      <c r="S1667">
        <v>-3.2809140000000001</v>
      </c>
      <c r="T1667">
        <v>5.1342609999999997E-2</v>
      </c>
      <c r="U1667">
        <v>-0.61785889999999999</v>
      </c>
      <c r="V1667">
        <v>0.26865209999999901</v>
      </c>
      <c r="W1667">
        <v>-8.0967310000000001E-2</v>
      </c>
      <c r="X1667">
        <v>0.95982829999999997</v>
      </c>
      <c r="Y1667">
        <v>0.64247730000000003</v>
      </c>
      <c r="Z1667">
        <v>-2.4029379999999999E-2</v>
      </c>
      <c r="AA1667">
        <v>0.76592789999999999</v>
      </c>
      <c r="AB1667">
        <v>20</v>
      </c>
      <c r="AC1667">
        <v>-139.63839999999999</v>
      </c>
      <c r="AD1667">
        <v>2.1873749999999998</v>
      </c>
      <c r="AE1667">
        <v>-26.180899999999902</v>
      </c>
      <c r="AF1667">
        <v>91.395519573710402</v>
      </c>
      <c r="AG1667">
        <v>2.1873749999999998</v>
      </c>
      <c r="AH1667">
        <v>108.72725262729701</v>
      </c>
      <c r="AI1667">
        <v>89.1177180436962</v>
      </c>
      <c r="AJ1667">
        <v>49.949779081712698</v>
      </c>
      <c r="AK1667">
        <v>142.05471154248701</v>
      </c>
      <c r="AL1667">
        <v>94.644168848837396</v>
      </c>
      <c r="AM1667">
        <v>74.363279352142897</v>
      </c>
      <c r="AN1667">
        <v>1.00000001080196</v>
      </c>
    </row>
    <row r="1668" spans="1:40" x14ac:dyDescent="0.25">
      <c r="A1668" t="str">
        <f>"20190305135225662"</f>
        <v>20190305135225662</v>
      </c>
      <c r="B1668" t="str">
        <f>"1551765145651191"</f>
        <v>1551765145651191</v>
      </c>
      <c r="C1668" t="s">
        <v>40</v>
      </c>
      <c r="D1668">
        <v>4.8476339999999896</v>
      </c>
      <c r="E1668">
        <v>0.68317340000000004</v>
      </c>
      <c r="F1668" t="s">
        <v>62</v>
      </c>
      <c r="G1668">
        <v>-334.40469999999999</v>
      </c>
      <c r="H1668">
        <v>3.8505609999999999</v>
      </c>
      <c r="I1668">
        <v>267.84070000000003</v>
      </c>
      <c r="J1668">
        <v>-197.70920000000001</v>
      </c>
      <c r="K1668">
        <v>1.100163</v>
      </c>
      <c r="L1668">
        <v>290.08949999999999</v>
      </c>
      <c r="M1668">
        <v>-0.65220349999999905</v>
      </c>
      <c r="N1668">
        <v>-1.5932160000000001E-2</v>
      </c>
      <c r="O1668">
        <v>-0.75787669999999996</v>
      </c>
      <c r="P1668">
        <v>-0.8354338</v>
      </c>
      <c r="Q1668">
        <v>-8.9794109999999996E-2</v>
      </c>
      <c r="R1668">
        <v>-0.54220649999999904</v>
      </c>
      <c r="S1668">
        <v>-3.302597</v>
      </c>
      <c r="T1668">
        <v>6.634545E-2</v>
      </c>
      <c r="U1668">
        <v>-0.54174800000000001</v>
      </c>
      <c r="V1668">
        <v>0.27776820000000002</v>
      </c>
      <c r="W1668">
        <v>-8.0981949999999997E-2</v>
      </c>
      <c r="X1668">
        <v>0.95722870000000004</v>
      </c>
      <c r="Y1668">
        <v>0.64189510000000005</v>
      </c>
      <c r="Z1668">
        <v>-2.801729E-2</v>
      </c>
      <c r="AA1668">
        <v>0.76628039999999997</v>
      </c>
      <c r="AB1668">
        <v>20</v>
      </c>
      <c r="AC1668">
        <v>-136.69549999999899</v>
      </c>
      <c r="AD1668">
        <v>2.7503980000000001</v>
      </c>
      <c r="AE1668">
        <v>-22.2487999999999</v>
      </c>
      <c r="AF1668">
        <v>89.063757338472499</v>
      </c>
      <c r="AG1668">
        <v>2.7503980000000001</v>
      </c>
      <c r="AH1668">
        <v>105.98677048464801</v>
      </c>
      <c r="AI1668">
        <v>88.861847592159705</v>
      </c>
      <c r="AJ1668">
        <v>49.958690353530301</v>
      </c>
      <c r="AK1668">
        <v>138.4670107938</v>
      </c>
      <c r="AL1668">
        <v>94.645010395499199</v>
      </c>
      <c r="AM1668">
        <v>73.818351677639797</v>
      </c>
      <c r="AN1668">
        <v>1.00000001663036</v>
      </c>
    </row>
    <row r="1669" spans="1:40" x14ac:dyDescent="0.25">
      <c r="A1669" t="str">
        <f>"20190305135225684"</f>
        <v>20190305135225684</v>
      </c>
      <c r="B1669" t="str">
        <f>"1551765145681447"</f>
        <v>1551765145681447</v>
      </c>
      <c r="C1669" t="s">
        <v>40</v>
      </c>
      <c r="D1669">
        <v>4.9214699999999896</v>
      </c>
      <c r="E1669">
        <v>0.68122550000000004</v>
      </c>
      <c r="F1669" t="s">
        <v>63</v>
      </c>
      <c r="G1669">
        <v>-367.30349999999999</v>
      </c>
      <c r="H1669">
        <v>4.4581999999999997</v>
      </c>
      <c r="I1669">
        <v>267.85000000000002</v>
      </c>
      <c r="J1669">
        <v>-197.84899999999999</v>
      </c>
      <c r="K1669">
        <v>1.1000779999999999</v>
      </c>
      <c r="L1669">
        <v>289.95569999999998</v>
      </c>
      <c r="M1669">
        <v>-0.66429589999999905</v>
      </c>
      <c r="N1669">
        <v>-1.5992989999999999E-2</v>
      </c>
      <c r="O1669">
        <v>-0.74729869999999898</v>
      </c>
      <c r="P1669">
        <v>-0.84698890000000004</v>
      </c>
      <c r="Q1669">
        <v>-9.2283110000000002E-2</v>
      </c>
      <c r="R1669">
        <v>-0.52354000000000001</v>
      </c>
      <c r="S1669">
        <v>-3.3158110000000001</v>
      </c>
      <c r="T1669">
        <v>6.5655950000000005E-2</v>
      </c>
      <c r="U1669">
        <v>-0.43481449999999999</v>
      </c>
      <c r="V1669">
        <v>0.28333999999999998</v>
      </c>
      <c r="W1669">
        <v>-8.3613789999999993E-2</v>
      </c>
      <c r="X1669">
        <v>0.95536759999999998</v>
      </c>
      <c r="Y1669">
        <v>0.65418120000000002</v>
      </c>
      <c r="Z1669">
        <v>-2.752025E-2</v>
      </c>
      <c r="AA1669">
        <v>0.75583699999999998</v>
      </c>
      <c r="AB1669">
        <v>20</v>
      </c>
      <c r="AC1669">
        <v>-169.454499999999</v>
      </c>
      <c r="AD1669">
        <v>3.3581219999999998</v>
      </c>
      <c r="AE1669">
        <v>-22.105699999999899</v>
      </c>
      <c r="AF1669">
        <v>111.919494077059</v>
      </c>
      <c r="AG1669">
        <v>3.3581219999999998</v>
      </c>
      <c r="AH1669">
        <v>129.05415715390299</v>
      </c>
      <c r="AI1669">
        <v>88.873805338676206</v>
      </c>
      <c r="AJ1669">
        <v>49.067225978679303</v>
      </c>
      <c r="AK1669">
        <v>170.85732532301901</v>
      </c>
      <c r="AL1669">
        <v>94.796316933342396</v>
      </c>
      <c r="AM1669">
        <v>73.480857745815896</v>
      </c>
      <c r="AN1669">
        <v>1.0000000363039601</v>
      </c>
    </row>
    <row r="1670" spans="1:40" x14ac:dyDescent="0.25">
      <c r="A1670" t="str">
        <f>"20190305135225708"</f>
        <v>20190305135225708</v>
      </c>
      <c r="B1670" t="str">
        <f>"1551765145700967"</f>
        <v>1551765145700967</v>
      </c>
      <c r="C1670" t="s">
        <v>40</v>
      </c>
      <c r="D1670">
        <v>4.9297979999999999</v>
      </c>
      <c r="E1670">
        <v>0.6795892</v>
      </c>
      <c r="F1670" t="s">
        <v>64</v>
      </c>
      <c r="G1670">
        <v>-440.6841</v>
      </c>
      <c r="H1670">
        <v>4.6422140000000001</v>
      </c>
      <c r="I1670">
        <v>262.54910000000001</v>
      </c>
      <c r="J1670">
        <v>-198.00569999999999</v>
      </c>
      <c r="K1670">
        <v>1.1000080000000001</v>
      </c>
      <c r="L1670">
        <v>289.81119999999999</v>
      </c>
      <c r="M1670">
        <v>-0.67757529999999999</v>
      </c>
      <c r="N1670">
        <v>-1.6055219999999999E-2</v>
      </c>
      <c r="O1670">
        <v>-0.73527810000000005</v>
      </c>
      <c r="P1670">
        <v>-0.85786719999999905</v>
      </c>
      <c r="Q1670">
        <v>-9.4549320000000006E-2</v>
      </c>
      <c r="R1670">
        <v>-0.5050983</v>
      </c>
      <c r="S1670">
        <v>-3.315903</v>
      </c>
      <c r="T1670">
        <v>4.8367859999999999E-2</v>
      </c>
      <c r="U1670">
        <v>-0.37423709999999999</v>
      </c>
      <c r="V1670">
        <v>0.28663860000000002</v>
      </c>
      <c r="W1670">
        <v>-8.5950990000000005E-2</v>
      </c>
      <c r="X1670">
        <v>0.95417540000000001</v>
      </c>
      <c r="Y1670">
        <v>0.65439829999999999</v>
      </c>
      <c r="Z1670">
        <v>-2.2067E-2</v>
      </c>
      <c r="AA1670">
        <v>0.75582799999999895</v>
      </c>
      <c r="AB1670">
        <v>20</v>
      </c>
      <c r="AC1670">
        <v>-242.67840000000001</v>
      </c>
      <c r="AD1670">
        <v>3.54220599999999</v>
      </c>
      <c r="AE1670">
        <v>-27.262099999999901</v>
      </c>
      <c r="AF1670">
        <v>159.950959748326</v>
      </c>
      <c r="AG1670">
        <v>3.54220599999999</v>
      </c>
      <c r="AH1670">
        <v>184.463090804985</v>
      </c>
      <c r="AI1670">
        <v>89.168804872918102</v>
      </c>
      <c r="AJ1670">
        <v>49.070906964182598</v>
      </c>
      <c r="AK1670">
        <v>244.17921413806999</v>
      </c>
      <c r="AL1670">
        <v>94.930712842247402</v>
      </c>
      <c r="AM1670">
        <v>73.279494733511896</v>
      </c>
      <c r="AN1670">
        <v>0.99999997682854902</v>
      </c>
    </row>
    <row r="1671" spans="1:40" x14ac:dyDescent="0.25">
      <c r="A1671" t="str">
        <f>"20190305135225729"</f>
        <v>20190305135225729</v>
      </c>
      <c r="B1671" t="str">
        <f>"1551765145721463"</f>
        <v>1551765145721463</v>
      </c>
      <c r="C1671" t="s">
        <v>40</v>
      </c>
      <c r="D1671">
        <v>4.9451409999999996</v>
      </c>
      <c r="E1671">
        <v>0.66309969999999996</v>
      </c>
      <c r="F1671" t="s">
        <v>64</v>
      </c>
      <c r="G1671">
        <v>-440.6841</v>
      </c>
      <c r="H1671">
        <v>4.1914720000000001</v>
      </c>
      <c r="I1671">
        <v>266.76190000000003</v>
      </c>
      <c r="J1671">
        <v>-198.16120000000001</v>
      </c>
      <c r="K1671">
        <v>1.099969</v>
      </c>
      <c r="L1671">
        <v>289.67320000000001</v>
      </c>
      <c r="M1671">
        <v>-0.69043900000000002</v>
      </c>
      <c r="N1671">
        <v>-1.6112209999999998E-2</v>
      </c>
      <c r="O1671">
        <v>-0.72321119999999905</v>
      </c>
      <c r="P1671">
        <v>-0.86745620000000001</v>
      </c>
      <c r="Q1671">
        <v>-9.5741499999999993E-2</v>
      </c>
      <c r="R1671">
        <v>-0.4882146</v>
      </c>
      <c r="S1671">
        <v>-3.3162379999999998</v>
      </c>
      <c r="T1671">
        <v>4.224551E-2</v>
      </c>
      <c r="U1671">
        <v>-0.31497190000000003</v>
      </c>
      <c r="V1671">
        <v>0.2883482</v>
      </c>
      <c r="W1671">
        <v>-8.7161509999999998E-2</v>
      </c>
      <c r="X1671">
        <v>0.95355029999999996</v>
      </c>
      <c r="Y1671">
        <v>0.65448430000000002</v>
      </c>
      <c r="Z1671">
        <v>-1.9940360000000001E-2</v>
      </c>
      <c r="AA1671">
        <v>0.75581259999999995</v>
      </c>
      <c r="AB1671">
        <v>20</v>
      </c>
      <c r="AC1671">
        <v>-242.52289999999999</v>
      </c>
      <c r="AD1671">
        <v>3.0915029999999999</v>
      </c>
      <c r="AE1671">
        <v>-22.911299999999901</v>
      </c>
      <c r="AF1671">
        <v>159.57143550748401</v>
      </c>
      <c r="AG1671">
        <v>3.0915029999999999</v>
      </c>
      <c r="AH1671">
        <v>184.01122655261301</v>
      </c>
      <c r="AI1671">
        <v>89.272795107477805</v>
      </c>
      <c r="AJ1671">
        <v>49.068721857897799</v>
      </c>
      <c r="AK1671">
        <v>243.58311090491301</v>
      </c>
      <c r="AL1671">
        <v>95.000331731858694</v>
      </c>
      <c r="AM1671">
        <v>73.174981275974901</v>
      </c>
      <c r="AN1671">
        <v>0.99999999394940497</v>
      </c>
    </row>
    <row r="1672" spans="1:40" x14ac:dyDescent="0.25">
      <c r="A1672" t="str">
        <f>"20190305135225750"</f>
        <v>20190305135225750</v>
      </c>
      <c r="B1672" t="str">
        <f>"1551765145740983"</f>
        <v>1551765145740983</v>
      </c>
      <c r="C1672" t="s">
        <v>40</v>
      </c>
      <c r="D1672">
        <v>4.9649769999999904</v>
      </c>
      <c r="E1672">
        <v>0.66035869999999997</v>
      </c>
      <c r="F1672" t="s">
        <v>56</v>
      </c>
      <c r="G1672">
        <v>-254.6283</v>
      </c>
      <c r="H1672" s="1">
        <v>9.2616229999999996E-7</v>
      </c>
      <c r="I1672">
        <v>283.53280000000001</v>
      </c>
      <c r="J1672">
        <v>-198.30840000000001</v>
      </c>
      <c r="K1672">
        <v>1.0999460000000001</v>
      </c>
      <c r="L1672">
        <v>289.5471</v>
      </c>
      <c r="M1672">
        <v>-0.70231730000000003</v>
      </c>
      <c r="N1672">
        <v>-1.6160339999999999E-2</v>
      </c>
      <c r="O1672">
        <v>-0.7116806</v>
      </c>
      <c r="P1672">
        <v>-0.87590009999999996</v>
      </c>
      <c r="Q1672">
        <v>-9.6331369999999999E-2</v>
      </c>
      <c r="R1672">
        <v>-0.47277839999999999</v>
      </c>
      <c r="S1672">
        <v>-3.252335</v>
      </c>
      <c r="T1672">
        <v>-6.3354850000000004E-2</v>
      </c>
      <c r="U1672">
        <v>-0.35366819999999999</v>
      </c>
      <c r="V1672">
        <v>0.28938120000000001</v>
      </c>
      <c r="W1672">
        <v>-8.7746089999999999E-2</v>
      </c>
      <c r="X1672">
        <v>0.95318369999999997</v>
      </c>
      <c r="Y1672">
        <v>0.63148349999999998</v>
      </c>
      <c r="Z1672">
        <v>1.1156320000000001E-2</v>
      </c>
      <c r="AA1672">
        <v>0.77530900000000003</v>
      </c>
      <c r="AB1672">
        <v>20</v>
      </c>
      <c r="AC1672">
        <v>-56.319899999999897</v>
      </c>
      <c r="AD1672">
        <v>-1.0999450738376999</v>
      </c>
      <c r="AE1672">
        <v>-6.0142999999999898</v>
      </c>
      <c r="AF1672">
        <v>35.848996234544998</v>
      </c>
      <c r="AG1672">
        <v>-1.0999450738376999</v>
      </c>
      <c r="AH1672">
        <v>43.823897810556602</v>
      </c>
      <c r="AI1672">
        <v>91.112957579933905</v>
      </c>
      <c r="AJ1672">
        <v>50.716013085508798</v>
      </c>
      <c r="AK1672">
        <v>56.629448430123297</v>
      </c>
      <c r="AL1672">
        <v>95.033954438533996</v>
      </c>
      <c r="AM1672">
        <v>73.112005618611704</v>
      </c>
      <c r="AN1672">
        <v>1.0000000105847</v>
      </c>
    </row>
    <row r="1673" spans="1:40" x14ac:dyDescent="0.25">
      <c r="A1673" t="str">
        <f>"20190305135225773"</f>
        <v>20190305135225773</v>
      </c>
      <c r="B1673" t="str">
        <f>"1551765145761482"</f>
        <v>1551765145761482</v>
      </c>
      <c r="C1673" t="s">
        <v>40</v>
      </c>
      <c r="D1673">
        <v>4.9953519999999996</v>
      </c>
      <c r="E1673">
        <v>0.65921200000000002</v>
      </c>
      <c r="F1673" t="s">
        <v>56</v>
      </c>
      <c r="G1673">
        <v>-255.34790000000001</v>
      </c>
      <c r="H1673" s="1">
        <v>1.3091019999999999E-6</v>
      </c>
      <c r="I1673">
        <v>283.99799999999999</v>
      </c>
      <c r="J1673">
        <v>-198.4659</v>
      </c>
      <c r="K1673">
        <v>1.0999410000000001</v>
      </c>
      <c r="L1673">
        <v>289.4171</v>
      </c>
      <c r="M1673">
        <v>-0.7146941</v>
      </c>
      <c r="N1673">
        <v>-1.620338E-2</v>
      </c>
      <c r="O1673">
        <v>-0.69924960000000003</v>
      </c>
      <c r="P1673">
        <v>-0.88377559999999999</v>
      </c>
      <c r="Q1673">
        <v>-9.6758689999999994E-2</v>
      </c>
      <c r="R1673">
        <v>-0.45779740000000002</v>
      </c>
      <c r="S1673">
        <v>-3.24762</v>
      </c>
      <c r="T1673">
        <v>-6.2626840000000003E-2</v>
      </c>
      <c r="U1673">
        <v>-0.31594850000000002</v>
      </c>
      <c r="V1673">
        <v>0.28884609999999999</v>
      </c>
      <c r="W1673">
        <v>-8.8119160000000002E-2</v>
      </c>
      <c r="X1673">
        <v>0.95331160000000004</v>
      </c>
      <c r="Y1673">
        <v>0.62666119999999903</v>
      </c>
      <c r="Z1673">
        <v>1.1001149999999999E-2</v>
      </c>
      <c r="AA1673">
        <v>0.77921409999999902</v>
      </c>
      <c r="AB1673">
        <v>20</v>
      </c>
      <c r="AC1673">
        <v>-56.881999999999998</v>
      </c>
      <c r="AD1673">
        <v>-1.0999396908979999</v>
      </c>
      <c r="AE1673">
        <v>-5.41910000000001</v>
      </c>
      <c r="AF1673">
        <v>35.893126384567601</v>
      </c>
      <c r="AG1673">
        <v>-1.0999396908979999</v>
      </c>
      <c r="AH1673">
        <v>44.431899091108001</v>
      </c>
      <c r="AI1673">
        <v>91.103219405875606</v>
      </c>
      <c r="AJ1673">
        <v>51.067912174414403</v>
      </c>
      <c r="AK1673">
        <v>57.128977286702401</v>
      </c>
      <c r="AL1673">
        <v>95.055412791010696</v>
      </c>
      <c r="AM1673">
        <v>73.143594122046693</v>
      </c>
      <c r="AN1673">
        <v>1.0000000312694299</v>
      </c>
    </row>
    <row r="1674" spans="1:40" x14ac:dyDescent="0.25">
      <c r="A1674" t="str">
        <f>"20190305135225794"</f>
        <v>20190305135225794</v>
      </c>
      <c r="B1674" t="str">
        <f>"1551765145791734"</f>
        <v>1551765145791734</v>
      </c>
      <c r="C1674" t="s">
        <v>40</v>
      </c>
      <c r="D1674">
        <v>5.0120699999999996</v>
      </c>
      <c r="E1674">
        <v>0.64687969999999995</v>
      </c>
      <c r="F1674" t="s">
        <v>56</v>
      </c>
      <c r="G1674">
        <v>-256.32150000000001</v>
      </c>
      <c r="H1674" s="1">
        <v>1.827212E-6</v>
      </c>
      <c r="I1674">
        <v>284.61790000000002</v>
      </c>
      <c r="J1674">
        <v>-198.62039999999999</v>
      </c>
      <c r="K1674">
        <v>1.099953</v>
      </c>
      <c r="L1674">
        <v>289.29399999999998</v>
      </c>
      <c r="M1674">
        <v>-0.72650749999999997</v>
      </c>
      <c r="N1674">
        <v>-1.623755E-2</v>
      </c>
      <c r="O1674">
        <v>-0.68696679999999999</v>
      </c>
      <c r="P1674">
        <v>-0.89092979999999999</v>
      </c>
      <c r="Q1674">
        <v>-9.6613560000000001E-2</v>
      </c>
      <c r="R1674">
        <v>-0.44374580000000002</v>
      </c>
      <c r="S1674">
        <v>-3.2481990000000001</v>
      </c>
      <c r="T1674">
        <v>-6.1754110000000001E-2</v>
      </c>
      <c r="U1674">
        <v>-0.2694397</v>
      </c>
      <c r="V1674">
        <v>0.28771249999999998</v>
      </c>
      <c r="W1674">
        <v>-8.7902830000000001E-2</v>
      </c>
      <c r="X1674">
        <v>0.95367429999999997</v>
      </c>
      <c r="Y1674">
        <v>0.62446140000000006</v>
      </c>
      <c r="Z1674">
        <v>1.082407E-2</v>
      </c>
      <c r="AA1674">
        <v>0.78098069999999997</v>
      </c>
      <c r="AB1674">
        <v>20</v>
      </c>
      <c r="AC1674">
        <v>-57.701099999999997</v>
      </c>
      <c r="AD1674">
        <v>-1.099951172788</v>
      </c>
      <c r="AE1674">
        <v>-4.6761000000000204</v>
      </c>
      <c r="AF1674">
        <v>36.233212440138701</v>
      </c>
      <c r="AG1674">
        <v>-1.099951172788</v>
      </c>
      <c r="AH1674">
        <v>45.122263831638399</v>
      </c>
      <c r="AI1674">
        <v>91.088917472751206</v>
      </c>
      <c r="AJ1674">
        <v>51.2355089666856</v>
      </c>
      <c r="AK1674">
        <v>57.879826102077402</v>
      </c>
      <c r="AL1674">
        <v>95.042969714812102</v>
      </c>
      <c r="AM1674">
        <v>73.212044974176905</v>
      </c>
      <c r="AN1674">
        <v>1.0000000303293699</v>
      </c>
    </row>
    <row r="1675" spans="1:40" x14ac:dyDescent="0.25">
      <c r="A1675" t="str">
        <f>"20190305135225820"</f>
        <v>20190305135225820</v>
      </c>
      <c r="B1675" t="str">
        <f>"1551765145811255"</f>
        <v>1551765145811255</v>
      </c>
      <c r="C1675" t="s">
        <v>40</v>
      </c>
      <c r="D1675">
        <v>5.0382419999999897</v>
      </c>
      <c r="E1675">
        <v>0.64505259999999998</v>
      </c>
      <c r="F1675" t="s">
        <v>56</v>
      </c>
      <c r="G1675">
        <v>-231.1275</v>
      </c>
      <c r="H1675" s="1">
        <v>-1.008003E-6</v>
      </c>
      <c r="I1675">
        <v>286.24529999999999</v>
      </c>
      <c r="J1675">
        <v>-198.80500000000001</v>
      </c>
      <c r="K1675">
        <v>1.0999570000000001</v>
      </c>
      <c r="L1675">
        <v>289.15249999999997</v>
      </c>
      <c r="M1675">
        <v>-0.74020390000000003</v>
      </c>
      <c r="N1675">
        <v>-1.6270150000000001E-2</v>
      </c>
      <c r="O1675">
        <v>-0.6721859</v>
      </c>
      <c r="P1675">
        <v>-0.89931859999999997</v>
      </c>
      <c r="Q1675">
        <v>-9.7134239999999997E-2</v>
      </c>
      <c r="R1675">
        <v>-0.42637049999999999</v>
      </c>
      <c r="S1675">
        <v>-3.2057500000000001</v>
      </c>
      <c r="T1675">
        <v>-0.108474</v>
      </c>
      <c r="U1675">
        <v>-0.30065920000000002</v>
      </c>
      <c r="V1675">
        <v>0.28695969999999998</v>
      </c>
      <c r="W1675">
        <v>-8.8356439999999994E-2</v>
      </c>
      <c r="X1675">
        <v>0.95385920000000002</v>
      </c>
      <c r="Y1675">
        <v>0.59968759999999999</v>
      </c>
      <c r="Z1675">
        <v>2.4024630000000002E-2</v>
      </c>
      <c r="AA1675">
        <v>0.79987350000000002</v>
      </c>
      <c r="AB1675">
        <v>20</v>
      </c>
      <c r="AC1675">
        <v>-32.322499999999899</v>
      </c>
      <c r="AD1675">
        <v>-1.099958008003</v>
      </c>
      <c r="AE1675">
        <v>-2.90719999999998</v>
      </c>
      <c r="AF1675">
        <v>19.554930685618199</v>
      </c>
      <c r="AG1675">
        <v>-1.099958008003</v>
      </c>
      <c r="AH1675">
        <v>25.853140083301401</v>
      </c>
      <c r="AI1675">
        <v>91.943462657511404</v>
      </c>
      <c r="AJ1675">
        <v>52.8966808664374</v>
      </c>
      <c r="AK1675">
        <v>32.434396462791</v>
      </c>
      <c r="AL1675">
        <v>95.069061065845005</v>
      </c>
      <c r="AM1675">
        <v>73.256572972599599</v>
      </c>
      <c r="AN1675">
        <v>1.0000000516691001</v>
      </c>
    </row>
    <row r="1676" spans="1:40" x14ac:dyDescent="0.25">
      <c r="A1676" t="str">
        <f>"20190305135225842"</f>
        <v>20190305135225842</v>
      </c>
      <c r="B1676" t="str">
        <f>"1551765145830774"</f>
        <v>1551765145830774</v>
      </c>
      <c r="C1676" t="s">
        <v>40</v>
      </c>
      <c r="D1676">
        <v>5.0284360000000001</v>
      </c>
      <c r="E1676">
        <v>0.64272390000000001</v>
      </c>
      <c r="F1676" t="s">
        <v>56</v>
      </c>
      <c r="G1676">
        <v>-228.9889</v>
      </c>
      <c r="H1676" s="1">
        <v>3.2466649999999999E-6</v>
      </c>
      <c r="I1676">
        <v>286.79660000000001</v>
      </c>
      <c r="J1676">
        <v>-198.9701</v>
      </c>
      <c r="K1676">
        <v>1.099966</v>
      </c>
      <c r="L1676">
        <v>289.0308</v>
      </c>
      <c r="M1676">
        <v>-0.7520618</v>
      </c>
      <c r="N1676">
        <v>-1.6293120000000001E-2</v>
      </c>
      <c r="O1676">
        <v>-0.65889140000000002</v>
      </c>
      <c r="P1676">
        <v>-0.90630920000000004</v>
      </c>
      <c r="Q1676">
        <v>-9.9431370000000005E-2</v>
      </c>
      <c r="R1676">
        <v>-0.41075230000000001</v>
      </c>
      <c r="S1676">
        <v>-3.204666</v>
      </c>
      <c r="T1676">
        <v>-0.1167836</v>
      </c>
      <c r="U1676">
        <v>-0.25012210000000001</v>
      </c>
      <c r="V1676">
        <v>0.2862537</v>
      </c>
      <c r="W1676">
        <v>-9.0594419999999995E-2</v>
      </c>
      <c r="X1676">
        <v>0.95386139999999997</v>
      </c>
      <c r="Y1676">
        <v>0.59783980000000003</v>
      </c>
      <c r="Z1676">
        <v>2.6331650000000002E-2</v>
      </c>
      <c r="AA1676">
        <v>0.80118299999999998</v>
      </c>
      <c r="AB1676">
        <v>20</v>
      </c>
      <c r="AC1676">
        <v>-30.018799999999999</v>
      </c>
      <c r="AD1676">
        <v>-1.099962753335</v>
      </c>
      <c r="AE1676">
        <v>-2.23419999999998</v>
      </c>
      <c r="AF1676">
        <v>18.077134899319802</v>
      </c>
      <c r="AG1676">
        <v>-1.099962753335</v>
      </c>
      <c r="AH1676">
        <v>24.0192047931335</v>
      </c>
      <c r="AI1676">
        <v>92.095528458608001</v>
      </c>
      <c r="AJ1676">
        <v>53.034452613696502</v>
      </c>
      <c r="AK1676">
        <v>30.081803854181</v>
      </c>
      <c r="AL1676">
        <v>95.197804289047099</v>
      </c>
      <c r="AM1676">
        <v>73.295505265948194</v>
      </c>
      <c r="AN1676">
        <v>1.00000005005439</v>
      </c>
    </row>
    <row r="1677" spans="1:40" x14ac:dyDescent="0.25">
      <c r="A1677" t="str">
        <f>"20190305135225863"</f>
        <v>20190305135225863</v>
      </c>
      <c r="B1677" t="str">
        <f>"1551765145850801"</f>
        <v>1551765145850801</v>
      </c>
      <c r="C1677" t="s">
        <v>40</v>
      </c>
      <c r="D1677">
        <v>5.052613</v>
      </c>
      <c r="E1677">
        <v>0.63150810000000002</v>
      </c>
      <c r="F1677" t="s">
        <v>56</v>
      </c>
      <c r="G1677">
        <v>-226.21539999999999</v>
      </c>
      <c r="H1677" s="1">
        <v>1.7707419999999999E-6</v>
      </c>
      <c r="I1677">
        <v>287.23289999999997</v>
      </c>
      <c r="J1677">
        <v>-199.1251</v>
      </c>
      <c r="K1677">
        <v>1.0999969999999999</v>
      </c>
      <c r="L1677">
        <v>288.92090000000002</v>
      </c>
      <c r="M1677">
        <v>-0.76284890000000005</v>
      </c>
      <c r="N1677">
        <v>-1.6308989999999999E-2</v>
      </c>
      <c r="O1677">
        <v>-0.64637119999999904</v>
      </c>
      <c r="P1677">
        <v>-0.91147080000000003</v>
      </c>
      <c r="Q1677">
        <v>-0.1015421</v>
      </c>
      <c r="R1677">
        <v>-0.39863539999999997</v>
      </c>
      <c r="S1677">
        <v>-3.2002410000000001</v>
      </c>
      <c r="T1677">
        <v>-0.12920219999999999</v>
      </c>
      <c r="U1677">
        <v>-0.2111816</v>
      </c>
      <c r="V1677">
        <v>0.28301579999999998</v>
      </c>
      <c r="W1677">
        <v>-9.2576729999999996E-2</v>
      </c>
      <c r="X1677">
        <v>0.95463690000000001</v>
      </c>
      <c r="Y1677">
        <v>0.59405600000000003</v>
      </c>
      <c r="Z1677">
        <v>2.9704299999999999E-2</v>
      </c>
      <c r="AA1677">
        <v>0.80387509999999995</v>
      </c>
      <c r="AB1677">
        <v>20</v>
      </c>
      <c r="AC1677">
        <v>-27.0902999999999</v>
      </c>
      <c r="AD1677">
        <v>-1.099995229258</v>
      </c>
      <c r="AE1677">
        <v>-1.6880000000000399</v>
      </c>
      <c r="AF1677">
        <v>16.198253896557102</v>
      </c>
      <c r="AG1677">
        <v>-1.099995229258</v>
      </c>
      <c r="AH1677">
        <v>21.724093502553998</v>
      </c>
      <c r="AI1677">
        <v>92.324515706000597</v>
      </c>
      <c r="AJ1677">
        <v>53.290483492361403</v>
      </c>
      <c r="AK1677">
        <v>27.120650016351501</v>
      </c>
      <c r="AL1677">
        <v>95.311861912243103</v>
      </c>
      <c r="AM1677">
        <v>73.486787800410895</v>
      </c>
      <c r="AN1677">
        <v>1.00000000241437</v>
      </c>
    </row>
    <row r="1678" spans="1:40" x14ac:dyDescent="0.25">
      <c r="A1678" t="str">
        <f>"20190305135225883"</f>
        <v>20190305135225883</v>
      </c>
      <c r="B1678" t="str">
        <f>"1551765145881058"</f>
        <v>1551765145881058</v>
      </c>
      <c r="C1678" t="s">
        <v>40</v>
      </c>
      <c r="D1678">
        <v>5.0503720000000003</v>
      </c>
      <c r="E1678">
        <v>0.62823660000000003</v>
      </c>
      <c r="F1678" t="s">
        <v>56</v>
      </c>
      <c r="G1678">
        <v>-219.5394</v>
      </c>
      <c r="H1678" s="1">
        <v>3.5396189999999998E-6</v>
      </c>
      <c r="I1678">
        <v>287.3261</v>
      </c>
      <c r="J1678">
        <v>-199.28030000000001</v>
      </c>
      <c r="K1678">
        <v>1.100034</v>
      </c>
      <c r="L1678">
        <v>288.81459999999998</v>
      </c>
      <c r="M1678">
        <v>-0.77333830000000003</v>
      </c>
      <c r="N1678">
        <v>-1.6319449999999999E-2</v>
      </c>
      <c r="O1678">
        <v>-0.63378350000000006</v>
      </c>
      <c r="P1678">
        <v>-0.91631910000000005</v>
      </c>
      <c r="Q1678">
        <v>-0.10226880000000001</v>
      </c>
      <c r="R1678">
        <v>-0.38716990000000001</v>
      </c>
      <c r="S1678">
        <v>-3.1642760000000001</v>
      </c>
      <c r="T1678">
        <v>-0.17050170000000001</v>
      </c>
      <c r="U1678">
        <v>-0.24719240000000001</v>
      </c>
      <c r="V1678">
        <v>0.2792946</v>
      </c>
      <c r="W1678">
        <v>-9.3160510000000002E-2</v>
      </c>
      <c r="X1678">
        <v>0.95567550000000001</v>
      </c>
      <c r="Y1678">
        <v>0.57035210000000003</v>
      </c>
      <c r="Z1678">
        <v>4.0643390000000001E-2</v>
      </c>
      <c r="AA1678">
        <v>0.82039419999999996</v>
      </c>
      <c r="AB1678">
        <v>20</v>
      </c>
      <c r="AC1678">
        <v>-20.259099999999901</v>
      </c>
      <c r="AD1678">
        <v>-1.1000304603810001</v>
      </c>
      <c r="AE1678">
        <v>-1.48849999999998</v>
      </c>
      <c r="AF1678">
        <v>11.6561451104405</v>
      </c>
      <c r="AG1678">
        <v>-1.1000304603810001</v>
      </c>
      <c r="AH1678">
        <v>16.564163610576799</v>
      </c>
      <c r="AI1678">
        <v>93.108732409380593</v>
      </c>
      <c r="AJ1678">
        <v>54.866080323123299</v>
      </c>
      <c r="AK1678">
        <v>20.284163822237499</v>
      </c>
      <c r="AL1678">
        <v>95.345455191978303</v>
      </c>
      <c r="AM1678">
        <v>73.709084349317806</v>
      </c>
      <c r="AN1678">
        <v>1.0000000077564299</v>
      </c>
    </row>
    <row r="1679" spans="1:40" x14ac:dyDescent="0.25">
      <c r="A1679" t="str">
        <f>"20190305135225907"</f>
        <v>20190305135225907</v>
      </c>
      <c r="B1679" t="str">
        <f>"1551765145901555"</f>
        <v>1551765145901555</v>
      </c>
      <c r="C1679" t="s">
        <v>40</v>
      </c>
      <c r="D1679">
        <v>5.0956739999999998</v>
      </c>
      <c r="E1679">
        <v>0.62640419999999997</v>
      </c>
      <c r="F1679" t="s">
        <v>56</v>
      </c>
      <c r="G1679">
        <v>-220.0154</v>
      </c>
      <c r="H1679" s="1">
        <v>-1.5285690000000001E-6</v>
      </c>
      <c r="I1679">
        <v>287.291</v>
      </c>
      <c r="J1679">
        <v>-199.45429999999999</v>
      </c>
      <c r="K1679">
        <v>1.100085</v>
      </c>
      <c r="L1679">
        <v>288.69979999999998</v>
      </c>
      <c r="M1679">
        <v>-0.78471679999999999</v>
      </c>
      <c r="N1679">
        <v>-1.632544E-2</v>
      </c>
      <c r="O1679">
        <v>-0.61963950000000001</v>
      </c>
      <c r="P1679">
        <v>-0.92221500000000001</v>
      </c>
      <c r="Q1679">
        <v>-0.1021576</v>
      </c>
      <c r="R1679">
        <v>-0.37293880000000001</v>
      </c>
      <c r="S1679">
        <v>-3.1572719999999999</v>
      </c>
      <c r="T1679">
        <v>-0.16749890000000001</v>
      </c>
      <c r="U1679">
        <v>-0.2319946</v>
      </c>
      <c r="V1679">
        <v>0.27676499999999998</v>
      </c>
      <c r="W1679">
        <v>-9.2936119999999997E-2</v>
      </c>
      <c r="X1679">
        <v>0.95643290000000003</v>
      </c>
      <c r="Y1679">
        <v>0.55925009999999997</v>
      </c>
      <c r="Z1679">
        <v>3.9261440000000002E-2</v>
      </c>
      <c r="AA1679">
        <v>0.82806880000000005</v>
      </c>
      <c r="AB1679">
        <v>20</v>
      </c>
      <c r="AC1679">
        <v>-20.5611</v>
      </c>
      <c r="AD1679">
        <v>-1.100086528569</v>
      </c>
      <c r="AE1679">
        <v>-1.4087999999999801</v>
      </c>
      <c r="AF1679">
        <v>11.6034501271564</v>
      </c>
      <c r="AG1679">
        <v>-1.100086528569</v>
      </c>
      <c r="AH1679">
        <v>16.961527649810701</v>
      </c>
      <c r="AI1679">
        <v>93.064131634613602</v>
      </c>
      <c r="AJ1679">
        <v>55.623809980146099</v>
      </c>
      <c r="AK1679">
        <v>20.580176516226398</v>
      </c>
      <c r="AL1679">
        <v>95.332542934726803</v>
      </c>
      <c r="AM1679">
        <v>73.861031526443796</v>
      </c>
      <c r="AN1679">
        <v>0.99999993991403002</v>
      </c>
    </row>
    <row r="1680" spans="1:40" x14ac:dyDescent="0.25">
      <c r="A1680" t="str">
        <f>"20190305135225929"</f>
        <v>20190305135225929</v>
      </c>
      <c r="B1680" t="str">
        <f>"1551765145921075"</f>
        <v>1551765145921075</v>
      </c>
      <c r="C1680" t="s">
        <v>40</v>
      </c>
      <c r="D1680">
        <v>5.0681430000000001</v>
      </c>
      <c r="E1680">
        <v>0.62453519999999996</v>
      </c>
      <c r="F1680" t="s">
        <v>56</v>
      </c>
      <c r="G1680">
        <v>-219.5334</v>
      </c>
      <c r="H1680" s="1">
        <v>3.5364370000000001E-6</v>
      </c>
      <c r="I1680">
        <v>287.45280000000002</v>
      </c>
      <c r="J1680">
        <v>-199.62479999999999</v>
      </c>
      <c r="K1680">
        <v>1.100147</v>
      </c>
      <c r="L1680">
        <v>288.59190000000001</v>
      </c>
      <c r="M1680">
        <v>-0.7954869</v>
      </c>
      <c r="N1680">
        <v>-1.6326609999999998E-2</v>
      </c>
      <c r="O1680">
        <v>-0.60575080000000003</v>
      </c>
      <c r="P1680">
        <v>-0.92798539999999996</v>
      </c>
      <c r="Q1680">
        <v>-0.1017854</v>
      </c>
      <c r="R1680">
        <v>-0.35844520000000002</v>
      </c>
      <c r="S1680">
        <v>-3.1546630000000002</v>
      </c>
      <c r="T1680">
        <v>-0.17283519999999999</v>
      </c>
      <c r="U1680">
        <v>-0.19592290000000001</v>
      </c>
      <c r="V1680">
        <v>0.27498669999999997</v>
      </c>
      <c r="W1680">
        <v>-9.2475349999999998E-2</v>
      </c>
      <c r="X1680">
        <v>0.95699040000000002</v>
      </c>
      <c r="Y1680">
        <v>0.55397269999999998</v>
      </c>
      <c r="Z1680">
        <v>4.0288209999999998E-2</v>
      </c>
      <c r="AA1680">
        <v>0.83155939999999995</v>
      </c>
      <c r="AB1680">
        <v>19</v>
      </c>
      <c r="AC1680">
        <v>-19.9086</v>
      </c>
      <c r="AD1680">
        <v>-1.1001434635629901</v>
      </c>
      <c r="AE1680">
        <v>-1.13909999999998</v>
      </c>
      <c r="AF1680">
        <v>11.121148964440801</v>
      </c>
      <c r="AG1680">
        <v>-1.1001434635629901</v>
      </c>
      <c r="AH1680">
        <v>16.479087472614399</v>
      </c>
      <c r="AI1680">
        <v>93.167368850423898</v>
      </c>
      <c r="AJ1680">
        <v>55.985989014484701</v>
      </c>
      <c r="AK1680">
        <v>19.9110671200662</v>
      </c>
      <c r="AL1680">
        <v>95.306028250808893</v>
      </c>
      <c r="AM1680">
        <v>73.968243629623302</v>
      </c>
      <c r="AN1680">
        <v>1.0000000006133301</v>
      </c>
    </row>
    <row r="1681" spans="1:40" x14ac:dyDescent="0.25">
      <c r="A1681" t="str">
        <f>"20190305135225952"</f>
        <v>20190305135225952</v>
      </c>
      <c r="B1681" t="str">
        <f>"1551765145941574"</f>
        <v>1551765145941574</v>
      </c>
      <c r="C1681" t="s">
        <v>40</v>
      </c>
      <c r="D1681">
        <v>5.1328889999999996</v>
      </c>
      <c r="E1681">
        <v>0.61401359999999905</v>
      </c>
      <c r="F1681" t="s">
        <v>56</v>
      </c>
      <c r="G1681">
        <v>-220.04859999999999</v>
      </c>
      <c r="H1681" s="1">
        <v>-1.5109020000000001E-6</v>
      </c>
      <c r="I1681">
        <v>287.55040000000002</v>
      </c>
      <c r="J1681">
        <v>-199.79740000000001</v>
      </c>
      <c r="K1681">
        <v>1.100223</v>
      </c>
      <c r="L1681">
        <v>288.48669999999998</v>
      </c>
      <c r="M1681">
        <v>-0.80602750000000001</v>
      </c>
      <c r="N1681">
        <v>-1.632459E-2</v>
      </c>
      <c r="O1681">
        <v>-0.59165299999999998</v>
      </c>
      <c r="P1681">
        <v>-0.93329629999999997</v>
      </c>
      <c r="Q1681">
        <v>-9.9355589999999994E-2</v>
      </c>
      <c r="R1681">
        <v>-0.34508919999999998</v>
      </c>
      <c r="S1681">
        <v>-3.1521150000000002</v>
      </c>
      <c r="T1681">
        <v>-0.1697911</v>
      </c>
      <c r="U1681">
        <v>-0.16073609999999999</v>
      </c>
      <c r="V1681">
        <v>0.2721017</v>
      </c>
      <c r="W1681">
        <v>-8.9926000000000006E-2</v>
      </c>
      <c r="X1681">
        <v>0.95805739999999995</v>
      </c>
      <c r="Y1681">
        <v>0.54858709999999999</v>
      </c>
      <c r="Z1681">
        <v>3.9037429999999998E-2</v>
      </c>
      <c r="AA1681">
        <v>0.83518159999999897</v>
      </c>
      <c r="AB1681">
        <v>19</v>
      </c>
      <c r="AC1681">
        <v>-20.251199999999901</v>
      </c>
      <c r="AD1681">
        <v>-1.1002245109019999</v>
      </c>
      <c r="AE1681">
        <v>-0.93629999999996005</v>
      </c>
      <c r="AF1681">
        <v>11.195520915573599</v>
      </c>
      <c r="AG1681">
        <v>-1.1002245109019999</v>
      </c>
      <c r="AH1681">
        <v>16.8296683469299</v>
      </c>
      <c r="AI1681">
        <v>93.115576497403197</v>
      </c>
      <c r="AJ1681">
        <v>56.3671448225669</v>
      </c>
      <c r="AK1681">
        <v>20.243219092157499</v>
      </c>
      <c r="AL1681">
        <v>95.159349934894394</v>
      </c>
      <c r="AM1681">
        <v>74.144712095244103</v>
      </c>
      <c r="AN1681">
        <v>1.00000000115682</v>
      </c>
    </row>
    <row r="1682" spans="1:40" x14ac:dyDescent="0.25">
      <c r="A1682" t="str">
        <f>"20190305135225974"</f>
        <v>20190305135225974</v>
      </c>
      <c r="B1682" t="str">
        <f>"1551765145970850"</f>
        <v>1551765145970850</v>
      </c>
      <c r="C1682" t="s">
        <v>40</v>
      </c>
      <c r="D1682">
        <v>5.1733849999999997</v>
      </c>
      <c r="E1682">
        <v>0.61171900000000001</v>
      </c>
      <c r="F1682" t="s">
        <v>56</v>
      </c>
      <c r="G1682">
        <v>-221.91929999999999</v>
      </c>
      <c r="H1682" s="1">
        <v>-5.1541090000000002E-7</v>
      </c>
      <c r="I1682">
        <v>287.10610000000003</v>
      </c>
      <c r="J1682">
        <v>-199.9709</v>
      </c>
      <c r="K1682">
        <v>1.10029</v>
      </c>
      <c r="L1682">
        <v>288.38510000000002</v>
      </c>
      <c r="M1682">
        <v>-0.81625689999999995</v>
      </c>
      <c r="N1682">
        <v>-1.6320020000000001E-2</v>
      </c>
      <c r="O1682">
        <v>-0.57745869999999999</v>
      </c>
      <c r="P1682">
        <v>-0.93796089999999999</v>
      </c>
      <c r="Q1682">
        <v>-9.774629E-2</v>
      </c>
      <c r="R1682">
        <v>-0.3326788</v>
      </c>
      <c r="S1682">
        <v>-3.1257320000000002</v>
      </c>
      <c r="T1682">
        <v>-0.15545680000000001</v>
      </c>
      <c r="U1682">
        <v>-0.1950684</v>
      </c>
      <c r="V1682">
        <v>0.26819670000000001</v>
      </c>
      <c r="W1682">
        <v>-8.8175859999999995E-2</v>
      </c>
      <c r="X1682">
        <v>0.95932039999999996</v>
      </c>
      <c r="Y1682">
        <v>0.52448869999999903</v>
      </c>
      <c r="Z1682">
        <v>3.4477229999999998E-2</v>
      </c>
      <c r="AA1682">
        <v>0.85071909999999895</v>
      </c>
      <c r="AB1682">
        <v>19</v>
      </c>
      <c r="AC1682">
        <v>-21.9483999999999</v>
      </c>
      <c r="AD1682">
        <v>-1.1002905154108999</v>
      </c>
      <c r="AE1682">
        <v>-1.2789999999999899</v>
      </c>
      <c r="AF1682">
        <v>11.602789572399301</v>
      </c>
      <c r="AG1682">
        <v>-1.1002905154108999</v>
      </c>
      <c r="AH1682">
        <v>18.609974891076199</v>
      </c>
      <c r="AI1682">
        <v>92.872191410324206</v>
      </c>
      <c r="AJ1682">
        <v>58.057635132647199</v>
      </c>
      <c r="AK1682">
        <v>21.9582907013768</v>
      </c>
      <c r="AL1682">
        <v>95.058674107256493</v>
      </c>
      <c r="AM1682">
        <v>74.380630079134505</v>
      </c>
      <c r="AN1682">
        <v>1.0000000410168901</v>
      </c>
    </row>
    <row r="1683" spans="1:40" x14ac:dyDescent="0.25">
      <c r="A1683" t="str">
        <f>"20190305135225995"</f>
        <v>20190305135225995</v>
      </c>
      <c r="B1683" t="str">
        <f>"1551765145991346"</f>
        <v>1551765145991346</v>
      </c>
      <c r="C1683" t="s">
        <v>40</v>
      </c>
      <c r="D1683">
        <v>5.1577019999999996</v>
      </c>
      <c r="E1683">
        <v>0.61057819999999996</v>
      </c>
      <c r="F1683" t="s">
        <v>56</v>
      </c>
      <c r="G1683">
        <v>-221.99770000000001</v>
      </c>
      <c r="H1683" s="1">
        <v>-4.736941E-7</v>
      </c>
      <c r="I1683">
        <v>287.1832</v>
      </c>
      <c r="J1683">
        <v>-200.13740000000001</v>
      </c>
      <c r="K1683">
        <v>1.100347</v>
      </c>
      <c r="L1683">
        <v>288.29129999999998</v>
      </c>
      <c r="M1683">
        <v>-0.82574590000000003</v>
      </c>
      <c r="N1683">
        <v>-1.6313680000000001E-2</v>
      </c>
      <c r="O1683">
        <v>-0.56380640000000004</v>
      </c>
      <c r="P1683">
        <v>-0.94237870000000001</v>
      </c>
      <c r="Q1683">
        <v>-9.6814830000000004E-2</v>
      </c>
      <c r="R1683">
        <v>-0.32023359999999901</v>
      </c>
      <c r="S1683">
        <v>-3.12175</v>
      </c>
      <c r="T1683">
        <v>-0.15593850000000001</v>
      </c>
      <c r="U1683">
        <v>-0.1703491</v>
      </c>
      <c r="V1683">
        <v>0.26503389999999999</v>
      </c>
      <c r="W1683">
        <v>-8.7131449999999999E-2</v>
      </c>
      <c r="X1683">
        <v>0.96029430000000005</v>
      </c>
      <c r="Y1683">
        <v>0.51696839999999999</v>
      </c>
      <c r="Z1683">
        <v>3.4133749999999997E-2</v>
      </c>
      <c r="AA1683">
        <v>0.85532369999999902</v>
      </c>
      <c r="AB1683">
        <v>19</v>
      </c>
      <c r="AC1683">
        <v>-21.860299999999899</v>
      </c>
      <c r="AD1683">
        <v>-1.1003474736940999</v>
      </c>
      <c r="AE1683">
        <v>-1.1080999999999701</v>
      </c>
      <c r="AF1683">
        <v>11.3827201677902</v>
      </c>
      <c r="AG1683">
        <v>-1.1003474736940999</v>
      </c>
      <c r="AH1683">
        <v>18.631207763201299</v>
      </c>
      <c r="AI1683">
        <v>92.885147236876904</v>
      </c>
      <c r="AJ1683">
        <v>58.5771921669904</v>
      </c>
      <c r="AK1683">
        <v>21.860900843667402</v>
      </c>
      <c r="AL1683">
        <v>94.998602811998097</v>
      </c>
      <c r="AM1683">
        <v>74.5709011611346</v>
      </c>
      <c r="AN1683">
        <v>1.0000000001703999</v>
      </c>
    </row>
    <row r="1684" spans="1:40" x14ac:dyDescent="0.25">
      <c r="A1684" t="str">
        <f>"20190305135226019"</f>
        <v>20190305135226019</v>
      </c>
      <c r="B1684" t="str">
        <f>"1551765146010867"</f>
        <v>1551765146010867</v>
      </c>
      <c r="C1684" t="s">
        <v>40</v>
      </c>
      <c r="D1684">
        <v>5.1655309999999997</v>
      </c>
      <c r="E1684">
        <v>0.60989139999999997</v>
      </c>
      <c r="F1684" t="s">
        <v>56</v>
      </c>
      <c r="G1684">
        <v>-222.5539</v>
      </c>
      <c r="H1684" s="1">
        <v>-1.7772319999999999E-7</v>
      </c>
      <c r="I1684">
        <v>287.30160000000001</v>
      </c>
      <c r="J1684">
        <v>-200.32769999999999</v>
      </c>
      <c r="K1684">
        <v>1.1003989999999999</v>
      </c>
      <c r="L1684">
        <v>288.18849999999998</v>
      </c>
      <c r="M1684">
        <v>-0.83620419999999995</v>
      </c>
      <c r="N1684">
        <v>-1.6304909999999999E-2</v>
      </c>
      <c r="O1684">
        <v>-0.54817590000000005</v>
      </c>
      <c r="P1684">
        <v>-0.94748909999999997</v>
      </c>
      <c r="Q1684">
        <v>-9.560246E-2</v>
      </c>
      <c r="R1684">
        <v>-0.30516359999999998</v>
      </c>
      <c r="S1684">
        <v>-3.1208650000000002</v>
      </c>
      <c r="T1684">
        <v>-0.15319240000000001</v>
      </c>
      <c r="U1684">
        <v>-0.13778689999999999</v>
      </c>
      <c r="V1684">
        <v>0.26239620000000002</v>
      </c>
      <c r="W1684">
        <v>-8.5821410000000001E-2</v>
      </c>
      <c r="X1684">
        <v>0.96113630000000005</v>
      </c>
      <c r="Y1684">
        <v>0.50979969999999997</v>
      </c>
      <c r="Z1684">
        <v>3.2904860000000001E-2</v>
      </c>
      <c r="AA1684">
        <v>0.85966369999999903</v>
      </c>
      <c r="AB1684">
        <v>19</v>
      </c>
      <c r="AC1684">
        <v>-22.226199999999999</v>
      </c>
      <c r="AD1684">
        <v>-1.1003991777231901</v>
      </c>
      <c r="AE1684">
        <v>-0.88689999999996805</v>
      </c>
      <c r="AF1684">
        <v>11.4158207769306</v>
      </c>
      <c r="AG1684">
        <v>-1.1003991777231901</v>
      </c>
      <c r="AH1684">
        <v>19.027787532992601</v>
      </c>
      <c r="AI1684">
        <v>92.839017599906796</v>
      </c>
      <c r="AJ1684">
        <v>59.038129341224398</v>
      </c>
      <c r="AK1684">
        <v>22.216852629525299</v>
      </c>
      <c r="AL1684">
        <v>94.923260639158897</v>
      </c>
      <c r="AM1684">
        <v>74.7300056735792</v>
      </c>
      <c r="AN1684">
        <v>1.00000003368325</v>
      </c>
    </row>
    <row r="1685" spans="1:40" x14ac:dyDescent="0.25">
      <c r="A1685" t="str">
        <f>"20190305135226043"</f>
        <v>20190305135226043</v>
      </c>
      <c r="B1685" t="str">
        <f>"1551765146031362"</f>
        <v>1551765146031362</v>
      </c>
      <c r="C1685" t="s">
        <v>40</v>
      </c>
      <c r="D1685">
        <v>5.1764539999999997</v>
      </c>
      <c r="E1685">
        <v>0.60149090000000005</v>
      </c>
      <c r="F1685" t="s">
        <v>56</v>
      </c>
      <c r="G1685">
        <v>-222.99680000000001</v>
      </c>
      <c r="H1685" s="1">
        <v>5.797099E-8</v>
      </c>
      <c r="I1685">
        <v>287.51339999999999</v>
      </c>
      <c r="J1685">
        <v>-200.5111</v>
      </c>
      <c r="K1685">
        <v>1.1004480000000001</v>
      </c>
      <c r="L1685">
        <v>288.09370000000001</v>
      </c>
      <c r="M1685">
        <v>-0.84591309999999997</v>
      </c>
      <c r="N1685">
        <v>-1.6295500000000001E-2</v>
      </c>
      <c r="O1685">
        <v>-0.53307209999999905</v>
      </c>
      <c r="P1685">
        <v>-0.95196449999999999</v>
      </c>
      <c r="Q1685">
        <v>-9.5329040000000004E-2</v>
      </c>
      <c r="R1685">
        <v>-0.29099209999999998</v>
      </c>
      <c r="S1685">
        <v>-3.121048</v>
      </c>
      <c r="T1685">
        <v>-0.1515011</v>
      </c>
      <c r="U1685">
        <v>-9.2956540000000004E-2</v>
      </c>
      <c r="V1685">
        <v>0.25951200000000002</v>
      </c>
      <c r="W1685">
        <v>-8.5450600000000002E-2</v>
      </c>
      <c r="X1685">
        <v>0.96195200000000003</v>
      </c>
      <c r="Y1685">
        <v>0.50671909999999998</v>
      </c>
      <c r="Z1685">
        <v>3.2086240000000002E-2</v>
      </c>
      <c r="AA1685">
        <v>0.86151390000000005</v>
      </c>
      <c r="AB1685">
        <v>19</v>
      </c>
      <c r="AC1685">
        <v>-22.485700000000001</v>
      </c>
      <c r="AD1685">
        <v>-1.1004479420290101</v>
      </c>
      <c r="AE1685">
        <v>-0.58030000000002202</v>
      </c>
      <c r="AF1685">
        <v>11.469687434789201</v>
      </c>
      <c r="AG1685">
        <v>-1.1004479420290101</v>
      </c>
      <c r="AH1685">
        <v>19.2866902103166</v>
      </c>
      <c r="AI1685">
        <v>92.807576505588798</v>
      </c>
      <c r="AJ1685">
        <v>59.2602860025982</v>
      </c>
      <c r="AK1685">
        <v>22.466444640699098</v>
      </c>
      <c r="AL1685">
        <v>94.901936786091198</v>
      </c>
      <c r="AM1685">
        <v>74.902363484840507</v>
      </c>
      <c r="AN1685">
        <v>0.99999996674417901</v>
      </c>
    </row>
    <row r="1686" spans="1:40" x14ac:dyDescent="0.25">
      <c r="A1686" t="str">
        <f>"20190305135226064"</f>
        <v>20190305135226064</v>
      </c>
      <c r="B1686" t="str">
        <f>"1551765146061619"</f>
        <v>1551765146061619</v>
      </c>
      <c r="C1686" t="s">
        <v>40</v>
      </c>
      <c r="D1686">
        <v>5.1955989999999996</v>
      </c>
      <c r="E1686">
        <v>0.59917209999999999</v>
      </c>
      <c r="F1686" t="s">
        <v>56</v>
      </c>
      <c r="G1686">
        <v>-220.8905</v>
      </c>
      <c r="H1686" s="1">
        <v>-1.0629100000000001E-6</v>
      </c>
      <c r="I1686">
        <v>287.37900000000002</v>
      </c>
      <c r="J1686">
        <v>-200.6883</v>
      </c>
      <c r="K1686">
        <v>1.100484</v>
      </c>
      <c r="L1686">
        <v>288.00599999999997</v>
      </c>
      <c r="M1686">
        <v>-0.85494950000000003</v>
      </c>
      <c r="N1686">
        <v>-1.628574E-2</v>
      </c>
      <c r="O1686">
        <v>-0.51845540000000001</v>
      </c>
      <c r="P1686">
        <v>-0.95574020000000004</v>
      </c>
      <c r="Q1686">
        <v>-9.5809980000000003E-2</v>
      </c>
      <c r="R1686">
        <v>-0.27817449999999999</v>
      </c>
      <c r="S1686">
        <v>-3.1013790000000001</v>
      </c>
      <c r="T1686">
        <v>-0.167468899999999</v>
      </c>
      <c r="U1686">
        <v>-0.1087646</v>
      </c>
      <c r="V1686">
        <v>0.255882</v>
      </c>
      <c r="W1686">
        <v>-8.5820030000000005E-2</v>
      </c>
      <c r="X1686">
        <v>0.9628911</v>
      </c>
      <c r="Y1686">
        <v>0.48702719999999999</v>
      </c>
      <c r="Z1686">
        <v>3.5131580000000003E-2</v>
      </c>
      <c r="AA1686">
        <v>0.87267989999999995</v>
      </c>
      <c r="AB1686">
        <v>19</v>
      </c>
      <c r="AC1686">
        <v>-20.202200000000001</v>
      </c>
      <c r="AD1686">
        <v>-1.10048506291</v>
      </c>
      <c r="AE1686">
        <v>-0.62699999999995204</v>
      </c>
      <c r="AF1686">
        <v>9.9098273433095301</v>
      </c>
      <c r="AG1686">
        <v>-1.10048506291</v>
      </c>
      <c r="AH1686">
        <v>17.5472484841554</v>
      </c>
      <c r="AI1686">
        <v>93.125744458588201</v>
      </c>
      <c r="AJ1686">
        <v>60.544364288023701</v>
      </c>
      <c r="AK1686">
        <v>20.182211838958299</v>
      </c>
      <c r="AL1686">
        <v>94.923181577850102</v>
      </c>
      <c r="AM1686">
        <v>75.117978946795901</v>
      </c>
      <c r="AN1686">
        <v>0.99999997296620502</v>
      </c>
    </row>
    <row r="1687" spans="1:40" x14ac:dyDescent="0.25">
      <c r="A1687" t="str">
        <f>"20190305135226084"</f>
        <v>20190305135226084</v>
      </c>
      <c r="B1687" t="str">
        <f>"1551765146081140"</f>
        <v>1551765146081140</v>
      </c>
      <c r="C1687" t="s">
        <v>40</v>
      </c>
      <c r="D1687">
        <v>5.1881309999999896</v>
      </c>
      <c r="E1687">
        <v>0.59813859999999996</v>
      </c>
      <c r="F1687" t="s">
        <v>56</v>
      </c>
      <c r="G1687">
        <v>-221.51750000000001</v>
      </c>
      <c r="H1687" s="1">
        <v>-7.2923079999999996E-7</v>
      </c>
      <c r="I1687">
        <v>287.43049999999999</v>
      </c>
      <c r="J1687">
        <v>-200.8477</v>
      </c>
      <c r="K1687">
        <v>1.1005229999999999</v>
      </c>
      <c r="L1687">
        <v>287.93040000000002</v>
      </c>
      <c r="M1687">
        <v>-0.8628034</v>
      </c>
      <c r="N1687">
        <v>-1.627671E-2</v>
      </c>
      <c r="O1687">
        <v>-0.50527770000000005</v>
      </c>
      <c r="P1687">
        <v>-0.95861830000000003</v>
      </c>
      <c r="Q1687">
        <v>-9.6424889999999999E-2</v>
      </c>
      <c r="R1687">
        <v>-0.26786850000000001</v>
      </c>
      <c r="S1687">
        <v>-3.0976409999999999</v>
      </c>
      <c r="T1687">
        <v>-0.16365929999999901</v>
      </c>
      <c r="U1687">
        <v>-8.5571289999999994E-2</v>
      </c>
      <c r="V1687">
        <v>0.25144339999999998</v>
      </c>
      <c r="W1687">
        <v>-8.6306439999999998E-2</v>
      </c>
      <c r="X1687">
        <v>0.96401630000000005</v>
      </c>
      <c r="Y1687">
        <v>0.48018110000000003</v>
      </c>
      <c r="Z1687">
        <v>3.3694000000000002E-2</v>
      </c>
      <c r="AA1687">
        <v>0.87652199999999902</v>
      </c>
      <c r="AB1687">
        <v>19</v>
      </c>
      <c r="AC1687">
        <v>-20.669799999999999</v>
      </c>
      <c r="AD1687">
        <v>-1.1005237292308001</v>
      </c>
      <c r="AE1687">
        <v>-0.49990000000002499</v>
      </c>
      <c r="AF1687">
        <v>9.9857080307163404</v>
      </c>
      <c r="AG1687">
        <v>-1.1005237292308001</v>
      </c>
      <c r="AH1687">
        <v>18.037852357296199</v>
      </c>
      <c r="AI1687">
        <v>93.0554523889205</v>
      </c>
      <c r="AJ1687">
        <v>61.031200684116598</v>
      </c>
      <c r="AK1687">
        <v>20.6467826795588</v>
      </c>
      <c r="AL1687">
        <v>94.951154444888203</v>
      </c>
      <c r="AM1687">
        <v>75.381302575128004</v>
      </c>
      <c r="AN1687">
        <v>1.0000000058273599</v>
      </c>
    </row>
    <row r="1688" spans="1:40" x14ac:dyDescent="0.25">
      <c r="A1688" t="str">
        <f>"20190305135226108"</f>
        <v>20190305135226108</v>
      </c>
      <c r="B1688" t="str">
        <f>"1551765146100659"</f>
        <v>1551765146100659</v>
      </c>
      <c r="C1688" t="s">
        <v>40</v>
      </c>
      <c r="D1688">
        <v>5.1930329999999998</v>
      </c>
      <c r="E1688">
        <v>0.59657299999999902</v>
      </c>
      <c r="F1688" t="s">
        <v>56</v>
      </c>
      <c r="G1688">
        <v>-220.78139999999999</v>
      </c>
      <c r="H1688" s="1">
        <v>-1.1209689999999999E-6</v>
      </c>
      <c r="I1688">
        <v>287.5462</v>
      </c>
      <c r="J1688">
        <v>-201.03890000000001</v>
      </c>
      <c r="K1688">
        <v>1.1005529999999999</v>
      </c>
      <c r="L1688">
        <v>287.84359999999998</v>
      </c>
      <c r="M1688">
        <v>-0.87188920000000003</v>
      </c>
      <c r="N1688">
        <v>-1.6265439999999999E-2</v>
      </c>
      <c r="O1688">
        <v>-0.4894328</v>
      </c>
      <c r="P1688">
        <v>-0.96185430000000005</v>
      </c>
      <c r="Q1688">
        <v>-9.7269359999999999E-2</v>
      </c>
      <c r="R1688">
        <v>-0.25568590000000002</v>
      </c>
      <c r="S1688">
        <v>-3.0956730000000001</v>
      </c>
      <c r="T1688">
        <v>-0.17090929999999999</v>
      </c>
      <c r="U1688">
        <v>-5.9661869999999999E-2</v>
      </c>
      <c r="V1688">
        <v>0.2460165</v>
      </c>
      <c r="W1688">
        <v>-8.6997480000000002E-2</v>
      </c>
      <c r="X1688">
        <v>0.96535349999999998</v>
      </c>
      <c r="Y1688">
        <v>0.47137220000000002</v>
      </c>
      <c r="Z1688">
        <v>3.4644050000000003E-2</v>
      </c>
      <c r="AA1688">
        <v>0.88125370000000003</v>
      </c>
      <c r="AB1688">
        <v>19</v>
      </c>
      <c r="AC1688">
        <v>-19.7424999999999</v>
      </c>
      <c r="AD1688">
        <v>-1.100554120969</v>
      </c>
      <c r="AE1688">
        <v>-0.29739999999998101</v>
      </c>
      <c r="AF1688">
        <v>9.3754441745752199</v>
      </c>
      <c r="AG1688">
        <v>-1.100554120969</v>
      </c>
      <c r="AH1688">
        <v>17.307356916394198</v>
      </c>
      <c r="AI1688">
        <v>93.200205489106196</v>
      </c>
      <c r="AJ1688">
        <v>61.555469539056297</v>
      </c>
      <c r="AK1688">
        <v>19.714329211901099</v>
      </c>
      <c r="AL1688">
        <v>94.990897488739904</v>
      </c>
      <c r="AM1688">
        <v>75.702732065134597</v>
      </c>
      <c r="AN1688">
        <v>1.0000000298804199</v>
      </c>
    </row>
    <row r="1689" spans="1:40" x14ac:dyDescent="0.25">
      <c r="A1689" t="str">
        <f>"20190305135226130"</f>
        <v>20190305135226130</v>
      </c>
      <c r="B1689" t="str">
        <f>"1551765146121154"</f>
        <v>1551765146121154</v>
      </c>
      <c r="C1689" t="s">
        <v>40</v>
      </c>
      <c r="D1689">
        <v>5.1484959999999997</v>
      </c>
      <c r="E1689">
        <v>0.59503669999999997</v>
      </c>
      <c r="F1689" t="s">
        <v>56</v>
      </c>
      <c r="G1689">
        <v>-220.7244</v>
      </c>
      <c r="H1689" s="1">
        <v>-1.1513009999999999E-6</v>
      </c>
      <c r="I1689">
        <v>287.63600000000002</v>
      </c>
      <c r="J1689">
        <v>-201.2277</v>
      </c>
      <c r="K1689">
        <v>1.100587</v>
      </c>
      <c r="L1689">
        <v>287.76220000000001</v>
      </c>
      <c r="M1689">
        <v>-0.88050130000000004</v>
      </c>
      <c r="N1689">
        <v>-1.6253960000000001E-2</v>
      </c>
      <c r="O1689">
        <v>-0.47376489999999999</v>
      </c>
      <c r="P1689">
        <v>-0.9647694</v>
      </c>
      <c r="Q1689">
        <v>-9.7895670000000004E-2</v>
      </c>
      <c r="R1689">
        <v>-0.24420610000000001</v>
      </c>
      <c r="S1689">
        <v>-3.092819</v>
      </c>
      <c r="T1689">
        <v>-0.17291019999999999</v>
      </c>
      <c r="U1689">
        <v>-3.2623289999999999E-2</v>
      </c>
      <c r="V1689">
        <v>0.240228</v>
      </c>
      <c r="W1689">
        <v>-8.7463289999999999E-2</v>
      </c>
      <c r="X1689">
        <v>0.96676810000000002</v>
      </c>
      <c r="Y1689">
        <v>0.46326850000000003</v>
      </c>
      <c r="Z1689">
        <v>3.4371310000000002E-2</v>
      </c>
      <c r="AA1689">
        <v>0.88555119999999898</v>
      </c>
      <c r="AB1689">
        <v>19</v>
      </c>
      <c r="AC1689">
        <v>-19.496700000000001</v>
      </c>
      <c r="AD1689">
        <v>-1.1005881513010001</v>
      </c>
      <c r="AE1689">
        <v>-0.126200000000039</v>
      </c>
      <c r="AF1689">
        <v>9.0979486745634208</v>
      </c>
      <c r="AG1689">
        <v>-1.1005881513010001</v>
      </c>
      <c r="AH1689">
        <v>17.174210576616002</v>
      </c>
      <c r="AI1689">
        <v>93.241121665310303</v>
      </c>
      <c r="AJ1689">
        <v>62.087826998755602</v>
      </c>
      <c r="AK1689">
        <v>19.4663163771095</v>
      </c>
      <c r="AL1689">
        <v>95.017689014906097</v>
      </c>
      <c r="AM1689">
        <v>76.045447558872198</v>
      </c>
      <c r="AN1689">
        <v>0.99999993912961505</v>
      </c>
    </row>
    <row r="1690" spans="1:40" x14ac:dyDescent="0.25">
      <c r="A1690" t="str">
        <f>"20190305135226152"</f>
        <v>20190305135226152</v>
      </c>
      <c r="B1690" t="str">
        <f>"1551765146140678"</f>
        <v>1551765146140678</v>
      </c>
      <c r="C1690" t="s">
        <v>40</v>
      </c>
      <c r="D1690">
        <v>5.1365489999999996</v>
      </c>
      <c r="E1690">
        <v>0.59380480000000002</v>
      </c>
      <c r="F1690" t="s">
        <v>56</v>
      </c>
      <c r="G1690">
        <v>-220.82990000000001</v>
      </c>
      <c r="H1690" s="1">
        <v>-1.095148E-6</v>
      </c>
      <c r="I1690">
        <v>287.71129999999999</v>
      </c>
      <c r="J1690">
        <v>-201.40790000000001</v>
      </c>
      <c r="K1690">
        <v>1.1006260000000001</v>
      </c>
      <c r="L1690">
        <v>287.68810000000002</v>
      </c>
      <c r="M1690">
        <v>-0.88840789999999903</v>
      </c>
      <c r="N1690">
        <v>-1.6242889999999999E-2</v>
      </c>
      <c r="O1690">
        <v>-0.45876719999999999</v>
      </c>
      <c r="P1690">
        <v>-0.96764110000000003</v>
      </c>
      <c r="Q1690">
        <v>-9.8594660000000001E-2</v>
      </c>
      <c r="R1690">
        <v>-0.23227159999999999</v>
      </c>
      <c r="S1690">
        <v>-3.0899049999999999</v>
      </c>
      <c r="T1690">
        <v>-0.1734859</v>
      </c>
      <c r="U1690">
        <v>-8.0261229999999996E-3</v>
      </c>
      <c r="V1690">
        <v>0.23574100000000001</v>
      </c>
      <c r="W1690">
        <v>-8.8037980000000002E-2</v>
      </c>
      <c r="X1690">
        <v>0.96782000000000001</v>
      </c>
      <c r="Y1690">
        <v>0.45528390000000002</v>
      </c>
      <c r="Z1690">
        <v>3.3777420000000002E-2</v>
      </c>
      <c r="AA1690">
        <v>0.88970539999999998</v>
      </c>
      <c r="AB1690">
        <v>19</v>
      </c>
      <c r="AC1690">
        <v>-19.422000000000001</v>
      </c>
      <c r="AD1690">
        <v>-1.1006270951479999</v>
      </c>
      <c r="AE1690">
        <v>2.31999999999743E-2</v>
      </c>
      <c r="AF1690">
        <v>8.9033748526109093</v>
      </c>
      <c r="AG1690">
        <v>-1.1006270951479999</v>
      </c>
      <c r="AH1690">
        <v>17.191084878689601</v>
      </c>
      <c r="AI1690">
        <v>93.253822002827306</v>
      </c>
      <c r="AJ1690">
        <v>62.6200666720244</v>
      </c>
      <c r="AK1690">
        <v>19.3911026781612</v>
      </c>
      <c r="AL1690">
        <v>95.050743385223498</v>
      </c>
      <c r="AM1690">
        <v>76.310510665615695</v>
      </c>
      <c r="AN1690">
        <v>1.0000000287017301</v>
      </c>
    </row>
    <row r="1691" spans="1:40" x14ac:dyDescent="0.25">
      <c r="A1691" t="str">
        <f>"20190305135226173"</f>
        <v>20190305135226173</v>
      </c>
      <c r="B1691" t="str">
        <f>"1551765146161170"</f>
        <v>1551765146161170</v>
      </c>
      <c r="C1691" t="s">
        <v>40</v>
      </c>
      <c r="D1691">
        <v>5.0902620000000001</v>
      </c>
      <c r="E1691">
        <v>0.59234580000000003</v>
      </c>
      <c r="F1691" t="s">
        <v>56</v>
      </c>
      <c r="G1691">
        <v>-220.95580000000001</v>
      </c>
      <c r="H1691" s="1">
        <v>-1.0281759999999999E-6</v>
      </c>
      <c r="I1691">
        <v>287.8175</v>
      </c>
      <c r="J1691">
        <v>-201.5787</v>
      </c>
      <c r="K1691">
        <v>1.1006750000000001</v>
      </c>
      <c r="L1691">
        <v>287.62110000000001</v>
      </c>
      <c r="M1691">
        <v>-0.895617</v>
      </c>
      <c r="N1691">
        <v>-1.6231840000000001E-2</v>
      </c>
      <c r="O1691">
        <v>-0.44452989999999998</v>
      </c>
      <c r="P1691">
        <v>-0.96962490000000001</v>
      </c>
      <c r="Q1691">
        <v>-9.8776790000000003E-2</v>
      </c>
      <c r="R1691">
        <v>-0.22376560000000001</v>
      </c>
      <c r="S1691">
        <v>-3.0875089999999998</v>
      </c>
      <c r="T1691">
        <v>-0.17383999999999999</v>
      </c>
      <c r="U1691">
        <v>2.0446780000000001E-2</v>
      </c>
      <c r="V1691">
        <v>0.2287942</v>
      </c>
      <c r="W1691">
        <v>-8.8033280000000005E-2</v>
      </c>
      <c r="X1691">
        <v>0.96948610000000002</v>
      </c>
      <c r="Y1691">
        <v>0.44928610000000002</v>
      </c>
      <c r="Z1691">
        <v>3.321085E-2</v>
      </c>
      <c r="AA1691">
        <v>0.89277039999999996</v>
      </c>
      <c r="AB1691">
        <v>19</v>
      </c>
      <c r="AC1691">
        <v>-19.377099999999999</v>
      </c>
      <c r="AD1691">
        <v>-1.100676028176</v>
      </c>
      <c r="AE1691">
        <v>0.19639999999998201</v>
      </c>
      <c r="AF1691">
        <v>8.7624872375365701</v>
      </c>
      <c r="AG1691">
        <v>-1.100676028176</v>
      </c>
      <c r="AH1691">
        <v>17.2138924930393</v>
      </c>
      <c r="AI1691">
        <v>93.261373453390206</v>
      </c>
      <c r="AJ1691">
        <v>63.022277739137003</v>
      </c>
      <c r="AK1691">
        <v>19.347112577046399</v>
      </c>
      <c r="AL1691">
        <v>95.050473336504794</v>
      </c>
      <c r="AM1691">
        <v>76.721416710502396</v>
      </c>
      <c r="AN1691">
        <v>0.99999997121720297</v>
      </c>
    </row>
    <row r="1692" spans="1:40" x14ac:dyDescent="0.25">
      <c r="A1692" t="str">
        <f>"20190305135226198"</f>
        <v>20190305135226198</v>
      </c>
      <c r="B1692" t="str">
        <f>"1551765146191427"</f>
        <v>1551765146191427</v>
      </c>
      <c r="C1692" t="s">
        <v>40</v>
      </c>
      <c r="D1692">
        <v>5.0323029999999997</v>
      </c>
      <c r="E1692">
        <v>0.58063730000000002</v>
      </c>
      <c r="F1692" t="s">
        <v>56</v>
      </c>
      <c r="G1692">
        <v>-221.35820000000001</v>
      </c>
      <c r="H1692" s="1">
        <v>-8.1400069999999995E-7</v>
      </c>
      <c r="I1692">
        <v>287.85120000000001</v>
      </c>
      <c r="J1692">
        <v>-201.7784</v>
      </c>
      <c r="K1692">
        <v>1.1007420000000001</v>
      </c>
      <c r="L1692">
        <v>287.54660000000001</v>
      </c>
      <c r="M1692">
        <v>-0.9036961</v>
      </c>
      <c r="N1692">
        <v>-1.6217570000000001E-2</v>
      </c>
      <c r="O1692">
        <v>-0.42786760000000001</v>
      </c>
      <c r="P1692">
        <v>-0.97178830000000005</v>
      </c>
      <c r="Q1692">
        <v>-9.8010029999999998E-2</v>
      </c>
      <c r="R1692">
        <v>-0.21452570000000001</v>
      </c>
      <c r="S1692">
        <v>-3.084778</v>
      </c>
      <c r="T1692">
        <v>-0.17165949999999999</v>
      </c>
      <c r="U1692">
        <v>3.5888669999999998E-2</v>
      </c>
      <c r="V1692">
        <v>0.2201331</v>
      </c>
      <c r="W1692">
        <v>-8.7034150000000005E-2</v>
      </c>
      <c r="X1692">
        <v>0.97157939999999998</v>
      </c>
      <c r="Y1692">
        <v>0.4372452</v>
      </c>
      <c r="Z1692">
        <v>3.1802900000000002E-2</v>
      </c>
      <c r="AA1692">
        <v>0.89877989999999996</v>
      </c>
      <c r="AB1692">
        <v>19</v>
      </c>
      <c r="AC1692">
        <v>-19.579799999999999</v>
      </c>
      <c r="AD1692">
        <v>-1.1007428140007001</v>
      </c>
      <c r="AE1692">
        <v>0.30459999999999299</v>
      </c>
      <c r="AF1692">
        <v>8.6267064618347202</v>
      </c>
      <c r="AG1692">
        <v>-1.1007428140007001</v>
      </c>
      <c r="AH1692">
        <v>17.5108381426782</v>
      </c>
      <c r="AI1692">
        <v>93.2274394528024</v>
      </c>
      <c r="AJ1692">
        <v>63.772858423597903</v>
      </c>
      <c r="AK1692">
        <v>19.5514999828737</v>
      </c>
      <c r="AL1692">
        <v>94.993006535330494</v>
      </c>
      <c r="AM1692">
        <v>77.233893365388795</v>
      </c>
      <c r="AN1692">
        <v>1.00000002774309</v>
      </c>
    </row>
    <row r="1693" spans="1:40" x14ac:dyDescent="0.25">
      <c r="A1693" t="str">
        <f>"20190305135226219"</f>
        <v>20190305135226219</v>
      </c>
      <c r="B1693" t="str">
        <f>"1551765146210947"</f>
        <v>1551765146210947</v>
      </c>
      <c r="C1693" t="s">
        <v>40</v>
      </c>
      <c r="D1693">
        <v>5.0220580000000004</v>
      </c>
      <c r="E1693">
        <v>0.5791075</v>
      </c>
      <c r="F1693" t="s">
        <v>56</v>
      </c>
      <c r="G1693">
        <v>-223.27330000000001</v>
      </c>
      <c r="H1693" s="1">
        <v>2.0511620000000001E-7</v>
      </c>
      <c r="I1693">
        <v>287.35140000000001</v>
      </c>
      <c r="J1693">
        <v>-201.96270000000001</v>
      </c>
      <c r="K1693">
        <v>1.1008249999999999</v>
      </c>
      <c r="L1693">
        <v>287.48160000000001</v>
      </c>
      <c r="M1693">
        <v>-0.91082410000000003</v>
      </c>
      <c r="N1693">
        <v>-1.6201989999999999E-2</v>
      </c>
      <c r="O1693">
        <v>-0.41247689999999998</v>
      </c>
      <c r="P1693">
        <v>-0.97326310000000005</v>
      </c>
      <c r="Q1693">
        <v>-9.6075740000000007E-2</v>
      </c>
      <c r="R1693">
        <v>-0.20863509999999999</v>
      </c>
      <c r="S1693">
        <v>-3.0651250000000001</v>
      </c>
      <c r="T1693">
        <v>-0.15696299999999999</v>
      </c>
      <c r="U1693">
        <v>-2.7832030000000001E-2</v>
      </c>
      <c r="V1693">
        <v>0.20967459999999999</v>
      </c>
      <c r="W1693">
        <v>-8.4822759999999997E-2</v>
      </c>
      <c r="X1693">
        <v>0.97408499999999998</v>
      </c>
      <c r="Y1693">
        <v>0.40332820000000003</v>
      </c>
      <c r="Z1693">
        <v>2.7357940000000001E-2</v>
      </c>
      <c r="AA1693">
        <v>0.91464630000000002</v>
      </c>
      <c r="AB1693">
        <v>19</v>
      </c>
      <c r="AC1693">
        <v>-21.310599999999901</v>
      </c>
      <c r="AD1693">
        <v>-1.1008247948837999</v>
      </c>
      <c r="AE1693">
        <v>-0.13020000000000201</v>
      </c>
      <c r="AF1693">
        <v>8.6495988598990703</v>
      </c>
      <c r="AG1693">
        <v>-1.1008247948837999</v>
      </c>
      <c r="AH1693">
        <v>19.414661970752999</v>
      </c>
      <c r="AI1693">
        <v>92.964875337030605</v>
      </c>
      <c r="AJ1693">
        <v>65.986124243983198</v>
      </c>
      <c r="AK1693">
        <v>21.282774140247799</v>
      </c>
      <c r="AL1693">
        <v>94.865833138765495</v>
      </c>
      <c r="AM1693">
        <v>77.852271843933806</v>
      </c>
      <c r="AN1693">
        <v>0.99999996286208803</v>
      </c>
    </row>
    <row r="1694" spans="1:40" x14ac:dyDescent="0.25">
      <c r="A1694" t="str">
        <f>"20190305135226244"</f>
        <v>20190305135226244</v>
      </c>
      <c r="B1694" t="str">
        <f>"1551765146241203"</f>
        <v>1551765146241203</v>
      </c>
      <c r="C1694" t="s">
        <v>40</v>
      </c>
      <c r="D1694">
        <v>4.9835370000000001</v>
      </c>
      <c r="E1694">
        <v>0.57769429999999999</v>
      </c>
      <c r="F1694" t="s">
        <v>56</v>
      </c>
      <c r="G1694">
        <v>-227.70840000000001</v>
      </c>
      <c r="H1694" s="1">
        <v>2.5652570000000001E-6</v>
      </c>
      <c r="I1694">
        <v>287.28289999999998</v>
      </c>
      <c r="J1694">
        <v>-202.16650000000001</v>
      </c>
      <c r="K1694">
        <v>1.1009100000000001</v>
      </c>
      <c r="L1694">
        <v>287.4135</v>
      </c>
      <c r="M1694">
        <v>-0.91833730000000002</v>
      </c>
      <c r="N1694">
        <v>-1.6180380000000001E-2</v>
      </c>
      <c r="O1694">
        <v>-0.39546799999999999</v>
      </c>
      <c r="P1694">
        <v>-0.97482190000000002</v>
      </c>
      <c r="Q1694">
        <v>-9.5814179999999999E-2</v>
      </c>
      <c r="R1694">
        <v>-0.20135120000000001</v>
      </c>
      <c r="S1694">
        <v>-3.0644070000000001</v>
      </c>
      <c r="T1694">
        <v>-0.13102629999999901</v>
      </c>
      <c r="U1694">
        <v>-2.3651120000000001E-2</v>
      </c>
      <c r="V1694">
        <v>0.19888</v>
      </c>
      <c r="W1694">
        <v>-8.4278729999999996E-2</v>
      </c>
      <c r="X1694">
        <v>0.97639330000000002</v>
      </c>
      <c r="Y1694">
        <v>0.38781290000000002</v>
      </c>
      <c r="Z1694">
        <v>2.1426520000000001E-2</v>
      </c>
      <c r="AA1694">
        <v>0.92148909999999995</v>
      </c>
      <c r="AB1694">
        <v>19</v>
      </c>
      <c r="AC1694">
        <v>-25.541899999999998</v>
      </c>
      <c r="AD1694">
        <v>-1.1009074347429999</v>
      </c>
      <c r="AE1694">
        <v>-0.13060000000001501</v>
      </c>
      <c r="AF1694">
        <v>9.9638651345353999</v>
      </c>
      <c r="AG1694">
        <v>-1.1009074347429999</v>
      </c>
      <c r="AH1694">
        <v>23.467207912503898</v>
      </c>
      <c r="AI1694">
        <v>92.472583110628506</v>
      </c>
      <c r="AJ1694">
        <v>66.994566850880105</v>
      </c>
      <c r="AK1694">
        <v>25.518629524482101</v>
      </c>
      <c r="AL1694">
        <v>94.834550231780497</v>
      </c>
      <c r="AM1694">
        <v>78.487010103656601</v>
      </c>
      <c r="AN1694">
        <v>1.00000001750765</v>
      </c>
    </row>
    <row r="1695" spans="1:40" x14ac:dyDescent="0.25">
      <c r="A1695" t="str">
        <f>"20190305135226264"</f>
        <v>20190305135226264</v>
      </c>
      <c r="B1695" t="str">
        <f>"1551765146261699"</f>
        <v>1551765146261699</v>
      </c>
      <c r="C1695" t="s">
        <v>40</v>
      </c>
      <c r="D1695">
        <v>4.9511029999999998</v>
      </c>
      <c r="E1695">
        <v>0.57660449999999996</v>
      </c>
      <c r="F1695" t="s">
        <v>56</v>
      </c>
      <c r="G1695">
        <v>-229.31209999999999</v>
      </c>
      <c r="H1695" s="1">
        <v>3.41867E-6</v>
      </c>
      <c r="I1695">
        <v>287.30340000000001</v>
      </c>
      <c r="J1695">
        <v>-202.33330000000001</v>
      </c>
      <c r="K1695">
        <v>1.1010009999999999</v>
      </c>
      <c r="L1695">
        <v>287.36099999999999</v>
      </c>
      <c r="M1695">
        <v>-0.92417830000000001</v>
      </c>
      <c r="N1695">
        <v>-1.615639E-2</v>
      </c>
      <c r="O1695">
        <v>-0.38161980000000001</v>
      </c>
      <c r="P1695">
        <v>-0.97564490000000004</v>
      </c>
      <c r="Q1695">
        <v>-9.6088489999999999E-2</v>
      </c>
      <c r="R1695">
        <v>-0.19719110000000001</v>
      </c>
      <c r="S1695">
        <v>-3.0627140000000002</v>
      </c>
      <c r="T1695">
        <v>-0.12421020000000001</v>
      </c>
      <c r="U1695">
        <v>-1.242065E-2</v>
      </c>
      <c r="V1695">
        <v>0.18837470000000001</v>
      </c>
      <c r="W1695">
        <v>-8.4282280000000001E-2</v>
      </c>
      <c r="X1695">
        <v>0.97847410000000001</v>
      </c>
      <c r="Y1695">
        <v>0.3773879</v>
      </c>
      <c r="Z1695">
        <v>1.9576130000000001E-2</v>
      </c>
      <c r="AA1695">
        <v>0.92584840000000002</v>
      </c>
      <c r="AB1695">
        <v>19</v>
      </c>
      <c r="AC1695">
        <v>-26.9787999999999</v>
      </c>
      <c r="AD1695">
        <v>-1.1009975813299999</v>
      </c>
      <c r="AE1695">
        <v>-5.7599999999979397E-2</v>
      </c>
      <c r="AF1695">
        <v>10.226715607929</v>
      </c>
      <c r="AG1695">
        <v>-1.1009975813299999</v>
      </c>
      <c r="AH1695">
        <v>24.916960223393801</v>
      </c>
      <c r="AI1695">
        <v>92.340810942194295</v>
      </c>
      <c r="AJ1695">
        <v>67.685188628448003</v>
      </c>
      <c r="AK1695">
        <v>26.956498559229502</v>
      </c>
      <c r="AL1695">
        <v>94.834754213454801</v>
      </c>
      <c r="AM1695">
        <v>79.102806907884499</v>
      </c>
      <c r="AN1695">
        <v>1.0000000473464401</v>
      </c>
    </row>
    <row r="1696" spans="1:40" x14ac:dyDescent="0.25">
      <c r="A1696" t="str">
        <f>"20190305135226287"</f>
        <v>20190305135226287</v>
      </c>
      <c r="B1696" t="str">
        <f>"1551765146281218"</f>
        <v>1551765146281218</v>
      </c>
      <c r="C1696" t="s">
        <v>40</v>
      </c>
      <c r="D1696">
        <v>4.8876330000000001</v>
      </c>
      <c r="E1696">
        <v>0.57585769999999903</v>
      </c>
      <c r="F1696" t="s">
        <v>56</v>
      </c>
      <c r="G1696">
        <v>-228.75829999999999</v>
      </c>
      <c r="H1696" s="1">
        <v>3.123922E-6</v>
      </c>
      <c r="I1696">
        <v>287.2944</v>
      </c>
      <c r="J1696">
        <v>-202.5188</v>
      </c>
      <c r="K1696">
        <v>1.1011299999999999</v>
      </c>
      <c r="L1696">
        <v>287.3057</v>
      </c>
      <c r="M1696">
        <v>-0.9303555</v>
      </c>
      <c r="N1696">
        <v>-1.61204E-2</v>
      </c>
      <c r="O1696">
        <v>-0.36630420000000002</v>
      </c>
      <c r="P1696">
        <v>-0.97671070000000004</v>
      </c>
      <c r="Q1696">
        <v>-9.5763890000000004E-2</v>
      </c>
      <c r="R1696">
        <v>-0.19200439999999999</v>
      </c>
      <c r="S1696">
        <v>-3.0607760000000002</v>
      </c>
      <c r="T1696">
        <v>-0.12752720000000001</v>
      </c>
      <c r="U1696">
        <v>-7.7209469999999997E-3</v>
      </c>
      <c r="V1696">
        <v>0.1774627</v>
      </c>
      <c r="W1696">
        <v>-8.3675600000000003E-2</v>
      </c>
      <c r="X1696">
        <v>0.98056379999999999</v>
      </c>
      <c r="Y1696">
        <v>0.36346250000000002</v>
      </c>
      <c r="Z1696">
        <v>1.9468180000000002E-2</v>
      </c>
      <c r="AA1696">
        <v>0.93140540000000005</v>
      </c>
      <c r="AB1696">
        <v>19</v>
      </c>
      <c r="AC1696">
        <v>-26.2394999999999</v>
      </c>
      <c r="AD1696">
        <v>-1.101126876078</v>
      </c>
      <c r="AE1696">
        <v>-1.1300000000005601E-2</v>
      </c>
      <c r="AF1696">
        <v>9.5854936196578695</v>
      </c>
      <c r="AG1696">
        <v>-1.101126876078</v>
      </c>
      <c r="AH1696">
        <v>24.3764482605892</v>
      </c>
      <c r="AI1696">
        <v>92.4072039696334</v>
      </c>
      <c r="AJ1696">
        <v>68.533875466505705</v>
      </c>
      <c r="AK1696">
        <v>26.216510029576899</v>
      </c>
      <c r="AL1696">
        <v>94.799871057955201</v>
      </c>
      <c r="AM1696">
        <v>79.741632976515703</v>
      </c>
      <c r="AN1696">
        <v>0.99999999089854497</v>
      </c>
    </row>
    <row r="1697" spans="1:40" x14ac:dyDescent="0.25">
      <c r="A1697" t="str">
        <f>"20190305135226308"</f>
        <v>20190305135226308</v>
      </c>
      <c r="B1697" t="str">
        <f>"1551765146300739"</f>
        <v>1551765146300739</v>
      </c>
      <c r="C1697" t="s">
        <v>40</v>
      </c>
      <c r="D1697">
        <v>4.84619</v>
      </c>
      <c r="E1697">
        <v>0.57535480000000006</v>
      </c>
      <c r="F1697" t="s">
        <v>56</v>
      </c>
      <c r="G1697">
        <v>-228.70509999999999</v>
      </c>
      <c r="H1697" s="1">
        <v>3.0956469999999999E-6</v>
      </c>
      <c r="I1697">
        <v>287.32940000000002</v>
      </c>
      <c r="J1697">
        <v>-202.7124</v>
      </c>
      <c r="K1697">
        <v>1.1013029999999999</v>
      </c>
      <c r="L1697">
        <v>287.25150000000002</v>
      </c>
      <c r="M1697">
        <v>-0.93641940000000001</v>
      </c>
      <c r="N1697">
        <v>-1.6068570000000001E-2</v>
      </c>
      <c r="O1697">
        <v>-0.35051470000000001</v>
      </c>
      <c r="P1697">
        <v>-0.97799429999999998</v>
      </c>
      <c r="Q1697">
        <v>-9.4626409999999994E-2</v>
      </c>
      <c r="R1697">
        <v>-0.1859391</v>
      </c>
      <c r="S1697">
        <v>-3.0594939999999999</v>
      </c>
      <c r="T1697">
        <v>-0.12865080000000001</v>
      </c>
      <c r="U1697">
        <v>2.7770999999999998E-3</v>
      </c>
      <c r="V1697">
        <v>0.1670644</v>
      </c>
      <c r="W1697">
        <v>-8.2270609999999994E-2</v>
      </c>
      <c r="X1697">
        <v>0.98250749999999998</v>
      </c>
      <c r="Y1697">
        <v>0.35087699999999999</v>
      </c>
      <c r="Z1697">
        <v>1.8963319999999999E-2</v>
      </c>
      <c r="AA1697">
        <v>0.93622950000000005</v>
      </c>
      <c r="AB1697">
        <v>19</v>
      </c>
      <c r="AC1697">
        <v>-25.9926999999999</v>
      </c>
      <c r="AD1697">
        <v>-1.1012999043529901</v>
      </c>
      <c r="AE1697">
        <v>7.7899999999999595E-2</v>
      </c>
      <c r="AF1697">
        <v>9.1684971790614291</v>
      </c>
      <c r="AG1697">
        <v>-1.1012999043529901</v>
      </c>
      <c r="AH1697">
        <v>24.272329399566999</v>
      </c>
      <c r="AI1697">
        <v>92.430486501511098</v>
      </c>
      <c r="AJ1697">
        <v>69.306717241899705</v>
      </c>
      <c r="AK1697">
        <v>25.969601007386899</v>
      </c>
      <c r="AL1697">
        <v>94.7190925758878</v>
      </c>
      <c r="AM1697">
        <v>80.349793853613704</v>
      </c>
      <c r="AN1697">
        <v>0.99999997728668999</v>
      </c>
    </row>
    <row r="1698" spans="1:40" x14ac:dyDescent="0.25">
      <c r="A1698" t="str">
        <f>"20190305135226331"</f>
        <v>20190305135226331</v>
      </c>
      <c r="B1698" t="str">
        <f>"1551765146321235"</f>
        <v>1551765146321235</v>
      </c>
      <c r="C1698" t="s">
        <v>40</v>
      </c>
      <c r="D1698">
        <v>4.8473879999999996</v>
      </c>
      <c r="E1698">
        <v>0.56927919999999999</v>
      </c>
      <c r="F1698" t="s">
        <v>56</v>
      </c>
      <c r="G1698">
        <v>-229.06399999999999</v>
      </c>
      <c r="H1698" s="1">
        <v>3.2866309999999998E-6</v>
      </c>
      <c r="I1698">
        <v>287.40660000000003</v>
      </c>
      <c r="J1698">
        <v>-202.9042</v>
      </c>
      <c r="K1698">
        <v>1.101483</v>
      </c>
      <c r="L1698">
        <v>287.20080000000002</v>
      </c>
      <c r="M1698">
        <v>-0.94206889999999999</v>
      </c>
      <c r="N1698">
        <v>-1.6007939999999998E-2</v>
      </c>
      <c r="O1698">
        <v>-0.33503699999999997</v>
      </c>
      <c r="P1698">
        <v>-0.97944909999999996</v>
      </c>
      <c r="Q1698">
        <v>-9.3861730000000004E-2</v>
      </c>
      <c r="R1698">
        <v>-0.17852009999999999</v>
      </c>
      <c r="S1698">
        <v>-3.0585629999999999</v>
      </c>
      <c r="T1698">
        <v>-0.12782479999999999</v>
      </c>
      <c r="U1698">
        <v>1.800537E-2</v>
      </c>
      <c r="V1698">
        <v>0.158406399999999</v>
      </c>
      <c r="W1698">
        <v>-8.1290630000000003E-2</v>
      </c>
      <c r="X1698">
        <v>0.98402199999999995</v>
      </c>
      <c r="Y1698">
        <v>0.34011049999999998</v>
      </c>
      <c r="Z1698">
        <v>1.817821E-2</v>
      </c>
      <c r="AA1698">
        <v>0.94020970000000004</v>
      </c>
      <c r="AB1698">
        <v>19</v>
      </c>
      <c r="AC1698">
        <v>-26.159800000000001</v>
      </c>
      <c r="AD1698">
        <v>-1.101479713369</v>
      </c>
      <c r="AE1698">
        <v>0.20580000000001</v>
      </c>
      <c r="AF1698">
        <v>8.9436721082796709</v>
      </c>
      <c r="AG1698">
        <v>-1.101479713369</v>
      </c>
      <c r="AH1698">
        <v>24.535039048591202</v>
      </c>
      <c r="AI1698">
        <v>92.415255936903904</v>
      </c>
      <c r="AJ1698">
        <v>69.971861227076602</v>
      </c>
      <c r="AK1698">
        <v>26.1375337293954</v>
      </c>
      <c r="AL1698">
        <v>94.662754919592103</v>
      </c>
      <c r="AM1698">
        <v>80.8550661088873</v>
      </c>
      <c r="AN1698">
        <v>1.00000002528537</v>
      </c>
    </row>
    <row r="1699" spans="1:40" x14ac:dyDescent="0.25">
      <c r="A1699" t="str">
        <f>"20190305135226352"</f>
        <v>20190305135226352</v>
      </c>
      <c r="B1699" t="str">
        <f>"1551765146341732"</f>
        <v>1551765146341732</v>
      </c>
      <c r="C1699" t="s">
        <v>40</v>
      </c>
      <c r="D1699">
        <v>4.8222170000000002</v>
      </c>
      <c r="E1699">
        <v>0.56674469999999899</v>
      </c>
      <c r="F1699" t="s">
        <v>56</v>
      </c>
      <c r="G1699">
        <v>-226.45930000000001</v>
      </c>
      <c r="H1699" s="1">
        <v>1.900513E-6</v>
      </c>
      <c r="I1699">
        <v>287.16669999999999</v>
      </c>
      <c r="J1699">
        <v>-203.08260000000001</v>
      </c>
      <c r="K1699">
        <v>1.1016549999999901</v>
      </c>
      <c r="L1699">
        <v>287.15640000000002</v>
      </c>
      <c r="M1699">
        <v>-0.94699800000000001</v>
      </c>
      <c r="N1699">
        <v>-1.5944380000000001E-2</v>
      </c>
      <c r="O1699">
        <v>-0.3208434</v>
      </c>
      <c r="P1699">
        <v>-0.98076289999999999</v>
      </c>
      <c r="Q1699">
        <v>-9.5225710000000005E-2</v>
      </c>
      <c r="R1699">
        <v>-0.1704002</v>
      </c>
      <c r="S1699">
        <v>-3.048508</v>
      </c>
      <c r="T1699">
        <v>-0.14255419999999999</v>
      </c>
      <c r="U1699">
        <v>-4.4250490000000003E-3</v>
      </c>
      <c r="V1699">
        <v>0.15174770000000001</v>
      </c>
      <c r="W1699">
        <v>-8.2495509999999994E-2</v>
      </c>
      <c r="X1699">
        <v>0.98497060000000003</v>
      </c>
      <c r="Y1699">
        <v>0.31890220000000002</v>
      </c>
      <c r="Z1699">
        <v>1.9603140000000002E-2</v>
      </c>
      <c r="AA1699">
        <v>0.94758489999999995</v>
      </c>
      <c r="AB1699">
        <v>19</v>
      </c>
      <c r="AC1699">
        <v>-23.3767</v>
      </c>
      <c r="AD1699">
        <v>-1.10165309948699</v>
      </c>
      <c r="AE1699">
        <v>1.0299999999972401E-2</v>
      </c>
      <c r="AF1699">
        <v>7.4943251457134199</v>
      </c>
      <c r="AG1699">
        <v>-1.10165309948699</v>
      </c>
      <c r="AH1699">
        <v>22.0881434850955</v>
      </c>
      <c r="AI1699">
        <v>92.704114444394094</v>
      </c>
      <c r="AJ1699">
        <v>71.258348763104294</v>
      </c>
      <c r="AK1699">
        <v>23.350902157292499</v>
      </c>
      <c r="AL1699">
        <v>94.732022344160697</v>
      </c>
      <c r="AM1699">
        <v>81.241691119783297</v>
      </c>
      <c r="AN1699">
        <v>0.99999997824490405</v>
      </c>
    </row>
    <row r="1700" spans="1:40" x14ac:dyDescent="0.25">
      <c r="A1700" t="str">
        <f>"20190305135226374"</f>
        <v>20190305135226374</v>
      </c>
      <c r="B1700" t="str">
        <f>"1551765146371011"</f>
        <v>1551765146371011</v>
      </c>
      <c r="C1700" t="s">
        <v>40</v>
      </c>
      <c r="D1700">
        <v>4.7975289999999999</v>
      </c>
      <c r="E1700">
        <v>0.56687509999999997</v>
      </c>
      <c r="F1700" t="s">
        <v>56</v>
      </c>
      <c r="G1700">
        <v>-220.1943</v>
      </c>
      <c r="H1700" s="1">
        <v>-1.433371E-6</v>
      </c>
      <c r="I1700">
        <v>287.19069999999999</v>
      </c>
      <c r="J1700">
        <v>-203.2697</v>
      </c>
      <c r="K1700">
        <v>1.1018570000000001</v>
      </c>
      <c r="L1700">
        <v>287.11250000000001</v>
      </c>
      <c r="M1700">
        <v>-0.95180679999999995</v>
      </c>
      <c r="N1700">
        <v>-1.5865879999999999E-2</v>
      </c>
      <c r="O1700">
        <v>-0.306287799999999</v>
      </c>
      <c r="P1700">
        <v>-0.98211110000000001</v>
      </c>
      <c r="Q1700">
        <v>-9.8263920000000005E-2</v>
      </c>
      <c r="R1700">
        <v>-0.16063079999999999</v>
      </c>
      <c r="S1700">
        <v>-3.0408940000000002</v>
      </c>
      <c r="T1700">
        <v>-0.19577369999999999</v>
      </c>
      <c r="U1700">
        <v>6.1035159999999998E-3</v>
      </c>
      <c r="V1700">
        <v>0.14635619999999999</v>
      </c>
      <c r="W1700">
        <v>-8.5407759999999999E-2</v>
      </c>
      <c r="X1700">
        <v>0.98553809999999997</v>
      </c>
      <c r="Y1700">
        <v>0.30710290000000001</v>
      </c>
      <c r="Z1700">
        <v>2.6856700000000001E-2</v>
      </c>
      <c r="AA1700">
        <v>0.95129730000000001</v>
      </c>
      <c r="AB1700">
        <v>19</v>
      </c>
      <c r="AC1700">
        <v>-16.924599999999899</v>
      </c>
      <c r="AD1700">
        <v>-1.10185843337099</v>
      </c>
      <c r="AE1700">
        <v>7.8199999999981104E-2</v>
      </c>
      <c r="AF1700">
        <v>5.2366960049518001</v>
      </c>
      <c r="AG1700">
        <v>-1.10185843337099</v>
      </c>
      <c r="AH1700">
        <v>16.0191255099984</v>
      </c>
      <c r="AI1700">
        <v>93.740628486689602</v>
      </c>
      <c r="AJ1700">
        <v>71.897289733504806</v>
      </c>
      <c r="AK1700">
        <v>16.889329742785801</v>
      </c>
      <c r="AL1700">
        <v>94.899473140713496</v>
      </c>
      <c r="AM1700">
        <v>81.553089612148</v>
      </c>
      <c r="AN1700">
        <v>0.99999998464913298</v>
      </c>
    </row>
    <row r="1701" spans="1:40" x14ac:dyDescent="0.25">
      <c r="A1701" t="str">
        <f>"20190305135226389"</f>
        <v>20190305135226389</v>
      </c>
      <c r="B1701" t="str">
        <f>"1551765146381747"</f>
        <v>1551765146381747</v>
      </c>
      <c r="C1701" t="s">
        <v>40</v>
      </c>
      <c r="D1701">
        <v>5.0707740000000001</v>
      </c>
      <c r="E1701">
        <v>0.56758920000000002</v>
      </c>
      <c r="F1701" t="s">
        <v>56</v>
      </c>
      <c r="G1701">
        <v>-218.67789999999999</v>
      </c>
      <c r="H1701" s="1">
        <v>3.0811559999999999E-6</v>
      </c>
      <c r="I1701">
        <v>287.30860000000001</v>
      </c>
      <c r="J1701">
        <v>-203.39699999999999</v>
      </c>
      <c r="K1701">
        <v>1.102033</v>
      </c>
      <c r="L1701">
        <v>287.084</v>
      </c>
      <c r="M1701">
        <v>-0.95487219999999995</v>
      </c>
      <c r="N1701">
        <v>-1.5802839999999999E-2</v>
      </c>
      <c r="O1701">
        <v>-0.2965969</v>
      </c>
      <c r="P1701">
        <v>-0.98314780000000002</v>
      </c>
      <c r="Q1701">
        <v>-0.10052030000000001</v>
      </c>
      <c r="R1701">
        <v>-0.152697</v>
      </c>
      <c r="S1701">
        <v>-3.0392000000000001</v>
      </c>
      <c r="T1701">
        <v>-0.21733520000000001</v>
      </c>
      <c r="U1701">
        <v>3.8665770000000002E-2</v>
      </c>
      <c r="V1701">
        <v>0.1442291</v>
      </c>
      <c r="W1701">
        <v>-8.761273E-2</v>
      </c>
      <c r="X1701">
        <v>0.98565820000000004</v>
      </c>
      <c r="Y1701">
        <v>0.30736059999999998</v>
      </c>
      <c r="Z1701">
        <v>2.9621499999999999E-2</v>
      </c>
      <c r="AA1701">
        <v>0.95113199999999998</v>
      </c>
      <c r="AB1701">
        <v>19</v>
      </c>
      <c r="AC1701">
        <v>-15.2808999999999</v>
      </c>
      <c r="AD1701">
        <v>-1.1020299188439999</v>
      </c>
      <c r="AE1701">
        <v>0.22460000000000899</v>
      </c>
      <c r="AF1701">
        <v>4.7227658839978801</v>
      </c>
      <c r="AG1701">
        <v>-1.1020299188439999</v>
      </c>
      <c r="AH1701">
        <v>14.451356592319501</v>
      </c>
      <c r="AI1701">
        <v>94.145851381337707</v>
      </c>
      <c r="AJ1701">
        <v>71.902384011468598</v>
      </c>
      <c r="AK1701">
        <v>15.243382003199301</v>
      </c>
      <c r="AL1701">
        <v>95.026283706106796</v>
      </c>
      <c r="AM1701">
        <v>81.675121574132106</v>
      </c>
      <c r="AN1701">
        <v>1.00000005548605</v>
      </c>
    </row>
    <row r="1702" spans="1:40" x14ac:dyDescent="0.25">
      <c r="A1702" t="str">
        <f>"20190305135226409"</f>
        <v>20190305135226409</v>
      </c>
      <c r="B1702" t="str">
        <f>"1551765146401267"</f>
        <v>1551765146401267</v>
      </c>
      <c r="C1702" t="s">
        <v>40</v>
      </c>
      <c r="D1702">
        <v>4.6615000000000002</v>
      </c>
      <c r="E1702">
        <v>0.5651969</v>
      </c>
      <c r="F1702" t="s">
        <v>56</v>
      </c>
      <c r="G1702">
        <v>-217.8708</v>
      </c>
      <c r="H1702" s="1">
        <v>2.6516600000000001E-6</v>
      </c>
      <c r="I1702">
        <v>287.41460000000001</v>
      </c>
      <c r="J1702">
        <v>-203.56280000000001</v>
      </c>
      <c r="K1702">
        <v>1.102292</v>
      </c>
      <c r="L1702">
        <v>287.04860000000002</v>
      </c>
      <c r="M1702">
        <v>-0.95859479999999997</v>
      </c>
      <c r="N1702">
        <v>-1.5705150000000001E-2</v>
      </c>
      <c r="O1702">
        <v>-0.2843405</v>
      </c>
      <c r="P1702">
        <v>-0.98398909999999995</v>
      </c>
      <c r="Q1702">
        <v>-0.1048781</v>
      </c>
      <c r="R1702">
        <v>-0.14410519999999999</v>
      </c>
      <c r="S1702">
        <v>-3.0385589999999998</v>
      </c>
      <c r="T1702">
        <v>-0.2313557</v>
      </c>
      <c r="U1702">
        <v>6.9396970000000002E-2</v>
      </c>
      <c r="V1702">
        <v>0.1400739</v>
      </c>
      <c r="W1702">
        <v>-9.18818E-2</v>
      </c>
      <c r="X1702">
        <v>0.98586870000000004</v>
      </c>
      <c r="Y1702">
        <v>0.30462830000000002</v>
      </c>
      <c r="Z1702">
        <v>3.087705E-2</v>
      </c>
      <c r="AA1702">
        <v>0.95197069999999995</v>
      </c>
      <c r="AB1702">
        <v>19</v>
      </c>
      <c r="AC1702">
        <v>-14.3079999999999</v>
      </c>
      <c r="AD1702">
        <v>-1.10228934833999</v>
      </c>
      <c r="AE1702">
        <v>0.365999999999985</v>
      </c>
      <c r="AF1702">
        <v>4.3936741508417301</v>
      </c>
      <c r="AG1702">
        <v>-1.10228934833999</v>
      </c>
      <c r="AH1702">
        <v>13.5329159614625</v>
      </c>
      <c r="AI1702">
        <v>94.429951595535798</v>
      </c>
      <c r="AJ1702">
        <v>72.013162234335894</v>
      </c>
      <c r="AK1702">
        <v>14.27092249195</v>
      </c>
      <c r="AL1702">
        <v>95.271874786848699</v>
      </c>
      <c r="AM1702">
        <v>81.913443425500802</v>
      </c>
      <c r="AN1702">
        <v>1.0000000281360599</v>
      </c>
    </row>
    <row r="1703" spans="1:40" x14ac:dyDescent="0.25">
      <c r="A1703" t="str">
        <f>"20190305135226432"</f>
        <v>20190305135226432</v>
      </c>
      <c r="B1703" t="str">
        <f>"1551765146421763"</f>
        <v>1551765146421763</v>
      </c>
      <c r="C1703" t="s">
        <v>40</v>
      </c>
      <c r="D1703">
        <v>4.6647999999999996</v>
      </c>
      <c r="E1703">
        <v>0.53857900000000003</v>
      </c>
      <c r="F1703" t="s">
        <v>56</v>
      </c>
      <c r="G1703">
        <v>-218.08070000000001</v>
      </c>
      <c r="H1703" s="1">
        <v>2.7633599999999998E-6</v>
      </c>
      <c r="I1703">
        <v>287.41059999999999</v>
      </c>
      <c r="J1703">
        <v>-203.7587</v>
      </c>
      <c r="K1703">
        <v>1.102671</v>
      </c>
      <c r="L1703">
        <v>287.00900000000001</v>
      </c>
      <c r="M1703">
        <v>-0.9626207</v>
      </c>
      <c r="N1703">
        <v>-1.5572269999999999E-2</v>
      </c>
      <c r="O1703">
        <v>-0.27040560000000002</v>
      </c>
      <c r="P1703">
        <v>-0.98478060000000001</v>
      </c>
      <c r="Q1703">
        <v>-0.1101063</v>
      </c>
      <c r="R1703">
        <v>-0.1344765</v>
      </c>
      <c r="S1703">
        <v>-3.035339</v>
      </c>
      <c r="T1703">
        <v>-0.23046159999999999</v>
      </c>
      <c r="U1703">
        <v>7.5683589999999995E-2</v>
      </c>
      <c r="V1703">
        <v>0.13526959999999999</v>
      </c>
      <c r="W1703">
        <v>-9.7015019999999993E-2</v>
      </c>
      <c r="X1703">
        <v>0.98604780000000003</v>
      </c>
      <c r="Y1703">
        <v>0.29286020000000001</v>
      </c>
      <c r="Z1703">
        <v>2.946344E-2</v>
      </c>
      <c r="AA1703">
        <v>0.95570120000000003</v>
      </c>
      <c r="AB1703">
        <v>19</v>
      </c>
      <c r="AC1703">
        <v>-14.321999999999999</v>
      </c>
      <c r="AD1703">
        <v>-1.10266823663999</v>
      </c>
      <c r="AE1703">
        <v>0.40159999999997298</v>
      </c>
      <c r="AF1703">
        <v>4.23477086643397</v>
      </c>
      <c r="AG1703">
        <v>-1.10266823663999</v>
      </c>
      <c r="AH1703">
        <v>13.599167743309399</v>
      </c>
      <c r="AI1703">
        <v>94.426826552415093</v>
      </c>
      <c r="AJ1703">
        <v>72.703449738623306</v>
      </c>
      <c r="AK1703">
        <v>14.2858855112996</v>
      </c>
      <c r="AL1703">
        <v>95.567307648794795</v>
      </c>
      <c r="AM1703">
        <v>82.188715510835806</v>
      </c>
      <c r="AN1703">
        <v>1.0000000213372999</v>
      </c>
    </row>
    <row r="1704" spans="1:40" x14ac:dyDescent="0.25">
      <c r="A1704" t="str">
        <f>"20190305135226455"</f>
        <v>20190305135226455</v>
      </c>
      <c r="B1704" t="str">
        <f>"1551765146451042"</f>
        <v>1551765146451042</v>
      </c>
      <c r="C1704" t="s">
        <v>40</v>
      </c>
      <c r="D1704">
        <v>4.6448580000000002</v>
      </c>
      <c r="E1704">
        <v>0.53922769999999898</v>
      </c>
      <c r="F1704" t="s">
        <v>56</v>
      </c>
      <c r="G1704">
        <v>-219.1318</v>
      </c>
      <c r="H1704" s="1">
        <v>3.3226799999999998E-6</v>
      </c>
      <c r="I1704">
        <v>286.45319999999998</v>
      </c>
      <c r="J1704">
        <v>-203.95169999999999</v>
      </c>
      <c r="K1704">
        <v>1.103075</v>
      </c>
      <c r="L1704">
        <v>286.97210000000001</v>
      </c>
      <c r="M1704">
        <v>-0.96622070000000004</v>
      </c>
      <c r="N1704">
        <v>-1.5434689999999999E-2</v>
      </c>
      <c r="O1704">
        <v>-0.25725350000000002</v>
      </c>
      <c r="P1704">
        <v>-0.98549690000000001</v>
      </c>
      <c r="Q1704">
        <v>-0.1133576</v>
      </c>
      <c r="R1704">
        <v>-0.126277</v>
      </c>
      <c r="S1704">
        <v>-3.0074010000000002</v>
      </c>
      <c r="T1704">
        <v>-0.21571219999999999</v>
      </c>
      <c r="U1704">
        <v>-0.1087341</v>
      </c>
      <c r="V1704">
        <v>0.1299912</v>
      </c>
      <c r="W1704">
        <v>-0.1001688</v>
      </c>
      <c r="X1704">
        <v>0.98644229999999999</v>
      </c>
      <c r="Y1704">
        <v>0.22112019999999999</v>
      </c>
      <c r="Z1704">
        <v>2.3866200000000001E-2</v>
      </c>
      <c r="AA1704">
        <v>0.97495449999999995</v>
      </c>
      <c r="AB1704">
        <v>19</v>
      </c>
      <c r="AC1704">
        <v>-15.180099999999999</v>
      </c>
      <c r="AD1704">
        <v>-1.10307167732</v>
      </c>
      <c r="AE1704">
        <v>-0.51890000000003</v>
      </c>
      <c r="AF1704">
        <v>3.3863075523733701</v>
      </c>
      <c r="AG1704">
        <v>-1.10307167732</v>
      </c>
      <c r="AH1704">
        <v>14.7249175823016</v>
      </c>
      <c r="AI1704">
        <v>94.175541951454605</v>
      </c>
      <c r="AJ1704">
        <v>77.048800543474599</v>
      </c>
      <c r="AK1704">
        <v>15.1494898848159</v>
      </c>
      <c r="AL1704">
        <v>95.748891065513305</v>
      </c>
      <c r="AM1704">
        <v>82.492942907944993</v>
      </c>
      <c r="AN1704">
        <v>0.99999995590008395</v>
      </c>
    </row>
    <row r="1705" spans="1:40" x14ac:dyDescent="0.25">
      <c r="A1705" t="str">
        <f>"20190305135226475"</f>
        <v>20190305135226475</v>
      </c>
      <c r="B1705" t="str">
        <f>"1551765146471539"</f>
        <v>1551765146471539</v>
      </c>
      <c r="C1705" t="s">
        <v>40</v>
      </c>
      <c r="D1705">
        <v>4.6459210000000004</v>
      </c>
      <c r="E1705">
        <v>0.53960540000000001</v>
      </c>
      <c r="F1705" t="s">
        <v>56</v>
      </c>
      <c r="G1705">
        <v>-221.43700000000001</v>
      </c>
      <c r="H1705" s="1">
        <v>-7.7208399999999997E-7</v>
      </c>
      <c r="I1705">
        <v>286.49259999999998</v>
      </c>
      <c r="J1705">
        <v>-204.12360000000001</v>
      </c>
      <c r="K1705">
        <v>1.1034440000000001</v>
      </c>
      <c r="L1705">
        <v>286.94069999999999</v>
      </c>
      <c r="M1705">
        <v>-0.96913579999999999</v>
      </c>
      <c r="N1705">
        <v>-1.531063E-2</v>
      </c>
      <c r="O1705">
        <v>-0.2460522</v>
      </c>
      <c r="P1705">
        <v>-0.98617120000000003</v>
      </c>
      <c r="Q1705">
        <v>-0.11428389999999999</v>
      </c>
      <c r="R1705">
        <v>-0.1200238</v>
      </c>
      <c r="S1705">
        <v>-3.0117340000000001</v>
      </c>
      <c r="T1705">
        <v>-0.18999730000000001</v>
      </c>
      <c r="U1705">
        <v>-8.2580570000000006E-2</v>
      </c>
      <c r="V1705">
        <v>0.1248896</v>
      </c>
      <c r="W1705">
        <v>-0.1010103</v>
      </c>
      <c r="X1705">
        <v>0.98701550000000005</v>
      </c>
      <c r="Y1705">
        <v>0.21861259999999999</v>
      </c>
      <c r="Z1705">
        <v>2.0136930000000001E-2</v>
      </c>
      <c r="AA1705">
        <v>0.97560389999999997</v>
      </c>
      <c r="AB1705">
        <v>19</v>
      </c>
      <c r="AC1705">
        <v>-17.313400000000001</v>
      </c>
      <c r="AD1705">
        <v>-1.1034447720839999</v>
      </c>
      <c r="AE1705">
        <v>-0.44810000000000999</v>
      </c>
      <c r="AF1705">
        <v>3.8107097002744998</v>
      </c>
      <c r="AG1705">
        <v>-1.1034447720839999</v>
      </c>
      <c r="AH1705">
        <v>16.822980463646001</v>
      </c>
      <c r="AI1705">
        <v>93.660272618395197</v>
      </c>
      <c r="AJ1705">
        <v>77.236853549844994</v>
      </c>
      <c r="AK1705">
        <v>17.2844372331014</v>
      </c>
      <c r="AL1705">
        <v>95.7973507385706</v>
      </c>
      <c r="AM1705">
        <v>82.788541597121593</v>
      </c>
      <c r="AN1705">
        <v>1.0000000450672399</v>
      </c>
    </row>
    <row r="1706" spans="1:40" x14ac:dyDescent="0.25">
      <c r="A1706" t="str">
        <f>"20190305135226498"</f>
        <v>20190305135226498</v>
      </c>
      <c r="B1706" t="str">
        <f>"1551765146491059"</f>
        <v>1551765146491059</v>
      </c>
      <c r="C1706" t="s">
        <v>40</v>
      </c>
      <c r="D1706">
        <v>4.6670350000000003</v>
      </c>
      <c r="E1706">
        <v>0.53882980000000003</v>
      </c>
      <c r="F1706" t="s">
        <v>56</v>
      </c>
      <c r="G1706">
        <v>-222.31659999999999</v>
      </c>
      <c r="H1706" s="1">
        <v>-3.0399050000000002E-7</v>
      </c>
      <c r="I1706">
        <v>286.5693</v>
      </c>
      <c r="J1706">
        <v>-204.3201</v>
      </c>
      <c r="K1706">
        <v>1.1038559999999999</v>
      </c>
      <c r="L1706">
        <v>286.90660000000003</v>
      </c>
      <c r="M1706">
        <v>-0.97214339999999999</v>
      </c>
      <c r="N1706">
        <v>-1.516677E-2</v>
      </c>
      <c r="O1706">
        <v>-0.23389570000000001</v>
      </c>
      <c r="P1706">
        <v>-0.98728740000000004</v>
      </c>
      <c r="Q1706">
        <v>-0.113070699999999</v>
      </c>
      <c r="R1706">
        <v>-0.1117073</v>
      </c>
      <c r="S1706">
        <v>-3.0133969999999999</v>
      </c>
      <c r="T1706">
        <v>-0.1827686</v>
      </c>
      <c r="U1706">
        <v>-6.1523439999999999E-2</v>
      </c>
      <c r="V1706">
        <v>0.1210056</v>
      </c>
      <c r="W1706">
        <v>-9.9744970000000002E-2</v>
      </c>
      <c r="X1706">
        <v>0.9876277</v>
      </c>
      <c r="Y1706">
        <v>0.21330450000000001</v>
      </c>
      <c r="Z1706">
        <v>1.85734E-2</v>
      </c>
      <c r="AA1706">
        <v>0.97680919999999904</v>
      </c>
      <c r="AB1706">
        <v>19</v>
      </c>
      <c r="AC1706">
        <v>-17.996499999999902</v>
      </c>
      <c r="AD1706">
        <v>-1.1038563039905001</v>
      </c>
      <c r="AE1706">
        <v>-0.33730000000002702</v>
      </c>
      <c r="AF1706">
        <v>3.86730176489703</v>
      </c>
      <c r="AG1706">
        <v>-1.1038563039905001</v>
      </c>
      <c r="AH1706">
        <v>17.5102382223787</v>
      </c>
      <c r="AI1706">
        <v>93.522520204673697</v>
      </c>
      <c r="AJ1706">
        <v>77.545619853210098</v>
      </c>
      <c r="AK1706">
        <v>17.966161645857699</v>
      </c>
      <c r="AL1706">
        <v>95.724485231749</v>
      </c>
      <c r="AM1706">
        <v>83.014850453328705</v>
      </c>
      <c r="AN1706">
        <v>0.99999994403947301</v>
      </c>
    </row>
    <row r="1707" spans="1:40" x14ac:dyDescent="0.25">
      <c r="A1707" t="str">
        <f>"20190305135226521"</f>
        <v>20190305135226521</v>
      </c>
      <c r="B1707" t="str">
        <f>"1551765146511555"</f>
        <v>1551765146511555</v>
      </c>
      <c r="C1707" t="s">
        <v>40</v>
      </c>
      <c r="D1707">
        <v>4.6711790000000004</v>
      </c>
      <c r="E1707">
        <v>0.53871659999999999</v>
      </c>
      <c r="F1707" t="s">
        <v>56</v>
      </c>
      <c r="G1707">
        <v>-224.27930000000001</v>
      </c>
      <c r="H1707" s="1">
        <v>7.4045779999999996E-7</v>
      </c>
      <c r="I1707">
        <v>286.61880000000002</v>
      </c>
      <c r="J1707">
        <v>-204.51230000000001</v>
      </c>
      <c r="K1707">
        <v>1.104247</v>
      </c>
      <c r="L1707">
        <v>286.87479999999999</v>
      </c>
      <c r="M1707">
        <v>-0.97477519999999995</v>
      </c>
      <c r="N1707">
        <v>-1.502349E-2</v>
      </c>
      <c r="O1707">
        <v>-0.2226833</v>
      </c>
      <c r="P1707">
        <v>-0.98831270000000004</v>
      </c>
      <c r="Q1707">
        <v>-0.11128730000000001</v>
      </c>
      <c r="R1707">
        <v>-0.1041811</v>
      </c>
      <c r="S1707">
        <v>-3.014618</v>
      </c>
      <c r="T1707">
        <v>-0.1667247</v>
      </c>
      <c r="U1707">
        <v>-4.3457030000000001E-2</v>
      </c>
      <c r="V1707">
        <v>0.117323499999999</v>
      </c>
      <c r="W1707">
        <v>-9.7928680000000004E-2</v>
      </c>
      <c r="X1707">
        <v>0.98825359999999995</v>
      </c>
      <c r="Y1707">
        <v>0.2080544</v>
      </c>
      <c r="Z1707">
        <v>1.616919E-2</v>
      </c>
      <c r="AA1707">
        <v>0.97798359999999995</v>
      </c>
      <c r="AB1707">
        <v>19</v>
      </c>
      <c r="AC1707">
        <v>-19.766999999999999</v>
      </c>
      <c r="AD1707">
        <v>-1.1042462595422</v>
      </c>
      <c r="AE1707">
        <v>-0.25599999999997097</v>
      </c>
      <c r="AF1707">
        <v>4.1397896700095398</v>
      </c>
      <c r="AG1707">
        <v>-1.1042462595422</v>
      </c>
      <c r="AH1707">
        <v>19.267449582009402</v>
      </c>
      <c r="AI1707">
        <v>93.207084874958994</v>
      </c>
      <c r="AJ1707">
        <v>77.873828402034107</v>
      </c>
      <c r="AK1707">
        <v>19.738080750389699</v>
      </c>
      <c r="AL1707">
        <v>95.619907072551598</v>
      </c>
      <c r="AM1707">
        <v>83.229647489281206</v>
      </c>
      <c r="AN1707">
        <v>1.0000000039658701</v>
      </c>
    </row>
    <row r="1708" spans="1:40" x14ac:dyDescent="0.25">
      <c r="A1708" t="str">
        <f>"20190305135226542"</f>
        <v>20190305135226542</v>
      </c>
      <c r="B1708" t="str">
        <f>"1551765146531074"</f>
        <v>1551765146531074</v>
      </c>
      <c r="C1708" t="s">
        <v>40</v>
      </c>
      <c r="D1708">
        <v>4.7001350000000004</v>
      </c>
      <c r="E1708">
        <v>0.53823779999999999</v>
      </c>
      <c r="F1708" t="s">
        <v>56</v>
      </c>
      <c r="G1708">
        <v>-225.47280000000001</v>
      </c>
      <c r="H1708" s="1">
        <v>1.3755880000000001E-6</v>
      </c>
      <c r="I1708">
        <v>286.726</v>
      </c>
      <c r="J1708">
        <v>-204.6919</v>
      </c>
      <c r="K1708">
        <v>1.1046009999999999</v>
      </c>
      <c r="L1708">
        <v>286.84640000000002</v>
      </c>
      <c r="M1708">
        <v>-0.97698099999999999</v>
      </c>
      <c r="N1708">
        <v>-1.489005E-2</v>
      </c>
      <c r="O1708">
        <v>-0.21280660000000001</v>
      </c>
      <c r="P1708">
        <v>-0.98902100000000004</v>
      </c>
      <c r="Q1708">
        <v>-0.1100927</v>
      </c>
      <c r="R1708">
        <v>-9.8576639999999993E-2</v>
      </c>
      <c r="S1708">
        <v>-3.0153660000000002</v>
      </c>
      <c r="T1708">
        <v>-0.15885569999999999</v>
      </c>
      <c r="U1708">
        <v>-2.139282E-2</v>
      </c>
      <c r="V1708">
        <v>0.1130536</v>
      </c>
      <c r="W1708">
        <v>-9.670608E-2</v>
      </c>
      <c r="X1708">
        <v>0.98887150000000001</v>
      </c>
      <c r="Y1708">
        <v>0.20538020000000001</v>
      </c>
      <c r="Z1708">
        <v>1.488654E-2</v>
      </c>
      <c r="AA1708">
        <v>0.97856900000000002</v>
      </c>
      <c r="AB1708">
        <v>19</v>
      </c>
      <c r="AC1708">
        <v>-20.780899999999999</v>
      </c>
      <c r="AD1708">
        <v>-1.104599624412</v>
      </c>
      <c r="AE1708">
        <v>-0.12040000000001699</v>
      </c>
      <c r="AF1708">
        <v>4.2930317776397802</v>
      </c>
      <c r="AG1708">
        <v>-1.104599624412</v>
      </c>
      <c r="AH1708">
        <v>20.2731399017919</v>
      </c>
      <c r="AI1708">
        <v>93.051197746163993</v>
      </c>
      <c r="AJ1708">
        <v>78.043696338298304</v>
      </c>
      <c r="AK1708">
        <v>20.752119497817599</v>
      </c>
      <c r="AL1708">
        <v>95.549523113915697</v>
      </c>
      <c r="AM1708">
        <v>83.477926857517502</v>
      </c>
      <c r="AN1708">
        <v>1.0000000129470801</v>
      </c>
    </row>
    <row r="1709" spans="1:40" x14ac:dyDescent="0.25">
      <c r="A1709" t="str">
        <f>"20190305135226565"</f>
        <v>20190305135226565</v>
      </c>
      <c r="B1709" t="str">
        <f>"1551765146561331"</f>
        <v>1551765146561331</v>
      </c>
      <c r="C1709" t="s">
        <v>40</v>
      </c>
      <c r="D1709">
        <v>4.6966060000000001</v>
      </c>
      <c r="E1709">
        <v>0.53697869999999903</v>
      </c>
      <c r="F1709" t="s">
        <v>56</v>
      </c>
      <c r="G1709">
        <v>-226.06809999999999</v>
      </c>
      <c r="H1709" s="1">
        <v>1.6923519999999901E-6</v>
      </c>
      <c r="I1709">
        <v>286.79059999999998</v>
      </c>
      <c r="J1709">
        <v>-204.8768</v>
      </c>
      <c r="K1709">
        <v>1.1049420000000001</v>
      </c>
      <c r="L1709">
        <v>286.8184</v>
      </c>
      <c r="M1709">
        <v>-0.97902549999999999</v>
      </c>
      <c r="N1709">
        <v>-1.475745E-2</v>
      </c>
      <c r="O1709">
        <v>-0.20320350000000001</v>
      </c>
      <c r="P1709">
        <v>-0.98962249999999996</v>
      </c>
      <c r="Q1709">
        <v>-0.10884729999999999</v>
      </c>
      <c r="R1709">
        <v>-9.3807570000000007E-2</v>
      </c>
      <c r="S1709">
        <v>-3.0151819999999998</v>
      </c>
      <c r="T1709">
        <v>-0.15580729999999901</v>
      </c>
      <c r="U1709">
        <v>-7.8735349999999992E-3</v>
      </c>
      <c r="V1709">
        <v>0.1082369</v>
      </c>
      <c r="W1709">
        <v>-9.5435099999999995E-2</v>
      </c>
      <c r="X1709">
        <v>0.98953369999999996</v>
      </c>
      <c r="Y1709">
        <v>0.20019000000000001</v>
      </c>
      <c r="Z1709">
        <v>1.4071190000000001E-2</v>
      </c>
      <c r="AA1709">
        <v>0.97965599999999997</v>
      </c>
      <c r="AB1709">
        <v>19</v>
      </c>
      <c r="AC1709">
        <v>-21.191299999999899</v>
      </c>
      <c r="AD1709">
        <v>-1.104940307648</v>
      </c>
      <c r="AE1709">
        <v>-2.78000000000133E-2</v>
      </c>
      <c r="AF1709">
        <v>4.2677917769441303</v>
      </c>
      <c r="AG1709">
        <v>-1.104940307648</v>
      </c>
      <c r="AH1709">
        <v>20.698455436893301</v>
      </c>
      <c r="AI1709">
        <v>92.992866489593396</v>
      </c>
      <c r="AJ1709">
        <v>78.349517334044506</v>
      </c>
      <c r="AK1709">
        <v>21.162726601453699</v>
      </c>
      <c r="AL1709">
        <v>95.476362912640596</v>
      </c>
      <c r="AM1709">
        <v>83.757705068330296</v>
      </c>
      <c r="AN1709">
        <v>1.0000000141346499</v>
      </c>
    </row>
    <row r="1710" spans="1:40" x14ac:dyDescent="0.25">
      <c r="A1710" t="str">
        <f>"20190305135226587"</f>
        <v>20190305135226587</v>
      </c>
      <c r="B1710" t="str">
        <f>"1551765146580851"</f>
        <v>1551765146580851</v>
      </c>
      <c r="C1710" t="s">
        <v>40</v>
      </c>
      <c r="D1710">
        <v>4.7220309999999897</v>
      </c>
      <c r="E1710">
        <v>0.53612950000000004</v>
      </c>
      <c r="F1710" t="s">
        <v>56</v>
      </c>
      <c r="G1710">
        <v>-226.69220000000001</v>
      </c>
      <c r="H1710" s="1">
        <v>2.0244949999999999E-6</v>
      </c>
      <c r="I1710">
        <v>286.79520000000002</v>
      </c>
      <c r="J1710">
        <v>-205.0692</v>
      </c>
      <c r="K1710">
        <v>1.1052729999999999</v>
      </c>
      <c r="L1710">
        <v>286.79059999999998</v>
      </c>
      <c r="M1710">
        <v>-0.98092979999999996</v>
      </c>
      <c r="N1710">
        <v>-1.462771E-2</v>
      </c>
      <c r="O1710">
        <v>-0.19381129999999999</v>
      </c>
      <c r="P1710">
        <v>-0.99011830000000001</v>
      </c>
      <c r="Q1710">
        <v>-0.10786030000000001</v>
      </c>
      <c r="R1710">
        <v>-8.9619480000000001E-2</v>
      </c>
      <c r="S1710">
        <v>-3.0143589999999998</v>
      </c>
      <c r="T1710">
        <v>-0.15267520000000001</v>
      </c>
      <c r="U1710">
        <v>-3.2043459999999998E-3</v>
      </c>
      <c r="V1710">
        <v>0.103052</v>
      </c>
      <c r="W1710">
        <v>-9.4427440000000001E-2</v>
      </c>
      <c r="X1710">
        <v>0.9901837</v>
      </c>
      <c r="Y1710">
        <v>0.19234860000000001</v>
      </c>
      <c r="Z1710">
        <v>1.319145E-2</v>
      </c>
      <c r="AA1710">
        <v>0.98123800000000005</v>
      </c>
      <c r="AB1710">
        <v>19</v>
      </c>
      <c r="AC1710">
        <v>-21.623000000000001</v>
      </c>
      <c r="AD1710">
        <v>-1.1052709755050001</v>
      </c>
      <c r="AE1710">
        <v>4.6000000000390104E-3</v>
      </c>
      <c r="AF1710">
        <v>4.1848087369741602</v>
      </c>
      <c r="AG1710">
        <v>-1.1052709755050001</v>
      </c>
      <c r="AH1710">
        <v>21.156744089086999</v>
      </c>
      <c r="AI1710">
        <v>92.933789129498706</v>
      </c>
      <c r="AJ1710">
        <v>78.811308859765205</v>
      </c>
      <c r="AK1710">
        <v>21.5949547011673</v>
      </c>
      <c r="AL1710">
        <v>95.418366356917701</v>
      </c>
      <c r="AM1710">
        <v>84.058411073387006</v>
      </c>
      <c r="AN1710">
        <v>1.0000000079373199</v>
      </c>
    </row>
    <row r="1711" spans="1:40" x14ac:dyDescent="0.25">
      <c r="A1711" t="str">
        <f>"20190305135226611"</f>
        <v>20190305135226611</v>
      </c>
      <c r="B1711" t="str">
        <f>"1551765146601347"</f>
        <v>1551765146601347</v>
      </c>
      <c r="C1711" t="s">
        <v>40</v>
      </c>
      <c r="D1711">
        <v>4.7014839999999998</v>
      </c>
      <c r="E1711">
        <v>0.53496350000000004</v>
      </c>
      <c r="F1711" t="s">
        <v>56</v>
      </c>
      <c r="G1711">
        <v>-227.03139999999999</v>
      </c>
      <c r="H1711" s="1">
        <v>2.2049650000000002E-6</v>
      </c>
      <c r="I1711">
        <v>286.81389999999999</v>
      </c>
      <c r="J1711">
        <v>-205.2679</v>
      </c>
      <c r="K1711">
        <v>1.105559</v>
      </c>
      <c r="L1711">
        <v>286.76319999999998</v>
      </c>
      <c r="M1711">
        <v>-0.98269410000000001</v>
      </c>
      <c r="N1711">
        <v>-1.4504009999999999E-2</v>
      </c>
      <c r="O1711">
        <v>-0.184668</v>
      </c>
      <c r="P1711">
        <v>-0.99063380000000001</v>
      </c>
      <c r="Q1711">
        <v>-0.10691929999999999</v>
      </c>
      <c r="R1711">
        <v>-8.4930619999999998E-2</v>
      </c>
      <c r="S1711">
        <v>-3.0137019999999999</v>
      </c>
      <c r="T1711">
        <v>-0.15166760000000001</v>
      </c>
      <c r="U1711">
        <v>3.2043459999999998E-3</v>
      </c>
      <c r="V1711">
        <v>9.8620269999999996E-2</v>
      </c>
      <c r="W1711">
        <v>-9.3483689999999994E-2</v>
      </c>
      <c r="X1711">
        <v>0.99072439999999995</v>
      </c>
      <c r="Y1711">
        <v>0.18531420000000001</v>
      </c>
      <c r="Z1711">
        <v>1.2563899999999999E-2</v>
      </c>
      <c r="AA1711">
        <v>0.982599</v>
      </c>
      <c r="AB1711">
        <v>19</v>
      </c>
      <c r="AC1711">
        <v>-21.763500000000001</v>
      </c>
      <c r="AD1711">
        <v>-1.105556795035</v>
      </c>
      <c r="AE1711">
        <v>5.0700000000006101E-2</v>
      </c>
      <c r="AF1711">
        <v>4.0587982865130199</v>
      </c>
      <c r="AG1711">
        <v>-1.105556795035</v>
      </c>
      <c r="AH1711">
        <v>21.3247175166121</v>
      </c>
      <c r="AI1711">
        <v>92.915532912601606</v>
      </c>
      <c r="AJ1711">
        <v>79.223617168184305</v>
      </c>
      <c r="AK1711">
        <v>21.735677503150299</v>
      </c>
      <c r="AL1711">
        <v>95.364053260182402</v>
      </c>
      <c r="AM1711">
        <v>84.3152991094464</v>
      </c>
      <c r="AN1711">
        <v>0.99999999735312395</v>
      </c>
    </row>
    <row r="1712" spans="1:40" x14ac:dyDescent="0.25">
      <c r="A1712" t="str">
        <f>"20190305135226634"</f>
        <v>20190305135226634</v>
      </c>
      <c r="B1712" t="str">
        <f>"1551765146631603"</f>
        <v>1551765146631603</v>
      </c>
      <c r="C1712" t="s">
        <v>40</v>
      </c>
      <c r="D1712">
        <v>4.735576</v>
      </c>
      <c r="E1712">
        <v>0.53386709999999904</v>
      </c>
      <c r="F1712" t="s">
        <v>56</v>
      </c>
      <c r="G1712">
        <v>-227.74100000000001</v>
      </c>
      <c r="H1712" s="1">
        <v>2.582589E-6</v>
      </c>
      <c r="I1712">
        <v>286.82799999999997</v>
      </c>
      <c r="J1712">
        <v>-205.46010000000001</v>
      </c>
      <c r="K1712">
        <v>1.10578</v>
      </c>
      <c r="L1712">
        <v>286.73779999999999</v>
      </c>
      <c r="M1712">
        <v>-0.9842438</v>
      </c>
      <c r="N1712">
        <v>-1.439698E-2</v>
      </c>
      <c r="O1712">
        <v>-0.17623029999999901</v>
      </c>
      <c r="P1712">
        <v>-0.99099959999999998</v>
      </c>
      <c r="Q1712">
        <v>-0.106367</v>
      </c>
      <c r="R1712">
        <v>-8.1278379999999997E-2</v>
      </c>
      <c r="S1712">
        <v>-3.0131070000000002</v>
      </c>
      <c r="T1712">
        <v>-0.14822879999999899</v>
      </c>
      <c r="U1712">
        <v>8.6975100000000003E-3</v>
      </c>
      <c r="V1712">
        <v>9.3843339999999997E-2</v>
      </c>
      <c r="W1712">
        <v>-9.2933909999999995E-2</v>
      </c>
      <c r="X1712">
        <v>0.99124000000000001</v>
      </c>
      <c r="Y1712">
        <v>0.17870529999999901</v>
      </c>
      <c r="Z1712">
        <v>1.176511E-2</v>
      </c>
      <c r="AA1712">
        <v>0.98383229999999999</v>
      </c>
      <c r="AB1712">
        <v>19</v>
      </c>
      <c r="AC1712">
        <v>-22.2808999999999</v>
      </c>
      <c r="AD1712">
        <v>-1.105777417411</v>
      </c>
      <c r="AE1712">
        <v>9.01999999999816E-2</v>
      </c>
      <c r="AF1712">
        <v>4.0058976916958704</v>
      </c>
      <c r="AG1712">
        <v>-1.105777417411</v>
      </c>
      <c r="AH1712">
        <v>21.8623636046425</v>
      </c>
      <c r="AI1712">
        <v>92.848160634580097</v>
      </c>
      <c r="AJ1712">
        <v>79.616726283130404</v>
      </c>
      <c r="AK1712">
        <v>22.253828937843199</v>
      </c>
      <c r="AL1712">
        <v>95.332415381329596</v>
      </c>
      <c r="AM1712">
        <v>84.591774806183295</v>
      </c>
      <c r="AN1712">
        <v>1.0000000108451199</v>
      </c>
    </row>
    <row r="1713" spans="1:40" x14ac:dyDescent="0.25">
      <c r="A1713" t="str">
        <f>"20190305135226656"</f>
        <v>20190305135226656</v>
      </c>
      <c r="B1713" t="str">
        <f>"1551765146651123"</f>
        <v>1551765146651123</v>
      </c>
      <c r="C1713" t="s">
        <v>40</v>
      </c>
      <c r="D1713">
        <v>4.7521089999999999</v>
      </c>
      <c r="E1713">
        <v>0.53309910000000005</v>
      </c>
      <c r="F1713" t="s">
        <v>56</v>
      </c>
      <c r="G1713">
        <v>-228.36490000000001</v>
      </c>
      <c r="H1713" s="1">
        <v>2.9146E-6</v>
      </c>
      <c r="I1713">
        <v>286.82130000000001</v>
      </c>
      <c r="J1713">
        <v>-205.64609999999999</v>
      </c>
      <c r="K1713">
        <v>1.105961</v>
      </c>
      <c r="L1713">
        <v>286.71429999999998</v>
      </c>
      <c r="M1713">
        <v>-0.98560950000000003</v>
      </c>
      <c r="N1713">
        <v>-1.4304310000000001E-2</v>
      </c>
      <c r="O1713">
        <v>-0.16843169999999999</v>
      </c>
      <c r="P1713">
        <v>-0.9912337</v>
      </c>
      <c r="Q1713">
        <v>-0.1059104</v>
      </c>
      <c r="R1713">
        <v>-7.8987500000000002E-2</v>
      </c>
      <c r="S1713">
        <v>-3.012527</v>
      </c>
      <c r="T1713">
        <v>-0.14543589999999901</v>
      </c>
      <c r="U1713">
        <v>1.0986330000000001E-2</v>
      </c>
      <c r="V1713">
        <v>8.8343050000000006E-2</v>
      </c>
      <c r="W1713">
        <v>-9.2475189999999999E-2</v>
      </c>
      <c r="X1713">
        <v>0.99178820000000001</v>
      </c>
      <c r="Y1713">
        <v>0.17168800000000001</v>
      </c>
      <c r="Z1713">
        <v>1.105189E-2</v>
      </c>
      <c r="AA1713">
        <v>0.9850894</v>
      </c>
      <c r="AB1713">
        <v>19</v>
      </c>
      <c r="AC1713">
        <v>-22.718800000000002</v>
      </c>
      <c r="AD1713">
        <v>-1.1059580854</v>
      </c>
      <c r="AE1713">
        <v>0.107000000000027</v>
      </c>
      <c r="AF1713">
        <v>3.9231320576536501</v>
      </c>
      <c r="AG1713">
        <v>-1.1059580854</v>
      </c>
      <c r="AH1713">
        <v>22.323233163021399</v>
      </c>
      <c r="AI1713">
        <v>92.793538809804005</v>
      </c>
      <c r="AJ1713">
        <v>80.032503502370602</v>
      </c>
      <c r="AK1713">
        <v>22.692308108235</v>
      </c>
      <c r="AL1713">
        <v>95.306019076808099</v>
      </c>
      <c r="AM1713">
        <v>84.9098402617429</v>
      </c>
      <c r="AN1713">
        <v>0.99999999445403898</v>
      </c>
    </row>
    <row r="1714" spans="1:40" x14ac:dyDescent="0.25">
      <c r="A1714" t="str">
        <f>"20190305135226678"</f>
        <v>20190305135226678</v>
      </c>
      <c r="B1714" t="str">
        <f>"1551765146671619"</f>
        <v>1551765146671619</v>
      </c>
      <c r="C1714" t="s">
        <v>40</v>
      </c>
      <c r="D1714">
        <v>4.757981</v>
      </c>
      <c r="E1714">
        <v>0.53247809999999995</v>
      </c>
      <c r="F1714" t="s">
        <v>56</v>
      </c>
      <c r="G1714">
        <v>-228.56960000000001</v>
      </c>
      <c r="H1714" s="1">
        <v>3.0235259999999998E-6</v>
      </c>
      <c r="I1714">
        <v>286.80529999999999</v>
      </c>
      <c r="J1714">
        <v>-205.82390000000001</v>
      </c>
      <c r="K1714">
        <v>1.1061259999999999</v>
      </c>
      <c r="L1714">
        <v>286.69279999999998</v>
      </c>
      <c r="M1714">
        <v>-0.9867958</v>
      </c>
      <c r="N1714">
        <v>-1.422256E-2</v>
      </c>
      <c r="O1714">
        <v>-0.16134370000000001</v>
      </c>
      <c r="P1714">
        <v>-0.9914231</v>
      </c>
      <c r="Q1714">
        <v>-0.1048935</v>
      </c>
      <c r="R1714">
        <v>-7.7959269999999997E-2</v>
      </c>
      <c r="S1714">
        <v>-3.0119479999999998</v>
      </c>
      <c r="T1714">
        <v>-0.14531340000000001</v>
      </c>
      <c r="U1714">
        <v>1.196289E-2</v>
      </c>
      <c r="V1714">
        <v>8.2311389999999998E-2</v>
      </c>
      <c r="W1714">
        <v>-9.1447870000000001E-2</v>
      </c>
      <c r="X1714">
        <v>0.99240220000000001</v>
      </c>
      <c r="Y1714">
        <v>0.16493829999999901</v>
      </c>
      <c r="Z1714">
        <v>1.060358E-2</v>
      </c>
      <c r="AA1714">
        <v>0.98624690000000004</v>
      </c>
      <c r="AB1714">
        <v>19</v>
      </c>
      <c r="AC1714">
        <v>-22.745699999999999</v>
      </c>
      <c r="AD1714">
        <v>-1.1061229764739999</v>
      </c>
      <c r="AE1714">
        <v>0.11250000000001099</v>
      </c>
      <c r="AF1714">
        <v>3.7723514213743501</v>
      </c>
      <c r="AG1714">
        <v>-1.1061229764739999</v>
      </c>
      <c r="AH1714">
        <v>22.376561984492099</v>
      </c>
      <c r="AI1714">
        <v>92.790638824983006</v>
      </c>
      <c r="AJ1714">
        <v>80.4307725639203</v>
      </c>
      <c r="AK1714">
        <v>22.719257680022199</v>
      </c>
      <c r="AL1714">
        <v>95.246907451031603</v>
      </c>
      <c r="AM1714">
        <v>85.258650988786499</v>
      </c>
      <c r="AN1714">
        <v>1.00000000220805</v>
      </c>
    </row>
    <row r="1715" spans="1:40" x14ac:dyDescent="0.25">
      <c r="A1715" t="str">
        <f>"20190305135226700"</f>
        <v>20190305135226700</v>
      </c>
      <c r="B1715" t="str">
        <f>"1551765146691139"</f>
        <v>1551765146691139</v>
      </c>
      <c r="C1715" t="s">
        <v>40</v>
      </c>
      <c r="D1715">
        <v>4.7813990000000004</v>
      </c>
      <c r="E1715">
        <v>0.53184310000000001</v>
      </c>
      <c r="F1715" t="s">
        <v>56</v>
      </c>
      <c r="G1715">
        <v>-229.22020000000001</v>
      </c>
      <c r="H1715" s="1">
        <v>3.3697530000000001E-6</v>
      </c>
      <c r="I1715">
        <v>286.76889999999997</v>
      </c>
      <c r="J1715">
        <v>-206.0164</v>
      </c>
      <c r="K1715">
        <v>1.1063270000000001</v>
      </c>
      <c r="L1715">
        <v>286.6705</v>
      </c>
      <c r="M1715">
        <v>-0.9879597</v>
      </c>
      <c r="N1715">
        <v>-1.4137739999999999E-2</v>
      </c>
      <c r="O1715">
        <v>-0.15406439999999999</v>
      </c>
      <c r="P1715">
        <v>-0.99145680000000003</v>
      </c>
      <c r="Q1715">
        <v>-0.1032517</v>
      </c>
      <c r="R1715">
        <v>-7.9704609999999995E-2</v>
      </c>
      <c r="S1715">
        <v>-3.0116580000000002</v>
      </c>
      <c r="T1715">
        <v>-0.1423838</v>
      </c>
      <c r="U1715">
        <v>9.7961430000000002E-3</v>
      </c>
      <c r="V1715">
        <v>7.3339070000000006E-2</v>
      </c>
      <c r="W1715">
        <v>-8.9771110000000001E-2</v>
      </c>
      <c r="X1715">
        <v>0.99325850000000004</v>
      </c>
      <c r="Y1715">
        <v>0.1569818</v>
      </c>
      <c r="Z1715">
        <v>9.8938359999999996E-3</v>
      </c>
      <c r="AA1715">
        <v>0.98755190000000004</v>
      </c>
      <c r="AB1715">
        <v>19</v>
      </c>
      <c r="AC1715">
        <v>-23.203800000000001</v>
      </c>
      <c r="AD1715">
        <v>-1.1063236302470001</v>
      </c>
      <c r="AE1715">
        <v>9.8399999999969595E-2</v>
      </c>
      <c r="AF1715">
        <v>3.6641323225529101</v>
      </c>
      <c r="AG1715">
        <v>-1.1063236302470001</v>
      </c>
      <c r="AH1715">
        <v>22.859583745601501</v>
      </c>
      <c r="AI1715">
        <v>92.735883945127995</v>
      </c>
      <c r="AJ1715">
        <v>80.893596962021704</v>
      </c>
      <c r="AK1715">
        <v>23.177799435541498</v>
      </c>
      <c r="AL1715">
        <v>95.150439566825497</v>
      </c>
      <c r="AM1715">
        <v>85.777123712835504</v>
      </c>
      <c r="AN1715">
        <v>0.99999995960067201</v>
      </c>
    </row>
    <row r="1716" spans="1:40" x14ac:dyDescent="0.25">
      <c r="A1716" t="str">
        <f>"20190305135226734"</f>
        <v>20190305135226734</v>
      </c>
      <c r="B1716" t="str">
        <f>"1551765146721398"</f>
        <v>1551765146721398</v>
      </c>
      <c r="C1716" t="s">
        <v>40</v>
      </c>
      <c r="D1716">
        <v>5.0751989999999996</v>
      </c>
      <c r="E1716">
        <v>0.53101309999999902</v>
      </c>
      <c r="F1716" t="s">
        <v>56</v>
      </c>
      <c r="G1716">
        <v>-230.19220000000001</v>
      </c>
      <c r="H1716" s="1">
        <v>-1.523981E-6</v>
      </c>
      <c r="I1716">
        <v>286.66289999999998</v>
      </c>
      <c r="J1716">
        <v>-206.28649999999999</v>
      </c>
      <c r="K1716">
        <v>1.106665</v>
      </c>
      <c r="L1716">
        <v>286.64069999999998</v>
      </c>
      <c r="M1716">
        <v>-0.98938859999999995</v>
      </c>
      <c r="N1716">
        <v>-1.402513E-2</v>
      </c>
      <c r="O1716">
        <v>-0.14461499999999999</v>
      </c>
      <c r="P1716">
        <v>-0.99179569999999995</v>
      </c>
      <c r="Q1716">
        <v>-0.10146330000000001</v>
      </c>
      <c r="R1716">
        <v>-7.7758750000000001E-2</v>
      </c>
      <c r="S1716">
        <v>-3.0114290000000001</v>
      </c>
      <c r="T1716">
        <v>-0.13780880000000001</v>
      </c>
      <c r="U1716">
        <v>-9.4604490000000003E-4</v>
      </c>
      <c r="V1716">
        <v>6.5916240000000001E-2</v>
      </c>
      <c r="W1716">
        <v>-8.7973480000000007E-2</v>
      </c>
      <c r="X1716">
        <v>0.99393949999999998</v>
      </c>
      <c r="Y1716">
        <v>0.1440496</v>
      </c>
      <c r="Z1716">
        <v>8.8690660000000001E-3</v>
      </c>
      <c r="AA1716">
        <v>0.98953069999999999</v>
      </c>
      <c r="AB1716">
        <v>19</v>
      </c>
      <c r="AC1716">
        <v>-23.9057</v>
      </c>
      <c r="AD1716">
        <v>-1.1066665239810001</v>
      </c>
      <c r="AE1716">
        <v>2.2199999999997999E-2</v>
      </c>
      <c r="AF1716">
        <v>3.4719888407270298</v>
      </c>
      <c r="AG1716">
        <v>-1.1066665239810001</v>
      </c>
      <c r="AH1716">
        <v>23.6005658534466</v>
      </c>
      <c r="AI1716">
        <v>92.656171972773194</v>
      </c>
      <c r="AJ1716">
        <v>81.630983333620406</v>
      </c>
      <c r="AK1716">
        <v>23.880245516081001</v>
      </c>
      <c r="AL1716">
        <v>95.047033523719904</v>
      </c>
      <c r="AM1716">
        <v>86.205805162709595</v>
      </c>
      <c r="AN1716">
        <v>1.00000000676964</v>
      </c>
    </row>
    <row r="1717" spans="1:40" x14ac:dyDescent="0.25">
      <c r="A1717" t="str">
        <f>"20190305135226754"</f>
        <v>20190305135226754</v>
      </c>
      <c r="B1717" t="str">
        <f>"1551765146751651"</f>
        <v>1551765146751651</v>
      </c>
      <c r="C1717" t="s">
        <v>40</v>
      </c>
      <c r="D1717">
        <v>4.7985920000000002</v>
      </c>
      <c r="E1717">
        <v>0.53015080000000003</v>
      </c>
      <c r="F1717" t="s">
        <v>56</v>
      </c>
      <c r="G1717">
        <v>-230.8032</v>
      </c>
      <c r="H1717" s="1">
        <v>-1.197518E-6</v>
      </c>
      <c r="I1717">
        <v>286.63319999999999</v>
      </c>
      <c r="J1717">
        <v>-206.46600000000001</v>
      </c>
      <c r="K1717">
        <v>1.1069180000000001</v>
      </c>
      <c r="L1717">
        <v>286.6216</v>
      </c>
      <c r="M1717">
        <v>-0.99021999999999999</v>
      </c>
      <c r="N1717">
        <v>-1.395705E-2</v>
      </c>
      <c r="O1717">
        <v>-0.13881540000000001</v>
      </c>
      <c r="P1717">
        <v>-0.99188739999999997</v>
      </c>
      <c r="Q1717">
        <v>-0.10144309999999999</v>
      </c>
      <c r="R1717">
        <v>-7.6607010000000003E-2</v>
      </c>
      <c r="S1717">
        <v>-3.0108640000000002</v>
      </c>
      <c r="T1717">
        <v>-0.13590820000000001</v>
      </c>
      <c r="U1717">
        <v>-9.1552729999999996E-4</v>
      </c>
      <c r="V1717">
        <v>6.1304850000000001E-2</v>
      </c>
      <c r="W1717">
        <v>-8.794855E-2</v>
      </c>
      <c r="X1717">
        <v>0.99423680000000003</v>
      </c>
      <c r="Y1717">
        <v>0.13827679999999901</v>
      </c>
      <c r="Z1717">
        <v>8.39090199999999E-3</v>
      </c>
      <c r="AA1717">
        <v>0.99035810000000002</v>
      </c>
      <c r="AB1717">
        <v>18</v>
      </c>
      <c r="AC1717">
        <v>-24.337199999999999</v>
      </c>
      <c r="AD1717">
        <v>-1.1069191975179999</v>
      </c>
      <c r="AE1717">
        <v>1.15999999999871E-2</v>
      </c>
      <c r="AF1717">
        <v>3.38319594374178</v>
      </c>
      <c r="AG1717">
        <v>-1.1069191975179999</v>
      </c>
      <c r="AH1717">
        <v>24.0501656229935</v>
      </c>
      <c r="AI1717">
        <v>92.609545862654301</v>
      </c>
      <c r="AJ1717">
        <v>81.992604675764596</v>
      </c>
      <c r="AK1717">
        <v>24.3121729057072</v>
      </c>
      <c r="AL1717">
        <v>95.045599498362407</v>
      </c>
      <c r="AM1717">
        <v>86.471597312040601</v>
      </c>
      <c r="AN1717">
        <v>1.00000002327743</v>
      </c>
    </row>
    <row r="1718" spans="1:40" x14ac:dyDescent="0.25">
      <c r="A1718" t="str">
        <f>"20190305135226777"</f>
        <v>20190305135226777</v>
      </c>
      <c r="B1718" t="str">
        <f>"1551765146771171"</f>
        <v>1551765146771171</v>
      </c>
      <c r="C1718" t="s">
        <v>40</v>
      </c>
      <c r="D1718">
        <v>4.7669269999999999</v>
      </c>
      <c r="E1718">
        <v>0.52992430000000001</v>
      </c>
      <c r="F1718" t="s">
        <v>56</v>
      </c>
      <c r="G1718">
        <v>-230.42150000000001</v>
      </c>
      <c r="H1718" s="1">
        <v>-1.398743E-6</v>
      </c>
      <c r="I1718">
        <v>286.58909999999997</v>
      </c>
      <c r="J1718">
        <v>-206.65119999999999</v>
      </c>
      <c r="K1718">
        <v>1.1071439999999999</v>
      </c>
      <c r="L1718">
        <v>286.6026</v>
      </c>
      <c r="M1718">
        <v>-0.99098909999999996</v>
      </c>
      <c r="N1718">
        <v>-1.386592E-2</v>
      </c>
      <c r="O1718">
        <v>-0.1332237</v>
      </c>
      <c r="P1718">
        <v>-0.99179709999999999</v>
      </c>
      <c r="Q1718">
        <v>-0.1022593</v>
      </c>
      <c r="R1718">
        <v>-7.669339E-2</v>
      </c>
      <c r="S1718">
        <v>-3.009995</v>
      </c>
      <c r="T1718">
        <v>-0.13908389999999901</v>
      </c>
      <c r="U1718">
        <v>-4.0893550000000002E-3</v>
      </c>
      <c r="V1718">
        <v>5.5647509999999997E-2</v>
      </c>
      <c r="W1718">
        <v>-8.8785030000000001E-2</v>
      </c>
      <c r="X1718">
        <v>0.99449520000000002</v>
      </c>
      <c r="Y1718">
        <v>0.13163849999999999</v>
      </c>
      <c r="Z1718">
        <v>8.2408949999999998E-3</v>
      </c>
      <c r="AA1718">
        <v>0.99126349999999996</v>
      </c>
      <c r="AB1718">
        <v>18</v>
      </c>
      <c r="AC1718">
        <v>-23.770299999999999</v>
      </c>
      <c r="AD1718">
        <v>-1.107145398743</v>
      </c>
      <c r="AE1718">
        <v>-1.35000000000218E-2</v>
      </c>
      <c r="AF1718">
        <v>3.1468649978321599</v>
      </c>
      <c r="AG1718">
        <v>-1.107145398743</v>
      </c>
      <c r="AH1718">
        <v>23.509168375570201</v>
      </c>
      <c r="AI1718">
        <v>92.672505315752602</v>
      </c>
      <c r="AJ1718">
        <v>82.375883049951995</v>
      </c>
      <c r="AK1718">
        <v>23.744673675573001</v>
      </c>
      <c r="AL1718">
        <v>95.093714285612407</v>
      </c>
      <c r="AM1718">
        <v>86.797323823413393</v>
      </c>
      <c r="AN1718">
        <v>1.0000000648721601</v>
      </c>
    </row>
    <row r="1719" spans="1:40" x14ac:dyDescent="0.25">
      <c r="A1719" t="str">
        <f>"20190305135226800"</f>
        <v>20190305135226800</v>
      </c>
      <c r="B1719" t="str">
        <f>"1551765146790694"</f>
        <v>1551765146790694</v>
      </c>
      <c r="C1719" t="s">
        <v>40</v>
      </c>
      <c r="D1719">
        <v>4.8016079999999999</v>
      </c>
      <c r="E1719">
        <v>0.52982810000000002</v>
      </c>
      <c r="F1719" t="s">
        <v>56</v>
      </c>
      <c r="G1719">
        <v>-230.12389999999999</v>
      </c>
      <c r="H1719" s="1">
        <v>-1.555495E-6</v>
      </c>
      <c r="I1719">
        <v>286.55220000000003</v>
      </c>
      <c r="J1719">
        <v>-206.84559999999999</v>
      </c>
      <c r="K1719">
        <v>1.107332</v>
      </c>
      <c r="L1719">
        <v>286.5831</v>
      </c>
      <c r="M1719">
        <v>-0.99169830000000003</v>
      </c>
      <c r="N1719">
        <v>-1.3673909999999999E-2</v>
      </c>
      <c r="O1719">
        <v>-0.1278579</v>
      </c>
      <c r="P1719">
        <v>-0.99164920000000001</v>
      </c>
      <c r="Q1719">
        <v>-0.1036957</v>
      </c>
      <c r="R1719">
        <v>-7.6675439999999997E-2</v>
      </c>
      <c r="S1719">
        <v>-3.0096889999999998</v>
      </c>
      <c r="T1719">
        <v>-0.14195969999999999</v>
      </c>
      <c r="U1719">
        <v>-6.4697269999999998E-3</v>
      </c>
      <c r="V1719">
        <v>5.0311439999999999E-2</v>
      </c>
      <c r="W1719">
        <v>-9.0352589999999997E-2</v>
      </c>
      <c r="X1719">
        <v>0.99463820000000003</v>
      </c>
      <c r="Y1719">
        <v>0.12548670000000001</v>
      </c>
      <c r="Z1719">
        <v>8.0797899999999999E-3</v>
      </c>
      <c r="AA1719">
        <v>0.99206240000000001</v>
      </c>
      <c r="AB1719">
        <v>18</v>
      </c>
      <c r="AC1719">
        <v>-23.278300000000002</v>
      </c>
      <c r="AD1719">
        <v>-1.1073335554949999</v>
      </c>
      <c r="AE1719">
        <v>-3.0899999999974101E-2</v>
      </c>
      <c r="AF1719">
        <v>2.9392951466916002</v>
      </c>
      <c r="AG1719">
        <v>-1.1073335554949999</v>
      </c>
      <c r="AH1719">
        <v>23.039025011613099</v>
      </c>
      <c r="AI1719">
        <v>92.729620918159299</v>
      </c>
      <c r="AJ1719">
        <v>82.7295391653617</v>
      </c>
      <c r="AK1719">
        <v>23.252146504102001</v>
      </c>
      <c r="AL1719">
        <v>95.183891703746795</v>
      </c>
      <c r="AM1719">
        <v>87.104295376849294</v>
      </c>
      <c r="AN1719">
        <v>0.99999999020690999</v>
      </c>
    </row>
    <row r="1720" spans="1:40" x14ac:dyDescent="0.25">
      <c r="A1720" t="str">
        <f>"20190305135226845"</f>
        <v>20190305135226845</v>
      </c>
      <c r="B1720" t="str">
        <f>"1551765146841443"</f>
        <v>1551765146841443</v>
      </c>
      <c r="C1720" t="s">
        <v>40</v>
      </c>
      <c r="D1720">
        <v>4.866574</v>
      </c>
      <c r="E1720">
        <v>0.52878080000000005</v>
      </c>
      <c r="F1720" t="s">
        <v>56</v>
      </c>
      <c r="G1720">
        <v>-229.46789999999999</v>
      </c>
      <c r="H1720" s="1">
        <v>3.5015380000000001E-6</v>
      </c>
      <c r="I1720">
        <v>286.52940000000001</v>
      </c>
      <c r="J1720">
        <v>-207.2159</v>
      </c>
      <c r="K1720">
        <v>1.1076299999999999</v>
      </c>
      <c r="L1720">
        <v>286.54719999999998</v>
      </c>
      <c r="M1720">
        <v>-0.99279110000000004</v>
      </c>
      <c r="N1720">
        <v>-1.3015840000000001E-2</v>
      </c>
      <c r="O1720">
        <v>-0.11915000000000001</v>
      </c>
      <c r="P1720">
        <v>-0.99188509999999996</v>
      </c>
      <c r="Q1720">
        <v>-0.1013911</v>
      </c>
      <c r="R1720">
        <v>-7.6707839999999999E-2</v>
      </c>
      <c r="S1720">
        <v>-3.009277</v>
      </c>
      <c r="T1720">
        <v>-0.1472996</v>
      </c>
      <c r="U1720">
        <v>-7.1411130000000001E-3</v>
      </c>
      <c r="V1720">
        <v>4.1689709999999998E-2</v>
      </c>
      <c r="W1720">
        <v>-8.860701E-2</v>
      </c>
      <c r="X1720">
        <v>0.99519380000000002</v>
      </c>
      <c r="Y1720">
        <v>0.11655069999999999</v>
      </c>
      <c r="Z1720">
        <v>7.8749319999999994E-3</v>
      </c>
      <c r="AA1720">
        <v>0.99315350000000002</v>
      </c>
      <c r="AB1720">
        <v>18</v>
      </c>
      <c r="AC1720">
        <v>-22.251999999999899</v>
      </c>
      <c r="AD1720">
        <v>-1.1076264984619999</v>
      </c>
      <c r="AE1720">
        <v>-1.77999999999656E-2</v>
      </c>
      <c r="AF1720">
        <v>2.62736701347059</v>
      </c>
      <c r="AG1720">
        <v>-1.1076264984619999</v>
      </c>
      <c r="AH1720">
        <v>22.040965941908301</v>
      </c>
      <c r="AI1720">
        <v>92.856678880669406</v>
      </c>
      <c r="AJ1720">
        <v>83.202201825793196</v>
      </c>
      <c r="AK1720">
        <v>22.2246276354843</v>
      </c>
      <c r="AL1720">
        <v>95.083474632109699</v>
      </c>
      <c r="AM1720">
        <v>87.601222338701305</v>
      </c>
      <c r="AN1720">
        <v>0.99999996684973103</v>
      </c>
    </row>
    <row r="1721" spans="1:40" x14ac:dyDescent="0.25">
      <c r="A1721" t="str">
        <f>"20190305135226867"</f>
        <v>20190305135226867</v>
      </c>
      <c r="B1721" t="str">
        <f>"1551765146860963"</f>
        <v>1551765146860963</v>
      </c>
      <c r="C1721" t="s">
        <v>40</v>
      </c>
      <c r="D1721">
        <v>4.8350730000000004</v>
      </c>
      <c r="E1721">
        <v>0.52837539999999905</v>
      </c>
      <c r="F1721" t="s">
        <v>56</v>
      </c>
      <c r="G1721">
        <v>-230.60890000000001</v>
      </c>
      <c r="H1721" s="1">
        <v>-1.2920789999999999E-6</v>
      </c>
      <c r="I1721">
        <v>286.43049999999999</v>
      </c>
      <c r="J1721">
        <v>-207.4032</v>
      </c>
      <c r="K1721">
        <v>1.1078159999999999</v>
      </c>
      <c r="L1721">
        <v>286.52940000000001</v>
      </c>
      <c r="M1721">
        <v>-0.99322880000000002</v>
      </c>
      <c r="N1721">
        <v>-1.265114E-2</v>
      </c>
      <c r="O1721">
        <v>-0.1154854</v>
      </c>
      <c r="P1721">
        <v>-0.99170769999999997</v>
      </c>
      <c r="Q1721">
        <v>-0.1019072</v>
      </c>
      <c r="R1721">
        <v>-7.830268E-2</v>
      </c>
      <c r="S1721">
        <v>-3.008804</v>
      </c>
      <c r="T1721">
        <v>-0.1424638</v>
      </c>
      <c r="U1721">
        <v>-1.5014649999999999E-2</v>
      </c>
      <c r="V1721">
        <v>3.6465690000000002E-2</v>
      </c>
      <c r="W1721">
        <v>-8.9442110000000005E-2</v>
      </c>
      <c r="X1721">
        <v>0.99532430000000005</v>
      </c>
      <c r="Y1721">
        <v>0.1103109</v>
      </c>
      <c r="Z1721">
        <v>7.300801E-3</v>
      </c>
      <c r="AA1721">
        <v>0.99387029999999998</v>
      </c>
      <c r="AB1721">
        <v>19</v>
      </c>
      <c r="AC1721">
        <v>-23.2057</v>
      </c>
      <c r="AD1721">
        <v>-1.1078172920789999</v>
      </c>
      <c r="AE1721">
        <v>-9.8900000000014601E-2</v>
      </c>
      <c r="AF1721">
        <v>2.5760246676504601</v>
      </c>
      <c r="AG1721">
        <v>-1.1078172920789999</v>
      </c>
      <c r="AH1721">
        <v>23.009394549867999</v>
      </c>
      <c r="AI1721">
        <v>92.739363605210102</v>
      </c>
      <c r="AJ1721">
        <v>83.612031636135995</v>
      </c>
      <c r="AK1721">
        <v>23.179633297195799</v>
      </c>
      <c r="AL1721">
        <v>95.131512653371104</v>
      </c>
      <c r="AM1721">
        <v>87.901793343526293</v>
      </c>
      <c r="AN1721">
        <v>1.0000000498794499</v>
      </c>
    </row>
    <row r="1722" spans="1:40" x14ac:dyDescent="0.25">
      <c r="A1722" t="str">
        <f>"20190305135226912"</f>
        <v>20190305135226912</v>
      </c>
      <c r="B1722" t="str">
        <f>"1551765146900980"</f>
        <v>1551765146900980</v>
      </c>
      <c r="C1722" t="s">
        <v>40</v>
      </c>
      <c r="D1722">
        <v>4.9079379999999997</v>
      </c>
      <c r="E1722">
        <v>0.52817069999999999</v>
      </c>
      <c r="F1722" t="s">
        <v>56</v>
      </c>
      <c r="G1722">
        <v>-230.64089999999999</v>
      </c>
      <c r="H1722" s="1">
        <v>-1.27142999999999E-6</v>
      </c>
      <c r="I1722">
        <v>286.34800000000001</v>
      </c>
      <c r="J1722">
        <v>-207.78389999999999</v>
      </c>
      <c r="K1722">
        <v>1.108144</v>
      </c>
      <c r="L1722">
        <v>286.49369999999999</v>
      </c>
      <c r="M1722">
        <v>-0.99394380000000004</v>
      </c>
      <c r="N1722">
        <v>-1.199383E-2</v>
      </c>
      <c r="O1722">
        <v>-0.1092336</v>
      </c>
      <c r="P1722">
        <v>-0.99169450000000003</v>
      </c>
      <c r="Q1722">
        <v>-0.1004095</v>
      </c>
      <c r="R1722">
        <v>-8.0373349999999996E-2</v>
      </c>
      <c r="S1722">
        <v>-3.008499</v>
      </c>
      <c r="T1722">
        <v>-0.1434251</v>
      </c>
      <c r="U1722">
        <v>-2.3498539999999998E-2</v>
      </c>
      <c r="V1722">
        <v>2.8241039999999999E-2</v>
      </c>
      <c r="W1722">
        <v>-8.8538320000000004E-2</v>
      </c>
      <c r="X1722">
        <v>0.99567229999999995</v>
      </c>
      <c r="Y1722">
        <v>0.1012615</v>
      </c>
      <c r="Z1722">
        <v>6.9044680000000004E-3</v>
      </c>
      <c r="AA1722">
        <v>0.9948359</v>
      </c>
      <c r="AB1722">
        <v>19</v>
      </c>
      <c r="AC1722">
        <v>-22.856999999999999</v>
      </c>
      <c r="AD1722">
        <v>-1.10814527143</v>
      </c>
      <c r="AE1722">
        <v>-0.14569999999997599</v>
      </c>
      <c r="AF1722">
        <v>2.3465884743548902</v>
      </c>
      <c r="AG1722">
        <v>-1.10814527143</v>
      </c>
      <c r="AH1722">
        <v>22.682809785528899</v>
      </c>
      <c r="AI1722">
        <v>92.782078194264599</v>
      </c>
      <c r="AJ1722">
        <v>84.093631682251996</v>
      </c>
      <c r="AK1722">
        <v>22.830775790083301</v>
      </c>
      <c r="AL1722">
        <v>95.079523491965801</v>
      </c>
      <c r="AM1722">
        <v>88.375310140215802</v>
      </c>
      <c r="AN1722">
        <v>0.99999995971799605</v>
      </c>
    </row>
    <row r="1723" spans="1:40" x14ac:dyDescent="0.25">
      <c r="A1723" t="str">
        <f>"20190305135226934"</f>
        <v>20190305135226934</v>
      </c>
      <c r="B1723" t="str">
        <f>"1551765146921478"</f>
        <v>1551765146921478</v>
      </c>
      <c r="C1723" t="s">
        <v>40</v>
      </c>
      <c r="D1723">
        <v>4.8903420000000004</v>
      </c>
      <c r="E1723">
        <v>0.51355280000000003</v>
      </c>
      <c r="F1723" t="s">
        <v>56</v>
      </c>
      <c r="G1723">
        <v>-231.69730000000001</v>
      </c>
      <c r="H1723" s="1">
        <v>-7.0478500000000002E-7</v>
      </c>
      <c r="I1723">
        <v>286.24560000000002</v>
      </c>
      <c r="J1723">
        <v>-207.9607</v>
      </c>
      <c r="K1723">
        <v>1.108212</v>
      </c>
      <c r="L1723">
        <v>286.47730000000001</v>
      </c>
      <c r="M1723">
        <v>-0.99421479999999995</v>
      </c>
      <c r="N1723">
        <v>-1.171375E-2</v>
      </c>
      <c r="O1723">
        <v>-0.1067713</v>
      </c>
      <c r="P1723">
        <v>-0.99183189999999999</v>
      </c>
      <c r="Q1723">
        <v>-9.9508929999999995E-2</v>
      </c>
      <c r="R1723">
        <v>-7.9796660000000005E-2</v>
      </c>
      <c r="S1723">
        <v>-3.008499</v>
      </c>
      <c r="T1723">
        <v>-0.1394137</v>
      </c>
      <c r="U1723">
        <v>-3.1219480000000001E-2</v>
      </c>
      <c r="V1723">
        <v>2.6389530000000001E-2</v>
      </c>
      <c r="W1723">
        <v>-8.7903770000000006E-2</v>
      </c>
      <c r="X1723">
        <v>0.99577930000000003</v>
      </c>
      <c r="Y1723">
        <v>9.6262689999999998E-2</v>
      </c>
      <c r="Z1723">
        <v>6.4784079999999997E-3</v>
      </c>
      <c r="AA1723">
        <v>0.99533490000000002</v>
      </c>
      <c r="AB1723">
        <v>19</v>
      </c>
      <c r="AC1723">
        <v>-23.736599999999999</v>
      </c>
      <c r="AD1723">
        <v>-1.1082127047849999</v>
      </c>
      <c r="AE1723">
        <v>-0.231699999999989</v>
      </c>
      <c r="AF1723">
        <v>2.2991745287433898</v>
      </c>
      <c r="AG1723">
        <v>-1.1082127047849999</v>
      </c>
      <c r="AH1723">
        <v>23.5742528456597</v>
      </c>
      <c r="AI1723">
        <v>92.678770425030507</v>
      </c>
      <c r="AJ1723">
        <v>84.429614051338206</v>
      </c>
      <c r="AK1723">
        <v>23.7120167034304</v>
      </c>
      <c r="AL1723">
        <v>95.043024202491196</v>
      </c>
      <c r="AM1723">
        <v>88.481937846663996</v>
      </c>
      <c r="AN1723">
        <v>0.99999994719116003</v>
      </c>
    </row>
    <row r="1724" spans="1:40" x14ac:dyDescent="0.25">
      <c r="A1724" t="str">
        <f>"20190305135226947"</f>
        <v>20190305135226947</v>
      </c>
      <c r="B1724" t="str">
        <f>"1551765146940997"</f>
        <v>1551765146940997</v>
      </c>
      <c r="C1724" t="s">
        <v>40</v>
      </c>
      <c r="D1724">
        <v>4.8917289999999998</v>
      </c>
      <c r="E1724">
        <v>0.51473239999999998</v>
      </c>
      <c r="F1724" t="s">
        <v>41</v>
      </c>
      <c r="G1724">
        <v>-208.7971</v>
      </c>
      <c r="H1724">
        <v>1.0538379999999901</v>
      </c>
      <c r="I1724">
        <v>286.43819999999999</v>
      </c>
      <c r="J1724">
        <v>-208.0821</v>
      </c>
      <c r="K1724">
        <v>1.1082479999999999</v>
      </c>
      <c r="L1724">
        <v>286.46620000000001</v>
      </c>
      <c r="M1724">
        <v>-0.99438230000000005</v>
      </c>
      <c r="N1724">
        <v>-1.1526700000000001E-2</v>
      </c>
      <c r="O1724">
        <v>-0.1052198</v>
      </c>
      <c r="P1724">
        <v>-0.99200699999999997</v>
      </c>
      <c r="Q1724">
        <v>-9.9414169999999996E-2</v>
      </c>
      <c r="R1724">
        <v>-7.7711299999999997E-2</v>
      </c>
      <c r="S1724">
        <v>-2.993881</v>
      </c>
      <c r="T1724">
        <v>-0.1946639</v>
      </c>
      <c r="U1724">
        <v>-0.1403809</v>
      </c>
      <c r="V1724">
        <v>2.694073E-2</v>
      </c>
      <c r="W1724">
        <v>-8.799295E-2</v>
      </c>
      <c r="X1724">
        <v>0.99575670000000005</v>
      </c>
      <c r="Y1724">
        <v>5.823996E-2</v>
      </c>
      <c r="Z1724">
        <v>7.8298159999999999E-3</v>
      </c>
      <c r="AA1724">
        <v>0.99827189999999999</v>
      </c>
      <c r="AB1724">
        <v>19</v>
      </c>
      <c r="AC1724">
        <v>-0.71500000000000297</v>
      </c>
      <c r="AD1724">
        <v>-5.441E-2</v>
      </c>
      <c r="AE1724">
        <v>-2.8000000000019998E-2</v>
      </c>
      <c r="AF1724">
        <v>4.7120145872359499E-2</v>
      </c>
      <c r="AG1724">
        <v>-5.441E-2</v>
      </c>
      <c r="AH1724">
        <v>0.70987235102105195</v>
      </c>
      <c r="AI1724">
        <v>94.373426451681496</v>
      </c>
      <c r="AJ1724">
        <v>86.202372477101605</v>
      </c>
      <c r="AK1724">
        <v>0.71351209589690001</v>
      </c>
      <c r="AL1724">
        <v>95.048153531333696</v>
      </c>
      <c r="AM1724">
        <v>88.4502101222769</v>
      </c>
      <c r="AN1724">
        <v>0.99999998388876199</v>
      </c>
    </row>
    <row r="1725" spans="1:40" x14ac:dyDescent="0.25">
      <c r="A1725" t="str">
        <f>"20190305135226967"</f>
        <v>20190305135226967</v>
      </c>
      <c r="B1725" t="str">
        <f>"1551765146961491"</f>
        <v>1551765146961491</v>
      </c>
      <c r="C1725" t="s">
        <v>40</v>
      </c>
      <c r="D1725">
        <v>4.8836950000000003</v>
      </c>
      <c r="E1725">
        <v>0.51526919999999998</v>
      </c>
      <c r="F1725" t="s">
        <v>41</v>
      </c>
      <c r="G1725">
        <v>-208.96250000000001</v>
      </c>
      <c r="H1725">
        <v>1.0510280000000001</v>
      </c>
      <c r="I1725">
        <v>286.42970000000003</v>
      </c>
      <c r="J1725">
        <v>-208.2396</v>
      </c>
      <c r="K1725">
        <v>1.1082780000000001</v>
      </c>
      <c r="L1725">
        <v>286.45179999999999</v>
      </c>
      <c r="M1725">
        <v>-0.99457669999999998</v>
      </c>
      <c r="N1725">
        <v>-1.128496E-2</v>
      </c>
      <c r="O1725">
        <v>-0.1033922</v>
      </c>
      <c r="P1725">
        <v>-0.99205140000000003</v>
      </c>
      <c r="Q1725">
        <v>-9.9692359999999994E-2</v>
      </c>
      <c r="R1725">
        <v>-7.6783799999999999E-2</v>
      </c>
      <c r="S1725">
        <v>-2.994888</v>
      </c>
      <c r="T1725">
        <v>-0.19474279999999999</v>
      </c>
      <c r="U1725">
        <v>-0.1247253</v>
      </c>
      <c r="V1725">
        <v>2.6050360000000002E-2</v>
      </c>
      <c r="W1725">
        <v>-8.8506760000000004E-2</v>
      </c>
      <c r="X1725">
        <v>0.99573489999999998</v>
      </c>
      <c r="Y1725">
        <v>6.1621809999999999E-2</v>
      </c>
      <c r="Z1725">
        <v>7.8817650000000006E-3</v>
      </c>
      <c r="AA1725">
        <v>0.99806850000000003</v>
      </c>
      <c r="AB1725">
        <v>19</v>
      </c>
      <c r="AC1725">
        <v>-0.72290000000000898</v>
      </c>
      <c r="AD1725">
        <v>-5.7250000000000002E-2</v>
      </c>
      <c r="AE1725">
        <v>-2.2099999999966199E-2</v>
      </c>
      <c r="AF1725">
        <v>5.2436865159548998E-2</v>
      </c>
      <c r="AG1725">
        <v>-5.7250000000000002E-2</v>
      </c>
      <c r="AH1725">
        <v>0.71681878521091402</v>
      </c>
      <c r="AI1725">
        <v>94.554218412748</v>
      </c>
      <c r="AJ1725">
        <v>85.816140485864295</v>
      </c>
      <c r="AK1725">
        <v>0.72101065051704505</v>
      </c>
      <c r="AL1725">
        <v>95.077707755209502</v>
      </c>
      <c r="AM1725">
        <v>88.501372912825005</v>
      </c>
      <c r="AN1725">
        <v>1.0000000294499101</v>
      </c>
    </row>
    <row r="1726" spans="1:40" x14ac:dyDescent="0.25">
      <c r="A1726" t="str">
        <f>"20190305135226988"</f>
        <v>20190305135226988</v>
      </c>
      <c r="B1726" t="str">
        <f>"1551765146981011"</f>
        <v>1551765146981011</v>
      </c>
      <c r="C1726" t="s">
        <v>40</v>
      </c>
      <c r="D1726">
        <v>4.8876860000000004</v>
      </c>
      <c r="E1726">
        <v>0.51535220000000004</v>
      </c>
      <c r="F1726" t="s">
        <v>41</v>
      </c>
      <c r="G1726">
        <v>-209.13069999999999</v>
      </c>
      <c r="H1726">
        <v>1.050646</v>
      </c>
      <c r="I1726">
        <v>286.4169</v>
      </c>
      <c r="J1726">
        <v>-208.42750000000001</v>
      </c>
      <c r="K1726">
        <v>1.1082860000000001</v>
      </c>
      <c r="L1726">
        <v>286.4348</v>
      </c>
      <c r="M1726">
        <v>-0.99478219999999995</v>
      </c>
      <c r="N1726">
        <v>-1.096746E-2</v>
      </c>
      <c r="O1726">
        <v>-0.1014321</v>
      </c>
      <c r="P1726">
        <v>-0.99233039999999995</v>
      </c>
      <c r="Q1726">
        <v>-9.9327120000000005E-2</v>
      </c>
      <c r="R1726">
        <v>-7.358373E-2</v>
      </c>
      <c r="S1726">
        <v>-2.9954679999999998</v>
      </c>
      <c r="T1726">
        <v>-0.19375249999999999</v>
      </c>
      <c r="U1726">
        <v>-0.11776730000000001</v>
      </c>
      <c r="V1726">
        <v>2.731459E-2</v>
      </c>
      <c r="W1726">
        <v>-8.8455829999999999E-2</v>
      </c>
      <c r="X1726">
        <v>0.99570550000000002</v>
      </c>
      <c r="Y1726">
        <v>6.1981389999999997E-2</v>
      </c>
      <c r="Z1726">
        <v>7.768746E-3</v>
      </c>
      <c r="AA1726">
        <v>0.99804709999999996</v>
      </c>
      <c r="AB1726">
        <v>19</v>
      </c>
      <c r="AC1726">
        <v>-0.70319999999998095</v>
      </c>
      <c r="AD1726">
        <v>-5.7640000000000101E-2</v>
      </c>
      <c r="AE1726">
        <v>-1.78999999999973E-2</v>
      </c>
      <c r="AF1726">
        <v>5.3166676550567497E-2</v>
      </c>
      <c r="AG1726">
        <v>-5.7640000000000101E-2</v>
      </c>
      <c r="AH1726">
        <v>0.696710517053583</v>
      </c>
      <c r="AI1726">
        <v>94.715754204263405</v>
      </c>
      <c r="AJ1726">
        <v>85.636159383079999</v>
      </c>
      <c r="AK1726">
        <v>0.70110955610981696</v>
      </c>
      <c r="AL1726">
        <v>95.0747784339313</v>
      </c>
      <c r="AM1726">
        <v>88.4286334389014</v>
      </c>
      <c r="AN1726">
        <v>0.99999998170905302</v>
      </c>
    </row>
    <row r="1727" spans="1:40" x14ac:dyDescent="0.25">
      <c r="A1727" t="str">
        <f>"20190305135227012"</f>
        <v>20190305135227012</v>
      </c>
      <c r="B1727" t="str">
        <f>"1551765147001507"</f>
        <v>1551765147001507</v>
      </c>
      <c r="C1727" t="s">
        <v>40</v>
      </c>
      <c r="D1727">
        <v>4.8611040000000001</v>
      </c>
      <c r="E1727">
        <v>0.51530529999999997</v>
      </c>
      <c r="F1727" t="s">
        <v>41</v>
      </c>
      <c r="G1727">
        <v>-209.30119999999999</v>
      </c>
      <c r="H1727">
        <v>1.052233</v>
      </c>
      <c r="I1727">
        <v>286.40359999999998</v>
      </c>
      <c r="J1727">
        <v>-208.6163</v>
      </c>
      <c r="K1727">
        <v>1.1082860000000001</v>
      </c>
      <c r="L1727">
        <v>286.41789999999997</v>
      </c>
      <c r="M1727">
        <v>-0.9949694</v>
      </c>
      <c r="N1727">
        <v>-1.061404E-2</v>
      </c>
      <c r="O1727">
        <v>-9.9615930000000005E-2</v>
      </c>
      <c r="P1727">
        <v>-0.99264730000000001</v>
      </c>
      <c r="Q1727">
        <v>-9.8915459999999997E-2</v>
      </c>
      <c r="R1727">
        <v>-6.976591E-2</v>
      </c>
      <c r="S1727">
        <v>-2.9959560000000001</v>
      </c>
      <c r="T1727">
        <v>-0.19223199999999999</v>
      </c>
      <c r="U1727">
        <v>-0.1076355</v>
      </c>
      <c r="V1727">
        <v>2.9341289999999999E-2</v>
      </c>
      <c r="W1727">
        <v>-8.8395459999999995E-2</v>
      </c>
      <c r="X1727">
        <v>0.99565320000000002</v>
      </c>
      <c r="Y1727">
        <v>6.3538369999999997E-2</v>
      </c>
      <c r="Z1727">
        <v>7.6878090000000003E-3</v>
      </c>
      <c r="AA1727">
        <v>0.9979498</v>
      </c>
      <c r="AB1727">
        <v>19</v>
      </c>
      <c r="AC1727">
        <v>-0.68489999999999895</v>
      </c>
      <c r="AD1727">
        <v>-5.6053000000000103E-2</v>
      </c>
      <c r="AE1727">
        <v>-1.42999999999915E-2</v>
      </c>
      <c r="AF1727">
        <v>5.3642785969642601E-2</v>
      </c>
      <c r="AG1727">
        <v>-5.6053000000000103E-2</v>
      </c>
      <c r="AH1727">
        <v>0.67837572302662297</v>
      </c>
      <c r="AI1727">
        <v>94.708886995575</v>
      </c>
      <c r="AJ1727">
        <v>85.478725217964296</v>
      </c>
      <c r="AK1727">
        <v>0.68279800006112901</v>
      </c>
      <c r="AL1727">
        <v>95.071305885175803</v>
      </c>
      <c r="AM1727">
        <v>88.312016996392899</v>
      </c>
      <c r="AN1727">
        <v>0.99999998165885695</v>
      </c>
    </row>
    <row r="1728" spans="1:40" x14ac:dyDescent="0.25">
      <c r="A1728" t="str">
        <f>"20190305135227032"</f>
        <v>20190305135227032</v>
      </c>
      <c r="B1728" t="str">
        <f>"1551765147021026"</f>
        <v>1551765147021026</v>
      </c>
      <c r="C1728" t="s">
        <v>40</v>
      </c>
      <c r="D1728">
        <v>4.9316760000000004</v>
      </c>
      <c r="E1728">
        <v>0.51513529999999996</v>
      </c>
      <c r="F1728" t="s">
        <v>41</v>
      </c>
      <c r="G1728">
        <v>-209.4725</v>
      </c>
      <c r="H1728">
        <v>1.053833</v>
      </c>
      <c r="I1728">
        <v>286.3904</v>
      </c>
      <c r="J1728">
        <v>-208.798</v>
      </c>
      <c r="K1728">
        <v>1.108276</v>
      </c>
      <c r="L1728">
        <v>286.40170000000001</v>
      </c>
      <c r="M1728">
        <v>-0.99513660000000004</v>
      </c>
      <c r="N1728">
        <v>-1.0245199999999999E-2</v>
      </c>
      <c r="O1728">
        <v>-9.7971660000000002E-2</v>
      </c>
      <c r="P1728">
        <v>-0.99282969999999904</v>
      </c>
      <c r="Q1728">
        <v>-9.9239820000000006E-2</v>
      </c>
      <c r="R1728">
        <v>-6.6639019999999993E-2</v>
      </c>
      <c r="S1728">
        <v>-2.996429</v>
      </c>
      <c r="T1728">
        <v>-0.1906178</v>
      </c>
      <c r="U1728">
        <v>-9.661865E-2</v>
      </c>
      <c r="V1728">
        <v>3.0835390000000001E-2</v>
      </c>
      <c r="W1728">
        <v>-8.9086769999999996E-2</v>
      </c>
      <c r="X1728">
        <v>0.9955465</v>
      </c>
      <c r="Y1728">
        <v>6.5560880000000002E-2</v>
      </c>
      <c r="Z1728">
        <v>7.6293480000000002E-3</v>
      </c>
      <c r="AA1728">
        <v>0.99781940000000002</v>
      </c>
      <c r="AB1728">
        <v>19</v>
      </c>
      <c r="AC1728">
        <v>-0.67449999999999399</v>
      </c>
      <c r="AD1728">
        <v>-5.4442999999999998E-2</v>
      </c>
      <c r="AE1728">
        <v>-1.1300000000005601E-2</v>
      </c>
      <c r="AF1728">
        <v>5.4484838222100901E-2</v>
      </c>
      <c r="AG1728">
        <v>-5.4442999999999998E-2</v>
      </c>
      <c r="AH1728">
        <v>0.66801098769517597</v>
      </c>
      <c r="AI1728">
        <v>94.643963482189704</v>
      </c>
      <c r="AJ1728">
        <v>85.337118155171197</v>
      </c>
      <c r="AK1728">
        <v>0.67243685021462996</v>
      </c>
      <c r="AL1728">
        <v>95.111071550499403</v>
      </c>
      <c r="AM1728">
        <v>88.225926101872105</v>
      </c>
      <c r="AN1728">
        <v>1.00000005376386</v>
      </c>
    </row>
    <row r="1729" spans="1:40" x14ac:dyDescent="0.25">
      <c r="A1729" t="str">
        <f>"20190305135227057"</f>
        <v>20190305135227057</v>
      </c>
      <c r="B1729" t="str">
        <f>"1551765147051283"</f>
        <v>1551765147051283</v>
      </c>
      <c r="C1729" t="s">
        <v>40</v>
      </c>
      <c r="D1729">
        <v>4.9161140000000003</v>
      </c>
      <c r="E1729">
        <v>0.51151930000000001</v>
      </c>
      <c r="F1729" t="s">
        <v>41</v>
      </c>
      <c r="G1729">
        <v>-209.6437</v>
      </c>
      <c r="H1729">
        <v>1.0545070000000001</v>
      </c>
      <c r="I1729">
        <v>286.3766</v>
      </c>
      <c r="J1729">
        <v>-209.0042</v>
      </c>
      <c r="K1729">
        <v>1.10825</v>
      </c>
      <c r="L1729">
        <v>286.38350000000003</v>
      </c>
      <c r="M1729">
        <v>-0.99531440000000004</v>
      </c>
      <c r="N1729">
        <v>-9.7977210000000006E-3</v>
      </c>
      <c r="O1729">
        <v>-9.6195299999999997E-2</v>
      </c>
      <c r="P1729">
        <v>-0.99301419999999996</v>
      </c>
      <c r="Q1729">
        <v>-9.8265939999999996E-2</v>
      </c>
      <c r="R1729">
        <v>-6.5321050000000005E-2</v>
      </c>
      <c r="S1729">
        <v>-2.996658</v>
      </c>
      <c r="T1729">
        <v>-0.19053780000000001</v>
      </c>
      <c r="U1729">
        <v>-8.8867189999999999E-2</v>
      </c>
      <c r="V1729">
        <v>3.0394669999999999E-2</v>
      </c>
      <c r="W1729">
        <v>-8.8555099999999998E-2</v>
      </c>
      <c r="X1729">
        <v>0.99560740000000003</v>
      </c>
      <c r="Y1729">
        <v>6.6359989999999994E-2</v>
      </c>
      <c r="Z1729">
        <v>7.5893540000000004E-3</v>
      </c>
      <c r="AA1729">
        <v>0.99776690000000001</v>
      </c>
      <c r="AB1729">
        <v>19</v>
      </c>
      <c r="AC1729">
        <v>-0.63949999999999796</v>
      </c>
      <c r="AD1729">
        <v>-5.3742999999999999E-2</v>
      </c>
      <c r="AE1729">
        <v>-6.9000000000300999E-3</v>
      </c>
      <c r="AF1729">
        <v>5.4268609209246303E-2</v>
      </c>
      <c r="AG1729">
        <v>-5.3742999999999999E-2</v>
      </c>
      <c r="AH1729">
        <v>0.63272962346031603</v>
      </c>
      <c r="AI1729">
        <v>94.837280063223204</v>
      </c>
      <c r="AJ1729">
        <v>85.097793537242396</v>
      </c>
      <c r="AK1729">
        <v>0.63732265642980102</v>
      </c>
      <c r="AL1729">
        <v>95.080488662718096</v>
      </c>
      <c r="AM1729">
        <v>88.251373394876296</v>
      </c>
      <c r="AN1729">
        <v>0.99999996831758897</v>
      </c>
    </row>
    <row r="1730" spans="1:40" x14ac:dyDescent="0.25">
      <c r="A1730" t="str">
        <f>"20190305135227079"</f>
        <v>20190305135227079</v>
      </c>
      <c r="B1730" t="str">
        <f>"1551765147070804"</f>
        <v>1551765147070804</v>
      </c>
      <c r="C1730" t="s">
        <v>40</v>
      </c>
      <c r="D1730">
        <v>4.9186560000000004</v>
      </c>
      <c r="E1730">
        <v>0.51157609999999998</v>
      </c>
      <c r="F1730" t="s">
        <v>56</v>
      </c>
      <c r="G1730">
        <v>-227.92769999999999</v>
      </c>
      <c r="H1730" s="1">
        <v>2.6819659999999998E-6</v>
      </c>
      <c r="I1730">
        <v>285.65550000000002</v>
      </c>
      <c r="J1730">
        <v>-209.1953</v>
      </c>
      <c r="K1730">
        <v>1.1081939999999999</v>
      </c>
      <c r="L1730">
        <v>286.36689999999999</v>
      </c>
      <c r="M1730">
        <v>-0.99547090000000005</v>
      </c>
      <c r="N1730">
        <v>-9.3649010000000001E-3</v>
      </c>
      <c r="O1730">
        <v>-9.4605510000000004E-2</v>
      </c>
      <c r="P1730">
        <v>-0.9930987</v>
      </c>
      <c r="Q1730">
        <v>-9.6702570000000002E-2</v>
      </c>
      <c r="R1730">
        <v>-6.6362370000000004E-2</v>
      </c>
      <c r="S1730">
        <v>-2.9961700000000002</v>
      </c>
      <c r="T1730">
        <v>-0.17546919999999999</v>
      </c>
      <c r="U1730">
        <v>-0.1152649</v>
      </c>
      <c r="V1730">
        <v>2.777582E-2</v>
      </c>
      <c r="W1730">
        <v>-8.7417999999999996E-2</v>
      </c>
      <c r="X1730">
        <v>0.99578440000000001</v>
      </c>
      <c r="Y1730">
        <v>5.604497E-2</v>
      </c>
      <c r="Z1730">
        <v>6.5404819999999898E-3</v>
      </c>
      <c r="AA1730">
        <v>0.99840680000000004</v>
      </c>
      <c r="AB1730">
        <v>19</v>
      </c>
      <c r="AC1730">
        <v>-18.732399999999899</v>
      </c>
      <c r="AD1730">
        <v>-1.108191318034</v>
      </c>
      <c r="AE1730">
        <v>-0.71139999999996895</v>
      </c>
      <c r="AF1730">
        <v>1.060351135248</v>
      </c>
      <c r="AG1730">
        <v>-1.108191318034</v>
      </c>
      <c r="AH1730">
        <v>18.650501201309101</v>
      </c>
      <c r="AI1730">
        <v>93.394981561924695</v>
      </c>
      <c r="AJ1730">
        <v>86.746022434522999</v>
      </c>
      <c r="AK1730">
        <v>18.713461133297098</v>
      </c>
      <c r="AL1730">
        <v>95.015083870260597</v>
      </c>
      <c r="AM1730">
        <v>88.402239765978294</v>
      </c>
      <c r="AN1730">
        <v>0.99999998709201599</v>
      </c>
    </row>
    <row r="1731" spans="1:40" x14ac:dyDescent="0.25">
      <c r="A1731" t="str">
        <f>"20190305135227102"</f>
        <v>20190305135227102</v>
      </c>
      <c r="B1731" t="str">
        <f>"1551765147091299"</f>
        <v>1551765147091299</v>
      </c>
      <c r="C1731" t="s">
        <v>40</v>
      </c>
      <c r="D1731">
        <v>4.9268099999999997</v>
      </c>
      <c r="E1731">
        <v>0.51153579999999998</v>
      </c>
      <c r="F1731" t="s">
        <v>56</v>
      </c>
      <c r="G1731">
        <v>-227.98990000000001</v>
      </c>
      <c r="H1731" s="1">
        <v>2.7150249999999999E-6</v>
      </c>
      <c r="I1731">
        <v>285.62979999999999</v>
      </c>
      <c r="J1731">
        <v>-209.38929999999999</v>
      </c>
      <c r="K1731">
        <v>1.1081110000000001</v>
      </c>
      <c r="L1731">
        <v>286.35019999999997</v>
      </c>
      <c r="M1731">
        <v>-0.99562419999999996</v>
      </c>
      <c r="N1731">
        <v>-8.9197959999999903E-3</v>
      </c>
      <c r="O1731">
        <v>-9.3020389999999994E-2</v>
      </c>
      <c r="P1731">
        <v>-0.99320160000000002</v>
      </c>
      <c r="Q1731">
        <v>-9.3858380000000005E-2</v>
      </c>
      <c r="R1731">
        <v>-6.8857249999999995E-2</v>
      </c>
      <c r="S1731">
        <v>-2.9957889999999998</v>
      </c>
      <c r="T1731">
        <v>-0.176641299999999</v>
      </c>
      <c r="U1731">
        <v>-0.11749270000000001</v>
      </c>
      <c r="V1731">
        <v>2.3711019999999999E-2</v>
      </c>
      <c r="W1731">
        <v>-8.5010870000000002E-2</v>
      </c>
      <c r="X1731">
        <v>0.99609789999999998</v>
      </c>
      <c r="Y1731">
        <v>5.3710540000000001E-2</v>
      </c>
      <c r="Z1731">
        <v>6.4607569999999897E-3</v>
      </c>
      <c r="AA1731">
        <v>0.99853559999999997</v>
      </c>
      <c r="AB1731">
        <v>19</v>
      </c>
      <c r="AC1731">
        <v>-18.6006</v>
      </c>
      <c r="AD1731">
        <v>-1.1081082849749999</v>
      </c>
      <c r="AE1731">
        <v>-0.72039999999998305</v>
      </c>
      <c r="AF1731">
        <v>1.0094505307674</v>
      </c>
      <c r="AG1731">
        <v>-1.1081082849749999</v>
      </c>
      <c r="AH1731">
        <v>18.5213252993262</v>
      </c>
      <c r="AI1731">
        <v>93.418793339310497</v>
      </c>
      <c r="AJ1731">
        <v>86.880348036099605</v>
      </c>
      <c r="AK1731">
        <v>18.581883251940798</v>
      </c>
      <c r="AL1731">
        <v>94.876649724840902</v>
      </c>
      <c r="AM1731">
        <v>88.636394207597704</v>
      </c>
      <c r="AN1731">
        <v>1.0000000434359999</v>
      </c>
    </row>
    <row r="1732" spans="1:40" x14ac:dyDescent="0.25">
      <c r="A1732" t="str">
        <f>"20190305135227123"</f>
        <v>20190305135227123</v>
      </c>
      <c r="B1732" t="str">
        <f>"1551765147111796"</f>
        <v>1551765147111796</v>
      </c>
      <c r="C1732" t="s">
        <v>40</v>
      </c>
      <c r="D1732">
        <v>4.9824950000000001</v>
      </c>
      <c r="E1732">
        <v>0.51147690000000001</v>
      </c>
      <c r="F1732" t="s">
        <v>56</v>
      </c>
      <c r="G1732">
        <v>-229.2748</v>
      </c>
      <c r="H1732" s="1">
        <v>3.3987850000000002E-6</v>
      </c>
      <c r="I1732">
        <v>285.51589999999999</v>
      </c>
      <c r="J1732">
        <v>-209.57830000000001</v>
      </c>
      <c r="K1732">
        <v>1.108006</v>
      </c>
      <c r="L1732">
        <v>286.33429999999998</v>
      </c>
      <c r="M1732">
        <v>-0.99577119999999997</v>
      </c>
      <c r="N1732">
        <v>-8.4932089999999998E-3</v>
      </c>
      <c r="O1732">
        <v>-9.1475239999999999E-2</v>
      </c>
      <c r="P1732">
        <v>-0.99337549999999997</v>
      </c>
      <c r="Q1732">
        <v>-8.9296479999999998E-2</v>
      </c>
      <c r="R1732">
        <v>-7.2329240000000003E-2</v>
      </c>
      <c r="S1732">
        <v>-2.996048</v>
      </c>
      <c r="T1732">
        <v>-0.16695279999999901</v>
      </c>
      <c r="U1732">
        <v>-0.12570190000000001</v>
      </c>
      <c r="V1732">
        <v>1.8718430000000001E-2</v>
      </c>
      <c r="W1732">
        <v>-8.0865309999999996E-2</v>
      </c>
      <c r="X1732">
        <v>0.99654920000000002</v>
      </c>
      <c r="Y1732">
        <v>4.9465290000000002E-2</v>
      </c>
      <c r="Z1732">
        <v>5.8930359999999999E-3</v>
      </c>
      <c r="AA1732">
        <v>0.99875840000000005</v>
      </c>
      <c r="AB1732">
        <v>19</v>
      </c>
      <c r="AC1732">
        <v>-19.696499999999901</v>
      </c>
      <c r="AD1732">
        <v>-1.1080026012149999</v>
      </c>
      <c r="AE1732">
        <v>-0.81839999999999602</v>
      </c>
      <c r="AF1732">
        <v>0.98373080123397605</v>
      </c>
      <c r="AG1732">
        <v>-1.1080026012149999</v>
      </c>
      <c r="AH1732">
        <v>19.626777904952899</v>
      </c>
      <c r="AI1732">
        <v>93.227081937379793</v>
      </c>
      <c r="AJ1732">
        <v>87.130629620148696</v>
      </c>
      <c r="AK1732">
        <v>19.682627034619699</v>
      </c>
      <c r="AL1732">
        <v>94.638305767887204</v>
      </c>
      <c r="AM1732">
        <v>88.923925746346697</v>
      </c>
      <c r="AN1732">
        <v>0.99999994300184802</v>
      </c>
    </row>
    <row r="1733" spans="1:40" x14ac:dyDescent="0.25">
      <c r="A1733" t="str">
        <f>"20190305135227144"</f>
        <v>20190305135227144</v>
      </c>
      <c r="B1733" t="str">
        <f>"1551765147141075"</f>
        <v>1551765147141075</v>
      </c>
      <c r="C1733" t="s">
        <v>40</v>
      </c>
      <c r="D1733">
        <v>4.9781639999999996</v>
      </c>
      <c r="E1733">
        <v>0.51139679999999998</v>
      </c>
      <c r="F1733" t="s">
        <v>56</v>
      </c>
      <c r="G1733">
        <v>-231.06440000000001</v>
      </c>
      <c r="H1733" s="1">
        <v>-1.0027120000000001E-6</v>
      </c>
      <c r="I1733">
        <v>285.3562</v>
      </c>
      <c r="J1733">
        <v>-209.76910000000001</v>
      </c>
      <c r="K1733">
        <v>1.107898</v>
      </c>
      <c r="L1733">
        <v>286.31849999999997</v>
      </c>
      <c r="M1733">
        <v>-0.99591859999999999</v>
      </c>
      <c r="N1733">
        <v>-8.0820549999999994E-3</v>
      </c>
      <c r="O1733">
        <v>-8.9892899999999998E-2</v>
      </c>
      <c r="P1733">
        <v>-0.99360150000000003</v>
      </c>
      <c r="Q1733">
        <v>-8.4587899999999994E-2</v>
      </c>
      <c r="R1733">
        <v>-7.4838249999999995E-2</v>
      </c>
      <c r="S1733">
        <v>-2.9962010000000001</v>
      </c>
      <c r="T1733">
        <v>-0.15450939999999999</v>
      </c>
      <c r="U1733">
        <v>-0.13638310000000001</v>
      </c>
      <c r="V1733">
        <v>1.465058E-2</v>
      </c>
      <c r="W1733">
        <v>-7.6558870000000001E-2</v>
      </c>
      <c r="X1733">
        <v>0.99695739999999999</v>
      </c>
      <c r="Y1733">
        <v>4.4362970000000002E-2</v>
      </c>
      <c r="Z1733">
        <v>5.2182679999999999E-3</v>
      </c>
      <c r="AA1733">
        <v>0.9990019</v>
      </c>
      <c r="AB1733">
        <v>19</v>
      </c>
      <c r="AC1733">
        <v>-21.295300000000001</v>
      </c>
      <c r="AD1733">
        <v>-1.1078990027119999</v>
      </c>
      <c r="AE1733">
        <v>-0.96229999999996996</v>
      </c>
      <c r="AF1733">
        <v>0.95337985769187705</v>
      </c>
      <c r="AG1733">
        <v>-1.1078990027119999</v>
      </c>
      <c r="AH1733">
        <v>21.238218394763798</v>
      </c>
      <c r="AI1733">
        <v>92.983148726383803</v>
      </c>
      <c r="AJ1733">
        <v>87.429728139174699</v>
      </c>
      <c r="AK1733">
        <v>21.288454475065802</v>
      </c>
      <c r="AL1733">
        <v>94.390796640613004</v>
      </c>
      <c r="AM1733">
        <v>89.158082396692706</v>
      </c>
      <c r="AN1733">
        <v>0.999999978742386</v>
      </c>
    </row>
    <row r="1734" spans="1:40" x14ac:dyDescent="0.25">
      <c r="A1734" t="str">
        <f>"20190305135227169"</f>
        <v>20190305135227169</v>
      </c>
      <c r="B1734" t="str">
        <f>"1551765147161572"</f>
        <v>1551765147161572</v>
      </c>
      <c r="C1734" t="s">
        <v>40</v>
      </c>
      <c r="D1734">
        <v>4.9635160000000003</v>
      </c>
      <c r="E1734">
        <v>0.51128620000000002</v>
      </c>
      <c r="F1734" t="s">
        <v>56</v>
      </c>
      <c r="G1734">
        <v>-232.9924</v>
      </c>
      <c r="H1734" s="1">
        <v>3.0063589999999999E-8</v>
      </c>
      <c r="I1734">
        <v>285.20089999999999</v>
      </c>
      <c r="J1734">
        <v>-209.9813</v>
      </c>
      <c r="K1734">
        <v>1.1077680000000001</v>
      </c>
      <c r="L1734">
        <v>286.3014</v>
      </c>
      <c r="M1734">
        <v>-0.99608359999999996</v>
      </c>
      <c r="N1734">
        <v>-7.6358859999999997E-3</v>
      </c>
      <c r="O1734">
        <v>-8.8087100000000002E-2</v>
      </c>
      <c r="P1734">
        <v>-0.99374019999999996</v>
      </c>
      <c r="Q1734">
        <v>-8.1042180000000005E-2</v>
      </c>
      <c r="R1734">
        <v>-7.689609E-2</v>
      </c>
      <c r="S1734">
        <v>-2.996292</v>
      </c>
      <c r="T1734">
        <v>-0.14294179999999901</v>
      </c>
      <c r="U1734">
        <v>-0.14419560000000001</v>
      </c>
      <c r="V1734">
        <v>1.07983E-2</v>
      </c>
      <c r="W1734">
        <v>-7.3450650000000006E-2</v>
      </c>
      <c r="X1734">
        <v>0.99724040000000003</v>
      </c>
      <c r="Y1734">
        <v>3.9982860000000002E-2</v>
      </c>
      <c r="Z1734">
        <v>4.6237140000000001E-3</v>
      </c>
      <c r="AA1734">
        <v>0.99918969999999896</v>
      </c>
      <c r="AB1734">
        <v>20</v>
      </c>
      <c r="AC1734">
        <v>-23.011099999999999</v>
      </c>
      <c r="AD1734">
        <v>-1.1077679699364</v>
      </c>
      <c r="AE1734">
        <v>-1.10050000000001</v>
      </c>
      <c r="AF1734">
        <v>0.928670818434854</v>
      </c>
      <c r="AG1734">
        <v>-1.1077679699364</v>
      </c>
      <c r="AH1734">
        <v>22.9654867225555</v>
      </c>
      <c r="AI1734">
        <v>92.759338945965396</v>
      </c>
      <c r="AJ1734">
        <v>87.684353699291606</v>
      </c>
      <c r="AK1734">
        <v>23.0109356560767</v>
      </c>
      <c r="AL1734">
        <v>94.2122054913048</v>
      </c>
      <c r="AM1734">
        <v>89.379615148989402</v>
      </c>
      <c r="AN1734">
        <v>1.0000000083302301</v>
      </c>
    </row>
    <row r="1735" spans="1:40" x14ac:dyDescent="0.25">
      <c r="A1735" t="str">
        <f>"20190305135227191"</f>
        <v>20190305135227191</v>
      </c>
      <c r="B1735" t="str">
        <f>"1551765147181091"</f>
        <v>1551765147181091</v>
      </c>
      <c r="C1735" t="s">
        <v>40</v>
      </c>
      <c r="D1735">
        <v>4.9627629999999998</v>
      </c>
      <c r="E1735">
        <v>0.51200959999999995</v>
      </c>
      <c r="F1735" t="s">
        <v>56</v>
      </c>
      <c r="G1735">
        <v>-234.4786</v>
      </c>
      <c r="H1735" s="1">
        <v>8.2670740000000001E-7</v>
      </c>
      <c r="I1735">
        <v>285.0686</v>
      </c>
      <c r="J1735">
        <v>-210.18520000000001</v>
      </c>
      <c r="K1735">
        <v>1.1076469999999901</v>
      </c>
      <c r="L1735">
        <v>286.28539999999998</v>
      </c>
      <c r="M1735">
        <v>-0.99624250000000003</v>
      </c>
      <c r="N1735">
        <v>-7.1995599999999998E-3</v>
      </c>
      <c r="O1735">
        <v>-8.6310419999999999E-2</v>
      </c>
      <c r="P1735">
        <v>-0.99373699999999998</v>
      </c>
      <c r="Q1735">
        <v>-8.0043169999999997E-2</v>
      </c>
      <c r="R1735">
        <v>-7.797511E-2</v>
      </c>
      <c r="S1735">
        <v>-2.996216</v>
      </c>
      <c r="T1735">
        <v>-0.1354889</v>
      </c>
      <c r="U1735">
        <v>-0.15078739999999999</v>
      </c>
      <c r="V1735">
        <v>7.9355160000000001E-3</v>
      </c>
      <c r="W1735">
        <v>-7.2881619999999994E-2</v>
      </c>
      <c r="X1735">
        <v>0.997309</v>
      </c>
      <c r="Y1735">
        <v>3.6024340000000002E-2</v>
      </c>
      <c r="Z1735">
        <v>4.214499E-3</v>
      </c>
      <c r="AA1735">
        <v>0.99934199999999995</v>
      </c>
      <c r="AB1735">
        <v>20</v>
      </c>
      <c r="AC1735">
        <v>-24.293399999999899</v>
      </c>
      <c r="AD1735">
        <v>-1.10764617329259</v>
      </c>
      <c r="AE1735">
        <v>-1.2167999999999699</v>
      </c>
      <c r="AF1735">
        <v>0.88273791632501697</v>
      </c>
      <c r="AG1735">
        <v>-1.10764617329259</v>
      </c>
      <c r="AH1735">
        <v>24.257462992339601</v>
      </c>
      <c r="AI1735">
        <v>92.6127013518105</v>
      </c>
      <c r="AJ1735">
        <v>87.915905343666793</v>
      </c>
      <c r="AK1735">
        <v>24.298778098884899</v>
      </c>
      <c r="AL1735">
        <v>94.179515006389195</v>
      </c>
      <c r="AM1735">
        <v>89.544111223374799</v>
      </c>
      <c r="AN1735">
        <v>0.99999997221450498</v>
      </c>
    </row>
    <row r="1736" spans="1:40" x14ac:dyDescent="0.25">
      <c r="A1736" t="str">
        <f>"20190305135227370"</f>
        <v>20190305135227370</v>
      </c>
      <c r="B1736" t="str">
        <f>"1551765147361257"</f>
        <v>1551765147361257</v>
      </c>
      <c r="C1736" t="s">
        <v>40</v>
      </c>
      <c r="D1736">
        <v>5.3625410000000002</v>
      </c>
      <c r="E1736">
        <v>0.51200959999999995</v>
      </c>
      <c r="F1736" t="s">
        <v>56</v>
      </c>
      <c r="G1736">
        <v>-234.42689999999999</v>
      </c>
      <c r="H1736" s="1">
        <v>7.9822019999999899E-7</v>
      </c>
      <c r="I1736">
        <v>285.09140000000002</v>
      </c>
      <c r="J1736">
        <v>-211.84460000000001</v>
      </c>
      <c r="K1736">
        <v>1.1071230000000001</v>
      </c>
      <c r="L1736">
        <v>286.16820000000001</v>
      </c>
      <c r="M1736">
        <v>-0.99740070000000003</v>
      </c>
      <c r="N1736">
        <v>-3.5145860000000001E-3</v>
      </c>
      <c r="O1736">
        <v>-7.1970699999999999E-2</v>
      </c>
      <c r="P1736">
        <v>-0.99455879999999997</v>
      </c>
      <c r="Q1736">
        <v>-5.8994089999999999E-2</v>
      </c>
      <c r="R1736">
        <v>-8.5864960000000004E-2</v>
      </c>
      <c r="S1736">
        <v>-2.9963069999999998</v>
      </c>
      <c r="T1736">
        <v>-0.13690659999999999</v>
      </c>
      <c r="U1736">
        <v>-0.14758299999999999</v>
      </c>
      <c r="V1736">
        <v>-1.4191519999999999E-2</v>
      </c>
      <c r="W1736">
        <v>-5.5452809999999998E-2</v>
      </c>
      <c r="X1736">
        <v>0.99836049999999998</v>
      </c>
      <c r="Y1736">
        <v>2.2727130000000002E-2</v>
      </c>
      <c r="Z1736">
        <v>3.586854E-3</v>
      </c>
      <c r="AA1736">
        <v>0.99973529999999999</v>
      </c>
      <c r="AB1736">
        <v>21</v>
      </c>
      <c r="AC1736">
        <v>-22.582299999999901</v>
      </c>
      <c r="AD1736">
        <v>-1.1071222017797999</v>
      </c>
      <c r="AE1736">
        <v>-1.07679999999999</v>
      </c>
      <c r="AF1736">
        <v>0.54994735729154798</v>
      </c>
      <c r="AG1736">
        <v>-1.1071222017797999</v>
      </c>
      <c r="AH1736">
        <v>22.5471656844215</v>
      </c>
      <c r="AI1736">
        <v>92.810273736368202</v>
      </c>
      <c r="AJ1736">
        <v>88.602777101789499</v>
      </c>
      <c r="AK1736">
        <v>22.581028366002698</v>
      </c>
      <c r="AL1736">
        <v>93.178842399874299</v>
      </c>
      <c r="AM1736">
        <v>90.814394641236404</v>
      </c>
      <c r="AN1736">
        <v>1.00000005066852</v>
      </c>
    </row>
    <row r="1737" spans="1:40" x14ac:dyDescent="0.25">
      <c r="A1737" t="str">
        <f>"20190305135227391"</f>
        <v>20190305135227391</v>
      </c>
      <c r="B1737" t="str">
        <f>"1551765147381752"</f>
        <v>1551765147381752</v>
      </c>
      <c r="C1737" t="s">
        <v>40</v>
      </c>
      <c r="D1737">
        <v>4.9641330000000004</v>
      </c>
      <c r="E1737">
        <v>0.5134242</v>
      </c>
      <c r="F1737" t="s">
        <v>56</v>
      </c>
      <c r="G1737">
        <v>-255.81899999999999</v>
      </c>
      <c r="H1737" s="1">
        <v>1.5598179999999999E-6</v>
      </c>
      <c r="I1737">
        <v>283.68880000000001</v>
      </c>
      <c r="J1737">
        <v>-212.059</v>
      </c>
      <c r="K1737">
        <v>1.107091</v>
      </c>
      <c r="L1737">
        <v>286.15460000000002</v>
      </c>
      <c r="M1737">
        <v>-0.99751730000000005</v>
      </c>
      <c r="N1737">
        <v>-3.1085150000000001E-3</v>
      </c>
      <c r="O1737">
        <v>-7.0353369999999998E-2</v>
      </c>
      <c r="P1737">
        <v>-0.99448619999999999</v>
      </c>
      <c r="Q1737">
        <v>-5.8101050000000001E-2</v>
      </c>
      <c r="R1737">
        <v>-8.7301219999999999E-2</v>
      </c>
      <c r="S1737">
        <v>-2.99736</v>
      </c>
      <c r="T1737">
        <v>-7.5462940000000006E-2</v>
      </c>
      <c r="U1737">
        <v>-0.1690063</v>
      </c>
      <c r="V1737">
        <v>-1.7243910000000001E-2</v>
      </c>
      <c r="W1737">
        <v>-5.4958930000000003E-2</v>
      </c>
      <c r="X1737">
        <v>0.99833970000000005</v>
      </c>
      <c r="Y1737">
        <v>1.406399E-2</v>
      </c>
      <c r="Z1737">
        <v>1.7476080000000001E-3</v>
      </c>
      <c r="AA1737">
        <v>0.9998996</v>
      </c>
      <c r="AB1737">
        <v>22</v>
      </c>
      <c r="AC1737">
        <v>-43.759999999999899</v>
      </c>
      <c r="AD1737">
        <v>-1.107089440182</v>
      </c>
      <c r="AE1737">
        <v>-2.4658000000000002</v>
      </c>
      <c r="AF1737">
        <v>0.61859362137780105</v>
      </c>
      <c r="AG1737">
        <v>-1.107089440182</v>
      </c>
      <c r="AH1737">
        <v>43.797102204151798</v>
      </c>
      <c r="AI1737">
        <v>91.447852080754899</v>
      </c>
      <c r="AJ1737">
        <v>89.190803833717396</v>
      </c>
      <c r="AK1737">
        <v>43.815459219068899</v>
      </c>
      <c r="AL1737">
        <v>93.150502112849395</v>
      </c>
      <c r="AM1737">
        <v>90.989547975006701</v>
      </c>
      <c r="AN1737">
        <v>0.99999999650746096</v>
      </c>
    </row>
    <row r="1738" spans="1:40" x14ac:dyDescent="0.25">
      <c r="A1738" t="str">
        <f>"20190305135227415"</f>
        <v>20190305135227415</v>
      </c>
      <c r="B1738" t="str">
        <f>"1551765147411033"</f>
        <v>1551765147411033</v>
      </c>
      <c r="C1738" t="s">
        <v>40</v>
      </c>
      <c r="D1738">
        <v>5.016489</v>
      </c>
      <c r="E1738">
        <v>0.5463344</v>
      </c>
      <c r="F1738" t="s">
        <v>56</v>
      </c>
      <c r="G1738">
        <v>-256.55349999999999</v>
      </c>
      <c r="H1738" s="1">
        <v>1.950655E-6</v>
      </c>
      <c r="I1738">
        <v>283.75689999999997</v>
      </c>
      <c r="J1738">
        <v>-212.2869</v>
      </c>
      <c r="K1738">
        <v>1.1070599999999999</v>
      </c>
      <c r="L1738">
        <v>286.1404</v>
      </c>
      <c r="M1738">
        <v>-0.99763239999999997</v>
      </c>
      <c r="N1738">
        <v>-2.722164E-3</v>
      </c>
      <c r="O1738">
        <v>-6.8720249999999997E-2</v>
      </c>
      <c r="P1738">
        <v>-0.99434330000000004</v>
      </c>
      <c r="Q1738">
        <v>-5.8701139999999999E-2</v>
      </c>
      <c r="R1738">
        <v>-8.8521820000000001E-2</v>
      </c>
      <c r="S1738">
        <v>-2.9980769999999999</v>
      </c>
      <c r="T1738">
        <v>-7.4596640000000006E-2</v>
      </c>
      <c r="U1738">
        <v>-0.16156010000000001</v>
      </c>
      <c r="V1738">
        <v>-2.0104239999999999E-2</v>
      </c>
      <c r="W1738">
        <v>-5.5939719999999998E-2</v>
      </c>
      <c r="X1738">
        <v>0.99823170000000006</v>
      </c>
      <c r="Y1738">
        <v>1.491645E-2</v>
      </c>
      <c r="Z1738">
        <v>1.725184E-3</v>
      </c>
      <c r="AA1738">
        <v>0.99988719999999998</v>
      </c>
      <c r="AB1738">
        <v>22</v>
      </c>
      <c r="AC1738">
        <v>-44.266599999999897</v>
      </c>
      <c r="AD1738">
        <v>-1.107058049345</v>
      </c>
      <c r="AE1738">
        <v>-2.3835000000000202</v>
      </c>
      <c r="AF1738">
        <v>0.66374342393420604</v>
      </c>
      <c r="AG1738">
        <v>-1.107058049345</v>
      </c>
      <c r="AH1738">
        <v>44.298121048929097</v>
      </c>
      <c r="AI1738">
        <v>91.431425028212203</v>
      </c>
      <c r="AJ1738">
        <v>89.141569656311006</v>
      </c>
      <c r="AK1738">
        <v>44.316922967676902</v>
      </c>
      <c r="AL1738">
        <v>93.206783885782698</v>
      </c>
      <c r="AM1738">
        <v>91.153772615797607</v>
      </c>
      <c r="AN1738">
        <v>0.99999997981227196</v>
      </c>
    </row>
    <row r="1739" spans="1:40" x14ac:dyDescent="0.25">
      <c r="A1739" t="str">
        <f>"20190305135227435"</f>
        <v>20190305135227435</v>
      </c>
      <c r="B1739" t="str">
        <f>"1551765147431529"</f>
        <v>1551765147431529</v>
      </c>
      <c r="C1739" t="s">
        <v>40</v>
      </c>
      <c r="D1739">
        <v>5.0234480000000001</v>
      </c>
      <c r="E1739">
        <v>0.54061499999999996</v>
      </c>
      <c r="F1739" t="s">
        <v>41</v>
      </c>
      <c r="G1739">
        <v>-213.131</v>
      </c>
      <c r="H1739">
        <v>1.0563959999999999</v>
      </c>
      <c r="I1739">
        <v>286.16969999999998</v>
      </c>
      <c r="J1739">
        <v>-212.48779999999999</v>
      </c>
      <c r="K1739">
        <v>1.10704</v>
      </c>
      <c r="L1739">
        <v>286.12810000000002</v>
      </c>
      <c r="M1739">
        <v>-0.997726</v>
      </c>
      <c r="N1739">
        <v>-2.4192179999999999E-3</v>
      </c>
      <c r="O1739">
        <v>-6.7358020000000005E-2</v>
      </c>
      <c r="P1739">
        <v>-0.99420249999999999</v>
      </c>
      <c r="Q1739">
        <v>-5.9893120000000001E-2</v>
      </c>
      <c r="R1739">
        <v>-8.9298840000000004E-2</v>
      </c>
      <c r="S1739">
        <v>-3.0155639999999999</v>
      </c>
      <c r="T1739">
        <v>-0.18117539999999999</v>
      </c>
      <c r="U1739">
        <v>0.10345459999999999</v>
      </c>
      <c r="V1739">
        <v>-2.225094E-2</v>
      </c>
      <c r="W1739">
        <v>-5.7431219999999998E-2</v>
      </c>
      <c r="X1739">
        <v>0.99810149999999997</v>
      </c>
      <c r="Y1739">
        <v>0.101226</v>
      </c>
      <c r="Z1739">
        <v>7.0378990000000002E-3</v>
      </c>
      <c r="AA1739">
        <v>0.99483849999999996</v>
      </c>
      <c r="AB1739">
        <v>22</v>
      </c>
      <c r="AC1739">
        <v>-0.64319999999997801</v>
      </c>
      <c r="AD1739">
        <v>-5.0644000000000099E-2</v>
      </c>
      <c r="AE1739">
        <v>4.1599999999959801E-2</v>
      </c>
      <c r="AF1739">
        <v>8.4309812836210196E-2</v>
      </c>
      <c r="AG1739">
        <v>-5.0644000000000099E-2</v>
      </c>
      <c r="AH1739">
        <v>0.63501664682050596</v>
      </c>
      <c r="AI1739">
        <v>94.520315742043493</v>
      </c>
      <c r="AJ1739">
        <v>82.437191270265401</v>
      </c>
      <c r="AK1739">
        <v>0.64258781580079505</v>
      </c>
      <c r="AL1739">
        <v>93.292378023961405</v>
      </c>
      <c r="AM1739">
        <v>91.277098384914495</v>
      </c>
      <c r="AN1739">
        <v>1.00000002683191</v>
      </c>
    </row>
    <row r="1740" spans="1:40" x14ac:dyDescent="0.25">
      <c r="A1740" t="str">
        <f>"20190305135227459"</f>
        <v>20190305135227459</v>
      </c>
      <c r="B1740" t="str">
        <f>"1551765147451049"</f>
        <v>1551765147451049</v>
      </c>
      <c r="C1740" t="s">
        <v>40</v>
      </c>
      <c r="D1740">
        <v>5.0051259999999997</v>
      </c>
      <c r="E1740">
        <v>0.53786179999999995</v>
      </c>
      <c r="F1740" t="s">
        <v>41</v>
      </c>
      <c r="G1740">
        <v>-213.32300000000001</v>
      </c>
      <c r="H1740">
        <v>1.0476970000000001</v>
      </c>
      <c r="I1740">
        <v>286.14400000000001</v>
      </c>
      <c r="J1740">
        <v>-212.72929999999999</v>
      </c>
      <c r="K1740">
        <v>1.1070329999999999</v>
      </c>
      <c r="L1740">
        <v>286.11360000000002</v>
      </c>
      <c r="M1740">
        <v>-0.99782919999999997</v>
      </c>
      <c r="N1740">
        <v>-2.0967540000000002E-3</v>
      </c>
      <c r="O1740">
        <v>-6.5822480000000003E-2</v>
      </c>
      <c r="P1740">
        <v>-0.99422319999999997</v>
      </c>
      <c r="Q1740">
        <v>-6.0940800000000003E-2</v>
      </c>
      <c r="R1740">
        <v>-8.8354509999999997E-2</v>
      </c>
      <c r="S1740">
        <v>-3.0097499999999999</v>
      </c>
      <c r="T1740">
        <v>-0.2138758</v>
      </c>
      <c r="U1740">
        <v>5.7373050000000002E-2</v>
      </c>
      <c r="V1740">
        <v>-2.2839749999999999E-2</v>
      </c>
      <c r="W1740">
        <v>-5.8802149999999997E-2</v>
      </c>
      <c r="X1740">
        <v>0.99800840000000002</v>
      </c>
      <c r="Y1740">
        <v>8.4452879999999994E-2</v>
      </c>
      <c r="Z1740">
        <v>7.616668E-3</v>
      </c>
      <c r="AA1740">
        <v>0.99639840000000002</v>
      </c>
      <c r="AB1740">
        <v>22</v>
      </c>
      <c r="AC1740">
        <v>-0.59369999999998402</v>
      </c>
      <c r="AD1740">
        <v>-5.9336E-2</v>
      </c>
      <c r="AE1740">
        <v>3.03999999999859E-2</v>
      </c>
      <c r="AF1740">
        <v>6.8728262443142701E-2</v>
      </c>
      <c r="AG1740">
        <v>-5.9336E-2</v>
      </c>
      <c r="AH1740">
        <v>0.58458754656869305</v>
      </c>
      <c r="AI1740">
        <v>95.756331918861505</v>
      </c>
      <c r="AJ1740">
        <v>83.294682003859705</v>
      </c>
      <c r="AK1740">
        <v>0.591596935892722</v>
      </c>
      <c r="AL1740">
        <v>93.371059417818202</v>
      </c>
      <c r="AM1740">
        <v>91.311003888900899</v>
      </c>
      <c r="AN1740">
        <v>1.0000000567476199</v>
      </c>
    </row>
    <row r="1741" spans="1:40" x14ac:dyDescent="0.25">
      <c r="A1741" t="str">
        <f>"20190305135227482"</f>
        <v>20190305135227482</v>
      </c>
      <c r="B1741" t="str">
        <f>"1551765147471545"</f>
        <v>1551765147471545</v>
      </c>
      <c r="C1741" t="s">
        <v>40</v>
      </c>
      <c r="D1741">
        <v>5.0529169999999999</v>
      </c>
      <c r="E1741">
        <v>0.53660600000000003</v>
      </c>
      <c r="F1741" t="s">
        <v>41</v>
      </c>
      <c r="G1741">
        <v>-213.52379999999999</v>
      </c>
      <c r="H1741">
        <v>1.047652</v>
      </c>
      <c r="I1741">
        <v>286.12389999999999</v>
      </c>
      <c r="J1741">
        <v>-212.96199999999999</v>
      </c>
      <c r="K1741">
        <v>1.1070409999999999</v>
      </c>
      <c r="L1741">
        <v>286.09980000000002</v>
      </c>
      <c r="M1741">
        <v>-0.99791890000000005</v>
      </c>
      <c r="N1741">
        <v>-1.8194249999999999E-3</v>
      </c>
      <c r="O1741">
        <v>-6.4456349999999996E-2</v>
      </c>
      <c r="P1741">
        <v>-0.99427699999999997</v>
      </c>
      <c r="Q1741">
        <v>-6.1917199999999999E-2</v>
      </c>
      <c r="R1741">
        <v>-8.7061719999999995E-2</v>
      </c>
      <c r="S1741">
        <v>-3.0070950000000001</v>
      </c>
      <c r="T1741">
        <v>-0.22487280000000001</v>
      </c>
      <c r="U1741">
        <v>3.872681E-2</v>
      </c>
      <c r="V1741">
        <v>-2.290704E-2</v>
      </c>
      <c r="W1741">
        <v>-6.0058350000000003E-2</v>
      </c>
      <c r="X1741">
        <v>0.99793200000000004</v>
      </c>
      <c r="Y1741">
        <v>7.6910610000000004E-2</v>
      </c>
      <c r="Z1741">
        <v>7.6356669999999996E-3</v>
      </c>
      <c r="AA1741">
        <v>0.99700869999999997</v>
      </c>
      <c r="AB1741">
        <v>22</v>
      </c>
      <c r="AC1741">
        <v>-0.56179999999997599</v>
      </c>
      <c r="AD1741">
        <v>-5.93889999999999E-2</v>
      </c>
      <c r="AE1741">
        <v>2.4099999999975801E-2</v>
      </c>
      <c r="AF1741">
        <v>5.9596748874235203E-2</v>
      </c>
      <c r="AG1741">
        <v>-5.93889999999999E-2</v>
      </c>
      <c r="AH1741">
        <v>0.55291090348600203</v>
      </c>
      <c r="AI1741">
        <v>96.0956818962282</v>
      </c>
      <c r="AJ1741">
        <v>83.847996649851893</v>
      </c>
      <c r="AK1741">
        <v>0.55927568603604205</v>
      </c>
      <c r="AL1741">
        <v>93.443161991197599</v>
      </c>
      <c r="AM1741">
        <v>91.314965616053897</v>
      </c>
      <c r="AN1741">
        <v>1.00000000725514</v>
      </c>
    </row>
    <row r="1742" spans="1:40" x14ac:dyDescent="0.25">
      <c r="A1742" t="str">
        <f>"20190305135227502"</f>
        <v>20190305135227502</v>
      </c>
      <c r="B1742" t="str">
        <f>"1551765147491065"</f>
        <v>1551765147491065</v>
      </c>
      <c r="C1742" t="s">
        <v>40</v>
      </c>
      <c r="D1742">
        <v>5.0355220000000003</v>
      </c>
      <c r="E1742">
        <v>0.53534389999999998</v>
      </c>
      <c r="F1742" t="s">
        <v>41</v>
      </c>
      <c r="G1742">
        <v>-213.72710000000001</v>
      </c>
      <c r="H1742">
        <v>1.048197</v>
      </c>
      <c r="I1742">
        <v>286.10840000000002</v>
      </c>
      <c r="J1742">
        <v>-213.1764</v>
      </c>
      <c r="K1742">
        <v>1.107064</v>
      </c>
      <c r="L1742">
        <v>286.0872</v>
      </c>
      <c r="M1742">
        <v>-0.99799289999999996</v>
      </c>
      <c r="N1742">
        <v>-1.587544E-3</v>
      </c>
      <c r="O1742">
        <v>-6.3307299999999997E-2</v>
      </c>
      <c r="P1742">
        <v>-0.99426650000000005</v>
      </c>
      <c r="Q1742">
        <v>-6.3371159999999996E-2</v>
      </c>
      <c r="R1742">
        <v>-8.6130970000000001E-2</v>
      </c>
      <c r="S1742">
        <v>-3.0057369999999999</v>
      </c>
      <c r="T1742">
        <v>-0.2313499</v>
      </c>
      <c r="U1742">
        <v>3.2897950000000002E-2</v>
      </c>
      <c r="V1742">
        <v>-2.3121639999999999E-2</v>
      </c>
      <c r="W1742">
        <v>-6.1746799999999998E-2</v>
      </c>
      <c r="X1742">
        <v>0.99782400000000004</v>
      </c>
      <c r="Y1742">
        <v>7.3823730000000004E-2</v>
      </c>
      <c r="Z1742">
        <v>7.6584610000000001E-3</v>
      </c>
      <c r="AA1742">
        <v>0.99724190000000001</v>
      </c>
      <c r="AB1742">
        <v>23</v>
      </c>
      <c r="AC1742">
        <v>-0.55070000000000596</v>
      </c>
      <c r="AD1742">
        <v>-5.8866999999999899E-2</v>
      </c>
      <c r="AE1742">
        <v>2.1200000000021601E-2</v>
      </c>
      <c r="AF1742">
        <v>5.5388880506996502E-2</v>
      </c>
      <c r="AG1742">
        <v>-5.8866999999999899E-2</v>
      </c>
      <c r="AH1742">
        <v>0.54206843606103905</v>
      </c>
      <c r="AI1742">
        <v>96.166004440208695</v>
      </c>
      <c r="AJ1742">
        <v>84.165731342684197</v>
      </c>
      <c r="AK1742">
        <v>0.548061530438398</v>
      </c>
      <c r="AL1742">
        <v>93.540082977537097</v>
      </c>
      <c r="AM1742">
        <v>91.327423828292197</v>
      </c>
      <c r="AN1742">
        <v>1.00000000626126</v>
      </c>
    </row>
    <row r="1743" spans="1:40" x14ac:dyDescent="0.25">
      <c r="A1743" t="str">
        <f>"20190305135227525"</f>
        <v>20190305135227525</v>
      </c>
      <c r="B1743" t="str">
        <f>"1551765147511561"</f>
        <v>1551765147511561</v>
      </c>
      <c r="C1743" t="s">
        <v>40</v>
      </c>
      <c r="D1743">
        <v>4.9053199999999997</v>
      </c>
      <c r="E1743">
        <v>0.53400619999999999</v>
      </c>
      <c r="F1743" t="s">
        <v>41</v>
      </c>
      <c r="G1743">
        <v>-213.93109999999999</v>
      </c>
      <c r="H1743">
        <v>1.046454</v>
      </c>
      <c r="I1743">
        <v>286.09390000000002</v>
      </c>
      <c r="J1743">
        <v>-213.4051</v>
      </c>
      <c r="K1743">
        <v>1.107086</v>
      </c>
      <c r="L1743">
        <v>286.07400000000001</v>
      </c>
      <c r="M1743">
        <v>-0.99806309999999998</v>
      </c>
      <c r="N1743">
        <v>-1.363672E-3</v>
      </c>
      <c r="O1743">
        <v>-6.2196399999999999E-2</v>
      </c>
      <c r="P1743">
        <v>-0.9942242</v>
      </c>
      <c r="Q1743">
        <v>-6.4820219999999998E-2</v>
      </c>
      <c r="R1743">
        <v>-8.5539329999999997E-2</v>
      </c>
      <c r="S1743">
        <v>-3.0041660000000001</v>
      </c>
      <c r="T1743">
        <v>-0.24134249999999999</v>
      </c>
      <c r="U1743">
        <v>2.5909419999999999E-2</v>
      </c>
      <c r="V1743">
        <v>-2.3636819999999999E-2</v>
      </c>
      <c r="W1743">
        <v>-6.3422389999999995E-2</v>
      </c>
      <c r="X1743">
        <v>0.9977068</v>
      </c>
      <c r="Y1743">
        <v>7.037757E-2</v>
      </c>
      <c r="Z1743">
        <v>7.772068E-3</v>
      </c>
      <c r="AA1743">
        <v>0.99749019999999999</v>
      </c>
      <c r="AB1743">
        <v>23</v>
      </c>
      <c r="AC1743">
        <v>-0.52599999999998204</v>
      </c>
      <c r="AD1743">
        <v>-6.0631999999999998E-2</v>
      </c>
      <c r="AE1743">
        <v>1.9900000000006898E-2</v>
      </c>
      <c r="AF1743">
        <v>5.1888342118573197E-2</v>
      </c>
      <c r="AG1743">
        <v>-6.0631999999999998E-2</v>
      </c>
      <c r="AH1743">
        <v>0.51688578582146805</v>
      </c>
      <c r="AI1743">
        <v>96.657207175042103</v>
      </c>
      <c r="AJ1743">
        <v>84.267483546292098</v>
      </c>
      <c r="AK1743">
        <v>0.52301009077845795</v>
      </c>
      <c r="AL1743">
        <v>93.636275893923695</v>
      </c>
      <c r="AM1743">
        <v>91.357148952024303</v>
      </c>
      <c r="AN1743">
        <v>0.99999997878963198</v>
      </c>
    </row>
    <row r="1744" spans="1:40" x14ac:dyDescent="0.25">
      <c r="A1744" t="str">
        <f>"20190305135227538"</f>
        <v>20190305135227538</v>
      </c>
      <c r="B1744" t="str">
        <f>"1551765147531081"</f>
        <v>1551765147531081</v>
      </c>
      <c r="C1744" t="s">
        <v>40</v>
      </c>
      <c r="D1744">
        <v>4.9680739999999997</v>
      </c>
      <c r="E1744">
        <v>0.53249630000000003</v>
      </c>
      <c r="F1744" t="s">
        <v>41</v>
      </c>
      <c r="G1744">
        <v>-214.13730000000001</v>
      </c>
      <c r="H1744">
        <v>1.0455190000000001</v>
      </c>
      <c r="I1744">
        <v>286.07850000000002</v>
      </c>
      <c r="J1744">
        <v>-213.55330000000001</v>
      </c>
      <c r="K1744">
        <v>1.107108</v>
      </c>
      <c r="L1744">
        <v>286.06549999999999</v>
      </c>
      <c r="M1744">
        <v>-0.99810319999999997</v>
      </c>
      <c r="N1744">
        <v>-1.234782E-3</v>
      </c>
      <c r="O1744">
        <v>-6.1552429999999998E-2</v>
      </c>
      <c r="P1744">
        <v>-0.99421440000000005</v>
      </c>
      <c r="Q1744">
        <v>-6.5027119999999994E-2</v>
      </c>
      <c r="R1744">
        <v>-8.5497080000000003E-2</v>
      </c>
      <c r="S1744">
        <v>-3.002472</v>
      </c>
      <c r="T1744">
        <v>-0.25258510000000001</v>
      </c>
      <c r="U1744">
        <v>1.7700199999999999E-2</v>
      </c>
      <c r="V1744">
        <v>-2.4232400000000001E-2</v>
      </c>
      <c r="W1744">
        <v>-6.3759549999999998E-2</v>
      </c>
      <c r="X1744">
        <v>0.99767110000000003</v>
      </c>
      <c r="Y1744">
        <v>6.6984329999999995E-2</v>
      </c>
      <c r="Z1744">
        <v>7.9448309999999994E-3</v>
      </c>
      <c r="AA1744">
        <v>0.99772240000000001</v>
      </c>
      <c r="AB1744">
        <v>23</v>
      </c>
      <c r="AC1744">
        <v>-0.58400000000000296</v>
      </c>
      <c r="AD1744">
        <v>-6.1588999999999797E-2</v>
      </c>
      <c r="AE1744">
        <v>1.3000000000033599E-2</v>
      </c>
      <c r="AF1744">
        <v>4.8384133543033898E-2</v>
      </c>
      <c r="AG1744">
        <v>-6.1588999999999797E-2</v>
      </c>
      <c r="AH1744">
        <v>0.57569281499338398</v>
      </c>
      <c r="AI1744">
        <v>96.085122607883207</v>
      </c>
      <c r="AJ1744">
        <v>85.1958633603154</v>
      </c>
      <c r="AK1744">
        <v>0.58099608134196301</v>
      </c>
      <c r="AL1744">
        <v>93.655632632337102</v>
      </c>
      <c r="AM1744">
        <v>91.391381699452793</v>
      </c>
      <c r="AN1744">
        <v>1.00000005660058</v>
      </c>
    </row>
    <row r="1745" spans="1:40" x14ac:dyDescent="0.25">
      <c r="A1745" t="str">
        <f>"20190305135227560"</f>
        <v>20190305135227560</v>
      </c>
      <c r="B1745" t="str">
        <f>"1551765147551577"</f>
        <v>1551765147551577</v>
      </c>
      <c r="C1745" t="s">
        <v>40</v>
      </c>
      <c r="D1745">
        <v>4.9420539999999997</v>
      </c>
      <c r="E1745">
        <v>0.51719870000000001</v>
      </c>
      <c r="F1745" t="s">
        <v>41</v>
      </c>
      <c r="G1745">
        <v>-214.3442</v>
      </c>
      <c r="H1745">
        <v>1.041919</v>
      </c>
      <c r="I1745">
        <v>286.06700000000001</v>
      </c>
      <c r="J1745">
        <v>-213.77430000000001</v>
      </c>
      <c r="K1745">
        <v>1.107148</v>
      </c>
      <c r="L1745">
        <v>286.05290000000002</v>
      </c>
      <c r="M1745">
        <v>-0.99815770000000004</v>
      </c>
      <c r="N1745">
        <v>-1.058399E-3</v>
      </c>
      <c r="O1745">
        <v>-6.0662540000000001E-2</v>
      </c>
      <c r="P1745">
        <v>-0.99408129999999995</v>
      </c>
      <c r="Q1745">
        <v>-6.6585610000000003E-2</v>
      </c>
      <c r="R1745">
        <v>-8.5841210000000001E-2</v>
      </c>
      <c r="S1745">
        <v>-3.0017399999999999</v>
      </c>
      <c r="T1745">
        <v>-0.2475028</v>
      </c>
      <c r="U1745">
        <v>5.4016109999999997E-3</v>
      </c>
      <c r="V1745">
        <v>-2.5466869999999999E-2</v>
      </c>
      <c r="W1745">
        <v>-6.5496120000000005E-2</v>
      </c>
      <c r="X1745">
        <v>0.99752779999999996</v>
      </c>
      <c r="Y1745">
        <v>6.2044969999999998E-2</v>
      </c>
      <c r="Z1745">
        <v>7.5134319999999996E-3</v>
      </c>
      <c r="AA1745">
        <v>0.99804510000000002</v>
      </c>
      <c r="AB1745">
        <v>23</v>
      </c>
      <c r="AC1745">
        <v>-0.56989999999998897</v>
      </c>
      <c r="AD1745">
        <v>-6.5228999999999898E-2</v>
      </c>
      <c r="AE1745">
        <v>1.4099999999984901E-2</v>
      </c>
      <c r="AF1745">
        <v>4.80169796142896E-2</v>
      </c>
      <c r="AG1745">
        <v>-6.5228999999999898E-2</v>
      </c>
      <c r="AH1745">
        <v>0.56065478832873705</v>
      </c>
      <c r="AI1745">
        <v>96.612212880911301</v>
      </c>
      <c r="AJ1745">
        <v>85.104878803342899</v>
      </c>
      <c r="AK1745">
        <v>0.56647528140971803</v>
      </c>
      <c r="AL1745">
        <v>93.755339398889703</v>
      </c>
      <c r="AM1745">
        <v>91.462442729507501</v>
      </c>
      <c r="AN1745">
        <v>1.00000000748774</v>
      </c>
    </row>
    <row r="1746" spans="1:40" x14ac:dyDescent="0.25">
      <c r="A1746" t="str">
        <f>"20190305135227574"</f>
        <v>20190305135227574</v>
      </c>
      <c r="B1746" t="str">
        <f>"1551765147561337"</f>
        <v>1551765147561337</v>
      </c>
      <c r="C1746" t="s">
        <v>40</v>
      </c>
      <c r="D1746">
        <v>4.834543</v>
      </c>
      <c r="E1746">
        <v>0.51603390000000005</v>
      </c>
      <c r="F1746" t="s">
        <v>56</v>
      </c>
      <c r="G1746">
        <v>-240.3134</v>
      </c>
      <c r="H1746" s="1">
        <v>-1.370021E-6</v>
      </c>
      <c r="I1746">
        <v>284.94229999999999</v>
      </c>
      <c r="J1746">
        <v>-213.91390000000001</v>
      </c>
      <c r="K1746">
        <v>1.107167</v>
      </c>
      <c r="L1746">
        <v>286.04500000000002</v>
      </c>
      <c r="M1746">
        <v>-0.99818899999999999</v>
      </c>
      <c r="N1746">
        <v>-9.5881489999999998E-4</v>
      </c>
      <c r="O1746">
        <v>-6.0148859999999998E-2</v>
      </c>
      <c r="P1746">
        <v>-0.99409080000000005</v>
      </c>
      <c r="Q1746">
        <v>-6.6706280000000007E-2</v>
      </c>
      <c r="R1746">
        <v>-8.5637679999999994E-2</v>
      </c>
      <c r="S1746">
        <v>-2.9986419999999998</v>
      </c>
      <c r="T1746">
        <v>-0.12509629999999999</v>
      </c>
      <c r="U1746">
        <v>-0.1254883</v>
      </c>
      <c r="V1746">
        <v>-2.5771390000000002E-2</v>
      </c>
      <c r="W1746">
        <v>-6.571784E-2</v>
      </c>
      <c r="X1746">
        <v>0.99750539999999999</v>
      </c>
      <c r="Y1746">
        <v>1.8294210000000002E-2</v>
      </c>
      <c r="Z1746">
        <v>2.837535E-3</v>
      </c>
      <c r="AA1746">
        <v>0.99982859999999996</v>
      </c>
      <c r="AB1746">
        <v>23</v>
      </c>
      <c r="AC1746">
        <v>-26.3994999999999</v>
      </c>
      <c r="AD1746">
        <v>-1.107168370021</v>
      </c>
      <c r="AE1746">
        <v>-1.10270000000002</v>
      </c>
      <c r="AF1746">
        <v>0.48634309391073199</v>
      </c>
      <c r="AG1746">
        <v>-1.107168370021</v>
      </c>
      <c r="AH1746">
        <v>26.371723800378199</v>
      </c>
      <c r="AI1746">
        <v>92.403638022291105</v>
      </c>
      <c r="AJ1746">
        <v>88.943480202122302</v>
      </c>
      <c r="AK1746">
        <v>26.399434986529599</v>
      </c>
      <c r="AL1746">
        <v>93.768070434195707</v>
      </c>
      <c r="AM1746">
        <v>91.479955370284202</v>
      </c>
      <c r="AN1746">
        <v>1.0000000110329701</v>
      </c>
    </row>
    <row r="1747" spans="1:40" x14ac:dyDescent="0.25">
      <c r="A1747" t="str">
        <f>"20190305135227593"</f>
        <v>20190305135227593</v>
      </c>
      <c r="B1747" t="str">
        <f>"1551765147580857"</f>
        <v>1551765147580857</v>
      </c>
      <c r="C1747" t="s">
        <v>40</v>
      </c>
      <c r="D1747">
        <v>4.9883860000000002</v>
      </c>
      <c r="E1747">
        <v>0.51577399999999995</v>
      </c>
      <c r="F1747" t="s">
        <v>56</v>
      </c>
      <c r="G1747">
        <v>-237.63810000000001</v>
      </c>
      <c r="H1747" s="1">
        <v>2.511491E-6</v>
      </c>
      <c r="I1747">
        <v>284.99020000000002</v>
      </c>
      <c r="J1747">
        <v>-214.11840000000001</v>
      </c>
      <c r="K1747">
        <v>1.1071949999999999</v>
      </c>
      <c r="L1747">
        <v>286.03339999999997</v>
      </c>
      <c r="M1747">
        <v>-0.99823119999999999</v>
      </c>
      <c r="N1747">
        <v>-8.2667449999999996E-4</v>
      </c>
      <c r="O1747">
        <v>-5.9445779999999997E-2</v>
      </c>
      <c r="P1747">
        <v>-0.99406150000000004</v>
      </c>
      <c r="Q1747">
        <v>-6.6679749999999996E-2</v>
      </c>
      <c r="R1747">
        <v>-8.5997130000000005E-2</v>
      </c>
      <c r="S1747">
        <v>-2.9969640000000002</v>
      </c>
      <c r="T1747">
        <v>-0.13986279999999901</v>
      </c>
      <c r="U1747">
        <v>-0.13323969999999999</v>
      </c>
      <c r="V1747">
        <v>-2.6828080000000001E-2</v>
      </c>
      <c r="W1747">
        <v>-6.5824430000000003E-2</v>
      </c>
      <c r="X1747">
        <v>0.99747050000000004</v>
      </c>
      <c r="Y1747">
        <v>1.4972559999999999E-2</v>
      </c>
      <c r="Z1747">
        <v>3.0752829999999998E-3</v>
      </c>
      <c r="AA1747">
        <v>0.99988319999999997</v>
      </c>
      <c r="AB1747">
        <v>24</v>
      </c>
      <c r="AC1747">
        <v>-23.5197</v>
      </c>
      <c r="AD1747">
        <v>-1.1071924885089901</v>
      </c>
      <c r="AE1747">
        <v>-1.0431999999999499</v>
      </c>
      <c r="AF1747">
        <v>0.356004862376188</v>
      </c>
      <c r="AG1747">
        <v>-1.1071924885089901</v>
      </c>
      <c r="AH1747">
        <v>23.488170946118998</v>
      </c>
      <c r="AI1747">
        <v>92.698518488355504</v>
      </c>
      <c r="AJ1747">
        <v>89.131647398205502</v>
      </c>
      <c r="AK1747">
        <v>23.5169468482359</v>
      </c>
      <c r="AL1747">
        <v>93.7741908855985</v>
      </c>
      <c r="AM1747">
        <v>91.540662367547398</v>
      </c>
      <c r="AN1747">
        <v>0.99999999991578004</v>
      </c>
    </row>
    <row r="1748" spans="1:40" x14ac:dyDescent="0.25">
      <c r="A1748" t="str">
        <f>"20190305135227615"</f>
        <v>20190305135227615</v>
      </c>
      <c r="B1748" t="str">
        <f>"1551765147611113"</f>
        <v>1551765147611113</v>
      </c>
      <c r="C1748" t="s">
        <v>40</v>
      </c>
      <c r="D1748">
        <v>4.9175440000000004</v>
      </c>
      <c r="E1748">
        <v>0.51643079999999997</v>
      </c>
      <c r="F1748" t="s">
        <v>56</v>
      </c>
      <c r="G1748">
        <v>-240.72200000000001</v>
      </c>
      <c r="H1748" s="1">
        <v>-1.1525500000000001E-6</v>
      </c>
      <c r="I1748">
        <v>284.81360000000001</v>
      </c>
      <c r="J1748">
        <v>-214.3631</v>
      </c>
      <c r="K1748">
        <v>1.1072139999999999</v>
      </c>
      <c r="L1748">
        <v>286.0197</v>
      </c>
      <c r="M1748">
        <v>-0.99827739999999998</v>
      </c>
      <c r="N1748">
        <v>-6.8969880000000004E-4</v>
      </c>
      <c r="O1748">
        <v>-5.8667110000000001E-2</v>
      </c>
      <c r="P1748">
        <v>-0.99410580000000004</v>
      </c>
      <c r="Q1748">
        <v>-6.5921690000000005E-2</v>
      </c>
      <c r="R1748">
        <v>-8.6072679999999999E-2</v>
      </c>
      <c r="S1748">
        <v>-2.997681</v>
      </c>
      <c r="T1748">
        <v>-0.1247581</v>
      </c>
      <c r="U1748">
        <v>-0.1374512</v>
      </c>
      <c r="V1748">
        <v>-2.7672490000000001E-2</v>
      </c>
      <c r="W1748">
        <v>-6.5204129999999999E-2</v>
      </c>
      <c r="X1748">
        <v>0.99748820000000005</v>
      </c>
      <c r="Y1748">
        <v>1.2819870000000001E-2</v>
      </c>
      <c r="Z1748">
        <v>2.6678980000000001E-3</v>
      </c>
      <c r="AA1748">
        <v>0.99991430000000003</v>
      </c>
      <c r="AB1748">
        <v>24</v>
      </c>
      <c r="AC1748">
        <v>-26.358899999999998</v>
      </c>
      <c r="AD1748">
        <v>-1.10721515255</v>
      </c>
      <c r="AE1748">
        <v>-1.20609999999999</v>
      </c>
      <c r="AF1748">
        <v>0.34177639503180801</v>
      </c>
      <c r="AG1748">
        <v>-1.10721515255</v>
      </c>
      <c r="AH1748">
        <v>26.337883078450101</v>
      </c>
      <c r="AI1748">
        <v>92.407030677114406</v>
      </c>
      <c r="AJ1748">
        <v>89.256536835068701</v>
      </c>
      <c r="AK1748">
        <v>26.363361347755799</v>
      </c>
      <c r="AL1748">
        <v>93.738573692188297</v>
      </c>
      <c r="AM1748">
        <v>91.589101826501903</v>
      </c>
      <c r="AN1748">
        <v>1.00000002720554</v>
      </c>
    </row>
    <row r="1749" spans="1:40" x14ac:dyDescent="0.25">
      <c r="A1749" t="str">
        <f>"20190305135227638"</f>
        <v>20190305135227638</v>
      </c>
      <c r="B1749" t="str">
        <f>"1551765147631609"</f>
        <v>1551765147631609</v>
      </c>
      <c r="C1749" t="s">
        <v>40</v>
      </c>
      <c r="D1749">
        <v>4.9236930000000001</v>
      </c>
      <c r="E1749">
        <v>0.51731079999999996</v>
      </c>
      <c r="F1749" t="s">
        <v>56</v>
      </c>
      <c r="G1749">
        <v>-242.68090000000001</v>
      </c>
      <c r="H1749" s="1">
        <v>-1.101274E-7</v>
      </c>
      <c r="I1749">
        <v>284.76659999999998</v>
      </c>
      <c r="J1749">
        <v>-214.6053</v>
      </c>
      <c r="K1749">
        <v>1.107221</v>
      </c>
      <c r="L1749">
        <v>286.00630000000001</v>
      </c>
      <c r="M1749">
        <v>-0.99832010000000004</v>
      </c>
      <c r="N1749">
        <v>-5.7400959999999999E-4</v>
      </c>
      <c r="O1749">
        <v>-5.7936370000000001E-2</v>
      </c>
      <c r="P1749">
        <v>-0.99413289999999999</v>
      </c>
      <c r="Q1749">
        <v>-6.5160620000000002E-2</v>
      </c>
      <c r="R1749">
        <v>-8.6337720000000007E-2</v>
      </c>
      <c r="S1749">
        <v>-2.998535</v>
      </c>
      <c r="T1749">
        <v>-0.1172411</v>
      </c>
      <c r="U1749">
        <v>-0.13269039999999999</v>
      </c>
      <c r="V1749">
        <v>-2.8663009999999999E-2</v>
      </c>
      <c r="W1749">
        <v>-6.4558420000000005E-2</v>
      </c>
      <c r="X1749">
        <v>0.99750220000000001</v>
      </c>
      <c r="Y1749">
        <v>1.3692090000000001E-2</v>
      </c>
      <c r="Z1749">
        <v>2.4997600000000002E-3</v>
      </c>
      <c r="AA1749">
        <v>0.99990310000000004</v>
      </c>
      <c r="AB1749">
        <v>24</v>
      </c>
      <c r="AC1749">
        <v>-28.075600000000001</v>
      </c>
      <c r="AD1749">
        <v>-1.1072211101273901</v>
      </c>
      <c r="AE1749">
        <v>-1.23970000000002</v>
      </c>
      <c r="AF1749">
        <v>0.38837812650084402</v>
      </c>
      <c r="AG1749">
        <v>-1.1072211101273901</v>
      </c>
      <c r="AH1749">
        <v>28.0567131689345</v>
      </c>
      <c r="AI1749">
        <v>92.259713255756594</v>
      </c>
      <c r="AJ1749">
        <v>89.206927546629899</v>
      </c>
      <c r="AK1749">
        <v>28.081238042502999</v>
      </c>
      <c r="AL1749">
        <v>93.701499225153896</v>
      </c>
      <c r="AM1749">
        <v>91.645928925577707</v>
      </c>
      <c r="AN1749">
        <v>0.99999999836999798</v>
      </c>
    </row>
    <row r="1750" spans="1:40" x14ac:dyDescent="0.25">
      <c r="A1750" t="str">
        <f>"20190305135227660"</f>
        <v>20190305135227660</v>
      </c>
      <c r="B1750" t="str">
        <f>"1551765147651129"</f>
        <v>1551765147651129</v>
      </c>
      <c r="C1750" t="s">
        <v>40</v>
      </c>
      <c r="D1750">
        <v>4.9132160000000002</v>
      </c>
      <c r="E1750">
        <v>0.51784779999999997</v>
      </c>
      <c r="F1750" t="s">
        <v>56</v>
      </c>
      <c r="G1750">
        <v>-245.17910000000001</v>
      </c>
      <c r="H1750" s="1">
        <v>1.219279E-6</v>
      </c>
      <c r="I1750">
        <v>284.71359999999999</v>
      </c>
      <c r="J1750">
        <v>-214.8518</v>
      </c>
      <c r="K1750">
        <v>1.1072029999999999</v>
      </c>
      <c r="L1750">
        <v>285.99279999999999</v>
      </c>
      <c r="M1750">
        <v>-0.99836179999999997</v>
      </c>
      <c r="N1750">
        <v>-4.7442369999999999E-4</v>
      </c>
      <c r="O1750">
        <v>-5.7214109999999999E-2</v>
      </c>
      <c r="P1750">
        <v>-0.99422109999999997</v>
      </c>
      <c r="Q1750">
        <v>-6.4186499999999994E-2</v>
      </c>
      <c r="R1750">
        <v>-8.6050379999999996E-2</v>
      </c>
      <c r="S1750">
        <v>-2.9995569999999998</v>
      </c>
      <c r="T1750">
        <v>-0.1086279</v>
      </c>
      <c r="U1750">
        <v>-0.1268311</v>
      </c>
      <c r="V1750">
        <v>-2.9091780000000001E-2</v>
      </c>
      <c r="W1750">
        <v>-6.3683199999999995E-2</v>
      </c>
      <c r="X1750">
        <v>0.99754609999999999</v>
      </c>
      <c r="Y1750">
        <v>1.4940419999999999E-2</v>
      </c>
      <c r="Z1750">
        <v>2.3156380000000001E-3</v>
      </c>
      <c r="AA1750">
        <v>0.99988569999999999</v>
      </c>
      <c r="AB1750">
        <v>24</v>
      </c>
      <c r="AC1750">
        <v>-30.327300000000001</v>
      </c>
      <c r="AD1750">
        <v>-1.107201780721</v>
      </c>
      <c r="AE1750">
        <v>-1.2791999999999999</v>
      </c>
      <c r="AF1750">
        <v>0.45743650548605602</v>
      </c>
      <c r="AG1750">
        <v>-1.107201780721</v>
      </c>
      <c r="AH1750">
        <v>30.310482059757899</v>
      </c>
      <c r="AI1750">
        <v>92.091770829500902</v>
      </c>
      <c r="AJ1750">
        <v>89.135375294077804</v>
      </c>
      <c r="AK1750">
        <v>30.334146875010099</v>
      </c>
      <c r="AL1750">
        <v>93.651249209664996</v>
      </c>
      <c r="AM1750">
        <v>91.670463054391703</v>
      </c>
      <c r="AN1750">
        <v>1.0000000516255001</v>
      </c>
    </row>
    <row r="1751" spans="1:40" x14ac:dyDescent="0.25">
      <c r="A1751" t="str">
        <f>"20190305135227683"</f>
        <v>20190305135227683</v>
      </c>
      <c r="B1751" t="str">
        <f>"1551765147671625"</f>
        <v>1551765147671625</v>
      </c>
      <c r="C1751" t="s">
        <v>40</v>
      </c>
      <c r="D1751">
        <v>4.9425980000000003</v>
      </c>
      <c r="E1751">
        <v>0.51792119999999997</v>
      </c>
      <c r="F1751" t="s">
        <v>56</v>
      </c>
      <c r="G1751">
        <v>-247.8389</v>
      </c>
      <c r="H1751" s="1">
        <v>2.6346690000000002E-6</v>
      </c>
      <c r="I1751">
        <v>284.65280000000001</v>
      </c>
      <c r="J1751">
        <v>-215.1009</v>
      </c>
      <c r="K1751">
        <v>1.1071850000000001</v>
      </c>
      <c r="L1751">
        <v>285.97930000000002</v>
      </c>
      <c r="M1751">
        <v>-0.99840309999999999</v>
      </c>
      <c r="N1751">
        <v>-3.8980980000000002E-4</v>
      </c>
      <c r="O1751">
        <v>-5.6491020000000003E-2</v>
      </c>
      <c r="P1751">
        <v>-0.99436029999999997</v>
      </c>
      <c r="Q1751">
        <v>-6.3235159999999999E-2</v>
      </c>
      <c r="R1751">
        <v>-8.5142190000000006E-2</v>
      </c>
      <c r="S1751">
        <v>-3.0003660000000001</v>
      </c>
      <c r="T1751">
        <v>-0.1007062</v>
      </c>
      <c r="U1751">
        <v>-0.1218872</v>
      </c>
      <c r="V1751">
        <v>-2.8900249999999999E-2</v>
      </c>
      <c r="W1751">
        <v>-6.2815780000000002E-2</v>
      </c>
      <c r="X1751">
        <v>0.99760660000000001</v>
      </c>
      <c r="Y1751">
        <v>1.5878650000000001E-2</v>
      </c>
      <c r="Z1751">
        <v>2.1408579999999998E-3</v>
      </c>
      <c r="AA1751">
        <v>0.99987159999999997</v>
      </c>
      <c r="AB1751">
        <v>24</v>
      </c>
      <c r="AC1751">
        <v>-32.738</v>
      </c>
      <c r="AD1751">
        <v>-1.107182365331</v>
      </c>
      <c r="AE1751">
        <v>-1.32650000000001</v>
      </c>
      <c r="AF1751">
        <v>0.52442247532500796</v>
      </c>
      <c r="AG1751">
        <v>-1.107182365331</v>
      </c>
      <c r="AH1751">
        <v>32.723290095803797</v>
      </c>
      <c r="AI1751">
        <v>91.937597059211001</v>
      </c>
      <c r="AJ1751">
        <v>89.081858136247902</v>
      </c>
      <c r="AK1751">
        <v>32.746214841060002</v>
      </c>
      <c r="AL1751">
        <v>93.601450226134801</v>
      </c>
      <c r="AM1751">
        <v>91.659370903040099</v>
      </c>
      <c r="AN1751">
        <v>0.99999998751531505</v>
      </c>
    </row>
    <row r="1752" spans="1:40" x14ac:dyDescent="0.25">
      <c r="A1752" t="str">
        <f>"20190305135227703"</f>
        <v>20190305135227703</v>
      </c>
      <c r="B1752" t="str">
        <f>"1551765147691145"</f>
        <v>1551765147691145</v>
      </c>
      <c r="C1752" t="s">
        <v>40</v>
      </c>
      <c r="D1752">
        <v>4.9070210000000003</v>
      </c>
      <c r="E1752">
        <v>0.51800020000000002</v>
      </c>
      <c r="F1752" t="s">
        <v>56</v>
      </c>
      <c r="G1752">
        <v>-248.7672</v>
      </c>
      <c r="H1752" s="1">
        <v>3.1286610000000002E-6</v>
      </c>
      <c r="I1752">
        <v>284.65109999999999</v>
      </c>
      <c r="J1752">
        <v>-215.32769999999999</v>
      </c>
      <c r="K1752">
        <v>1.107151</v>
      </c>
      <c r="L1752">
        <v>285.96710000000002</v>
      </c>
      <c r="M1752">
        <v>-0.9984402</v>
      </c>
      <c r="N1752">
        <v>-3.2560230000000003E-4</v>
      </c>
      <c r="O1752">
        <v>-5.5830640000000001E-2</v>
      </c>
      <c r="P1752">
        <v>-0.99446250000000003</v>
      </c>
      <c r="Q1752">
        <v>-6.3152280000000005E-2</v>
      </c>
      <c r="R1752">
        <v>-8.4001210000000007E-2</v>
      </c>
      <c r="S1752">
        <v>-3.0005950000000001</v>
      </c>
      <c r="T1752">
        <v>-9.8680619999999997E-2</v>
      </c>
      <c r="U1752">
        <v>-0.1183777</v>
      </c>
      <c r="V1752">
        <v>-2.841697E-2</v>
      </c>
      <c r="W1752">
        <v>-6.2796550000000007E-2</v>
      </c>
      <c r="X1752">
        <v>0.99762169999999895</v>
      </c>
      <c r="Y1752">
        <v>1.6389560000000001E-2</v>
      </c>
      <c r="Z1752">
        <v>2.0874890000000001E-3</v>
      </c>
      <c r="AA1752">
        <v>0.99986350000000002</v>
      </c>
      <c r="AB1752">
        <v>25</v>
      </c>
      <c r="AC1752">
        <v>-33.439500000000002</v>
      </c>
      <c r="AD1752">
        <v>-1.1071478713389999</v>
      </c>
      <c r="AE1752">
        <v>-1.31600000000003</v>
      </c>
      <c r="AF1752">
        <v>0.55239680892897802</v>
      </c>
      <c r="AG1752">
        <v>-1.1071478713389999</v>
      </c>
      <c r="AH1752">
        <v>33.424232828954501</v>
      </c>
      <c r="AI1752">
        <v>91.896919028622605</v>
      </c>
      <c r="AJ1752">
        <v>89.053168256285602</v>
      </c>
      <c r="AK1752">
        <v>33.447126316735897</v>
      </c>
      <c r="AL1752">
        <v>93.600346226834901</v>
      </c>
      <c r="AM1752">
        <v>91.631612771479595</v>
      </c>
      <c r="AN1752">
        <v>0.99999999359338598</v>
      </c>
    </row>
    <row r="1753" spans="1:40" x14ac:dyDescent="0.25">
      <c r="A1753" t="str">
        <f>"20190305135227718"</f>
        <v>20190305135227718</v>
      </c>
      <c r="B1753" t="str">
        <f>"1551765147711642"</f>
        <v>1551765147711642</v>
      </c>
      <c r="C1753" t="s">
        <v>40</v>
      </c>
      <c r="D1753">
        <v>4.9233570000000002</v>
      </c>
      <c r="E1753">
        <v>0.51790209999999903</v>
      </c>
      <c r="F1753" t="s">
        <v>56</v>
      </c>
      <c r="G1753">
        <v>-248.43770000000001</v>
      </c>
      <c r="H1753" s="1">
        <v>2.953317E-6</v>
      </c>
      <c r="I1753">
        <v>284.70699999999999</v>
      </c>
      <c r="J1753">
        <v>-215.499</v>
      </c>
      <c r="K1753">
        <v>1.1071200000000001</v>
      </c>
      <c r="L1753">
        <v>285.9581</v>
      </c>
      <c r="M1753">
        <v>-0.99846820000000003</v>
      </c>
      <c r="N1753">
        <v>-2.8456599999999999E-4</v>
      </c>
      <c r="O1753">
        <v>-5.5328679999999998E-2</v>
      </c>
      <c r="P1753">
        <v>-0.9944885</v>
      </c>
      <c r="Q1753">
        <v>-6.395845E-2</v>
      </c>
      <c r="R1753">
        <v>-8.3080249999999994E-2</v>
      </c>
      <c r="S1753">
        <v>-3.0006870000000001</v>
      </c>
      <c r="T1753">
        <v>-0.1003386</v>
      </c>
      <c r="U1753">
        <v>-0.1141968</v>
      </c>
      <c r="V1753">
        <v>-2.8000170000000001E-2</v>
      </c>
      <c r="W1753">
        <v>-6.3643329999999998E-2</v>
      </c>
      <c r="X1753">
        <v>0.99757980000000002</v>
      </c>
      <c r="Y1753">
        <v>1.7277520000000001E-2</v>
      </c>
      <c r="Z1753">
        <v>2.1231280000000002E-3</v>
      </c>
      <c r="AA1753">
        <v>0.99984850000000003</v>
      </c>
      <c r="AB1753">
        <v>25</v>
      </c>
      <c r="AC1753">
        <v>-32.938699999999898</v>
      </c>
      <c r="AD1753">
        <v>-1.107117046683</v>
      </c>
      <c r="AE1753">
        <v>-1.2511000000000001</v>
      </c>
      <c r="AF1753">
        <v>0.57262524501076495</v>
      </c>
      <c r="AG1753">
        <v>-1.107117046683</v>
      </c>
      <c r="AH1753">
        <v>32.920328595817899</v>
      </c>
      <c r="AI1753">
        <v>91.925851164478999</v>
      </c>
      <c r="AJ1753">
        <v>89.003481955530901</v>
      </c>
      <c r="AK1753">
        <v>32.943916626334897</v>
      </c>
      <c r="AL1753">
        <v>93.648960481247698</v>
      </c>
      <c r="AM1753">
        <v>91.607761573509407</v>
      </c>
      <c r="AN1753">
        <v>0.99999997017077802</v>
      </c>
    </row>
    <row r="1754" spans="1:40" x14ac:dyDescent="0.25">
      <c r="A1754" t="str">
        <f>"20190305135227737"</f>
        <v>20190305135227737</v>
      </c>
      <c r="B1754" t="str">
        <f>"1551765147731161"</f>
        <v>1551765147731161</v>
      </c>
      <c r="C1754" t="s">
        <v>40</v>
      </c>
      <c r="D1754">
        <v>4.8793920000000002</v>
      </c>
      <c r="E1754">
        <v>0.51756809999999998</v>
      </c>
      <c r="F1754" t="s">
        <v>56</v>
      </c>
      <c r="G1754">
        <v>-246.7654</v>
      </c>
      <c r="H1754" s="1">
        <v>2.0634419999999999E-6</v>
      </c>
      <c r="I1754">
        <v>284.79000000000002</v>
      </c>
      <c r="J1754">
        <v>-215.71629999999999</v>
      </c>
      <c r="K1754">
        <v>1.1070770000000001</v>
      </c>
      <c r="L1754">
        <v>285.94670000000002</v>
      </c>
      <c r="M1754">
        <v>-0.99850340000000004</v>
      </c>
      <c r="N1754">
        <v>-2.3791139999999999E-4</v>
      </c>
      <c r="O1754">
        <v>-5.4687850000000003E-2</v>
      </c>
      <c r="P1754">
        <v>-0.99449730000000003</v>
      </c>
      <c r="Q1754">
        <v>-6.4966460000000004E-2</v>
      </c>
      <c r="R1754">
        <v>-8.2185899999999895E-2</v>
      </c>
      <c r="S1754">
        <v>-3.0004270000000002</v>
      </c>
      <c r="T1754">
        <v>-0.1062427</v>
      </c>
      <c r="U1754">
        <v>-0.1120911</v>
      </c>
      <c r="V1754">
        <v>-2.7750460000000001E-2</v>
      </c>
      <c r="W1754">
        <v>-6.4697180000000007E-2</v>
      </c>
      <c r="X1754">
        <v>0.99751900000000004</v>
      </c>
      <c r="Y1754">
        <v>1.7328630000000001E-2</v>
      </c>
      <c r="Z1754">
        <v>2.2295980000000002E-3</v>
      </c>
      <c r="AA1754">
        <v>0.99984740000000005</v>
      </c>
      <c r="AB1754">
        <v>25</v>
      </c>
      <c r="AC1754">
        <v>-31.049099999999999</v>
      </c>
      <c r="AD1754">
        <v>-1.1070749365579999</v>
      </c>
      <c r="AE1754">
        <v>-1.1567000000000001</v>
      </c>
      <c r="AF1754">
        <v>0.54235114671130502</v>
      </c>
      <c r="AG1754">
        <v>-1.1070749365579999</v>
      </c>
      <c r="AH1754">
        <v>31.026502400271699</v>
      </c>
      <c r="AI1754">
        <v>92.043225669600005</v>
      </c>
      <c r="AJ1754">
        <v>88.9985572052923</v>
      </c>
      <c r="AK1754">
        <v>31.050984056476501</v>
      </c>
      <c r="AL1754">
        <v>93.709466295546903</v>
      </c>
      <c r="AM1754">
        <v>91.593527794991999</v>
      </c>
      <c r="AN1754">
        <v>0.99999998424558101</v>
      </c>
    </row>
    <row r="1755" spans="1:40" x14ac:dyDescent="0.25">
      <c r="A1755" t="str">
        <f>"20190305135227761"</f>
        <v>20190305135227761</v>
      </c>
      <c r="B1755" t="str">
        <f>"1551765147751657"</f>
        <v>1551765147751657</v>
      </c>
      <c r="C1755" t="s">
        <v>40</v>
      </c>
      <c r="D1755">
        <v>4.9382080000000004</v>
      </c>
      <c r="E1755">
        <v>0.51789839999999998</v>
      </c>
      <c r="F1755" t="s">
        <v>56</v>
      </c>
      <c r="G1755">
        <v>-245.34559999999999</v>
      </c>
      <c r="H1755" s="1">
        <v>1.307893E-6</v>
      </c>
      <c r="I1755">
        <v>284.84320000000002</v>
      </c>
      <c r="J1755">
        <v>-215.9796</v>
      </c>
      <c r="K1755">
        <v>1.1070359999999999</v>
      </c>
      <c r="L1755">
        <v>285.93299999999999</v>
      </c>
      <c r="M1755">
        <v>-0.99854600000000004</v>
      </c>
      <c r="N1755">
        <v>-1.8791899999999999E-4</v>
      </c>
      <c r="O1755">
        <v>-5.3904920000000002E-2</v>
      </c>
      <c r="P1755">
        <v>-0.99445499999999998</v>
      </c>
      <c r="Q1755">
        <v>-6.6623509999999997E-2</v>
      </c>
      <c r="R1755">
        <v>-8.1367099999999998E-2</v>
      </c>
      <c r="S1755">
        <v>-3.0000460000000002</v>
      </c>
      <c r="T1755">
        <v>-0.112094</v>
      </c>
      <c r="U1755">
        <v>-0.1117249</v>
      </c>
      <c r="V1755">
        <v>-2.7722139999999999E-2</v>
      </c>
      <c r="W1755">
        <v>-6.6402989999999995E-2</v>
      </c>
      <c r="X1755">
        <v>0.99740770000000001</v>
      </c>
      <c r="Y1755">
        <v>1.6657640000000001E-2</v>
      </c>
      <c r="Z1755">
        <v>2.3138939999999999E-3</v>
      </c>
      <c r="AA1755">
        <v>0.99985860000000004</v>
      </c>
      <c r="AB1755">
        <v>25</v>
      </c>
      <c r="AC1755">
        <v>-29.3659999999999</v>
      </c>
      <c r="AD1755">
        <v>-1.107034692107</v>
      </c>
      <c r="AE1755">
        <v>-1.0897999999999599</v>
      </c>
      <c r="AF1755">
        <v>0.494055336199342</v>
      </c>
      <c r="AG1755">
        <v>-1.107034692107</v>
      </c>
      <c r="AH1755">
        <v>29.340410453629001</v>
      </c>
      <c r="AI1755">
        <v>92.160479817531098</v>
      </c>
      <c r="AJ1755">
        <v>89.035302840551495</v>
      </c>
      <c r="AK1755">
        <v>29.365444012855999</v>
      </c>
      <c r="AL1755">
        <v>93.807412629093605</v>
      </c>
      <c r="AM1755">
        <v>91.592079947251904</v>
      </c>
      <c r="AN1755">
        <v>0.99999999707320497</v>
      </c>
    </row>
    <row r="1756" spans="1:40" x14ac:dyDescent="0.25">
      <c r="A1756" t="str">
        <f>"20190305135227792"</f>
        <v>20190305135227792</v>
      </c>
      <c r="B1756" t="str">
        <f>"1551765147780941"</f>
        <v>1551765147780941</v>
      </c>
      <c r="C1756" t="s">
        <v>40</v>
      </c>
      <c r="D1756">
        <v>4.8027049999999996</v>
      </c>
      <c r="E1756">
        <v>0.55005419999999905</v>
      </c>
      <c r="F1756" t="s">
        <v>56</v>
      </c>
      <c r="G1756">
        <v>-244.66579999999999</v>
      </c>
      <c r="H1756" s="1">
        <v>9.461112E-7</v>
      </c>
      <c r="I1756">
        <v>284.91320000000002</v>
      </c>
      <c r="J1756">
        <v>-216.34350000000001</v>
      </c>
      <c r="K1756">
        <v>1.1069899999999999</v>
      </c>
      <c r="L1756">
        <v>285.91460000000001</v>
      </c>
      <c r="M1756">
        <v>-0.99860439999999995</v>
      </c>
      <c r="N1756">
        <v>-1.3024329999999999E-4</v>
      </c>
      <c r="O1756">
        <v>-5.281636E-2</v>
      </c>
      <c r="P1756">
        <v>-0.99444600000000005</v>
      </c>
      <c r="Q1756">
        <v>-6.6978910000000003E-2</v>
      </c>
      <c r="R1756">
        <v>-8.1186309999999998E-2</v>
      </c>
      <c r="S1756">
        <v>-3.0002439999999999</v>
      </c>
      <c r="T1756">
        <v>-0.11578289999999999</v>
      </c>
      <c r="U1756">
        <v>-0.1066589</v>
      </c>
      <c r="V1756">
        <v>-2.8633539999999999E-2</v>
      </c>
      <c r="W1756">
        <v>-6.6813330000000004E-2</v>
      </c>
      <c r="X1756">
        <v>0.99735459999999998</v>
      </c>
      <c r="Y1756">
        <v>1.725314E-2</v>
      </c>
      <c r="Z1756">
        <v>2.3625809999999999E-3</v>
      </c>
      <c r="AA1756">
        <v>0.99984839999999997</v>
      </c>
      <c r="AB1756">
        <v>25</v>
      </c>
      <c r="AC1756">
        <v>-28.322299999999899</v>
      </c>
      <c r="AD1756">
        <v>-1.1069890538888001</v>
      </c>
      <c r="AE1756">
        <v>-1.0013999999999801</v>
      </c>
      <c r="AF1756">
        <v>0.49512282842184901</v>
      </c>
      <c r="AG1756">
        <v>-1.1069890538888001</v>
      </c>
      <c r="AH1756">
        <v>28.292491598255101</v>
      </c>
      <c r="AI1756">
        <v>92.240303547150205</v>
      </c>
      <c r="AJ1756">
        <v>88.997417641798293</v>
      </c>
      <c r="AK1756">
        <v>28.3184683946359</v>
      </c>
      <c r="AL1756">
        <v>93.830975507333306</v>
      </c>
      <c r="AM1756">
        <v>91.644480785503305</v>
      </c>
      <c r="AN1756">
        <v>1.00000004940988</v>
      </c>
    </row>
    <row r="1757" spans="1:40" x14ac:dyDescent="0.25">
      <c r="A1757" t="str">
        <f>"20190305135227814"</f>
        <v>20190305135227814</v>
      </c>
      <c r="B1757" t="str">
        <f>"1551765147811195"</f>
        <v>1551765147811195</v>
      </c>
      <c r="C1757" t="s">
        <v>40</v>
      </c>
      <c r="D1757">
        <v>4.7201519999999997</v>
      </c>
      <c r="E1757">
        <v>0.5555542</v>
      </c>
      <c r="F1757" t="s">
        <v>56</v>
      </c>
      <c r="G1757">
        <v>-384.1404</v>
      </c>
      <c r="H1757">
        <v>8.0001230000000007E-2</v>
      </c>
      <c r="I1757">
        <v>293.86660000000001</v>
      </c>
      <c r="J1757">
        <v>-216.5966</v>
      </c>
      <c r="K1757">
        <v>1.1069610000000001</v>
      </c>
      <c r="L1757">
        <v>285.90190000000001</v>
      </c>
      <c r="M1757">
        <v>-0.99864410000000003</v>
      </c>
      <c r="N1757" s="1">
        <v>-9.8034679999999997E-5</v>
      </c>
      <c r="O1757">
        <v>-5.2057520000000003E-2</v>
      </c>
      <c r="P1757">
        <v>-0.99444100000000002</v>
      </c>
      <c r="Q1757">
        <v>-6.6811529999999994E-2</v>
      </c>
      <c r="R1757">
        <v>-8.1384040000000005E-2</v>
      </c>
      <c r="S1757">
        <v>-3.027237</v>
      </c>
      <c r="T1757">
        <v>-1.8527979999999999E-2</v>
      </c>
      <c r="U1757">
        <v>0.14346310000000001</v>
      </c>
      <c r="V1757">
        <v>-2.9591139999999998E-2</v>
      </c>
      <c r="W1757">
        <v>-6.6675899999999996E-2</v>
      </c>
      <c r="X1757">
        <v>0.99733579999999999</v>
      </c>
      <c r="Y1757">
        <v>9.9269800000000005E-2</v>
      </c>
      <c r="Z1757">
        <v>6.2180440000000003E-4</v>
      </c>
      <c r="AA1757">
        <v>0.99506039999999996</v>
      </c>
      <c r="AB1757">
        <v>26</v>
      </c>
      <c r="AC1757">
        <v>-167.5438</v>
      </c>
      <c r="AD1757">
        <v>-1.0269597699999999</v>
      </c>
      <c r="AE1757">
        <v>7.9646999999999899</v>
      </c>
      <c r="AF1757">
        <v>16.6751900965758</v>
      </c>
      <c r="AG1757">
        <v>-1.0269597699999999</v>
      </c>
      <c r="AH1757">
        <v>166.89574657741301</v>
      </c>
      <c r="AI1757">
        <v>90.350807108791003</v>
      </c>
      <c r="AJ1757">
        <v>84.294296270877993</v>
      </c>
      <c r="AK1757">
        <v>167.72986268628</v>
      </c>
      <c r="AL1757">
        <v>93.823083922473998</v>
      </c>
      <c r="AM1757">
        <v>91.699477932602207</v>
      </c>
      <c r="AN1757">
        <v>1.0000000045844699</v>
      </c>
    </row>
    <row r="1758" spans="1:40" x14ac:dyDescent="0.25">
      <c r="A1758" t="str">
        <f>"20190305135227837"</f>
        <v>20190305135227837</v>
      </c>
      <c r="B1758" t="str">
        <f>"1551765147831689"</f>
        <v>1551765147831689</v>
      </c>
      <c r="C1758" t="s">
        <v>40</v>
      </c>
      <c r="D1758">
        <v>4.7028930000000004</v>
      </c>
      <c r="E1758">
        <v>0.5568495</v>
      </c>
      <c r="F1758" t="s">
        <v>65</v>
      </c>
      <c r="G1758">
        <v>-439.93400000000003</v>
      </c>
      <c r="H1758">
        <v>0.58263619999999905</v>
      </c>
      <c r="I1758">
        <v>299.60300000000001</v>
      </c>
      <c r="J1758">
        <v>-216.87119999999999</v>
      </c>
      <c r="K1758">
        <v>1.1069389999999999</v>
      </c>
      <c r="L1758">
        <v>285.88850000000002</v>
      </c>
      <c r="M1758">
        <v>-0.99868670000000004</v>
      </c>
      <c r="N1758" s="1">
        <v>-6.9797100000000003E-5</v>
      </c>
      <c r="O1758">
        <v>-5.1235129999999997E-2</v>
      </c>
      <c r="P1758">
        <v>-0.99445090000000003</v>
      </c>
      <c r="Q1758">
        <v>-6.6519389999999998E-2</v>
      </c>
      <c r="R1758">
        <v>-8.1502850000000002E-2</v>
      </c>
      <c r="S1758">
        <v>-3.0315089999999998</v>
      </c>
      <c r="T1758">
        <v>-7.1169140000000002E-3</v>
      </c>
      <c r="U1758">
        <v>0.1859741</v>
      </c>
      <c r="V1758">
        <v>-3.0532340000000002E-2</v>
      </c>
      <c r="W1758">
        <v>-6.6409709999999997E-2</v>
      </c>
      <c r="X1758">
        <v>0.99732520000000002</v>
      </c>
      <c r="Y1758">
        <v>0.1122901</v>
      </c>
      <c r="Z1758">
        <v>2.5221130000000001E-4</v>
      </c>
      <c r="AA1758">
        <v>0.99367539999999999</v>
      </c>
      <c r="AB1758">
        <v>26</v>
      </c>
      <c r="AC1758">
        <v>-223.06280000000001</v>
      </c>
      <c r="AD1758">
        <v>-0.52430279999999996</v>
      </c>
      <c r="AE1758">
        <v>13.7144999999999</v>
      </c>
      <c r="AF1758">
        <v>25.1249999660252</v>
      </c>
      <c r="AG1758">
        <v>-0.52430279999999996</v>
      </c>
      <c r="AH1758">
        <v>222.06594707087299</v>
      </c>
      <c r="AI1758">
        <v>90.134418782783101</v>
      </c>
      <c r="AJ1758">
        <v>83.544887987483406</v>
      </c>
      <c r="AK1758">
        <v>223.483389461505</v>
      </c>
      <c r="AL1758">
        <v>93.807798444096804</v>
      </c>
      <c r="AM1758">
        <v>91.753518316055604</v>
      </c>
      <c r="AN1758">
        <v>1.0000000139615901</v>
      </c>
    </row>
    <row r="1759" spans="1:40" x14ac:dyDescent="0.25">
      <c r="A1759" t="str">
        <f>"20190305135227861"</f>
        <v>20190305135227861</v>
      </c>
      <c r="B1759" t="str">
        <f>"1551765147851209"</f>
        <v>1551765147851209</v>
      </c>
      <c r="C1759" t="s">
        <v>40</v>
      </c>
      <c r="D1759">
        <v>4.678858</v>
      </c>
      <c r="E1759">
        <v>0.55769550000000001</v>
      </c>
      <c r="F1759" t="s">
        <v>65</v>
      </c>
      <c r="G1759">
        <v>-439.9341</v>
      </c>
      <c r="H1759">
        <v>0.87883829999999996</v>
      </c>
      <c r="I1759">
        <v>300.29059999999998</v>
      </c>
      <c r="J1759">
        <v>-217.15289999999999</v>
      </c>
      <c r="K1759">
        <v>1.1069180000000001</v>
      </c>
      <c r="L1759">
        <v>285.87490000000003</v>
      </c>
      <c r="M1759">
        <v>-0.9987296</v>
      </c>
      <c r="N1759" s="1">
        <v>-4.7300240000000001E-5</v>
      </c>
      <c r="O1759">
        <v>-5.0392359999999997E-2</v>
      </c>
      <c r="P1759">
        <v>-0.99450550000000004</v>
      </c>
      <c r="Q1759">
        <v>-6.6007579999999996E-2</v>
      </c>
      <c r="R1759">
        <v>-8.1253270000000002E-2</v>
      </c>
      <c r="S1759">
        <v>-3.0326080000000002</v>
      </c>
      <c r="T1759">
        <v>-3.100991E-3</v>
      </c>
      <c r="U1759">
        <v>0.1958008</v>
      </c>
      <c r="V1759">
        <v>-3.1123519999999998E-2</v>
      </c>
      <c r="W1759">
        <v>-6.5918560000000001E-2</v>
      </c>
      <c r="X1759">
        <v>0.99733950000000005</v>
      </c>
      <c r="Y1759">
        <v>0.11463669999999999</v>
      </c>
      <c r="Z1759">
        <v>1.103626E-4</v>
      </c>
      <c r="AA1759">
        <v>0.9934075</v>
      </c>
      <c r="AB1759">
        <v>26</v>
      </c>
      <c r="AC1759">
        <v>-222.78120000000001</v>
      </c>
      <c r="AD1759">
        <v>-0.2280797</v>
      </c>
      <c r="AE1759">
        <v>14.4156999999999</v>
      </c>
      <c r="AF1759">
        <v>25.623827369298901</v>
      </c>
      <c r="AG1759">
        <v>-0.2280797</v>
      </c>
      <c r="AH1759">
        <v>221.77148353731599</v>
      </c>
      <c r="AI1759">
        <v>90.058536089698094</v>
      </c>
      <c r="AJ1759">
        <v>83.409180315680004</v>
      </c>
      <c r="AK1759">
        <v>223.24700100951699</v>
      </c>
      <c r="AL1759">
        <v>93.779595860301697</v>
      </c>
      <c r="AM1759">
        <v>91.787423246580502</v>
      </c>
      <c r="AN1759">
        <v>1.0000000041549499</v>
      </c>
    </row>
    <row r="1760" spans="1:40" x14ac:dyDescent="0.25">
      <c r="A1760" t="str">
        <f>"20190305135227886"</f>
        <v>20190305135227886</v>
      </c>
      <c r="B1760" t="str">
        <f>"1551765147881465"</f>
        <v>1551765147881465</v>
      </c>
      <c r="C1760" t="s">
        <v>40</v>
      </c>
      <c r="D1760">
        <v>4.6704660000000002</v>
      </c>
      <c r="E1760">
        <v>0.55829150000000005</v>
      </c>
      <c r="F1760" t="s">
        <v>65</v>
      </c>
      <c r="G1760">
        <v>-439.93419999999998</v>
      </c>
      <c r="H1760">
        <v>1.1843170000000001</v>
      </c>
      <c r="I1760">
        <v>300.8005</v>
      </c>
      <c r="J1760">
        <v>-217.43870000000001</v>
      </c>
      <c r="K1760">
        <v>1.1068990000000001</v>
      </c>
      <c r="L1760">
        <v>285.86130000000003</v>
      </c>
      <c r="M1760">
        <v>-0.99877210000000005</v>
      </c>
      <c r="N1760" s="1">
        <v>-3.0572989999999999E-5</v>
      </c>
      <c r="O1760">
        <v>-4.9540870000000001E-2</v>
      </c>
      <c r="P1760">
        <v>-0.99454149999999997</v>
      </c>
      <c r="Q1760">
        <v>-6.5776440000000005E-2</v>
      </c>
      <c r="R1760">
        <v>-8.0997600000000003E-2</v>
      </c>
      <c r="S1760">
        <v>-3.0332340000000002</v>
      </c>
      <c r="T1760">
        <v>1.0539290000000001E-3</v>
      </c>
      <c r="U1760">
        <v>0.2032166</v>
      </c>
      <c r="V1760">
        <v>-3.1718429999999999E-2</v>
      </c>
      <c r="W1760">
        <v>-6.5702510000000006E-2</v>
      </c>
      <c r="X1760">
        <v>0.99733499999999997</v>
      </c>
      <c r="Y1760">
        <v>0.1161948</v>
      </c>
      <c r="Z1760" s="1">
        <v>-3.7094590000000002E-5</v>
      </c>
      <c r="AA1760">
        <v>0.99322650000000001</v>
      </c>
      <c r="AB1760">
        <v>26</v>
      </c>
      <c r="AC1760">
        <v>-222.49549999999999</v>
      </c>
      <c r="AD1760">
        <v>7.7417999999999904E-2</v>
      </c>
      <c r="AE1760">
        <v>14.9391999999999</v>
      </c>
      <c r="AF1760">
        <v>25.9434735986428</v>
      </c>
      <c r="AG1760">
        <v>7.7417999999999904E-2</v>
      </c>
      <c r="AH1760">
        <v>221.48216950227601</v>
      </c>
      <c r="AI1760">
        <v>89.980108541879105</v>
      </c>
      <c r="AJ1760">
        <v>83.319062441634898</v>
      </c>
      <c r="AK1760">
        <v>222.99646011393401</v>
      </c>
      <c r="AL1760">
        <v>93.767190265225096</v>
      </c>
      <c r="AM1760">
        <v>91.821574329870401</v>
      </c>
      <c r="AN1760">
        <v>0.99999999042348198</v>
      </c>
    </row>
    <row r="1761" spans="1:40" x14ac:dyDescent="0.25">
      <c r="A1761" t="str">
        <f>"20190305135227907"</f>
        <v>20190305135227907</v>
      </c>
      <c r="B1761" t="str">
        <f>"1551765147900987"</f>
        <v>1551765147900987</v>
      </c>
      <c r="C1761" t="s">
        <v>40</v>
      </c>
      <c r="D1761">
        <v>4.6321669999999999</v>
      </c>
      <c r="E1761">
        <v>0.55871230000000005</v>
      </c>
      <c r="F1761" t="s">
        <v>65</v>
      </c>
      <c r="G1761">
        <v>-440.87150000000003</v>
      </c>
      <c r="H1761">
        <v>1.324014</v>
      </c>
      <c r="I1761">
        <v>301.2373</v>
      </c>
      <c r="J1761">
        <v>-217.70240000000001</v>
      </c>
      <c r="K1761">
        <v>1.1068880000000001</v>
      </c>
      <c r="L1761">
        <v>285.84899999999999</v>
      </c>
      <c r="M1761">
        <v>-0.99881030000000004</v>
      </c>
      <c r="N1761" s="1">
        <v>-2.0579319999999999E-5</v>
      </c>
      <c r="O1761">
        <v>-4.876519E-2</v>
      </c>
      <c r="P1761">
        <v>-0.99460879999999996</v>
      </c>
      <c r="Q1761">
        <v>-6.5779030000000002E-2</v>
      </c>
      <c r="R1761">
        <v>-8.0164410000000005E-2</v>
      </c>
      <c r="S1761">
        <v>-3.0336910000000001</v>
      </c>
      <c r="T1761">
        <v>2.9480460000000002E-3</v>
      </c>
      <c r="U1761">
        <v>0.20877080000000001</v>
      </c>
      <c r="V1761">
        <v>-3.165801E-2</v>
      </c>
      <c r="W1761">
        <v>-6.5714709999999996E-2</v>
      </c>
      <c r="X1761">
        <v>0.99733609999999995</v>
      </c>
      <c r="Y1761">
        <v>0.11722340000000001</v>
      </c>
      <c r="Z1761">
        <v>-1.040226E-4</v>
      </c>
      <c r="AA1761">
        <v>0.99310560000000003</v>
      </c>
      <c r="AB1761">
        <v>27</v>
      </c>
      <c r="AC1761">
        <v>-223.16909999999999</v>
      </c>
      <c r="AD1761">
        <v>0.21712600000000001</v>
      </c>
      <c r="AE1761">
        <v>15.388299999999999</v>
      </c>
      <c r="AF1761">
        <v>26.252850594070299</v>
      </c>
      <c r="AG1761">
        <v>0.21712600000000001</v>
      </c>
      <c r="AH1761">
        <v>222.15296648957599</v>
      </c>
      <c r="AI1761">
        <v>89.944387723268093</v>
      </c>
      <c r="AJ1761">
        <v>83.260348561799603</v>
      </c>
      <c r="AK1761">
        <v>223.69890439636299</v>
      </c>
      <c r="AL1761">
        <v>93.767890847624201</v>
      </c>
      <c r="AM1761">
        <v>91.818104765142394</v>
      </c>
      <c r="AN1761">
        <v>0.99999997453537603</v>
      </c>
    </row>
    <row r="1762" spans="1:40" x14ac:dyDescent="0.25">
      <c r="A1762" t="str">
        <f>"20190305135227928"</f>
        <v>20190305135227928</v>
      </c>
      <c r="B1762" t="str">
        <f>"1551765147921482"</f>
        <v>1551765147921482</v>
      </c>
      <c r="C1762" t="s">
        <v>40</v>
      </c>
      <c r="D1762">
        <v>4.6272970000000004</v>
      </c>
      <c r="E1762">
        <v>0.55905179999999999</v>
      </c>
      <c r="F1762" t="s">
        <v>65</v>
      </c>
      <c r="G1762">
        <v>-440.8716</v>
      </c>
      <c r="H1762">
        <v>1.4144049999999999</v>
      </c>
      <c r="I1762">
        <v>301.65730000000002</v>
      </c>
      <c r="J1762">
        <v>-217.95920000000001</v>
      </c>
      <c r="K1762">
        <v>1.106876</v>
      </c>
      <c r="L1762">
        <v>285.8372</v>
      </c>
      <c r="M1762">
        <v>-0.99884649999999997</v>
      </c>
      <c r="N1762" s="1">
        <v>-1.486961E-5</v>
      </c>
      <c r="O1762">
        <v>-4.8021220000000003E-2</v>
      </c>
      <c r="P1762">
        <v>-0.99468639999999997</v>
      </c>
      <c r="Q1762">
        <v>-6.5258759999999999E-2</v>
      </c>
      <c r="R1762">
        <v>-7.9627950000000003E-2</v>
      </c>
      <c r="S1762">
        <v>-3.0338590000000001</v>
      </c>
      <c r="T1762">
        <v>4.18067E-3</v>
      </c>
      <c r="U1762">
        <v>0.21490480000000001</v>
      </c>
      <c r="V1762">
        <v>-3.1860729999999997E-2</v>
      </c>
      <c r="W1762">
        <v>-6.5199709999999994E-2</v>
      </c>
      <c r="X1762">
        <v>0.99736340000000001</v>
      </c>
      <c r="Y1762">
        <v>0.1184779</v>
      </c>
      <c r="Z1762">
        <v>-1.4746E-4</v>
      </c>
      <c r="AA1762">
        <v>0.99295670000000003</v>
      </c>
      <c r="AB1762">
        <v>27</v>
      </c>
      <c r="AC1762">
        <v>-222.91239999999999</v>
      </c>
      <c r="AD1762">
        <v>0.307528999999999</v>
      </c>
      <c r="AE1762">
        <v>15.8201</v>
      </c>
      <c r="AF1762">
        <v>26.506321840605299</v>
      </c>
      <c r="AG1762">
        <v>0.307528999999999</v>
      </c>
      <c r="AH1762">
        <v>221.89510898759701</v>
      </c>
      <c r="AI1762">
        <v>89.921153202426794</v>
      </c>
      <c r="AJ1762">
        <v>83.188051820977506</v>
      </c>
      <c r="AK1762">
        <v>223.472859793357</v>
      </c>
      <c r="AL1762">
        <v>93.738320268790602</v>
      </c>
      <c r="AM1762">
        <v>91.829688941764104</v>
      </c>
      <c r="AN1762">
        <v>0.99999992997988596</v>
      </c>
    </row>
    <row r="1763" spans="1:40" x14ac:dyDescent="0.25">
      <c r="A1763" t="str">
        <f>"20190305135227950"</f>
        <v>20190305135227950</v>
      </c>
      <c r="B1763" t="str">
        <f>"1551765147941005"</f>
        <v>1551765147941005</v>
      </c>
      <c r="C1763" t="s">
        <v>40</v>
      </c>
      <c r="D1763">
        <v>4.6124210000000003</v>
      </c>
      <c r="E1763">
        <v>0.55904569999999998</v>
      </c>
      <c r="F1763" t="s">
        <v>65</v>
      </c>
      <c r="G1763">
        <v>-440.8716</v>
      </c>
      <c r="H1763">
        <v>1.6885889999999999</v>
      </c>
      <c r="I1763">
        <v>301.93540000000002</v>
      </c>
      <c r="J1763">
        <v>-218.23220000000001</v>
      </c>
      <c r="K1763">
        <v>1.1068720000000001</v>
      </c>
      <c r="L1763">
        <v>285.82490000000001</v>
      </c>
      <c r="M1763">
        <v>-0.99888350000000004</v>
      </c>
      <c r="N1763" s="1">
        <v>-1.253956E-5</v>
      </c>
      <c r="O1763">
        <v>-4.7243859999999999E-2</v>
      </c>
      <c r="P1763">
        <v>-0.99485979999999996</v>
      </c>
      <c r="Q1763">
        <v>-6.3981150000000001E-2</v>
      </c>
      <c r="R1763">
        <v>-7.8490470000000007E-2</v>
      </c>
      <c r="S1763">
        <v>-3.034119</v>
      </c>
      <c r="T1763">
        <v>7.9179999999999997E-3</v>
      </c>
      <c r="U1763">
        <v>0.21911620000000001</v>
      </c>
      <c r="V1763">
        <v>-3.1490940000000002E-2</v>
      </c>
      <c r="W1763">
        <v>-6.3924910000000001E-2</v>
      </c>
      <c r="X1763">
        <v>0.9974577</v>
      </c>
      <c r="Y1763">
        <v>0.11907</v>
      </c>
      <c r="Z1763">
        <v>-2.7815510000000002E-4</v>
      </c>
      <c r="AA1763">
        <v>0.99288580000000004</v>
      </c>
      <c r="AB1763">
        <v>27</v>
      </c>
      <c r="AC1763">
        <v>-222.63939999999999</v>
      </c>
      <c r="AD1763">
        <v>0.58171700000000004</v>
      </c>
      <c r="AE1763">
        <v>16.110499999999998</v>
      </c>
      <c r="AF1763">
        <v>26.61067350507</v>
      </c>
      <c r="AG1763">
        <v>0.58171700000000004</v>
      </c>
      <c r="AH1763">
        <v>221.62817040208199</v>
      </c>
      <c r="AI1763">
        <v>89.850686086850601</v>
      </c>
      <c r="AJ1763">
        <v>83.153329149622195</v>
      </c>
      <c r="AK1763">
        <v>223.22077021378601</v>
      </c>
      <c r="AL1763">
        <v>93.665126753090405</v>
      </c>
      <c r="AM1763">
        <v>91.808296071743499</v>
      </c>
      <c r="AN1763">
        <v>0.99999996835493998</v>
      </c>
    </row>
    <row r="1764" spans="1:40" x14ac:dyDescent="0.25">
      <c r="A1764" t="str">
        <f>"20190305135227972"</f>
        <v>20190305135227972</v>
      </c>
      <c r="B1764" t="str">
        <f>"1551765147961501"</f>
        <v>1551765147961501</v>
      </c>
      <c r="C1764" t="s">
        <v>40</v>
      </c>
      <c r="D1764">
        <v>4.5502469999999997</v>
      </c>
      <c r="E1764">
        <v>0.55865659999999995</v>
      </c>
      <c r="F1764" t="s">
        <v>65</v>
      </c>
      <c r="G1764">
        <v>-440.1986</v>
      </c>
      <c r="H1764">
        <v>2.1020310000000002</v>
      </c>
      <c r="I1764">
        <v>302.12580000000003</v>
      </c>
      <c r="J1764">
        <v>-218.4973</v>
      </c>
      <c r="K1764">
        <v>1.106868</v>
      </c>
      <c r="L1764">
        <v>285.81299999999999</v>
      </c>
      <c r="M1764">
        <v>-0.99891810000000003</v>
      </c>
      <c r="N1764" s="1">
        <v>-1.361745E-5</v>
      </c>
      <c r="O1764">
        <v>-4.6505699999999997E-2</v>
      </c>
      <c r="P1764">
        <v>-0.99501779999999995</v>
      </c>
      <c r="Q1764">
        <v>-6.3327510000000004E-2</v>
      </c>
      <c r="R1764">
        <v>-7.7003160000000001E-2</v>
      </c>
      <c r="S1764">
        <v>-3.0339510000000001</v>
      </c>
      <c r="T1764">
        <v>1.36025E-2</v>
      </c>
      <c r="U1764">
        <v>0.2228088</v>
      </c>
      <c r="V1764">
        <v>-3.0733590000000002E-2</v>
      </c>
      <c r="W1764">
        <v>-6.3271499999999994E-2</v>
      </c>
      <c r="X1764">
        <v>0.99752300000000005</v>
      </c>
      <c r="Y1764">
        <v>0.1195412</v>
      </c>
      <c r="Z1764">
        <v>-4.756885E-4</v>
      </c>
      <c r="AA1764">
        <v>0.99282910000000002</v>
      </c>
      <c r="AB1764">
        <v>27</v>
      </c>
      <c r="AC1764">
        <v>-221.7013</v>
      </c>
      <c r="AD1764">
        <v>0.99516300000000002</v>
      </c>
      <c r="AE1764">
        <v>16.312799999999999</v>
      </c>
      <c r="AF1764">
        <v>26.604990149735901</v>
      </c>
      <c r="AG1764">
        <v>0.99516300000000002</v>
      </c>
      <c r="AH1764">
        <v>220.69836366726599</v>
      </c>
      <c r="AI1764">
        <v>89.743503203651301</v>
      </c>
      <c r="AJ1764">
        <v>83.126213835525405</v>
      </c>
      <c r="AK1764">
        <v>222.2984110957</v>
      </c>
      <c r="AL1764">
        <v>93.627613109155405</v>
      </c>
      <c r="AM1764">
        <v>91.764719343351004</v>
      </c>
      <c r="AN1764">
        <v>0.99999998589776895</v>
      </c>
    </row>
    <row r="1765" spans="1:40" x14ac:dyDescent="0.25">
      <c r="A1765" t="str">
        <f>"20190305135227993"</f>
        <v>20190305135227993</v>
      </c>
      <c r="B1765" t="str">
        <f>"1551765147991754"</f>
        <v>1551765147991754</v>
      </c>
      <c r="C1765" t="s">
        <v>40</v>
      </c>
      <c r="D1765">
        <v>4.5413680000000003</v>
      </c>
      <c r="E1765">
        <v>0.55831119999999901</v>
      </c>
      <c r="F1765" t="s">
        <v>65</v>
      </c>
      <c r="G1765">
        <v>-440.19869999999997</v>
      </c>
      <c r="H1765">
        <v>2.2271109999999998</v>
      </c>
      <c r="I1765">
        <v>302.21359999999999</v>
      </c>
      <c r="J1765">
        <v>-218.76820000000001</v>
      </c>
      <c r="K1765">
        <v>1.10687</v>
      </c>
      <c r="L1765">
        <v>285.80119999999999</v>
      </c>
      <c r="M1765">
        <v>-0.9989517</v>
      </c>
      <c r="N1765" s="1">
        <v>-1.7623999999999999E-5</v>
      </c>
      <c r="O1765">
        <v>-4.5777079999999998E-2</v>
      </c>
      <c r="P1765">
        <v>-0.99512730000000005</v>
      </c>
      <c r="Q1765">
        <v>-6.2943589999999994E-2</v>
      </c>
      <c r="R1765">
        <v>-7.5895530000000003E-2</v>
      </c>
      <c r="S1765">
        <v>-3.0333709999999998</v>
      </c>
      <c r="T1765">
        <v>1.532757E-2</v>
      </c>
      <c r="U1765">
        <v>0.22439580000000001</v>
      </c>
      <c r="V1765">
        <v>-3.0348110000000001E-2</v>
      </c>
      <c r="W1765">
        <v>-6.2884689999999993E-2</v>
      </c>
      <c r="X1765">
        <v>0.99755919999999998</v>
      </c>
      <c r="Y1765">
        <v>0.11934699999999999</v>
      </c>
      <c r="Z1765">
        <v>-5.3189920000000003E-4</v>
      </c>
      <c r="AA1765">
        <v>0.99285239999999997</v>
      </c>
      <c r="AB1765">
        <v>28</v>
      </c>
      <c r="AC1765">
        <v>-221.43049999999999</v>
      </c>
      <c r="AD1765">
        <v>1.1202409999999901</v>
      </c>
      <c r="AE1765">
        <v>16.412399999999899</v>
      </c>
      <c r="AF1765">
        <v>26.530960724859099</v>
      </c>
      <c r="AG1765">
        <v>1.1202409999999901</v>
      </c>
      <c r="AH1765">
        <v>220.44144697188599</v>
      </c>
      <c r="AI1765">
        <v>89.710922469537806</v>
      </c>
      <c r="AJ1765">
        <v>83.137245245439701</v>
      </c>
      <c r="AK1765">
        <v>222.03508362405501</v>
      </c>
      <c r="AL1765">
        <v>93.605406526183302</v>
      </c>
      <c r="AM1765">
        <v>91.742535660630296</v>
      </c>
      <c r="AN1765">
        <v>0.99999992476080102</v>
      </c>
    </row>
    <row r="1766" spans="1:40" x14ac:dyDescent="0.25">
      <c r="A1766" t="str">
        <f>"20190305135228017"</f>
        <v>20190305135228017</v>
      </c>
      <c r="B1766" t="str">
        <f>"1551765148011274"</f>
        <v>1551765148011274</v>
      </c>
      <c r="C1766" t="s">
        <v>40</v>
      </c>
      <c r="D1766">
        <v>4.5730309999999896</v>
      </c>
      <c r="E1766">
        <v>0.55812010000000001</v>
      </c>
      <c r="F1766" t="s">
        <v>65</v>
      </c>
      <c r="G1766">
        <v>-440.19869999999997</v>
      </c>
      <c r="H1766">
        <v>2.300719</v>
      </c>
      <c r="I1766">
        <v>302.23759999999999</v>
      </c>
      <c r="J1766">
        <v>-219.05250000000001</v>
      </c>
      <c r="K1766">
        <v>1.106868</v>
      </c>
      <c r="L1766">
        <v>285.78899999999999</v>
      </c>
      <c r="M1766">
        <v>-0.99898489999999995</v>
      </c>
      <c r="N1766" s="1">
        <v>-2.457295E-5</v>
      </c>
      <c r="O1766">
        <v>-4.5047009999999998E-2</v>
      </c>
      <c r="P1766">
        <v>-0.99521289999999996</v>
      </c>
      <c r="Q1766">
        <v>-6.373682E-2</v>
      </c>
      <c r="R1766">
        <v>-7.4089650000000007E-2</v>
      </c>
      <c r="S1766">
        <v>-3.0329130000000002</v>
      </c>
      <c r="T1766">
        <v>1.6352180000000001E-2</v>
      </c>
      <c r="U1766">
        <v>0.2251282</v>
      </c>
      <c r="V1766">
        <v>-2.9267789999999998E-2</v>
      </c>
      <c r="W1766">
        <v>-6.3673419999999994E-2</v>
      </c>
      <c r="X1766">
        <v>0.99754149999999997</v>
      </c>
      <c r="Y1766">
        <v>0.11887060000000001</v>
      </c>
      <c r="Z1766">
        <v>-5.6222870000000003E-4</v>
      </c>
      <c r="AA1766">
        <v>0.99290959999999995</v>
      </c>
      <c r="AB1766">
        <v>28</v>
      </c>
      <c r="AC1766">
        <v>-221.14619999999999</v>
      </c>
      <c r="AD1766">
        <v>1.193851</v>
      </c>
      <c r="AE1766">
        <v>16.448599999999999</v>
      </c>
      <c r="AF1766">
        <v>26.3931123154556</v>
      </c>
      <c r="AG1766">
        <v>1.193851</v>
      </c>
      <c r="AH1766">
        <v>220.17436590621901</v>
      </c>
      <c r="AI1766">
        <v>89.691536575503306</v>
      </c>
      <c r="AJ1766">
        <v>83.1643613412229</v>
      </c>
      <c r="AK1766">
        <v>221.75385692274199</v>
      </c>
      <c r="AL1766">
        <v>93.650687993560794</v>
      </c>
      <c r="AM1766">
        <v>91.680571594482601</v>
      </c>
      <c r="AN1766">
        <v>0.99999997608411495</v>
      </c>
    </row>
    <row r="1767" spans="1:40" x14ac:dyDescent="0.25">
      <c r="A1767" t="str">
        <f>"20190305135228039"</f>
        <v>20190305135228039</v>
      </c>
      <c r="B1767" t="str">
        <f>"1551765148030793"</f>
        <v>1551765148030793</v>
      </c>
      <c r="C1767" t="s">
        <v>40</v>
      </c>
      <c r="D1767">
        <v>4.499047</v>
      </c>
      <c r="E1767">
        <v>0.55749289999999996</v>
      </c>
      <c r="F1767" t="s">
        <v>65</v>
      </c>
      <c r="G1767">
        <v>-440.19869999999997</v>
      </c>
      <c r="H1767">
        <v>2.2146710000000001</v>
      </c>
      <c r="I1767">
        <v>302.50720000000001</v>
      </c>
      <c r="J1767">
        <v>-219.34620000000001</v>
      </c>
      <c r="K1767">
        <v>1.106868</v>
      </c>
      <c r="L1767">
        <v>285.77640000000002</v>
      </c>
      <c r="M1767">
        <v>-0.99901680000000004</v>
      </c>
      <c r="N1767" s="1">
        <v>-3.4490659999999901E-5</v>
      </c>
      <c r="O1767">
        <v>-4.4334819999999997E-2</v>
      </c>
      <c r="P1767">
        <v>-0.99523530000000004</v>
      </c>
      <c r="Q1767">
        <v>-6.5120380000000005E-2</v>
      </c>
      <c r="R1767">
        <v>-7.2568779999999999E-2</v>
      </c>
      <c r="S1767">
        <v>-3.0324550000000001</v>
      </c>
      <c r="T1767">
        <v>1.5190840000000001E-2</v>
      </c>
      <c r="U1767">
        <v>0.22924800000000001</v>
      </c>
      <c r="V1767">
        <v>-2.8457099999999999E-2</v>
      </c>
      <c r="W1767">
        <v>-6.5049549999999998E-2</v>
      </c>
      <c r="X1767">
        <v>0.99747620000000004</v>
      </c>
      <c r="Y1767">
        <v>0.1195156</v>
      </c>
      <c r="Z1767">
        <v>-5.2019830000000003E-4</v>
      </c>
      <c r="AA1767">
        <v>0.99283220000000005</v>
      </c>
      <c r="AB1767">
        <v>28</v>
      </c>
      <c r="AC1767">
        <v>-220.85249999999999</v>
      </c>
      <c r="AD1767">
        <v>1.1078030000000001</v>
      </c>
      <c r="AE1767">
        <v>16.730799999999899</v>
      </c>
      <c r="AF1767">
        <v>26.5051411379816</v>
      </c>
      <c r="AG1767">
        <v>1.1078030000000001</v>
      </c>
      <c r="AH1767">
        <v>219.88808415935901</v>
      </c>
      <c r="AI1767">
        <v>89.713418950973505</v>
      </c>
      <c r="AJ1767">
        <v>83.126771308677405</v>
      </c>
      <c r="AK1767">
        <v>221.48254849875801</v>
      </c>
      <c r="AL1767">
        <v>93.729698131964895</v>
      </c>
      <c r="AM1767">
        <v>91.634153868387699</v>
      </c>
      <c r="AN1767">
        <v>1.00000001003102</v>
      </c>
    </row>
    <row r="1768" spans="1:40" x14ac:dyDescent="0.25">
      <c r="A1768" t="str">
        <f>"20190305135228062"</f>
        <v>20190305135228062</v>
      </c>
      <c r="B1768" t="str">
        <f>"1551765148051289"</f>
        <v>1551765148051289</v>
      </c>
      <c r="C1768" t="s">
        <v>40</v>
      </c>
      <c r="D1768">
        <v>4.5533400000000004</v>
      </c>
      <c r="E1768">
        <v>0.55688760000000004</v>
      </c>
      <c r="F1768" t="s">
        <v>65</v>
      </c>
      <c r="G1768">
        <v>-440.8716</v>
      </c>
      <c r="H1768">
        <v>1.693289</v>
      </c>
      <c r="I1768">
        <v>302.51679999999999</v>
      </c>
      <c r="J1768">
        <v>-219.62450000000001</v>
      </c>
      <c r="K1768">
        <v>1.106865</v>
      </c>
      <c r="L1768">
        <v>285.7647</v>
      </c>
      <c r="M1768">
        <v>-0.99904479999999996</v>
      </c>
      <c r="N1768" s="1">
        <v>-4.6220320000000003E-5</v>
      </c>
      <c r="O1768">
        <v>-4.3700349999999999E-2</v>
      </c>
      <c r="P1768">
        <v>-0.99520160000000002</v>
      </c>
      <c r="Q1768">
        <v>-6.6817999999999905E-2</v>
      </c>
      <c r="R1768">
        <v>-7.1481450000000002E-2</v>
      </c>
      <c r="S1768">
        <v>-3.0316160000000001</v>
      </c>
      <c r="T1768">
        <v>8.0254079999999995E-3</v>
      </c>
      <c r="U1768">
        <v>0.22909550000000001</v>
      </c>
      <c r="V1768">
        <v>-2.800449E-2</v>
      </c>
      <c r="W1768">
        <v>-6.6737480000000002E-2</v>
      </c>
      <c r="X1768">
        <v>0.99737750000000003</v>
      </c>
      <c r="Y1768">
        <v>0.1188575</v>
      </c>
      <c r="Z1768">
        <v>-2.7190390000000002E-4</v>
      </c>
      <c r="AA1768">
        <v>0.99291130000000005</v>
      </c>
      <c r="AB1768">
        <v>28</v>
      </c>
      <c r="AC1768">
        <v>-221.24709999999999</v>
      </c>
      <c r="AD1768">
        <v>0.58642399999999995</v>
      </c>
      <c r="AE1768">
        <v>16.752099999999899</v>
      </c>
      <c r="AF1768">
        <v>26.4044865809744</v>
      </c>
      <c r="AG1768">
        <v>0.58642399999999995</v>
      </c>
      <c r="AH1768">
        <v>220.30212759346199</v>
      </c>
      <c r="AI1768">
        <v>89.848568072701298</v>
      </c>
      <c r="AJ1768">
        <v>83.165371791317895</v>
      </c>
      <c r="AK1768">
        <v>221.87962553357301</v>
      </c>
      <c r="AL1768">
        <v>93.826620051739297</v>
      </c>
      <c r="AM1768">
        <v>91.608335480799795</v>
      </c>
      <c r="AN1768">
        <v>1.00000001010158</v>
      </c>
    </row>
    <row r="1769" spans="1:40" x14ac:dyDescent="0.25">
      <c r="A1769" t="str">
        <f>"20190305135228085"</f>
        <v>20190305135228085</v>
      </c>
      <c r="B1769" t="str">
        <f>"1551765148081545"</f>
        <v>1551765148081545</v>
      </c>
      <c r="C1769" t="s">
        <v>40</v>
      </c>
      <c r="D1769">
        <v>4.5648650000000002</v>
      </c>
      <c r="E1769">
        <v>0.55611489999999997</v>
      </c>
      <c r="F1769" t="s">
        <v>65</v>
      </c>
      <c r="G1769">
        <v>-440.87139999999999</v>
      </c>
      <c r="H1769">
        <v>1.04982</v>
      </c>
      <c r="I1769">
        <v>302.404</v>
      </c>
      <c r="J1769">
        <v>-219.92160000000001</v>
      </c>
      <c r="K1769">
        <v>1.1068770000000001</v>
      </c>
      <c r="L1769">
        <v>285.75229999999999</v>
      </c>
      <c r="M1769">
        <v>-0.99907259999999998</v>
      </c>
      <c r="N1769" s="1">
        <v>-6.0880379999999999E-5</v>
      </c>
      <c r="O1769">
        <v>-4.3060149999999998E-2</v>
      </c>
      <c r="P1769">
        <v>-0.99512250000000002</v>
      </c>
      <c r="Q1769">
        <v>-6.8335599999999996E-2</v>
      </c>
      <c r="R1769">
        <v>-7.1145899999999998E-2</v>
      </c>
      <c r="S1769">
        <v>-3.0307919999999999</v>
      </c>
      <c r="T1769">
        <v>-7.8129770000000005E-4</v>
      </c>
      <c r="U1769">
        <v>0.22793579999999999</v>
      </c>
      <c r="V1769">
        <v>-2.831026E-2</v>
      </c>
      <c r="W1769">
        <v>-6.8241540000000003E-2</v>
      </c>
      <c r="X1769">
        <v>0.99726709999999996</v>
      </c>
      <c r="Y1769">
        <v>0.1178642</v>
      </c>
      <c r="Z1769" s="1">
        <v>2.723259E-5</v>
      </c>
      <c r="AA1769">
        <v>0.99302970000000002</v>
      </c>
      <c r="AB1769">
        <v>28</v>
      </c>
      <c r="AC1769">
        <v>-220.94980000000001</v>
      </c>
      <c r="AD1769">
        <v>-5.7057000000000101E-2</v>
      </c>
      <c r="AE1769">
        <v>16.651700000000002</v>
      </c>
      <c r="AF1769">
        <v>26.1503839164466</v>
      </c>
      <c r="AG1769">
        <v>-5.7057000000000101E-2</v>
      </c>
      <c r="AH1769">
        <v>220.027825837894</v>
      </c>
      <c r="AI1769">
        <v>90.0147539435428</v>
      </c>
      <c r="AJ1769">
        <v>83.222170470249097</v>
      </c>
      <c r="AK1769">
        <v>221.57637504352601</v>
      </c>
      <c r="AL1769">
        <v>93.912993228450006</v>
      </c>
      <c r="AM1769">
        <v>91.626066780902605</v>
      </c>
      <c r="AN1769">
        <v>1.0000000236726201</v>
      </c>
    </row>
    <row r="1770" spans="1:40" x14ac:dyDescent="0.25">
      <c r="A1770" t="str">
        <f>"20190305135228105"</f>
        <v>20190305135228105</v>
      </c>
      <c r="B1770" t="str">
        <f>"1551765148101065"</f>
        <v>1551765148101065</v>
      </c>
      <c r="C1770" t="s">
        <v>40</v>
      </c>
      <c r="D1770">
        <v>4.5227180000000002</v>
      </c>
      <c r="E1770">
        <v>0.55606390000000006</v>
      </c>
      <c r="F1770" t="s">
        <v>65</v>
      </c>
      <c r="G1770">
        <v>-440.87119999999999</v>
      </c>
      <c r="H1770">
        <v>0.48605480000000001</v>
      </c>
      <c r="I1770">
        <v>302.0172</v>
      </c>
      <c r="J1770">
        <v>-220.1908</v>
      </c>
      <c r="K1770">
        <v>1.1068910000000001</v>
      </c>
      <c r="L1770">
        <v>285.74130000000002</v>
      </c>
      <c r="M1770">
        <v>-0.99909619999999999</v>
      </c>
      <c r="N1770" s="1">
        <v>-7.5931889999999996E-5</v>
      </c>
      <c r="O1770">
        <v>-4.2506990000000001E-2</v>
      </c>
      <c r="P1770">
        <v>-0.99504950000000003</v>
      </c>
      <c r="Q1770">
        <v>-6.9086259999999997E-2</v>
      </c>
      <c r="R1770">
        <v>-7.1443740000000006E-2</v>
      </c>
      <c r="S1770">
        <v>-3.0300600000000002</v>
      </c>
      <c r="T1770">
        <v>-8.5136889999999996E-3</v>
      </c>
      <c r="U1770">
        <v>0.223053</v>
      </c>
      <c r="V1770">
        <v>-2.9161400000000001E-2</v>
      </c>
      <c r="W1770">
        <v>-6.8977209999999997E-2</v>
      </c>
      <c r="X1770">
        <v>0.99719199999999997</v>
      </c>
      <c r="Y1770">
        <v>0.1157401</v>
      </c>
      <c r="Z1770">
        <v>2.8284909999999998E-4</v>
      </c>
      <c r="AA1770">
        <v>0.99327949999999998</v>
      </c>
      <c r="AB1770">
        <v>29</v>
      </c>
      <c r="AC1770">
        <v>-220.68039999999999</v>
      </c>
      <c r="AD1770">
        <v>-0.62083619999999995</v>
      </c>
      <c r="AE1770">
        <v>16.275899999999901</v>
      </c>
      <c r="AF1770">
        <v>25.641446772096401</v>
      </c>
      <c r="AG1770">
        <v>-0.62083619999999995</v>
      </c>
      <c r="AH1770">
        <v>219.787372718114</v>
      </c>
      <c r="AI1770">
        <v>90.160753412136501</v>
      </c>
      <c r="AJ1770">
        <v>83.345681269436596</v>
      </c>
      <c r="AK1770">
        <v>221.278915481084</v>
      </c>
      <c r="AL1770">
        <v>93.955243414228207</v>
      </c>
      <c r="AM1770">
        <v>91.675052649564407</v>
      </c>
      <c r="AN1770">
        <v>1.0000000638066699</v>
      </c>
    </row>
    <row r="1771" spans="1:40" x14ac:dyDescent="0.25">
      <c r="A1771" t="str">
        <f>"20190305135228128"</f>
        <v>20190305135228128</v>
      </c>
      <c r="B1771" t="str">
        <f>"1551765148121561"</f>
        <v>1551765148121561</v>
      </c>
      <c r="C1771" t="s">
        <v>40</v>
      </c>
      <c r="D1771">
        <v>4.5694179999999998</v>
      </c>
      <c r="E1771">
        <v>0.55554159999999997</v>
      </c>
      <c r="F1771" t="s">
        <v>65</v>
      </c>
      <c r="G1771">
        <v>-440.87119999999999</v>
      </c>
      <c r="H1771">
        <v>0.3654635</v>
      </c>
      <c r="I1771">
        <v>301.88139999999999</v>
      </c>
      <c r="J1771">
        <v>-220.49199999999999</v>
      </c>
      <c r="K1771">
        <v>1.1069009999999999</v>
      </c>
      <c r="L1771">
        <v>285.72910000000002</v>
      </c>
      <c r="M1771">
        <v>-0.99912140000000005</v>
      </c>
      <c r="N1771" s="1">
        <v>-9.4553749999999999E-5</v>
      </c>
      <c r="O1771">
        <v>-4.1908899999999999E-2</v>
      </c>
      <c r="P1771">
        <v>-0.99506749999999999</v>
      </c>
      <c r="Q1771">
        <v>-6.8694179999999994E-2</v>
      </c>
      <c r="R1771">
        <v>-7.1568129999999994E-2</v>
      </c>
      <c r="S1771">
        <v>-3.030151</v>
      </c>
      <c r="T1771">
        <v>-1.0180349999999999E-2</v>
      </c>
      <c r="U1771">
        <v>0.2216187</v>
      </c>
      <c r="V1771">
        <v>-2.9879780000000002E-2</v>
      </c>
      <c r="W1771">
        <v>-6.8566429999999998E-2</v>
      </c>
      <c r="X1771">
        <v>0.99719899999999995</v>
      </c>
      <c r="Y1771">
        <v>0.11467529999999999</v>
      </c>
      <c r="Z1771">
        <v>3.3448640000000002E-4</v>
      </c>
      <c r="AA1771">
        <v>0.99340300000000004</v>
      </c>
      <c r="AB1771">
        <v>29</v>
      </c>
      <c r="AC1771">
        <v>-220.3792</v>
      </c>
      <c r="AD1771">
        <v>-0.74143749999999997</v>
      </c>
      <c r="AE1771">
        <v>16.152299999999901</v>
      </c>
      <c r="AF1771">
        <v>25.373673689716298</v>
      </c>
      <c r="AG1771">
        <v>-0.74143749999999997</v>
      </c>
      <c r="AH1771">
        <v>219.506186315675</v>
      </c>
      <c r="AI1771">
        <v>90.192250052598197</v>
      </c>
      <c r="AJ1771">
        <v>83.406196925303107</v>
      </c>
      <c r="AK1771">
        <v>220.96909032018601</v>
      </c>
      <c r="AL1771">
        <v>93.931651846623495</v>
      </c>
      <c r="AM1771">
        <v>91.716280510592597</v>
      </c>
      <c r="AN1771">
        <v>1.00000000108839</v>
      </c>
    </row>
    <row r="1772" spans="1:40" x14ac:dyDescent="0.25">
      <c r="A1772" t="str">
        <f>"20190305135228149"</f>
        <v>20190305135228149</v>
      </c>
      <c r="B1772" t="str">
        <f>"1551765148141081"</f>
        <v>1551765148141081</v>
      </c>
      <c r="C1772" t="s">
        <v>40</v>
      </c>
      <c r="D1772">
        <v>4.5394870000000003</v>
      </c>
      <c r="E1772">
        <v>0.55501020000000001</v>
      </c>
      <c r="F1772" t="s">
        <v>65</v>
      </c>
      <c r="G1772">
        <v>-440.87119999999999</v>
      </c>
      <c r="H1772">
        <v>0.25093710000000002</v>
      </c>
      <c r="I1772">
        <v>301.53649999999999</v>
      </c>
      <c r="J1772">
        <v>-220.77279999999999</v>
      </c>
      <c r="K1772">
        <v>1.1069040000000001</v>
      </c>
      <c r="L1772">
        <v>285.71780000000001</v>
      </c>
      <c r="M1772">
        <v>-0.99914429999999999</v>
      </c>
      <c r="N1772">
        <v>-1.133457E-4</v>
      </c>
      <c r="O1772">
        <v>-4.1362790000000003E-2</v>
      </c>
      <c r="P1772">
        <v>-0.99509599999999998</v>
      </c>
      <c r="Q1772">
        <v>-6.8334199999999998E-2</v>
      </c>
      <c r="R1772">
        <v>-7.1514739999999993E-2</v>
      </c>
      <c r="S1772">
        <v>-3.029709</v>
      </c>
      <c r="T1772">
        <v>-1.1767390000000001E-2</v>
      </c>
      <c r="U1772">
        <v>0.2173157</v>
      </c>
      <c r="V1772">
        <v>-3.036985E-2</v>
      </c>
      <c r="W1772">
        <v>-6.8187390000000001E-2</v>
      </c>
      <c r="X1772">
        <v>0.99721020000000005</v>
      </c>
      <c r="Y1772">
        <v>0.1127388</v>
      </c>
      <c r="Z1772">
        <v>3.8084449999999998E-4</v>
      </c>
      <c r="AA1772">
        <v>0.99362459999999997</v>
      </c>
      <c r="AB1772">
        <v>29</v>
      </c>
      <c r="AC1772">
        <v>-220.0984</v>
      </c>
      <c r="AD1772">
        <v>-0.85596689999999998</v>
      </c>
      <c r="AE1772">
        <v>15.8186999999999</v>
      </c>
      <c r="AF1772">
        <v>24.908670394413999</v>
      </c>
      <c r="AG1772">
        <v>-0.85596689999999998</v>
      </c>
      <c r="AH1772">
        <v>219.25243388805799</v>
      </c>
      <c r="AI1772">
        <v>90.222253341408106</v>
      </c>
      <c r="AJ1772">
        <v>83.518572019467101</v>
      </c>
      <c r="AK1772">
        <v>220.66446090385401</v>
      </c>
      <c r="AL1772">
        <v>93.909883450465998</v>
      </c>
      <c r="AM1772">
        <v>91.744393069088702</v>
      </c>
      <c r="AN1772">
        <v>1.0000000154640301</v>
      </c>
    </row>
    <row r="1773" spans="1:40" x14ac:dyDescent="0.25">
      <c r="A1773" t="str">
        <f>"20190305135228172"</f>
        <v>20190305135228172</v>
      </c>
      <c r="B1773" t="str">
        <f>"1551765148161577"</f>
        <v>1551765148161577</v>
      </c>
      <c r="C1773" t="s">
        <v>40</v>
      </c>
      <c r="D1773">
        <v>4.5686689999999999</v>
      </c>
      <c r="E1773">
        <v>0.55458809999999903</v>
      </c>
      <c r="F1773" t="s">
        <v>65</v>
      </c>
      <c r="G1773">
        <v>-440.87110000000001</v>
      </c>
      <c r="H1773">
        <v>0.1471671</v>
      </c>
      <c r="I1773">
        <v>301.23489999999998</v>
      </c>
      <c r="J1773">
        <v>-221.07259999999999</v>
      </c>
      <c r="K1773">
        <v>1.1069009999999999</v>
      </c>
      <c r="L1773">
        <v>285.70600000000002</v>
      </c>
      <c r="M1773">
        <v>-0.99916799999999995</v>
      </c>
      <c r="N1773">
        <v>-1.3475560000000001E-4</v>
      </c>
      <c r="O1773">
        <v>-4.0785799999999997E-2</v>
      </c>
      <c r="P1773">
        <v>-0.99510889999999996</v>
      </c>
      <c r="Q1773">
        <v>-6.872578E-2</v>
      </c>
      <c r="R1773">
        <v>-7.0961389999999999E-2</v>
      </c>
      <c r="S1773">
        <v>-3.0292210000000002</v>
      </c>
      <c r="T1773">
        <v>-1.320875E-2</v>
      </c>
      <c r="U1773">
        <v>0.213562</v>
      </c>
      <c r="V1773">
        <v>-3.039238E-2</v>
      </c>
      <c r="W1773">
        <v>-6.8557590000000002E-2</v>
      </c>
      <c r="X1773">
        <v>0.99718410000000002</v>
      </c>
      <c r="Y1773">
        <v>0.11095099999999999</v>
      </c>
      <c r="Z1773">
        <v>4.212431E-4</v>
      </c>
      <c r="AA1773">
        <v>0.99382579999999998</v>
      </c>
      <c r="AB1773">
        <v>29</v>
      </c>
      <c r="AC1773">
        <v>-219.79849999999999</v>
      </c>
      <c r="AD1773">
        <v>-0.95973390000000003</v>
      </c>
      <c r="AE1773">
        <v>15.5289</v>
      </c>
      <c r="AF1773">
        <v>24.480171077384501</v>
      </c>
      <c r="AG1773">
        <v>-0.95973390000000003</v>
      </c>
      <c r="AH1773">
        <v>218.97809578947599</v>
      </c>
      <c r="AI1773">
        <v>90.249558886694302</v>
      </c>
      <c r="AJ1773">
        <v>83.621230441834498</v>
      </c>
      <c r="AK1773">
        <v>220.34429037468101</v>
      </c>
      <c r="AL1773">
        <v>93.931144222184599</v>
      </c>
      <c r="AM1773">
        <v>91.745732016752896</v>
      </c>
      <c r="AN1773">
        <v>0.99999998460074102</v>
      </c>
    </row>
    <row r="1774" spans="1:40" x14ac:dyDescent="0.25">
      <c r="A1774" t="str">
        <f>"20190305135228194"</f>
        <v>20190305135228194</v>
      </c>
      <c r="B1774" t="str">
        <f>"1551765148190858"</f>
        <v>1551765148190858</v>
      </c>
      <c r="C1774" t="s">
        <v>40</v>
      </c>
      <c r="D1774">
        <v>4.5819599999999996</v>
      </c>
      <c r="E1774">
        <v>0.553838099999999</v>
      </c>
      <c r="F1774" t="s">
        <v>42</v>
      </c>
      <c r="G1774">
        <v>-426.87060000000002</v>
      </c>
      <c r="H1774" s="1">
        <v>-2.0557259999999999E-6</v>
      </c>
      <c r="I1774">
        <v>300.1198</v>
      </c>
      <c r="J1774">
        <v>-221.3656</v>
      </c>
      <c r="K1774">
        <v>1.106892</v>
      </c>
      <c r="L1774">
        <v>285.69459999999998</v>
      </c>
      <c r="M1774">
        <v>-0.99919069999999999</v>
      </c>
      <c r="N1774">
        <v>-1.565999E-4</v>
      </c>
      <c r="O1774">
        <v>-4.0224919999999997E-2</v>
      </c>
      <c r="P1774">
        <v>-0.99504250000000005</v>
      </c>
      <c r="Q1774">
        <v>-6.9598750000000001E-2</v>
      </c>
      <c r="R1774">
        <v>-7.1039989999999997E-2</v>
      </c>
      <c r="S1774">
        <v>-3.0287320000000002</v>
      </c>
      <c r="T1774">
        <v>-1.6290309999999999E-2</v>
      </c>
      <c r="U1774">
        <v>0.2121277</v>
      </c>
      <c r="V1774">
        <v>-3.1034829999999999E-2</v>
      </c>
      <c r="W1774">
        <v>-6.9407880000000005E-2</v>
      </c>
      <c r="X1774">
        <v>0.99710549999999998</v>
      </c>
      <c r="Y1774">
        <v>0.109935199999999</v>
      </c>
      <c r="Z1774">
        <v>5.1373169999999896E-4</v>
      </c>
      <c r="AA1774">
        <v>0.99393860000000001</v>
      </c>
      <c r="AB1774">
        <v>30</v>
      </c>
      <c r="AC1774">
        <v>-205.505</v>
      </c>
      <c r="AD1774">
        <v>-1.1068940557260001</v>
      </c>
      <c r="AE1774">
        <v>14.4252</v>
      </c>
      <c r="AF1774">
        <v>22.679292015846801</v>
      </c>
      <c r="AG1774">
        <v>-1.1068940557260001</v>
      </c>
      <c r="AH1774">
        <v>204.75251112234699</v>
      </c>
      <c r="AI1774">
        <v>90.307855810803105</v>
      </c>
      <c r="AJ1774">
        <v>83.679431004515607</v>
      </c>
      <c r="AK1774">
        <v>206.007685079216</v>
      </c>
      <c r="AL1774">
        <v>93.979978536726307</v>
      </c>
      <c r="AM1774">
        <v>91.782751078039098</v>
      </c>
      <c r="AN1774">
        <v>0.99999999630473602</v>
      </c>
    </row>
    <row r="1775" spans="1:40" x14ac:dyDescent="0.25">
      <c r="A1775" t="str">
        <f>"20190305135228218"</f>
        <v>20190305135228218</v>
      </c>
      <c r="B1775" t="str">
        <f>"1551765148211354"</f>
        <v>1551765148211354</v>
      </c>
      <c r="C1775" t="s">
        <v>40</v>
      </c>
      <c r="D1775">
        <v>4.5440079999999998</v>
      </c>
      <c r="E1775">
        <v>0.55365069999999905</v>
      </c>
      <c r="F1775" t="s">
        <v>47</v>
      </c>
      <c r="G1775">
        <v>-375.6841</v>
      </c>
      <c r="H1775">
        <v>-0.05</v>
      </c>
      <c r="I1775">
        <v>296.21109999999999</v>
      </c>
      <c r="J1775">
        <v>-221.68389999999999</v>
      </c>
      <c r="K1775">
        <v>1.1068789999999999</v>
      </c>
      <c r="L1775">
        <v>285.6823</v>
      </c>
      <c r="M1775">
        <v>-0.99921499999999996</v>
      </c>
      <c r="N1775">
        <v>-1.8130190000000001E-4</v>
      </c>
      <c r="O1775">
        <v>-3.9615749999999998E-2</v>
      </c>
      <c r="P1775">
        <v>-0.99504280000000001</v>
      </c>
      <c r="Q1775">
        <v>-7.0157890000000001E-2</v>
      </c>
      <c r="R1775">
        <v>-7.0482840000000005E-2</v>
      </c>
      <c r="S1775">
        <v>-3.0281220000000002</v>
      </c>
      <c r="T1775">
        <v>-2.2701140000000002E-2</v>
      </c>
      <c r="U1775">
        <v>0.20635990000000001</v>
      </c>
      <c r="V1775">
        <v>-3.1087400000000001E-2</v>
      </c>
      <c r="W1775">
        <v>-6.9941989999999996E-2</v>
      </c>
      <c r="X1775">
        <v>0.99706660000000003</v>
      </c>
      <c r="Y1775">
        <v>0.1074567</v>
      </c>
      <c r="Z1775">
        <v>7.015805E-4</v>
      </c>
      <c r="AA1775">
        <v>0.99420949999999997</v>
      </c>
      <c r="AB1775">
        <v>30</v>
      </c>
      <c r="AC1775">
        <v>-154.00020000000001</v>
      </c>
      <c r="AD1775">
        <v>-1.156879</v>
      </c>
      <c r="AE1775">
        <v>10.528799999999899</v>
      </c>
      <c r="AF1775">
        <v>16.620434539211701</v>
      </c>
      <c r="AG1775">
        <v>-1.156879</v>
      </c>
      <c r="AH1775">
        <v>153.45358214352601</v>
      </c>
      <c r="AI1775">
        <v>90.429430516804004</v>
      </c>
      <c r="AJ1775">
        <v>83.818436602391202</v>
      </c>
      <c r="AK1775">
        <v>154.35536623639899</v>
      </c>
      <c r="AL1775">
        <v>94.010655096046406</v>
      </c>
      <c r="AM1775">
        <v>91.785838557960503</v>
      </c>
      <c r="AN1775">
        <v>1.00000005661973</v>
      </c>
    </row>
    <row r="1776" spans="1:40" x14ac:dyDescent="0.25">
      <c r="A1776" t="str">
        <f>"20190305135228240"</f>
        <v>20190305135228240</v>
      </c>
      <c r="B1776" t="str">
        <f>"1551765148230877"</f>
        <v>1551765148230877</v>
      </c>
      <c r="C1776" t="s">
        <v>40</v>
      </c>
      <c r="D1776">
        <v>4.6022439999999998</v>
      </c>
      <c r="E1776">
        <v>0.55349289999999995</v>
      </c>
      <c r="F1776" t="s">
        <v>56</v>
      </c>
      <c r="G1776">
        <v>-348.98500000000001</v>
      </c>
      <c r="H1776">
        <v>8.0001180000000005E-2</v>
      </c>
      <c r="I1776">
        <v>294.35969999999998</v>
      </c>
      <c r="J1776">
        <v>-221.983</v>
      </c>
      <c r="K1776">
        <v>1.1068659999999999</v>
      </c>
      <c r="L1776">
        <v>285.67099999999999</v>
      </c>
      <c r="M1776">
        <v>-0.9992375</v>
      </c>
      <c r="N1776">
        <v>-2.055417E-4</v>
      </c>
      <c r="O1776">
        <v>-3.904258E-2</v>
      </c>
      <c r="P1776">
        <v>-0.99502199999999996</v>
      </c>
      <c r="Q1776">
        <v>-7.0681450000000007E-2</v>
      </c>
      <c r="R1776">
        <v>-7.0251510000000003E-2</v>
      </c>
      <c r="S1776">
        <v>-3.0278320000000001</v>
      </c>
      <c r="T1776">
        <v>-2.4424080000000001E-2</v>
      </c>
      <c r="U1776">
        <v>0.2063904</v>
      </c>
      <c r="V1776">
        <v>-3.1430510000000002E-2</v>
      </c>
      <c r="W1776">
        <v>-7.0440630000000004E-2</v>
      </c>
      <c r="X1776">
        <v>0.99702069999999998</v>
      </c>
      <c r="Y1776">
        <v>0.1069022</v>
      </c>
      <c r="Z1776">
        <v>7.4825539999999902E-4</v>
      </c>
      <c r="AA1776">
        <v>0.99426930000000002</v>
      </c>
      <c r="AB1776">
        <v>30</v>
      </c>
      <c r="AC1776">
        <v>-127.002</v>
      </c>
      <c r="AD1776">
        <v>-1.0268648199999999</v>
      </c>
      <c r="AE1776">
        <v>8.6886999999999794</v>
      </c>
      <c r="AF1776">
        <v>13.639673736263401</v>
      </c>
      <c r="AG1776">
        <v>-1.0268648199999999</v>
      </c>
      <c r="AH1776">
        <v>126.55770270971701</v>
      </c>
      <c r="AI1776">
        <v>90.462200283457506</v>
      </c>
      <c r="AJ1776">
        <v>83.848727778528399</v>
      </c>
      <c r="AK1776">
        <v>127.294725995036</v>
      </c>
      <c r="AL1776">
        <v>94.039295860074006</v>
      </c>
      <c r="AM1776">
        <v>91.805618856022804</v>
      </c>
      <c r="AN1776">
        <v>1.0000000177710699</v>
      </c>
    </row>
    <row r="1777" spans="1:40" x14ac:dyDescent="0.25">
      <c r="A1777" t="str">
        <f>"20190305135228262"</f>
        <v>20190305135228262</v>
      </c>
      <c r="B1777" t="str">
        <f>"1551765148251369"</f>
        <v>1551765148251369</v>
      </c>
      <c r="C1777" t="s">
        <v>40</v>
      </c>
      <c r="D1777">
        <v>4.6045610000000003</v>
      </c>
      <c r="E1777">
        <v>0.553365199999999</v>
      </c>
      <c r="F1777" t="s">
        <v>56</v>
      </c>
      <c r="G1777">
        <v>-339.90379999999999</v>
      </c>
      <c r="H1777">
        <v>8.0001059999999999E-2</v>
      </c>
      <c r="I1777">
        <v>293.69400000000002</v>
      </c>
      <c r="J1777">
        <v>-222.2783</v>
      </c>
      <c r="K1777">
        <v>1.106854</v>
      </c>
      <c r="L1777">
        <v>285.66000000000003</v>
      </c>
      <c r="M1777">
        <v>-0.99925960000000003</v>
      </c>
      <c r="N1777">
        <v>-2.3222149999999999E-4</v>
      </c>
      <c r="O1777">
        <v>-3.8476690000000001E-2</v>
      </c>
      <c r="P1777">
        <v>-0.99504150000000002</v>
      </c>
      <c r="Q1777">
        <v>-7.1112270000000005E-2</v>
      </c>
      <c r="R1777">
        <v>-6.9543209999999994E-2</v>
      </c>
      <c r="S1777">
        <v>-3.0276640000000001</v>
      </c>
      <c r="T1777">
        <v>-2.6365159999999999E-2</v>
      </c>
      <c r="U1777">
        <v>0.2059937</v>
      </c>
      <c r="V1777">
        <v>-3.1287469999999998E-2</v>
      </c>
      <c r="W1777">
        <v>-7.0844589999999999E-2</v>
      </c>
      <c r="X1777">
        <v>0.99699660000000001</v>
      </c>
      <c r="Y1777">
        <v>0.1062124</v>
      </c>
      <c r="Z1777">
        <v>8.0004710000000005E-4</v>
      </c>
      <c r="AA1777">
        <v>0.99434319999999998</v>
      </c>
      <c r="AB1777">
        <v>30</v>
      </c>
      <c r="AC1777">
        <v>-117.6255</v>
      </c>
      <c r="AD1777">
        <v>-1.0268529399999999</v>
      </c>
      <c r="AE1777">
        <v>8.03399999999999</v>
      </c>
      <c r="AF1777">
        <v>12.5529380256678</v>
      </c>
      <c r="AG1777">
        <v>-1.0268529399999999</v>
      </c>
      <c r="AH1777">
        <v>117.220384486589</v>
      </c>
      <c r="AI1777">
        <v>90.499046143122897</v>
      </c>
      <c r="AJ1777">
        <v>83.887583812030101</v>
      </c>
      <c r="AK1777">
        <v>117.89507716279</v>
      </c>
      <c r="AL1777">
        <v>94.062498936851796</v>
      </c>
      <c r="AM1777">
        <v>91.797450321010899</v>
      </c>
      <c r="AN1777">
        <v>1.00000004106141</v>
      </c>
    </row>
    <row r="1778" spans="1:40" x14ac:dyDescent="0.25">
      <c r="A1778" t="str">
        <f>"20190305135228286"</f>
        <v>20190305135228286</v>
      </c>
      <c r="B1778" t="str">
        <f>"1551765148281626"</f>
        <v>1551765148281626</v>
      </c>
      <c r="C1778" t="s">
        <v>40</v>
      </c>
      <c r="D1778">
        <v>4.5490029999999999</v>
      </c>
      <c r="E1778">
        <v>0.55314600000000003</v>
      </c>
      <c r="F1778" t="s">
        <v>56</v>
      </c>
      <c r="G1778">
        <v>-336.31470000000002</v>
      </c>
      <c r="H1778">
        <v>8.0000009999999996E-2</v>
      </c>
      <c r="I1778">
        <v>293.44920000000002</v>
      </c>
      <c r="J1778">
        <v>-222.59819999999999</v>
      </c>
      <c r="K1778">
        <v>1.1068439999999999</v>
      </c>
      <c r="L1778">
        <v>285.64819999999997</v>
      </c>
      <c r="M1778">
        <v>-0.99928300000000003</v>
      </c>
      <c r="N1778">
        <v>-2.6753330000000002E-4</v>
      </c>
      <c r="O1778">
        <v>-3.7863710000000002E-2</v>
      </c>
      <c r="P1778">
        <v>-0.99506439999999996</v>
      </c>
      <c r="Q1778">
        <v>-7.1357180000000006E-2</v>
      </c>
      <c r="R1778">
        <v>-6.8956489999999995E-2</v>
      </c>
      <c r="S1778">
        <v>-3.0274510000000001</v>
      </c>
      <c r="T1778">
        <v>-2.726102E-2</v>
      </c>
      <c r="U1778">
        <v>0.2067871</v>
      </c>
      <c r="V1778">
        <v>-3.131362E-2</v>
      </c>
      <c r="W1778">
        <v>-7.1053859999999996E-2</v>
      </c>
      <c r="X1778">
        <v>0.9969808</v>
      </c>
      <c r="Y1778">
        <v>0.1058663</v>
      </c>
      <c r="Z1778">
        <v>8.2073330000000002E-4</v>
      </c>
      <c r="AA1778">
        <v>0.99438009999999999</v>
      </c>
      <c r="AB1778">
        <v>30</v>
      </c>
      <c r="AC1778">
        <v>-113.7165</v>
      </c>
      <c r="AD1778">
        <v>-1.0268439899999999</v>
      </c>
      <c r="AE1778">
        <v>7.8010000000000401</v>
      </c>
      <c r="AF1778">
        <v>12.100152199431299</v>
      </c>
      <c r="AG1778">
        <v>-1.0268439899999999</v>
      </c>
      <c r="AH1778">
        <v>113.330383082072</v>
      </c>
      <c r="AI1778">
        <v>90.5161876457245</v>
      </c>
      <c r="AJ1778">
        <v>83.905684334084995</v>
      </c>
      <c r="AK1778">
        <v>113.979137658426</v>
      </c>
      <c r="AL1778">
        <v>94.074519869382996</v>
      </c>
      <c r="AM1778">
        <v>91.7989801301744</v>
      </c>
      <c r="AN1778">
        <v>0.99999995469352099</v>
      </c>
    </row>
    <row r="1779" spans="1:40" x14ac:dyDescent="0.25">
      <c r="A1779" t="str">
        <f>"20190305135228307"</f>
        <v>20190305135228307</v>
      </c>
      <c r="B1779" t="str">
        <f>"1551765148301146"</f>
        <v>1551765148301146</v>
      </c>
      <c r="C1779" t="s">
        <v>40</v>
      </c>
      <c r="D1779">
        <v>4.5525719999999996</v>
      </c>
      <c r="E1779">
        <v>0.55310870000000001</v>
      </c>
      <c r="F1779" t="s">
        <v>56</v>
      </c>
      <c r="G1779">
        <v>-334.19029999999998</v>
      </c>
      <c r="H1779">
        <v>8.0000870000000002E-2</v>
      </c>
      <c r="I1779">
        <v>293.27769999999998</v>
      </c>
      <c r="J1779">
        <v>-222.90479999999999</v>
      </c>
      <c r="K1779">
        <v>1.106833</v>
      </c>
      <c r="L1779">
        <v>285.63720000000001</v>
      </c>
      <c r="M1779">
        <v>-0.999305</v>
      </c>
      <c r="N1779">
        <v>-3.075598E-4</v>
      </c>
      <c r="O1779">
        <v>-3.7276829999999997E-2</v>
      </c>
      <c r="P1779">
        <v>-0.99511079999999996</v>
      </c>
      <c r="Q1779">
        <v>-7.1290900000000004E-2</v>
      </c>
      <c r="R1779">
        <v>-6.8354289999999998E-2</v>
      </c>
      <c r="S1779">
        <v>-3.0272220000000001</v>
      </c>
      <c r="T1779">
        <v>-2.7855749999999999E-2</v>
      </c>
      <c r="U1779">
        <v>0.20697019999999999</v>
      </c>
      <c r="V1779">
        <v>-3.1296270000000001E-2</v>
      </c>
      <c r="W1779">
        <v>-7.0947209999999997E-2</v>
      </c>
      <c r="X1779">
        <v>0.99698900000000001</v>
      </c>
      <c r="Y1779">
        <v>0.105347</v>
      </c>
      <c r="Z1779">
        <v>8.3153789999999904E-4</v>
      </c>
      <c r="AA1779">
        <v>0.99443519999999996</v>
      </c>
      <c r="AB1779">
        <v>31</v>
      </c>
      <c r="AC1779">
        <v>-111.285499999999</v>
      </c>
      <c r="AD1779">
        <v>-1.0268321299999901</v>
      </c>
      <c r="AE1779">
        <v>7.6404999999999701</v>
      </c>
      <c r="AF1779">
        <v>11.782561818424799</v>
      </c>
      <c r="AG1779">
        <v>-1.0268321299999901</v>
      </c>
      <c r="AH1779">
        <v>110.913941806511</v>
      </c>
      <c r="AI1779">
        <v>90.527456755423501</v>
      </c>
      <c r="AJ1779">
        <v>83.936121911169707</v>
      </c>
      <c r="AK1779">
        <v>111.54275249556299</v>
      </c>
      <c r="AL1779">
        <v>94.068393569529206</v>
      </c>
      <c r="AM1779">
        <v>91.797969241798697</v>
      </c>
      <c r="AN1779">
        <v>1.00000001462184</v>
      </c>
    </row>
    <row r="1780" spans="1:40" x14ac:dyDescent="0.25">
      <c r="A1780" t="str">
        <f>"20190305135228329"</f>
        <v>20190305135228329</v>
      </c>
      <c r="B1780" t="str">
        <f>"1551765148320669"</f>
        <v>1551765148320669</v>
      </c>
      <c r="C1780" t="s">
        <v>40</v>
      </c>
      <c r="D1780">
        <v>4.5440420000000001</v>
      </c>
      <c r="E1780">
        <v>0.55317260000000001</v>
      </c>
      <c r="F1780" t="s">
        <v>56</v>
      </c>
      <c r="G1780">
        <v>-340.85090000000002</v>
      </c>
      <c r="H1780">
        <v>8.0000269999999998E-2</v>
      </c>
      <c r="I1780">
        <v>293.76069999999999</v>
      </c>
      <c r="J1780">
        <v>-223.21539999999999</v>
      </c>
      <c r="K1780">
        <v>1.1068309999999999</v>
      </c>
      <c r="L1780">
        <v>285.62619999999998</v>
      </c>
      <c r="M1780">
        <v>-0.99932699999999997</v>
      </c>
      <c r="N1780">
        <v>-3.5101199999999999E-4</v>
      </c>
      <c r="O1780">
        <v>-3.6682680000000002E-2</v>
      </c>
      <c r="P1780">
        <v>-0.99513320000000005</v>
      </c>
      <c r="Q1780">
        <v>-7.1590349999999997E-2</v>
      </c>
      <c r="R1780">
        <v>-6.7711030000000005E-2</v>
      </c>
      <c r="S1780">
        <v>-3.0271759999999999</v>
      </c>
      <c r="T1780">
        <v>-2.6354430000000002E-2</v>
      </c>
      <c r="U1780">
        <v>0.20849609999999999</v>
      </c>
      <c r="V1780">
        <v>-3.1247199999999999E-2</v>
      </c>
      <c r="W1780">
        <v>-7.1202920000000003E-2</v>
      </c>
      <c r="X1780">
        <v>0.99697230000000003</v>
      </c>
      <c r="Y1780">
        <v>0.1052563</v>
      </c>
      <c r="Z1780">
        <v>7.8228439999999998E-4</v>
      </c>
      <c r="AA1780">
        <v>0.99444480000000002</v>
      </c>
      <c r="AB1780">
        <v>31</v>
      </c>
      <c r="AC1780">
        <v>-117.63549999999999</v>
      </c>
      <c r="AD1780">
        <v>-1.0268307299999999</v>
      </c>
      <c r="AE1780">
        <v>8.1344999999999992</v>
      </c>
      <c r="AF1780">
        <v>12.443266846439499</v>
      </c>
      <c r="AG1780">
        <v>-1.0268307299999999</v>
      </c>
      <c r="AH1780">
        <v>117.24904066913901</v>
      </c>
      <c r="AI1780">
        <v>90.4989639571818</v>
      </c>
      <c r="AJ1780">
        <v>83.942057030963596</v>
      </c>
      <c r="AK1780">
        <v>117.911945149731</v>
      </c>
      <c r="AL1780">
        <v>94.083081858923705</v>
      </c>
      <c r="AM1780">
        <v>91.795182068989106</v>
      </c>
      <c r="AN1780">
        <v>1.00000000514582</v>
      </c>
    </row>
    <row r="1781" spans="1:40" x14ac:dyDescent="0.25">
      <c r="A1781" t="str">
        <f>"20190305135228342"</f>
        <v>20190305135228342</v>
      </c>
      <c r="B1781" t="str">
        <f>"1551765148331402"</f>
        <v>1551765148331402</v>
      </c>
      <c r="C1781" t="s">
        <v>40</v>
      </c>
      <c r="D1781">
        <v>4.5976910000000002</v>
      </c>
      <c r="E1781">
        <v>0.55306420000000001</v>
      </c>
      <c r="F1781" t="s">
        <v>56</v>
      </c>
      <c r="G1781">
        <v>-349.67200000000003</v>
      </c>
      <c r="H1781">
        <v>8.0001390000000006E-2</v>
      </c>
      <c r="I1781">
        <v>294.42489999999998</v>
      </c>
      <c r="J1781">
        <v>-223.3973</v>
      </c>
      <c r="K1781">
        <v>1.106833</v>
      </c>
      <c r="L1781">
        <v>285.6198</v>
      </c>
      <c r="M1781">
        <v>-0.9993398</v>
      </c>
      <c r="N1781">
        <v>-3.7709529999999997E-4</v>
      </c>
      <c r="O1781">
        <v>-3.633542E-2</v>
      </c>
      <c r="P1781">
        <v>-0.99517440000000001</v>
      </c>
      <c r="Q1781">
        <v>-7.1459549999999997E-2</v>
      </c>
      <c r="R1781">
        <v>-6.7244810000000002E-2</v>
      </c>
      <c r="S1781">
        <v>-3.027237</v>
      </c>
      <c r="T1781">
        <v>-2.4581189999999999E-2</v>
      </c>
      <c r="U1781">
        <v>0.21063229999999999</v>
      </c>
      <c r="V1781">
        <v>-3.1126330000000001E-2</v>
      </c>
      <c r="W1781">
        <v>-7.104597E-2</v>
      </c>
      <c r="X1781">
        <v>0.99698730000000002</v>
      </c>
      <c r="Y1781">
        <v>0.10560849999999999</v>
      </c>
      <c r="Z1781">
        <v>7.292272E-4</v>
      </c>
      <c r="AA1781">
        <v>0.9944075</v>
      </c>
      <c r="AB1781">
        <v>31</v>
      </c>
      <c r="AC1781">
        <v>-126.274699999999</v>
      </c>
      <c r="AD1781">
        <v>-1.0268316099999999</v>
      </c>
      <c r="AE1781">
        <v>8.8050999999999799</v>
      </c>
      <c r="AF1781">
        <v>13.386648224928001</v>
      </c>
      <c r="AG1781">
        <v>-1.0268316099999999</v>
      </c>
      <c r="AH1781">
        <v>125.863095215493</v>
      </c>
      <c r="AI1781">
        <v>90.464805549763796</v>
      </c>
      <c r="AJ1781">
        <v>83.9289132280404</v>
      </c>
      <c r="AK1781">
        <v>126.577152247463</v>
      </c>
      <c r="AL1781">
        <v>94.074066363922398</v>
      </c>
      <c r="AM1781">
        <v>91.788215599965397</v>
      </c>
      <c r="AN1781">
        <v>1.0000000273168901</v>
      </c>
    </row>
    <row r="1782" spans="1:40" x14ac:dyDescent="0.25">
      <c r="A1782" t="str">
        <f>"20190305135228363"</f>
        <v>20190305135228363</v>
      </c>
      <c r="B1782" t="str">
        <f>"1551765148361657"</f>
        <v>1551765148361657</v>
      </c>
      <c r="C1782" t="s">
        <v>40</v>
      </c>
      <c r="D1782">
        <v>4.5993879999999896</v>
      </c>
      <c r="E1782">
        <v>0.55287120000000001</v>
      </c>
      <c r="F1782" t="s">
        <v>56</v>
      </c>
      <c r="G1782">
        <v>-351.14280000000002</v>
      </c>
      <c r="H1782">
        <v>8.0000360000000006E-2</v>
      </c>
      <c r="I1782">
        <v>294.52550000000002</v>
      </c>
      <c r="J1782">
        <v>-223.6876</v>
      </c>
      <c r="K1782">
        <v>1.1068309999999999</v>
      </c>
      <c r="L1782">
        <v>285.60969999999998</v>
      </c>
      <c r="M1782">
        <v>-0.99935960000000001</v>
      </c>
      <c r="N1782">
        <v>-4.2138000000000001E-4</v>
      </c>
      <c r="O1782">
        <v>-3.5781680000000003E-2</v>
      </c>
      <c r="P1782">
        <v>-0.99523329999999999</v>
      </c>
      <c r="Q1782">
        <v>-7.1131589999999995E-2</v>
      </c>
      <c r="R1782">
        <v>-6.6716689999999995E-2</v>
      </c>
      <c r="S1782">
        <v>-3.0270540000000001</v>
      </c>
      <c r="T1782">
        <v>-2.4331809999999999E-2</v>
      </c>
      <c r="U1782">
        <v>0.2110291</v>
      </c>
      <c r="V1782">
        <v>-3.11495E-2</v>
      </c>
      <c r="W1782">
        <v>-7.0673349999999996E-2</v>
      </c>
      <c r="X1782">
        <v>0.99701300000000004</v>
      </c>
      <c r="Y1782">
        <v>0.10519149999999999</v>
      </c>
      <c r="Z1782">
        <v>7.1669179999999896E-4</v>
      </c>
      <c r="AA1782">
        <v>0.99445170000000005</v>
      </c>
      <c r="AB1782">
        <v>31</v>
      </c>
      <c r="AC1782">
        <v>-127.4552</v>
      </c>
      <c r="AD1782">
        <v>-1.02683063999999</v>
      </c>
      <c r="AE1782">
        <v>8.9158000000000399</v>
      </c>
      <c r="AF1782">
        <v>13.4697819073102</v>
      </c>
      <c r="AG1782">
        <v>-1.02683063999999</v>
      </c>
      <c r="AH1782">
        <v>127.046353406981</v>
      </c>
      <c r="AI1782">
        <v>90.460492548881305</v>
      </c>
      <c r="AJ1782">
        <v>83.9479627278115</v>
      </c>
      <c r="AK1782">
        <v>127.762534883295</v>
      </c>
      <c r="AL1782">
        <v>94.052663250256003</v>
      </c>
      <c r="AM1782">
        <v>91.789499758044897</v>
      </c>
      <c r="AN1782">
        <v>0.999999967959735</v>
      </c>
    </row>
    <row r="1783" spans="1:40" x14ac:dyDescent="0.25">
      <c r="A1783" t="str">
        <f>"20190305135228385"</f>
        <v>20190305135228385</v>
      </c>
      <c r="B1783" t="str">
        <f>"1551765148381178"</f>
        <v>1551765148381178</v>
      </c>
      <c r="C1783" t="s">
        <v>40</v>
      </c>
      <c r="D1783">
        <v>4.6254679999999997</v>
      </c>
      <c r="E1783">
        <v>0.55269380000000001</v>
      </c>
      <c r="F1783" t="s">
        <v>47</v>
      </c>
      <c r="G1783">
        <v>-379.00099999999998</v>
      </c>
      <c r="H1783">
        <v>-0.05</v>
      </c>
      <c r="I1783">
        <v>296.4393</v>
      </c>
      <c r="J1783">
        <v>-223.98419999999999</v>
      </c>
      <c r="K1783">
        <v>1.1068309999999999</v>
      </c>
      <c r="L1783">
        <v>285.59960000000001</v>
      </c>
      <c r="M1783">
        <v>-0.99937960000000003</v>
      </c>
      <c r="N1783">
        <v>-4.6932970000000001E-4</v>
      </c>
      <c r="O1783">
        <v>-3.521709E-2</v>
      </c>
      <c r="P1783">
        <v>-0.99527730000000003</v>
      </c>
      <c r="Q1783">
        <v>-7.0602100000000001E-2</v>
      </c>
      <c r="R1783">
        <v>-6.6620440000000003E-2</v>
      </c>
      <c r="S1783">
        <v>-3.0269170000000001</v>
      </c>
      <c r="T1783">
        <v>-2.2545579999999999E-2</v>
      </c>
      <c r="U1783">
        <v>0.21105960000000001</v>
      </c>
      <c r="V1783">
        <v>-3.1615270000000001E-2</v>
      </c>
      <c r="W1783">
        <v>-7.0095110000000002E-2</v>
      </c>
      <c r="X1783">
        <v>0.99703920000000001</v>
      </c>
      <c r="Y1783">
        <v>0.1046434</v>
      </c>
      <c r="Z1783">
        <v>6.5934149999999998E-4</v>
      </c>
      <c r="AA1783">
        <v>0.99450959999999999</v>
      </c>
      <c r="AB1783">
        <v>31</v>
      </c>
      <c r="AC1783">
        <v>-155.01679999999999</v>
      </c>
      <c r="AD1783">
        <v>-1.1568309999999999</v>
      </c>
      <c r="AE1783">
        <v>10.839699999999899</v>
      </c>
      <c r="AF1783">
        <v>16.291314186473201</v>
      </c>
      <c r="AG1783">
        <v>-1.1568309999999999</v>
      </c>
      <c r="AH1783">
        <v>154.530334132051</v>
      </c>
      <c r="AI1783">
        <v>90.426550683803697</v>
      </c>
      <c r="AJ1783">
        <v>83.981839922251694</v>
      </c>
      <c r="AK1783">
        <v>155.39102079221999</v>
      </c>
      <c r="AL1783">
        <v>94.019450005859795</v>
      </c>
      <c r="AM1783">
        <v>91.816192176666306</v>
      </c>
      <c r="AN1783">
        <v>1.0000000080398599</v>
      </c>
    </row>
    <row r="1784" spans="1:40" x14ac:dyDescent="0.25">
      <c r="A1784" t="str">
        <f>"20190305135228399"</f>
        <v>20190305135228399</v>
      </c>
      <c r="B1784" t="str">
        <f>"1551765148390938"</f>
        <v>1551765148390938</v>
      </c>
      <c r="C1784" t="s">
        <v>40</v>
      </c>
      <c r="D1784">
        <v>4.6190810000000004</v>
      </c>
      <c r="E1784">
        <v>0.55260180000000003</v>
      </c>
      <c r="F1784" t="s">
        <v>47</v>
      </c>
      <c r="G1784">
        <v>-387.57</v>
      </c>
      <c r="H1784">
        <v>-0.05</v>
      </c>
      <c r="I1784">
        <v>296.96199999999999</v>
      </c>
      <c r="J1784">
        <v>-224.19540000000001</v>
      </c>
      <c r="K1784">
        <v>1.106833</v>
      </c>
      <c r="L1784">
        <v>285.59249999999997</v>
      </c>
      <c r="M1784">
        <v>-0.99939370000000005</v>
      </c>
      <c r="N1784">
        <v>-5.0609120000000003E-4</v>
      </c>
      <c r="O1784">
        <v>-3.4819509999999998E-2</v>
      </c>
      <c r="P1784">
        <v>-0.99532520000000002</v>
      </c>
      <c r="Q1784">
        <v>-7.0267990000000002E-2</v>
      </c>
      <c r="R1784">
        <v>-6.6261100000000003E-2</v>
      </c>
      <c r="S1784">
        <v>-3.0267789999999999</v>
      </c>
      <c r="T1784">
        <v>-2.14045E-2</v>
      </c>
      <c r="U1784">
        <v>0.21023559999999999</v>
      </c>
      <c r="V1784">
        <v>-3.1651279999999997E-2</v>
      </c>
      <c r="W1784">
        <v>-6.9724069999999999E-2</v>
      </c>
      <c r="X1784">
        <v>0.99706410000000001</v>
      </c>
      <c r="Y1784">
        <v>0.1039819</v>
      </c>
      <c r="Z1784">
        <v>6.2193540000000003E-4</v>
      </c>
      <c r="AA1784">
        <v>0.99457899999999999</v>
      </c>
      <c r="AB1784">
        <v>31</v>
      </c>
      <c r="AC1784">
        <v>-163.37459999999999</v>
      </c>
      <c r="AD1784">
        <v>-1.156833</v>
      </c>
      <c r="AE1784">
        <v>11.3695</v>
      </c>
      <c r="AF1784">
        <v>17.050378014429601</v>
      </c>
      <c r="AG1784">
        <v>-1.156833</v>
      </c>
      <c r="AH1784">
        <v>162.87152525873699</v>
      </c>
      <c r="AI1784">
        <v>90.404738116010293</v>
      </c>
      <c r="AJ1784">
        <v>84.023699005854297</v>
      </c>
      <c r="AK1784">
        <v>163.76564778100499</v>
      </c>
      <c r="AL1784">
        <v>93.998138732608297</v>
      </c>
      <c r="AM1784">
        <v>91.818214066173397</v>
      </c>
      <c r="AN1784">
        <v>1.0000000344858999</v>
      </c>
    </row>
    <row r="1785" spans="1:40" x14ac:dyDescent="0.25">
      <c r="A1785" t="str">
        <f>"20190305135228412"</f>
        <v>20190305135228412</v>
      </c>
      <c r="B1785" t="str">
        <f>"1551765148400698"</f>
        <v>1551765148400698</v>
      </c>
      <c r="C1785" t="s">
        <v>40</v>
      </c>
      <c r="D1785">
        <v>4.5723739999999999</v>
      </c>
      <c r="E1785">
        <v>0.55247400000000002</v>
      </c>
      <c r="F1785" t="s">
        <v>47</v>
      </c>
      <c r="G1785">
        <v>-393.14690000000002</v>
      </c>
      <c r="H1785">
        <v>-0.05</v>
      </c>
      <c r="I1785">
        <v>297.34519999999998</v>
      </c>
      <c r="J1785">
        <v>-224.37799999999999</v>
      </c>
      <c r="K1785">
        <v>1.1068370000000001</v>
      </c>
      <c r="L1785">
        <v>285.58640000000003</v>
      </c>
      <c r="M1785">
        <v>-0.99940519999999999</v>
      </c>
      <c r="N1785">
        <v>-5.3880819999999996E-4</v>
      </c>
      <c r="O1785">
        <v>-3.4478799999999997E-2</v>
      </c>
      <c r="P1785">
        <v>-0.99534730000000005</v>
      </c>
      <c r="Q1785">
        <v>-7.0198070000000001E-2</v>
      </c>
      <c r="R1785">
        <v>-6.6000009999999998E-2</v>
      </c>
      <c r="S1785">
        <v>-3.0266419999999998</v>
      </c>
      <c r="T1785">
        <v>-2.072382E-2</v>
      </c>
      <c r="U1785">
        <v>0.2105408</v>
      </c>
      <c r="V1785">
        <v>-3.1729E-2</v>
      </c>
      <c r="W1785">
        <v>-6.96214E-2</v>
      </c>
      <c r="X1785">
        <v>0.99706879999999998</v>
      </c>
      <c r="Y1785">
        <v>0.1037459</v>
      </c>
      <c r="Z1785">
        <v>6.0000889999999995E-4</v>
      </c>
      <c r="AA1785">
        <v>0.99460360000000003</v>
      </c>
      <c r="AB1785">
        <v>32</v>
      </c>
      <c r="AC1785">
        <v>-168.7689</v>
      </c>
      <c r="AD1785">
        <v>-1.1568369999999999</v>
      </c>
      <c r="AE1785">
        <v>11.7587999999999</v>
      </c>
      <c r="AF1785">
        <v>17.569937507822601</v>
      </c>
      <c r="AG1785">
        <v>-1.1568369999999999</v>
      </c>
      <c r="AH1785">
        <v>168.25525823773</v>
      </c>
      <c r="AI1785">
        <v>90.391799914834493</v>
      </c>
      <c r="AJ1785">
        <v>84.038534500955606</v>
      </c>
      <c r="AK1785">
        <v>169.17409051186999</v>
      </c>
      <c r="AL1785">
        <v>93.992241861627804</v>
      </c>
      <c r="AM1785">
        <v>91.822667113243398</v>
      </c>
      <c r="AN1785">
        <v>1.00000003035619</v>
      </c>
    </row>
    <row r="1786" spans="1:40" x14ac:dyDescent="0.25">
      <c r="A1786" t="str">
        <f>"20190305135228430"</f>
        <v>20190305135228430</v>
      </c>
      <c r="B1786" t="str">
        <f>"1551765148421193"</f>
        <v>1551765148421193</v>
      </c>
      <c r="C1786" t="s">
        <v>40</v>
      </c>
      <c r="D1786">
        <v>4.6687919999999998</v>
      </c>
      <c r="E1786">
        <v>0.55224580000000001</v>
      </c>
      <c r="F1786" t="s">
        <v>47</v>
      </c>
      <c r="G1786">
        <v>-390.58049999999997</v>
      </c>
      <c r="H1786">
        <v>-0.05</v>
      </c>
      <c r="I1786">
        <v>297.14350000000002</v>
      </c>
      <c r="J1786">
        <v>-224.64320000000001</v>
      </c>
      <c r="K1786">
        <v>1.106843</v>
      </c>
      <c r="L1786">
        <v>285.57769999999999</v>
      </c>
      <c r="M1786">
        <v>-0.99942200000000003</v>
      </c>
      <c r="N1786">
        <v>-5.8754269999999995E-4</v>
      </c>
      <c r="O1786">
        <v>-3.3992410000000001E-2</v>
      </c>
      <c r="P1786">
        <v>-0.99541270000000004</v>
      </c>
      <c r="Q1786">
        <v>-6.9786119999999993E-2</v>
      </c>
      <c r="R1786">
        <v>-6.5451060000000005E-2</v>
      </c>
      <c r="S1786">
        <v>-3.0264739999999999</v>
      </c>
      <c r="T1786">
        <v>-2.1065469999999999E-2</v>
      </c>
      <c r="U1786">
        <v>0.2104492</v>
      </c>
      <c r="V1786">
        <v>-3.1662500000000003E-2</v>
      </c>
      <c r="W1786">
        <v>-6.9161009999999995E-2</v>
      </c>
      <c r="X1786">
        <v>0.99710290000000001</v>
      </c>
      <c r="Y1786">
        <v>0.1032357</v>
      </c>
      <c r="Z1786">
        <v>6.0561149999999999E-4</v>
      </c>
      <c r="AA1786">
        <v>0.99465669999999995</v>
      </c>
      <c r="AB1786">
        <v>32</v>
      </c>
      <c r="AC1786">
        <v>-165.937299999999</v>
      </c>
      <c r="AD1786">
        <v>-1.1568430000000001</v>
      </c>
      <c r="AE1786">
        <v>11.565799999999999</v>
      </c>
      <c r="AF1786">
        <v>17.198893396323399</v>
      </c>
      <c r="AG1786">
        <v>-1.1568430000000001</v>
      </c>
      <c r="AH1786">
        <v>165.44025190260001</v>
      </c>
      <c r="AI1786">
        <v>90.3984874770712</v>
      </c>
      <c r="AJ1786">
        <v>84.064945503988298</v>
      </c>
      <c r="AK1786">
        <v>166.335856535446</v>
      </c>
      <c r="AL1786">
        <v>93.965799935266105</v>
      </c>
      <c r="AM1786">
        <v>91.8187874392396</v>
      </c>
      <c r="AN1786">
        <v>0.99999997619943903</v>
      </c>
    </row>
    <row r="1787" spans="1:40" x14ac:dyDescent="0.25">
      <c r="A1787" t="str">
        <f>"20190305135228444"</f>
        <v>20190305135228444</v>
      </c>
      <c r="B1787" t="str">
        <f>"1551765148440714"</f>
        <v>1551765148440714</v>
      </c>
      <c r="C1787" t="s">
        <v>40</v>
      </c>
      <c r="D1787">
        <v>4.9855280000000004</v>
      </c>
      <c r="E1787">
        <v>0.52823929999999997</v>
      </c>
      <c r="F1787" t="s">
        <v>47</v>
      </c>
      <c r="G1787">
        <v>-397.40699999999998</v>
      </c>
      <c r="H1787">
        <v>-0.05</v>
      </c>
      <c r="I1787">
        <v>297.59190000000001</v>
      </c>
      <c r="J1787">
        <v>-224.83940000000001</v>
      </c>
      <c r="K1787">
        <v>1.1068469999999999</v>
      </c>
      <c r="L1787">
        <v>285.57139999999998</v>
      </c>
      <c r="M1787">
        <v>-0.99943389999999999</v>
      </c>
      <c r="N1787">
        <v>-6.2392139999999997E-4</v>
      </c>
      <c r="O1787">
        <v>-3.3639540000000002E-2</v>
      </c>
      <c r="P1787">
        <v>-0.99545709999999998</v>
      </c>
      <c r="Q1787">
        <v>-6.9570580000000007E-2</v>
      </c>
      <c r="R1787">
        <v>-6.5003950000000005E-2</v>
      </c>
      <c r="S1787">
        <v>-3.0262449999999999</v>
      </c>
      <c r="T1787">
        <v>-2.0264029999999999E-2</v>
      </c>
      <c r="U1787">
        <v>0.2104492</v>
      </c>
      <c r="V1787">
        <v>-3.1565589999999998E-2</v>
      </c>
      <c r="W1787">
        <v>-6.8909499999999999E-2</v>
      </c>
      <c r="X1787">
        <v>0.99712339999999999</v>
      </c>
      <c r="Y1787">
        <v>0.10288990000000001</v>
      </c>
      <c r="Z1787">
        <v>5.8025139999999997E-4</v>
      </c>
      <c r="AA1787">
        <v>0.99469260000000004</v>
      </c>
      <c r="AB1787">
        <v>32</v>
      </c>
      <c r="AC1787">
        <v>-172.567599999999</v>
      </c>
      <c r="AD1787">
        <v>-1.156847</v>
      </c>
      <c r="AE1787">
        <v>12.0205</v>
      </c>
      <c r="AF1787">
        <v>17.817995327424299</v>
      </c>
      <c r="AG1787">
        <v>-1.156847</v>
      </c>
      <c r="AH1787">
        <v>172.057872886148</v>
      </c>
      <c r="AI1787">
        <v>90.383178542513704</v>
      </c>
      <c r="AJ1787">
        <v>84.087630183392093</v>
      </c>
      <c r="AK1787">
        <v>172.98188019146801</v>
      </c>
      <c r="AL1787">
        <v>93.951354955390798</v>
      </c>
      <c r="AM1787">
        <v>91.813187111175296</v>
      </c>
      <c r="AN1787">
        <v>0.99999999024492903</v>
      </c>
    </row>
    <row r="1788" spans="1:40" x14ac:dyDescent="0.25">
      <c r="A1788" t="str">
        <f>"20190305135228462"</f>
        <v>20190305135228462</v>
      </c>
      <c r="B1788" t="str">
        <f>"1551765148451450"</f>
        <v>1551765148451450</v>
      </c>
      <c r="C1788" t="s">
        <v>40</v>
      </c>
      <c r="D1788">
        <v>4.8458459999999999</v>
      </c>
      <c r="E1788">
        <v>0.52823929999999997</v>
      </c>
      <c r="F1788" t="s">
        <v>66</v>
      </c>
      <c r="G1788">
        <v>-293.66759999999999</v>
      </c>
      <c r="H1788" s="1">
        <v>2.728869E-6</v>
      </c>
      <c r="I1788">
        <v>286.07420000000002</v>
      </c>
      <c r="J1788">
        <v>-225.10480000000001</v>
      </c>
      <c r="K1788">
        <v>1.1068579999999999</v>
      </c>
      <c r="L1788">
        <v>285.56279999999998</v>
      </c>
      <c r="M1788">
        <v>-0.99944940000000004</v>
      </c>
      <c r="N1788">
        <v>-6.7492789999999995E-4</v>
      </c>
      <c r="O1788">
        <v>-3.3178529999999998E-2</v>
      </c>
      <c r="P1788">
        <v>-0.99550879999999997</v>
      </c>
      <c r="Q1788">
        <v>-6.9623489999999996E-2</v>
      </c>
      <c r="R1788">
        <v>-6.4149919999999999E-2</v>
      </c>
      <c r="S1788">
        <v>-3.0117340000000001</v>
      </c>
      <c r="T1788">
        <v>-4.8432469999999998E-2</v>
      </c>
      <c r="U1788">
        <v>2.2003169999999999E-2</v>
      </c>
      <c r="V1788">
        <v>-3.1169039999999999E-2</v>
      </c>
      <c r="W1788">
        <v>-6.8912619999999994E-2</v>
      </c>
      <c r="X1788">
        <v>0.99713569999999996</v>
      </c>
      <c r="Y1788">
        <v>4.0469860000000003E-2</v>
      </c>
      <c r="Z1788">
        <v>8.5009549999999999E-4</v>
      </c>
      <c r="AA1788">
        <v>0.99918039999999997</v>
      </c>
      <c r="AB1788">
        <v>32</v>
      </c>
      <c r="AC1788">
        <v>-68.562799999999896</v>
      </c>
      <c r="AD1788">
        <v>-1.10685527113099</v>
      </c>
      <c r="AE1788">
        <v>0.51140000000003705</v>
      </c>
      <c r="AF1788">
        <v>2.7852056194158399</v>
      </c>
      <c r="AG1788">
        <v>-1.10685527113099</v>
      </c>
      <c r="AH1788">
        <v>68.4902358278988</v>
      </c>
      <c r="AI1788">
        <v>90.925099117406006</v>
      </c>
      <c r="AJ1788">
        <v>87.671308236605995</v>
      </c>
      <c r="AK1788">
        <v>68.555779498849304</v>
      </c>
      <c r="AL1788">
        <v>93.951533981971295</v>
      </c>
      <c r="AM1788">
        <v>91.790401379039096</v>
      </c>
      <c r="AN1788">
        <v>1.00000003123213</v>
      </c>
    </row>
    <row r="1789" spans="1:40" x14ac:dyDescent="0.25">
      <c r="A1789" t="str">
        <f>"20190305135228487"</f>
        <v>20190305135228487</v>
      </c>
      <c r="B1789" t="str">
        <f>"1551765148481310"</f>
        <v>1551765148481310</v>
      </c>
      <c r="C1789" t="s">
        <v>40</v>
      </c>
      <c r="D1789">
        <v>4.6787340000000004</v>
      </c>
      <c r="E1789">
        <v>0.46928890000000001</v>
      </c>
      <c r="F1789" t="s">
        <v>66</v>
      </c>
      <c r="G1789">
        <v>-293.71800000000002</v>
      </c>
      <c r="H1789" s="1">
        <v>2.7337160000000002E-6</v>
      </c>
      <c r="I1789">
        <v>286.12110000000001</v>
      </c>
      <c r="J1789">
        <v>-225.4555</v>
      </c>
      <c r="K1789">
        <v>1.1068690000000001</v>
      </c>
      <c r="L1789">
        <v>285.55169999999998</v>
      </c>
      <c r="M1789">
        <v>-0.99946809999999997</v>
      </c>
      <c r="N1789">
        <v>-7.4398200000000002E-4</v>
      </c>
      <c r="O1789">
        <v>-3.2604979999999999E-2</v>
      </c>
      <c r="P1789">
        <v>-0.99552819999999997</v>
      </c>
      <c r="Q1789">
        <v>-6.9877620000000001E-2</v>
      </c>
      <c r="R1789">
        <v>-6.3567970000000001E-2</v>
      </c>
      <c r="S1789">
        <v>-3.0117189999999998</v>
      </c>
      <c r="T1789">
        <v>-4.8584460000000003E-2</v>
      </c>
      <c r="U1789">
        <v>2.4505619999999999E-2</v>
      </c>
      <c r="V1789">
        <v>-3.1155789999999999E-2</v>
      </c>
      <c r="W1789">
        <v>-6.9099359999999999E-2</v>
      </c>
      <c r="X1789">
        <v>0.99712319999999999</v>
      </c>
      <c r="Y1789">
        <v>4.072667E-2</v>
      </c>
      <c r="Z1789">
        <v>8.4524559999999999E-4</v>
      </c>
      <c r="AA1789">
        <v>0.99916990000000006</v>
      </c>
      <c r="AB1789">
        <v>32</v>
      </c>
      <c r="AC1789">
        <v>-68.262500000000003</v>
      </c>
      <c r="AD1789">
        <v>-1.1068662662840001</v>
      </c>
      <c r="AE1789">
        <v>0.56940000000002999</v>
      </c>
      <c r="AF1789">
        <v>2.79406062037053</v>
      </c>
      <c r="AG1789">
        <v>-1.1068662662840001</v>
      </c>
      <c r="AH1789">
        <v>68.189713358744399</v>
      </c>
      <c r="AI1789">
        <v>90.929172984047796</v>
      </c>
      <c r="AJ1789">
        <v>87.653628808157805</v>
      </c>
      <c r="AK1789">
        <v>68.255907697645199</v>
      </c>
      <c r="AL1789">
        <v>93.9622589248889</v>
      </c>
      <c r="AM1789">
        <v>91.789663192559303</v>
      </c>
      <c r="AN1789">
        <v>1.00000004039058</v>
      </c>
    </row>
    <row r="1790" spans="1:40" x14ac:dyDescent="0.25">
      <c r="A1790" t="str">
        <f>"20190305135228510"</f>
        <v>20190305135228510</v>
      </c>
      <c r="B1790" t="str">
        <f>"1551765148501806"</f>
        <v>1551765148501806</v>
      </c>
      <c r="C1790" t="s">
        <v>40</v>
      </c>
      <c r="D1790">
        <v>4.6302669999999999</v>
      </c>
      <c r="E1790">
        <v>0.4666651</v>
      </c>
      <c r="F1790" t="s">
        <v>56</v>
      </c>
      <c r="G1790">
        <v>-268.64490000000001</v>
      </c>
      <c r="H1790">
        <v>8.0000390000000005E-2</v>
      </c>
      <c r="I1790">
        <v>279.14299999999997</v>
      </c>
      <c r="J1790">
        <v>-225.79589999999999</v>
      </c>
      <c r="K1790">
        <v>1.106897</v>
      </c>
      <c r="L1790">
        <v>285.54109999999997</v>
      </c>
      <c r="M1790">
        <v>-0.99948440000000005</v>
      </c>
      <c r="N1790">
        <v>-8.1076729999999999E-4</v>
      </c>
      <c r="O1790">
        <v>-3.2102730000000003E-2</v>
      </c>
      <c r="P1790">
        <v>-0.99553119999999995</v>
      </c>
      <c r="Q1790">
        <v>-7.019156E-2</v>
      </c>
      <c r="R1790">
        <v>-6.3175129999999996E-2</v>
      </c>
      <c r="S1790">
        <v>-2.98027</v>
      </c>
      <c r="T1790">
        <v>-7.085872E-2</v>
      </c>
      <c r="U1790">
        <v>-0.44223020000000002</v>
      </c>
      <c r="V1790">
        <v>-3.1259380000000003E-2</v>
      </c>
      <c r="W1790">
        <v>-6.9348690000000004E-2</v>
      </c>
      <c r="X1790">
        <v>0.99710259999999995</v>
      </c>
      <c r="Y1790">
        <v>-0.1149236</v>
      </c>
      <c r="Z1790">
        <v>-6.7286579999999998E-4</v>
      </c>
      <c r="AA1790">
        <v>0.99337410000000004</v>
      </c>
      <c r="AB1790">
        <v>33</v>
      </c>
      <c r="AC1790">
        <v>-42.848999999999997</v>
      </c>
      <c r="AD1790">
        <v>-1.0268966100000001</v>
      </c>
      <c r="AE1790">
        <v>-6.3981000000000003</v>
      </c>
      <c r="AF1790">
        <v>-5.0164138265973</v>
      </c>
      <c r="AG1790">
        <v>-1.0268966100000001</v>
      </c>
      <c r="AH1790">
        <v>43.008148293590097</v>
      </c>
      <c r="AI1790">
        <v>91.358572821929101</v>
      </c>
      <c r="AJ1790">
        <v>96.652843292695707</v>
      </c>
      <c r="AK1790">
        <v>43.3118891757303</v>
      </c>
      <c r="AL1790">
        <v>93.976579024111999</v>
      </c>
      <c r="AM1790">
        <v>91.795646834051198</v>
      </c>
      <c r="AN1790">
        <v>0.99999999228473002</v>
      </c>
    </row>
    <row r="1791" spans="1:40" x14ac:dyDescent="0.25">
      <c r="A1791" t="str">
        <f>"20190305135228531"</f>
        <v>20190305135228531</v>
      </c>
      <c r="B1791" t="str">
        <f>"1551765148521326"</f>
        <v>1551765148521326</v>
      </c>
      <c r="C1791" t="s">
        <v>40</v>
      </c>
      <c r="D1791">
        <v>4.6250730000000004</v>
      </c>
      <c r="E1791">
        <v>0.46704770000000001</v>
      </c>
      <c r="F1791" t="s">
        <v>56</v>
      </c>
      <c r="G1791">
        <v>-276.79700000000003</v>
      </c>
      <c r="H1791">
        <v>8.0001240000000001E-2</v>
      </c>
      <c r="I1791">
        <v>277.62599999999998</v>
      </c>
      <c r="J1791">
        <v>-226.11150000000001</v>
      </c>
      <c r="K1791">
        <v>1.1069209999999901</v>
      </c>
      <c r="L1791">
        <v>285.53140000000002</v>
      </c>
      <c r="M1791">
        <v>-0.99949770000000004</v>
      </c>
      <c r="N1791">
        <v>-8.7213639999999995E-4</v>
      </c>
      <c r="O1791">
        <v>-3.1677730000000001E-2</v>
      </c>
      <c r="P1791">
        <v>-0.99552110000000005</v>
      </c>
      <c r="Q1791">
        <v>-7.0727999999999999E-2</v>
      </c>
      <c r="R1791">
        <v>-6.2732449999999995E-2</v>
      </c>
      <c r="S1791">
        <v>-2.979889</v>
      </c>
      <c r="T1791">
        <v>-5.999935E-2</v>
      </c>
      <c r="U1791">
        <v>-0.46246340000000002</v>
      </c>
      <c r="V1791">
        <v>-3.1237419999999998E-2</v>
      </c>
      <c r="W1791">
        <v>-6.9826100000000002E-2</v>
      </c>
      <c r="X1791">
        <v>0.99707000000000001</v>
      </c>
      <c r="Y1791">
        <v>-0.1219595</v>
      </c>
      <c r="Z1791">
        <v>-6.6787210000000005E-4</v>
      </c>
      <c r="AA1791">
        <v>0.9925349</v>
      </c>
      <c r="AB1791">
        <v>33</v>
      </c>
      <c r="AC1791">
        <v>-50.685499999999998</v>
      </c>
      <c r="AD1791">
        <v>-1.02691975999999</v>
      </c>
      <c r="AE1791">
        <v>-7.9054000000000402</v>
      </c>
      <c r="AF1791">
        <v>-6.2933082634650797</v>
      </c>
      <c r="AG1791">
        <v>-1.02691975999999</v>
      </c>
      <c r="AH1791">
        <v>50.890094019151299</v>
      </c>
      <c r="AI1791">
        <v>91.147287211653193</v>
      </c>
      <c r="AJ1791">
        <v>97.049674046885798</v>
      </c>
      <c r="AK1791">
        <v>51.288029425690901</v>
      </c>
      <c r="AL1791">
        <v>94.003998950469395</v>
      </c>
      <c r="AM1791">
        <v>91.794444831245698</v>
      </c>
      <c r="AN1791">
        <v>1.0000000227747301</v>
      </c>
    </row>
    <row r="1792" spans="1:40" x14ac:dyDescent="0.25">
      <c r="A1792" t="str">
        <f>"20190305135228553"</f>
        <v>20190305135228553</v>
      </c>
      <c r="B1792" t="str">
        <f>"1551765148541826"</f>
        <v>1551765148541826</v>
      </c>
      <c r="C1792" t="s">
        <v>40</v>
      </c>
      <c r="D1792">
        <v>4.6556350000000002</v>
      </c>
      <c r="E1792">
        <v>0.46739449999999999</v>
      </c>
      <c r="F1792" t="s">
        <v>66</v>
      </c>
      <c r="G1792">
        <v>-281.93579999999997</v>
      </c>
      <c r="H1792">
        <v>8.0001680000000006E-2</v>
      </c>
      <c r="I1792">
        <v>276.94209999999998</v>
      </c>
      <c r="J1792">
        <v>-226.4333</v>
      </c>
      <c r="K1792">
        <v>1.1069560000000001</v>
      </c>
      <c r="L1792">
        <v>285.5215</v>
      </c>
      <c r="M1792">
        <v>-0.9995098</v>
      </c>
      <c r="N1792">
        <v>-9.3570869999999996E-4</v>
      </c>
      <c r="O1792">
        <v>-3.1294349999999999E-2</v>
      </c>
      <c r="P1792">
        <v>-0.99552759999999996</v>
      </c>
      <c r="Q1792">
        <v>-7.0981879999999997E-2</v>
      </c>
      <c r="R1792">
        <v>-6.2344009999999998E-2</v>
      </c>
      <c r="S1792">
        <v>-2.9806979999999998</v>
      </c>
      <c r="T1792">
        <v>-5.4831619999999998E-2</v>
      </c>
      <c r="U1792">
        <v>-0.45861819999999998</v>
      </c>
      <c r="V1792">
        <v>-3.122606E-2</v>
      </c>
      <c r="W1792">
        <v>-7.0019100000000001E-2</v>
      </c>
      <c r="X1792">
        <v>0.99705679999999997</v>
      </c>
      <c r="Y1792">
        <v>-0.1210519</v>
      </c>
      <c r="Z1792">
        <v>-6.2105540000000005E-4</v>
      </c>
      <c r="AA1792">
        <v>0.99264600000000003</v>
      </c>
      <c r="AB1792">
        <v>33</v>
      </c>
      <c r="AC1792">
        <v>-55.502499999999898</v>
      </c>
      <c r="AD1792">
        <v>-1.02695432</v>
      </c>
      <c r="AE1792">
        <v>-8.5794000000000192</v>
      </c>
      <c r="AF1792">
        <v>-6.8359968072323802</v>
      </c>
      <c r="AG1792">
        <v>-1.02695432</v>
      </c>
      <c r="AH1792">
        <v>55.725169765034401</v>
      </c>
      <c r="AI1792">
        <v>91.0479256596265</v>
      </c>
      <c r="AJ1792">
        <v>96.993726235583395</v>
      </c>
      <c r="AK1792">
        <v>56.152293211103697</v>
      </c>
      <c r="AL1792">
        <v>94.015084251964197</v>
      </c>
      <c r="AM1792">
        <v>91.793816410819005</v>
      </c>
      <c r="AN1792">
        <v>1.00000000180708</v>
      </c>
    </row>
    <row r="1793" spans="1:40" x14ac:dyDescent="0.25">
      <c r="A1793" t="str">
        <f>"20190305135228568"</f>
        <v>20190305135228568</v>
      </c>
      <c r="B1793" t="str">
        <f>"1551765148561342"</f>
        <v>1551765148561342</v>
      </c>
      <c r="C1793" t="s">
        <v>40</v>
      </c>
      <c r="D1793">
        <v>4.628037</v>
      </c>
      <c r="E1793">
        <v>0.467144</v>
      </c>
      <c r="F1793" t="s">
        <v>66</v>
      </c>
      <c r="G1793">
        <v>-283.53559999999999</v>
      </c>
      <c r="H1793">
        <v>8.0001409999999995E-2</v>
      </c>
      <c r="I1793">
        <v>276.81360000000001</v>
      </c>
      <c r="J1793">
        <v>-226.65299999999999</v>
      </c>
      <c r="K1793">
        <v>1.106986</v>
      </c>
      <c r="L1793">
        <v>285.51479999999998</v>
      </c>
      <c r="M1793">
        <v>-0.99951710000000005</v>
      </c>
      <c r="N1793">
        <v>-9.7946430000000009E-4</v>
      </c>
      <c r="O1793">
        <v>-3.1061890000000002E-2</v>
      </c>
      <c r="P1793">
        <v>-0.99551970000000001</v>
      </c>
      <c r="Q1793">
        <v>-7.1069789999999994E-2</v>
      </c>
      <c r="R1793">
        <v>-6.2369069999999999E-2</v>
      </c>
      <c r="S1793">
        <v>-2.9811860000000001</v>
      </c>
      <c r="T1793">
        <v>-5.3614969999999998E-2</v>
      </c>
      <c r="U1793">
        <v>-0.45462039999999998</v>
      </c>
      <c r="V1793">
        <v>-3.1478890000000002E-2</v>
      </c>
      <c r="W1793">
        <v>-7.0065059999999998E-2</v>
      </c>
      <c r="X1793">
        <v>0.99704559999999998</v>
      </c>
      <c r="Y1793">
        <v>-0.11995839999999899</v>
      </c>
      <c r="Z1793">
        <v>-6.0678419999999895E-4</v>
      </c>
      <c r="AA1793">
        <v>0.99277870000000001</v>
      </c>
      <c r="AB1793">
        <v>33</v>
      </c>
      <c r="AC1793">
        <v>-56.882599999999996</v>
      </c>
      <c r="AD1793">
        <v>-1.0269845900000001</v>
      </c>
      <c r="AE1793">
        <v>-8.7011999999999698</v>
      </c>
      <c r="AF1793">
        <v>-6.9279130273532799</v>
      </c>
      <c r="AG1793">
        <v>-1.0269845900000001</v>
      </c>
      <c r="AH1793">
        <v>57.107238577595197</v>
      </c>
      <c r="AI1793">
        <v>91.022767160950494</v>
      </c>
      <c r="AJ1793">
        <v>96.916985177490801</v>
      </c>
      <c r="AK1793">
        <v>57.535096890689601</v>
      </c>
      <c r="AL1793">
        <v>94.017724133712093</v>
      </c>
      <c r="AM1793">
        <v>91.808351212042396</v>
      </c>
      <c r="AN1793">
        <v>0.99999998081389696</v>
      </c>
    </row>
    <row r="1794" spans="1:40" x14ac:dyDescent="0.25">
      <c r="A1794" t="str">
        <f>"20190305135228587"</f>
        <v>20190305135228587</v>
      </c>
      <c r="B1794" t="str">
        <f>"1551765148581838"</f>
        <v>1551765148581838</v>
      </c>
      <c r="C1794" t="s">
        <v>40</v>
      </c>
      <c r="D1794">
        <v>4.6254030000000004</v>
      </c>
      <c r="E1794">
        <v>0.46733039999999998</v>
      </c>
      <c r="F1794" t="s">
        <v>66</v>
      </c>
      <c r="G1794">
        <v>-298.98570000000001</v>
      </c>
      <c r="H1794" s="1">
        <v>6.0292599999999896E-6</v>
      </c>
      <c r="I1794">
        <v>274.4237</v>
      </c>
      <c r="J1794">
        <v>-226.9374</v>
      </c>
      <c r="K1794">
        <v>1.1070260000000001</v>
      </c>
      <c r="L1794">
        <v>285.50619999999998</v>
      </c>
      <c r="M1794">
        <v>-0.99952490000000005</v>
      </c>
      <c r="N1794">
        <v>-1.0355189999999999E-3</v>
      </c>
      <c r="O1794">
        <v>-3.0806429999999999E-2</v>
      </c>
      <c r="P1794">
        <v>-0.99549790000000005</v>
      </c>
      <c r="Q1794">
        <v>-7.1309819999999996E-2</v>
      </c>
      <c r="R1794">
        <v>-6.2442299999999999E-2</v>
      </c>
      <c r="S1794">
        <v>-2.9816129999999998</v>
      </c>
      <c r="T1794">
        <v>-4.5630570000000002E-2</v>
      </c>
      <c r="U1794">
        <v>-0.45718379999999997</v>
      </c>
      <c r="V1794">
        <v>-3.1801759999999998E-2</v>
      </c>
      <c r="W1794">
        <v>-7.025178E-2</v>
      </c>
      <c r="X1794">
        <v>0.99702219999999997</v>
      </c>
      <c r="Y1794">
        <v>-0.12102880000000001</v>
      </c>
      <c r="Z1794">
        <v>-5.4708139999999996E-4</v>
      </c>
      <c r="AA1794">
        <v>0.9926488</v>
      </c>
      <c r="AB1794">
        <v>33</v>
      </c>
      <c r="AC1794">
        <v>-72.048299999999998</v>
      </c>
      <c r="AD1794">
        <v>-1.1070199707399999</v>
      </c>
      <c r="AE1794">
        <v>-11.0824999999999</v>
      </c>
      <c r="AF1794">
        <v>-8.8556456105769801</v>
      </c>
      <c r="AG1794">
        <v>-1.1070199707399999</v>
      </c>
      <c r="AH1794">
        <v>72.338832871135494</v>
      </c>
      <c r="AI1794">
        <v>90.870248091365198</v>
      </c>
      <c r="AJ1794">
        <v>96.979363533177604</v>
      </c>
      <c r="AK1794">
        <v>72.887273879284393</v>
      </c>
      <c r="AL1794">
        <v>94.028448889141899</v>
      </c>
      <c r="AM1794">
        <v>91.826929297686405</v>
      </c>
      <c r="AN1794">
        <v>0.99999996591255202</v>
      </c>
    </row>
    <row r="1795" spans="1:40" x14ac:dyDescent="0.25">
      <c r="A1795" t="str">
        <f>"20190305135228610"</f>
        <v>20190305135228610</v>
      </c>
      <c r="B1795" t="str">
        <f>"1551765148601359"</f>
        <v>1551765148601359</v>
      </c>
      <c r="C1795" t="s">
        <v>40</v>
      </c>
      <c r="D1795">
        <v>4.5993409999999999</v>
      </c>
      <c r="E1795">
        <v>0.46738990000000002</v>
      </c>
      <c r="F1795" t="s">
        <v>66</v>
      </c>
      <c r="G1795">
        <v>-285.5043</v>
      </c>
      <c r="H1795">
        <v>8.0001210000000003E-2</v>
      </c>
      <c r="I1795">
        <v>276.55669999999998</v>
      </c>
      <c r="J1795">
        <v>-227.28649999999999</v>
      </c>
      <c r="K1795">
        <v>1.1070819999999999</v>
      </c>
      <c r="L1795">
        <v>285.4957</v>
      </c>
      <c r="M1795">
        <v>-0.99953219999999998</v>
      </c>
      <c r="N1795">
        <v>-1.1023199999999999E-3</v>
      </c>
      <c r="O1795">
        <v>-3.0561370000000001E-2</v>
      </c>
      <c r="P1795">
        <v>-0.99546920000000005</v>
      </c>
      <c r="Q1795">
        <v>-7.1724880000000005E-2</v>
      </c>
      <c r="R1795">
        <v>-6.2425880000000003E-2</v>
      </c>
      <c r="S1795">
        <v>-2.981277</v>
      </c>
      <c r="T1795">
        <v>-5.2279470000000001E-2</v>
      </c>
      <c r="U1795">
        <v>-0.45556639999999998</v>
      </c>
      <c r="V1795">
        <v>-3.202203E-2</v>
      </c>
      <c r="W1795">
        <v>-7.0603899999999997E-2</v>
      </c>
      <c r="X1795">
        <v>0.9969903</v>
      </c>
      <c r="Y1795">
        <v>-0.120759199999999</v>
      </c>
      <c r="Z1795">
        <v>-6.2066680000000003E-4</v>
      </c>
      <c r="AA1795">
        <v>0.99268160000000005</v>
      </c>
      <c r="AB1795">
        <v>33</v>
      </c>
      <c r="AC1795">
        <v>-58.217799999999997</v>
      </c>
      <c r="AD1795">
        <v>-1.0270807900000001</v>
      </c>
      <c r="AE1795">
        <v>-8.9390000000000196</v>
      </c>
      <c r="AF1795">
        <v>-7.1534323959885304</v>
      </c>
      <c r="AG1795">
        <v>-1.0270807900000001</v>
      </c>
      <c r="AH1795">
        <v>58.446022403602001</v>
      </c>
      <c r="AI1795">
        <v>90.999308181471406</v>
      </c>
      <c r="AJ1795">
        <v>96.977944095560701</v>
      </c>
      <c r="AK1795">
        <v>58.891120084402502</v>
      </c>
      <c r="AL1795">
        <v>94.048674005059695</v>
      </c>
      <c r="AM1795">
        <v>91.839633397216602</v>
      </c>
      <c r="AN1795">
        <v>0.99999998969730997</v>
      </c>
    </row>
    <row r="1796" spans="1:40" x14ac:dyDescent="0.25">
      <c r="A1796" t="str">
        <f>"20190305135228633"</f>
        <v>20190305135228633</v>
      </c>
      <c r="B1796" t="str">
        <f>"1551765148620878"</f>
        <v>1551765148620878</v>
      </c>
      <c r="C1796" t="s">
        <v>40</v>
      </c>
      <c r="D1796">
        <v>4.6670860000000003</v>
      </c>
      <c r="E1796">
        <v>0.46715699999999999</v>
      </c>
      <c r="F1796" t="s">
        <v>66</v>
      </c>
      <c r="G1796">
        <v>-280.06119999999999</v>
      </c>
      <c r="H1796">
        <v>8.0001920000000004E-2</v>
      </c>
      <c r="I1796">
        <v>277.44170000000003</v>
      </c>
      <c r="J1796">
        <v>-227.6319</v>
      </c>
      <c r="K1796">
        <v>1.1071340000000001</v>
      </c>
      <c r="L1796">
        <v>285.4853</v>
      </c>
      <c r="M1796">
        <v>-0.99953780000000003</v>
      </c>
      <c r="N1796">
        <v>-1.165906E-3</v>
      </c>
      <c r="O1796">
        <v>-3.0379139999999999E-2</v>
      </c>
      <c r="P1796">
        <v>-0.99546440000000003</v>
      </c>
      <c r="Q1796">
        <v>-7.1537050000000005E-2</v>
      </c>
      <c r="R1796">
        <v>-6.2715119999999999E-2</v>
      </c>
      <c r="S1796">
        <v>-2.9809269999999999</v>
      </c>
      <c r="T1796">
        <v>-5.8013679999999998E-2</v>
      </c>
      <c r="U1796">
        <v>-0.45492549999999998</v>
      </c>
      <c r="V1796">
        <v>-3.2485159999999999E-2</v>
      </c>
      <c r="W1796">
        <v>-7.0356089999999996E-2</v>
      </c>
      <c r="X1796">
        <v>0.99699280000000001</v>
      </c>
      <c r="Y1796">
        <v>-0.12074559999999999</v>
      </c>
      <c r="Z1796">
        <v>-6.867558E-4</v>
      </c>
      <c r="AA1796">
        <v>0.99268319999999999</v>
      </c>
      <c r="AB1796">
        <v>34</v>
      </c>
      <c r="AC1796">
        <v>-52.429299999999898</v>
      </c>
      <c r="AD1796">
        <v>-1.0271320799999999</v>
      </c>
      <c r="AE1796">
        <v>-8.0435999999999694</v>
      </c>
      <c r="AF1796">
        <v>-6.4447127770844803</v>
      </c>
      <c r="AG1796">
        <v>-1.0271320799999999</v>
      </c>
      <c r="AH1796">
        <v>52.629724132381497</v>
      </c>
      <c r="AI1796">
        <v>91.109766414350901</v>
      </c>
      <c r="AJ1796">
        <v>96.981332802279496</v>
      </c>
      <c r="AK1796">
        <v>53.032793489872503</v>
      </c>
      <c r="AL1796">
        <v>94.034440284589394</v>
      </c>
      <c r="AM1796">
        <v>91.866216393206003</v>
      </c>
      <c r="AN1796">
        <v>0.99999995413607501</v>
      </c>
    </row>
    <row r="1797" spans="1:40" x14ac:dyDescent="0.25">
      <c r="A1797" t="str">
        <f>"20190305135228654"</f>
        <v>20190305135228654</v>
      </c>
      <c r="B1797" t="str">
        <f>"1551765148651136"</f>
        <v>1551765148651136</v>
      </c>
      <c r="C1797" t="s">
        <v>40</v>
      </c>
      <c r="D1797">
        <v>4.6810929999999997</v>
      </c>
      <c r="E1797">
        <v>0.46741759999999899</v>
      </c>
      <c r="F1797" t="s">
        <v>66</v>
      </c>
      <c r="G1797">
        <v>-283.34480000000002</v>
      </c>
      <c r="H1797">
        <v>8.0001439999999993E-2</v>
      </c>
      <c r="I1797">
        <v>276.92910000000001</v>
      </c>
      <c r="J1797">
        <v>-227.95509999999999</v>
      </c>
      <c r="K1797">
        <v>1.1071759999999999</v>
      </c>
      <c r="L1797">
        <v>285.47559999999999</v>
      </c>
      <c r="M1797">
        <v>-0.99954160000000003</v>
      </c>
      <c r="N1797">
        <v>-1.2231150000000001E-3</v>
      </c>
      <c r="O1797">
        <v>-3.0256399999999999E-2</v>
      </c>
      <c r="P1797">
        <v>-0.9954672</v>
      </c>
      <c r="Q1797">
        <v>-7.1339979999999997E-2</v>
      </c>
      <c r="R1797">
        <v>-6.2895489999999998E-2</v>
      </c>
      <c r="S1797">
        <v>-2.980896</v>
      </c>
      <c r="T1797">
        <v>-5.4956320000000003E-2</v>
      </c>
      <c r="U1797">
        <v>-0.45779419999999998</v>
      </c>
      <c r="V1797">
        <v>-3.278097E-2</v>
      </c>
      <c r="W1797">
        <v>-7.0105039999999993E-2</v>
      </c>
      <c r="X1797">
        <v>0.99700089999999997</v>
      </c>
      <c r="Y1797">
        <v>-0.12180390000000001</v>
      </c>
      <c r="Z1797">
        <v>-6.7377520000000001E-4</v>
      </c>
      <c r="AA1797">
        <v>0.99255389999999999</v>
      </c>
      <c r="AB1797">
        <v>34</v>
      </c>
      <c r="AC1797">
        <v>-55.389699999999998</v>
      </c>
      <c r="AD1797">
        <v>-1.02717456</v>
      </c>
      <c r="AE1797">
        <v>-8.5464999999999804</v>
      </c>
      <c r="AF1797">
        <v>-6.8643875210617802</v>
      </c>
      <c r="AG1797">
        <v>-1.02717456</v>
      </c>
      <c r="AH1797">
        <v>55.604249836573501</v>
      </c>
      <c r="AI1797">
        <v>91.050330238260599</v>
      </c>
      <c r="AJ1797">
        <v>97.037601077999597</v>
      </c>
      <c r="AK1797">
        <v>56.035769857334003</v>
      </c>
      <c r="AL1797">
        <v>94.0200201805701</v>
      </c>
      <c r="AM1797">
        <v>91.883182697361505</v>
      </c>
      <c r="AN1797">
        <v>1.00000005161417</v>
      </c>
    </row>
    <row r="1798" spans="1:40" x14ac:dyDescent="0.25">
      <c r="A1798" t="str">
        <f>"20190305135228676"</f>
        <v>20190305135228676</v>
      </c>
      <c r="B1798" t="str">
        <f>"1551765148671630"</f>
        <v>1551765148671630</v>
      </c>
      <c r="C1798" t="s">
        <v>40</v>
      </c>
      <c r="D1798">
        <v>4.6893320000000003</v>
      </c>
      <c r="E1798">
        <v>0.46747670000000002</v>
      </c>
      <c r="F1798" t="s">
        <v>66</v>
      </c>
      <c r="G1798">
        <v>-281.29140000000001</v>
      </c>
      <c r="H1798">
        <v>8.0001760000000005E-2</v>
      </c>
      <c r="I1798">
        <v>277.31180000000001</v>
      </c>
      <c r="J1798">
        <v>-228.28569999999999</v>
      </c>
      <c r="K1798">
        <v>1.1072150000000001</v>
      </c>
      <c r="L1798">
        <v>285.46570000000003</v>
      </c>
      <c r="M1798">
        <v>-0.99954399999999999</v>
      </c>
      <c r="N1798">
        <v>-1.2805760000000001E-3</v>
      </c>
      <c r="O1798">
        <v>-3.017158E-2</v>
      </c>
      <c r="P1798">
        <v>-0.99547759999999996</v>
      </c>
      <c r="Q1798">
        <v>-7.1067309999999995E-2</v>
      </c>
      <c r="R1798">
        <v>-6.3039410000000004E-2</v>
      </c>
      <c r="S1798">
        <v>-2.980728</v>
      </c>
      <c r="T1798">
        <v>-5.7404160000000003E-2</v>
      </c>
      <c r="U1798">
        <v>-0.45623780000000003</v>
      </c>
      <c r="V1798">
        <v>-3.3002789999999997E-2</v>
      </c>
      <c r="W1798">
        <v>-6.9777939999999997E-2</v>
      </c>
      <c r="X1798">
        <v>0.99701649999999997</v>
      </c>
      <c r="Y1798">
        <v>-0.1213886</v>
      </c>
      <c r="Z1798">
        <v>-7.0137839999999895E-4</v>
      </c>
      <c r="AA1798">
        <v>0.99260479999999995</v>
      </c>
      <c r="AB1798">
        <v>34</v>
      </c>
      <c r="AC1798">
        <v>-53.005699999999997</v>
      </c>
      <c r="AD1798">
        <v>-1.02721324</v>
      </c>
      <c r="AE1798">
        <v>-8.1539000000000197</v>
      </c>
      <c r="AF1798">
        <v>-6.54851842050142</v>
      </c>
      <c r="AG1798">
        <v>-1.02721324</v>
      </c>
      <c r="AH1798">
        <v>53.208063776954198</v>
      </c>
      <c r="AI1798">
        <v>91.097711319062498</v>
      </c>
      <c r="AJ1798">
        <v>97.016325285583207</v>
      </c>
      <c r="AK1798">
        <v>53.6193650786403</v>
      </c>
      <c r="AL1798">
        <v>94.001232837304002</v>
      </c>
      <c r="AM1798">
        <v>91.895886775927906</v>
      </c>
      <c r="AN1798">
        <v>1.0000000231653301</v>
      </c>
    </row>
    <row r="1799" spans="1:40" x14ac:dyDescent="0.25">
      <c r="A1799" t="str">
        <f>"20190305135228699"</f>
        <v>20190305135228699</v>
      </c>
      <c r="B1799" t="str">
        <f>"1551765148691150"</f>
        <v>1551765148691150</v>
      </c>
      <c r="C1799" t="s">
        <v>40</v>
      </c>
      <c r="D1799">
        <v>5.1364850000000004</v>
      </c>
      <c r="E1799">
        <v>0.46817389999999998</v>
      </c>
      <c r="F1799" t="s">
        <v>66</v>
      </c>
      <c r="G1799">
        <v>-280.00940000000003</v>
      </c>
      <c r="H1799">
        <v>8.0001929999999999E-2</v>
      </c>
      <c r="I1799">
        <v>277.55189999999999</v>
      </c>
      <c r="J1799">
        <v>-228.65790000000001</v>
      </c>
      <c r="K1799">
        <v>1.107248</v>
      </c>
      <c r="L1799">
        <v>285.45460000000003</v>
      </c>
      <c r="M1799">
        <v>-0.99954560000000003</v>
      </c>
      <c r="N1799">
        <v>-1.345885E-3</v>
      </c>
      <c r="O1799">
        <v>-3.011312E-2</v>
      </c>
      <c r="P1799">
        <v>-0.99545159999999999</v>
      </c>
      <c r="Q1799">
        <v>-7.1437150000000005E-2</v>
      </c>
      <c r="R1799">
        <v>-6.3033909999999999E-2</v>
      </c>
      <c r="S1799">
        <v>-2.980515</v>
      </c>
      <c r="T1799">
        <v>-5.9191939999999998E-2</v>
      </c>
      <c r="U1799">
        <v>-0.45602419999999999</v>
      </c>
      <c r="V1799">
        <v>-3.3050089999999997E-2</v>
      </c>
      <c r="W1799">
        <v>-7.0085439999999999E-2</v>
      </c>
      <c r="X1799">
        <v>0.99699340000000003</v>
      </c>
      <c r="Y1799">
        <v>-0.12138649999999999</v>
      </c>
      <c r="Z1799">
        <v>-7.2663239999999998E-4</v>
      </c>
      <c r="AA1799">
        <v>0.99260499999999996</v>
      </c>
      <c r="AB1799">
        <v>34</v>
      </c>
      <c r="AC1799">
        <v>-51.351500000000001</v>
      </c>
      <c r="AD1799">
        <v>-1.0272460699999999</v>
      </c>
      <c r="AE1799">
        <v>-7.9027000000000296</v>
      </c>
      <c r="AF1799">
        <v>-6.3502784395739003</v>
      </c>
      <c r="AG1799">
        <v>-1.0272460699999999</v>
      </c>
      <c r="AH1799">
        <v>51.546037201363902</v>
      </c>
      <c r="AI1799">
        <v>91.133115710048202</v>
      </c>
      <c r="AJ1799">
        <v>97.023236506045905</v>
      </c>
      <c r="AK1799">
        <v>51.945887439842998</v>
      </c>
      <c r="AL1799">
        <v>94.018894386602796</v>
      </c>
      <c r="AM1799">
        <v>91.898645954451794</v>
      </c>
      <c r="AN1799">
        <v>1.0000000584962701</v>
      </c>
    </row>
    <row r="1800" spans="1:40" x14ac:dyDescent="0.25">
      <c r="A1800" t="str">
        <f>"20190305135228742"</f>
        <v>20190305135228742</v>
      </c>
      <c r="B1800" t="str">
        <f>"1551765148731166"</f>
        <v>1551765148731166</v>
      </c>
      <c r="C1800" t="s">
        <v>40</v>
      </c>
      <c r="D1800">
        <v>4.6852539999999996</v>
      </c>
      <c r="E1800">
        <v>0.51738139999999999</v>
      </c>
      <c r="F1800" t="s">
        <v>56</v>
      </c>
      <c r="G1800">
        <v>-269.3655</v>
      </c>
      <c r="H1800">
        <v>8.0000180000000004E-2</v>
      </c>
      <c r="I1800">
        <v>279.31319999999999</v>
      </c>
      <c r="J1800">
        <v>-229.31790000000001</v>
      </c>
      <c r="K1800">
        <v>1.107289</v>
      </c>
      <c r="L1800">
        <v>285.4348</v>
      </c>
      <c r="M1800">
        <v>-0.99954679999999996</v>
      </c>
      <c r="N1800">
        <v>-1.46024E-3</v>
      </c>
      <c r="O1800">
        <v>-3.006926E-2</v>
      </c>
      <c r="P1800">
        <v>-0.99541290000000004</v>
      </c>
      <c r="Q1800">
        <v>-7.2253199999999906E-2</v>
      </c>
      <c r="R1800">
        <v>-6.2710989999999994E-2</v>
      </c>
      <c r="S1800">
        <v>-2.9798580000000001</v>
      </c>
      <c r="T1800">
        <v>-7.5196150000000003E-2</v>
      </c>
      <c r="U1800">
        <v>-0.44955440000000002</v>
      </c>
      <c r="V1800">
        <v>-3.2765589999999997E-2</v>
      </c>
      <c r="W1800">
        <v>-7.0791030000000005E-2</v>
      </c>
      <c r="X1800">
        <v>0.99695290000000003</v>
      </c>
      <c r="Y1800">
        <v>-0.11934500000000001</v>
      </c>
      <c r="Z1800">
        <v>-8.7454850000000001E-4</v>
      </c>
      <c r="AA1800">
        <v>0.99285239999999997</v>
      </c>
      <c r="AB1800">
        <v>34</v>
      </c>
      <c r="AC1800">
        <v>-40.047599999999903</v>
      </c>
      <c r="AD1800">
        <v>-1.0272888200000001</v>
      </c>
      <c r="AE1800">
        <v>-6.1215999999999999</v>
      </c>
      <c r="AF1800">
        <v>-4.91147098714913</v>
      </c>
      <c r="AG1800">
        <v>-1.0272888200000001</v>
      </c>
      <c r="AH1800">
        <v>40.187723179482298</v>
      </c>
      <c r="AI1800">
        <v>91.453480711359006</v>
      </c>
      <c r="AJ1800">
        <v>96.967748448849505</v>
      </c>
      <c r="AK1800">
        <v>40.499764986083598</v>
      </c>
      <c r="AL1800">
        <v>94.0594225392082</v>
      </c>
      <c r="AM1800">
        <v>91.882390352860995</v>
      </c>
      <c r="AN1800">
        <v>1.0000000193174501</v>
      </c>
    </row>
    <row r="1801" spans="1:40" x14ac:dyDescent="0.25">
      <c r="A1801" t="str">
        <f>"20190305135228764"</f>
        <v>20190305135228764</v>
      </c>
      <c r="B1801" t="str">
        <f>"1551765148761422"</f>
        <v>1551765148761422</v>
      </c>
      <c r="C1801" t="s">
        <v>40</v>
      </c>
      <c r="D1801">
        <v>4.7938280000000004</v>
      </c>
      <c r="E1801">
        <v>0.51888080000000003</v>
      </c>
      <c r="F1801" t="s">
        <v>41</v>
      </c>
      <c r="G1801">
        <v>-230.0489</v>
      </c>
      <c r="H1801">
        <v>0.96071019999999896</v>
      </c>
      <c r="I1801">
        <v>285.4273</v>
      </c>
      <c r="J1801">
        <v>-229.6567</v>
      </c>
      <c r="K1801">
        <v>1.1073040000000001</v>
      </c>
      <c r="L1801">
        <v>285.4246</v>
      </c>
      <c r="M1801">
        <v>-0.99954690000000002</v>
      </c>
      <c r="N1801">
        <v>-1.516756E-3</v>
      </c>
      <c r="O1801">
        <v>-3.0061330000000001E-2</v>
      </c>
      <c r="P1801">
        <v>-0.99545530000000004</v>
      </c>
      <c r="Q1801">
        <v>-7.1985850000000004E-2</v>
      </c>
      <c r="R1801">
        <v>-6.2346140000000001E-2</v>
      </c>
      <c r="S1801">
        <v>-2.9686279999999998</v>
      </c>
      <c r="T1801">
        <v>-0.59533190000000002</v>
      </c>
      <c r="U1801">
        <v>-3.1311039999999998E-2</v>
      </c>
      <c r="V1801">
        <v>-3.2404559999999999E-2</v>
      </c>
      <c r="W1801">
        <v>-7.0468489999999995E-2</v>
      </c>
      <c r="X1801">
        <v>0.99698750000000003</v>
      </c>
      <c r="Y1801">
        <v>1.8556240000000002E-2</v>
      </c>
      <c r="Z1801">
        <v>7.7793439999999997E-3</v>
      </c>
      <c r="AA1801">
        <v>0.99979759999999995</v>
      </c>
      <c r="AB1801">
        <v>35</v>
      </c>
      <c r="AC1801">
        <v>-0.39220000000000199</v>
      </c>
      <c r="AD1801">
        <v>-0.1465938</v>
      </c>
      <c r="AE1801">
        <v>2.7000000000043599E-3</v>
      </c>
      <c r="AF1801">
        <v>1.2712863849794399E-2</v>
      </c>
      <c r="AG1801">
        <v>-0.1465938</v>
      </c>
      <c r="AH1801">
        <v>0.34389899783813399</v>
      </c>
      <c r="AI1801">
        <v>113.072984419984</v>
      </c>
      <c r="AJ1801">
        <v>87.882919329372797</v>
      </c>
      <c r="AK1801">
        <v>0.37405598487362401</v>
      </c>
      <c r="AL1801">
        <v>94.040896292960596</v>
      </c>
      <c r="AM1801">
        <v>91.861599213594104</v>
      </c>
      <c r="AN1801">
        <v>0.99999996937396096</v>
      </c>
    </row>
    <row r="1802" spans="1:40" x14ac:dyDescent="0.25">
      <c r="A1802" t="str">
        <f>"20190305135228799"</f>
        <v>20190305135228799</v>
      </c>
      <c r="B1802" t="str">
        <f>"1551765148791679"</f>
        <v>1551765148791679</v>
      </c>
      <c r="C1802" t="s">
        <v>40</v>
      </c>
      <c r="D1802">
        <v>4.7689069999999996</v>
      </c>
      <c r="E1802">
        <v>0.51843989999999995</v>
      </c>
      <c r="F1802" t="s">
        <v>41</v>
      </c>
      <c r="G1802">
        <v>-230.35820000000001</v>
      </c>
      <c r="H1802">
        <v>0.95336120000000002</v>
      </c>
      <c r="I1802">
        <v>285.42099999999999</v>
      </c>
      <c r="J1802">
        <v>-230.20830000000001</v>
      </c>
      <c r="K1802">
        <v>1.107321</v>
      </c>
      <c r="L1802">
        <v>285.40809999999999</v>
      </c>
      <c r="M1802">
        <v>-0.99954690000000002</v>
      </c>
      <c r="N1802">
        <v>-1.6047870000000001E-3</v>
      </c>
      <c r="O1802">
        <v>-3.005677E-2</v>
      </c>
      <c r="P1802">
        <v>-0.99543400000000004</v>
      </c>
      <c r="Q1802">
        <v>-7.244958E-2</v>
      </c>
      <c r="R1802">
        <v>-6.2149040000000003E-2</v>
      </c>
      <c r="S1802">
        <v>-2.9656829999999998</v>
      </c>
      <c r="T1802">
        <v>-0.650891199999999</v>
      </c>
      <c r="U1802">
        <v>-1.5350340000000001E-2</v>
      </c>
      <c r="V1802">
        <v>-3.2210210000000003E-2</v>
      </c>
      <c r="W1802">
        <v>-7.0845829999999999E-2</v>
      </c>
      <c r="X1802">
        <v>0.99696709999999999</v>
      </c>
      <c r="Y1802">
        <v>2.361191E-2</v>
      </c>
      <c r="Z1802">
        <v>9.0503000000000007E-3</v>
      </c>
      <c r="AA1802">
        <v>0.99968020000000002</v>
      </c>
      <c r="AB1802">
        <v>35</v>
      </c>
      <c r="AC1802">
        <v>-0.149900000000002</v>
      </c>
      <c r="AD1802">
        <v>-0.15395980000000001</v>
      </c>
      <c r="AE1802">
        <v>1.29000000000019E-2</v>
      </c>
      <c r="AF1802">
        <v>8.4994883476653404E-3</v>
      </c>
      <c r="AG1802">
        <v>-0.15395980000000001</v>
      </c>
      <c r="AH1802">
        <v>7.3001434593486195E-2</v>
      </c>
      <c r="AI1802">
        <v>154.481962305542</v>
      </c>
      <c r="AJ1802">
        <v>83.359006415786595</v>
      </c>
      <c r="AK1802">
        <v>0.17060208313768899</v>
      </c>
      <c r="AL1802">
        <v>94.062570273237299</v>
      </c>
      <c r="AM1802">
        <v>91.850479685723698</v>
      </c>
      <c r="AN1802">
        <v>1.00000001386952</v>
      </c>
    </row>
    <row r="1803" spans="1:40" x14ac:dyDescent="0.25">
      <c r="A1803" t="str">
        <f>"20190305135228821"</f>
        <v>20190305135228821</v>
      </c>
      <c r="B1803" t="str">
        <f>"1551765148811198"</f>
        <v>1551765148811198</v>
      </c>
      <c r="C1803" t="s">
        <v>40</v>
      </c>
      <c r="D1803">
        <v>4.8046559999999996</v>
      </c>
      <c r="E1803">
        <v>0.5187676</v>
      </c>
      <c r="F1803" t="s">
        <v>41</v>
      </c>
      <c r="G1803">
        <v>-230.9794</v>
      </c>
      <c r="H1803">
        <v>0.93445409999999995</v>
      </c>
      <c r="I1803">
        <v>285.40350000000001</v>
      </c>
      <c r="J1803">
        <v>-230.55959999999999</v>
      </c>
      <c r="K1803">
        <v>1.107332</v>
      </c>
      <c r="L1803">
        <v>285.39749999999998</v>
      </c>
      <c r="M1803">
        <v>-0.99954690000000002</v>
      </c>
      <c r="N1803">
        <v>-1.6582929999999999E-3</v>
      </c>
      <c r="O1803">
        <v>-3.0055390000000001E-2</v>
      </c>
      <c r="P1803">
        <v>-0.99542249999999999</v>
      </c>
      <c r="Q1803">
        <v>-7.2550399999999904E-2</v>
      </c>
      <c r="R1803">
        <v>-6.2214459999999999E-2</v>
      </c>
      <c r="S1803">
        <v>-2.9642940000000002</v>
      </c>
      <c r="T1803">
        <v>-0.66453799999999996</v>
      </c>
      <c r="U1803">
        <v>-1.7700199999999999E-2</v>
      </c>
      <c r="V1803">
        <v>-3.2275699999999997E-2</v>
      </c>
      <c r="W1803">
        <v>-7.0893929999999994E-2</v>
      </c>
      <c r="X1803">
        <v>0.99696149999999994</v>
      </c>
      <c r="Y1803">
        <v>2.27821E-2</v>
      </c>
      <c r="Z1803">
        <v>9.1464979999999994E-3</v>
      </c>
      <c r="AA1803">
        <v>0.99969859999999999</v>
      </c>
      <c r="AB1803">
        <v>35</v>
      </c>
      <c r="AC1803">
        <v>-0.419800000000009</v>
      </c>
      <c r="AD1803">
        <v>-0.1728779</v>
      </c>
      <c r="AE1803">
        <v>6.0000000000286404E-3</v>
      </c>
      <c r="AF1803">
        <v>1.5915960678128602E-2</v>
      </c>
      <c r="AG1803">
        <v>-0.1728779</v>
      </c>
      <c r="AH1803">
        <v>0.35862421748720402</v>
      </c>
      <c r="AI1803">
        <v>115.714749582248</v>
      </c>
      <c r="AJ1803">
        <v>87.458846000720499</v>
      </c>
      <c r="AK1803">
        <v>0.39843621256234601</v>
      </c>
      <c r="AL1803">
        <v>94.065333402036501</v>
      </c>
      <c r="AM1803">
        <v>91.854249876894301</v>
      </c>
      <c r="AN1803">
        <v>0.99999995130179098</v>
      </c>
    </row>
    <row r="1804" spans="1:40" x14ac:dyDescent="0.25">
      <c r="A1804" t="str">
        <f>"20190305135228842"</f>
        <v>20190305135228842</v>
      </c>
      <c r="B1804" t="str">
        <f>"1551765148831698"</f>
        <v>1551765148831698</v>
      </c>
      <c r="C1804" t="s">
        <v>40</v>
      </c>
      <c r="D1804">
        <v>4.7945409999999997</v>
      </c>
      <c r="E1804">
        <v>0.51875059999999995</v>
      </c>
      <c r="F1804" t="s">
        <v>41</v>
      </c>
      <c r="G1804">
        <v>-231.29920000000001</v>
      </c>
      <c r="H1804">
        <v>0.94035469999999999</v>
      </c>
      <c r="I1804">
        <v>285.39400000000001</v>
      </c>
      <c r="J1804">
        <v>-230.89160000000001</v>
      </c>
      <c r="K1804">
        <v>1.10734</v>
      </c>
      <c r="L1804">
        <v>285.38760000000002</v>
      </c>
      <c r="M1804">
        <v>-0.99954679999999996</v>
      </c>
      <c r="N1804">
        <v>-1.7071359999999999E-3</v>
      </c>
      <c r="O1804">
        <v>-3.0054609999999999E-2</v>
      </c>
      <c r="P1804">
        <v>-0.99541579999999996</v>
      </c>
      <c r="Q1804">
        <v>-7.2493660000000001E-2</v>
      </c>
      <c r="R1804">
        <v>-6.2388319999999997E-2</v>
      </c>
      <c r="S1804">
        <v>-2.9640659999999999</v>
      </c>
      <c r="T1804">
        <v>-0.6692863</v>
      </c>
      <c r="U1804">
        <v>-1.522827E-2</v>
      </c>
      <c r="V1804">
        <v>-3.2449459999999999E-2</v>
      </c>
      <c r="W1804">
        <v>-7.078893E-2</v>
      </c>
      <c r="X1804">
        <v>0.99696340000000006</v>
      </c>
      <c r="Y1804">
        <v>2.3575869999999999E-2</v>
      </c>
      <c r="Z1804">
        <v>9.2993390000000002E-3</v>
      </c>
      <c r="AA1804">
        <v>0.99967879999999998</v>
      </c>
      <c r="AB1804">
        <v>35</v>
      </c>
      <c r="AC1804">
        <v>-0.40760000000000202</v>
      </c>
      <c r="AD1804">
        <v>-0.1669853</v>
      </c>
      <c r="AE1804">
        <v>6.39999999998508E-3</v>
      </c>
      <c r="AF1804">
        <v>1.5968019251682099E-2</v>
      </c>
      <c r="AG1804">
        <v>-0.1669853</v>
      </c>
      <c r="AH1804">
        <v>0.348711240006572</v>
      </c>
      <c r="AI1804">
        <v>115.564720264564</v>
      </c>
      <c r="AJ1804">
        <v>87.378170431196196</v>
      </c>
      <c r="AK1804">
        <v>0.38696071759525302</v>
      </c>
      <c r="AL1804">
        <v>94.059301869979393</v>
      </c>
      <c r="AM1804">
        <v>91.864221872306899</v>
      </c>
      <c r="AN1804">
        <v>1.0000000305021901</v>
      </c>
    </row>
    <row r="1805" spans="1:40" x14ac:dyDescent="0.25">
      <c r="A1805" t="str">
        <f>"20190305135228864"</f>
        <v>20190305135228864</v>
      </c>
      <c r="B1805" t="str">
        <f>"1551765148860888"</f>
        <v>1551765148860888</v>
      </c>
      <c r="C1805" t="s">
        <v>40</v>
      </c>
      <c r="D1805">
        <v>4.7821280000000002</v>
      </c>
      <c r="E1805">
        <v>0.51857259999999905</v>
      </c>
      <c r="F1805" t="s">
        <v>41</v>
      </c>
      <c r="G1805">
        <v>-231.61879999999999</v>
      </c>
      <c r="H1805">
        <v>0.942361</v>
      </c>
      <c r="I1805">
        <v>285.38369999999998</v>
      </c>
      <c r="J1805">
        <v>-231.24539999999999</v>
      </c>
      <c r="K1805">
        <v>1.107345</v>
      </c>
      <c r="L1805">
        <v>285.37700000000001</v>
      </c>
      <c r="M1805">
        <v>-0.99954679999999996</v>
      </c>
      <c r="N1805">
        <v>-1.7575129999999901E-3</v>
      </c>
      <c r="O1805">
        <v>-3.0053940000000001E-2</v>
      </c>
      <c r="P1805">
        <v>-0.99543610000000005</v>
      </c>
      <c r="Q1805">
        <v>-7.1995920000000005E-2</v>
      </c>
      <c r="R1805">
        <v>-6.2638340000000001E-2</v>
      </c>
      <c r="S1805">
        <v>-2.9638369999999998</v>
      </c>
      <c r="T1805">
        <v>-0.67243989999999998</v>
      </c>
      <c r="U1805">
        <v>-1.6021730000000001E-2</v>
      </c>
      <c r="V1805">
        <v>-3.269888E-2</v>
      </c>
      <c r="W1805">
        <v>-7.0241289999999998E-2</v>
      </c>
      <c r="X1805">
        <v>0.99699400000000005</v>
      </c>
      <c r="Y1805">
        <v>2.330167E-2</v>
      </c>
      <c r="Z1805">
        <v>9.3109109999999998E-3</v>
      </c>
      <c r="AA1805">
        <v>0.99968509999999999</v>
      </c>
      <c r="AB1805">
        <v>35</v>
      </c>
      <c r="AC1805">
        <v>-0.37340000000000301</v>
      </c>
      <c r="AD1805">
        <v>-0.16498399999999999</v>
      </c>
      <c r="AE1805">
        <v>6.6999999999666198E-3</v>
      </c>
      <c r="AF1805">
        <v>1.49930565500836E-2</v>
      </c>
      <c r="AG1805">
        <v>-0.16498399999999999</v>
      </c>
      <c r="AH1805">
        <v>0.31211665822290902</v>
      </c>
      <c r="AI1805">
        <v>117.83353440786099</v>
      </c>
      <c r="AJ1805">
        <v>87.249813485651401</v>
      </c>
      <c r="AK1805">
        <v>0.35335721351197802</v>
      </c>
      <c r="AL1805">
        <v>94.027846045636693</v>
      </c>
      <c r="AM1805">
        <v>91.878483211355402</v>
      </c>
      <c r="AN1805">
        <v>1.00000004580505</v>
      </c>
    </row>
    <row r="1806" spans="1:40" x14ac:dyDescent="0.25">
      <c r="A1806" t="str">
        <f>"20190305135228889"</f>
        <v>20190305135228889</v>
      </c>
      <c r="B1806" t="str">
        <f>"1551765148881385"</f>
        <v>1551765148881385</v>
      </c>
      <c r="C1806" t="s">
        <v>40</v>
      </c>
      <c r="D1806">
        <v>4.7850760000000001</v>
      </c>
      <c r="E1806">
        <v>0.51820920000000004</v>
      </c>
      <c r="F1806" t="s">
        <v>41</v>
      </c>
      <c r="G1806">
        <v>-231.9419</v>
      </c>
      <c r="H1806">
        <v>0.94875900000000002</v>
      </c>
      <c r="I1806">
        <v>285.37279999999998</v>
      </c>
      <c r="J1806">
        <v>-231.63419999999999</v>
      </c>
      <c r="K1806">
        <v>1.107348</v>
      </c>
      <c r="L1806">
        <v>285.36529999999999</v>
      </c>
      <c r="M1806">
        <v>-0.99954670000000001</v>
      </c>
      <c r="N1806">
        <v>-1.810706E-3</v>
      </c>
      <c r="O1806">
        <v>-3.0053159999999999E-2</v>
      </c>
      <c r="P1806">
        <v>-0.99543610000000005</v>
      </c>
      <c r="Q1806">
        <v>-7.1878090000000006E-2</v>
      </c>
      <c r="R1806">
        <v>-6.2771740000000006E-2</v>
      </c>
      <c r="S1806">
        <v>-2.9638059999999999</v>
      </c>
      <c r="T1806">
        <v>-0.67481040000000003</v>
      </c>
      <c r="U1806">
        <v>-1.8280029999999999E-2</v>
      </c>
      <c r="V1806">
        <v>-3.2832390000000003E-2</v>
      </c>
      <c r="W1806">
        <v>-7.0070729999999998E-2</v>
      </c>
      <c r="X1806">
        <v>0.99700160000000004</v>
      </c>
      <c r="Y1806">
        <v>2.2549329999999999E-2</v>
      </c>
      <c r="Z1806">
        <v>9.256706E-3</v>
      </c>
      <c r="AA1806">
        <v>0.99970289999999995</v>
      </c>
      <c r="AB1806">
        <v>36</v>
      </c>
      <c r="AC1806">
        <v>-0.30770000000001102</v>
      </c>
      <c r="AD1806">
        <v>-0.15858899999999901</v>
      </c>
      <c r="AE1806">
        <v>7.4999999999931797E-3</v>
      </c>
      <c r="AF1806">
        <v>1.32313219094038E-2</v>
      </c>
      <c r="AG1806">
        <v>-0.15858899999999901</v>
      </c>
      <c r="AH1806">
        <v>0.242860739383045</v>
      </c>
      <c r="AI1806">
        <v>123.10583356770999</v>
      </c>
      <c r="AJ1806">
        <v>86.881545461413694</v>
      </c>
      <c r="AK1806">
        <v>0.29035646632053802</v>
      </c>
      <c r="AL1806">
        <v>94.018049596329703</v>
      </c>
      <c r="AM1806">
        <v>91.886133189292906</v>
      </c>
      <c r="AN1806">
        <v>1.0000000317191999</v>
      </c>
    </row>
    <row r="1807" spans="1:40" x14ac:dyDescent="0.25">
      <c r="A1807" t="str">
        <f>"20190305135228912"</f>
        <v>20190305135228912</v>
      </c>
      <c r="B1807" t="str">
        <f>"1551765148900904"</f>
        <v>1551765148900904</v>
      </c>
      <c r="C1807" t="s">
        <v>40</v>
      </c>
      <c r="D1807">
        <v>4.786416</v>
      </c>
      <c r="E1807">
        <v>0.51813509999999996</v>
      </c>
      <c r="F1807" t="s">
        <v>41</v>
      </c>
      <c r="G1807">
        <v>-232.56299999999999</v>
      </c>
      <c r="H1807">
        <v>0.89439069999999898</v>
      </c>
      <c r="I1807">
        <v>285.3587</v>
      </c>
      <c r="J1807">
        <v>-232.01840000000001</v>
      </c>
      <c r="K1807">
        <v>1.107353</v>
      </c>
      <c r="L1807">
        <v>285.35379999999998</v>
      </c>
      <c r="M1807">
        <v>-0.99954670000000001</v>
      </c>
      <c r="N1807">
        <v>-1.8614149999999999E-3</v>
      </c>
      <c r="O1807">
        <v>-3.005273E-2</v>
      </c>
      <c r="P1807">
        <v>-0.99546840000000003</v>
      </c>
      <c r="Q1807">
        <v>-7.1805789999999994E-2</v>
      </c>
      <c r="R1807">
        <v>-6.2346600000000002E-2</v>
      </c>
      <c r="S1807">
        <v>-2.963333</v>
      </c>
      <c r="T1807">
        <v>-0.67953980000000003</v>
      </c>
      <c r="U1807">
        <v>-2.1545410000000001E-2</v>
      </c>
      <c r="V1807">
        <v>-3.2405749999999997E-2</v>
      </c>
      <c r="W1807">
        <v>-6.9948079999999996E-2</v>
      </c>
      <c r="X1807">
        <v>0.99702409999999997</v>
      </c>
      <c r="Y1807">
        <v>2.1456119999999999E-2</v>
      </c>
      <c r="Z1807">
        <v>9.1957900000000006E-3</v>
      </c>
      <c r="AA1807">
        <v>0.99972749999999999</v>
      </c>
      <c r="AB1807">
        <v>36</v>
      </c>
      <c r="AC1807">
        <v>-0.54459999999997399</v>
      </c>
      <c r="AD1807">
        <v>-0.21296229999999999</v>
      </c>
      <c r="AE1807">
        <v>4.9000000000205502E-3</v>
      </c>
      <c r="AF1807">
        <v>1.8444341172136901E-2</v>
      </c>
      <c r="AG1807">
        <v>-0.21296229999999999</v>
      </c>
      <c r="AH1807">
        <v>0.47203183233569601</v>
      </c>
      <c r="AI1807">
        <v>114.266654670596</v>
      </c>
      <c r="AJ1807">
        <v>87.762342514038593</v>
      </c>
      <c r="AK1807">
        <v>0.51817678998654404</v>
      </c>
      <c r="AL1807">
        <v>94.011005267143503</v>
      </c>
      <c r="AM1807">
        <v>91.861599237099696</v>
      </c>
      <c r="AN1807">
        <v>0.99999996125477797</v>
      </c>
    </row>
    <row r="1808" spans="1:40" x14ac:dyDescent="0.25">
      <c r="A1808" t="str">
        <f>"20190305135228934"</f>
        <v>20190305135228934</v>
      </c>
      <c r="B1808" t="str">
        <f>"1551765148921400"</f>
        <v>1551765148921400</v>
      </c>
      <c r="C1808" t="s">
        <v>40</v>
      </c>
      <c r="D1808">
        <v>4.8005800000000001</v>
      </c>
      <c r="E1808">
        <v>0.51806009999999902</v>
      </c>
      <c r="F1808" t="s">
        <v>41</v>
      </c>
      <c r="G1808">
        <v>-232.89279999999999</v>
      </c>
      <c r="H1808">
        <v>0.90649009999999997</v>
      </c>
      <c r="I1808">
        <v>285.34769999999997</v>
      </c>
      <c r="J1808">
        <v>-232.3689</v>
      </c>
      <c r="K1808">
        <v>1.107356</v>
      </c>
      <c r="L1808">
        <v>285.34320000000002</v>
      </c>
      <c r="M1808">
        <v>-0.99954659999999995</v>
      </c>
      <c r="N1808">
        <v>-1.90657E-3</v>
      </c>
      <c r="O1808">
        <v>-3.0052059999999998E-2</v>
      </c>
      <c r="P1808">
        <v>-0.99549779999999999</v>
      </c>
      <c r="Q1808">
        <v>-7.1734500000000007E-2</v>
      </c>
      <c r="R1808">
        <v>-6.1955580000000003E-2</v>
      </c>
      <c r="S1808">
        <v>-2.963257</v>
      </c>
      <c r="T1808">
        <v>-0.68078570000000005</v>
      </c>
      <c r="U1808">
        <v>-2.1026610000000001E-2</v>
      </c>
      <c r="V1808">
        <v>-3.2014729999999998E-2</v>
      </c>
      <c r="W1808">
        <v>-6.9831920000000006E-2</v>
      </c>
      <c r="X1808">
        <v>0.99704490000000001</v>
      </c>
      <c r="Y1808">
        <v>2.162126E-2</v>
      </c>
      <c r="Z1808">
        <v>9.2304139999999993E-3</v>
      </c>
      <c r="AA1808">
        <v>0.99972360000000005</v>
      </c>
      <c r="AB1808">
        <v>36</v>
      </c>
      <c r="AC1808">
        <v>-0.52389999999999703</v>
      </c>
      <c r="AD1808">
        <v>-0.20086589999999999</v>
      </c>
      <c r="AE1808">
        <v>4.4999999999504299E-3</v>
      </c>
      <c r="AF1808">
        <v>1.7648187085329101E-2</v>
      </c>
      <c r="AG1808">
        <v>-0.20086589999999999</v>
      </c>
      <c r="AH1808">
        <v>0.45643709681935701</v>
      </c>
      <c r="AI1808">
        <v>113.73725173065699</v>
      </c>
      <c r="AJ1808">
        <v>87.785755803198597</v>
      </c>
      <c r="AK1808">
        <v>0.49899237633764598</v>
      </c>
      <c r="AL1808">
        <v>94.004333374165398</v>
      </c>
      <c r="AM1808">
        <v>91.839113658064207</v>
      </c>
      <c r="AN1808">
        <v>0.99999998630193399</v>
      </c>
    </row>
    <row r="1809" spans="1:40" x14ac:dyDescent="0.25">
      <c r="A1809" t="str">
        <f>"20190305135228954"</f>
        <v>20190305135228954</v>
      </c>
      <c r="B1809" t="str">
        <f>"1551765148951657"</f>
        <v>1551765148951657</v>
      </c>
      <c r="C1809" t="s">
        <v>40</v>
      </c>
      <c r="D1809">
        <v>4.7854910000000004</v>
      </c>
      <c r="E1809">
        <v>0.51800270000000004</v>
      </c>
      <c r="F1809" t="s">
        <v>41</v>
      </c>
      <c r="G1809">
        <v>-233.2209</v>
      </c>
      <c r="H1809">
        <v>0.9112306</v>
      </c>
      <c r="I1809">
        <v>285.33760000000001</v>
      </c>
      <c r="J1809">
        <v>-232.7071</v>
      </c>
      <c r="K1809">
        <v>1.107361</v>
      </c>
      <c r="L1809">
        <v>285.33300000000003</v>
      </c>
      <c r="M1809">
        <v>-0.9995465</v>
      </c>
      <c r="N1809">
        <v>-1.949185E-3</v>
      </c>
      <c r="O1809">
        <v>-3.0051979999999999E-2</v>
      </c>
      <c r="P1809">
        <v>-0.99554529999999997</v>
      </c>
      <c r="Q1809">
        <v>-7.1366269999999996E-2</v>
      </c>
      <c r="R1809">
        <v>-6.1614809999999999E-2</v>
      </c>
      <c r="S1809">
        <v>-2.9631500000000002</v>
      </c>
      <c r="T1809">
        <v>-0.68223599999999995</v>
      </c>
      <c r="U1809">
        <v>-2.011108E-2</v>
      </c>
      <c r="V1809">
        <v>-3.1672390000000002E-2</v>
      </c>
      <c r="W1809">
        <v>-6.9421289999999997E-2</v>
      </c>
      <c r="X1809">
        <v>0.99708450000000004</v>
      </c>
      <c r="Y1809">
        <v>2.1916439999999999E-2</v>
      </c>
      <c r="Z1809">
        <v>9.2830180000000005E-3</v>
      </c>
      <c r="AA1809">
        <v>0.99971670000000001</v>
      </c>
      <c r="AB1809">
        <v>36</v>
      </c>
      <c r="AC1809">
        <v>-0.51380000000000303</v>
      </c>
      <c r="AD1809">
        <v>-0.19613040000000001</v>
      </c>
      <c r="AE1809">
        <v>4.6000000000390104E-3</v>
      </c>
      <c r="AF1809">
        <v>1.74902813830283E-2</v>
      </c>
      <c r="AG1809">
        <v>-0.19613040000000001</v>
      </c>
      <c r="AH1809">
        <v>0.44813529097493898</v>
      </c>
      <c r="AI1809">
        <v>113.621006908353</v>
      </c>
      <c r="AJ1809">
        <v>87.764936260180093</v>
      </c>
      <c r="AK1809">
        <v>0.48948777590886799</v>
      </c>
      <c r="AL1809">
        <v>93.980748804034903</v>
      </c>
      <c r="AM1809">
        <v>91.819388719734107</v>
      </c>
      <c r="AN1809">
        <v>0.99999997796691198</v>
      </c>
    </row>
    <row r="1810" spans="1:40" x14ac:dyDescent="0.25">
      <c r="A1810" t="str">
        <f>"20190305135228978"</f>
        <v>20190305135228978</v>
      </c>
      <c r="B1810" t="str">
        <f>"1551765148971177"</f>
        <v>1551765148971177</v>
      </c>
      <c r="C1810" t="s">
        <v>40</v>
      </c>
      <c r="D1810">
        <v>4.7589899999999998</v>
      </c>
      <c r="E1810">
        <v>0.51802689999999996</v>
      </c>
      <c r="F1810" t="s">
        <v>41</v>
      </c>
      <c r="G1810">
        <v>-233.54920000000001</v>
      </c>
      <c r="H1810">
        <v>0.91317300000000001</v>
      </c>
      <c r="I1810">
        <v>285.32749999999999</v>
      </c>
      <c r="J1810">
        <v>-233.07990000000001</v>
      </c>
      <c r="K1810">
        <v>1.107361</v>
      </c>
      <c r="L1810">
        <v>285.3218</v>
      </c>
      <c r="M1810">
        <v>-0.99954639999999995</v>
      </c>
      <c r="N1810">
        <v>-1.995115E-3</v>
      </c>
      <c r="O1810">
        <v>-3.005203E-2</v>
      </c>
      <c r="P1810">
        <v>-0.9956064</v>
      </c>
      <c r="Q1810">
        <v>-7.0927180000000006E-2</v>
      </c>
      <c r="R1810">
        <v>-6.1133720000000003E-2</v>
      </c>
      <c r="S1810">
        <v>-2.9632109999999998</v>
      </c>
      <c r="T1810">
        <v>-0.68329319999999905</v>
      </c>
      <c r="U1810">
        <v>-1.971436E-2</v>
      </c>
      <c r="V1810">
        <v>-3.1189430000000001E-2</v>
      </c>
      <c r="W1810">
        <v>-6.8936430000000007E-2</v>
      </c>
      <c r="X1810">
        <v>0.99713339999999995</v>
      </c>
      <c r="Y1810">
        <v>2.2043210000000001E-2</v>
      </c>
      <c r="Z1810">
        <v>9.3106270000000001E-3</v>
      </c>
      <c r="AA1810">
        <v>0.99971370000000004</v>
      </c>
      <c r="AB1810">
        <v>36</v>
      </c>
      <c r="AC1810">
        <v>-0.46930000000000399</v>
      </c>
      <c r="AD1810">
        <v>-0.194188</v>
      </c>
      <c r="AE1810">
        <v>5.6999999999902597E-3</v>
      </c>
      <c r="AF1810">
        <v>1.6906618373107401E-2</v>
      </c>
      <c r="AG1810">
        <v>-0.194188</v>
      </c>
      <c r="AH1810">
        <v>0.40037615113820402</v>
      </c>
      <c r="AI1810">
        <v>115.853996200834</v>
      </c>
      <c r="AJ1810">
        <v>87.582016962394803</v>
      </c>
      <c r="AK1810">
        <v>0.445304250472703</v>
      </c>
      <c r="AL1810">
        <v>93.952901512048498</v>
      </c>
      <c r="AM1810">
        <v>91.791575981198505</v>
      </c>
      <c r="AN1810">
        <v>1.0000000146602099</v>
      </c>
    </row>
    <row r="1811" spans="1:40" x14ac:dyDescent="0.25">
      <c r="A1811" t="str">
        <f>"20190305135229000"</f>
        <v>20190305135229000</v>
      </c>
      <c r="B1811" t="str">
        <f>"1551765148991672"</f>
        <v>1551765148991672</v>
      </c>
      <c r="C1811" t="s">
        <v>40</v>
      </c>
      <c r="D1811">
        <v>4.7634210000000001</v>
      </c>
      <c r="E1811">
        <v>0.51802709999999996</v>
      </c>
      <c r="F1811" t="s">
        <v>41</v>
      </c>
      <c r="G1811">
        <v>-233.88220000000001</v>
      </c>
      <c r="H1811">
        <v>0.92250810000000005</v>
      </c>
      <c r="I1811">
        <v>285.31709999999998</v>
      </c>
      <c r="J1811">
        <v>-233.45320000000001</v>
      </c>
      <c r="K1811">
        <v>1.107353</v>
      </c>
      <c r="L1811">
        <v>285.31060000000002</v>
      </c>
      <c r="M1811">
        <v>-0.9995463</v>
      </c>
      <c r="N1811">
        <v>-2.0401220000000001E-3</v>
      </c>
      <c r="O1811">
        <v>-3.0052430000000002E-2</v>
      </c>
      <c r="P1811">
        <v>-0.99560439999999994</v>
      </c>
      <c r="Q1811">
        <v>-7.1280339999999998E-2</v>
      </c>
      <c r="R1811">
        <v>-6.075535E-2</v>
      </c>
      <c r="S1811">
        <v>-2.9634860000000001</v>
      </c>
      <c r="T1811">
        <v>-0.68287279999999995</v>
      </c>
      <c r="U1811">
        <v>-1.8371579999999998E-2</v>
      </c>
      <c r="V1811">
        <v>-3.081124E-2</v>
      </c>
      <c r="W1811">
        <v>-6.9244849999999997E-2</v>
      </c>
      <c r="X1811">
        <v>0.9971238</v>
      </c>
      <c r="Y1811">
        <v>2.248752E-2</v>
      </c>
      <c r="Z1811">
        <v>9.354444E-3</v>
      </c>
      <c r="AA1811">
        <v>0.99970329999999996</v>
      </c>
      <c r="AB1811">
        <v>37</v>
      </c>
      <c r="AC1811">
        <v>-0.42900000000000199</v>
      </c>
      <c r="AD1811">
        <v>-0.18484490000000001</v>
      </c>
      <c r="AE1811">
        <v>6.4999999999599796E-3</v>
      </c>
      <c r="AF1811">
        <v>1.6354102550985902E-2</v>
      </c>
      <c r="AG1811">
        <v>-0.18484490000000001</v>
      </c>
      <c r="AH1811">
        <v>0.36151094952545298</v>
      </c>
      <c r="AI1811">
        <v>117.057474445094</v>
      </c>
      <c r="AJ1811">
        <v>87.409808371969405</v>
      </c>
      <c r="AK1811">
        <v>0.40635607581658301</v>
      </c>
      <c r="AL1811">
        <v>93.970614954927598</v>
      </c>
      <c r="AM1811">
        <v>91.769883009341996</v>
      </c>
      <c r="AN1811">
        <v>1.00000002714414</v>
      </c>
    </row>
    <row r="1812" spans="1:40" x14ac:dyDescent="0.25">
      <c r="A1812" t="str">
        <f>"20190305135229021"</f>
        <v>20190305135229021</v>
      </c>
      <c r="B1812" t="str">
        <f>"1551765149011192"</f>
        <v>1551765149011192</v>
      </c>
      <c r="C1812" t="s">
        <v>40</v>
      </c>
      <c r="D1812">
        <v>4.7405359999999996</v>
      </c>
      <c r="E1812">
        <v>0.51805159999999995</v>
      </c>
      <c r="F1812" t="s">
        <v>41</v>
      </c>
      <c r="G1812">
        <v>-234.21639999999999</v>
      </c>
      <c r="H1812">
        <v>0.93096020000000002</v>
      </c>
      <c r="I1812">
        <v>285.30619999999999</v>
      </c>
      <c r="J1812">
        <v>-233.8219</v>
      </c>
      <c r="K1812">
        <v>1.1073409999999999</v>
      </c>
      <c r="L1812">
        <v>285.29950000000002</v>
      </c>
      <c r="M1812">
        <v>-0.99954620000000005</v>
      </c>
      <c r="N1812">
        <v>-2.08384E-3</v>
      </c>
      <c r="O1812">
        <v>-3.0052720000000002E-2</v>
      </c>
      <c r="P1812">
        <v>-0.99557870000000004</v>
      </c>
      <c r="Q1812">
        <v>-7.2301279999999996E-2</v>
      </c>
      <c r="R1812">
        <v>-5.9964839999999998E-2</v>
      </c>
      <c r="S1812">
        <v>-2.9631810000000001</v>
      </c>
      <c r="T1812">
        <v>-0.68480160000000001</v>
      </c>
      <c r="U1812">
        <v>-1.7089839999999999E-2</v>
      </c>
      <c r="V1812">
        <v>-3.002086E-2</v>
      </c>
      <c r="W1812">
        <v>-7.0222380000000001E-2</v>
      </c>
      <c r="X1812">
        <v>0.99707950000000001</v>
      </c>
      <c r="Y1812">
        <v>2.2900810000000001E-2</v>
      </c>
      <c r="Z1812">
        <v>9.4281030000000002E-3</v>
      </c>
      <c r="AA1812">
        <v>0.99969330000000001</v>
      </c>
      <c r="AB1812">
        <v>37</v>
      </c>
      <c r="AC1812">
        <v>-0.39449999999999302</v>
      </c>
      <c r="AD1812">
        <v>-0.1763808</v>
      </c>
      <c r="AE1812">
        <v>6.6999999999666198E-3</v>
      </c>
      <c r="AF1812">
        <v>1.54627201819981E-2</v>
      </c>
      <c r="AG1812">
        <v>-0.1763808</v>
      </c>
      <c r="AH1812">
        <v>0.32847739304555801</v>
      </c>
      <c r="AI1812">
        <v>118.207811819033</v>
      </c>
      <c r="AJ1812">
        <v>87.304852369059702</v>
      </c>
      <c r="AK1812">
        <v>0.373157714734765</v>
      </c>
      <c r="AL1812">
        <v>94.026760157808198</v>
      </c>
      <c r="AM1812">
        <v>91.724585740562802</v>
      </c>
      <c r="AN1812">
        <v>0.99999998200412599</v>
      </c>
    </row>
    <row r="1813" spans="1:40" x14ac:dyDescent="0.25">
      <c r="A1813" t="str">
        <f>"20190305135229043"</f>
        <v>20190305135229043</v>
      </c>
      <c r="B1813" t="str">
        <f>"1551765149031691"</f>
        <v>1551765149031691</v>
      </c>
      <c r="C1813" t="s">
        <v>40</v>
      </c>
      <c r="D1813">
        <v>4.7620459999999998</v>
      </c>
      <c r="E1813">
        <v>0.51801869999999905</v>
      </c>
      <c r="F1813" t="s">
        <v>41</v>
      </c>
      <c r="G1813">
        <v>-234.5514</v>
      </c>
      <c r="H1813">
        <v>0.93783950000000005</v>
      </c>
      <c r="I1813">
        <v>285.29610000000002</v>
      </c>
      <c r="J1813">
        <v>-234.17269999999999</v>
      </c>
      <c r="K1813">
        <v>1.107345</v>
      </c>
      <c r="L1813">
        <v>285.28899999999999</v>
      </c>
      <c r="M1813">
        <v>-0.99954609999999999</v>
      </c>
      <c r="N1813">
        <v>-2.1247100000000001E-3</v>
      </c>
      <c r="O1813">
        <v>-3.005335E-2</v>
      </c>
      <c r="P1813">
        <v>-0.99566639999999995</v>
      </c>
      <c r="Q1813">
        <v>-7.1914469999999994E-2</v>
      </c>
      <c r="R1813">
        <v>-5.8963809999999998E-2</v>
      </c>
      <c r="S1813">
        <v>-2.9624480000000002</v>
      </c>
      <c r="T1813">
        <v>-0.68841269999999999</v>
      </c>
      <c r="U1813">
        <v>-1.4251710000000001E-2</v>
      </c>
      <c r="V1813">
        <v>-2.9016630000000002E-2</v>
      </c>
      <c r="W1813">
        <v>-6.9794780000000001E-2</v>
      </c>
      <c r="X1813">
        <v>0.99713929999999995</v>
      </c>
      <c r="Y1813">
        <v>2.3817990000000001E-2</v>
      </c>
      <c r="Z1813">
        <v>9.5846349999999993E-3</v>
      </c>
      <c r="AA1813">
        <v>0.99967039999999996</v>
      </c>
      <c r="AB1813">
        <v>37</v>
      </c>
      <c r="AC1813">
        <v>-0.37870000000000897</v>
      </c>
      <c r="AD1813">
        <v>-0.169505499999999</v>
      </c>
      <c r="AE1813">
        <v>7.1000000000367401E-3</v>
      </c>
      <c r="AF1813">
        <v>1.53948374169397E-2</v>
      </c>
      <c r="AG1813">
        <v>-0.169505499999999</v>
      </c>
      <c r="AH1813">
        <v>0.315191024601021</v>
      </c>
      <c r="AI1813">
        <v>118.242301431443</v>
      </c>
      <c r="AJ1813">
        <v>87.203731317275597</v>
      </c>
      <c r="AK1813">
        <v>0.35821013042400901</v>
      </c>
      <c r="AL1813">
        <v>94.002200029457498</v>
      </c>
      <c r="AM1813">
        <v>91.666829694219601</v>
      </c>
      <c r="AN1813">
        <v>1.00000002986814</v>
      </c>
    </row>
    <row r="1814" spans="1:40" x14ac:dyDescent="0.25">
      <c r="A1814" t="str">
        <f>"20190305135229067"</f>
        <v>20190305135229067</v>
      </c>
      <c r="B1814" t="str">
        <f>"1551765149061475"</f>
        <v>1551765149061475</v>
      </c>
      <c r="C1814" t="s">
        <v>40</v>
      </c>
      <c r="D1814">
        <v>4.7277680000000002</v>
      </c>
      <c r="E1814">
        <v>0.51754480000000003</v>
      </c>
      <c r="F1814" t="s">
        <v>41</v>
      </c>
      <c r="G1814">
        <v>-234.88650000000001</v>
      </c>
      <c r="H1814">
        <v>0.94165549999999998</v>
      </c>
      <c r="I1814">
        <v>285.28629999999998</v>
      </c>
      <c r="J1814">
        <v>-234.55950000000001</v>
      </c>
      <c r="K1814">
        <v>1.1073470000000001</v>
      </c>
      <c r="L1814">
        <v>285.2774</v>
      </c>
      <c r="M1814">
        <v>-0.99954600000000005</v>
      </c>
      <c r="N1814">
        <v>-2.1692809999999999E-3</v>
      </c>
      <c r="O1814">
        <v>-3.0054239999999999E-2</v>
      </c>
      <c r="P1814">
        <v>-0.99573420000000001</v>
      </c>
      <c r="Q1814">
        <v>-7.1897240000000001E-2</v>
      </c>
      <c r="R1814">
        <v>-5.7831029999999999E-2</v>
      </c>
      <c r="S1814">
        <v>-2.9626920000000001</v>
      </c>
      <c r="T1814">
        <v>-0.68770710000000002</v>
      </c>
      <c r="U1814">
        <v>-1.1627200000000001E-2</v>
      </c>
      <c r="V1814">
        <v>-2.7881779999999998E-2</v>
      </c>
      <c r="W1814">
        <v>-6.9733110000000001E-2</v>
      </c>
      <c r="X1814">
        <v>0.99717599999999995</v>
      </c>
      <c r="Y1814">
        <v>2.4684810000000001E-2</v>
      </c>
      <c r="Z1814">
        <v>9.6739479999999999E-3</v>
      </c>
      <c r="AA1814">
        <v>0.99964850000000005</v>
      </c>
      <c r="AB1814">
        <v>37</v>
      </c>
      <c r="AC1814">
        <v>-0.32699999999999801</v>
      </c>
      <c r="AD1814">
        <v>-0.16569149999999899</v>
      </c>
      <c r="AE1814">
        <v>8.8999999999828001E-3</v>
      </c>
      <c r="AF1814">
        <v>1.4900830466827299E-2</v>
      </c>
      <c r="AG1814">
        <v>-0.16569149999999899</v>
      </c>
      <c r="AH1814">
        <v>0.25990454723544798</v>
      </c>
      <c r="AI1814">
        <v>122.475280624397</v>
      </c>
      <c r="AJ1814">
        <v>86.718714120219502</v>
      </c>
      <c r="AK1814">
        <v>0.30858723498309898</v>
      </c>
      <c r="AL1814">
        <v>93.998657937615903</v>
      </c>
      <c r="AM1814">
        <v>91.601615163419893</v>
      </c>
      <c r="AN1814">
        <v>1.00000003763111</v>
      </c>
    </row>
    <row r="1815" spans="1:40" x14ac:dyDescent="0.25">
      <c r="A1815" t="str">
        <f>"20190305135229088"</f>
        <v>20190305135229088</v>
      </c>
      <c r="B1815" t="str">
        <f>"1551765149080994"</f>
        <v>1551765149080994</v>
      </c>
      <c r="C1815" t="s">
        <v>40</v>
      </c>
      <c r="D1815">
        <v>4.7762570000000002</v>
      </c>
      <c r="E1815">
        <v>0.48237219999999997</v>
      </c>
      <c r="F1815" t="s">
        <v>41</v>
      </c>
      <c r="G1815">
        <v>-235.5324</v>
      </c>
      <c r="H1815">
        <v>0.88317540000000005</v>
      </c>
      <c r="I1815">
        <v>285.27330000000001</v>
      </c>
      <c r="J1815">
        <v>-234.93879999999999</v>
      </c>
      <c r="K1815">
        <v>1.107351</v>
      </c>
      <c r="L1815">
        <v>285.26600000000002</v>
      </c>
      <c r="M1815">
        <v>-0.99954580000000004</v>
      </c>
      <c r="N1815">
        <v>-2.21229E-3</v>
      </c>
      <c r="O1815">
        <v>-3.0054999999999998E-2</v>
      </c>
      <c r="P1815">
        <v>-0.99569989999999997</v>
      </c>
      <c r="Q1815">
        <v>-7.2501490000000002E-2</v>
      </c>
      <c r="R1815">
        <v>-5.7664859999999998E-2</v>
      </c>
      <c r="S1815">
        <v>-2.9628299999999999</v>
      </c>
      <c r="T1815">
        <v>-0.68271319999999902</v>
      </c>
      <c r="U1815">
        <v>-1.2634279999999999E-2</v>
      </c>
      <c r="V1815">
        <v>-2.7715679999999999E-2</v>
      </c>
      <c r="W1815">
        <v>-7.0294590000000004E-2</v>
      </c>
      <c r="X1815">
        <v>0.99714119999999995</v>
      </c>
      <c r="Y1815">
        <v>2.4375190000000001E-2</v>
      </c>
      <c r="Z1815">
        <v>9.5686429999999999E-3</v>
      </c>
      <c r="AA1815">
        <v>0.99965709999999997</v>
      </c>
      <c r="AB1815">
        <v>37</v>
      </c>
      <c r="AC1815">
        <v>-0.59360000000000901</v>
      </c>
      <c r="AD1815">
        <v>-0.224175599999999</v>
      </c>
      <c r="AE1815">
        <v>7.3000000000433803E-3</v>
      </c>
      <c r="AF1815">
        <v>2.2000146260030599E-2</v>
      </c>
      <c r="AG1815">
        <v>-0.224175599999999</v>
      </c>
      <c r="AH1815">
        <v>0.51908962535395298</v>
      </c>
      <c r="AI1815">
        <v>113.33902154219</v>
      </c>
      <c r="AJ1815">
        <v>87.573132755629501</v>
      </c>
      <c r="AK1815">
        <v>0.56585576361907797</v>
      </c>
      <c r="AL1815">
        <v>94.030907539653299</v>
      </c>
      <c r="AM1815">
        <v>91.592134328630195</v>
      </c>
      <c r="AN1815">
        <v>1.00000003051928</v>
      </c>
    </row>
    <row r="1816" spans="1:40" x14ac:dyDescent="0.25">
      <c r="A1816" t="str">
        <f>"20190305135229114"</f>
        <v>20190305135229114</v>
      </c>
      <c r="B1816" t="str">
        <f>"1551765149101490"</f>
        <v>1551765149101490</v>
      </c>
      <c r="C1816" t="s">
        <v>40</v>
      </c>
      <c r="D1816">
        <v>4.7610359999999998</v>
      </c>
      <c r="E1816">
        <v>0.47821409999999998</v>
      </c>
      <c r="F1816" t="s">
        <v>41</v>
      </c>
      <c r="G1816">
        <v>-235.89789999999999</v>
      </c>
      <c r="H1816">
        <v>0.94408700000000001</v>
      </c>
      <c r="I1816">
        <v>285.16860000000003</v>
      </c>
      <c r="J1816">
        <v>-235.35910000000001</v>
      </c>
      <c r="K1816">
        <v>1.1073459999999999</v>
      </c>
      <c r="L1816">
        <v>285.25330000000002</v>
      </c>
      <c r="M1816">
        <v>-0.99954569999999998</v>
      </c>
      <c r="N1816">
        <v>-2.259376E-3</v>
      </c>
      <c r="O1816">
        <v>-3.005588E-2</v>
      </c>
      <c r="P1816">
        <v>-0.99562090000000003</v>
      </c>
      <c r="Q1816">
        <v>-7.3119219999999999E-2</v>
      </c>
      <c r="R1816">
        <v>-5.8247790000000001E-2</v>
      </c>
      <c r="S1816">
        <v>-2.9588619999999999</v>
      </c>
      <c r="T1816">
        <v>-0.50372649999999997</v>
      </c>
      <c r="U1816">
        <v>-0.3006897</v>
      </c>
      <c r="V1816">
        <v>-2.829984E-2</v>
      </c>
      <c r="W1816">
        <v>-7.0865499999999998E-2</v>
      </c>
      <c r="X1816">
        <v>0.99708439999999998</v>
      </c>
      <c r="Y1816">
        <v>-7.0553749999999998E-2</v>
      </c>
      <c r="Z1816">
        <v>-1.030535E-3</v>
      </c>
      <c r="AA1816">
        <v>0.99750749999999999</v>
      </c>
      <c r="AB1816">
        <v>38</v>
      </c>
      <c r="AC1816">
        <v>-0.53879999999997996</v>
      </c>
      <c r="AD1816">
        <v>-0.16325899999999899</v>
      </c>
      <c r="AE1816">
        <v>-8.4699999999997999E-2</v>
      </c>
      <c r="AF1816">
        <v>-6.28374867240961E-2</v>
      </c>
      <c r="AG1816">
        <v>-0.16325899999999899</v>
      </c>
      <c r="AH1816">
        <v>0.496607405440605</v>
      </c>
      <c r="AI1816">
        <v>108.063636087098</v>
      </c>
      <c r="AJ1816">
        <v>97.211512839460795</v>
      </c>
      <c r="AK1816">
        <v>0.52651777363850705</v>
      </c>
      <c r="AL1816">
        <v>94.0636999723759</v>
      </c>
      <c r="AM1816">
        <v>91.625766286353894</v>
      </c>
      <c r="AN1816">
        <v>1.00000005037881</v>
      </c>
    </row>
    <row r="1817" spans="1:40" x14ac:dyDescent="0.25">
      <c r="A1817" t="str">
        <f>"20190305135229134"</f>
        <v>20190305135229134</v>
      </c>
      <c r="B1817" t="str">
        <f>"1551765149131747"</f>
        <v>1551765149131747</v>
      </c>
      <c r="C1817" t="s">
        <v>40</v>
      </c>
      <c r="D1817">
        <v>4.7432689999999997</v>
      </c>
      <c r="E1817">
        <v>0.47897990000000001</v>
      </c>
      <c r="F1817" t="s">
        <v>56</v>
      </c>
      <c r="G1817">
        <v>-244.791</v>
      </c>
      <c r="H1817" s="1">
        <v>1.012745E-6</v>
      </c>
      <c r="I1817">
        <v>284.1644</v>
      </c>
      <c r="J1817">
        <v>-235.71440000000001</v>
      </c>
      <c r="K1817">
        <v>1.1073500000000001</v>
      </c>
      <c r="L1817">
        <v>285.24259999999998</v>
      </c>
      <c r="M1817">
        <v>-0.99954569999999998</v>
      </c>
      <c r="N1817">
        <v>-2.2989080000000001E-3</v>
      </c>
      <c r="O1817">
        <v>-3.0056759999999998E-2</v>
      </c>
      <c r="P1817">
        <v>-0.99555709999999997</v>
      </c>
      <c r="Q1817">
        <v>-7.3492909999999995E-2</v>
      </c>
      <c r="R1817">
        <v>-5.8864899999999998E-2</v>
      </c>
      <c r="S1817">
        <v>-2.9675600000000002</v>
      </c>
      <c r="T1817">
        <v>-0.34840349999999998</v>
      </c>
      <c r="U1817">
        <v>-0.3426208</v>
      </c>
      <c r="V1817">
        <v>-2.8917700000000001E-2</v>
      </c>
      <c r="W1817">
        <v>-7.1199860000000004E-2</v>
      </c>
      <c r="X1817">
        <v>0.99704280000000001</v>
      </c>
      <c r="Y1817">
        <v>-8.4395890000000001E-2</v>
      </c>
      <c r="Z1817">
        <v>-1.5841399999999999E-3</v>
      </c>
      <c r="AA1817">
        <v>0.99643110000000001</v>
      </c>
      <c r="AB1817">
        <v>38</v>
      </c>
      <c r="AC1817">
        <v>-9.0765999999999796</v>
      </c>
      <c r="AD1817">
        <v>-1.107348987255</v>
      </c>
      <c r="AE1817">
        <v>-1.0781999999999801</v>
      </c>
      <c r="AF1817">
        <v>-0.79325637041548303</v>
      </c>
      <c r="AG1817">
        <v>-1.107348987255</v>
      </c>
      <c r="AH1817">
        <v>8.9732066620086197</v>
      </c>
      <c r="AI1817">
        <v>97.008026068507803</v>
      </c>
      <c r="AJ1817">
        <v>95.051972750741001</v>
      </c>
      <c r="AK1817">
        <v>9.0760076712117908</v>
      </c>
      <c r="AL1817">
        <v>94.082906111901096</v>
      </c>
      <c r="AM1817">
        <v>91.661310640573603</v>
      </c>
      <c r="AN1817">
        <v>0.99999999923457406</v>
      </c>
    </row>
    <row r="1818" spans="1:40" x14ac:dyDescent="0.25">
      <c r="A1818" t="str">
        <f>"20190305135229156"</f>
        <v>20190305135229156</v>
      </c>
      <c r="B1818" t="str">
        <f>"1551765149151267"</f>
        <v>1551765149151267</v>
      </c>
      <c r="C1818" t="s">
        <v>40</v>
      </c>
      <c r="D1818">
        <v>4.7620180000000003</v>
      </c>
      <c r="E1818">
        <v>0.4795026</v>
      </c>
      <c r="F1818" t="s">
        <v>56</v>
      </c>
      <c r="G1818">
        <v>-251.35480000000001</v>
      </c>
      <c r="H1818" s="1">
        <v>-8.1585349999999998E-7</v>
      </c>
      <c r="I1818">
        <v>283.43310000000002</v>
      </c>
      <c r="J1818">
        <v>-236.07140000000001</v>
      </c>
      <c r="K1818">
        <v>1.107351</v>
      </c>
      <c r="L1818">
        <v>285.2319</v>
      </c>
      <c r="M1818">
        <v>-0.99954569999999998</v>
      </c>
      <c r="N1818">
        <v>-2.3383639999999999E-3</v>
      </c>
      <c r="O1818">
        <v>-3.00506E-2</v>
      </c>
      <c r="P1818">
        <v>-0.99559810000000004</v>
      </c>
      <c r="Q1818">
        <v>-7.2922299999999995E-2</v>
      </c>
      <c r="R1818">
        <v>-5.8879319999999999E-2</v>
      </c>
      <c r="S1818">
        <v>-2.9774780000000001</v>
      </c>
      <c r="T1818">
        <v>-0.2108082</v>
      </c>
      <c r="U1818">
        <v>-0.34448240000000002</v>
      </c>
      <c r="V1818">
        <v>-2.8937500000000001E-2</v>
      </c>
      <c r="W1818">
        <v>-7.0589589999999994E-2</v>
      </c>
      <c r="X1818">
        <v>0.99708560000000002</v>
      </c>
      <c r="Y1818">
        <v>-8.4878770000000006E-2</v>
      </c>
      <c r="Z1818">
        <v>-1.0439799999999999E-3</v>
      </c>
      <c r="AA1818">
        <v>0.99639080000000002</v>
      </c>
      <c r="AB1818">
        <v>38</v>
      </c>
      <c r="AC1818">
        <v>-15.2834</v>
      </c>
      <c r="AD1818">
        <v>-1.1073518158535001</v>
      </c>
      <c r="AE1818">
        <v>-1.79879999999997</v>
      </c>
      <c r="AF1818">
        <v>-1.3318149989118899</v>
      </c>
      <c r="AG1818">
        <v>-1.1073518158535001</v>
      </c>
      <c r="AH1818">
        <v>15.2515811326491</v>
      </c>
      <c r="AI1818">
        <v>94.137025475482602</v>
      </c>
      <c r="AJ1818">
        <v>94.990584542907598</v>
      </c>
      <c r="AK1818">
        <v>15.3496151834884</v>
      </c>
      <c r="AL1818">
        <v>94.047852085161907</v>
      </c>
      <c r="AM1818">
        <v>91.662376184101504</v>
      </c>
      <c r="AN1818">
        <v>0.99999998142498803</v>
      </c>
    </row>
    <row r="1819" spans="1:40" x14ac:dyDescent="0.25">
      <c r="A1819" t="str">
        <f>"20190305135229179"</f>
        <v>20190305135229179</v>
      </c>
      <c r="B1819" t="str">
        <f>"1551765149171293"</f>
        <v>1551765149171293</v>
      </c>
      <c r="C1819" t="s">
        <v>40</v>
      </c>
      <c r="D1819">
        <v>4.7989119999999996</v>
      </c>
      <c r="E1819">
        <v>0.48079539999999998</v>
      </c>
      <c r="F1819" t="s">
        <v>56</v>
      </c>
      <c r="G1819">
        <v>-256.51839999999999</v>
      </c>
      <c r="H1819" s="1">
        <v>1.9319850000000001E-6</v>
      </c>
      <c r="I1819">
        <v>282.88279999999997</v>
      </c>
      <c r="J1819">
        <v>-236.47309999999999</v>
      </c>
      <c r="K1819">
        <v>1.1073409999999999</v>
      </c>
      <c r="L1819">
        <v>285.21980000000002</v>
      </c>
      <c r="M1819">
        <v>-0.99954670000000001</v>
      </c>
      <c r="N1819">
        <v>-2.3825449999999998E-3</v>
      </c>
      <c r="O1819">
        <v>-3.0012810000000001E-2</v>
      </c>
      <c r="P1819">
        <v>-0.99560439999999994</v>
      </c>
      <c r="Q1819">
        <v>-7.2814119999999996E-2</v>
      </c>
      <c r="R1819">
        <v>-5.8909889999999999E-2</v>
      </c>
      <c r="S1819">
        <v>-2.9811860000000001</v>
      </c>
      <c r="T1819">
        <v>-0.16145219999999999</v>
      </c>
      <c r="U1819">
        <v>-0.34249879999999999</v>
      </c>
      <c r="V1819">
        <v>-2.9008180000000001E-2</v>
      </c>
      <c r="W1819">
        <v>-7.0436260000000001E-2</v>
      </c>
      <c r="X1819">
        <v>0.99709440000000005</v>
      </c>
      <c r="Y1819">
        <v>-8.4180359999999996E-2</v>
      </c>
      <c r="Z1819">
        <v>-8.2428289999999995E-4</v>
      </c>
      <c r="AA1819">
        <v>0.99645019999999995</v>
      </c>
      <c r="AB1819">
        <v>38</v>
      </c>
      <c r="AC1819">
        <v>-20.045300000000001</v>
      </c>
      <c r="AD1819">
        <v>-1.1073390680149999</v>
      </c>
      <c r="AE1819">
        <v>-2.3370000000000402</v>
      </c>
      <c r="AF1819">
        <v>-1.72912379894484</v>
      </c>
      <c r="AG1819">
        <v>-1.1073390680149999</v>
      </c>
      <c r="AH1819">
        <v>20.0460565537837</v>
      </c>
      <c r="AI1819">
        <v>93.150117308200905</v>
      </c>
      <c r="AJ1819">
        <v>94.929990963177403</v>
      </c>
      <c r="AK1819">
        <v>20.150941721942502</v>
      </c>
      <c r="AL1819">
        <v>94.039044958842297</v>
      </c>
      <c r="AM1819">
        <v>91.6664195611812</v>
      </c>
      <c r="AN1819">
        <v>0.99999999187053001</v>
      </c>
    </row>
    <row r="1820" spans="1:40" x14ac:dyDescent="0.25">
      <c r="A1820" t="str">
        <f>"20190305135229201"</f>
        <v>20190305135229201</v>
      </c>
      <c r="B1820" t="str">
        <f>"1551765149191792"</f>
        <v>1551765149191792</v>
      </c>
      <c r="C1820" t="s">
        <v>40</v>
      </c>
      <c r="D1820">
        <v>5.095383</v>
      </c>
      <c r="E1820">
        <v>0.48200880000000002</v>
      </c>
      <c r="F1820" t="s">
        <v>56</v>
      </c>
      <c r="G1820">
        <v>-258.80470000000003</v>
      </c>
      <c r="H1820" s="1">
        <v>3.148629E-6</v>
      </c>
      <c r="I1820">
        <v>282.7278</v>
      </c>
      <c r="J1820">
        <v>-236.8587</v>
      </c>
      <c r="K1820">
        <v>1.1073010000000001</v>
      </c>
      <c r="L1820">
        <v>285.20830000000001</v>
      </c>
      <c r="M1820">
        <v>-0.99954949999999998</v>
      </c>
      <c r="N1820">
        <v>-2.424786E-3</v>
      </c>
      <c r="O1820">
        <v>-2.9917639999999999E-2</v>
      </c>
      <c r="P1820">
        <v>-0.99554659999999995</v>
      </c>
      <c r="Q1820">
        <v>-7.3551599999999995E-2</v>
      </c>
      <c r="R1820">
        <v>-5.896788E-2</v>
      </c>
      <c r="S1820">
        <v>-2.9827270000000001</v>
      </c>
      <c r="T1820">
        <v>-0.1479017</v>
      </c>
      <c r="U1820">
        <v>-0.33285520000000002</v>
      </c>
      <c r="V1820">
        <v>-2.916935E-2</v>
      </c>
      <c r="W1820">
        <v>-7.1129300000000006E-2</v>
      </c>
      <c r="X1820">
        <v>0.9970405</v>
      </c>
      <c r="Y1820">
        <v>-8.105271E-2</v>
      </c>
      <c r="Z1820">
        <v>-6.9582809999999896E-4</v>
      </c>
      <c r="AA1820">
        <v>0.99670959999999997</v>
      </c>
      <c r="AB1820">
        <v>38</v>
      </c>
      <c r="AC1820">
        <v>-21.946000000000002</v>
      </c>
      <c r="AD1820">
        <v>-1.1072978513709999</v>
      </c>
      <c r="AE1820">
        <v>-2.4805000000000001</v>
      </c>
      <c r="AF1820">
        <v>-1.81824479719332</v>
      </c>
      <c r="AG1820">
        <v>-1.1072978513709999</v>
      </c>
      <c r="AH1820">
        <v>21.955199388353801</v>
      </c>
      <c r="AI1820">
        <v>92.877399479341406</v>
      </c>
      <c r="AJ1820">
        <v>94.734211624892794</v>
      </c>
      <c r="AK1820">
        <v>22.058170886466101</v>
      </c>
      <c r="AL1820">
        <v>94.078853069054304</v>
      </c>
      <c r="AM1820">
        <v>91.675763491189201</v>
      </c>
      <c r="AN1820">
        <v>0.99999999346908097</v>
      </c>
    </row>
    <row r="1821" spans="1:40" x14ac:dyDescent="0.25">
      <c r="A1821" t="str">
        <f>"20190305135229222"</f>
        <v>20190305135229222</v>
      </c>
      <c r="B1821" t="str">
        <f>"1551765149211309"</f>
        <v>1551765149211309</v>
      </c>
      <c r="C1821" t="s">
        <v>40</v>
      </c>
      <c r="D1821">
        <v>4.7783740000000003</v>
      </c>
      <c r="E1821">
        <v>0.48261510000000002</v>
      </c>
      <c r="F1821" t="s">
        <v>56</v>
      </c>
      <c r="G1821">
        <v>-261.4468</v>
      </c>
      <c r="H1821" s="1">
        <v>-7.668488E-7</v>
      </c>
      <c r="I1821">
        <v>282.53730000000002</v>
      </c>
      <c r="J1821">
        <v>-237.22120000000001</v>
      </c>
      <c r="K1821">
        <v>1.107243</v>
      </c>
      <c r="L1821">
        <v>285.19760000000002</v>
      </c>
      <c r="M1821">
        <v>-0.99955439999999995</v>
      </c>
      <c r="N1821">
        <v>-2.4645029999999998E-3</v>
      </c>
      <c r="O1821">
        <v>-2.9746939999999999E-2</v>
      </c>
      <c r="P1821">
        <v>-0.99544630000000001</v>
      </c>
      <c r="Q1821">
        <v>-7.4837139999999996E-2</v>
      </c>
      <c r="R1821">
        <v>-5.9044470000000002E-2</v>
      </c>
      <c r="S1821">
        <v>-2.984283</v>
      </c>
      <c r="T1821">
        <v>-0.13439400000000001</v>
      </c>
      <c r="U1821">
        <v>-0.32418819999999998</v>
      </c>
      <c r="V1821">
        <v>-2.942819E-2</v>
      </c>
      <c r="W1821">
        <v>-7.237151E-2</v>
      </c>
      <c r="X1821">
        <v>0.99694349999999998</v>
      </c>
      <c r="Y1821">
        <v>-7.8319529999999998E-2</v>
      </c>
      <c r="Z1821">
        <v>-5.9306879999999895E-4</v>
      </c>
      <c r="AA1821">
        <v>0.99692820000000004</v>
      </c>
      <c r="AB1821">
        <v>38</v>
      </c>
      <c r="AC1821">
        <v>-24.225599999999901</v>
      </c>
      <c r="AD1821">
        <v>-1.1072437668488</v>
      </c>
      <c r="AE1821">
        <v>-2.6602999999999999</v>
      </c>
      <c r="AF1821">
        <v>-1.9344900448721101</v>
      </c>
      <c r="AG1821">
        <v>-1.1072437668488</v>
      </c>
      <c r="AH1821">
        <v>24.243973128653401</v>
      </c>
      <c r="AI1821">
        <v>92.606658534522893</v>
      </c>
      <c r="AJ1821">
        <v>94.562114415889894</v>
      </c>
      <c r="AK1821">
        <v>24.3462209296598</v>
      </c>
      <c r="AL1821">
        <v>94.150210360615901</v>
      </c>
      <c r="AM1821">
        <v>91.6907895162405</v>
      </c>
      <c r="AN1821">
        <v>0.99999999800930295</v>
      </c>
    </row>
    <row r="1822" spans="1:40" x14ac:dyDescent="0.25">
      <c r="A1822" t="str">
        <f>"20190305135229244"</f>
        <v>20190305135229244</v>
      </c>
      <c r="B1822" t="str">
        <f>"1551765149241565"</f>
        <v>1551765149241565</v>
      </c>
      <c r="C1822" t="s">
        <v>40</v>
      </c>
      <c r="D1822">
        <v>5.0036620000000003</v>
      </c>
      <c r="E1822">
        <v>0.48273199999999999</v>
      </c>
      <c r="F1822" t="s">
        <v>56</v>
      </c>
      <c r="G1822">
        <v>-261.79489999999998</v>
      </c>
      <c r="H1822" s="1">
        <v>-5.8162699999999997E-7</v>
      </c>
      <c r="I1822">
        <v>282.56529999999998</v>
      </c>
      <c r="J1822">
        <v>-237.60830000000001</v>
      </c>
      <c r="K1822">
        <v>1.107159</v>
      </c>
      <c r="L1822">
        <v>285.18619999999999</v>
      </c>
      <c r="M1822">
        <v>-0.99956319999999999</v>
      </c>
      <c r="N1822">
        <v>-2.5071360000000001E-3</v>
      </c>
      <c r="O1822">
        <v>-2.9452570000000001E-2</v>
      </c>
      <c r="P1822">
        <v>-0.99535969999999996</v>
      </c>
      <c r="Q1822">
        <v>-7.5855210000000006E-2</v>
      </c>
      <c r="R1822">
        <v>-5.9207750000000003E-2</v>
      </c>
      <c r="S1822">
        <v>-2.9846499999999998</v>
      </c>
      <c r="T1822">
        <v>-0.1344825</v>
      </c>
      <c r="U1822">
        <v>-0.31970209999999999</v>
      </c>
      <c r="V1822">
        <v>-2.990288E-2</v>
      </c>
      <c r="W1822">
        <v>-7.3341100000000006E-2</v>
      </c>
      <c r="X1822">
        <v>0.99685849999999998</v>
      </c>
      <c r="Y1822">
        <v>-7.7119549999999995E-2</v>
      </c>
      <c r="Z1822">
        <v>-5.8027480000000004E-4</v>
      </c>
      <c r="AA1822">
        <v>0.99702170000000001</v>
      </c>
      <c r="AB1822">
        <v>39</v>
      </c>
      <c r="AC1822">
        <v>-24.186599999999899</v>
      </c>
      <c r="AD1822">
        <v>-1.1071595816269999</v>
      </c>
      <c r="AE1822">
        <v>-2.6208999999999998</v>
      </c>
      <c r="AF1822">
        <v>-1.90346108406879</v>
      </c>
      <c r="AG1822">
        <v>-1.1071595816269999</v>
      </c>
      <c r="AH1822">
        <v>24.2031725790293</v>
      </c>
      <c r="AI1822">
        <v>92.611083933594102</v>
      </c>
      <c r="AJ1822">
        <v>94.496776986659796</v>
      </c>
      <c r="AK1822">
        <v>24.303138260891998</v>
      </c>
      <c r="AL1822">
        <v>94.205911865890897</v>
      </c>
      <c r="AM1822">
        <v>91.718192905745795</v>
      </c>
      <c r="AN1822">
        <v>0.99999998410187696</v>
      </c>
    </row>
    <row r="1823" spans="1:40" x14ac:dyDescent="0.25">
      <c r="A1823" t="str">
        <f>"20190305135229269"</f>
        <v>20190305135229269</v>
      </c>
      <c r="B1823" t="str">
        <f>"1551765149261408"</f>
        <v>1551765149261408</v>
      </c>
      <c r="C1823" t="s">
        <v>40</v>
      </c>
      <c r="D1823">
        <v>4.8681739999999998</v>
      </c>
      <c r="E1823">
        <v>0.48261029999999999</v>
      </c>
      <c r="F1823" t="s">
        <v>56</v>
      </c>
      <c r="G1823">
        <v>-261.82350000000002</v>
      </c>
      <c r="H1823" s="1">
        <v>-5.6643379999999999E-7</v>
      </c>
      <c r="I1823">
        <v>282.59460000000001</v>
      </c>
      <c r="J1823">
        <v>-238.0214</v>
      </c>
      <c r="K1823">
        <v>1.1070450000000001</v>
      </c>
      <c r="L1823">
        <v>285.17439999999999</v>
      </c>
      <c r="M1823">
        <v>-0.99957720000000005</v>
      </c>
      <c r="N1823">
        <v>-2.5531260000000002E-3</v>
      </c>
      <c r="O1823">
        <v>-2.8968710000000002E-2</v>
      </c>
      <c r="P1823">
        <v>-0.99531159999999996</v>
      </c>
      <c r="Q1823">
        <v>-7.6260510000000004E-2</v>
      </c>
      <c r="R1823">
        <v>-5.9494610000000003E-2</v>
      </c>
      <c r="S1823">
        <v>-2.9845730000000001</v>
      </c>
      <c r="T1823">
        <v>-0.1364599</v>
      </c>
      <c r="U1823">
        <v>-0.31942749999999998</v>
      </c>
      <c r="V1823">
        <v>-3.0694929999999999E-2</v>
      </c>
      <c r="W1823">
        <v>-7.3691590000000001E-2</v>
      </c>
      <c r="X1823">
        <v>0.99680860000000004</v>
      </c>
      <c r="Y1823">
        <v>-7.75116E-2</v>
      </c>
      <c r="Z1823">
        <v>-6.1966080000000002E-4</v>
      </c>
      <c r="AA1823">
        <v>0.99699130000000002</v>
      </c>
      <c r="AB1823">
        <v>39</v>
      </c>
      <c r="AC1823">
        <v>-23.802099999999999</v>
      </c>
      <c r="AD1823">
        <v>-1.1070455664337999</v>
      </c>
      <c r="AE1823">
        <v>-2.5797999999999699</v>
      </c>
      <c r="AF1823">
        <v>-1.8851683364018501</v>
      </c>
      <c r="AG1823">
        <v>-1.1070455664337999</v>
      </c>
      <c r="AH1823">
        <v>23.8159234908338</v>
      </c>
      <c r="AI1823">
        <v>92.6531012435875</v>
      </c>
      <c r="AJ1823">
        <v>94.525856206957698</v>
      </c>
      <c r="AK1823">
        <v>23.9160536306469</v>
      </c>
      <c r="AL1823">
        <v>94.226047854715205</v>
      </c>
      <c r="AM1823">
        <v>91.763763255746198</v>
      </c>
      <c r="AN1823">
        <v>1.0000000070991899</v>
      </c>
    </row>
    <row r="1824" spans="1:40" x14ac:dyDescent="0.25">
      <c r="A1824" t="str">
        <f>"20190305135229290"</f>
        <v>20190305135229290</v>
      </c>
      <c r="B1824" t="str">
        <f>"1551765149280932"</f>
        <v>1551765149280932</v>
      </c>
      <c r="C1824" t="s">
        <v>40</v>
      </c>
      <c r="D1824">
        <v>4.7918839999999996</v>
      </c>
      <c r="E1824">
        <v>0.48233399999999998</v>
      </c>
      <c r="F1824" t="s">
        <v>56</v>
      </c>
      <c r="G1824">
        <v>-263.67180000000002</v>
      </c>
      <c r="H1824" s="1">
        <v>4.1717059999999998E-7</v>
      </c>
      <c r="I1824">
        <v>282.41199999999998</v>
      </c>
      <c r="J1824">
        <v>-238.4135</v>
      </c>
      <c r="K1824">
        <v>1.1069150000000001</v>
      </c>
      <c r="L1824">
        <v>285.1635</v>
      </c>
      <c r="M1824">
        <v>-0.99959489999999995</v>
      </c>
      <c r="N1824">
        <v>-2.5970720000000002E-3</v>
      </c>
      <c r="O1824">
        <v>-2.8344080000000001E-2</v>
      </c>
      <c r="P1824">
        <v>-0.99532969999999998</v>
      </c>
      <c r="Q1824">
        <v>-7.5950619999999996E-2</v>
      </c>
      <c r="R1824">
        <v>-5.9584749999999999E-2</v>
      </c>
      <c r="S1824">
        <v>-2.9850310000000002</v>
      </c>
      <c r="T1824">
        <v>-0.12883069999999999</v>
      </c>
      <c r="U1824">
        <v>-0.32147219999999999</v>
      </c>
      <c r="V1824">
        <v>-3.1429659999999998E-2</v>
      </c>
      <c r="W1824">
        <v>-7.3327619999999996E-2</v>
      </c>
      <c r="X1824">
        <v>0.99681249999999999</v>
      </c>
      <c r="Y1824">
        <v>-7.8797510000000001E-2</v>
      </c>
      <c r="Z1824">
        <v>-6.5216850000000002E-4</v>
      </c>
      <c r="AA1824">
        <v>0.99689039999999995</v>
      </c>
      <c r="AB1824">
        <v>39</v>
      </c>
      <c r="AC1824">
        <v>-25.258299999999998</v>
      </c>
      <c r="AD1824">
        <v>-1.10691458282939</v>
      </c>
      <c r="AE1824">
        <v>-2.7514999999999601</v>
      </c>
      <c r="AF1824">
        <v>-2.0306147442276199</v>
      </c>
      <c r="AG1824">
        <v>-1.10691458282939</v>
      </c>
      <c r="AH1824">
        <v>25.278162791956401</v>
      </c>
      <c r="AI1824">
        <v>92.499302925303695</v>
      </c>
      <c r="AJ1824">
        <v>94.592753012009098</v>
      </c>
      <c r="AK1824">
        <v>25.383738303681898</v>
      </c>
      <c r="AL1824">
        <v>94.205137527622597</v>
      </c>
      <c r="AM1824">
        <v>91.805946929633393</v>
      </c>
      <c r="AN1824">
        <v>0.99999996176941397</v>
      </c>
    </row>
    <row r="1825" spans="1:40" x14ac:dyDescent="0.25">
      <c r="A1825" t="str">
        <f>"20190305135229314"</f>
        <v>20190305135229314</v>
      </c>
      <c r="B1825" t="str">
        <f>"1551765149301425"</f>
        <v>1551765149301425</v>
      </c>
      <c r="C1825" t="s">
        <v>40</v>
      </c>
      <c r="D1825">
        <v>4.7794429999999997</v>
      </c>
      <c r="E1825">
        <v>0.482236</v>
      </c>
      <c r="F1825" t="s">
        <v>56</v>
      </c>
      <c r="G1825">
        <v>-263.82389999999998</v>
      </c>
      <c r="H1825" s="1">
        <v>4.9807399999999996E-7</v>
      </c>
      <c r="I1825">
        <v>282.40620000000001</v>
      </c>
      <c r="J1825">
        <v>-238.81180000000001</v>
      </c>
      <c r="K1825">
        <v>1.106792</v>
      </c>
      <c r="L1825">
        <v>285.15280000000001</v>
      </c>
      <c r="M1825">
        <v>-0.99961659999999997</v>
      </c>
      <c r="N1825">
        <v>-2.641844E-3</v>
      </c>
      <c r="O1825">
        <v>-2.756105E-2</v>
      </c>
      <c r="P1825">
        <v>-0.99541999999999997</v>
      </c>
      <c r="Q1825">
        <v>-7.5350399999999901E-2</v>
      </c>
      <c r="R1825">
        <v>-5.8833820000000002E-2</v>
      </c>
      <c r="S1825">
        <v>-2.984772</v>
      </c>
      <c r="T1825">
        <v>-0.13002159999999999</v>
      </c>
      <c r="U1825">
        <v>-0.32388309999999998</v>
      </c>
      <c r="V1825">
        <v>-3.1479180000000002E-2</v>
      </c>
      <c r="W1825">
        <v>-7.2672609999999999E-2</v>
      </c>
      <c r="X1825">
        <v>0.99685900000000005</v>
      </c>
      <c r="Y1825">
        <v>-8.0380160000000006E-2</v>
      </c>
      <c r="Z1825">
        <v>-7.2797330000000003E-4</v>
      </c>
      <c r="AA1825">
        <v>0.99676399999999998</v>
      </c>
      <c r="AB1825">
        <v>39</v>
      </c>
      <c r="AC1825">
        <v>-25.012099999999901</v>
      </c>
      <c r="AD1825">
        <v>-1.106791501926</v>
      </c>
      <c r="AE1825">
        <v>-2.7465999999999999</v>
      </c>
      <c r="AF1825">
        <v>-2.0522239059944698</v>
      </c>
      <c r="AG1825">
        <v>-1.106791501926</v>
      </c>
      <c r="AH1825">
        <v>25.029871194280801</v>
      </c>
      <c r="AI1825">
        <v>92.523445958735806</v>
      </c>
      <c r="AJ1825">
        <v>94.687253031159997</v>
      </c>
      <c r="AK1825">
        <v>25.138239047144101</v>
      </c>
      <c r="AL1825">
        <v>94.167507423067903</v>
      </c>
      <c r="AM1825">
        <v>91.808706140323096</v>
      </c>
      <c r="AN1825">
        <v>1.0000000564493401</v>
      </c>
    </row>
    <row r="1826" spans="1:40" x14ac:dyDescent="0.25">
      <c r="A1826" t="str">
        <f>"20190305135229334"</f>
        <v>20190305135229334</v>
      </c>
      <c r="B1826" t="str">
        <f>"1551765149331681"</f>
        <v>1551765149331681</v>
      </c>
      <c r="C1826" t="s">
        <v>40</v>
      </c>
      <c r="D1826">
        <v>4.7053000000000003</v>
      </c>
      <c r="E1826">
        <v>0.48216160000000002</v>
      </c>
      <c r="F1826" t="s">
        <v>56</v>
      </c>
      <c r="G1826">
        <v>-264.16199999999998</v>
      </c>
      <c r="H1826" s="1">
        <v>6.7801719999999898E-7</v>
      </c>
      <c r="I1826">
        <v>282.41609999999997</v>
      </c>
      <c r="J1826">
        <v>-239.18719999999999</v>
      </c>
      <c r="K1826">
        <v>1.106673</v>
      </c>
      <c r="L1826">
        <v>285.14319999999998</v>
      </c>
      <c r="M1826">
        <v>-0.99964030000000004</v>
      </c>
      <c r="N1826">
        <v>-2.6839720000000002E-3</v>
      </c>
      <c r="O1826">
        <v>-2.6685090000000002E-2</v>
      </c>
      <c r="P1826">
        <v>-0.99551409999999996</v>
      </c>
      <c r="Q1826">
        <v>-7.5146989999999997E-2</v>
      </c>
      <c r="R1826">
        <v>-5.7486990000000002E-2</v>
      </c>
      <c r="S1826">
        <v>-2.9848940000000002</v>
      </c>
      <c r="T1826">
        <v>-0.13032089999999999</v>
      </c>
      <c r="U1826">
        <v>-0.322235099999999</v>
      </c>
      <c r="V1826">
        <v>-3.1025319999999999E-2</v>
      </c>
      <c r="W1826">
        <v>-7.2418380000000004E-2</v>
      </c>
      <c r="X1826">
        <v>0.99689170000000005</v>
      </c>
      <c r="Y1826">
        <v>-8.0703869999999997E-2</v>
      </c>
      <c r="Z1826">
        <v>-7.7529409999999997E-4</v>
      </c>
      <c r="AA1826">
        <v>0.99673780000000001</v>
      </c>
      <c r="AB1826">
        <v>39</v>
      </c>
      <c r="AC1826">
        <v>-24.974799999999998</v>
      </c>
      <c r="AD1826">
        <v>-1.1066723219828001</v>
      </c>
      <c r="AE1826">
        <v>-2.7271000000000001</v>
      </c>
      <c r="AF1826">
        <v>-2.0556828643794498</v>
      </c>
      <c r="AG1826">
        <v>-1.1066723219828001</v>
      </c>
      <c r="AH1826">
        <v>24.990188895576502</v>
      </c>
      <c r="AI1826">
        <v>92.527120678272794</v>
      </c>
      <c r="AJ1826">
        <v>94.702539996733904</v>
      </c>
      <c r="AK1826">
        <v>25.0990058907467</v>
      </c>
      <c r="AL1826">
        <v>94.152902758726199</v>
      </c>
      <c r="AM1826">
        <v>91.782587119101507</v>
      </c>
      <c r="AN1826">
        <v>1.0000000268859</v>
      </c>
    </row>
    <row r="1827" spans="1:40" x14ac:dyDescent="0.25">
      <c r="A1827" t="str">
        <f>"20190305135229358"</f>
        <v>20190305135229358</v>
      </c>
      <c r="B1827" t="str">
        <f>"1551765149351201"</f>
        <v>1551765149351201</v>
      </c>
      <c r="C1827" t="s">
        <v>40</v>
      </c>
      <c r="D1827">
        <v>4.7088549999999998</v>
      </c>
      <c r="E1827">
        <v>0.48198760000000002</v>
      </c>
      <c r="F1827" t="s">
        <v>56</v>
      </c>
      <c r="G1827">
        <v>-264.9622</v>
      </c>
      <c r="H1827" s="1">
        <v>1.10385E-6</v>
      </c>
      <c r="I1827">
        <v>282.38929999999999</v>
      </c>
      <c r="J1827">
        <v>-239.59979999999999</v>
      </c>
      <c r="K1827">
        <v>1.106533</v>
      </c>
      <c r="L1827">
        <v>285.13299999999998</v>
      </c>
      <c r="M1827">
        <v>-0.99966940000000004</v>
      </c>
      <c r="N1827">
        <v>-2.7304819999999998E-3</v>
      </c>
      <c r="O1827">
        <v>-2.5569410000000001E-2</v>
      </c>
      <c r="P1827">
        <v>-0.99561259999999996</v>
      </c>
      <c r="Q1827">
        <v>-7.5158569999999994E-2</v>
      </c>
      <c r="R1827">
        <v>-5.5737969999999998E-2</v>
      </c>
      <c r="S1827">
        <v>-2.9854280000000002</v>
      </c>
      <c r="T1827">
        <v>-0.12818170000000001</v>
      </c>
      <c r="U1827">
        <v>-0.31896970000000002</v>
      </c>
      <c r="V1827">
        <v>-3.0411259999999999E-2</v>
      </c>
      <c r="W1827">
        <v>-7.2374419999999995E-2</v>
      </c>
      <c r="X1827">
        <v>0.99691379999999996</v>
      </c>
      <c r="Y1827">
        <v>-8.0720239999999999E-2</v>
      </c>
      <c r="Z1827">
        <v>-8.1360860000000005E-4</v>
      </c>
      <c r="AA1827">
        <v>0.99673650000000003</v>
      </c>
      <c r="AB1827">
        <v>40</v>
      </c>
      <c r="AC1827">
        <v>-25.362400000000001</v>
      </c>
      <c r="AD1827">
        <v>-1.1065318961499999</v>
      </c>
      <c r="AE1827">
        <v>-2.7436999999999898</v>
      </c>
      <c r="AF1827">
        <v>-2.0903660357026599</v>
      </c>
      <c r="AG1827">
        <v>-1.1065318961499999</v>
      </c>
      <c r="AH1827">
        <v>25.376517912327099</v>
      </c>
      <c r="AI1827">
        <v>92.4883581992774</v>
      </c>
      <c r="AJ1827">
        <v>94.709052376241999</v>
      </c>
      <c r="AK1827">
        <v>25.4865004336624</v>
      </c>
      <c r="AL1827">
        <v>94.150377467312396</v>
      </c>
      <c r="AM1827">
        <v>91.747289140836301</v>
      </c>
      <c r="AN1827">
        <v>1.00000001301778</v>
      </c>
    </row>
    <row r="1828" spans="1:40" x14ac:dyDescent="0.25">
      <c r="A1828" t="str">
        <f>"20190305135229380"</f>
        <v>20190305135229380</v>
      </c>
      <c r="B1828" t="str">
        <f>"1551765149371228"</f>
        <v>1551765149371228</v>
      </c>
      <c r="C1828" t="s">
        <v>40</v>
      </c>
      <c r="D1828">
        <v>4.6711419999999997</v>
      </c>
      <c r="E1828">
        <v>0.48181069999999998</v>
      </c>
      <c r="F1828" t="s">
        <v>56</v>
      </c>
      <c r="G1828">
        <v>-264.6293</v>
      </c>
      <c r="H1828" s="1">
        <v>9.2668269999999998E-7</v>
      </c>
      <c r="I1828">
        <v>282.49299999999999</v>
      </c>
      <c r="J1828">
        <v>-240.00129999999999</v>
      </c>
      <c r="K1828">
        <v>1.1064069999999999</v>
      </c>
      <c r="L1828">
        <v>285.12360000000001</v>
      </c>
      <c r="M1828">
        <v>-0.99969969999999997</v>
      </c>
      <c r="N1828">
        <v>-2.7758119999999999E-3</v>
      </c>
      <c r="O1828">
        <v>-2.434853E-2</v>
      </c>
      <c r="P1828">
        <v>-0.99575599999999997</v>
      </c>
      <c r="Q1828">
        <v>-7.4854539999999997E-2</v>
      </c>
      <c r="R1828">
        <v>-5.3543109999999998E-2</v>
      </c>
      <c r="S1828">
        <v>-2.9856410000000002</v>
      </c>
      <c r="T1828">
        <v>-0.13199259999999999</v>
      </c>
      <c r="U1828">
        <v>-0.31491089999999999</v>
      </c>
      <c r="V1828">
        <v>-2.9453670000000001E-2</v>
      </c>
      <c r="W1828">
        <v>-7.2017600000000001E-2</v>
      </c>
      <c r="X1828">
        <v>0.99696839999999998</v>
      </c>
      <c r="Y1828">
        <v>-8.0585790000000004E-2</v>
      </c>
      <c r="Z1828">
        <v>-8.826277E-4</v>
      </c>
      <c r="AA1828">
        <v>0.9967473</v>
      </c>
      <c r="AB1828">
        <v>40</v>
      </c>
      <c r="AC1828">
        <v>-24.628</v>
      </c>
      <c r="AD1828">
        <v>-1.1064060733173</v>
      </c>
      <c r="AE1828">
        <v>-2.63060000000001</v>
      </c>
      <c r="AF1828">
        <v>-2.02611916001517</v>
      </c>
      <c r="AG1828">
        <v>-1.1064060733173</v>
      </c>
      <c r="AH1828">
        <v>24.635590543190599</v>
      </c>
      <c r="AI1828">
        <v>92.562834669587701</v>
      </c>
      <c r="AJ1828">
        <v>94.701628460349795</v>
      </c>
      <c r="AK1828">
        <v>24.743516618730499</v>
      </c>
      <c r="AL1828">
        <v>94.129879660611493</v>
      </c>
      <c r="AM1828">
        <v>91.692210371955994</v>
      </c>
      <c r="AN1828">
        <v>1.0000000219923899</v>
      </c>
    </row>
    <row r="1829" spans="1:40" x14ac:dyDescent="0.25">
      <c r="A1829" t="str">
        <f>"20190305135229402"</f>
        <v>20190305135229402</v>
      </c>
      <c r="B1829" t="str">
        <f>"1551765149391727"</f>
        <v>1551765149391727</v>
      </c>
      <c r="C1829" t="s">
        <v>40</v>
      </c>
      <c r="D1829">
        <v>4.6865809999999897</v>
      </c>
      <c r="E1829">
        <v>0.48174980000000001</v>
      </c>
      <c r="F1829" t="s">
        <v>56</v>
      </c>
      <c r="G1829">
        <v>-265.99889999999999</v>
      </c>
      <c r="H1829" s="1">
        <v>1.655535E-6</v>
      </c>
      <c r="I1829">
        <v>282.4248</v>
      </c>
      <c r="J1829">
        <v>-240.39599999999999</v>
      </c>
      <c r="K1829">
        <v>1.1062799999999999</v>
      </c>
      <c r="L1829">
        <v>285.11489999999998</v>
      </c>
      <c r="M1829">
        <v>-0.99973049999999997</v>
      </c>
      <c r="N1829">
        <v>-2.8200030000000002E-3</v>
      </c>
      <c r="O1829">
        <v>-2.304411E-2</v>
      </c>
      <c r="P1829">
        <v>-0.99593469999999995</v>
      </c>
      <c r="Q1829">
        <v>-7.4378100000000003E-2</v>
      </c>
      <c r="R1829">
        <v>-5.0815220000000001E-2</v>
      </c>
      <c r="S1829">
        <v>-2.9865879999999998</v>
      </c>
      <c r="T1829">
        <v>-0.12710289999999999</v>
      </c>
      <c r="U1829">
        <v>-0.31002809999999997</v>
      </c>
      <c r="V1829">
        <v>-2.8041839999999998E-2</v>
      </c>
      <c r="W1829">
        <v>-7.1492050000000001E-2</v>
      </c>
      <c r="X1829">
        <v>0.99704689999999996</v>
      </c>
      <c r="Y1829">
        <v>-8.0244880000000005E-2</v>
      </c>
      <c r="Z1829">
        <v>-9.0321100000000001E-4</v>
      </c>
      <c r="AA1829">
        <v>0.99677479999999996</v>
      </c>
      <c r="AB1829">
        <v>40</v>
      </c>
      <c r="AC1829">
        <v>-25.602900000000002</v>
      </c>
      <c r="AD1829">
        <v>-1.106278344465</v>
      </c>
      <c r="AE1829">
        <v>-2.69009999999997</v>
      </c>
      <c r="AF1829">
        <v>-2.09551759593286</v>
      </c>
      <c r="AG1829">
        <v>-1.106278344465</v>
      </c>
      <c r="AH1829">
        <v>25.6107983526589</v>
      </c>
      <c r="AI1829">
        <v>92.465170242625206</v>
      </c>
      <c r="AJ1829">
        <v>94.677614842730407</v>
      </c>
      <c r="AK1829">
        <v>25.720187363836398</v>
      </c>
      <c r="AL1829">
        <v>94.099690178074795</v>
      </c>
      <c r="AM1829">
        <v>91.6110131326665</v>
      </c>
      <c r="AN1829">
        <v>0.99999998940169899</v>
      </c>
    </row>
    <row r="1830" spans="1:40" x14ac:dyDescent="0.25">
      <c r="A1830" t="str">
        <f>"20190305135229422"</f>
        <v>20190305135229422</v>
      </c>
      <c r="B1830" t="str">
        <f>"1551765149411244"</f>
        <v>1551765149411244</v>
      </c>
      <c r="C1830" t="s">
        <v>40</v>
      </c>
      <c r="D1830">
        <v>4.5748009999999999</v>
      </c>
      <c r="E1830">
        <v>0.48060409999999998</v>
      </c>
      <c r="F1830" t="s">
        <v>56</v>
      </c>
      <c r="G1830">
        <v>-267.2903</v>
      </c>
      <c r="H1830" s="1">
        <v>2.3427609999999998E-6</v>
      </c>
      <c r="I1830">
        <v>282.3938</v>
      </c>
      <c r="J1830">
        <v>-240.76779999999999</v>
      </c>
      <c r="K1830">
        <v>1.106171</v>
      </c>
      <c r="L1830">
        <v>285.10719999999998</v>
      </c>
      <c r="M1830">
        <v>-0.99975959999999997</v>
      </c>
      <c r="N1830">
        <v>-2.8609389999999998E-3</v>
      </c>
      <c r="O1830">
        <v>-2.1744969999999999E-2</v>
      </c>
      <c r="P1830">
        <v>-0.99605350000000004</v>
      </c>
      <c r="Q1830">
        <v>-7.4928510000000004E-2</v>
      </c>
      <c r="R1830">
        <v>-4.75767E-2</v>
      </c>
      <c r="S1830">
        <v>-2.987625</v>
      </c>
      <c r="T1830">
        <v>-0.12289369999999999</v>
      </c>
      <c r="U1830">
        <v>-0.30227659999999901</v>
      </c>
      <c r="V1830">
        <v>-2.611629E-2</v>
      </c>
      <c r="W1830">
        <v>-7.2000399999999895E-2</v>
      </c>
      <c r="X1830">
        <v>0.99706260000000002</v>
      </c>
      <c r="Y1830">
        <v>-7.8948969999999993E-2</v>
      </c>
      <c r="Z1830">
        <v>-9.0274720000000004E-4</v>
      </c>
      <c r="AA1830">
        <v>0.99687829999999999</v>
      </c>
      <c r="AB1830">
        <v>40</v>
      </c>
      <c r="AC1830">
        <v>-26.522500000000001</v>
      </c>
      <c r="AD1830">
        <v>-1.1061686572389999</v>
      </c>
      <c r="AE1830">
        <v>-2.7133999999999698</v>
      </c>
      <c r="AF1830">
        <v>-2.1323544472775602</v>
      </c>
      <c r="AG1830">
        <v>-1.1061686572389999</v>
      </c>
      <c r="AH1830">
        <v>26.529562694488298</v>
      </c>
      <c r="AI1830">
        <v>92.379938150649494</v>
      </c>
      <c r="AJ1830">
        <v>94.595357552505405</v>
      </c>
      <c r="AK1830">
        <v>26.638097554965601</v>
      </c>
      <c r="AL1830">
        <v>94.128891809779205</v>
      </c>
      <c r="AM1830">
        <v>91.500418454868594</v>
      </c>
      <c r="AN1830">
        <v>0.99999997326114098</v>
      </c>
    </row>
    <row r="1831" spans="1:40" x14ac:dyDescent="0.25">
      <c r="A1831" t="str">
        <f>"20190305135229446"</f>
        <v>20190305135229446</v>
      </c>
      <c r="B1831" t="str">
        <f>"1551765149441500"</f>
        <v>1551765149441500</v>
      </c>
      <c r="C1831" t="s">
        <v>40</v>
      </c>
      <c r="D1831">
        <v>4.5647919999999997</v>
      </c>
      <c r="E1831">
        <v>0.47879919999999998</v>
      </c>
      <c r="F1831" t="s">
        <v>56</v>
      </c>
      <c r="G1831">
        <v>-268.86290000000002</v>
      </c>
      <c r="H1831" s="1">
        <v>3.1796130000000002E-6</v>
      </c>
      <c r="I1831">
        <v>282.26850000000002</v>
      </c>
      <c r="J1831">
        <v>-241.18440000000001</v>
      </c>
      <c r="K1831">
        <v>1.106063</v>
      </c>
      <c r="L1831">
        <v>285.0992</v>
      </c>
      <c r="M1831">
        <v>-0.99979110000000004</v>
      </c>
      <c r="N1831">
        <v>-2.9059889999999999E-3</v>
      </c>
      <c r="O1831">
        <v>-2.0235679999999999E-2</v>
      </c>
      <c r="P1831">
        <v>-0.99606439999999996</v>
      </c>
      <c r="Q1831">
        <v>-7.6334600000000002E-2</v>
      </c>
      <c r="R1831">
        <v>-4.5045979999999999E-2</v>
      </c>
      <c r="S1831">
        <v>-2.988632</v>
      </c>
      <c r="T1831">
        <v>-0.1176692</v>
      </c>
      <c r="U1831">
        <v>-0.3019714</v>
      </c>
      <c r="V1831">
        <v>-2.511205E-2</v>
      </c>
      <c r="W1831">
        <v>-7.3358889999999996E-2</v>
      </c>
      <c r="X1831">
        <v>0.99698940000000003</v>
      </c>
      <c r="Y1831">
        <v>-8.0321480000000001E-2</v>
      </c>
      <c r="Z1831">
        <v>-9.5814870000000005E-4</v>
      </c>
      <c r="AA1831">
        <v>0.99676849999999995</v>
      </c>
      <c r="AB1831">
        <v>40</v>
      </c>
      <c r="AC1831">
        <v>-27.6785</v>
      </c>
      <c r="AD1831">
        <v>-1.106059820387</v>
      </c>
      <c r="AE1831">
        <v>-2.83069999999997</v>
      </c>
      <c r="AF1831">
        <v>-2.2664430151362902</v>
      </c>
      <c r="AG1831">
        <v>-1.106059820387</v>
      </c>
      <c r="AH1831">
        <v>27.686359674033501</v>
      </c>
      <c r="AI1831">
        <v>92.280109666928695</v>
      </c>
      <c r="AJ1831">
        <v>94.679875242210102</v>
      </c>
      <c r="AK1831">
        <v>27.800982793187099</v>
      </c>
      <c r="AL1831">
        <v>94.206933832334499</v>
      </c>
      <c r="AM1831">
        <v>91.442854177110107</v>
      </c>
      <c r="AN1831">
        <v>1.00000000275479</v>
      </c>
    </row>
    <row r="1832" spans="1:40" x14ac:dyDescent="0.25">
      <c r="A1832" t="str">
        <f>"20190305135229460"</f>
        <v>20190305135229460</v>
      </c>
      <c r="B1832" t="str">
        <f>"1551765149451261"</f>
        <v>1551765149451261</v>
      </c>
      <c r="C1832" t="s">
        <v>40</v>
      </c>
      <c r="D1832">
        <v>4.6793449999999996</v>
      </c>
      <c r="E1832">
        <v>0.47841630000000002</v>
      </c>
      <c r="F1832" t="s">
        <v>56</v>
      </c>
      <c r="G1832">
        <v>-270.35629999999998</v>
      </c>
      <c r="H1832" s="1">
        <v>-1.236464E-6</v>
      </c>
      <c r="I1832">
        <v>282.08280000000002</v>
      </c>
      <c r="J1832">
        <v>-241.4556</v>
      </c>
      <c r="K1832">
        <v>1.106004</v>
      </c>
      <c r="L1832">
        <v>285.09429999999998</v>
      </c>
      <c r="M1832">
        <v>-0.99981089999999995</v>
      </c>
      <c r="N1832">
        <v>-2.9346900000000002E-3</v>
      </c>
      <c r="O1832">
        <v>-1.9229929999999999E-2</v>
      </c>
      <c r="P1832">
        <v>-0.99602299999999999</v>
      </c>
      <c r="Q1832">
        <v>-7.7468519999999999E-2</v>
      </c>
      <c r="R1832">
        <v>-4.40141E-2</v>
      </c>
      <c r="S1832">
        <v>-2.989182</v>
      </c>
      <c r="T1832">
        <v>-0.1133362</v>
      </c>
      <c r="U1832">
        <v>-0.30908200000000002</v>
      </c>
      <c r="V1832">
        <v>-2.509668E-2</v>
      </c>
      <c r="W1832">
        <v>-7.4461349999999996E-2</v>
      </c>
      <c r="X1832">
        <v>0.99690809999999996</v>
      </c>
      <c r="Y1832">
        <v>-8.365235E-2</v>
      </c>
      <c r="Z1832">
        <v>-1.0337809999999999E-3</v>
      </c>
      <c r="AA1832">
        <v>0.99649449999999995</v>
      </c>
      <c r="AB1832">
        <v>40</v>
      </c>
      <c r="AC1832">
        <v>-28.900699999999901</v>
      </c>
      <c r="AD1832">
        <v>-1.1060052364640001</v>
      </c>
      <c r="AE1832">
        <v>-3.0114999999999501</v>
      </c>
      <c r="AF1832">
        <v>-2.45163045278409</v>
      </c>
      <c r="AG1832">
        <v>-1.1060052364640001</v>
      </c>
      <c r="AH1832">
        <v>28.911380322577699</v>
      </c>
      <c r="AI1832">
        <v>92.182955689735905</v>
      </c>
      <c r="AJ1832">
        <v>94.846978340338694</v>
      </c>
      <c r="AK1832">
        <v>29.036212762976501</v>
      </c>
      <c r="AL1832">
        <v>94.270273186864699</v>
      </c>
      <c r="AM1832">
        <v>91.442088987638101</v>
      </c>
      <c r="AN1832">
        <v>1.0000000479182201</v>
      </c>
    </row>
    <row r="1833" spans="1:40" x14ac:dyDescent="0.25">
      <c r="A1833" t="str">
        <f>"20190305135229481"</f>
        <v>20190305135229481</v>
      </c>
      <c r="B1833" t="str">
        <f>"1551765149471286"</f>
        <v>1551765149471286</v>
      </c>
      <c r="C1833" t="s">
        <v>40</v>
      </c>
      <c r="D1833">
        <v>4.5264239999999996</v>
      </c>
      <c r="E1833">
        <v>0.47735270000000002</v>
      </c>
      <c r="F1833" t="s">
        <v>56</v>
      </c>
      <c r="G1833">
        <v>-270.13630000000001</v>
      </c>
      <c r="H1833" s="1">
        <v>-1.3554730000000001E-6</v>
      </c>
      <c r="I1833">
        <v>282.12799999999999</v>
      </c>
      <c r="J1833">
        <v>-241.81729999999999</v>
      </c>
      <c r="K1833">
        <v>1.1059319999999999</v>
      </c>
      <c r="L1833">
        <v>285.0883</v>
      </c>
      <c r="M1833">
        <v>-0.99983580000000005</v>
      </c>
      <c r="N1833">
        <v>-2.972709E-3</v>
      </c>
      <c r="O1833">
        <v>-1.787586E-2</v>
      </c>
      <c r="P1833">
        <v>-0.99591130000000005</v>
      </c>
      <c r="Q1833">
        <v>-7.9084450000000001E-2</v>
      </c>
      <c r="R1833">
        <v>-4.3661180000000001E-2</v>
      </c>
      <c r="S1833">
        <v>-2.9893649999999998</v>
      </c>
      <c r="T1833">
        <v>-0.1152779</v>
      </c>
      <c r="U1833">
        <v>-0.30917359999999999</v>
      </c>
      <c r="V1833">
        <v>-2.6112260000000002E-2</v>
      </c>
      <c r="W1833">
        <v>-7.6032649999999993E-2</v>
      </c>
      <c r="X1833">
        <v>0.99676330000000002</v>
      </c>
      <c r="Y1833">
        <v>-8.5022059999999997E-2</v>
      </c>
      <c r="Z1833">
        <v>-1.1270620000000001E-3</v>
      </c>
      <c r="AA1833">
        <v>0.9963784</v>
      </c>
      <c r="AB1833">
        <v>40</v>
      </c>
      <c r="AC1833">
        <v>-28.318999999999999</v>
      </c>
      <c r="AD1833">
        <v>-1.105933355473</v>
      </c>
      <c r="AE1833">
        <v>-2.9603000000000099</v>
      </c>
      <c r="AF1833">
        <v>-2.44990227707126</v>
      </c>
      <c r="AG1833">
        <v>-1.105933355473</v>
      </c>
      <c r="AH1833">
        <v>28.324661748944699</v>
      </c>
      <c r="AI1833">
        <v>92.227662947082607</v>
      </c>
      <c r="AJ1833">
        <v>94.943415896374802</v>
      </c>
      <c r="AK1833">
        <v>28.451916858905602</v>
      </c>
      <c r="AL1833">
        <v>94.360558463724999</v>
      </c>
      <c r="AM1833">
        <v>91.500637289430003</v>
      </c>
      <c r="AN1833">
        <v>0.99999994510760803</v>
      </c>
    </row>
    <row r="1834" spans="1:40" x14ac:dyDescent="0.25">
      <c r="A1834" t="str">
        <f>"20190305135229502"</f>
        <v>20190305135229502</v>
      </c>
      <c r="B1834" t="str">
        <f>"1551765149491786"</f>
        <v>1551765149491786</v>
      </c>
      <c r="C1834" t="s">
        <v>40</v>
      </c>
      <c r="D1834">
        <v>4.5577139999999998</v>
      </c>
      <c r="E1834">
        <v>0.47659030000000002</v>
      </c>
      <c r="F1834" t="s">
        <v>56</v>
      </c>
      <c r="G1834">
        <v>-270.5598</v>
      </c>
      <c r="H1834" s="1">
        <v>-1.1263389999999999E-6</v>
      </c>
      <c r="I1834">
        <v>282.0421</v>
      </c>
      <c r="J1834">
        <v>-242.21209999999999</v>
      </c>
      <c r="K1834">
        <v>1.105874</v>
      </c>
      <c r="L1834">
        <v>285.0822</v>
      </c>
      <c r="M1834">
        <v>-0.99986109999999995</v>
      </c>
      <c r="N1834">
        <v>-3.0138859999999999E-3</v>
      </c>
      <c r="O1834">
        <v>-1.6391490000000002E-2</v>
      </c>
      <c r="P1834">
        <v>-0.99589280000000002</v>
      </c>
      <c r="Q1834">
        <v>-7.9503420000000005E-2</v>
      </c>
      <c r="R1834">
        <v>-4.3319179999999999E-2</v>
      </c>
      <c r="S1834">
        <v>-2.9892729999999998</v>
      </c>
      <c r="T1834">
        <v>-0.1150188</v>
      </c>
      <c r="U1834">
        <v>-0.316803</v>
      </c>
      <c r="V1834">
        <v>-2.726168E-2</v>
      </c>
      <c r="W1834">
        <v>-7.6403170000000006E-2</v>
      </c>
      <c r="X1834">
        <v>0.99670420000000004</v>
      </c>
      <c r="Y1834">
        <v>-8.9015250000000004E-2</v>
      </c>
      <c r="Z1834">
        <v>-1.2623999999999999E-3</v>
      </c>
      <c r="AA1834">
        <v>0.99602939999999995</v>
      </c>
      <c r="AB1834">
        <v>41</v>
      </c>
      <c r="AC1834">
        <v>-28.3477</v>
      </c>
      <c r="AD1834">
        <v>-1.1058751263390001</v>
      </c>
      <c r="AE1834">
        <v>-3.04009999999999</v>
      </c>
      <c r="AF1834">
        <v>-2.5711599350017602</v>
      </c>
      <c r="AG1834">
        <v>-1.1058751263390001</v>
      </c>
      <c r="AH1834">
        <v>28.3510675161093</v>
      </c>
      <c r="AI1834">
        <v>92.224653215683702</v>
      </c>
      <c r="AJ1834">
        <v>95.181981822034203</v>
      </c>
      <c r="AK1834">
        <v>28.488889983806001</v>
      </c>
      <c r="AL1834">
        <v>94.381849594931495</v>
      </c>
      <c r="AM1834">
        <v>91.566753570396401</v>
      </c>
      <c r="AN1834">
        <v>0.99999995294005395</v>
      </c>
    </row>
    <row r="1835" spans="1:40" x14ac:dyDescent="0.25">
      <c r="A1835" t="str">
        <f>"20190305135229524"</f>
        <v>20190305135229524</v>
      </c>
      <c r="B1835" t="str">
        <f>"1551765149521062"</f>
        <v>1551765149521062</v>
      </c>
      <c r="C1835" t="s">
        <v>40</v>
      </c>
      <c r="D1835">
        <v>4.5748819999999997</v>
      </c>
      <c r="E1835">
        <v>0.47526350000000001</v>
      </c>
      <c r="F1835" t="s">
        <v>56</v>
      </c>
      <c r="G1835">
        <v>-271.05990000000003</v>
      </c>
      <c r="H1835" s="1">
        <v>-8.5732889999999899E-7</v>
      </c>
      <c r="I1835">
        <v>281.9753</v>
      </c>
      <c r="J1835">
        <v>-242.6275</v>
      </c>
      <c r="K1835">
        <v>1.1058399999999999</v>
      </c>
      <c r="L1835">
        <v>285.0763</v>
      </c>
      <c r="M1835">
        <v>-0.99988529999999998</v>
      </c>
      <c r="N1835">
        <v>-3.0571119999999999E-3</v>
      </c>
      <c r="O1835">
        <v>-1.4833560000000001E-2</v>
      </c>
      <c r="P1835">
        <v>-0.99595310000000004</v>
      </c>
      <c r="Q1835">
        <v>-7.8723769999999998E-2</v>
      </c>
      <c r="R1835">
        <v>-4.335833E-2</v>
      </c>
      <c r="S1835">
        <v>-2.9892430000000001</v>
      </c>
      <c r="T1835">
        <v>-0.1145921</v>
      </c>
      <c r="U1835">
        <v>-0.32192989999999999</v>
      </c>
      <c r="V1835">
        <v>-2.8858000000000002E-2</v>
      </c>
      <c r="W1835">
        <v>-7.5571429999999995E-2</v>
      </c>
      <c r="X1835">
        <v>0.99672269999999996</v>
      </c>
      <c r="Y1835">
        <v>-9.2253619999999995E-2</v>
      </c>
      <c r="Z1835">
        <v>-1.382545E-3</v>
      </c>
      <c r="AA1835">
        <v>0.99573460000000003</v>
      </c>
      <c r="AB1835">
        <v>41</v>
      </c>
      <c r="AC1835">
        <v>-28.432400000000001</v>
      </c>
      <c r="AD1835">
        <v>-1.1058408573289</v>
      </c>
      <c r="AE1835">
        <v>-3.1009999999999902</v>
      </c>
      <c r="AF1835">
        <v>-2.6749043199463798</v>
      </c>
      <c r="AG1835">
        <v>-1.1058408573289</v>
      </c>
      <c r="AH1835">
        <v>28.432765660846599</v>
      </c>
      <c r="AI1835">
        <v>92.217511010438798</v>
      </c>
      <c r="AJ1835">
        <v>95.374466923537398</v>
      </c>
      <c r="AK1835">
        <v>28.579715888147401</v>
      </c>
      <c r="AL1835">
        <v>94.334056088423395</v>
      </c>
      <c r="AM1835">
        <v>91.658414950750895</v>
      </c>
      <c r="AN1835">
        <v>0.99999998294576697</v>
      </c>
    </row>
    <row r="1836" spans="1:40" x14ac:dyDescent="0.25">
      <c r="A1836" t="str">
        <f>"20190305135229547"</f>
        <v>20190305135229547</v>
      </c>
      <c r="B1836" t="str">
        <f>"1551765149541559"</f>
        <v>1551765149541559</v>
      </c>
      <c r="C1836" t="s">
        <v>40</v>
      </c>
      <c r="D1836">
        <v>4.5546340000000001</v>
      </c>
      <c r="E1836">
        <v>0.47459669999999998</v>
      </c>
      <c r="F1836" t="s">
        <v>56</v>
      </c>
      <c r="G1836">
        <v>-273.91860000000003</v>
      </c>
      <c r="H1836" s="1">
        <v>6.806763E-7</v>
      </c>
      <c r="I1836">
        <v>281.5924</v>
      </c>
      <c r="J1836">
        <v>-243.03919999999999</v>
      </c>
      <c r="K1836">
        <v>1.1058129999999999</v>
      </c>
      <c r="L1836">
        <v>285.07130000000001</v>
      </c>
      <c r="M1836">
        <v>-0.99990679999999998</v>
      </c>
      <c r="N1836">
        <v>-3.102465E-3</v>
      </c>
      <c r="O1836">
        <v>-1.330102E-2</v>
      </c>
      <c r="P1836">
        <v>-0.99604649999999995</v>
      </c>
      <c r="Q1836">
        <v>-7.7515299999999995E-2</v>
      </c>
      <c r="R1836">
        <v>-4.3393910000000001E-2</v>
      </c>
      <c r="S1836">
        <v>-2.9893339999999999</v>
      </c>
      <c r="T1836">
        <v>-0.1056441</v>
      </c>
      <c r="U1836">
        <v>-0.33282469999999997</v>
      </c>
      <c r="V1836">
        <v>-3.042166E-2</v>
      </c>
      <c r="W1836">
        <v>-7.4309109999999998E-2</v>
      </c>
      <c r="X1836">
        <v>0.99677110000000002</v>
      </c>
      <c r="Y1836">
        <v>-9.7365980000000005E-2</v>
      </c>
      <c r="Z1836">
        <v>-1.4389610000000001E-3</v>
      </c>
      <c r="AA1836">
        <v>0.99524760000000001</v>
      </c>
      <c r="AB1836">
        <v>41</v>
      </c>
      <c r="AC1836">
        <v>-30.8794</v>
      </c>
      <c r="AD1836">
        <v>-1.1058123193236999</v>
      </c>
      <c r="AE1836">
        <v>-3.4788999999999999</v>
      </c>
      <c r="AF1836">
        <v>-3.0639827630807499</v>
      </c>
      <c r="AG1836">
        <v>-1.1058123193236999</v>
      </c>
      <c r="AH1836">
        <v>30.8838322603686</v>
      </c>
      <c r="AI1836">
        <v>92.040620952961604</v>
      </c>
      <c r="AJ1836">
        <v>95.665770023457497</v>
      </c>
      <c r="AK1836">
        <v>31.0551429934658</v>
      </c>
      <c r="AL1836">
        <v>94.261526562786997</v>
      </c>
      <c r="AM1836">
        <v>91.748136381823002</v>
      </c>
      <c r="AN1836">
        <v>0.99999997351067804</v>
      </c>
    </row>
    <row r="1837" spans="1:40" x14ac:dyDescent="0.25">
      <c r="A1837" t="str">
        <f>"20190305135229568"</f>
        <v>20190305135229568</v>
      </c>
      <c r="B1837" t="str">
        <f>"1551765149561078"</f>
        <v>1551765149561078</v>
      </c>
      <c r="C1837" t="s">
        <v>40</v>
      </c>
      <c r="D1837">
        <v>4.5936690000000002</v>
      </c>
      <c r="E1837">
        <v>0.47396870000000002</v>
      </c>
      <c r="F1837" t="s">
        <v>56</v>
      </c>
      <c r="G1837">
        <v>-276.5926</v>
      </c>
      <c r="H1837" s="1">
        <v>2.11753E-6</v>
      </c>
      <c r="I1837">
        <v>281.27409999999998</v>
      </c>
      <c r="J1837">
        <v>-243.45089999999999</v>
      </c>
      <c r="K1837">
        <v>1.105788</v>
      </c>
      <c r="L1837">
        <v>285.0668</v>
      </c>
      <c r="M1837">
        <v>-0.99992570000000003</v>
      </c>
      <c r="N1837">
        <v>-3.1505740000000002E-3</v>
      </c>
      <c r="O1837">
        <v>-1.178266E-2</v>
      </c>
      <c r="P1837">
        <v>-0.99614349999999996</v>
      </c>
      <c r="Q1837">
        <v>-7.6552590000000004E-2</v>
      </c>
      <c r="R1837">
        <v>-4.2876549999999999E-2</v>
      </c>
      <c r="S1837">
        <v>-2.9895320000000001</v>
      </c>
      <c r="T1837">
        <v>-9.8525520000000005E-2</v>
      </c>
      <c r="U1837">
        <v>-0.3383179</v>
      </c>
      <c r="V1837">
        <v>-3.1417859999999999E-2</v>
      </c>
      <c r="W1837">
        <v>-7.329223E-2</v>
      </c>
      <c r="X1837">
        <v>0.99681549999999997</v>
      </c>
      <c r="Y1837">
        <v>-0.1006799</v>
      </c>
      <c r="Z1837">
        <v>-1.4625679999999901E-3</v>
      </c>
      <c r="AA1837">
        <v>0.99491779999999996</v>
      </c>
      <c r="AB1837">
        <v>41</v>
      </c>
      <c r="AC1837">
        <v>-33.1417</v>
      </c>
      <c r="AD1837">
        <v>-1.10578588247</v>
      </c>
      <c r="AE1837">
        <v>-3.7927000000000199</v>
      </c>
      <c r="AF1837">
        <v>-3.3982032819080299</v>
      </c>
      <c r="AG1837">
        <v>-1.10578588247</v>
      </c>
      <c r="AH1837">
        <v>33.147663067405297</v>
      </c>
      <c r="AI1837">
        <v>91.900689393250701</v>
      </c>
      <c r="AJ1837">
        <v>95.853350256132899</v>
      </c>
      <c r="AK1837">
        <v>33.339737773312898</v>
      </c>
      <c r="AL1837">
        <v>94.203104252949601</v>
      </c>
      <c r="AM1837">
        <v>91.805263921354594</v>
      </c>
      <c r="AN1837">
        <v>0.99999998697280101</v>
      </c>
    </row>
    <row r="1838" spans="1:40" x14ac:dyDescent="0.25">
      <c r="A1838" t="str">
        <f>"20190305135229582"</f>
        <v>20190305135229582</v>
      </c>
      <c r="B1838" t="str">
        <f>"1551765149571815"</f>
        <v>1551765149571815</v>
      </c>
      <c r="C1838" t="s">
        <v>40</v>
      </c>
      <c r="D1838">
        <v>4.6129239999999996</v>
      </c>
      <c r="E1838">
        <v>0.47366409999999998</v>
      </c>
      <c r="F1838" t="s">
        <v>56</v>
      </c>
      <c r="G1838">
        <v>-278.94659999999999</v>
      </c>
      <c r="H1838" s="1">
        <v>3.3817920000000002E-6</v>
      </c>
      <c r="I1838">
        <v>281.0095</v>
      </c>
      <c r="J1838">
        <v>-243.6977</v>
      </c>
      <c r="K1838">
        <v>1.1057680000000001</v>
      </c>
      <c r="L1838">
        <v>285.0643</v>
      </c>
      <c r="M1838">
        <v>-0.99993600000000005</v>
      </c>
      <c r="N1838">
        <v>-3.180282E-3</v>
      </c>
      <c r="O1838">
        <v>-1.0877390000000001E-2</v>
      </c>
      <c r="P1838">
        <v>-0.99617120000000003</v>
      </c>
      <c r="Q1838">
        <v>-7.6539650000000001E-2</v>
      </c>
      <c r="R1838">
        <v>-4.2247170000000001E-2</v>
      </c>
      <c r="S1838">
        <v>-2.9897459999999998</v>
      </c>
      <c r="T1838">
        <v>-9.3138579999999999E-2</v>
      </c>
      <c r="U1838">
        <v>-0.34173579999999998</v>
      </c>
      <c r="V1838">
        <v>-3.1693640000000002E-2</v>
      </c>
      <c r="W1838">
        <v>-7.3247389999999996E-2</v>
      </c>
      <c r="X1838">
        <v>0.99681010000000003</v>
      </c>
      <c r="Y1838">
        <v>-0.10269929999999999</v>
      </c>
      <c r="Z1838">
        <v>-1.4548429999999999E-3</v>
      </c>
      <c r="AA1838">
        <v>0.99471140000000002</v>
      </c>
      <c r="AB1838">
        <v>41</v>
      </c>
      <c r="AC1838">
        <v>-35.2488999999999</v>
      </c>
      <c r="AD1838">
        <v>-1.1057646182080001</v>
      </c>
      <c r="AE1838">
        <v>-4.0548000000000002</v>
      </c>
      <c r="AF1838">
        <v>-3.6675801374865999</v>
      </c>
      <c r="AG1838">
        <v>-1.1057646182080001</v>
      </c>
      <c r="AH1838">
        <v>35.256677912607103</v>
      </c>
      <c r="AI1838">
        <v>91.786758852651403</v>
      </c>
      <c r="AJ1838">
        <v>95.9388399440315</v>
      </c>
      <c r="AK1838">
        <v>35.464167787910803</v>
      </c>
      <c r="AL1838">
        <v>94.200528042021404</v>
      </c>
      <c r="AM1838">
        <v>91.821109419730305</v>
      </c>
      <c r="AN1838">
        <v>1.0000000212101301</v>
      </c>
    </row>
    <row r="1839" spans="1:40" x14ac:dyDescent="0.25">
      <c r="A1839" t="str">
        <f>"20190305135229598"</f>
        <v>20190305135229598</v>
      </c>
      <c r="B1839" t="str">
        <f>"1551765149591334"</f>
        <v>1551765149591334</v>
      </c>
      <c r="C1839" t="s">
        <v>40</v>
      </c>
      <c r="D1839">
        <v>4.549963</v>
      </c>
      <c r="E1839">
        <v>0.47344180000000002</v>
      </c>
      <c r="F1839" t="s">
        <v>56</v>
      </c>
      <c r="G1839">
        <v>-279.86079999999998</v>
      </c>
      <c r="H1839" s="1">
        <v>3.8720119999999999E-6</v>
      </c>
      <c r="I1839">
        <v>280.92410000000001</v>
      </c>
      <c r="J1839">
        <v>-243.97239999999999</v>
      </c>
      <c r="K1839">
        <v>1.1057520000000001</v>
      </c>
      <c r="L1839">
        <v>285.06200000000001</v>
      </c>
      <c r="M1839">
        <v>-0.99994620000000001</v>
      </c>
      <c r="N1839">
        <v>-3.2137020000000001E-3</v>
      </c>
      <c r="O1839">
        <v>-9.8757930000000008E-3</v>
      </c>
      <c r="P1839">
        <v>-0.99622929999999998</v>
      </c>
      <c r="Q1839">
        <v>-7.6551729999999998E-2</v>
      </c>
      <c r="R1839">
        <v>-4.0834530000000001E-2</v>
      </c>
      <c r="S1839">
        <v>-2.9899900000000001</v>
      </c>
      <c r="T1839">
        <v>-9.142554E-2</v>
      </c>
      <c r="U1839">
        <v>-0.3423157</v>
      </c>
      <c r="V1839">
        <v>-3.1281120000000003E-2</v>
      </c>
      <c r="W1839">
        <v>-7.3226529999999998E-2</v>
      </c>
      <c r="X1839">
        <v>0.99682459999999995</v>
      </c>
      <c r="Y1839">
        <v>-0.1038776</v>
      </c>
      <c r="Z1839">
        <v>-1.480866E-3</v>
      </c>
      <c r="AA1839">
        <v>0.99458899999999995</v>
      </c>
      <c r="AB1839">
        <v>41</v>
      </c>
      <c r="AC1839">
        <v>-35.888399999999898</v>
      </c>
      <c r="AD1839">
        <v>-1.1057481279879999</v>
      </c>
      <c r="AE1839">
        <v>-4.1379000000000001</v>
      </c>
      <c r="AF1839">
        <v>-3.7797289834677601</v>
      </c>
      <c r="AG1839">
        <v>-1.1057481279879999</v>
      </c>
      <c r="AH1839">
        <v>35.8938879760791</v>
      </c>
      <c r="AI1839">
        <v>91.754801083928399</v>
      </c>
      <c r="AJ1839">
        <v>96.011255660895202</v>
      </c>
      <c r="AK1839">
        <v>36.109281689758603</v>
      </c>
      <c r="AL1839">
        <v>94.1993298990661</v>
      </c>
      <c r="AM1839">
        <v>91.797395635762797</v>
      </c>
      <c r="AN1839">
        <v>0.99999995816472598</v>
      </c>
    </row>
    <row r="1840" spans="1:40" x14ac:dyDescent="0.25">
      <c r="A1840" t="str">
        <f>"20190305135229614"</f>
        <v>20190305135229614</v>
      </c>
      <c r="B1840" t="str">
        <f>"1551765149611831"</f>
        <v>1551765149611831</v>
      </c>
      <c r="C1840" t="s">
        <v>40</v>
      </c>
      <c r="D1840">
        <v>4.5970259999999996</v>
      </c>
      <c r="E1840">
        <v>0.47291299999999997</v>
      </c>
      <c r="F1840" t="s">
        <v>56</v>
      </c>
      <c r="G1840">
        <v>-279.34500000000003</v>
      </c>
      <c r="H1840" s="1">
        <v>3.5922999999999999E-6</v>
      </c>
      <c r="I1840">
        <v>281.04360000000003</v>
      </c>
      <c r="J1840">
        <v>-244.2893</v>
      </c>
      <c r="K1840">
        <v>1.105728</v>
      </c>
      <c r="L1840">
        <v>285.05950000000001</v>
      </c>
      <c r="M1840">
        <v>-0.99995670000000003</v>
      </c>
      <c r="N1840">
        <v>-3.2523700000000001E-3</v>
      </c>
      <c r="O1840">
        <v>-8.7270909999999993E-3</v>
      </c>
      <c r="P1840">
        <v>-0.99628209999999995</v>
      </c>
      <c r="Q1840">
        <v>-7.7053150000000001E-2</v>
      </c>
      <c r="R1840">
        <v>-3.8532829999999997E-2</v>
      </c>
      <c r="S1840">
        <v>-2.9902500000000001</v>
      </c>
      <c r="T1840">
        <v>-9.3475459999999996E-2</v>
      </c>
      <c r="U1840">
        <v>-0.33969120000000003</v>
      </c>
      <c r="V1840">
        <v>-3.0128829999999999E-2</v>
      </c>
      <c r="W1840">
        <v>-7.3692779999999999E-2</v>
      </c>
      <c r="X1840">
        <v>0.99682579999999998</v>
      </c>
      <c r="Y1840">
        <v>-0.1041459</v>
      </c>
      <c r="Z1840">
        <v>-1.54859999999999E-3</v>
      </c>
      <c r="AA1840">
        <v>0.99456080000000002</v>
      </c>
      <c r="AB1840">
        <v>41</v>
      </c>
      <c r="AC1840">
        <v>-35.055700000000002</v>
      </c>
      <c r="AD1840">
        <v>-1.1057244076999999</v>
      </c>
      <c r="AE1840">
        <v>-4.0158999999999798</v>
      </c>
      <c r="AF1840">
        <v>-3.7061717026544101</v>
      </c>
      <c r="AG1840">
        <v>-1.1057244076999999</v>
      </c>
      <c r="AH1840">
        <v>35.054988102238198</v>
      </c>
      <c r="AI1840">
        <v>91.796650448204701</v>
      </c>
      <c r="AJ1840">
        <v>96.035148970302401</v>
      </c>
      <c r="AK1840">
        <v>35.267698053649603</v>
      </c>
      <c r="AL1840">
        <v>94.226116151520998</v>
      </c>
      <c r="AM1840">
        <v>91.731224676277193</v>
      </c>
      <c r="AN1840">
        <v>1.0000000238834601</v>
      </c>
    </row>
    <row r="1841" spans="1:40" x14ac:dyDescent="0.25">
      <c r="A1841" t="str">
        <f>"20190305135229637"</f>
        <v>20190305135229637</v>
      </c>
      <c r="B1841" t="str">
        <f>"1551765149631350"</f>
        <v>1551765149631350</v>
      </c>
      <c r="C1841" t="s">
        <v>40</v>
      </c>
      <c r="D1841">
        <v>4.6112120000000001</v>
      </c>
      <c r="E1841">
        <v>0.47260180000000002</v>
      </c>
      <c r="F1841" t="s">
        <v>66</v>
      </c>
      <c r="G1841">
        <v>-280.09179999999998</v>
      </c>
      <c r="H1841" s="1">
        <v>9.1035780000000002E-6</v>
      </c>
      <c r="I1841">
        <v>281.02519999999998</v>
      </c>
      <c r="J1841">
        <v>-244.70050000000001</v>
      </c>
      <c r="K1841">
        <v>1.105702</v>
      </c>
      <c r="L1841">
        <v>285.05689999999998</v>
      </c>
      <c r="M1841">
        <v>-0.99996819999999997</v>
      </c>
      <c r="N1841">
        <v>-3.302485E-3</v>
      </c>
      <c r="O1841">
        <v>-7.2471019999999896E-3</v>
      </c>
      <c r="P1841">
        <v>-0.99635819999999997</v>
      </c>
      <c r="Q1841">
        <v>-7.7644229999999995E-2</v>
      </c>
      <c r="R1841">
        <v>-3.5236660000000003E-2</v>
      </c>
      <c r="S1841">
        <v>-2.9910130000000001</v>
      </c>
      <c r="T1841">
        <v>-9.2373849999999993E-2</v>
      </c>
      <c r="U1841">
        <v>-0.33703610000000001</v>
      </c>
      <c r="V1841">
        <v>-2.8312360000000002E-2</v>
      </c>
      <c r="W1841">
        <v>-7.4239940000000004E-2</v>
      </c>
      <c r="X1841">
        <v>0.99683849999999996</v>
      </c>
      <c r="Y1841">
        <v>-0.1047179</v>
      </c>
      <c r="Z1841">
        <v>-1.5858879999999999E-3</v>
      </c>
      <c r="AA1841">
        <v>0.99450070000000002</v>
      </c>
      <c r="AB1841">
        <v>42</v>
      </c>
      <c r="AC1841">
        <v>-35.391299999999902</v>
      </c>
      <c r="AD1841">
        <v>-1.1056928964220001</v>
      </c>
      <c r="AE1841">
        <v>-4.0316999999999998</v>
      </c>
      <c r="AF1841">
        <v>-3.7714743210117301</v>
      </c>
      <c r="AG1841">
        <v>-1.1056928964220001</v>
      </c>
      <c r="AH1841">
        <v>35.385493043466099</v>
      </c>
      <c r="AI1841">
        <v>91.779669475059194</v>
      </c>
      <c r="AJ1841">
        <v>96.083759981925098</v>
      </c>
      <c r="AK1841">
        <v>35.603085445849203</v>
      </c>
      <c r="AL1841">
        <v>94.257551996047297</v>
      </c>
      <c r="AM1841">
        <v>91.626886153328201</v>
      </c>
      <c r="AN1841">
        <v>1.0000000767510999</v>
      </c>
    </row>
    <row r="1842" spans="1:40" x14ac:dyDescent="0.25">
      <c r="A1842" t="str">
        <f>"20190305135229658"</f>
        <v>20190305135229658</v>
      </c>
      <c r="B1842" t="str">
        <f>"1551765149651847"</f>
        <v>1551765149651847</v>
      </c>
      <c r="C1842" t="s">
        <v>40</v>
      </c>
      <c r="D1842">
        <v>4.5759420000000004</v>
      </c>
      <c r="E1842">
        <v>0.47204360000000001</v>
      </c>
      <c r="F1842" t="s">
        <v>56</v>
      </c>
      <c r="G1842">
        <v>-279.79239999999999</v>
      </c>
      <c r="H1842" s="1">
        <v>3.8239269999999996E-6</v>
      </c>
      <c r="I1842">
        <v>281.19189999999998</v>
      </c>
      <c r="J1842">
        <v>-245.13030000000001</v>
      </c>
      <c r="K1842">
        <v>1.105693</v>
      </c>
      <c r="L1842">
        <v>285.0548</v>
      </c>
      <c r="M1842">
        <v>-0.99997820000000004</v>
      </c>
      <c r="N1842">
        <v>-3.3544780000000001E-3</v>
      </c>
      <c r="O1842">
        <v>-5.7120360000000002E-3</v>
      </c>
      <c r="P1842">
        <v>-0.9964016</v>
      </c>
      <c r="Q1842">
        <v>-7.8555280000000005E-2</v>
      </c>
      <c r="R1842">
        <v>-3.1832799999999897E-2</v>
      </c>
      <c r="S1842">
        <v>-2.991959</v>
      </c>
      <c r="T1842">
        <v>-9.427249E-2</v>
      </c>
      <c r="U1842">
        <v>-0.32952880000000001</v>
      </c>
      <c r="V1842">
        <v>-2.6443979999999999E-2</v>
      </c>
      <c r="W1842">
        <v>-7.5105850000000002E-2</v>
      </c>
      <c r="X1842">
        <v>0.99682490000000001</v>
      </c>
      <c r="Y1842">
        <v>-0.1037426</v>
      </c>
      <c r="Z1842">
        <v>-1.643362E-3</v>
      </c>
      <c r="AA1842">
        <v>0.99460280000000001</v>
      </c>
      <c r="AB1842">
        <v>42</v>
      </c>
      <c r="AC1842">
        <v>-34.662099999999903</v>
      </c>
      <c r="AD1842">
        <v>-1.1056891760729901</v>
      </c>
      <c r="AE1842">
        <v>-3.8629000000000202</v>
      </c>
      <c r="AF1842">
        <v>-3.66116500939324</v>
      </c>
      <c r="AG1842">
        <v>-1.1056891760729901</v>
      </c>
      <c r="AH1842">
        <v>34.648775271107098</v>
      </c>
      <c r="AI1842">
        <v>91.817653251696797</v>
      </c>
      <c r="AJ1842">
        <v>96.031780093432303</v>
      </c>
      <c r="AK1842">
        <v>34.859206898146297</v>
      </c>
      <c r="AL1842">
        <v>94.307304100044206</v>
      </c>
      <c r="AM1842">
        <v>91.519598051485701</v>
      </c>
      <c r="AN1842">
        <v>1.0000000270212299</v>
      </c>
    </row>
    <row r="1843" spans="1:40" x14ac:dyDescent="0.25">
      <c r="A1843" t="str">
        <f>"20190305135229681"</f>
        <v>20190305135229681</v>
      </c>
      <c r="B1843" t="str">
        <f>"1551765149671366"</f>
        <v>1551765149671366</v>
      </c>
      <c r="C1843" t="s">
        <v>40</v>
      </c>
      <c r="D1843">
        <v>5.3039880000000004</v>
      </c>
      <c r="E1843">
        <v>0.5080884</v>
      </c>
      <c r="F1843" t="s">
        <v>66</v>
      </c>
      <c r="G1843">
        <v>-280.12240000000003</v>
      </c>
      <c r="H1843" s="1">
        <v>9.0392800000000003E-6</v>
      </c>
      <c r="I1843">
        <v>281.27069999999998</v>
      </c>
      <c r="J1843">
        <v>-245.54859999999999</v>
      </c>
      <c r="K1843">
        <v>1.10568</v>
      </c>
      <c r="L1843">
        <v>285.05329999999998</v>
      </c>
      <c r="M1843">
        <v>-0.99998529999999997</v>
      </c>
      <c r="N1843">
        <v>-3.4045270000000001E-3</v>
      </c>
      <c r="O1843">
        <v>-4.2290610000000001E-3</v>
      </c>
      <c r="P1843">
        <v>-0.9964442</v>
      </c>
      <c r="Q1843">
        <v>-7.934737E-2</v>
      </c>
      <c r="R1843">
        <v>-2.834122E-2</v>
      </c>
      <c r="S1843">
        <v>-2.9930569999999999</v>
      </c>
      <c r="T1843">
        <v>-9.4575049999999994E-2</v>
      </c>
      <c r="U1843">
        <v>-0.3236694</v>
      </c>
      <c r="V1843">
        <v>-2.4434770000000001E-2</v>
      </c>
      <c r="W1843">
        <v>-7.5855590000000001E-2</v>
      </c>
      <c r="X1843">
        <v>0.99681940000000002</v>
      </c>
      <c r="Y1843">
        <v>-0.10325289999999999</v>
      </c>
      <c r="Z1843">
        <v>-1.683632E-3</v>
      </c>
      <c r="AA1843">
        <v>0.99465369999999997</v>
      </c>
      <c r="AB1843">
        <v>42</v>
      </c>
      <c r="AC1843">
        <v>-34.573799999999999</v>
      </c>
      <c r="AD1843">
        <v>-1.1056709607199999</v>
      </c>
      <c r="AE1843">
        <v>-3.7826</v>
      </c>
      <c r="AF1843">
        <v>-3.63267934613167</v>
      </c>
      <c r="AG1843">
        <v>-1.1056709607199999</v>
      </c>
      <c r="AH1843">
        <v>34.554566050312602</v>
      </c>
      <c r="AI1843">
        <v>91.822677358677694</v>
      </c>
      <c r="AJ1843">
        <v>96.001390897602107</v>
      </c>
      <c r="AK1843">
        <v>34.762579053209102</v>
      </c>
      <c r="AL1843">
        <v>94.350383953424497</v>
      </c>
      <c r="AM1843">
        <v>91.404195068463196</v>
      </c>
      <c r="AN1843">
        <v>1.0000000223677801</v>
      </c>
    </row>
    <row r="1844" spans="1:40" x14ac:dyDescent="0.25">
      <c r="A1844" t="str">
        <f>"20190305135229702"</f>
        <v>20190305135229702</v>
      </c>
      <c r="B1844" t="str">
        <f>"1551765149691863"</f>
        <v>1551765149691863</v>
      </c>
      <c r="C1844" t="s">
        <v>40</v>
      </c>
      <c r="D1844">
        <v>4.7437189999999996</v>
      </c>
      <c r="E1844">
        <v>0.52711109999999906</v>
      </c>
      <c r="F1844" t="s">
        <v>56</v>
      </c>
      <c r="G1844">
        <v>-266.01220000000001</v>
      </c>
      <c r="H1844" s="1">
        <v>1.6626190000000001E-6</v>
      </c>
      <c r="I1844">
        <v>284.89350000000002</v>
      </c>
      <c r="J1844">
        <v>-245.9426</v>
      </c>
      <c r="K1844">
        <v>1.1056729999999999</v>
      </c>
      <c r="L1844">
        <v>285.05250000000001</v>
      </c>
      <c r="M1844">
        <v>-0.99999000000000005</v>
      </c>
      <c r="N1844">
        <v>-3.4511049999999999E-3</v>
      </c>
      <c r="O1844">
        <v>-2.839786E-3</v>
      </c>
      <c r="P1844">
        <v>-0.99639169999999999</v>
      </c>
      <c r="Q1844">
        <v>-8.0819260000000004E-2</v>
      </c>
      <c r="R1844">
        <v>-2.5919319999999999E-2</v>
      </c>
      <c r="S1844">
        <v>-2.9971770000000002</v>
      </c>
      <c r="T1844">
        <v>-0.16194129999999901</v>
      </c>
      <c r="U1844">
        <v>-2.3406980000000001E-2</v>
      </c>
      <c r="V1844">
        <v>-2.340501E-2</v>
      </c>
      <c r="W1844">
        <v>-7.7285110000000004E-2</v>
      </c>
      <c r="X1844">
        <v>0.99673429999999996</v>
      </c>
      <c r="Y1844">
        <v>-4.9656149999999996E-3</v>
      </c>
      <c r="Z1844" s="1">
        <v>9.0421240000000005E-7</v>
      </c>
      <c r="AA1844">
        <v>0.99998770000000003</v>
      </c>
      <c r="AB1844">
        <v>42</v>
      </c>
      <c r="AC1844">
        <v>-20.069600000000001</v>
      </c>
      <c r="AD1844">
        <v>-1.1056713373810001</v>
      </c>
      <c r="AE1844">
        <v>-0.15899999999999101</v>
      </c>
      <c r="AF1844">
        <v>-0.101697007243457</v>
      </c>
      <c r="AG1844">
        <v>-1.1056713373810001</v>
      </c>
      <c r="AH1844">
        <v>20.009244124945901</v>
      </c>
      <c r="AI1844">
        <v>93.162794353301607</v>
      </c>
      <c r="AJ1844">
        <v>90.291203360616393</v>
      </c>
      <c r="AK1844">
        <v>20.040027490980901</v>
      </c>
      <c r="AL1844">
        <v>94.432530582907503</v>
      </c>
      <c r="AM1844">
        <v>91.3451547730767</v>
      </c>
      <c r="AN1844">
        <v>1.0000000237586499</v>
      </c>
    </row>
    <row r="1845" spans="1:40" x14ac:dyDescent="0.25">
      <c r="A1845" t="str">
        <f>"20190305135229726"</f>
        <v>20190305135229726</v>
      </c>
      <c r="B1845" t="str">
        <f>"1551765149721143"</f>
        <v>1551765149721143</v>
      </c>
      <c r="C1845" t="s">
        <v>40</v>
      </c>
      <c r="D1845">
        <v>4.7225580000000003</v>
      </c>
      <c r="E1845">
        <v>0.53959939999999995</v>
      </c>
      <c r="F1845" t="s">
        <v>56</v>
      </c>
      <c r="G1845">
        <v>-269.81569999999999</v>
      </c>
      <c r="H1845" s="1">
        <v>3.6866239999999998E-6</v>
      </c>
      <c r="I1845">
        <v>286.12259999999998</v>
      </c>
      <c r="J1845">
        <v>-246.39869999999999</v>
      </c>
      <c r="K1845">
        <v>1.105666</v>
      </c>
      <c r="L1845">
        <v>285.05220000000003</v>
      </c>
      <c r="M1845">
        <v>-0.99999309999999997</v>
      </c>
      <c r="N1845">
        <v>-3.50439E-3</v>
      </c>
      <c r="O1845">
        <v>-1.239389E-3</v>
      </c>
      <c r="P1845">
        <v>-0.99638740000000003</v>
      </c>
      <c r="Q1845">
        <v>-8.1475149999999996E-2</v>
      </c>
      <c r="R1845">
        <v>-2.3958610000000002E-2</v>
      </c>
      <c r="S1845">
        <v>-3.0030670000000002</v>
      </c>
      <c r="T1845">
        <v>-0.13908570000000001</v>
      </c>
      <c r="U1845">
        <v>0.13461300000000001</v>
      </c>
      <c r="V1845">
        <v>-2.3042710000000001E-2</v>
      </c>
      <c r="W1845">
        <v>-7.7889089999999994E-2</v>
      </c>
      <c r="X1845">
        <v>0.99669569999999996</v>
      </c>
      <c r="Y1845">
        <v>4.5964310000000001E-2</v>
      </c>
      <c r="Z1845">
        <v>1.196934E-3</v>
      </c>
      <c r="AA1845">
        <v>0.99894240000000001</v>
      </c>
      <c r="AB1845">
        <v>42</v>
      </c>
      <c r="AC1845">
        <v>-23.416999999999899</v>
      </c>
      <c r="AD1845">
        <v>-1.105662313376</v>
      </c>
      <c r="AE1845">
        <v>1.0703999999999401</v>
      </c>
      <c r="AF1845">
        <v>1.0969816473510701</v>
      </c>
      <c r="AG1845">
        <v>-1.105662313376</v>
      </c>
      <c r="AH1845">
        <v>23.3636776447606</v>
      </c>
      <c r="AI1845">
        <v>92.706465960192801</v>
      </c>
      <c r="AJ1845">
        <v>87.311797661530093</v>
      </c>
      <c r="AK1845">
        <v>23.415535248508199</v>
      </c>
      <c r="AL1845">
        <v>94.467240835581705</v>
      </c>
      <c r="AM1845">
        <v>91.324391070943406</v>
      </c>
      <c r="AN1845">
        <v>0.999999997611831</v>
      </c>
    </row>
    <row r="1846" spans="1:40" x14ac:dyDescent="0.25">
      <c r="A1846" t="str">
        <f>"20190305135229748"</f>
        <v>20190305135229748</v>
      </c>
      <c r="B1846" t="str">
        <f>"1551765149741638"</f>
        <v>1551765149741638</v>
      </c>
      <c r="C1846" t="s">
        <v>40</v>
      </c>
      <c r="D1846">
        <v>4.7393080000000003</v>
      </c>
      <c r="E1846">
        <v>0.54221370000000002</v>
      </c>
      <c r="F1846" t="s">
        <v>56</v>
      </c>
      <c r="G1846">
        <v>-273.97320000000002</v>
      </c>
      <c r="H1846" s="1">
        <v>4.6261879999999998E-7</v>
      </c>
      <c r="I1846">
        <v>287.24619999999999</v>
      </c>
      <c r="J1846">
        <v>-246.8295</v>
      </c>
      <c r="K1846">
        <v>1.1056520000000001</v>
      </c>
      <c r="L1846">
        <v>285.05270000000002</v>
      </c>
      <c r="M1846">
        <v>-0.99999369999999999</v>
      </c>
      <c r="N1846">
        <v>-3.5539730000000002E-3</v>
      </c>
      <c r="O1846">
        <v>2.6611579999999998E-4</v>
      </c>
      <c r="P1846">
        <v>-0.99643309999999996</v>
      </c>
      <c r="Q1846">
        <v>-8.1170590000000001E-2</v>
      </c>
      <c r="R1846">
        <v>-2.3081549999999999E-2</v>
      </c>
      <c r="S1846">
        <v>-3.0067750000000002</v>
      </c>
      <c r="T1846">
        <v>-0.12056360000000001</v>
      </c>
      <c r="U1846">
        <v>0.2392273</v>
      </c>
      <c r="V1846">
        <v>-2.366596E-2</v>
      </c>
      <c r="W1846">
        <v>-7.7532050000000005E-2</v>
      </c>
      <c r="X1846">
        <v>0.99670890000000001</v>
      </c>
      <c r="Y1846">
        <v>7.8978339999999994E-2</v>
      </c>
      <c r="Z1846">
        <v>1.7112010000000001E-3</v>
      </c>
      <c r="AA1846">
        <v>0.99687490000000001</v>
      </c>
      <c r="AB1846">
        <v>42</v>
      </c>
      <c r="AC1846">
        <v>-27.143699999999999</v>
      </c>
      <c r="AD1846">
        <v>-1.1056515373811999</v>
      </c>
      <c r="AE1846">
        <v>2.19349999999997</v>
      </c>
      <c r="AF1846">
        <v>2.18267850807575</v>
      </c>
      <c r="AG1846">
        <v>-1.1056515373811999</v>
      </c>
      <c r="AH1846">
        <v>27.099610846402499</v>
      </c>
      <c r="AI1846">
        <v>92.328812294687296</v>
      </c>
      <c r="AJ1846">
        <v>85.395177762148506</v>
      </c>
      <c r="AK1846">
        <v>27.209841212660301</v>
      </c>
      <c r="AL1846">
        <v>94.446722050503695</v>
      </c>
      <c r="AM1846">
        <v>91.360181383143299</v>
      </c>
      <c r="AN1846">
        <v>0.99999996388956602</v>
      </c>
    </row>
    <row r="1847" spans="1:40" x14ac:dyDescent="0.25">
      <c r="A1847" t="str">
        <f>"20190305135229770"</f>
        <v>20190305135229770</v>
      </c>
      <c r="B1847" t="str">
        <f>"1551765149761158"</f>
        <v>1551765149761158</v>
      </c>
      <c r="C1847" t="s">
        <v>40</v>
      </c>
      <c r="D1847">
        <v>4.7274760000000002</v>
      </c>
      <c r="E1847">
        <v>0.54358609999999996</v>
      </c>
      <c r="F1847" t="s">
        <v>56</v>
      </c>
      <c r="G1847">
        <v>-275.78899999999999</v>
      </c>
      <c r="H1847" s="1">
        <v>1.4141919999999999E-6</v>
      </c>
      <c r="I1847">
        <v>287.58190000000002</v>
      </c>
      <c r="J1847">
        <v>-247.25409999999999</v>
      </c>
      <c r="K1847">
        <v>1.1056429999999999</v>
      </c>
      <c r="L1847">
        <v>285.05369999999999</v>
      </c>
      <c r="M1847">
        <v>-0.99999199999999999</v>
      </c>
      <c r="N1847">
        <v>-3.6021790000000001E-3</v>
      </c>
      <c r="O1847">
        <v>1.745751E-3</v>
      </c>
      <c r="P1847">
        <v>-0.99649219999999905</v>
      </c>
      <c r="Q1847">
        <v>-8.0607910000000005E-2</v>
      </c>
      <c r="R1847">
        <v>-2.2486530000000001E-2</v>
      </c>
      <c r="S1847">
        <v>-3.0074770000000002</v>
      </c>
      <c r="T1847">
        <v>-0.1148231</v>
      </c>
      <c r="U1847">
        <v>0.26266479999999998</v>
      </c>
      <c r="V1847">
        <v>-2.4544460000000001E-2</v>
      </c>
      <c r="W1847">
        <v>-7.6917170000000007E-2</v>
      </c>
      <c r="X1847">
        <v>0.99673529999999999</v>
      </c>
      <c r="Y1847">
        <v>8.5200360000000003E-2</v>
      </c>
      <c r="Z1847">
        <v>1.716345E-3</v>
      </c>
      <c r="AA1847">
        <v>0.99636239999999998</v>
      </c>
      <c r="AB1847">
        <v>43</v>
      </c>
      <c r="AC1847">
        <v>-28.5349</v>
      </c>
      <c r="AD1847">
        <v>-1.105641585808</v>
      </c>
      <c r="AE1847">
        <v>2.52820000000002</v>
      </c>
      <c r="AF1847">
        <v>2.4746946007925601</v>
      </c>
      <c r="AG1847">
        <v>-1.105641585808</v>
      </c>
      <c r="AH1847">
        <v>28.4968202683411</v>
      </c>
      <c r="AI1847">
        <v>92.213568673608904</v>
      </c>
      <c r="AJ1847">
        <v>85.036824118779805</v>
      </c>
      <c r="AK1847">
        <v>28.625431386960699</v>
      </c>
      <c r="AL1847">
        <v>94.4113864713064</v>
      </c>
      <c r="AM1847">
        <v>91.410615055680694</v>
      </c>
      <c r="AN1847">
        <v>0.99999996991179396</v>
      </c>
    </row>
    <row r="1848" spans="1:40" x14ac:dyDescent="0.25">
      <c r="A1848" t="str">
        <f>"20190305135229792"</f>
        <v>20190305135229792</v>
      </c>
      <c r="B1848" t="str">
        <f>"1551765149781658"</f>
        <v>1551765149781658</v>
      </c>
      <c r="C1848" t="s">
        <v>40</v>
      </c>
      <c r="D1848">
        <v>4.7212459999999998</v>
      </c>
      <c r="E1848">
        <v>0.5445757</v>
      </c>
      <c r="F1848" t="s">
        <v>56</v>
      </c>
      <c r="G1848">
        <v>-276.72320000000002</v>
      </c>
      <c r="H1848" s="1">
        <v>1.904079E-6</v>
      </c>
      <c r="I1848">
        <v>287.7484</v>
      </c>
      <c r="J1848">
        <v>-247.6653</v>
      </c>
      <c r="K1848">
        <v>1.105639</v>
      </c>
      <c r="L1848">
        <v>285.05529999999999</v>
      </c>
      <c r="M1848">
        <v>-0.9999884</v>
      </c>
      <c r="N1848">
        <v>-3.6484310000000002E-3</v>
      </c>
      <c r="O1848">
        <v>3.1744830000000001E-3</v>
      </c>
      <c r="P1848">
        <v>-0.99649270000000001</v>
      </c>
      <c r="Q1848">
        <v>-8.0618529999999994E-2</v>
      </c>
      <c r="R1848">
        <v>-2.2429810000000001E-2</v>
      </c>
      <c r="S1848">
        <v>-3.0076450000000001</v>
      </c>
      <c r="T1848">
        <v>-0.1128424</v>
      </c>
      <c r="U1848">
        <v>0.2750244</v>
      </c>
      <c r="V1848">
        <v>-2.5911900000000002E-2</v>
      </c>
      <c r="W1848">
        <v>-7.6875750000000007E-2</v>
      </c>
      <c r="X1848">
        <v>0.99670389999999998</v>
      </c>
      <c r="Y1848">
        <v>8.7834629999999997E-2</v>
      </c>
      <c r="Z1848">
        <v>1.6970799999999999E-3</v>
      </c>
      <c r="AA1848">
        <v>0.99613359999999995</v>
      </c>
      <c r="AB1848">
        <v>43</v>
      </c>
      <c r="AC1848">
        <v>-29.0579</v>
      </c>
      <c r="AD1848">
        <v>-1.105637095921</v>
      </c>
      <c r="AE1848">
        <v>2.69310000000001</v>
      </c>
      <c r="AF1848">
        <v>2.5971140380534798</v>
      </c>
      <c r="AG1848">
        <v>-1.105637095921</v>
      </c>
      <c r="AH1848">
        <v>29.024639980813799</v>
      </c>
      <c r="AI1848">
        <v>92.172843447732006</v>
      </c>
      <c r="AJ1848">
        <v>84.886812273509804</v>
      </c>
      <c r="AK1848">
        <v>29.1615699291103</v>
      </c>
      <c r="AL1848">
        <v>94.4090061617826</v>
      </c>
      <c r="AM1848">
        <v>91.489216774702797</v>
      </c>
      <c r="AN1848">
        <v>0.99999998588744099</v>
      </c>
    </row>
    <row r="1849" spans="1:40" x14ac:dyDescent="0.25">
      <c r="A1849" t="str">
        <f>"20190305135229813"</f>
        <v>20190305135229813</v>
      </c>
      <c r="B1849" t="str">
        <f>"1551765149811911"</f>
        <v>1551765149811911</v>
      </c>
      <c r="C1849" t="s">
        <v>40</v>
      </c>
      <c r="D1849">
        <v>4.7442760000000002</v>
      </c>
      <c r="E1849">
        <v>0.54564480000000004</v>
      </c>
      <c r="F1849" t="s">
        <v>56</v>
      </c>
      <c r="G1849">
        <v>-277.40159999999997</v>
      </c>
      <c r="H1849" s="1">
        <v>2.260308E-6</v>
      </c>
      <c r="I1849">
        <v>287.85660000000001</v>
      </c>
      <c r="J1849">
        <v>-248.08029999999999</v>
      </c>
      <c r="K1849">
        <v>1.105634</v>
      </c>
      <c r="L1849">
        <v>285.0575</v>
      </c>
      <c r="M1849">
        <v>-0.99998260000000005</v>
      </c>
      <c r="N1849">
        <v>-3.6944159999999998E-3</v>
      </c>
      <c r="O1849">
        <v>4.6065539999999997E-3</v>
      </c>
      <c r="P1849">
        <v>-0.99646190000000001</v>
      </c>
      <c r="Q1849">
        <v>-8.0869899999999995E-2</v>
      </c>
      <c r="R1849">
        <v>-2.2884370000000001E-2</v>
      </c>
      <c r="S1849">
        <v>-3.007889</v>
      </c>
      <c r="T1849">
        <v>-0.1118376</v>
      </c>
      <c r="U1849">
        <v>0.28335569999999999</v>
      </c>
      <c r="V1849">
        <v>-2.779539E-2</v>
      </c>
      <c r="W1849">
        <v>-7.7073459999999996E-2</v>
      </c>
      <c r="X1849">
        <v>0.99663789999999997</v>
      </c>
      <c r="Y1849">
        <v>8.9137060000000004E-2</v>
      </c>
      <c r="Z1849">
        <v>1.6641200000000001E-3</v>
      </c>
      <c r="AA1849">
        <v>0.99601799999999996</v>
      </c>
      <c r="AB1849">
        <v>43</v>
      </c>
      <c r="AC1849">
        <v>-29.321299999999901</v>
      </c>
      <c r="AD1849">
        <v>-1.1056317396919999</v>
      </c>
      <c r="AE1849">
        <v>2.7991000000000001</v>
      </c>
      <c r="AF1849">
        <v>2.66025090635934</v>
      </c>
      <c r="AG1849">
        <v>-1.1056317396919999</v>
      </c>
      <c r="AH1849">
        <v>29.292609546721799</v>
      </c>
      <c r="AI1849">
        <v>92.152717480185501</v>
      </c>
      <c r="AJ1849">
        <v>84.810835375263906</v>
      </c>
      <c r="AK1849">
        <v>29.433931617867401</v>
      </c>
      <c r="AL1849">
        <v>94.420367744922501</v>
      </c>
      <c r="AM1849">
        <v>91.597516840863804</v>
      </c>
      <c r="AN1849">
        <v>1.0000000028290099</v>
      </c>
    </row>
    <row r="1850" spans="1:40" x14ac:dyDescent="0.25">
      <c r="A1850" t="str">
        <f>"20190305135229848"</f>
        <v>20190305135229848</v>
      </c>
      <c r="B1850" t="str">
        <f>"1551765149841191"</f>
        <v>1551765149841191</v>
      </c>
      <c r="C1850" t="s">
        <v>40</v>
      </c>
      <c r="D1850">
        <v>4.7613899999999996</v>
      </c>
      <c r="E1850">
        <v>0.546462</v>
      </c>
      <c r="F1850" t="s">
        <v>56</v>
      </c>
      <c r="G1850">
        <v>-278.66039999999998</v>
      </c>
      <c r="H1850" s="1">
        <v>2.92356E-6</v>
      </c>
      <c r="I1850">
        <v>288.00909999999999</v>
      </c>
      <c r="J1850">
        <v>-248.7499</v>
      </c>
      <c r="K1850">
        <v>1.1056440000000001</v>
      </c>
      <c r="L1850">
        <v>285.06220000000002</v>
      </c>
      <c r="M1850">
        <v>-0.99996940000000001</v>
      </c>
      <c r="N1850">
        <v>-3.7698889999999998E-3</v>
      </c>
      <c r="O1850">
        <v>6.8714319999999898E-3</v>
      </c>
      <c r="P1850">
        <v>-0.99646599999999996</v>
      </c>
      <c r="Q1850">
        <v>-8.089317E-2</v>
      </c>
      <c r="R1850">
        <v>-2.262465E-2</v>
      </c>
      <c r="S1850">
        <v>-3.008499</v>
      </c>
      <c r="T1850">
        <v>-0.10877290000000001</v>
      </c>
      <c r="U1850">
        <v>0.29037479999999999</v>
      </c>
      <c r="V1850">
        <v>-2.9790500000000001E-2</v>
      </c>
      <c r="W1850">
        <v>-7.7013910000000005E-2</v>
      </c>
      <c r="X1850">
        <v>0.99658480000000005</v>
      </c>
      <c r="Y1850">
        <v>8.9169520000000002E-2</v>
      </c>
      <c r="Z1850">
        <v>1.5543219999999999E-3</v>
      </c>
      <c r="AA1850">
        <v>0.99601530000000005</v>
      </c>
      <c r="AB1850">
        <v>43</v>
      </c>
      <c r="AC1850">
        <v>-29.9104999999999</v>
      </c>
      <c r="AD1850">
        <v>-1.10564107644</v>
      </c>
      <c r="AE1850">
        <v>2.9468999999999701</v>
      </c>
      <c r="AF1850">
        <v>2.7375963061899999</v>
      </c>
      <c r="AG1850">
        <v>-1.10564107644</v>
      </c>
      <c r="AH1850">
        <v>29.889594609182002</v>
      </c>
      <c r="AI1850">
        <v>92.109630758789294</v>
      </c>
      <c r="AJ1850">
        <v>84.766864190512294</v>
      </c>
      <c r="AK1850">
        <v>30.035058542090798</v>
      </c>
      <c r="AL1850">
        <v>94.416945888184401</v>
      </c>
      <c r="AM1850">
        <v>91.712209328469598</v>
      </c>
      <c r="AN1850">
        <v>0.999999939907387</v>
      </c>
    </row>
    <row r="1851" spans="1:40" x14ac:dyDescent="0.25">
      <c r="A1851" t="str">
        <f>"20190305135229870"</f>
        <v>20190305135229870</v>
      </c>
      <c r="B1851" t="str">
        <f>"1551765149861690"</f>
        <v>1551765149861690</v>
      </c>
      <c r="C1851" t="s">
        <v>40</v>
      </c>
      <c r="D1851">
        <v>4.8178039999999998</v>
      </c>
      <c r="E1851">
        <v>0.54683760000000003</v>
      </c>
      <c r="F1851" t="s">
        <v>66</v>
      </c>
      <c r="G1851">
        <v>-280.0849</v>
      </c>
      <c r="H1851" s="1">
        <v>7.632269E-6</v>
      </c>
      <c r="I1851">
        <v>288.16039999999998</v>
      </c>
      <c r="J1851">
        <v>-249.1833</v>
      </c>
      <c r="K1851">
        <v>1.1056649999999999</v>
      </c>
      <c r="L1851">
        <v>285.06610000000001</v>
      </c>
      <c r="M1851">
        <v>-0.99995849999999997</v>
      </c>
      <c r="N1851">
        <v>-3.8209730000000001E-3</v>
      </c>
      <c r="O1851">
        <v>8.2816929999999997E-3</v>
      </c>
      <c r="P1851">
        <v>-0.99647399999999997</v>
      </c>
      <c r="Q1851">
        <v>-8.0919130000000006E-2</v>
      </c>
      <c r="R1851">
        <v>-2.2174070000000001E-2</v>
      </c>
      <c r="S1851">
        <v>-3.008759</v>
      </c>
      <c r="T1851">
        <v>-0.1061621</v>
      </c>
      <c r="U1851">
        <v>0.29748540000000001</v>
      </c>
      <c r="V1851">
        <v>-3.0741439999999998E-2</v>
      </c>
      <c r="W1851">
        <v>-7.6986559999999996E-2</v>
      </c>
      <c r="X1851">
        <v>0.9965581</v>
      </c>
      <c r="Y1851">
        <v>9.0090900000000002E-2</v>
      </c>
      <c r="Z1851">
        <v>1.49782E-3</v>
      </c>
      <c r="AA1851">
        <v>0.99593240000000005</v>
      </c>
      <c r="AB1851">
        <v>43</v>
      </c>
      <c r="AC1851">
        <v>-30.901599999999998</v>
      </c>
      <c r="AD1851">
        <v>-1.105657367731</v>
      </c>
      <c r="AE1851">
        <v>3.0942999999999699</v>
      </c>
      <c r="AF1851">
        <v>2.8346815296154602</v>
      </c>
      <c r="AG1851">
        <v>-1.105657367731</v>
      </c>
      <c r="AH1851">
        <v>30.887017335088601</v>
      </c>
      <c r="AI1851">
        <v>92.041559507350797</v>
      </c>
      <c r="AJ1851">
        <v>84.756321739953606</v>
      </c>
      <c r="AK1851">
        <v>31.036522637808901</v>
      </c>
      <c r="AL1851">
        <v>94.415373887119799</v>
      </c>
      <c r="AM1851">
        <v>91.766877816434999</v>
      </c>
      <c r="AN1851">
        <v>1.0000000066147501</v>
      </c>
    </row>
    <row r="1852" spans="1:40" x14ac:dyDescent="0.25">
      <c r="A1852" t="str">
        <f>"20190305135229891"</f>
        <v>20190305135229891</v>
      </c>
      <c r="B1852" t="str">
        <f>"1551765149881207"</f>
        <v>1551765149881207</v>
      </c>
      <c r="C1852" t="s">
        <v>40</v>
      </c>
      <c r="D1852">
        <v>4.8041609999999997</v>
      </c>
      <c r="E1852">
        <v>0.54716580000000004</v>
      </c>
      <c r="F1852" t="s">
        <v>66</v>
      </c>
      <c r="G1852">
        <v>-280.89420000000001</v>
      </c>
      <c r="H1852" s="1">
        <v>7.255789E-6</v>
      </c>
      <c r="I1852">
        <v>288.24549999999999</v>
      </c>
      <c r="J1852">
        <v>-249.5943</v>
      </c>
      <c r="K1852">
        <v>1.1056969999999999</v>
      </c>
      <c r="L1852">
        <v>285.07029999999997</v>
      </c>
      <c r="M1852">
        <v>-0.99994680000000002</v>
      </c>
      <c r="N1852">
        <v>-3.8708750000000002E-3</v>
      </c>
      <c r="O1852">
        <v>9.5702970000000002E-3</v>
      </c>
      <c r="P1852">
        <v>-0.99653559999999997</v>
      </c>
      <c r="Q1852">
        <v>-8.0482129999999999E-2</v>
      </c>
      <c r="R1852">
        <v>-2.0963030000000001E-2</v>
      </c>
      <c r="S1852">
        <v>-3.0087890000000002</v>
      </c>
      <c r="T1852">
        <v>-0.10490670000000001</v>
      </c>
      <c r="U1852">
        <v>0.3016663</v>
      </c>
      <c r="V1852">
        <v>-3.08077E-2</v>
      </c>
      <c r="W1852">
        <v>-7.65015E-2</v>
      </c>
      <c r="X1852">
        <v>0.99659339999999996</v>
      </c>
      <c r="Y1852">
        <v>9.0178560000000005E-2</v>
      </c>
      <c r="Z1852">
        <v>1.4469839999999999E-3</v>
      </c>
      <c r="AA1852">
        <v>0.99592460000000005</v>
      </c>
      <c r="AB1852">
        <v>43</v>
      </c>
      <c r="AC1852">
        <v>-31.299900000000001</v>
      </c>
      <c r="AD1852">
        <v>-1.1056897442110001</v>
      </c>
      <c r="AE1852">
        <v>3.17520000000001</v>
      </c>
      <c r="AF1852">
        <v>2.8719556142340101</v>
      </c>
      <c r="AG1852">
        <v>-1.1056897442110001</v>
      </c>
      <c r="AH1852">
        <v>31.290205003768001</v>
      </c>
      <c r="AI1852">
        <v>92.015332348247497</v>
      </c>
      <c r="AJ1852">
        <v>84.7558292853967</v>
      </c>
      <c r="AK1852">
        <v>31.441176950591601</v>
      </c>
      <c r="AL1852">
        <v>94.3874998224195</v>
      </c>
      <c r="AM1852">
        <v>91.7706210385264</v>
      </c>
      <c r="AN1852">
        <v>0.99999999940254902</v>
      </c>
    </row>
    <row r="1853" spans="1:40" x14ac:dyDescent="0.25">
      <c r="A1853" t="str">
        <f>"20190305135229914"</f>
        <v>20190305135229914</v>
      </c>
      <c r="B1853" t="str">
        <f>"1551765149911462"</f>
        <v>1551765149911462</v>
      </c>
      <c r="C1853" t="s">
        <v>40</v>
      </c>
      <c r="D1853">
        <v>4.7634150000000002</v>
      </c>
      <c r="E1853">
        <v>0.56080459999999999</v>
      </c>
      <c r="F1853" t="s">
        <v>66</v>
      </c>
      <c r="G1853">
        <v>-281.86739999999998</v>
      </c>
      <c r="H1853" s="1">
        <v>6.7977379999999999E-6</v>
      </c>
      <c r="I1853">
        <v>288.37369999999999</v>
      </c>
      <c r="J1853">
        <v>-250.0394</v>
      </c>
      <c r="K1853">
        <v>1.105747</v>
      </c>
      <c r="L1853">
        <v>285.07530000000003</v>
      </c>
      <c r="M1853">
        <v>-0.99993319999999997</v>
      </c>
      <c r="N1853">
        <v>-3.927491E-3</v>
      </c>
      <c r="O1853">
        <v>1.0876540000000001E-2</v>
      </c>
      <c r="P1853">
        <v>-0.99662300000000004</v>
      </c>
      <c r="Q1853">
        <v>-7.9948019999999995E-2</v>
      </c>
      <c r="R1853">
        <v>-1.8749330000000002E-2</v>
      </c>
      <c r="S1853">
        <v>-3.008591</v>
      </c>
      <c r="T1853">
        <v>-0.1030756</v>
      </c>
      <c r="U1853">
        <v>0.30795289999999997</v>
      </c>
      <c r="V1853">
        <v>-2.9885209999999999E-2</v>
      </c>
      <c r="W1853">
        <v>-7.5918009999999994E-2</v>
      </c>
      <c r="X1853">
        <v>0.9966661</v>
      </c>
      <c r="Y1853">
        <v>9.0945789999999999E-2</v>
      </c>
      <c r="Z1853">
        <v>1.403631E-3</v>
      </c>
      <c r="AA1853">
        <v>0.99585489999999999</v>
      </c>
      <c r="AB1853">
        <v>44</v>
      </c>
      <c r="AC1853">
        <v>-31.8279999999999</v>
      </c>
      <c r="AD1853">
        <v>-1.105740202262</v>
      </c>
      <c r="AE1853">
        <v>3.2983999999999498</v>
      </c>
      <c r="AF1853">
        <v>2.9485028612813502</v>
      </c>
      <c r="AG1853">
        <v>-1.105740202262</v>
      </c>
      <c r="AH1853">
        <v>31.823991071198201</v>
      </c>
      <c r="AI1853">
        <v>91.981489812127293</v>
      </c>
      <c r="AJ1853">
        <v>84.706639560791203</v>
      </c>
      <c r="AK1853">
        <v>31.979411161207899</v>
      </c>
      <c r="AL1853">
        <v>94.353970828993198</v>
      </c>
      <c r="AM1853">
        <v>91.717509503021901</v>
      </c>
      <c r="AN1853">
        <v>0.99999999245415705</v>
      </c>
    </row>
    <row r="1854" spans="1:40" x14ac:dyDescent="0.25">
      <c r="A1854" t="str">
        <f>"20190305135229938"</f>
        <v>20190305135229938</v>
      </c>
      <c r="B1854" t="str">
        <f>"1551765149931959"</f>
        <v>1551765149931959</v>
      </c>
      <c r="C1854" t="s">
        <v>40</v>
      </c>
      <c r="D1854">
        <v>4.7658639999999997</v>
      </c>
      <c r="E1854">
        <v>0.56317530000000005</v>
      </c>
      <c r="F1854" t="s">
        <v>66</v>
      </c>
      <c r="G1854">
        <v>-306.56349999999998</v>
      </c>
      <c r="H1854" s="1">
        <v>1.468356E-6</v>
      </c>
      <c r="I1854">
        <v>292.98820000000001</v>
      </c>
      <c r="J1854">
        <v>-250.5162</v>
      </c>
      <c r="K1854">
        <v>1.105831</v>
      </c>
      <c r="L1854">
        <v>285.08120000000002</v>
      </c>
      <c r="M1854">
        <v>-0.99991850000000004</v>
      </c>
      <c r="N1854">
        <v>-3.9899319999999999E-3</v>
      </c>
      <c r="O1854">
        <v>1.2132799999999999E-2</v>
      </c>
      <c r="P1854">
        <v>-0.99668630000000003</v>
      </c>
      <c r="Q1854">
        <v>-7.9672770000000004E-2</v>
      </c>
      <c r="R1854">
        <v>-1.638769E-2</v>
      </c>
      <c r="S1854">
        <v>-3.0133670000000001</v>
      </c>
      <c r="T1854">
        <v>-5.8948639999999997E-2</v>
      </c>
      <c r="U1854">
        <v>0.42184450000000001</v>
      </c>
      <c r="V1854">
        <v>-2.8759099999999999E-2</v>
      </c>
      <c r="W1854">
        <v>-7.5590649999999995E-2</v>
      </c>
      <c r="X1854">
        <v>0.9967241</v>
      </c>
      <c r="Y1854">
        <v>0.12658610000000001</v>
      </c>
      <c r="Z1854">
        <v>1.2978919999999999E-3</v>
      </c>
      <c r="AA1854">
        <v>0.99195480000000003</v>
      </c>
      <c r="AB1854">
        <v>44</v>
      </c>
      <c r="AC1854">
        <v>-56.0472999999999</v>
      </c>
      <c r="AD1854">
        <v>-1.1058295316439899</v>
      </c>
      <c r="AE1854">
        <v>7.9069999999999796</v>
      </c>
      <c r="AF1854">
        <v>7.2236447688490903</v>
      </c>
      <c r="AG1854">
        <v>-1.1058295316439899</v>
      </c>
      <c r="AH1854">
        <v>56.117689939767097</v>
      </c>
      <c r="AI1854">
        <v>91.119662606826196</v>
      </c>
      <c r="AJ1854">
        <v>82.665042925712399</v>
      </c>
      <c r="AK1854">
        <v>56.591510201402301</v>
      </c>
      <c r="AL1854">
        <v>94.335160476948801</v>
      </c>
      <c r="AM1854">
        <v>91.652732191395401</v>
      </c>
      <c r="AN1854">
        <v>0.99999998186052097</v>
      </c>
    </row>
    <row r="1855" spans="1:40" x14ac:dyDescent="0.25">
      <c r="A1855" t="str">
        <f>"20190305135229960"</f>
        <v>20190305135229960</v>
      </c>
      <c r="B1855" t="str">
        <f>"1551765149951478"</f>
        <v>1551765149951478</v>
      </c>
      <c r="C1855" t="s">
        <v>40</v>
      </c>
      <c r="D1855">
        <v>4.7670149999999998</v>
      </c>
      <c r="E1855">
        <v>0.563975</v>
      </c>
      <c r="F1855" t="s">
        <v>66</v>
      </c>
      <c r="G1855">
        <v>-310.73140000000001</v>
      </c>
      <c r="H1855">
        <v>8.0000080000000001E-2</v>
      </c>
      <c r="I1855">
        <v>294.02050000000003</v>
      </c>
      <c r="J1855">
        <v>-250.95230000000001</v>
      </c>
      <c r="K1855">
        <v>1.105944</v>
      </c>
      <c r="L1855">
        <v>285.08710000000002</v>
      </c>
      <c r="M1855">
        <v>-0.99990590000000001</v>
      </c>
      <c r="N1855">
        <v>-4.0471789999999997E-3</v>
      </c>
      <c r="O1855">
        <v>1.3110520000000001E-2</v>
      </c>
      <c r="P1855">
        <v>-0.99661679999999997</v>
      </c>
      <c r="Q1855">
        <v>-8.0829659999999998E-2</v>
      </c>
      <c r="R1855">
        <v>-1.488455E-2</v>
      </c>
      <c r="S1855">
        <v>-3.0132140000000001</v>
      </c>
      <c r="T1855">
        <v>-5.133331E-2</v>
      </c>
      <c r="U1855">
        <v>0.44732670000000002</v>
      </c>
      <c r="V1855">
        <v>-2.8212500000000001E-2</v>
      </c>
      <c r="W1855">
        <v>-7.6700470000000007E-2</v>
      </c>
      <c r="X1855">
        <v>0.99665490000000001</v>
      </c>
      <c r="Y1855">
        <v>0.13384199999999999</v>
      </c>
      <c r="Z1855">
        <v>1.2368419999999999E-3</v>
      </c>
      <c r="AA1855">
        <v>0.99100189999999999</v>
      </c>
      <c r="AB1855">
        <v>44</v>
      </c>
      <c r="AC1855">
        <v>-59.7791</v>
      </c>
      <c r="AD1855">
        <v>-1.02594392</v>
      </c>
      <c r="AE1855">
        <v>8.9334000000000007</v>
      </c>
      <c r="AF1855">
        <v>8.1465436265296791</v>
      </c>
      <c r="AG1855">
        <v>-1.02594392</v>
      </c>
      <c r="AH1855">
        <v>59.873834409227797</v>
      </c>
      <c r="AI1855">
        <v>90.972711847073199</v>
      </c>
      <c r="AJ1855">
        <v>82.251811079458406</v>
      </c>
      <c r="AK1855">
        <v>60.434218625291798</v>
      </c>
      <c r="AL1855">
        <v>94.398933782447102</v>
      </c>
      <c r="AM1855">
        <v>91.621449543729796</v>
      </c>
      <c r="AN1855">
        <v>0.99999994847423901</v>
      </c>
    </row>
    <row r="1856" spans="1:40" x14ac:dyDescent="0.25">
      <c r="A1856" t="str">
        <f>"20190305135229982"</f>
        <v>20190305135229982</v>
      </c>
      <c r="B1856" t="str">
        <f>"1551765149971002"</f>
        <v>1551765149971002</v>
      </c>
      <c r="C1856" t="s">
        <v>40</v>
      </c>
      <c r="D1856">
        <v>4.7662579999999997</v>
      </c>
      <c r="E1856">
        <v>0.56408000000000003</v>
      </c>
      <c r="F1856" t="s">
        <v>66</v>
      </c>
      <c r="G1856">
        <v>-309.97160000000002</v>
      </c>
      <c r="H1856">
        <v>6.3475390000000007E-2</v>
      </c>
      <c r="I1856">
        <v>294.06549999999999</v>
      </c>
      <c r="J1856">
        <v>-251.3759</v>
      </c>
      <c r="K1856">
        <v>1.106079</v>
      </c>
      <c r="L1856">
        <v>285.09300000000002</v>
      </c>
      <c r="M1856">
        <v>-0.9998956</v>
      </c>
      <c r="N1856">
        <v>-4.1021620000000003E-3</v>
      </c>
      <c r="O1856">
        <v>1.386101E-2</v>
      </c>
      <c r="P1856">
        <v>-0.99656</v>
      </c>
      <c r="Q1856">
        <v>-8.1785919999999998E-2</v>
      </c>
      <c r="R1856">
        <v>-1.338935E-2</v>
      </c>
      <c r="S1856">
        <v>-3.0127109999999999</v>
      </c>
      <c r="T1856">
        <v>-5.3214070000000002E-2</v>
      </c>
      <c r="U1856">
        <v>0.45831300000000003</v>
      </c>
      <c r="V1856">
        <v>-2.7440180000000002E-2</v>
      </c>
      <c r="W1856">
        <v>-7.7614459999999996E-2</v>
      </c>
      <c r="X1856">
        <v>0.99660579999999999</v>
      </c>
      <c r="Y1856">
        <v>0.13665379999999999</v>
      </c>
      <c r="Z1856">
        <v>1.2950010000000001E-3</v>
      </c>
      <c r="AA1856">
        <v>0.99061809999999995</v>
      </c>
      <c r="AB1856">
        <v>44</v>
      </c>
      <c r="AC1856">
        <v>-58.595700000000001</v>
      </c>
      <c r="AD1856">
        <v>-1.04260361</v>
      </c>
      <c r="AE1856">
        <v>8.9724999999999593</v>
      </c>
      <c r="AF1856">
        <v>8.1569123716160501</v>
      </c>
      <c r="AG1856">
        <v>-1.04260361</v>
      </c>
      <c r="AH1856">
        <v>58.696282327771698</v>
      </c>
      <c r="AI1856">
        <v>91.007935773885805</v>
      </c>
      <c r="AJ1856">
        <v>82.088383299149498</v>
      </c>
      <c r="AK1856">
        <v>59.269518311078699</v>
      </c>
      <c r="AL1856">
        <v>94.451457708735802</v>
      </c>
      <c r="AM1856">
        <v>91.577162591838302</v>
      </c>
      <c r="AN1856">
        <v>1.00000004423658</v>
      </c>
    </row>
    <row r="1857" spans="1:40" x14ac:dyDescent="0.25">
      <c r="A1857" t="str">
        <f>"20190305135230004"</f>
        <v>20190305135230004</v>
      </c>
      <c r="B1857" t="str">
        <f>"1551765150001255"</f>
        <v>1551765150001255</v>
      </c>
      <c r="C1857" t="s">
        <v>40</v>
      </c>
      <c r="D1857">
        <v>4.7541739999999999</v>
      </c>
      <c r="E1857">
        <v>0.56409989999999999</v>
      </c>
      <c r="F1857" t="s">
        <v>66</v>
      </c>
      <c r="G1857">
        <v>-309.9769</v>
      </c>
      <c r="H1857">
        <v>6.8852949999999996E-2</v>
      </c>
      <c r="I1857">
        <v>294.1155</v>
      </c>
      <c r="J1857">
        <v>-251.80520000000001</v>
      </c>
      <c r="K1857">
        <v>1.1062459999999901</v>
      </c>
      <c r="L1857">
        <v>285.0992</v>
      </c>
      <c r="M1857">
        <v>-0.99988750000000004</v>
      </c>
      <c r="N1857">
        <v>-4.1571380000000003E-3</v>
      </c>
      <c r="O1857">
        <v>1.441108E-2</v>
      </c>
      <c r="P1857">
        <v>-0.99655139999999998</v>
      </c>
      <c r="Q1857">
        <v>-8.2092429999999994E-2</v>
      </c>
      <c r="R1857">
        <v>-1.21032E-2</v>
      </c>
      <c r="S1857">
        <v>-3.012222</v>
      </c>
      <c r="T1857">
        <v>-5.3315639999999997E-2</v>
      </c>
      <c r="U1857">
        <v>0.46377560000000001</v>
      </c>
      <c r="V1857">
        <v>-2.6669760000000001E-2</v>
      </c>
      <c r="W1857">
        <v>-7.7879740000000003E-2</v>
      </c>
      <c r="X1857">
        <v>0.99660599999999999</v>
      </c>
      <c r="Y1857">
        <v>0.1378875</v>
      </c>
      <c r="Z1857">
        <v>1.307454E-3</v>
      </c>
      <c r="AA1857">
        <v>0.99044699999999997</v>
      </c>
      <c r="AB1857">
        <v>44</v>
      </c>
      <c r="AC1857">
        <v>-58.171699999999902</v>
      </c>
      <c r="AD1857">
        <v>-1.0373930499999999</v>
      </c>
      <c r="AE1857">
        <v>9.0162999999999993</v>
      </c>
      <c r="AF1857">
        <v>8.1745006902388297</v>
      </c>
      <c r="AG1857">
        <v>-1.0373930499999999</v>
      </c>
      <c r="AH1857">
        <v>58.277495816372102</v>
      </c>
      <c r="AI1857">
        <v>91.009925087176796</v>
      </c>
      <c r="AJ1857">
        <v>82.015298340607202</v>
      </c>
      <c r="AK1857">
        <v>58.857158991087701</v>
      </c>
      <c r="AL1857">
        <v>94.466703366916306</v>
      </c>
      <c r="AM1857">
        <v>91.532902753444503</v>
      </c>
      <c r="AN1857">
        <v>1.0000000246184599</v>
      </c>
    </row>
    <row r="1858" spans="1:40" x14ac:dyDescent="0.25">
      <c r="A1858" t="str">
        <f>"20190305135230037"</f>
        <v>20190305135230037</v>
      </c>
      <c r="B1858" t="str">
        <f>"1551765150031510"</f>
        <v>1551765150031510</v>
      </c>
      <c r="C1858" t="s">
        <v>40</v>
      </c>
      <c r="D1858">
        <v>4.718375</v>
      </c>
      <c r="E1858">
        <v>0.56417139999999999</v>
      </c>
      <c r="F1858" t="s">
        <v>66</v>
      </c>
      <c r="G1858">
        <v>-311.82839999999999</v>
      </c>
      <c r="H1858">
        <v>7.9999909999999994E-2</v>
      </c>
      <c r="I1858">
        <v>294.4203</v>
      </c>
      <c r="J1858">
        <v>-252.47909999999999</v>
      </c>
      <c r="K1858">
        <v>1.106568</v>
      </c>
      <c r="L1858">
        <v>285.10910000000001</v>
      </c>
      <c r="M1858">
        <v>-0.99988189999999999</v>
      </c>
      <c r="N1858">
        <v>-4.242483E-3</v>
      </c>
      <c r="O1858">
        <v>1.47771E-2</v>
      </c>
      <c r="P1858">
        <v>-0.9965273</v>
      </c>
      <c r="Q1858">
        <v>-8.2507220000000006E-2</v>
      </c>
      <c r="R1858">
        <v>-1.1222930000000001E-2</v>
      </c>
      <c r="S1858">
        <v>-3.0118260000000001</v>
      </c>
      <c r="T1858">
        <v>-5.1494720000000001E-2</v>
      </c>
      <c r="U1858">
        <v>0.46771239999999997</v>
      </c>
      <c r="V1858">
        <v>-2.6094030000000001E-2</v>
      </c>
      <c r="W1858">
        <v>-7.8231179999999997E-2</v>
      </c>
      <c r="X1858">
        <v>0.99659370000000003</v>
      </c>
      <c r="Y1858">
        <v>0.13881019999999999</v>
      </c>
      <c r="Z1858">
        <v>1.2870169999999999E-3</v>
      </c>
      <c r="AA1858">
        <v>0.99031820000000004</v>
      </c>
      <c r="AB1858">
        <v>44</v>
      </c>
      <c r="AC1858">
        <v>-59.349299999999999</v>
      </c>
      <c r="AD1858">
        <v>-1.02656809</v>
      </c>
      <c r="AE1858">
        <v>9.3111999999999799</v>
      </c>
      <c r="AF1858">
        <v>8.43070318797173</v>
      </c>
      <c r="AG1858">
        <v>-1.02656809</v>
      </c>
      <c r="AH1858">
        <v>59.4630501942884</v>
      </c>
      <c r="AI1858">
        <v>90.979262624643098</v>
      </c>
      <c r="AJ1858">
        <v>81.930358008880106</v>
      </c>
      <c r="AK1858">
        <v>60.066504282299903</v>
      </c>
      <c r="AL1858">
        <v>94.486901086349903</v>
      </c>
      <c r="AM1858">
        <v>91.4998451970243</v>
      </c>
      <c r="AN1858">
        <v>1.0000000094027599</v>
      </c>
    </row>
    <row r="1859" spans="1:40" x14ac:dyDescent="0.25">
      <c r="A1859" t="str">
        <f>"20190305135230059"</f>
        <v>20190305135230059</v>
      </c>
      <c r="B1859" t="str">
        <f>"1551765150051030"</f>
        <v>1551765150051030</v>
      </c>
      <c r="C1859" t="s">
        <v>40</v>
      </c>
      <c r="D1859">
        <v>4.9433259999999999</v>
      </c>
      <c r="E1859">
        <v>0.56417010000000001</v>
      </c>
      <c r="F1859" t="s">
        <v>66</v>
      </c>
      <c r="G1859">
        <v>-313.92739999999998</v>
      </c>
      <c r="H1859">
        <v>7.9999570000000006E-2</v>
      </c>
      <c r="I1859">
        <v>294.71199999999999</v>
      </c>
      <c r="J1859">
        <v>-252.9323</v>
      </c>
      <c r="K1859">
        <v>1.1067959999999999</v>
      </c>
      <c r="L1859">
        <v>285.11559999999997</v>
      </c>
      <c r="M1859">
        <v>-0.99988239999999995</v>
      </c>
      <c r="N1859">
        <v>-4.2993959999999996E-3</v>
      </c>
      <c r="O1859">
        <v>1.472067E-2</v>
      </c>
      <c r="P1859">
        <v>-0.99648840000000005</v>
      </c>
      <c r="Q1859">
        <v>-8.3017960000000002E-2</v>
      </c>
      <c r="R1859">
        <v>-1.0919750000000001E-2</v>
      </c>
      <c r="S1859">
        <v>-3.0115970000000001</v>
      </c>
      <c r="T1859">
        <v>-5.03124E-2</v>
      </c>
      <c r="U1859">
        <v>0.47064210000000001</v>
      </c>
      <c r="V1859">
        <v>-2.5691990000000001E-2</v>
      </c>
      <c r="W1859">
        <v>-7.8700099999999995E-2</v>
      </c>
      <c r="X1859">
        <v>0.99656719999999999</v>
      </c>
      <c r="Y1859">
        <v>0.13981859999999999</v>
      </c>
      <c r="Z1859">
        <v>1.281779E-3</v>
      </c>
      <c r="AA1859">
        <v>0.99017630000000001</v>
      </c>
      <c r="AB1859">
        <v>45</v>
      </c>
      <c r="AC1859">
        <v>-60.995099999999901</v>
      </c>
      <c r="AD1859">
        <v>-1.0267964300000001</v>
      </c>
      <c r="AE1859">
        <v>9.5964000000000098</v>
      </c>
      <c r="AF1859">
        <v>8.6950585837943208</v>
      </c>
      <c r="AG1859">
        <v>-1.0267964300000001</v>
      </c>
      <c r="AH1859">
        <v>61.112857286625399</v>
      </c>
      <c r="AI1859">
        <v>90.952977136220397</v>
      </c>
      <c r="AJ1859">
        <v>81.902379121179095</v>
      </c>
      <c r="AK1859">
        <v>61.736858362081499</v>
      </c>
      <c r="AL1859">
        <v>94.513851430157601</v>
      </c>
      <c r="AM1859">
        <v>91.476786112646806</v>
      </c>
      <c r="AN1859">
        <v>0.99999998410300495</v>
      </c>
    </row>
    <row r="1860" spans="1:40" x14ac:dyDescent="0.25">
      <c r="A1860" t="str">
        <f>"20190305135230082"</f>
        <v>20190305135230082</v>
      </c>
      <c r="B1860" t="str">
        <f>"1551765150071529"</f>
        <v>1551765150071529</v>
      </c>
      <c r="C1860" t="s">
        <v>40</v>
      </c>
      <c r="D1860">
        <v>4.9006800000000004</v>
      </c>
      <c r="E1860">
        <v>0.56429359999999995</v>
      </c>
      <c r="F1860" t="s">
        <v>47</v>
      </c>
      <c r="G1860">
        <v>-326.36099999999999</v>
      </c>
      <c r="H1860">
        <v>-0.05</v>
      </c>
      <c r="I1860">
        <v>296.60660000000001</v>
      </c>
      <c r="J1860">
        <v>-253.37180000000001</v>
      </c>
      <c r="K1860">
        <v>1.1070180000000001</v>
      </c>
      <c r="L1860">
        <v>285.12180000000001</v>
      </c>
      <c r="M1860">
        <v>-0.99988650000000001</v>
      </c>
      <c r="N1860">
        <v>-4.3538049999999997E-3</v>
      </c>
      <c r="O1860">
        <v>1.443472E-2</v>
      </c>
      <c r="P1860">
        <v>-0.99642120000000001</v>
      </c>
      <c r="Q1860">
        <v>-8.3643839999999997E-2</v>
      </c>
      <c r="R1860">
        <v>-1.219689E-2</v>
      </c>
      <c r="S1860">
        <v>-3.011765</v>
      </c>
      <c r="T1860">
        <v>-4.7447320000000001E-2</v>
      </c>
      <c r="U1860">
        <v>0.4713135</v>
      </c>
      <c r="V1860">
        <v>-2.6641140000000001E-2</v>
      </c>
      <c r="W1860">
        <v>-7.9285149999999999E-2</v>
      </c>
      <c r="X1860">
        <v>0.99649589999999999</v>
      </c>
      <c r="Y1860">
        <v>0.14031089999999999</v>
      </c>
      <c r="Z1860">
        <v>1.2423289999999999E-3</v>
      </c>
      <c r="AA1860">
        <v>0.99010670000000001</v>
      </c>
      <c r="AB1860">
        <v>45</v>
      </c>
      <c r="AC1860">
        <v>-72.989199999999897</v>
      </c>
      <c r="AD1860">
        <v>-1.1570180000000001</v>
      </c>
      <c r="AE1860">
        <v>11.4848</v>
      </c>
      <c r="AF1860">
        <v>10.4274580094852</v>
      </c>
      <c r="AG1860">
        <v>-1.1570180000000001</v>
      </c>
      <c r="AH1860">
        <v>73.129444619128094</v>
      </c>
      <c r="AI1860">
        <v>90.897354994849493</v>
      </c>
      <c r="AJ1860">
        <v>81.884951607763199</v>
      </c>
      <c r="AK1860">
        <v>73.878185152953094</v>
      </c>
      <c r="AL1860">
        <v>94.547477410838198</v>
      </c>
      <c r="AM1860">
        <v>91.531427643830298</v>
      </c>
      <c r="AN1860">
        <v>0.99999998203391505</v>
      </c>
    </row>
    <row r="1861" spans="1:40" x14ac:dyDescent="0.25">
      <c r="A1861" t="str">
        <f>"20190305135230103"</f>
        <v>20190305135230103</v>
      </c>
      <c r="B1861" t="str">
        <f>"1551765150101782"</f>
        <v>1551765150101782</v>
      </c>
      <c r="C1861" t="s">
        <v>40</v>
      </c>
      <c r="D1861">
        <v>4.6828640000000004</v>
      </c>
      <c r="E1861">
        <v>0.56448609999999999</v>
      </c>
      <c r="F1861" t="s">
        <v>47</v>
      </c>
      <c r="G1861">
        <v>-330.90300000000002</v>
      </c>
      <c r="H1861">
        <v>-0.05</v>
      </c>
      <c r="I1861">
        <v>297.1739</v>
      </c>
      <c r="J1861">
        <v>-253.81049999999999</v>
      </c>
      <c r="K1861">
        <v>1.107243</v>
      </c>
      <c r="L1861">
        <v>285.12779999999998</v>
      </c>
      <c r="M1861">
        <v>-0.99989340000000004</v>
      </c>
      <c r="N1861">
        <v>-4.4073259999999996E-3</v>
      </c>
      <c r="O1861">
        <v>1.392788E-2</v>
      </c>
      <c r="P1861">
        <v>-0.99643349999999997</v>
      </c>
      <c r="Q1861">
        <v>-8.3188040000000005E-2</v>
      </c>
      <c r="R1861">
        <v>-1.4146540000000001E-2</v>
      </c>
      <c r="S1861">
        <v>-3.0127259999999998</v>
      </c>
      <c r="T1861">
        <v>-4.4959659999999999E-2</v>
      </c>
      <c r="U1861">
        <v>0.46832279999999998</v>
      </c>
      <c r="V1861">
        <v>-2.804253E-2</v>
      </c>
      <c r="W1861">
        <v>-7.8790199999999894E-2</v>
      </c>
      <c r="X1861">
        <v>0.99649670000000001</v>
      </c>
      <c r="Y1861">
        <v>0.13980680000000001</v>
      </c>
      <c r="Z1861">
        <v>1.201349E-3</v>
      </c>
      <c r="AA1861">
        <v>0.990178</v>
      </c>
      <c r="AB1861">
        <v>45</v>
      </c>
      <c r="AC1861">
        <v>-77.092500000000001</v>
      </c>
      <c r="AD1861">
        <v>-1.157243</v>
      </c>
      <c r="AE1861">
        <v>12.046099999999999</v>
      </c>
      <c r="AF1861">
        <v>10.9687734172127</v>
      </c>
      <c r="AG1861">
        <v>-1.157243</v>
      </c>
      <c r="AH1861">
        <v>77.235811330816503</v>
      </c>
      <c r="AI1861">
        <v>90.849885897409607</v>
      </c>
      <c r="AJ1861">
        <v>81.917095125583998</v>
      </c>
      <c r="AK1861">
        <v>78.019380627948394</v>
      </c>
      <c r="AL1861">
        <v>94.519029896348499</v>
      </c>
      <c r="AM1861">
        <v>91.611941800810996</v>
      </c>
      <c r="AN1861">
        <v>0.99999997610786495</v>
      </c>
    </row>
    <row r="1862" spans="1:40" x14ac:dyDescent="0.25">
      <c r="A1862" t="str">
        <f>"20190305135230127"</f>
        <v>20190305135230127</v>
      </c>
      <c r="B1862" t="str">
        <f>"1551765150121304"</f>
        <v>1551765150121304</v>
      </c>
      <c r="C1862" t="s">
        <v>40</v>
      </c>
      <c r="D1862">
        <v>4.8094239999999999</v>
      </c>
      <c r="E1862">
        <v>0.56448419999999999</v>
      </c>
      <c r="F1862" t="s">
        <v>47</v>
      </c>
      <c r="G1862">
        <v>-343.74400000000003</v>
      </c>
      <c r="H1862">
        <v>-0.05</v>
      </c>
      <c r="I1862">
        <v>298.96940000000001</v>
      </c>
      <c r="J1862">
        <v>-254.26679999999999</v>
      </c>
      <c r="K1862">
        <v>1.107472</v>
      </c>
      <c r="L1862">
        <v>285.13369999999998</v>
      </c>
      <c r="M1862">
        <v>-0.99990310000000004</v>
      </c>
      <c r="N1862">
        <v>-4.461858E-3</v>
      </c>
      <c r="O1862">
        <v>1.3191299999999901E-2</v>
      </c>
      <c r="P1862">
        <v>-0.99643709999999996</v>
      </c>
      <c r="Q1862">
        <v>-8.2702139999999993E-2</v>
      </c>
      <c r="R1862">
        <v>-1.6540699999999998E-2</v>
      </c>
      <c r="S1862">
        <v>-3.0140989999999999</v>
      </c>
      <c r="T1862">
        <v>-3.8784739999999998E-2</v>
      </c>
      <c r="U1862">
        <v>0.46389770000000002</v>
      </c>
      <c r="V1862">
        <v>-2.9659290000000001E-2</v>
      </c>
      <c r="W1862">
        <v>-7.8266039999999995E-2</v>
      </c>
      <c r="X1862">
        <v>0.99649120000000002</v>
      </c>
      <c r="Y1862">
        <v>0.13905219999999999</v>
      </c>
      <c r="Z1862">
        <v>1.0912560000000001E-3</v>
      </c>
      <c r="AA1862">
        <v>0.99028439999999995</v>
      </c>
      <c r="AB1862">
        <v>45</v>
      </c>
      <c r="AC1862">
        <v>-89.477199999999996</v>
      </c>
      <c r="AD1862">
        <v>-1.1574719999999901</v>
      </c>
      <c r="AE1862">
        <v>13.835699999999999</v>
      </c>
      <c r="AF1862">
        <v>12.6520961390389</v>
      </c>
      <c r="AG1862">
        <v>-1.1574719999999901</v>
      </c>
      <c r="AH1862">
        <v>89.637277688915503</v>
      </c>
      <c r="AI1862">
        <v>90.732549842401099</v>
      </c>
      <c r="AJ1862">
        <v>81.965905166293098</v>
      </c>
      <c r="AK1862">
        <v>90.533180821298998</v>
      </c>
      <c r="AL1862">
        <v>94.488904696456601</v>
      </c>
      <c r="AM1862">
        <v>91.704832516268397</v>
      </c>
      <c r="AN1862">
        <v>0.99999997908901195</v>
      </c>
    </row>
    <row r="1863" spans="1:40" x14ac:dyDescent="0.25">
      <c r="A1863" t="str">
        <f>"20190305135230150"</f>
        <v>20190305135230150</v>
      </c>
      <c r="B1863" t="str">
        <f>"1551765150141798"</f>
        <v>1551765150141798</v>
      </c>
      <c r="C1863" t="s">
        <v>40</v>
      </c>
      <c r="D1863">
        <v>4.6897060000000002</v>
      </c>
      <c r="E1863">
        <v>0.52362259999999905</v>
      </c>
      <c r="F1863" t="s">
        <v>47</v>
      </c>
      <c r="G1863">
        <v>-349.41590000000002</v>
      </c>
      <c r="H1863">
        <v>-0.05</v>
      </c>
      <c r="I1863">
        <v>299.54899999999998</v>
      </c>
      <c r="J1863">
        <v>-254.7568</v>
      </c>
      <c r="K1863">
        <v>1.1077049999999999</v>
      </c>
      <c r="L1863">
        <v>285.13940000000002</v>
      </c>
      <c r="M1863">
        <v>-0.99991529999999995</v>
      </c>
      <c r="N1863">
        <v>-4.5185980000000004E-3</v>
      </c>
      <c r="O1863">
        <v>1.221537E-2</v>
      </c>
      <c r="P1863">
        <v>-0.99648780000000003</v>
      </c>
      <c r="Q1863">
        <v>-8.166561E-2</v>
      </c>
      <c r="R1863">
        <v>-1.8524229999999999E-2</v>
      </c>
      <c r="S1863">
        <v>-3.0152589999999999</v>
      </c>
      <c r="T1863">
        <v>-3.66801E-2</v>
      </c>
      <c r="U1863">
        <v>0.45681759999999899</v>
      </c>
      <c r="V1863">
        <v>-3.062929E-2</v>
      </c>
      <c r="W1863">
        <v>-7.7189649999999999E-2</v>
      </c>
      <c r="X1863">
        <v>0.99654589999999998</v>
      </c>
      <c r="Y1863">
        <v>0.13769039999999999</v>
      </c>
      <c r="Z1863">
        <v>1.0527570000000001E-3</v>
      </c>
      <c r="AA1863">
        <v>0.99047479999999999</v>
      </c>
      <c r="AB1863">
        <v>45</v>
      </c>
      <c r="AC1863">
        <v>-94.659099999999995</v>
      </c>
      <c r="AD1863">
        <v>-1.157705</v>
      </c>
      <c r="AE1863">
        <v>14.409599999999999</v>
      </c>
      <c r="AF1863">
        <v>13.2502801977709</v>
      </c>
      <c r="AG1863">
        <v>-1.157705</v>
      </c>
      <c r="AH1863">
        <v>94.814196645939504</v>
      </c>
      <c r="AI1863">
        <v>90.692828888265694</v>
      </c>
      <c r="AJ1863">
        <v>82.0444409226819</v>
      </c>
      <c r="AK1863">
        <v>95.742582437499294</v>
      </c>
      <c r="AL1863">
        <v>94.427044565549394</v>
      </c>
      <c r="AM1863">
        <v>91.760457547413594</v>
      </c>
      <c r="AN1863">
        <v>1.00000006313991</v>
      </c>
    </row>
    <row r="1864" spans="1:40" x14ac:dyDescent="0.25">
      <c r="A1864" t="str">
        <f>"20190305135230171"</f>
        <v>20190305135230171</v>
      </c>
      <c r="B1864" t="str">
        <f>"1551765150161319"</f>
        <v>1551765150161319</v>
      </c>
      <c r="C1864" t="s">
        <v>40</v>
      </c>
      <c r="D1864">
        <v>4.7490829999999997</v>
      </c>
      <c r="E1864">
        <v>0.50943159999999998</v>
      </c>
      <c r="F1864" t="s">
        <v>66</v>
      </c>
      <c r="G1864">
        <v>-284.31319999999999</v>
      </c>
      <c r="H1864" s="1">
        <v>6.1213339999999998E-6</v>
      </c>
      <c r="I1864">
        <v>286.39830000000001</v>
      </c>
      <c r="J1864">
        <v>-255.1755</v>
      </c>
      <c r="K1864">
        <v>1.1078790000000001</v>
      </c>
      <c r="L1864">
        <v>285.14400000000001</v>
      </c>
      <c r="M1864">
        <v>-0.99992590000000003</v>
      </c>
      <c r="N1864">
        <v>-4.5655050000000001E-3</v>
      </c>
      <c r="O1864">
        <v>1.1283609999999999E-2</v>
      </c>
      <c r="P1864">
        <v>-0.99648320000000001</v>
      </c>
      <c r="Q1864">
        <v>-8.1146419999999997E-2</v>
      </c>
      <c r="R1864">
        <v>-2.0890780000000001E-2</v>
      </c>
      <c r="S1864">
        <v>-3.003708</v>
      </c>
      <c r="T1864">
        <v>-0.1125712</v>
      </c>
      <c r="U1864">
        <v>0.12792970000000001</v>
      </c>
      <c r="V1864">
        <v>-3.2036710000000003E-2</v>
      </c>
      <c r="W1864">
        <v>-7.6638079999999997E-2</v>
      </c>
      <c r="X1864">
        <v>0.99654419999999999</v>
      </c>
      <c r="Y1864">
        <v>3.125733E-2</v>
      </c>
      <c r="Z1864">
        <v>2.8563679999999998E-4</v>
      </c>
      <c r="AA1864">
        <v>0.99951129999999999</v>
      </c>
      <c r="AB1864">
        <v>45</v>
      </c>
      <c r="AC1864">
        <v>-29.137699999999899</v>
      </c>
      <c r="AD1864">
        <v>-1.1078728786659999</v>
      </c>
      <c r="AE1864">
        <v>1.2543</v>
      </c>
      <c r="AF1864">
        <v>0.92410479239999199</v>
      </c>
      <c r="AG1864">
        <v>-1.1078728786659999</v>
      </c>
      <c r="AH1864">
        <v>29.107995441167301</v>
      </c>
      <c r="AI1864">
        <v>92.178573140994004</v>
      </c>
      <c r="AJ1864">
        <v>88.181615537795096</v>
      </c>
      <c r="AK1864">
        <v>29.143725749904402</v>
      </c>
      <c r="AL1864">
        <v>94.395348123597302</v>
      </c>
      <c r="AM1864">
        <v>91.841299485140894</v>
      </c>
      <c r="AN1864">
        <v>1.0000000443236701</v>
      </c>
    </row>
    <row r="1865" spans="1:40" x14ac:dyDescent="0.25">
      <c r="A1865" t="str">
        <f>"20190305135230193"</f>
        <v>20190305135230193</v>
      </c>
      <c r="B1865" t="str">
        <f>"1551765150181819"</f>
        <v>1551765150181819</v>
      </c>
      <c r="C1865" t="s">
        <v>40</v>
      </c>
      <c r="D1865">
        <v>4.6442180000000004</v>
      </c>
      <c r="E1865">
        <v>0.50407029999999997</v>
      </c>
      <c r="F1865" t="s">
        <v>56</v>
      </c>
      <c r="G1865">
        <v>-279.15679999999998</v>
      </c>
      <c r="H1865" s="1">
        <v>3.3099089999999999E-6</v>
      </c>
      <c r="I1865">
        <v>285.2131</v>
      </c>
      <c r="J1865">
        <v>-255.62260000000001</v>
      </c>
      <c r="K1865">
        <v>1.108034</v>
      </c>
      <c r="L1865">
        <v>285.14839999999998</v>
      </c>
      <c r="M1865">
        <v>-0.99993719999999997</v>
      </c>
      <c r="N1865">
        <v>-4.6138000000000004E-3</v>
      </c>
      <c r="O1865">
        <v>1.021474E-2</v>
      </c>
      <c r="P1865">
        <v>-0.99645139999999999</v>
      </c>
      <c r="Q1865">
        <v>-8.1102300000000002E-2</v>
      </c>
      <c r="R1865">
        <v>-2.2518409999999999E-2</v>
      </c>
      <c r="S1865">
        <v>-2.9994809999999998</v>
      </c>
      <c r="T1865">
        <v>-0.13856859999999999</v>
      </c>
      <c r="U1865">
        <v>8.6364749999999994E-3</v>
      </c>
      <c r="V1865">
        <v>-3.257007E-2</v>
      </c>
      <c r="W1865">
        <v>-7.6558989999999993E-2</v>
      </c>
      <c r="X1865">
        <v>0.99653290000000005</v>
      </c>
      <c r="Y1865">
        <v>-7.3182350000000002E-3</v>
      </c>
      <c r="Z1865">
        <v>-6.1037259999999996E-4</v>
      </c>
      <c r="AA1865">
        <v>0.99997309999999995</v>
      </c>
      <c r="AB1865">
        <v>45</v>
      </c>
      <c r="AC1865">
        <v>-23.534199999999899</v>
      </c>
      <c r="AD1865">
        <v>-1.108030690091</v>
      </c>
      <c r="AE1865">
        <v>6.4700000000016106E-2</v>
      </c>
      <c r="AF1865">
        <v>-0.17531305304053901</v>
      </c>
      <c r="AG1865">
        <v>-1.108030690091</v>
      </c>
      <c r="AH1865">
        <v>23.481582089297302</v>
      </c>
      <c r="AI1865">
        <v>92.701549653314302</v>
      </c>
      <c r="AJ1865">
        <v>90.427761271254695</v>
      </c>
      <c r="AK1865">
        <v>23.508363705140301</v>
      </c>
      <c r="AL1865">
        <v>94.390803642575307</v>
      </c>
      <c r="AM1865">
        <v>91.8719537577132</v>
      </c>
      <c r="AN1865">
        <v>0.99999995459601598</v>
      </c>
    </row>
    <row r="1866" spans="1:40" x14ac:dyDescent="0.25">
      <c r="A1866" t="str">
        <f>"20190305135230216"</f>
        <v>20190305135230216</v>
      </c>
      <c r="B1866" t="str">
        <f>"1551765150211096"</f>
        <v>1551765150211096</v>
      </c>
      <c r="C1866" t="s">
        <v>40</v>
      </c>
      <c r="D1866">
        <v>4.6080110000000003</v>
      </c>
      <c r="E1866">
        <v>0.50151000000000001</v>
      </c>
      <c r="F1866" t="s">
        <v>56</v>
      </c>
      <c r="G1866">
        <v>-277.47309999999999</v>
      </c>
      <c r="H1866" s="1">
        <v>2.4289370000000001E-6</v>
      </c>
      <c r="I1866">
        <v>284.86970000000002</v>
      </c>
      <c r="J1866">
        <v>-256.08359999999999</v>
      </c>
      <c r="K1866">
        <v>1.108171</v>
      </c>
      <c r="L1866">
        <v>285.15260000000001</v>
      </c>
      <c r="M1866">
        <v>-0.99994819999999995</v>
      </c>
      <c r="N1866">
        <v>-4.6620409999999996E-3</v>
      </c>
      <c r="O1866">
        <v>9.0612420000000006E-3</v>
      </c>
      <c r="P1866">
        <v>-0.99638749999999998</v>
      </c>
      <c r="Q1866">
        <v>-8.1552059999999996E-2</v>
      </c>
      <c r="R1866">
        <v>-2.3695480000000001E-2</v>
      </c>
      <c r="S1866">
        <v>-2.9974370000000001</v>
      </c>
      <c r="T1866">
        <v>-0.15199939999999901</v>
      </c>
      <c r="U1866">
        <v>-3.823853E-2</v>
      </c>
      <c r="V1866">
        <v>-3.2570929999999998E-2</v>
      </c>
      <c r="W1866">
        <v>-7.6971719999999993E-2</v>
      </c>
      <c r="X1866">
        <v>0.99650110000000003</v>
      </c>
      <c r="Y1866">
        <v>-2.1775969999999999E-2</v>
      </c>
      <c r="Z1866">
        <v>-1.0195130000000001E-3</v>
      </c>
      <c r="AA1866">
        <v>0.99976240000000005</v>
      </c>
      <c r="AB1866">
        <v>46</v>
      </c>
      <c r="AC1866">
        <v>-21.389500000000002</v>
      </c>
      <c r="AD1866">
        <v>-1.108168571063</v>
      </c>
      <c r="AE1866">
        <v>-0.282899999999983</v>
      </c>
      <c r="AF1866">
        <v>-0.47542999123569202</v>
      </c>
      <c r="AG1866">
        <v>-1.108168571063</v>
      </c>
      <c r="AH1866">
        <v>21.3288181956537</v>
      </c>
      <c r="AI1866">
        <v>92.973470708601596</v>
      </c>
      <c r="AJ1866">
        <v>91.276940029134494</v>
      </c>
      <c r="AK1866">
        <v>21.362878010270698</v>
      </c>
      <c r="AL1866">
        <v>94.414521219431606</v>
      </c>
      <c r="AM1866">
        <v>91.872062846966898</v>
      </c>
      <c r="AN1866">
        <v>0.99999997673101604</v>
      </c>
    </row>
    <row r="1867" spans="1:40" x14ac:dyDescent="0.25">
      <c r="A1867" t="str">
        <f>"20190305135230238"</f>
        <v>20190305135230238</v>
      </c>
      <c r="B1867" t="str">
        <f>"1551765150231590"</f>
        <v>1551765150231590</v>
      </c>
      <c r="C1867" t="s">
        <v>40</v>
      </c>
      <c r="D1867">
        <v>4.5690150000000003</v>
      </c>
      <c r="E1867">
        <v>0.50080539999999996</v>
      </c>
      <c r="F1867" t="s">
        <v>56</v>
      </c>
      <c r="G1867">
        <v>-276.8569</v>
      </c>
      <c r="H1867" s="1">
        <v>2.1074200000000001E-6</v>
      </c>
      <c r="I1867">
        <v>284.7242</v>
      </c>
      <c r="J1867">
        <v>-256.55220000000003</v>
      </c>
      <c r="K1867">
        <v>1.108282</v>
      </c>
      <c r="L1867">
        <v>285.15620000000001</v>
      </c>
      <c r="M1867">
        <v>-0.99995800000000001</v>
      </c>
      <c r="N1867">
        <v>-4.7098510000000001E-3</v>
      </c>
      <c r="O1867">
        <v>7.8642190000000004E-3</v>
      </c>
      <c r="P1867">
        <v>-0.99631170000000002</v>
      </c>
      <c r="Q1867">
        <v>-8.2299079999999997E-2</v>
      </c>
      <c r="R1867">
        <v>-2.4286019999999998E-2</v>
      </c>
      <c r="S1867">
        <v>-2.9963380000000002</v>
      </c>
      <c r="T1867">
        <v>-0.1598417</v>
      </c>
      <c r="U1867">
        <v>-6.1798100000000002E-2</v>
      </c>
      <c r="V1867">
        <v>-3.1945269999999998E-2</v>
      </c>
      <c r="W1867">
        <v>-7.7679120000000004E-2</v>
      </c>
      <c r="X1867">
        <v>0.99646650000000003</v>
      </c>
      <c r="Y1867">
        <v>-2.842888E-2</v>
      </c>
      <c r="Z1867">
        <v>-1.2068409999999999E-3</v>
      </c>
      <c r="AA1867">
        <v>0.99959509999999996</v>
      </c>
      <c r="AB1867">
        <v>46</v>
      </c>
      <c r="AC1867">
        <v>-20.304699999999901</v>
      </c>
      <c r="AD1867">
        <v>-1.1082798925799999</v>
      </c>
      <c r="AE1867">
        <v>-0.43200000000001598</v>
      </c>
      <c r="AF1867">
        <v>-0.58991232072187705</v>
      </c>
      <c r="AG1867">
        <v>-1.1082798925799999</v>
      </c>
      <c r="AH1867">
        <v>20.240400949506199</v>
      </c>
      <c r="AI1867">
        <v>93.132820372725703</v>
      </c>
      <c r="AJ1867">
        <v>91.669429420843599</v>
      </c>
      <c r="AK1867">
        <v>20.2793025388746</v>
      </c>
      <c r="AL1867">
        <v>94.455173799414098</v>
      </c>
      <c r="AM1867">
        <v>91.836190671926701</v>
      </c>
      <c r="AN1867">
        <v>1.00000001579079</v>
      </c>
    </row>
    <row r="1868" spans="1:40" x14ac:dyDescent="0.25">
      <c r="A1868" t="str">
        <f>"20190305135230260"</f>
        <v>20190305135230260</v>
      </c>
      <c r="B1868" t="str">
        <f>"1551765150251111"</f>
        <v>1551765150251111</v>
      </c>
      <c r="C1868" t="s">
        <v>40</v>
      </c>
      <c r="D1868">
        <v>4.5330890000000004</v>
      </c>
      <c r="E1868">
        <v>0.50023709999999999</v>
      </c>
      <c r="F1868" t="s">
        <v>56</v>
      </c>
      <c r="G1868">
        <v>-276.78550000000001</v>
      </c>
      <c r="H1868" s="1">
        <v>2.0708740000000001E-6</v>
      </c>
      <c r="I1868">
        <v>284.69</v>
      </c>
      <c r="J1868">
        <v>-257.00450000000001</v>
      </c>
      <c r="K1868">
        <v>1.1083670000000001</v>
      </c>
      <c r="L1868">
        <v>285.1592</v>
      </c>
      <c r="M1868">
        <v>-0.99996629999999997</v>
      </c>
      <c r="N1868">
        <v>-4.7552209999999996E-3</v>
      </c>
      <c r="O1868">
        <v>6.71084E-3</v>
      </c>
      <c r="P1868">
        <v>-0.99622670000000002</v>
      </c>
      <c r="Q1868">
        <v>-8.3115149999999999E-2</v>
      </c>
      <c r="R1868">
        <v>-2.4986270000000001E-2</v>
      </c>
      <c r="S1868">
        <v>-2.9958800000000001</v>
      </c>
      <c r="T1868">
        <v>-0.16409969999999999</v>
      </c>
      <c r="U1868">
        <v>-6.9030759999999997E-2</v>
      </c>
      <c r="V1868">
        <v>-3.147722E-2</v>
      </c>
      <c r="W1868">
        <v>-7.8456020000000001E-2</v>
      </c>
      <c r="X1868">
        <v>0.99642050000000004</v>
      </c>
      <c r="Y1868">
        <v>-2.9687660000000001E-2</v>
      </c>
      <c r="Z1868">
        <v>-1.218392E-3</v>
      </c>
      <c r="AA1868">
        <v>0.99955850000000002</v>
      </c>
      <c r="AB1868">
        <v>46</v>
      </c>
      <c r="AC1868">
        <v>-19.780999999999999</v>
      </c>
      <c r="AD1868">
        <v>-1.108364929126</v>
      </c>
      <c r="AE1868">
        <v>-0.46920000000000001</v>
      </c>
      <c r="AF1868">
        <v>-0.60005519360802995</v>
      </c>
      <c r="AG1868">
        <v>-1.108364929126</v>
      </c>
      <c r="AH1868">
        <v>19.715542439250601</v>
      </c>
      <c r="AI1868">
        <v>93.216171116528201</v>
      </c>
      <c r="AJ1868">
        <v>91.743295684303604</v>
      </c>
      <c r="AK1868">
        <v>19.7557878285171</v>
      </c>
      <c r="AL1868">
        <v>94.499823284617804</v>
      </c>
      <c r="AM1868">
        <v>91.809388987299599</v>
      </c>
      <c r="AN1868">
        <v>0.99999998763670905</v>
      </c>
    </row>
    <row r="1869" spans="1:40" x14ac:dyDescent="0.25">
      <c r="A1869" t="str">
        <f>"20190305135230282"</f>
        <v>20190305135230282</v>
      </c>
      <c r="B1869" t="str">
        <f>"1551765150271607"</f>
        <v>1551765150271607</v>
      </c>
      <c r="C1869" t="s">
        <v>40</v>
      </c>
      <c r="D1869">
        <v>4.5376399999999997</v>
      </c>
      <c r="E1869">
        <v>0.49982100000000002</v>
      </c>
      <c r="F1869" t="s">
        <v>56</v>
      </c>
      <c r="G1869">
        <v>-276.67230000000001</v>
      </c>
      <c r="H1869" s="1">
        <v>2.0118489999999998E-6</v>
      </c>
      <c r="I1869">
        <v>284.66329999999999</v>
      </c>
      <c r="J1869">
        <v>-257.44560000000001</v>
      </c>
      <c r="K1869">
        <v>1.1084210000000001</v>
      </c>
      <c r="L1869">
        <v>285.1617</v>
      </c>
      <c r="M1869">
        <v>-0.9999728</v>
      </c>
      <c r="N1869">
        <v>-4.7984059999999999E-3</v>
      </c>
      <c r="O1869">
        <v>5.6077180000000003E-3</v>
      </c>
      <c r="P1869">
        <v>-0.99614639999999999</v>
      </c>
      <c r="Q1869">
        <v>-8.3746810000000005E-2</v>
      </c>
      <c r="R1869">
        <v>-2.605613E-2</v>
      </c>
      <c r="S1869">
        <v>-2.9953919999999998</v>
      </c>
      <c r="T1869">
        <v>-0.16880290000000001</v>
      </c>
      <c r="U1869">
        <v>-7.5531009999999996E-2</v>
      </c>
      <c r="V1869">
        <v>-3.1433929999999999E-2</v>
      </c>
      <c r="W1869">
        <v>-7.9049800000000003E-2</v>
      </c>
      <c r="X1869">
        <v>0.99637500000000001</v>
      </c>
      <c r="Y1869">
        <v>-3.0752959999999999E-2</v>
      </c>
      <c r="Z1869">
        <v>-1.2284010000000001E-3</v>
      </c>
      <c r="AA1869">
        <v>0.99952629999999998</v>
      </c>
      <c r="AB1869">
        <v>46</v>
      </c>
      <c r="AC1869">
        <v>-19.226699999999902</v>
      </c>
      <c r="AD1869">
        <v>-1.10841898815099</v>
      </c>
      <c r="AE1869">
        <v>-0.49840000000000301</v>
      </c>
      <c r="AF1869">
        <v>-0.60420457426878205</v>
      </c>
      <c r="AG1869">
        <v>-1.10841898815099</v>
      </c>
      <c r="AH1869">
        <v>19.159966976067</v>
      </c>
      <c r="AI1869">
        <v>93.309273758524697</v>
      </c>
      <c r="AJ1869">
        <v>91.806208938537793</v>
      </c>
      <c r="AK1869">
        <v>19.201510105844299</v>
      </c>
      <c r="AL1869">
        <v>94.533950075343</v>
      </c>
      <c r="AM1869">
        <v>91.806984679462701</v>
      </c>
      <c r="AN1869">
        <v>1.0000000517301399</v>
      </c>
    </row>
    <row r="1870" spans="1:40" x14ac:dyDescent="0.25">
      <c r="A1870" t="str">
        <f>"20190305135230304"</f>
        <v>20190305135230304</v>
      </c>
      <c r="B1870" t="str">
        <f>"1551765150301862"</f>
        <v>1551765150301862</v>
      </c>
      <c r="C1870" t="s">
        <v>40</v>
      </c>
      <c r="D1870">
        <v>4.5267489999999997</v>
      </c>
      <c r="E1870">
        <v>0.4996738</v>
      </c>
      <c r="F1870" t="s">
        <v>56</v>
      </c>
      <c r="G1870">
        <v>-276.50150000000002</v>
      </c>
      <c r="H1870" s="1">
        <v>1.922009E-6</v>
      </c>
      <c r="I1870">
        <v>284.63850000000002</v>
      </c>
      <c r="J1870">
        <v>-257.90989999999999</v>
      </c>
      <c r="K1870">
        <v>1.108466</v>
      </c>
      <c r="L1870">
        <v>285.16379999999998</v>
      </c>
      <c r="M1870">
        <v>-0.99997820000000004</v>
      </c>
      <c r="N1870">
        <v>-4.8451680000000004E-3</v>
      </c>
      <c r="O1870">
        <v>4.4861900000000001E-3</v>
      </c>
      <c r="P1870">
        <v>-0.99607489999999999</v>
      </c>
      <c r="Q1870">
        <v>-8.4214520000000001E-2</v>
      </c>
      <c r="R1870">
        <v>-2.725756E-2</v>
      </c>
      <c r="S1870">
        <v>-2.9947810000000001</v>
      </c>
      <c r="T1870">
        <v>-0.17419709999999999</v>
      </c>
      <c r="U1870">
        <v>-8.221436E-2</v>
      </c>
      <c r="V1870">
        <v>-3.1507460000000001E-2</v>
      </c>
      <c r="W1870">
        <v>-7.9474959999999997E-2</v>
      </c>
      <c r="X1870">
        <v>0.99633879999999997</v>
      </c>
      <c r="Y1870">
        <v>-3.1861800000000003E-2</v>
      </c>
      <c r="Z1870">
        <v>-1.2419340000000001E-3</v>
      </c>
      <c r="AA1870">
        <v>0.99949149999999998</v>
      </c>
      <c r="AB1870">
        <v>46</v>
      </c>
      <c r="AC1870">
        <v>-18.5916</v>
      </c>
      <c r="AD1870">
        <v>-1.108464077991</v>
      </c>
      <c r="AE1870">
        <v>-0.52529999999995802</v>
      </c>
      <c r="AF1870">
        <v>-0.60654673739549003</v>
      </c>
      <c r="AG1870">
        <v>-1.108464077991</v>
      </c>
      <c r="AH1870">
        <v>18.523263141311499</v>
      </c>
      <c r="AI1870">
        <v>93.422764336424706</v>
      </c>
      <c r="AJ1870">
        <v>91.8754878540947</v>
      </c>
      <c r="AK1870">
        <v>18.566310052326202</v>
      </c>
      <c r="AL1870">
        <v>94.558387081810594</v>
      </c>
      <c r="AM1870">
        <v>91.811274514483401</v>
      </c>
      <c r="AN1870">
        <v>0.99999999684404595</v>
      </c>
    </row>
    <row r="1871" spans="1:40" x14ac:dyDescent="0.25">
      <c r="A1871" t="str">
        <f>"20190305135230329"</f>
        <v>20190305135230329</v>
      </c>
      <c r="B1871" t="str">
        <f>"1551765150321383"</f>
        <v>1551765150321383</v>
      </c>
      <c r="C1871" t="s">
        <v>40</v>
      </c>
      <c r="D1871">
        <v>4.5956409999999996</v>
      </c>
      <c r="E1871">
        <v>0.49960650000000001</v>
      </c>
      <c r="F1871" t="s">
        <v>56</v>
      </c>
      <c r="G1871">
        <v>-276.02670000000001</v>
      </c>
      <c r="H1871" s="1">
        <v>1.6693690000000001E-6</v>
      </c>
      <c r="I1871">
        <v>284.6386</v>
      </c>
      <c r="J1871">
        <v>-258.4024</v>
      </c>
      <c r="K1871">
        <v>1.1085</v>
      </c>
      <c r="L1871">
        <v>285.16539999999998</v>
      </c>
      <c r="M1871">
        <v>-0.99998240000000005</v>
      </c>
      <c r="N1871">
        <v>-4.903274E-3</v>
      </c>
      <c r="O1871">
        <v>3.3558580000000002E-3</v>
      </c>
      <c r="P1871">
        <v>-0.99604649999999995</v>
      </c>
      <c r="Q1871">
        <v>-8.4066550000000004E-2</v>
      </c>
      <c r="R1871">
        <v>-2.8710900000000001E-2</v>
      </c>
      <c r="S1871">
        <v>-2.9939580000000001</v>
      </c>
      <c r="T1871">
        <v>-0.18318309999999999</v>
      </c>
      <c r="U1871">
        <v>-8.6791989999999999E-2</v>
      </c>
      <c r="V1871">
        <v>-3.1830079999999997E-2</v>
      </c>
      <c r="W1871">
        <v>-7.9272049999999997E-2</v>
      </c>
      <c r="X1871">
        <v>0.99634469999999997</v>
      </c>
      <c r="Y1871">
        <v>-3.2260780000000003E-2</v>
      </c>
      <c r="Z1871">
        <v>-1.2536419999999999E-3</v>
      </c>
      <c r="AA1871">
        <v>0.99947870000000005</v>
      </c>
      <c r="AB1871">
        <v>46</v>
      </c>
      <c r="AC1871">
        <v>-17.624300000000002</v>
      </c>
      <c r="AD1871">
        <v>-1.1084983306309999</v>
      </c>
      <c r="AE1871">
        <v>-0.52679999999997995</v>
      </c>
      <c r="AF1871">
        <v>-0.58363564088116604</v>
      </c>
      <c r="AG1871">
        <v>-1.1084983306309999</v>
      </c>
      <c r="AH1871">
        <v>17.553056552698798</v>
      </c>
      <c r="AI1871">
        <v>93.611513855877504</v>
      </c>
      <c r="AJ1871">
        <v>91.904371693103698</v>
      </c>
      <c r="AK1871">
        <v>17.597704209713299</v>
      </c>
      <c r="AL1871">
        <v>94.546724445591593</v>
      </c>
      <c r="AM1871">
        <v>91.829797650928299</v>
      </c>
      <c r="AN1871">
        <v>0.99999998656104905</v>
      </c>
    </row>
    <row r="1872" spans="1:40" x14ac:dyDescent="0.25">
      <c r="A1872" t="str">
        <f>"20190305135230351"</f>
        <v>20190305135230351</v>
      </c>
      <c r="B1872" t="str">
        <f>"1551765150340903"</f>
        <v>1551765150340903</v>
      </c>
      <c r="C1872" t="s">
        <v>40</v>
      </c>
      <c r="D1872">
        <v>4.4863549999999996</v>
      </c>
      <c r="E1872">
        <v>0.49936950000000002</v>
      </c>
      <c r="F1872" t="s">
        <v>56</v>
      </c>
      <c r="G1872">
        <v>-276.09870000000001</v>
      </c>
      <c r="H1872" s="1">
        <v>1.708246E-6</v>
      </c>
      <c r="I1872">
        <v>284.62490000000003</v>
      </c>
      <c r="J1872">
        <v>-258.88420000000002</v>
      </c>
      <c r="K1872">
        <v>1.108527</v>
      </c>
      <c r="L1872">
        <v>285.16660000000002</v>
      </c>
      <c r="M1872">
        <v>-0.99998520000000002</v>
      </c>
      <c r="N1872">
        <v>-4.9694789999999997E-3</v>
      </c>
      <c r="O1872">
        <v>2.3060369999999999E-3</v>
      </c>
      <c r="P1872">
        <v>-0.99607800000000002</v>
      </c>
      <c r="Q1872">
        <v>-8.311317E-2</v>
      </c>
      <c r="R1872">
        <v>-3.034777E-2</v>
      </c>
      <c r="S1872">
        <v>-2.9934690000000002</v>
      </c>
      <c r="T1872">
        <v>-0.1875116</v>
      </c>
      <c r="U1872">
        <v>-9.1430659999999997E-2</v>
      </c>
      <c r="V1872">
        <v>-3.2422289999999999E-2</v>
      </c>
      <c r="W1872">
        <v>-7.8254980000000002E-2</v>
      </c>
      <c r="X1872">
        <v>0.99640600000000001</v>
      </c>
      <c r="Y1872">
        <v>-3.276097E-2</v>
      </c>
      <c r="Z1872">
        <v>-1.2391730000000001E-3</v>
      </c>
      <c r="AA1872">
        <v>0.99946239999999997</v>
      </c>
      <c r="AB1872">
        <v>46</v>
      </c>
      <c r="AC1872">
        <v>-17.214499999999902</v>
      </c>
      <c r="AD1872">
        <v>-1.1085252917540001</v>
      </c>
      <c r="AE1872">
        <v>-0.54169999999999097</v>
      </c>
      <c r="AF1872">
        <v>-0.57899776187821606</v>
      </c>
      <c r="AG1872">
        <v>-1.1085252917540001</v>
      </c>
      <c r="AH1872">
        <v>17.142191860617601</v>
      </c>
      <c r="AI1872">
        <v>93.697862093937303</v>
      </c>
      <c r="AJ1872">
        <v>91.9344971547509</v>
      </c>
      <c r="AK1872">
        <v>17.187751700468102</v>
      </c>
      <c r="AL1872">
        <v>94.488269043338207</v>
      </c>
      <c r="AM1872">
        <v>91.863703313619695</v>
      </c>
      <c r="AN1872">
        <v>0.99999998180982197</v>
      </c>
    </row>
    <row r="1873" spans="1:40" x14ac:dyDescent="0.25">
      <c r="A1873" t="str">
        <f>"20190305135230373"</f>
        <v>20190305135230373</v>
      </c>
      <c r="B1873" t="str">
        <f>"1551765150361398"</f>
        <v>1551765150361398</v>
      </c>
      <c r="C1873" t="s">
        <v>40</v>
      </c>
      <c r="D1873">
        <v>4.4870380000000001</v>
      </c>
      <c r="E1873">
        <v>0.49911929999999999</v>
      </c>
      <c r="F1873" t="s">
        <v>56</v>
      </c>
      <c r="G1873">
        <v>-276.99250000000001</v>
      </c>
      <c r="H1873" s="1">
        <v>2.1862369999999999E-6</v>
      </c>
      <c r="I1873">
        <v>284.57100000000003</v>
      </c>
      <c r="J1873">
        <v>-259.315</v>
      </c>
      <c r="K1873">
        <v>1.108544</v>
      </c>
      <c r="L1873">
        <v>285.1671</v>
      </c>
      <c r="M1873">
        <v>-0.9999865</v>
      </c>
      <c r="N1873">
        <v>-5.0358829999999997E-3</v>
      </c>
      <c r="O1873">
        <v>1.404644E-3</v>
      </c>
      <c r="P1873">
        <v>-0.9961179</v>
      </c>
      <c r="Q1873">
        <v>-8.2163899999999901E-2</v>
      </c>
      <c r="R1873">
        <v>-3.1603590000000001E-2</v>
      </c>
      <c r="S1873">
        <v>-2.9935299999999998</v>
      </c>
      <c r="T1873">
        <v>-0.183253</v>
      </c>
      <c r="U1873">
        <v>-9.8449709999999996E-2</v>
      </c>
      <c r="V1873">
        <v>-3.2782650000000003E-2</v>
      </c>
      <c r="W1873">
        <v>-7.7240500000000004E-2</v>
      </c>
      <c r="X1873">
        <v>0.99647339999999995</v>
      </c>
      <c r="Y1873">
        <v>-3.4202150000000001E-2</v>
      </c>
      <c r="Z1873">
        <v>-1.2106529999999999E-3</v>
      </c>
      <c r="AA1873">
        <v>0.99941420000000003</v>
      </c>
      <c r="AB1873">
        <v>47</v>
      </c>
      <c r="AC1873">
        <v>-17.677499999999998</v>
      </c>
      <c r="AD1873">
        <v>-1.1085418137630001</v>
      </c>
      <c r="AE1873">
        <v>-0.59610000000003505</v>
      </c>
      <c r="AF1873">
        <v>-0.61850085993183301</v>
      </c>
      <c r="AG1873">
        <v>-1.1085418137630001</v>
      </c>
      <c r="AH1873">
        <v>17.607483455326001</v>
      </c>
      <c r="AI1873">
        <v>93.600290280599197</v>
      </c>
      <c r="AJ1873">
        <v>92.011810723988205</v>
      </c>
      <c r="AK1873">
        <v>17.653183336049501</v>
      </c>
      <c r="AL1873">
        <v>94.4299669851966</v>
      </c>
      <c r="AM1873">
        <v>91.884275366651707</v>
      </c>
      <c r="AN1873">
        <v>1.0000000169444101</v>
      </c>
    </row>
    <row r="1874" spans="1:40" x14ac:dyDescent="0.25">
      <c r="A1874" t="str">
        <f>"20190305135230394"</f>
        <v>20190305135230394</v>
      </c>
      <c r="B1874" t="str">
        <f>"1551765150380919"</f>
        <v>1551765150380919</v>
      </c>
      <c r="C1874" t="s">
        <v>40</v>
      </c>
      <c r="D1874">
        <v>4.5058389999999999</v>
      </c>
      <c r="E1874">
        <v>0.49927389999999999</v>
      </c>
      <c r="F1874" t="s">
        <v>56</v>
      </c>
      <c r="G1874">
        <v>-277.68369999999999</v>
      </c>
      <c r="H1874" s="1">
        <v>2.556026E-6</v>
      </c>
      <c r="I1874">
        <v>284.52699999999999</v>
      </c>
      <c r="J1874">
        <v>-259.7731</v>
      </c>
      <c r="K1874">
        <v>1.1085560000000001</v>
      </c>
      <c r="L1874">
        <v>285.16739999999999</v>
      </c>
      <c r="M1874">
        <v>-0.99998679999999995</v>
      </c>
      <c r="N1874">
        <v>-5.1178530000000003E-3</v>
      </c>
      <c r="O1874">
        <v>4.7991400000000001E-4</v>
      </c>
      <c r="P1874">
        <v>-0.99613830000000003</v>
      </c>
      <c r="Q1874">
        <v>-8.1529489999999996E-2</v>
      </c>
      <c r="R1874">
        <v>-3.257943E-2</v>
      </c>
      <c r="S1874">
        <v>-2.9935</v>
      </c>
      <c r="T1874">
        <v>-0.18065539999999999</v>
      </c>
      <c r="U1874">
        <v>-0.1043091</v>
      </c>
      <c r="V1874">
        <v>-3.283958E-2</v>
      </c>
      <c r="W1874">
        <v>-7.652436E-2</v>
      </c>
      <c r="X1874">
        <v>0.99652680000000005</v>
      </c>
      <c r="Y1874">
        <v>-3.5233489999999999E-2</v>
      </c>
      <c r="Z1874">
        <v>-1.17862E-3</v>
      </c>
      <c r="AA1874">
        <v>0.9993784</v>
      </c>
      <c r="AB1874">
        <v>47</v>
      </c>
      <c r="AC1874">
        <v>-17.910599999999899</v>
      </c>
      <c r="AD1874">
        <v>-1.1085534439739999</v>
      </c>
      <c r="AE1874">
        <v>-0.64039999999999897</v>
      </c>
      <c r="AF1874">
        <v>-0.64652203202792802</v>
      </c>
      <c r="AG1874">
        <v>-1.1085534439739999</v>
      </c>
      <c r="AH1874">
        <v>17.842028070857101</v>
      </c>
      <c r="AI1874">
        <v>93.552981416406794</v>
      </c>
      <c r="AJ1874">
        <v>92.075256435442</v>
      </c>
      <c r="AK1874">
        <v>17.8881202801551</v>
      </c>
      <c r="AL1874">
        <v>94.388813278836807</v>
      </c>
      <c r="AM1874">
        <v>91.887444141092502</v>
      </c>
      <c r="AN1874">
        <v>1.0000000394031101</v>
      </c>
    </row>
    <row r="1875" spans="1:40" x14ac:dyDescent="0.25">
      <c r="A1875" t="str">
        <f>"20190305135230407"</f>
        <v>20190305135230407</v>
      </c>
      <c r="B1875" t="str">
        <f>"1551765150401416"</f>
        <v>1551765150401416</v>
      </c>
      <c r="C1875" t="s">
        <v>40</v>
      </c>
      <c r="D1875">
        <v>4.7599989999999996</v>
      </c>
      <c r="E1875">
        <v>0.49919400000000003</v>
      </c>
      <c r="F1875" t="s">
        <v>56</v>
      </c>
      <c r="G1875">
        <v>-277.92489999999998</v>
      </c>
      <c r="H1875" s="1">
        <v>2.684345E-6</v>
      </c>
      <c r="I1875">
        <v>284.52670000000001</v>
      </c>
      <c r="J1875">
        <v>-260.0446</v>
      </c>
      <c r="K1875">
        <v>1.108562</v>
      </c>
      <c r="L1875">
        <v>285.16730000000001</v>
      </c>
      <c r="M1875">
        <v>-0.99998670000000001</v>
      </c>
      <c r="N1875">
        <v>-5.1717760000000003E-3</v>
      </c>
      <c r="O1875" s="1">
        <v>-5.6975059999999898E-5</v>
      </c>
      <c r="P1875">
        <v>-0.99614329999999995</v>
      </c>
      <c r="Q1875">
        <v>-8.1394720000000004E-2</v>
      </c>
      <c r="R1875">
        <v>-3.2763100000000003E-2</v>
      </c>
      <c r="S1875">
        <v>-2.9932249999999998</v>
      </c>
      <c r="T1875">
        <v>-0.1828002</v>
      </c>
      <c r="U1875">
        <v>-0.10565190000000001</v>
      </c>
      <c r="V1875">
        <v>-3.2488900000000001E-2</v>
      </c>
      <c r="W1875">
        <v>-7.6334699999999894E-2</v>
      </c>
      <c r="X1875">
        <v>0.99655280000000002</v>
      </c>
      <c r="Y1875">
        <v>-3.514722E-2</v>
      </c>
      <c r="Z1875">
        <v>-1.159738E-3</v>
      </c>
      <c r="AA1875">
        <v>0.99938150000000003</v>
      </c>
      <c r="AB1875">
        <v>47</v>
      </c>
      <c r="AC1875">
        <v>-17.880299999999899</v>
      </c>
      <c r="AD1875">
        <v>-1.108559315655</v>
      </c>
      <c r="AE1875">
        <v>-0.64060000000000605</v>
      </c>
      <c r="AF1875">
        <v>-0.63713533079157303</v>
      </c>
      <c r="AG1875">
        <v>-1.108559315655</v>
      </c>
      <c r="AH1875">
        <v>17.8119574575184</v>
      </c>
      <c r="AI1875">
        <v>93.559042507730695</v>
      </c>
      <c r="AJ1875">
        <v>92.048601789911601</v>
      </c>
      <c r="AK1875">
        <v>17.857790279161499</v>
      </c>
      <c r="AL1875">
        <v>94.377914859870003</v>
      </c>
      <c r="AM1875">
        <v>91.867254584975996</v>
      </c>
      <c r="AN1875">
        <v>0.99999999911756998</v>
      </c>
    </row>
    <row r="1876" spans="1:40" x14ac:dyDescent="0.25">
      <c r="A1876" t="str">
        <f>"20190305135230419"</f>
        <v>20190305135230419</v>
      </c>
      <c r="B1876" t="str">
        <f>"1551765150411176"</f>
        <v>1551765150411176</v>
      </c>
      <c r="C1876" t="s">
        <v>40</v>
      </c>
      <c r="D1876">
        <v>4.4577960000000001</v>
      </c>
      <c r="E1876">
        <v>0.4991951</v>
      </c>
      <c r="F1876" t="s">
        <v>56</v>
      </c>
      <c r="G1876">
        <v>-278.36590000000001</v>
      </c>
      <c r="H1876" s="1">
        <v>2.9196559999999998E-6</v>
      </c>
      <c r="I1876">
        <v>284.51249999999999</v>
      </c>
      <c r="J1876">
        <v>-260.32760000000002</v>
      </c>
      <c r="K1876">
        <v>1.1085670000000001</v>
      </c>
      <c r="L1876">
        <v>285.1671</v>
      </c>
      <c r="M1876">
        <v>-0.99998609999999999</v>
      </c>
      <c r="N1876">
        <v>-5.2337590000000002E-3</v>
      </c>
      <c r="O1876">
        <v>-6.0605610000000003E-4</v>
      </c>
      <c r="P1876">
        <v>-0.99611570000000005</v>
      </c>
      <c r="Q1876">
        <v>-8.1563010000000005E-2</v>
      </c>
      <c r="R1876">
        <v>-3.3181000000000002E-2</v>
      </c>
      <c r="S1876">
        <v>-2.9933169999999998</v>
      </c>
      <c r="T1876">
        <v>-0.181116</v>
      </c>
      <c r="U1876">
        <v>-0.1069946</v>
      </c>
      <c r="V1876">
        <v>-3.235938E-2</v>
      </c>
      <c r="W1876">
        <v>-7.6440859999999999E-2</v>
      </c>
      <c r="X1876">
        <v>0.99654889999999996</v>
      </c>
      <c r="Y1876">
        <v>-3.504736E-2</v>
      </c>
      <c r="Z1876">
        <v>-1.1173750000000001E-3</v>
      </c>
      <c r="AA1876">
        <v>0.99938499999999997</v>
      </c>
      <c r="AB1876">
        <v>47</v>
      </c>
      <c r="AC1876">
        <v>-18.0382999999999</v>
      </c>
      <c r="AD1876">
        <v>-1.108564080344</v>
      </c>
      <c r="AE1876">
        <v>-0.65460000000001595</v>
      </c>
      <c r="AF1876">
        <v>-0.64124878919325001</v>
      </c>
      <c r="AG1876">
        <v>-1.108564080344</v>
      </c>
      <c r="AH1876">
        <v>17.970909152724701</v>
      </c>
      <c r="AI1876">
        <v>93.527668929089899</v>
      </c>
      <c r="AJ1876">
        <v>92.043595425441893</v>
      </c>
      <c r="AK1876">
        <v>18.016483844117801</v>
      </c>
      <c r="AL1876">
        <v>94.384015101983195</v>
      </c>
      <c r="AM1876">
        <v>91.859823113661506</v>
      </c>
      <c r="AN1876">
        <v>1.0000000223213601</v>
      </c>
    </row>
    <row r="1877" spans="1:40" x14ac:dyDescent="0.25">
      <c r="A1877" t="str">
        <f>"20190305135230432"</f>
        <v>20190305135230432</v>
      </c>
      <c r="B1877" t="str">
        <f>"1551765150420935"</f>
        <v>1551765150420935</v>
      </c>
      <c r="C1877" t="s">
        <v>40</v>
      </c>
      <c r="D1877">
        <v>4.4632120000000004</v>
      </c>
      <c r="E1877">
        <v>0.49921729999999997</v>
      </c>
      <c r="F1877" t="s">
        <v>56</v>
      </c>
      <c r="G1877">
        <v>-278.63580000000002</v>
      </c>
      <c r="H1877" s="1">
        <v>3.0636510000000001E-6</v>
      </c>
      <c r="I1877">
        <v>284.50490000000002</v>
      </c>
      <c r="J1877">
        <v>-260.57979999999998</v>
      </c>
      <c r="K1877">
        <v>1.108573</v>
      </c>
      <c r="L1877">
        <v>285.16669999999999</v>
      </c>
      <c r="M1877">
        <v>-0.99998540000000002</v>
      </c>
      <c r="N1877">
        <v>-5.2908340000000003E-3</v>
      </c>
      <c r="O1877">
        <v>-1.0911009999999999E-3</v>
      </c>
      <c r="P1877">
        <v>-0.99610600000000005</v>
      </c>
      <c r="Q1877">
        <v>-8.17026E-2</v>
      </c>
      <c r="R1877">
        <v>-3.3131260000000003E-2</v>
      </c>
      <c r="S1877">
        <v>-2.9932560000000001</v>
      </c>
      <c r="T1877">
        <v>-0.18124199999999999</v>
      </c>
      <c r="U1877">
        <v>-0.10827639999999999</v>
      </c>
      <c r="V1877">
        <v>-3.1826479999999997E-2</v>
      </c>
      <c r="W1877">
        <v>-7.652196E-2</v>
      </c>
      <c r="X1877">
        <v>0.9965598</v>
      </c>
      <c r="Y1877">
        <v>-3.4991429999999997E-2</v>
      </c>
      <c r="Z1877">
        <v>-1.090525E-3</v>
      </c>
      <c r="AA1877">
        <v>0.99938700000000003</v>
      </c>
      <c r="AB1877">
        <v>47</v>
      </c>
      <c r="AC1877">
        <v>-18.056000000000001</v>
      </c>
      <c r="AD1877">
        <v>-1.108569936349</v>
      </c>
      <c r="AE1877">
        <v>-0.66179999999997097</v>
      </c>
      <c r="AF1877">
        <v>-0.63969033639682904</v>
      </c>
      <c r="AG1877">
        <v>-1.108569936349</v>
      </c>
      <c r="AH1877">
        <v>17.988992918747499</v>
      </c>
      <c r="AI1877">
        <v>93.524165506607602</v>
      </c>
      <c r="AJ1877">
        <v>92.036585342234204</v>
      </c>
      <c r="AK1877">
        <v>18.034466924780599</v>
      </c>
      <c r="AL1877">
        <v>94.388675603437306</v>
      </c>
      <c r="AM1877">
        <v>91.829196205214402</v>
      </c>
      <c r="AN1877">
        <v>0.999999985083735</v>
      </c>
    </row>
    <row r="1878" spans="1:40" x14ac:dyDescent="0.25">
      <c r="A1878" t="str">
        <f>"20190305135230451"</f>
        <v>20190305135230451</v>
      </c>
      <c r="B1878" t="str">
        <f>"1551765150441431"</f>
        <v>1551765150441431</v>
      </c>
      <c r="C1878" t="s">
        <v>40</v>
      </c>
      <c r="D1878">
        <v>4.5350599999999996</v>
      </c>
      <c r="E1878">
        <v>0.49926959999999998</v>
      </c>
      <c r="F1878" t="s">
        <v>56</v>
      </c>
      <c r="G1878">
        <v>-278.86270000000002</v>
      </c>
      <c r="H1878" s="1">
        <v>3.18425E-6</v>
      </c>
      <c r="I1878">
        <v>284.50779999999997</v>
      </c>
      <c r="J1878">
        <v>-260.9683</v>
      </c>
      <c r="K1878">
        <v>1.108579</v>
      </c>
      <c r="L1878">
        <v>285.166</v>
      </c>
      <c r="M1878">
        <v>-0.99998399999999998</v>
      </c>
      <c r="N1878">
        <v>-5.3805609999999999E-3</v>
      </c>
      <c r="O1878">
        <v>-1.8313789999999999E-3</v>
      </c>
      <c r="P1878">
        <v>-0.99606289999999997</v>
      </c>
      <c r="Q1878">
        <v>-8.1983310000000004E-2</v>
      </c>
      <c r="R1878">
        <v>-3.3733359999999997E-2</v>
      </c>
      <c r="S1878">
        <v>-2.9932560000000001</v>
      </c>
      <c r="T1878">
        <v>-0.18149399999999999</v>
      </c>
      <c r="U1878">
        <v>-0.10787960000000001</v>
      </c>
      <c r="V1878">
        <v>-3.1691070000000002E-2</v>
      </c>
      <c r="W1878">
        <v>-7.6712790000000003E-2</v>
      </c>
      <c r="X1878">
        <v>0.99654949999999998</v>
      </c>
      <c r="Y1878">
        <v>-3.412188E-2</v>
      </c>
      <c r="Z1878">
        <v>-1.024051E-3</v>
      </c>
      <c r="AA1878">
        <v>0.99941709999999995</v>
      </c>
      <c r="AB1878">
        <v>47</v>
      </c>
      <c r="AC1878">
        <v>-17.894400000000001</v>
      </c>
      <c r="AD1878">
        <v>-1.1085758157500001</v>
      </c>
      <c r="AE1878">
        <v>-0.65820000000002199</v>
      </c>
      <c r="AF1878">
        <v>-0.62303905184212605</v>
      </c>
      <c r="AG1878">
        <v>-1.1085758157500001</v>
      </c>
      <c r="AH1878">
        <v>17.827248217808702</v>
      </c>
      <c r="AI1878">
        <v>93.556153370135604</v>
      </c>
      <c r="AJ1878">
        <v>92.001598035145406</v>
      </c>
      <c r="AK1878">
        <v>17.8725459019902</v>
      </c>
      <c r="AL1878">
        <v>94.399641344453798</v>
      </c>
      <c r="AM1878">
        <v>91.821437712550804</v>
      </c>
      <c r="AN1878">
        <v>1.0000000410087799</v>
      </c>
    </row>
    <row r="1879" spans="1:40" x14ac:dyDescent="0.25">
      <c r="A1879" t="str">
        <f>"20190305135230473"</f>
        <v>20190305135230473</v>
      </c>
      <c r="B1879" t="str">
        <f>"1551765150460951"</f>
        <v>1551765150460951</v>
      </c>
      <c r="C1879" t="s">
        <v>40</v>
      </c>
      <c r="D1879">
        <v>4.4967180000000004</v>
      </c>
      <c r="E1879">
        <v>0.49924689999999999</v>
      </c>
      <c r="F1879" t="s">
        <v>56</v>
      </c>
      <c r="G1879">
        <v>-279.23379999999997</v>
      </c>
      <c r="H1879" s="1">
        <v>3.382138E-6</v>
      </c>
      <c r="I1879">
        <v>284.49779999999998</v>
      </c>
      <c r="J1879">
        <v>-261.42959999999999</v>
      </c>
      <c r="K1879">
        <v>1.1085849999999999</v>
      </c>
      <c r="L1879">
        <v>285.16469999999998</v>
      </c>
      <c r="M1879">
        <v>-0.99998120000000001</v>
      </c>
      <c r="N1879">
        <v>-5.5071130000000001E-3</v>
      </c>
      <c r="O1879">
        <v>-2.7022219999999998E-3</v>
      </c>
      <c r="P1879">
        <v>-0.99603280000000005</v>
      </c>
      <c r="Q1879">
        <v>-8.242273E-2</v>
      </c>
      <c r="R1879">
        <v>-3.3546600000000003E-2</v>
      </c>
      <c r="S1879">
        <v>-2.9931950000000001</v>
      </c>
      <c r="T1879">
        <v>-0.18166399999999999</v>
      </c>
      <c r="U1879">
        <v>-0.1094971</v>
      </c>
      <c r="V1879">
        <v>-3.0636819999999999E-2</v>
      </c>
      <c r="W1879">
        <v>-7.7022969999999996E-2</v>
      </c>
      <c r="X1879">
        <v>0.99655850000000001</v>
      </c>
      <c r="Y1879">
        <v>-3.3793320000000002E-2</v>
      </c>
      <c r="Z1879">
        <v>-9.6845820000000002E-4</v>
      </c>
      <c r="AA1879">
        <v>0.99942839999999999</v>
      </c>
      <c r="AB1879">
        <v>47</v>
      </c>
      <c r="AC1879">
        <v>-17.804199999999899</v>
      </c>
      <c r="AD1879">
        <v>-1.1085816178619901</v>
      </c>
      <c r="AE1879">
        <v>-0.66689999999999805</v>
      </c>
      <c r="AF1879">
        <v>-0.61639953220172905</v>
      </c>
      <c r="AG1879">
        <v>-1.1085816178619901</v>
      </c>
      <c r="AH1879">
        <v>17.737266950796101</v>
      </c>
      <c r="AI1879">
        <v>93.574190218683796</v>
      </c>
      <c r="AJ1879">
        <v>91.990322683517803</v>
      </c>
      <c r="AK1879">
        <v>17.782562820655698</v>
      </c>
      <c r="AL1879">
        <v>94.417466276077803</v>
      </c>
      <c r="AM1879">
        <v>91.760867821514395</v>
      </c>
      <c r="AN1879">
        <v>0.99999999828479103</v>
      </c>
    </row>
    <row r="1880" spans="1:40" x14ac:dyDescent="0.25">
      <c r="A1880" t="str">
        <f>"20190305135230487"</f>
        <v>20190305135230487</v>
      </c>
      <c r="B1880" t="str">
        <f>"1551765150481447"</f>
        <v>1551765150481447</v>
      </c>
      <c r="C1880" t="s">
        <v>40</v>
      </c>
      <c r="D1880">
        <v>4.4821489999999997</v>
      </c>
      <c r="E1880">
        <v>0.49928529999999999</v>
      </c>
      <c r="F1880" t="s">
        <v>56</v>
      </c>
      <c r="G1880">
        <v>-279.52089999999998</v>
      </c>
      <c r="H1880" s="1">
        <v>3.5346130000000002E-6</v>
      </c>
      <c r="I1880">
        <v>284.50510000000003</v>
      </c>
      <c r="J1880">
        <v>-261.73329999999999</v>
      </c>
      <c r="K1880">
        <v>1.1086020000000001</v>
      </c>
      <c r="L1880">
        <v>285.16359999999997</v>
      </c>
      <c r="M1880">
        <v>-0.99997879999999995</v>
      </c>
      <c r="N1880">
        <v>-5.626659E-3</v>
      </c>
      <c r="O1880">
        <v>-3.2721709999999999E-3</v>
      </c>
      <c r="P1880">
        <v>-0.99604680000000001</v>
      </c>
      <c r="Q1880">
        <v>-8.2189230000000002E-2</v>
      </c>
      <c r="R1880">
        <v>-3.3697810000000002E-2</v>
      </c>
      <c r="S1880">
        <v>-2.9931030000000001</v>
      </c>
      <c r="T1880">
        <v>-0.18340899999999999</v>
      </c>
      <c r="U1880">
        <v>-0.1091309</v>
      </c>
      <c r="V1880">
        <v>-3.022089E-2</v>
      </c>
      <c r="W1880">
        <v>-7.6668879999999995E-2</v>
      </c>
      <c r="X1880">
        <v>0.99659850000000005</v>
      </c>
      <c r="Y1880">
        <v>-3.3103649999999998E-2</v>
      </c>
      <c r="Z1880">
        <v>-9.2436000000000005E-4</v>
      </c>
      <c r="AA1880">
        <v>0.99945150000000005</v>
      </c>
      <c r="AB1880">
        <v>47</v>
      </c>
      <c r="AC1880">
        <v>-17.787599999999902</v>
      </c>
      <c r="AD1880">
        <v>-1.108598465387</v>
      </c>
      <c r="AE1880">
        <v>-0.65849999999994602</v>
      </c>
      <c r="AF1880">
        <v>-0.59797195405331605</v>
      </c>
      <c r="AG1880">
        <v>-1.108598465387</v>
      </c>
      <c r="AH1880">
        <v>17.720920195203</v>
      </c>
      <c r="AI1880">
        <v>93.577655935337404</v>
      </c>
      <c r="AJ1880">
        <v>91.932646493749203</v>
      </c>
      <c r="AK1880">
        <v>17.765628994776598</v>
      </c>
      <c r="AL1880">
        <v>94.397118259278599</v>
      </c>
      <c r="AM1880">
        <v>91.736907091194297</v>
      </c>
      <c r="AN1880">
        <v>0.99999999477754797</v>
      </c>
    </row>
    <row r="1881" spans="1:40" x14ac:dyDescent="0.25">
      <c r="A1881" t="str">
        <f>"20190305135230506"</f>
        <v>20190305135230506</v>
      </c>
      <c r="B1881" t="str">
        <f>"1551765150500967"</f>
        <v>1551765150500967</v>
      </c>
      <c r="C1881" t="s">
        <v>40</v>
      </c>
      <c r="D1881">
        <v>4.4950559999999999</v>
      </c>
      <c r="E1881">
        <v>0.49936839999999999</v>
      </c>
      <c r="F1881" t="s">
        <v>56</v>
      </c>
      <c r="G1881">
        <v>-279.85820000000001</v>
      </c>
      <c r="H1881" s="1">
        <v>3.7142610000000001E-6</v>
      </c>
      <c r="I1881">
        <v>284.50240000000002</v>
      </c>
      <c r="J1881">
        <v>-262.1302</v>
      </c>
      <c r="K1881">
        <v>1.1086530000000001</v>
      </c>
      <c r="L1881">
        <v>285.16199999999998</v>
      </c>
      <c r="M1881">
        <v>-0.99997469999999999</v>
      </c>
      <c r="N1881">
        <v>-5.8836039999999997E-3</v>
      </c>
      <c r="O1881">
        <v>-4.0123650000000004E-3</v>
      </c>
      <c r="P1881">
        <v>-0.9960388</v>
      </c>
      <c r="Q1881">
        <v>-8.2237469999999993E-2</v>
      </c>
      <c r="R1881">
        <v>-3.3818050000000002E-2</v>
      </c>
      <c r="S1881">
        <v>-2.9931030000000001</v>
      </c>
      <c r="T1881">
        <v>-0.1830705</v>
      </c>
      <c r="U1881">
        <v>-0.109191899999999</v>
      </c>
      <c r="V1881">
        <v>-2.960453E-2</v>
      </c>
      <c r="W1881">
        <v>-7.645921E-2</v>
      </c>
      <c r="X1881">
        <v>0.99663310000000005</v>
      </c>
      <c r="Y1881">
        <v>-3.2386709999999999E-2</v>
      </c>
      <c r="Z1881">
        <v>-8.6308740000000004E-4</v>
      </c>
      <c r="AA1881">
        <v>0.99947509999999995</v>
      </c>
      <c r="AB1881">
        <v>47</v>
      </c>
      <c r="AC1881">
        <v>-17.728000000000002</v>
      </c>
      <c r="AD1881">
        <v>-1.108649285739</v>
      </c>
      <c r="AE1881">
        <v>-0.65960000000001096</v>
      </c>
      <c r="AF1881">
        <v>-0.58617300300099995</v>
      </c>
      <c r="AG1881">
        <v>-1.108649285739</v>
      </c>
      <c r="AH1881">
        <v>17.6615281551429</v>
      </c>
      <c r="AI1881">
        <v>93.589885947784396</v>
      </c>
      <c r="AJ1881">
        <v>91.900906609268901</v>
      </c>
      <c r="AK1881">
        <v>17.705995560914499</v>
      </c>
      <c r="AL1881">
        <v>94.385069718472096</v>
      </c>
      <c r="AM1881">
        <v>91.701444590666696</v>
      </c>
      <c r="AN1881">
        <v>0.99999998750297703</v>
      </c>
    </row>
    <row r="1882" spans="1:40" x14ac:dyDescent="0.25">
      <c r="A1882" t="str">
        <f>"20190305135230530"</f>
        <v>20190305135230530</v>
      </c>
      <c r="B1882" t="str">
        <f>"1551765150521463"</f>
        <v>1551765150521463</v>
      </c>
      <c r="C1882" t="s">
        <v>40</v>
      </c>
      <c r="D1882">
        <v>4.5116589999999999</v>
      </c>
      <c r="E1882">
        <v>0.49937330000000002</v>
      </c>
      <c r="F1882" t="s">
        <v>66</v>
      </c>
      <c r="G1882">
        <v>-280.22050000000002</v>
      </c>
      <c r="H1882" s="1">
        <v>8.3277959999999992E-6</v>
      </c>
      <c r="I1882">
        <v>284.50349999999997</v>
      </c>
      <c r="J1882">
        <v>-262.62909999999999</v>
      </c>
      <c r="K1882">
        <v>1.1087720000000001</v>
      </c>
      <c r="L1882">
        <v>285.15940000000001</v>
      </c>
      <c r="M1882">
        <v>-0.9999673</v>
      </c>
      <c r="N1882">
        <v>-6.4314929999999999E-3</v>
      </c>
      <c r="O1882">
        <v>-4.9375369999999997E-3</v>
      </c>
      <c r="P1882">
        <v>-0.99602139999999995</v>
      </c>
      <c r="Q1882">
        <v>-8.2438120000000004E-2</v>
      </c>
      <c r="R1882">
        <v>-3.3840130000000003E-2</v>
      </c>
      <c r="S1882">
        <v>-2.9930729999999999</v>
      </c>
      <c r="T1882">
        <v>-0.18342729999999999</v>
      </c>
      <c r="U1882">
        <v>-0.1089478</v>
      </c>
      <c r="V1882">
        <v>-2.8705680000000001E-2</v>
      </c>
      <c r="W1882">
        <v>-7.6111460000000006E-2</v>
      </c>
      <c r="X1882">
        <v>0.99668599999999996</v>
      </c>
      <c r="Y1882">
        <v>-3.1383499999999898E-2</v>
      </c>
      <c r="Z1882">
        <v>-7.9101339999999897E-4</v>
      </c>
      <c r="AA1882">
        <v>0.99950709999999998</v>
      </c>
      <c r="AB1882">
        <v>47</v>
      </c>
      <c r="AC1882">
        <v>-17.5914</v>
      </c>
      <c r="AD1882">
        <v>-1.108763672204</v>
      </c>
      <c r="AE1882">
        <v>-0.65590000000003101</v>
      </c>
      <c r="AF1882">
        <v>-0.56678354400057795</v>
      </c>
      <c r="AG1882">
        <v>-1.108763672204</v>
      </c>
      <c r="AH1882">
        <v>17.5249010092117</v>
      </c>
      <c r="AI1882">
        <v>93.618271668598894</v>
      </c>
      <c r="AJ1882">
        <v>91.852392179713405</v>
      </c>
      <c r="AK1882">
        <v>17.569085230859901</v>
      </c>
      <c r="AL1882">
        <v>94.365086929483894</v>
      </c>
      <c r="AM1882">
        <v>91.6497269672263</v>
      </c>
      <c r="AN1882">
        <v>0.99999997650179595</v>
      </c>
    </row>
    <row r="1883" spans="1:40" x14ac:dyDescent="0.25">
      <c r="A1883" t="str">
        <f>"20190305135230540"</f>
        <v>20190305135230540</v>
      </c>
      <c r="B1883" t="str">
        <f>"1551765150531224"</f>
        <v>1551765150531224</v>
      </c>
      <c r="C1883" t="s">
        <v>40</v>
      </c>
      <c r="D1883">
        <v>4.4772210000000001</v>
      </c>
      <c r="E1883">
        <v>0.49929430000000002</v>
      </c>
      <c r="F1883" t="s">
        <v>66</v>
      </c>
      <c r="G1883">
        <v>-280.59859999999998</v>
      </c>
      <c r="H1883" s="1">
        <v>8.1597060000000006E-6</v>
      </c>
      <c r="I1883">
        <v>284.50549999999998</v>
      </c>
      <c r="J1883">
        <v>-262.87790000000001</v>
      </c>
      <c r="K1883">
        <v>1.1088499999999999</v>
      </c>
      <c r="L1883">
        <v>285.15789999999998</v>
      </c>
      <c r="M1883">
        <v>-0.99996240000000003</v>
      </c>
      <c r="N1883">
        <v>-6.7981669999999999E-3</v>
      </c>
      <c r="O1883">
        <v>-5.393358E-3</v>
      </c>
      <c r="P1883">
        <v>-0.99599210000000005</v>
      </c>
      <c r="Q1883">
        <v>-8.2819309999999993E-2</v>
      </c>
      <c r="R1883">
        <v>-3.3779289999999997E-2</v>
      </c>
      <c r="S1883">
        <v>-2.9930110000000001</v>
      </c>
      <c r="T1883">
        <v>-0.18467649999999999</v>
      </c>
      <c r="U1883">
        <v>-0.10891720000000001</v>
      </c>
      <c r="V1883">
        <v>-2.8189990000000002E-2</v>
      </c>
      <c r="W1883">
        <v>-7.6125979999999996E-2</v>
      </c>
      <c r="X1883">
        <v>0.99669960000000002</v>
      </c>
      <c r="Y1883">
        <v>-3.0918910000000001E-2</v>
      </c>
      <c r="Z1883">
        <v>-7.6218460000000005E-4</v>
      </c>
      <c r="AA1883">
        <v>0.99952160000000001</v>
      </c>
      <c r="AB1883">
        <v>47</v>
      </c>
      <c r="AC1883">
        <v>-17.720699999999901</v>
      </c>
      <c r="AD1883">
        <v>-1.1088418402939999</v>
      </c>
      <c r="AE1883">
        <v>-0.65239999999999998</v>
      </c>
      <c r="AF1883">
        <v>-0.55464550207529995</v>
      </c>
      <c r="AG1883">
        <v>-1.1088418402939999</v>
      </c>
      <c r="AH1883">
        <v>17.654928211116399</v>
      </c>
      <c r="AI1883">
        <v>93.592051557285103</v>
      </c>
      <c r="AJ1883">
        <v>91.799406794312503</v>
      </c>
      <c r="AK1883">
        <v>17.698408176992501</v>
      </c>
      <c r="AL1883">
        <v>94.365921328621795</v>
      </c>
      <c r="AM1883">
        <v>91.620083900169206</v>
      </c>
      <c r="AN1883">
        <v>0.99999996650365897</v>
      </c>
    </row>
    <row r="1884" spans="1:40" x14ac:dyDescent="0.25">
      <c r="A1884" t="str">
        <f>"20190305135230556"</f>
        <v>20190305135230556</v>
      </c>
      <c r="B1884" t="str">
        <f>"1551765150551719"</f>
        <v>1551765150551719</v>
      </c>
      <c r="C1884" t="s">
        <v>40</v>
      </c>
      <c r="D1884">
        <v>4.6360799999999998</v>
      </c>
      <c r="E1884">
        <v>0.50029309999999905</v>
      </c>
      <c r="F1884" t="s">
        <v>66</v>
      </c>
      <c r="G1884">
        <v>-280.74040000000002</v>
      </c>
      <c r="H1884" s="1">
        <v>8.0967289999999992E-6</v>
      </c>
      <c r="I1884">
        <v>284.5059</v>
      </c>
      <c r="J1884">
        <v>-263.18299999999999</v>
      </c>
      <c r="K1884">
        <v>1.1089209999999901</v>
      </c>
      <c r="L1884">
        <v>285.15600000000001</v>
      </c>
      <c r="M1884">
        <v>-0.99995650000000003</v>
      </c>
      <c r="N1884">
        <v>-7.1842249999999998E-3</v>
      </c>
      <c r="O1884">
        <v>-5.9568769999999898E-3</v>
      </c>
      <c r="P1884">
        <v>-0.99592349999999996</v>
      </c>
      <c r="Q1884">
        <v>-8.3509609999999998E-2</v>
      </c>
      <c r="R1884">
        <v>-3.4097229999999999E-2</v>
      </c>
      <c r="S1884">
        <v>-2.9929199999999998</v>
      </c>
      <c r="T1884">
        <v>-0.1857898</v>
      </c>
      <c r="U1884">
        <v>-0.1092529</v>
      </c>
      <c r="V1884">
        <v>-2.7945999999999999E-2</v>
      </c>
      <c r="W1884">
        <v>-7.6431349999999995E-2</v>
      </c>
      <c r="X1884">
        <v>0.99668310000000004</v>
      </c>
      <c r="Y1884">
        <v>-3.0469369999999999E-2</v>
      </c>
      <c r="Z1884">
        <v>-7.2755179999999995E-4</v>
      </c>
      <c r="AA1884">
        <v>0.99953539999999996</v>
      </c>
      <c r="AB1884">
        <v>47</v>
      </c>
      <c r="AC1884">
        <v>-17.557400000000001</v>
      </c>
      <c r="AD1884">
        <v>-1.1089129032709999</v>
      </c>
      <c r="AE1884">
        <v>-0.650100000000009</v>
      </c>
      <c r="AF1884">
        <v>-0.54333405479154995</v>
      </c>
      <c r="AG1884">
        <v>-1.1089129032709999</v>
      </c>
      <c r="AH1884">
        <v>17.491282269456701</v>
      </c>
      <c r="AI1884">
        <v>93.625840600755197</v>
      </c>
      <c r="AJ1884">
        <v>91.779214390478998</v>
      </c>
      <c r="AK1884">
        <v>17.534818366665402</v>
      </c>
      <c r="AL1884">
        <v>94.383468867746302</v>
      </c>
      <c r="AM1884">
        <v>91.606095700613096</v>
      </c>
      <c r="AN1884">
        <v>0.99999996600221497</v>
      </c>
    </row>
    <row r="1885" spans="1:40" x14ac:dyDescent="0.25">
      <c r="A1885" t="str">
        <f>"20190305135230575"</f>
        <v>20190305135230575</v>
      </c>
      <c r="B1885" t="str">
        <f>"1551765150561479"</f>
        <v>1551765150561479</v>
      </c>
      <c r="C1885" t="s">
        <v>40</v>
      </c>
      <c r="D1885">
        <v>4.5526229999999996</v>
      </c>
      <c r="E1885">
        <v>0.50029309999999905</v>
      </c>
      <c r="F1885" t="s">
        <v>66</v>
      </c>
      <c r="G1885">
        <v>-280.61079999999998</v>
      </c>
      <c r="H1885" s="1">
        <v>8.1429800000000001E-6</v>
      </c>
      <c r="I1885">
        <v>284.56029999999998</v>
      </c>
      <c r="J1885">
        <v>-263.57310000000001</v>
      </c>
      <c r="K1885">
        <v>1.108994</v>
      </c>
      <c r="L1885">
        <v>285.15320000000003</v>
      </c>
      <c r="M1885">
        <v>-0.99994859999999997</v>
      </c>
      <c r="N1885">
        <v>-7.6261119999999896E-3</v>
      </c>
      <c r="O1885">
        <v>-6.6749210000000003E-3</v>
      </c>
      <c r="P1885">
        <v>-0.99580749999999996</v>
      </c>
      <c r="Q1885">
        <v>-8.4658070000000002E-2</v>
      </c>
      <c r="R1885">
        <v>-3.4646110000000001E-2</v>
      </c>
      <c r="S1885">
        <v>-2.9927980000000001</v>
      </c>
      <c r="T1885">
        <v>-0.1904286</v>
      </c>
      <c r="U1885">
        <v>-0.10229489999999999</v>
      </c>
      <c r="V1885">
        <v>-2.7777179999999999E-2</v>
      </c>
      <c r="W1885">
        <v>-7.7139890000000003E-2</v>
      </c>
      <c r="X1885">
        <v>0.99663330000000006</v>
      </c>
      <c r="Y1885">
        <v>-2.7436800000000001E-2</v>
      </c>
      <c r="Z1885">
        <v>-6.0321509999999997E-4</v>
      </c>
      <c r="AA1885">
        <v>0.99962340000000005</v>
      </c>
      <c r="AB1885">
        <v>47</v>
      </c>
      <c r="AC1885">
        <v>-17.037699999999901</v>
      </c>
      <c r="AD1885">
        <v>-1.10898585702</v>
      </c>
      <c r="AE1885">
        <v>-0.59290000000004195</v>
      </c>
      <c r="AF1885">
        <v>-0.47713911612252202</v>
      </c>
      <c r="AG1885">
        <v>-1.10898585702</v>
      </c>
      <c r="AH1885">
        <v>16.969470108600301</v>
      </c>
      <c r="AI1885">
        <v>93.737593869413104</v>
      </c>
      <c r="AJ1885">
        <v>91.610589865259797</v>
      </c>
      <c r="AK1885">
        <v>17.012361009979902</v>
      </c>
      <c r="AL1885">
        <v>94.424185128435298</v>
      </c>
      <c r="AM1885">
        <v>91.596478142877501</v>
      </c>
      <c r="AN1885">
        <v>1.0000000345134199</v>
      </c>
    </row>
    <row r="1886" spans="1:40" x14ac:dyDescent="0.25">
      <c r="A1886" t="str">
        <f>"20190305135230597"</f>
        <v>20190305135230597</v>
      </c>
      <c r="B1886" t="str">
        <f>"1551765150591736"</f>
        <v>1551765150591736</v>
      </c>
      <c r="C1886" t="s">
        <v>40</v>
      </c>
      <c r="D1886">
        <v>4.5447639999999998</v>
      </c>
      <c r="E1886">
        <v>0.55663200000000002</v>
      </c>
      <c r="F1886" t="s">
        <v>66</v>
      </c>
      <c r="G1886">
        <v>-280.6902</v>
      </c>
      <c r="H1886" s="1">
        <v>8.1078879999999996E-6</v>
      </c>
      <c r="I1886">
        <v>284.55970000000002</v>
      </c>
      <c r="J1886">
        <v>-264.03870000000001</v>
      </c>
      <c r="K1886">
        <v>1.1090610000000001</v>
      </c>
      <c r="L1886">
        <v>285.14949999999999</v>
      </c>
      <c r="M1886">
        <v>-0.99993869999999896</v>
      </c>
      <c r="N1886">
        <v>-8.1367929999999998E-3</v>
      </c>
      <c r="O1886">
        <v>-7.5223909999999998E-3</v>
      </c>
      <c r="P1886">
        <v>-0.99568259999999997</v>
      </c>
      <c r="Q1886">
        <v>-8.5530830000000002E-2</v>
      </c>
      <c r="R1886">
        <v>-3.6067500000000002E-2</v>
      </c>
      <c r="S1886">
        <v>-2.9925229999999998</v>
      </c>
      <c r="T1886">
        <v>-0.19387960000000001</v>
      </c>
      <c r="U1886">
        <v>-0.1037598</v>
      </c>
      <c r="V1886">
        <v>-2.8353779999999999E-2</v>
      </c>
      <c r="W1886">
        <v>-7.7506210000000006E-2</v>
      </c>
      <c r="X1886">
        <v>0.99658860000000005</v>
      </c>
      <c r="Y1886">
        <v>-2.7081270000000001E-2</v>
      </c>
      <c r="Z1886">
        <v>-5.6088379999999895E-4</v>
      </c>
      <c r="AA1886">
        <v>0.99963310000000005</v>
      </c>
      <c r="AB1886">
        <v>47</v>
      </c>
      <c r="AC1886">
        <v>-16.651499999999999</v>
      </c>
      <c r="AD1886">
        <v>-1.109052892112</v>
      </c>
      <c r="AE1886">
        <v>-0.58979999999996802</v>
      </c>
      <c r="AF1886">
        <v>-0.46247110250432</v>
      </c>
      <c r="AG1886">
        <v>-1.109052892112</v>
      </c>
      <c r="AH1886">
        <v>16.5819990541736</v>
      </c>
      <c r="AI1886">
        <v>93.824928626529697</v>
      </c>
      <c r="AJ1886">
        <v>91.597562214792205</v>
      </c>
      <c r="AK1886">
        <v>16.625479556114101</v>
      </c>
      <c r="AL1886">
        <v>94.445236926901302</v>
      </c>
      <c r="AM1886">
        <v>91.6296732761583</v>
      </c>
      <c r="AN1886">
        <v>0.99999999353940605</v>
      </c>
    </row>
    <row r="1887" spans="1:40" x14ac:dyDescent="0.25">
      <c r="A1887" t="str">
        <f>"20190305135230620"</f>
        <v>20190305135230620</v>
      </c>
      <c r="B1887" t="str">
        <f>"1551765150611256"</f>
        <v>1551765150611256</v>
      </c>
      <c r="C1887" t="s">
        <v>40</v>
      </c>
      <c r="D1887">
        <v>4.6053350000000002</v>
      </c>
      <c r="E1887">
        <v>0.55616169999999998</v>
      </c>
      <c r="F1887" t="s">
        <v>41</v>
      </c>
      <c r="G1887">
        <v>-264.88290000000001</v>
      </c>
      <c r="H1887">
        <v>0.89404340000000004</v>
      </c>
      <c r="I1887">
        <v>285.25240000000002</v>
      </c>
      <c r="J1887">
        <v>-264.5326</v>
      </c>
      <c r="K1887">
        <v>1.1091299999999999</v>
      </c>
      <c r="L1887">
        <v>285.14510000000001</v>
      </c>
      <c r="M1887">
        <v>-0.99992689999999995</v>
      </c>
      <c r="N1887">
        <v>-8.7071800000000001E-3</v>
      </c>
      <c r="O1887">
        <v>-8.4056579999999999E-3</v>
      </c>
      <c r="P1887">
        <v>-0.99558619999999998</v>
      </c>
      <c r="Q1887">
        <v>-8.5735249999999999E-2</v>
      </c>
      <c r="R1887">
        <v>-3.8184030000000001E-2</v>
      </c>
      <c r="S1887">
        <v>-2.9613040000000002</v>
      </c>
      <c r="T1887">
        <v>-0.75421169999999904</v>
      </c>
      <c r="U1887">
        <v>0.36105350000000003</v>
      </c>
      <c r="V1887">
        <v>-2.9593939999999999E-2</v>
      </c>
      <c r="W1887">
        <v>-7.7145329999999998E-2</v>
      </c>
      <c r="X1887">
        <v>0.99658049999999998</v>
      </c>
      <c r="Y1887">
        <v>0.12504499999999999</v>
      </c>
      <c r="Z1887">
        <v>1.8201800000000001E-2</v>
      </c>
      <c r="AA1887">
        <v>0.99198410000000004</v>
      </c>
      <c r="AB1887">
        <v>47</v>
      </c>
      <c r="AC1887">
        <v>-0.350300000000004</v>
      </c>
      <c r="AD1887">
        <v>-0.21508659999999899</v>
      </c>
      <c r="AE1887">
        <v>0.107300000000009</v>
      </c>
      <c r="AF1887">
        <v>8.1983790848439E-2</v>
      </c>
      <c r="AG1887">
        <v>-0.21508659999999899</v>
      </c>
      <c r="AH1887">
        <v>0.25983080040892698</v>
      </c>
      <c r="AI1887">
        <v>128.28862705984699</v>
      </c>
      <c r="AJ1887">
        <v>72.488075922466393</v>
      </c>
      <c r="AK1887">
        <v>0.34712480796189699</v>
      </c>
      <c r="AL1887">
        <v>94.424498132137899</v>
      </c>
      <c r="AM1887">
        <v>91.700926033307198</v>
      </c>
      <c r="AN1887">
        <v>0.99999994810288995</v>
      </c>
    </row>
    <row r="1888" spans="1:40" x14ac:dyDescent="0.25">
      <c r="A1888" t="str">
        <f>"20190305135230642"</f>
        <v>20190305135230642</v>
      </c>
      <c r="B1888" t="str">
        <f>"1551765150631750"</f>
        <v>1551765150631750</v>
      </c>
      <c r="C1888" t="s">
        <v>40</v>
      </c>
      <c r="D1888">
        <v>4.6207320000000003</v>
      </c>
      <c r="E1888">
        <v>0.55562210000000001</v>
      </c>
      <c r="F1888" t="s">
        <v>41</v>
      </c>
      <c r="G1888">
        <v>-265.31119999999999</v>
      </c>
      <c r="H1888">
        <v>0.90829680000000002</v>
      </c>
      <c r="I1888">
        <v>285.23779999999999</v>
      </c>
      <c r="J1888">
        <v>-265.00639999999999</v>
      </c>
      <c r="K1888">
        <v>1.10917</v>
      </c>
      <c r="L1888">
        <v>285.14049999999997</v>
      </c>
      <c r="M1888">
        <v>-0.99991459999999999</v>
      </c>
      <c r="N1888">
        <v>-9.2595650000000009E-3</v>
      </c>
      <c r="O1888">
        <v>-9.220242E-3</v>
      </c>
      <c r="P1888">
        <v>-0.99555859999999996</v>
      </c>
      <c r="Q1888">
        <v>-8.5461880000000004E-2</v>
      </c>
      <c r="R1888">
        <v>-3.9485350000000002E-2</v>
      </c>
      <c r="S1888">
        <v>-2.9609990000000002</v>
      </c>
      <c r="T1888">
        <v>-0.7638549</v>
      </c>
      <c r="U1888">
        <v>0.35137940000000001</v>
      </c>
      <c r="V1888">
        <v>-3.0092919999999999E-2</v>
      </c>
      <c r="W1888">
        <v>-7.6320479999999996E-2</v>
      </c>
      <c r="X1888">
        <v>0.99662910000000005</v>
      </c>
      <c r="Y1888">
        <v>0.1226083</v>
      </c>
      <c r="Z1888">
        <v>1.83362E-2</v>
      </c>
      <c r="AA1888">
        <v>0.99228570000000005</v>
      </c>
      <c r="AB1888">
        <v>47</v>
      </c>
      <c r="AC1888">
        <v>-0.30480000000000002</v>
      </c>
      <c r="AD1888">
        <v>-0.200873199999999</v>
      </c>
      <c r="AE1888">
        <v>9.7300000000018302E-2</v>
      </c>
      <c r="AF1888">
        <v>7.1804159559374803E-2</v>
      </c>
      <c r="AG1888">
        <v>-0.200873199999999</v>
      </c>
      <c r="AH1888">
        <v>0.217973833790717</v>
      </c>
      <c r="AI1888">
        <v>131.19499759283499</v>
      </c>
      <c r="AJ1888">
        <v>71.767268400943806</v>
      </c>
      <c r="AK1888">
        <v>0.30498929821502102</v>
      </c>
      <c r="AL1888">
        <v>94.377097808579194</v>
      </c>
      <c r="AM1888">
        <v>91.729503584192798</v>
      </c>
      <c r="AN1888">
        <v>0.99999998123418299</v>
      </c>
    </row>
    <row r="1889" spans="1:40" x14ac:dyDescent="0.25">
      <c r="A1889" t="str">
        <f>"20190305135230662"</f>
        <v>20190305135230662</v>
      </c>
      <c r="B1889" t="str">
        <f>"1551765150651271"</f>
        <v>1551765150651271</v>
      </c>
      <c r="C1889" t="s">
        <v>40</v>
      </c>
      <c r="D1889">
        <v>4.6184969999999996</v>
      </c>
      <c r="E1889">
        <v>0.55537099999999995</v>
      </c>
      <c r="F1889" t="s">
        <v>41</v>
      </c>
      <c r="G1889">
        <v>-265.73899999999998</v>
      </c>
      <c r="H1889">
        <v>0.92073150000000004</v>
      </c>
      <c r="I1889">
        <v>285.22539999999998</v>
      </c>
      <c r="J1889">
        <v>-265.43040000000002</v>
      </c>
      <c r="K1889">
        <v>1.10917</v>
      </c>
      <c r="L1889">
        <v>285.13600000000002</v>
      </c>
      <c r="M1889">
        <v>-0.99990369999999995</v>
      </c>
      <c r="N1889">
        <v>-9.7279519999999998E-3</v>
      </c>
      <c r="O1889">
        <v>-9.8953940000000001E-3</v>
      </c>
      <c r="P1889">
        <v>-0.9955775</v>
      </c>
      <c r="Q1889">
        <v>-8.4763130000000006E-2</v>
      </c>
      <c r="R1889">
        <v>-4.050807E-2</v>
      </c>
      <c r="S1889">
        <v>-2.9615779999999998</v>
      </c>
      <c r="T1889">
        <v>-0.76184879999999999</v>
      </c>
      <c r="U1889">
        <v>0.34286499999999998</v>
      </c>
      <c r="V1889">
        <v>-3.04549E-2</v>
      </c>
      <c r="W1889">
        <v>-7.5151800000000005E-2</v>
      </c>
      <c r="X1889">
        <v>0.99670689999999995</v>
      </c>
      <c r="Y1889">
        <v>0.1205069</v>
      </c>
      <c r="Z1889">
        <v>1.820358E-2</v>
      </c>
      <c r="AA1889">
        <v>0.99254560000000003</v>
      </c>
      <c r="AB1889">
        <v>47</v>
      </c>
      <c r="AC1889">
        <v>-0.30860000000001198</v>
      </c>
      <c r="AD1889">
        <v>-0.18843849999999901</v>
      </c>
      <c r="AE1889">
        <v>8.9400000000011901E-2</v>
      </c>
      <c r="AF1889">
        <v>6.8787209293625196E-2</v>
      </c>
      <c r="AG1889">
        <v>-0.18843849999999901</v>
      </c>
      <c r="AH1889">
        <v>0.22894489734975601</v>
      </c>
      <c r="AI1889">
        <v>128.24741037627501</v>
      </c>
      <c r="AJ1889">
        <v>73.276940381525094</v>
      </c>
      <c r="AK1889">
        <v>0.30439532596139701</v>
      </c>
      <c r="AL1889">
        <v>94.309944552180795</v>
      </c>
      <c r="AM1889">
        <v>91.750157936895206</v>
      </c>
      <c r="AN1889">
        <v>0.99999996924242895</v>
      </c>
    </row>
    <row r="1890" spans="1:40" x14ac:dyDescent="0.25">
      <c r="A1890" t="str">
        <f>"20190305135230675"</f>
        <v>20190305135230675</v>
      </c>
      <c r="B1890" t="str">
        <f>"1551765150670792"</f>
        <v>1551765150670792</v>
      </c>
      <c r="C1890" t="s">
        <v>40</v>
      </c>
      <c r="D1890">
        <v>4.643281</v>
      </c>
      <c r="E1890">
        <v>0.55512629999999996</v>
      </c>
      <c r="F1890" t="s">
        <v>41</v>
      </c>
      <c r="G1890">
        <v>-266.16199999999998</v>
      </c>
      <c r="H1890">
        <v>0.92183919999999997</v>
      </c>
      <c r="I1890">
        <v>285.21969999999999</v>
      </c>
      <c r="J1890">
        <v>-265.70420000000001</v>
      </c>
      <c r="K1890">
        <v>1.109154</v>
      </c>
      <c r="L1890">
        <v>285.13299999999998</v>
      </c>
      <c r="M1890">
        <v>-0.99989709999999998</v>
      </c>
      <c r="N1890">
        <v>-1.000817E-2</v>
      </c>
      <c r="O1890">
        <v>-1.02889E-2</v>
      </c>
      <c r="P1890">
        <v>-0.99555499999999997</v>
      </c>
      <c r="Q1890">
        <v>-8.4933069999999999E-2</v>
      </c>
      <c r="R1890">
        <v>-4.0704659999999997E-2</v>
      </c>
      <c r="S1890">
        <v>-2.962494</v>
      </c>
      <c r="T1890">
        <v>-0.75857589999999997</v>
      </c>
      <c r="U1890">
        <v>0.33764650000000002</v>
      </c>
      <c r="V1890">
        <v>-3.02679E-2</v>
      </c>
      <c r="W1890">
        <v>-7.5038800000000003E-2</v>
      </c>
      <c r="X1890">
        <v>0.99672110000000003</v>
      </c>
      <c r="Y1890">
        <v>0.119202</v>
      </c>
      <c r="Z1890">
        <v>1.8065129999999999E-2</v>
      </c>
      <c r="AA1890">
        <v>0.99270559999999997</v>
      </c>
      <c r="AB1890">
        <v>47</v>
      </c>
      <c r="AC1890">
        <v>-0.45780000000002002</v>
      </c>
      <c r="AD1890">
        <v>-0.1873148</v>
      </c>
      <c r="AE1890">
        <v>8.6700000000007493E-2</v>
      </c>
      <c r="AF1890">
        <v>7.8688457183102203E-2</v>
      </c>
      <c r="AG1890">
        <v>-0.1873148</v>
      </c>
      <c r="AH1890">
        <v>0.39331673041804599</v>
      </c>
      <c r="AI1890">
        <v>115.03210876384</v>
      </c>
      <c r="AJ1890">
        <v>78.686550243336697</v>
      </c>
      <c r="AK1890">
        <v>0.442692622504192</v>
      </c>
      <c r="AL1890">
        <v>94.303451838861704</v>
      </c>
      <c r="AM1890">
        <v>91.739393426096996</v>
      </c>
      <c r="AN1890">
        <v>0.99999995923052898</v>
      </c>
    </row>
    <row r="1891" spans="1:40" x14ac:dyDescent="0.25">
      <c r="A1891" t="str">
        <f>"20190305135230696"</f>
        <v>20190305135230696</v>
      </c>
      <c r="B1891" t="str">
        <f>"1551765150691287"</f>
        <v>1551765150691287</v>
      </c>
      <c r="C1891" t="s">
        <v>40</v>
      </c>
      <c r="D1891">
        <v>4.6181409999999996</v>
      </c>
      <c r="E1891">
        <v>0.55469519999999894</v>
      </c>
      <c r="F1891" t="s">
        <v>41</v>
      </c>
      <c r="G1891">
        <v>-266.57040000000001</v>
      </c>
      <c r="H1891">
        <v>0.88783909999999999</v>
      </c>
      <c r="I1891">
        <v>285.23099999999999</v>
      </c>
      <c r="J1891">
        <v>-266.13389999999998</v>
      </c>
      <c r="K1891">
        <v>1.1091070000000001</v>
      </c>
      <c r="L1891">
        <v>285.12819999999999</v>
      </c>
      <c r="M1891">
        <v>-0.99988699999999997</v>
      </c>
      <c r="N1891">
        <v>-1.0417940000000001E-2</v>
      </c>
      <c r="O1891">
        <v>-1.08389E-2</v>
      </c>
      <c r="P1891">
        <v>-0.99551339999999999</v>
      </c>
      <c r="Q1891">
        <v>-8.5448819999999995E-2</v>
      </c>
      <c r="R1891">
        <v>-4.0642070000000002E-2</v>
      </c>
      <c r="S1891">
        <v>-2.962494</v>
      </c>
      <c r="T1891">
        <v>-0.75695749999999995</v>
      </c>
      <c r="U1891">
        <v>0.3348083</v>
      </c>
      <c r="V1891">
        <v>-2.9672150000000001E-2</v>
      </c>
      <c r="W1891">
        <v>-7.513881E-2</v>
      </c>
      <c r="X1891">
        <v>0.99673149999999999</v>
      </c>
      <c r="Y1891">
        <v>0.1188173</v>
      </c>
      <c r="Z1891">
        <v>1.8132450000000001E-2</v>
      </c>
      <c r="AA1891">
        <v>0.99275049999999998</v>
      </c>
      <c r="AB1891">
        <v>47</v>
      </c>
      <c r="AC1891">
        <v>-0.43650000000002298</v>
      </c>
      <c r="AD1891">
        <v>-0.22126789999999999</v>
      </c>
      <c r="AE1891">
        <v>0.102800000000001</v>
      </c>
      <c r="AF1891">
        <v>8.6472862192491798E-2</v>
      </c>
      <c r="AG1891">
        <v>-0.22126789999999999</v>
      </c>
      <c r="AH1891">
        <v>0.35012035465768998</v>
      </c>
      <c r="AI1891">
        <v>121.530817325577</v>
      </c>
      <c r="AJ1891">
        <v>76.126705594587605</v>
      </c>
      <c r="AK1891">
        <v>0.42310909020227699</v>
      </c>
      <c r="AL1891">
        <v>94.309198122464593</v>
      </c>
      <c r="AM1891">
        <v>91.705160329743407</v>
      </c>
      <c r="AN1891">
        <v>0.99999998017304403</v>
      </c>
    </row>
    <row r="1892" spans="1:40" x14ac:dyDescent="0.25">
      <c r="A1892" t="str">
        <f>"20190305135230719"</f>
        <v>20190305135230719</v>
      </c>
      <c r="B1892" t="str">
        <f>"1551765150711783"</f>
        <v>1551765150711783</v>
      </c>
      <c r="C1892" t="s">
        <v>40</v>
      </c>
      <c r="D1892">
        <v>4.6584719999999997</v>
      </c>
      <c r="E1892">
        <v>0.55589419999999901</v>
      </c>
      <c r="F1892" t="s">
        <v>41</v>
      </c>
      <c r="G1892">
        <v>-266.99349999999998</v>
      </c>
      <c r="H1892">
        <v>0.88961290000000004</v>
      </c>
      <c r="I1892">
        <v>285.22460000000001</v>
      </c>
      <c r="J1892">
        <v>-266.64190000000002</v>
      </c>
      <c r="K1892">
        <v>1.1090169999999999</v>
      </c>
      <c r="L1892">
        <v>285.1223</v>
      </c>
      <c r="M1892">
        <v>-0.99987669999999995</v>
      </c>
      <c r="N1892">
        <v>-1.0850810000000001E-2</v>
      </c>
      <c r="O1892">
        <v>-1.135594E-2</v>
      </c>
      <c r="P1892">
        <v>-0.99541999999999997</v>
      </c>
      <c r="Q1892">
        <v>-8.6625030000000006E-2</v>
      </c>
      <c r="R1892">
        <v>-4.0439059999999999E-2</v>
      </c>
      <c r="S1892">
        <v>-2.9621279999999999</v>
      </c>
      <c r="T1892">
        <v>-0.75644769999999995</v>
      </c>
      <c r="U1892">
        <v>0.33145140000000001</v>
      </c>
      <c r="V1892">
        <v>-2.8976140000000001E-2</v>
      </c>
      <c r="W1892">
        <v>-7.5874200000000003E-2</v>
      </c>
      <c r="X1892">
        <v>0.99669629999999998</v>
      </c>
      <c r="Y1892">
        <v>0.1182357</v>
      </c>
      <c r="Z1892">
        <v>1.819368E-2</v>
      </c>
      <c r="AA1892">
        <v>0.99281889999999995</v>
      </c>
      <c r="AB1892">
        <v>47</v>
      </c>
      <c r="AC1892">
        <v>-0.351599999999962</v>
      </c>
      <c r="AD1892">
        <v>-0.21940409999999899</v>
      </c>
      <c r="AE1892">
        <v>0.10230000000001301</v>
      </c>
      <c r="AF1892">
        <v>7.82089948617119E-2</v>
      </c>
      <c r="AG1892">
        <v>-0.21940409999999899</v>
      </c>
      <c r="AH1892">
        <v>0.25784720444407999</v>
      </c>
      <c r="AI1892">
        <v>129.15505599705401</v>
      </c>
      <c r="AJ1892">
        <v>73.126648128459195</v>
      </c>
      <c r="AK1892">
        <v>0.34747659894403898</v>
      </c>
      <c r="AL1892">
        <v>94.3514533518902</v>
      </c>
      <c r="AM1892">
        <v>91.665244501680107</v>
      </c>
      <c r="AN1892">
        <v>1.00000001267431</v>
      </c>
    </row>
    <row r="1893" spans="1:40" x14ac:dyDescent="0.25">
      <c r="A1893" t="str">
        <f>"20190305135230733"</f>
        <v>20190305135230733</v>
      </c>
      <c r="B1893" t="str">
        <f>"1551765150721543"</f>
        <v>1551765150721543</v>
      </c>
      <c r="C1893" t="s">
        <v>40</v>
      </c>
      <c r="D1893">
        <v>4.6891809999999996</v>
      </c>
      <c r="E1893">
        <v>0.55668649999999997</v>
      </c>
      <c r="F1893" t="s">
        <v>41</v>
      </c>
      <c r="G1893">
        <v>-267.4239</v>
      </c>
      <c r="H1893">
        <v>0.90945529999999997</v>
      </c>
      <c r="I1893">
        <v>285.2124</v>
      </c>
      <c r="J1893">
        <v>-266.92360000000002</v>
      </c>
      <c r="K1893">
        <v>1.1089580000000001</v>
      </c>
      <c r="L1893">
        <v>285.1189</v>
      </c>
      <c r="M1893">
        <v>-0.99987190000000004</v>
      </c>
      <c r="N1893">
        <v>-1.1066670000000001E-2</v>
      </c>
      <c r="O1893">
        <v>-1.1573719999999999E-2</v>
      </c>
      <c r="P1893">
        <v>-0.99538680000000002</v>
      </c>
      <c r="Q1893">
        <v>-8.7030570000000002E-2</v>
      </c>
      <c r="R1893">
        <v>-4.0386709999999999E-2</v>
      </c>
      <c r="S1893">
        <v>-2.9618530000000001</v>
      </c>
      <c r="T1893">
        <v>-0.75583180000000005</v>
      </c>
      <c r="U1893">
        <v>0.34140009999999998</v>
      </c>
      <c r="V1893">
        <v>-2.872005E-2</v>
      </c>
      <c r="W1893">
        <v>-7.6059199999999993E-2</v>
      </c>
      <c r="X1893">
        <v>0.99668959999999995</v>
      </c>
      <c r="Y1893">
        <v>0.1216399</v>
      </c>
      <c r="Z1893">
        <v>1.8686419999999999E-2</v>
      </c>
      <c r="AA1893">
        <v>0.99239840000000001</v>
      </c>
      <c r="AB1893">
        <v>47</v>
      </c>
      <c r="AC1893">
        <v>-0.50029999999998098</v>
      </c>
      <c r="AD1893">
        <v>-0.19950269999999901</v>
      </c>
      <c r="AE1893">
        <v>9.3500000000005898E-2</v>
      </c>
      <c r="AF1893">
        <v>8.6061282314535595E-2</v>
      </c>
      <c r="AG1893">
        <v>-0.19950269999999901</v>
      </c>
      <c r="AH1893">
        <v>0.43270069807266698</v>
      </c>
      <c r="AI1893">
        <v>114.33278722116199</v>
      </c>
      <c r="AJ1893">
        <v>78.751049303993199</v>
      </c>
      <c r="AK1893">
        <v>0.48418773810732302</v>
      </c>
      <c r="AL1893">
        <v>94.362083840355297</v>
      </c>
      <c r="AM1893">
        <v>91.650546401763506</v>
      </c>
      <c r="AN1893">
        <v>1.0000000009623999</v>
      </c>
    </row>
    <row r="1894" spans="1:40" x14ac:dyDescent="0.25">
      <c r="A1894" t="str">
        <f>"20190305135230746"</f>
        <v>20190305135230746</v>
      </c>
      <c r="B1894" t="str">
        <f>"1551765150741063"</f>
        <v>1551765150741063</v>
      </c>
      <c r="C1894" t="s">
        <v>40</v>
      </c>
      <c r="D1894">
        <v>4.6481789999999998</v>
      </c>
      <c r="E1894">
        <v>0.55806239999999996</v>
      </c>
      <c r="F1894" t="s">
        <v>41</v>
      </c>
      <c r="G1894">
        <v>-267.83339999999998</v>
      </c>
      <c r="H1894">
        <v>0.87697979999999998</v>
      </c>
      <c r="I1894">
        <v>285.226</v>
      </c>
      <c r="J1894">
        <v>-267.2011</v>
      </c>
      <c r="K1894">
        <v>1.108887</v>
      </c>
      <c r="L1894">
        <v>285.1155</v>
      </c>
      <c r="M1894">
        <v>-0.99986739999999996</v>
      </c>
      <c r="N1894">
        <v>-1.1267950000000001E-2</v>
      </c>
      <c r="O1894">
        <v>-1.175492E-2</v>
      </c>
      <c r="P1894">
        <v>-0.99539759999999999</v>
      </c>
      <c r="Q1894">
        <v>-8.6907250000000005E-2</v>
      </c>
      <c r="R1894">
        <v>-4.0383660000000002E-2</v>
      </c>
      <c r="S1894">
        <v>-2.9620060000000001</v>
      </c>
      <c r="T1894">
        <v>-0.75528169999999994</v>
      </c>
      <c r="U1894">
        <v>0.34783940000000002</v>
      </c>
      <c r="V1894">
        <v>-2.8551099999999999E-2</v>
      </c>
      <c r="W1894">
        <v>-7.5729610000000003E-2</v>
      </c>
      <c r="X1894">
        <v>0.99671949999999998</v>
      </c>
      <c r="Y1894">
        <v>0.1238684</v>
      </c>
      <c r="Z1894">
        <v>1.901574E-2</v>
      </c>
      <c r="AA1894">
        <v>0.99211649999999996</v>
      </c>
      <c r="AB1894">
        <v>47</v>
      </c>
      <c r="AC1894">
        <v>-0.63229999999998598</v>
      </c>
      <c r="AD1894">
        <v>-0.23190720000000001</v>
      </c>
      <c r="AE1894">
        <v>0.110500000000001</v>
      </c>
      <c r="AF1894">
        <v>0.104309716909741</v>
      </c>
      <c r="AG1894">
        <v>-0.23190720000000001</v>
      </c>
      <c r="AH1894">
        <v>0.55810654582695596</v>
      </c>
      <c r="AI1894">
        <v>112.21767262783899</v>
      </c>
      <c r="AJ1894">
        <v>79.413597592535396</v>
      </c>
      <c r="AK1894">
        <v>0.61330610868352398</v>
      </c>
      <c r="AL1894">
        <v>94.343145322327402</v>
      </c>
      <c r="AM1894">
        <v>91.640792942986295</v>
      </c>
      <c r="AN1894">
        <v>0.99999995041110401</v>
      </c>
    </row>
    <row r="1895" spans="1:40" x14ac:dyDescent="0.25">
      <c r="A1895" t="str">
        <f>"20190305135230764"</f>
        <v>20190305135230764</v>
      </c>
      <c r="B1895" t="str">
        <f>"1551765150751799"</f>
        <v>1551765150751799</v>
      </c>
      <c r="C1895" t="s">
        <v>40</v>
      </c>
      <c r="D1895">
        <v>4.6803739999999996</v>
      </c>
      <c r="E1895">
        <v>0.5584713</v>
      </c>
      <c r="F1895" t="s">
        <v>41</v>
      </c>
      <c r="G1895">
        <v>-268.24310000000003</v>
      </c>
      <c r="H1895">
        <v>0.84468880000000002</v>
      </c>
      <c r="I1895">
        <v>285.24189999999999</v>
      </c>
      <c r="J1895">
        <v>-267.58359999999999</v>
      </c>
      <c r="K1895">
        <v>1.1088039999999999</v>
      </c>
      <c r="L1895">
        <v>285.11090000000002</v>
      </c>
      <c r="M1895">
        <v>-0.99986260000000005</v>
      </c>
      <c r="N1895">
        <v>-1.1517869999999999E-2</v>
      </c>
      <c r="O1895">
        <v>-1.1928640000000001E-2</v>
      </c>
      <c r="P1895">
        <v>-0.99540859999999998</v>
      </c>
      <c r="Q1895">
        <v>-8.6936550000000001E-2</v>
      </c>
      <c r="R1895">
        <v>-4.0048769999999997E-2</v>
      </c>
      <c r="S1895">
        <v>-2.9628299999999999</v>
      </c>
      <c r="T1895">
        <v>-0.75124440000000003</v>
      </c>
      <c r="U1895">
        <v>0.3588867</v>
      </c>
      <c r="V1895">
        <v>-2.8061570000000001E-2</v>
      </c>
      <c r="W1895">
        <v>-7.5502009999999994E-2</v>
      </c>
      <c r="X1895">
        <v>0.99675069999999999</v>
      </c>
      <c r="Y1895">
        <v>0.1275762</v>
      </c>
      <c r="Z1895">
        <v>1.9448569999999998E-2</v>
      </c>
      <c r="AA1895">
        <v>0.99163809999999997</v>
      </c>
      <c r="AB1895">
        <v>47</v>
      </c>
      <c r="AC1895">
        <v>-0.65950000000003595</v>
      </c>
      <c r="AD1895">
        <v>-0.26411519999999999</v>
      </c>
      <c r="AE1895">
        <v>0.130999999999971</v>
      </c>
      <c r="AF1895">
        <v>0.120296952174581</v>
      </c>
      <c r="AG1895">
        <v>-0.26411519999999999</v>
      </c>
      <c r="AH1895">
        <v>0.56995003140404399</v>
      </c>
      <c r="AI1895">
        <v>114.39007234853</v>
      </c>
      <c r="AJ1895">
        <v>78.081747540081693</v>
      </c>
      <c r="AK1895">
        <v>0.63958676805497106</v>
      </c>
      <c r="AL1895">
        <v>94.330067225115997</v>
      </c>
      <c r="AM1895">
        <v>91.612624851220303</v>
      </c>
      <c r="AN1895">
        <v>0.99999998158769698</v>
      </c>
    </row>
    <row r="1896" spans="1:40" x14ac:dyDescent="0.25">
      <c r="A1896" t="str">
        <f>"20190305135230786"</f>
        <v>20190305135230786</v>
      </c>
      <c r="B1896" t="str">
        <f>"1551765150781080"</f>
        <v>1551765150781080</v>
      </c>
      <c r="C1896" t="s">
        <v>40</v>
      </c>
      <c r="D1896">
        <v>4.6454129999999996</v>
      </c>
      <c r="E1896">
        <v>0.55953189999999997</v>
      </c>
      <c r="F1896" t="s">
        <v>41</v>
      </c>
      <c r="G1896">
        <v>-268.27910000000003</v>
      </c>
      <c r="H1896">
        <v>0.93289690000000003</v>
      </c>
      <c r="I1896">
        <v>285.19639999999998</v>
      </c>
      <c r="J1896">
        <v>-268.04930000000002</v>
      </c>
      <c r="K1896">
        <v>1.108719</v>
      </c>
      <c r="L1896">
        <v>285.10520000000002</v>
      </c>
      <c r="M1896">
        <v>-0.99985800000000002</v>
      </c>
      <c r="N1896">
        <v>-1.1787860000000001E-2</v>
      </c>
      <c r="O1896">
        <v>-1.2058579999999999E-2</v>
      </c>
      <c r="P1896">
        <v>-0.99548270000000005</v>
      </c>
      <c r="Q1896">
        <v>-8.6204939999999994E-2</v>
      </c>
      <c r="R1896">
        <v>-3.9791489999999999E-2</v>
      </c>
      <c r="S1896">
        <v>-2.9629819999999998</v>
      </c>
      <c r="T1896">
        <v>-0.74951099999999904</v>
      </c>
      <c r="U1896">
        <v>0.36331180000000002</v>
      </c>
      <c r="V1896">
        <v>-2.7694860000000002E-2</v>
      </c>
      <c r="W1896">
        <v>-7.4492520000000007E-2</v>
      </c>
      <c r="X1896">
        <v>0.99683690000000003</v>
      </c>
      <c r="Y1896">
        <v>0.12912190000000001</v>
      </c>
      <c r="Z1896">
        <v>1.9650129999999998E-2</v>
      </c>
      <c r="AA1896">
        <v>0.99143400000000004</v>
      </c>
      <c r="AB1896">
        <v>47</v>
      </c>
      <c r="AC1896">
        <v>-0.229800000000011</v>
      </c>
      <c r="AD1896">
        <v>-0.17582209999999901</v>
      </c>
      <c r="AE1896">
        <v>9.1199999999957898E-2</v>
      </c>
      <c r="AF1896">
        <v>6.2404409287687999E-2</v>
      </c>
      <c r="AG1896">
        <v>-0.17582209999999901</v>
      </c>
      <c r="AH1896">
        <v>0.15187478678271599</v>
      </c>
      <c r="AI1896">
        <v>136.95836282979201</v>
      </c>
      <c r="AJ1896">
        <v>67.662543015419402</v>
      </c>
      <c r="AK1896">
        <v>0.240569474387859</v>
      </c>
      <c r="AL1896">
        <v>94.272064390613394</v>
      </c>
      <c r="AM1896">
        <v>91.5914243424956</v>
      </c>
      <c r="AN1896">
        <v>0.99999997300398902</v>
      </c>
    </row>
    <row r="1897" spans="1:40" x14ac:dyDescent="0.25">
      <c r="A1897" t="str">
        <f>"20190305135230820"</f>
        <v>20190305135230820</v>
      </c>
      <c r="B1897" t="str">
        <f>"1551765150811335"</f>
        <v>1551765150811335</v>
      </c>
      <c r="C1897" t="s">
        <v>40</v>
      </c>
      <c r="D1897">
        <v>4.6078409999999996</v>
      </c>
      <c r="E1897">
        <v>0.56063779999999996</v>
      </c>
      <c r="F1897" t="s">
        <v>41</v>
      </c>
      <c r="G1897">
        <v>-269.089</v>
      </c>
      <c r="H1897">
        <v>0.84803410000000001</v>
      </c>
      <c r="I1897">
        <v>285.23570000000001</v>
      </c>
      <c r="J1897">
        <v>-268.76350000000002</v>
      </c>
      <c r="K1897">
        <v>1.1085929999999999</v>
      </c>
      <c r="L1897">
        <v>285.09640000000002</v>
      </c>
      <c r="M1897">
        <v>-0.99985290000000004</v>
      </c>
      <c r="N1897">
        <v>-1.213642E-2</v>
      </c>
      <c r="O1897">
        <v>-1.213009E-2</v>
      </c>
      <c r="P1897">
        <v>-0.99536769999999997</v>
      </c>
      <c r="Q1897">
        <v>-8.7374359999999998E-2</v>
      </c>
      <c r="R1897">
        <v>-4.0112469999999997E-2</v>
      </c>
      <c r="S1897">
        <v>-2.9641419999999998</v>
      </c>
      <c r="T1897">
        <v>-0.74319029999999997</v>
      </c>
      <c r="U1897">
        <v>0.37203979999999998</v>
      </c>
      <c r="V1897">
        <v>-2.796978E-2</v>
      </c>
      <c r="W1897">
        <v>-7.5306830000000005E-2</v>
      </c>
      <c r="X1897">
        <v>0.99676810000000005</v>
      </c>
      <c r="Y1897">
        <v>0.1320007</v>
      </c>
      <c r="Z1897">
        <v>1.9891599999999999E-2</v>
      </c>
      <c r="AA1897">
        <v>0.99104999999999999</v>
      </c>
      <c r="AB1897">
        <v>47</v>
      </c>
      <c r="AC1897">
        <v>-0.32549999999997598</v>
      </c>
      <c r="AD1897">
        <v>-0.26055889999999898</v>
      </c>
      <c r="AE1897">
        <v>0.13929999999999099</v>
      </c>
      <c r="AF1897">
        <v>9.2915973133340796E-2</v>
      </c>
      <c r="AG1897">
        <v>-0.26055889999999898</v>
      </c>
      <c r="AH1897">
        <v>0.21003385538393099</v>
      </c>
      <c r="AI1897">
        <v>138.60558274891801</v>
      </c>
      <c r="AJ1897">
        <v>66.136086958483801</v>
      </c>
      <c r="AK1897">
        <v>0.34733059012987</v>
      </c>
      <c r="AL1897">
        <v>94.318852069810006</v>
      </c>
      <c r="AM1897">
        <v>91.607324648387007</v>
      </c>
      <c r="AN1897">
        <v>1.0000000362077499</v>
      </c>
    </row>
    <row r="1898" spans="1:40" x14ac:dyDescent="0.25">
      <c r="A1898" t="str">
        <f>"20190305135230841"</f>
        <v>20190305135230841</v>
      </c>
      <c r="B1898" t="str">
        <f>"1551765150831831"</f>
        <v>1551765150831831</v>
      </c>
      <c r="C1898" t="s">
        <v>40</v>
      </c>
      <c r="D1898">
        <v>4.6086260000000001</v>
      </c>
      <c r="E1898">
        <v>0.56113959999999996</v>
      </c>
      <c r="F1898" t="s">
        <v>41</v>
      </c>
      <c r="G1898">
        <v>-269.53769999999997</v>
      </c>
      <c r="H1898">
        <v>0.91510159999999996</v>
      </c>
      <c r="I1898">
        <v>285.19569999999999</v>
      </c>
      <c r="J1898">
        <v>-269.20330000000001</v>
      </c>
      <c r="K1898">
        <v>1.1085210000000001</v>
      </c>
      <c r="L1898">
        <v>285.09100000000001</v>
      </c>
      <c r="M1898">
        <v>-0.99985060000000003</v>
      </c>
      <c r="N1898">
        <v>-1.231811E-2</v>
      </c>
      <c r="O1898">
        <v>-1.2130439999999999E-2</v>
      </c>
      <c r="P1898">
        <v>-0.99522169999999999</v>
      </c>
      <c r="Q1898">
        <v>-8.8926720000000001E-2</v>
      </c>
      <c r="R1898">
        <v>-4.032405E-2</v>
      </c>
      <c r="S1898">
        <v>-2.9642330000000001</v>
      </c>
      <c r="T1898">
        <v>-0.74085459999999903</v>
      </c>
      <c r="U1898">
        <v>0.37939450000000002</v>
      </c>
      <c r="V1898">
        <v>-2.819402E-2</v>
      </c>
      <c r="W1898">
        <v>-7.6675320000000005E-2</v>
      </c>
      <c r="X1898">
        <v>0.99665740000000003</v>
      </c>
      <c r="Y1898">
        <v>0.13436870000000001</v>
      </c>
      <c r="Z1898">
        <v>2.014496E-2</v>
      </c>
      <c r="AA1898">
        <v>0.99072660000000001</v>
      </c>
      <c r="AB1898">
        <v>47</v>
      </c>
      <c r="AC1898">
        <v>-0.33439999999995901</v>
      </c>
      <c r="AD1898">
        <v>-0.19341939999999899</v>
      </c>
      <c r="AE1898">
        <v>0.104699999999979</v>
      </c>
      <c r="AF1898">
        <v>8.3352610211087905E-2</v>
      </c>
      <c r="AG1898">
        <v>-0.19341939999999899</v>
      </c>
      <c r="AH1898">
        <v>0.25531439830550601</v>
      </c>
      <c r="AI1898">
        <v>125.76015820106301</v>
      </c>
      <c r="AJ1898">
        <v>71.919668843600505</v>
      </c>
      <c r="AK1898">
        <v>0.330974566858942</v>
      </c>
      <c r="AL1898">
        <v>94.3974883535559</v>
      </c>
      <c r="AM1898">
        <v>91.620383951612098</v>
      </c>
      <c r="AN1898">
        <v>0.99999999021781105</v>
      </c>
    </row>
    <row r="1899" spans="1:40" x14ac:dyDescent="0.25">
      <c r="A1899" t="str">
        <f>"20190305135230863"</f>
        <v>20190305135230863</v>
      </c>
      <c r="B1899" t="str">
        <f>"1551765150851351"</f>
        <v>1551765150851351</v>
      </c>
      <c r="C1899" t="s">
        <v>40</v>
      </c>
      <c r="D1899">
        <v>4.5928240000000002</v>
      </c>
      <c r="E1899">
        <v>0.56165129999999996</v>
      </c>
      <c r="F1899" t="s">
        <v>41</v>
      </c>
      <c r="G1899">
        <v>-269.96129999999999</v>
      </c>
      <c r="H1899">
        <v>0.91882710000000001</v>
      </c>
      <c r="I1899">
        <v>285.1891</v>
      </c>
      <c r="J1899">
        <v>-269.65949999999998</v>
      </c>
      <c r="K1899">
        <v>1.108463</v>
      </c>
      <c r="L1899">
        <v>285.08539999999999</v>
      </c>
      <c r="M1899">
        <v>-0.99984899999999999</v>
      </c>
      <c r="N1899">
        <v>-1.246826E-2</v>
      </c>
      <c r="O1899">
        <v>-1.2116149999999999E-2</v>
      </c>
      <c r="P1899">
        <v>-0.99511430000000001</v>
      </c>
      <c r="Q1899">
        <v>-9.002454E-2</v>
      </c>
      <c r="R1899">
        <v>-4.0533E-2</v>
      </c>
      <c r="S1899">
        <v>-2.963654</v>
      </c>
      <c r="T1899">
        <v>-0.7417127</v>
      </c>
      <c r="U1899">
        <v>0.38287349999999998</v>
      </c>
      <c r="V1899">
        <v>-2.842956E-2</v>
      </c>
      <c r="W1899">
        <v>-7.7620729999999999E-2</v>
      </c>
      <c r="X1899">
        <v>0.99657759999999995</v>
      </c>
      <c r="Y1899">
        <v>0.1354745</v>
      </c>
      <c r="Z1899">
        <v>2.0317160000000001E-2</v>
      </c>
      <c r="AA1899">
        <v>0.99057249999999997</v>
      </c>
      <c r="AB1899">
        <v>47</v>
      </c>
      <c r="AC1899">
        <v>-0.301800000000014</v>
      </c>
      <c r="AD1899">
        <v>-0.189635899999999</v>
      </c>
      <c r="AE1899">
        <v>0.103700000000003</v>
      </c>
      <c r="AF1899">
        <v>7.9334023502608195E-2</v>
      </c>
      <c r="AG1899">
        <v>-0.189635899999999</v>
      </c>
      <c r="AH1899">
        <v>0.22209328317608501</v>
      </c>
      <c r="AI1899">
        <v>128.80261216478701</v>
      </c>
      <c r="AJ1899">
        <v>70.342745474193194</v>
      </c>
      <c r="AK1899">
        <v>0.30262367436447402</v>
      </c>
      <c r="AL1899">
        <v>94.451817946725399</v>
      </c>
      <c r="AM1899">
        <v>91.634044506013694</v>
      </c>
      <c r="AN1899">
        <v>1.0000000652146399</v>
      </c>
    </row>
    <row r="1900" spans="1:40" x14ac:dyDescent="0.25">
      <c r="A1900" t="str">
        <f>"20190305135230885"</f>
        <v>20190305135230885</v>
      </c>
      <c r="B1900" t="str">
        <f>"1551765150881607"</f>
        <v>1551765150881607</v>
      </c>
      <c r="C1900" t="s">
        <v>40</v>
      </c>
      <c r="D1900">
        <v>4.5499280000000004</v>
      </c>
      <c r="E1900">
        <v>0.56224759999999996</v>
      </c>
      <c r="F1900" t="s">
        <v>41</v>
      </c>
      <c r="G1900">
        <v>-270.38659999999999</v>
      </c>
      <c r="H1900">
        <v>0.92662540000000004</v>
      </c>
      <c r="I1900">
        <v>285.18040000000002</v>
      </c>
      <c r="J1900">
        <v>-270.13850000000002</v>
      </c>
      <c r="K1900">
        <v>1.1081589999999999</v>
      </c>
      <c r="L1900">
        <v>285.0795</v>
      </c>
      <c r="M1900">
        <v>-0.99985979999999997</v>
      </c>
      <c r="N1900">
        <v>-1.1587490000000001E-2</v>
      </c>
      <c r="O1900">
        <v>-1.20967E-2</v>
      </c>
      <c r="P1900">
        <v>-0.99523010000000001</v>
      </c>
      <c r="Q1900">
        <v>-8.8597129999999996E-2</v>
      </c>
      <c r="R1900">
        <v>-4.0840099999999997E-2</v>
      </c>
      <c r="S1900">
        <v>-2.9634399999999999</v>
      </c>
      <c r="T1900">
        <v>-0.74115529999999996</v>
      </c>
      <c r="U1900">
        <v>0.38671879999999997</v>
      </c>
      <c r="V1900">
        <v>-2.8763919999999998E-2</v>
      </c>
      <c r="W1900">
        <v>-7.7066480000000007E-2</v>
      </c>
      <c r="X1900">
        <v>0.99661089999999997</v>
      </c>
      <c r="Y1900">
        <v>0.1367091</v>
      </c>
      <c r="Z1900">
        <v>2.0406480000000001E-2</v>
      </c>
      <c r="AA1900">
        <v>0.99040099999999998</v>
      </c>
      <c r="AB1900">
        <v>47</v>
      </c>
      <c r="AC1900">
        <v>-0.24809999999996499</v>
      </c>
      <c r="AD1900">
        <v>-0.18153359999999999</v>
      </c>
      <c r="AE1900">
        <v>0.100900000000024</v>
      </c>
      <c r="AF1900">
        <v>7.1189770338399697E-2</v>
      </c>
      <c r="AG1900">
        <v>-0.18153359999999999</v>
      </c>
      <c r="AH1900">
        <v>0.16915308923414499</v>
      </c>
      <c r="AI1900">
        <v>134.68774067448001</v>
      </c>
      <c r="AJ1900">
        <v>67.175721059326804</v>
      </c>
      <c r="AK1900">
        <v>0.25813794553929598</v>
      </c>
      <c r="AL1900">
        <v>94.419966880272497</v>
      </c>
      <c r="AM1900">
        <v>91.653196686961294</v>
      </c>
      <c r="AN1900">
        <v>0.99999994571608097</v>
      </c>
    </row>
    <row r="1901" spans="1:40" x14ac:dyDescent="0.25">
      <c r="A1901" t="str">
        <f>"20190305135230908"</f>
        <v>20190305135230908</v>
      </c>
      <c r="B1901" t="str">
        <f>"1551765150901128"</f>
        <v>1551765150901128</v>
      </c>
      <c r="C1901" t="s">
        <v>40</v>
      </c>
      <c r="D1901">
        <v>4.5593300000000001</v>
      </c>
      <c r="E1901">
        <v>0.56267519999999904</v>
      </c>
      <c r="F1901" t="s">
        <v>41</v>
      </c>
      <c r="G1901">
        <v>-271.20740000000001</v>
      </c>
      <c r="H1901">
        <v>0.84391439999999995</v>
      </c>
      <c r="I1901">
        <v>285.22039999999998</v>
      </c>
      <c r="J1901">
        <v>-270.65600000000001</v>
      </c>
      <c r="K1901">
        <v>1.107745</v>
      </c>
      <c r="L1901">
        <v>285.07310000000001</v>
      </c>
      <c r="M1901">
        <v>-0.99987619999999999</v>
      </c>
      <c r="N1901">
        <v>-1.0075600000000001E-2</v>
      </c>
      <c r="O1901">
        <v>-1.2085540000000001E-2</v>
      </c>
      <c r="P1901">
        <v>-0.99553389999999997</v>
      </c>
      <c r="Q1901">
        <v>-8.5207870000000005E-2</v>
      </c>
      <c r="R1901">
        <v>-4.0644329999999999E-2</v>
      </c>
      <c r="S1901">
        <v>-2.9651489999999998</v>
      </c>
      <c r="T1901">
        <v>-0.73307469999999997</v>
      </c>
      <c r="U1901">
        <v>0.39035029999999998</v>
      </c>
      <c r="V1901">
        <v>-2.8585570000000001E-2</v>
      </c>
      <c r="W1901">
        <v>-7.5177759999999996E-2</v>
      </c>
      <c r="X1901">
        <v>0.99676030000000004</v>
      </c>
      <c r="Y1901">
        <v>0.13790620000000001</v>
      </c>
      <c r="Z1901">
        <v>2.0246259999999999E-2</v>
      </c>
      <c r="AA1901">
        <v>0.99023830000000002</v>
      </c>
      <c r="AB1901">
        <v>48</v>
      </c>
      <c r="AC1901">
        <v>-0.551400000000001</v>
      </c>
      <c r="AD1901">
        <v>-0.26383059999999903</v>
      </c>
      <c r="AE1901">
        <v>0.14729999999997201</v>
      </c>
      <c r="AF1901">
        <v>0.12684770695103401</v>
      </c>
      <c r="AG1901">
        <v>-0.26383059999999903</v>
      </c>
      <c r="AH1901">
        <v>0.45281770279628503</v>
      </c>
      <c r="AI1901">
        <v>119.294357981636</v>
      </c>
      <c r="AJ1901">
        <v>74.350860454560006</v>
      </c>
      <c r="AK1901">
        <v>0.53920385590312703</v>
      </c>
      <c r="AL1901">
        <v>94.311436197081804</v>
      </c>
      <c r="AM1901">
        <v>91.642705596120905</v>
      </c>
      <c r="AN1901">
        <v>0.99999996303346494</v>
      </c>
    </row>
    <row r="1902" spans="1:40" x14ac:dyDescent="0.25">
      <c r="A1902" t="str">
        <f>"20190305135230930"</f>
        <v>20190305135230930</v>
      </c>
      <c r="B1902" t="str">
        <f>"1551765150921627"</f>
        <v>1551765150921627</v>
      </c>
      <c r="C1902" t="s">
        <v>40</v>
      </c>
      <c r="D1902">
        <v>4.5046679999999997</v>
      </c>
      <c r="E1902">
        <v>0.5629923</v>
      </c>
      <c r="F1902" t="s">
        <v>41</v>
      </c>
      <c r="G1902">
        <v>-271.6472</v>
      </c>
      <c r="H1902">
        <v>0.86725229999999998</v>
      </c>
      <c r="I1902">
        <v>285.20490000000001</v>
      </c>
      <c r="J1902">
        <v>-271.11540000000002</v>
      </c>
      <c r="K1902">
        <v>1.1074759999999999</v>
      </c>
      <c r="L1902">
        <v>285.0675</v>
      </c>
      <c r="M1902">
        <v>-0.99988790000000005</v>
      </c>
      <c r="N1902">
        <v>-8.8384469999999993E-3</v>
      </c>
      <c r="O1902">
        <v>-1.208418E-2</v>
      </c>
      <c r="P1902">
        <v>-0.99585469999999998</v>
      </c>
      <c r="Q1902">
        <v>-8.1600270000000003E-2</v>
      </c>
      <c r="R1902">
        <v>-4.0188559999999998E-2</v>
      </c>
      <c r="S1902">
        <v>-2.9679570000000002</v>
      </c>
      <c r="T1902">
        <v>-0.72005920000000001</v>
      </c>
      <c r="U1902">
        <v>0.3944397</v>
      </c>
      <c r="V1902">
        <v>-2.8134260000000001E-2</v>
      </c>
      <c r="W1902">
        <v>-7.2798100000000004E-2</v>
      </c>
      <c r="X1902">
        <v>0.9969498</v>
      </c>
      <c r="Y1902">
        <v>0.13926740000000001</v>
      </c>
      <c r="Z1902">
        <v>1.9983020000000001E-2</v>
      </c>
      <c r="AA1902">
        <v>0.99005319999999997</v>
      </c>
      <c r="AB1902">
        <v>48</v>
      </c>
      <c r="AC1902">
        <v>-0.53179999999997496</v>
      </c>
      <c r="AD1902">
        <v>-0.24022370000000001</v>
      </c>
      <c r="AE1902">
        <v>0.13740000000001301</v>
      </c>
      <c r="AF1902">
        <v>0.12072436344533299</v>
      </c>
      <c r="AG1902">
        <v>-0.24022370000000001</v>
      </c>
      <c r="AH1902">
        <v>0.44498396300619603</v>
      </c>
      <c r="AI1902">
        <v>117.52014725374001</v>
      </c>
      <c r="AJ1902">
        <v>74.820998379459496</v>
      </c>
      <c r="AK1902">
        <v>0.51989664867516805</v>
      </c>
      <c r="AL1902">
        <v>94.1747167934668</v>
      </c>
      <c r="AM1902">
        <v>91.616477222183406</v>
      </c>
      <c r="AN1902">
        <v>1.00000000183469</v>
      </c>
    </row>
    <row r="1903" spans="1:40" x14ac:dyDescent="0.25">
      <c r="A1903" t="str">
        <f>"20190305135230951"</f>
        <v>20190305135230951</v>
      </c>
      <c r="B1903" t="str">
        <f>"1551765150941143"</f>
        <v>1551765150941143</v>
      </c>
      <c r="C1903" t="s">
        <v>40</v>
      </c>
      <c r="D1903">
        <v>4.490799</v>
      </c>
      <c r="E1903">
        <v>0.56333420000000001</v>
      </c>
      <c r="F1903" t="s">
        <v>41</v>
      </c>
      <c r="G1903">
        <v>-272.0831</v>
      </c>
      <c r="H1903">
        <v>0.87702990000000003</v>
      </c>
      <c r="I1903">
        <v>285.19760000000002</v>
      </c>
      <c r="J1903">
        <v>-271.57650000000001</v>
      </c>
      <c r="K1903">
        <v>1.1073770000000001</v>
      </c>
      <c r="L1903">
        <v>285.06189999999998</v>
      </c>
      <c r="M1903">
        <v>-0.99989430000000001</v>
      </c>
      <c r="N1903">
        <v>-8.0837700000000005E-3</v>
      </c>
      <c r="O1903">
        <v>-1.209316E-2</v>
      </c>
      <c r="P1903">
        <v>-0.99607250000000003</v>
      </c>
      <c r="Q1903">
        <v>-7.9055399999999998E-2</v>
      </c>
      <c r="R1903">
        <v>-3.9879150000000002E-2</v>
      </c>
      <c r="S1903">
        <v>-2.9705509999999999</v>
      </c>
      <c r="T1903">
        <v>-0.7074916</v>
      </c>
      <c r="U1903">
        <v>0.39810180000000001</v>
      </c>
      <c r="V1903">
        <v>-2.7818889999999999E-2</v>
      </c>
      <c r="W1903">
        <v>-7.1001889999999998E-2</v>
      </c>
      <c r="X1903">
        <v>0.99708819999999998</v>
      </c>
      <c r="Y1903">
        <v>0.1404955</v>
      </c>
      <c r="Z1903">
        <v>1.9740779999999999E-2</v>
      </c>
      <c r="AA1903">
        <v>0.98988449999999994</v>
      </c>
      <c r="AB1903">
        <v>48</v>
      </c>
      <c r="AC1903">
        <v>-0.50659999999999095</v>
      </c>
      <c r="AD1903">
        <v>-0.230347099999999</v>
      </c>
      <c r="AE1903">
        <v>0.13570000000004201</v>
      </c>
      <c r="AF1903">
        <v>0.118883561232847</v>
      </c>
      <c r="AG1903">
        <v>-0.230347099999999</v>
      </c>
      <c r="AH1903">
        <v>0.42327117276598902</v>
      </c>
      <c r="AI1903">
        <v>117.651542562538</v>
      </c>
      <c r="AJ1903">
        <v>74.311617497975604</v>
      </c>
      <c r="AK1903">
        <v>0.49633816426354899</v>
      </c>
      <c r="AL1903">
        <v>94.071534406495601</v>
      </c>
      <c r="AM1903">
        <v>91.598145085281402</v>
      </c>
      <c r="AN1903">
        <v>1.0000000188018201</v>
      </c>
    </row>
    <row r="1904" spans="1:40" x14ac:dyDescent="0.25">
      <c r="A1904" t="str">
        <f>"20190305135230975"</f>
        <v>20190305135230975</v>
      </c>
      <c r="B1904" t="str">
        <f>"1551765150970983"</f>
        <v>1551765150970983</v>
      </c>
      <c r="C1904" t="s">
        <v>40</v>
      </c>
      <c r="D1904">
        <v>4.4681439999999997</v>
      </c>
      <c r="E1904">
        <v>0.56375629999999999</v>
      </c>
      <c r="F1904" t="s">
        <v>41</v>
      </c>
      <c r="G1904">
        <v>-272.51819999999998</v>
      </c>
      <c r="H1904">
        <v>0.88614999999999999</v>
      </c>
      <c r="I1904">
        <v>285.18900000000002</v>
      </c>
      <c r="J1904">
        <v>-272.0872</v>
      </c>
      <c r="K1904">
        <v>1.107497</v>
      </c>
      <c r="L1904">
        <v>285.0557</v>
      </c>
      <c r="M1904">
        <v>-0.99989399999999995</v>
      </c>
      <c r="N1904">
        <v>-8.09339699999999E-3</v>
      </c>
      <c r="O1904">
        <v>-1.2114639999999999E-2</v>
      </c>
      <c r="P1904">
        <v>-0.99613770000000001</v>
      </c>
      <c r="Q1904">
        <v>-7.8664330000000005E-2</v>
      </c>
      <c r="R1904">
        <v>-3.9012770000000002E-2</v>
      </c>
      <c r="S1904">
        <v>-2.9724729999999999</v>
      </c>
      <c r="T1904">
        <v>-0.69833650000000003</v>
      </c>
      <c r="U1904">
        <v>0.40118409999999999</v>
      </c>
      <c r="V1904">
        <v>-2.6934840000000002E-2</v>
      </c>
      <c r="W1904">
        <v>-7.0598980000000006E-2</v>
      </c>
      <c r="X1904">
        <v>0.9971411</v>
      </c>
      <c r="Y1904">
        <v>0.14152529999999999</v>
      </c>
      <c r="Z1904">
        <v>1.9613249999999999E-2</v>
      </c>
      <c r="AA1904">
        <v>0.98974030000000002</v>
      </c>
      <c r="AB1904">
        <v>48</v>
      </c>
      <c r="AC1904">
        <v>-0.43099999999998301</v>
      </c>
      <c r="AD1904">
        <v>-0.22134699999999999</v>
      </c>
      <c r="AE1904">
        <v>0.13330000000001899</v>
      </c>
      <c r="AF1904">
        <v>0.111637895602755</v>
      </c>
      <c r="AG1904">
        <v>-0.22134699999999999</v>
      </c>
      <c r="AH1904">
        <v>0.346050768799958</v>
      </c>
      <c r="AI1904">
        <v>121.330712349027</v>
      </c>
      <c r="AJ1904">
        <v>72.120011410693294</v>
      </c>
      <c r="AK1904">
        <v>0.42568609177497602</v>
      </c>
      <c r="AL1904">
        <v>94.048391210993998</v>
      </c>
      <c r="AM1904">
        <v>91.547301051461304</v>
      </c>
      <c r="AN1904">
        <v>1.0000000374460301</v>
      </c>
    </row>
    <row r="1905" spans="1:40" x14ac:dyDescent="0.25">
      <c r="A1905" t="str">
        <f>"20190305135230999"</f>
        <v>20190305135230999</v>
      </c>
      <c r="B1905" t="str">
        <f>"1551765150991480"</f>
        <v>1551765150991480</v>
      </c>
      <c r="C1905" t="s">
        <v>40</v>
      </c>
      <c r="D1905">
        <v>4.473884</v>
      </c>
      <c r="E1905">
        <v>0.56404370000000004</v>
      </c>
      <c r="F1905" t="s">
        <v>41</v>
      </c>
      <c r="G1905">
        <v>-272.95600000000002</v>
      </c>
      <c r="H1905">
        <v>0.90453859999999997</v>
      </c>
      <c r="I1905">
        <v>285.1748</v>
      </c>
      <c r="J1905">
        <v>-272.58730000000003</v>
      </c>
      <c r="K1905">
        <v>1.1077189999999999</v>
      </c>
      <c r="L1905">
        <v>285.0496</v>
      </c>
      <c r="M1905">
        <v>-0.99988960000000005</v>
      </c>
      <c r="N1905">
        <v>-8.6002000000000006E-3</v>
      </c>
      <c r="O1905">
        <v>-1.2137439999999999E-2</v>
      </c>
      <c r="P1905">
        <v>-0.99604179999999998</v>
      </c>
      <c r="Q1905">
        <v>-8.0127450000000003E-2</v>
      </c>
      <c r="R1905">
        <v>-3.84766E-2</v>
      </c>
      <c r="S1905">
        <v>-2.9727169999999998</v>
      </c>
      <c r="T1905">
        <v>-0.69451049999999903</v>
      </c>
      <c r="U1905">
        <v>0.40664670000000003</v>
      </c>
      <c r="V1905">
        <v>-2.638006E-2</v>
      </c>
      <c r="W1905">
        <v>-7.1556389999999997E-2</v>
      </c>
      <c r="X1905">
        <v>0.99708770000000002</v>
      </c>
      <c r="Y1905">
        <v>0.14331279999999999</v>
      </c>
      <c r="Z1905">
        <v>1.975588E-2</v>
      </c>
      <c r="AA1905">
        <v>0.98948029999999998</v>
      </c>
      <c r="AB1905">
        <v>48</v>
      </c>
      <c r="AC1905">
        <v>-0.36869999999993203</v>
      </c>
      <c r="AD1905">
        <v>-0.20318040000000001</v>
      </c>
      <c r="AE1905">
        <v>0.125200000000006</v>
      </c>
      <c r="AF1905">
        <v>0.10191593138944199</v>
      </c>
      <c r="AG1905">
        <v>-0.20318040000000001</v>
      </c>
      <c r="AH1905">
        <v>0.28857798814059199</v>
      </c>
      <c r="AI1905">
        <v>123.57972987240601</v>
      </c>
      <c r="AJ1905">
        <v>70.548511826322596</v>
      </c>
      <c r="AK1905">
        <v>0.36735049646680601</v>
      </c>
      <c r="AL1905">
        <v>94.103385792783399</v>
      </c>
      <c r="AM1905">
        <v>91.515527254661507</v>
      </c>
      <c r="AN1905">
        <v>1.0000000530033599</v>
      </c>
    </row>
    <row r="1906" spans="1:40" x14ac:dyDescent="0.25">
      <c r="A1906" t="str">
        <f>"20190305135231019"</f>
        <v>20190305135231019</v>
      </c>
      <c r="B1906" t="str">
        <f>"1551765151010999"</f>
        <v>1551765151010999</v>
      </c>
      <c r="C1906" t="s">
        <v>40</v>
      </c>
      <c r="D1906">
        <v>4.4787629999999998</v>
      </c>
      <c r="E1906">
        <v>0.56434669999999998</v>
      </c>
      <c r="F1906" t="s">
        <v>41</v>
      </c>
      <c r="G1906">
        <v>-273.39150000000001</v>
      </c>
      <c r="H1906">
        <v>0.91881919999999995</v>
      </c>
      <c r="I1906">
        <v>285.16070000000002</v>
      </c>
      <c r="J1906">
        <v>-273.03919999999999</v>
      </c>
      <c r="K1906">
        <v>1.1079049999999999</v>
      </c>
      <c r="L1906">
        <v>285.04410000000001</v>
      </c>
      <c r="M1906">
        <v>-0.99988440000000001</v>
      </c>
      <c r="N1906">
        <v>-9.1433199999999999E-3</v>
      </c>
      <c r="O1906">
        <v>-1.2152960000000001E-2</v>
      </c>
      <c r="P1906">
        <v>-0.99594280000000002</v>
      </c>
      <c r="Q1906">
        <v>-8.1778900000000002E-2</v>
      </c>
      <c r="R1906">
        <v>-3.7553499999999997E-2</v>
      </c>
      <c r="S1906">
        <v>-2.9715880000000001</v>
      </c>
      <c r="T1906">
        <v>-0.69797830000000005</v>
      </c>
      <c r="U1906">
        <v>0.4100647</v>
      </c>
      <c r="V1906">
        <v>-2.5444689999999999E-2</v>
      </c>
      <c r="W1906">
        <v>-7.2666560000000005E-2</v>
      </c>
      <c r="X1906">
        <v>0.99703169999999997</v>
      </c>
      <c r="Y1906">
        <v>0.14441319999999999</v>
      </c>
      <c r="Z1906">
        <v>2.0023869999999999E-2</v>
      </c>
      <c r="AA1906">
        <v>0.9893149</v>
      </c>
      <c r="AB1906">
        <v>48</v>
      </c>
      <c r="AC1906">
        <v>-0.35230000000001299</v>
      </c>
      <c r="AD1906">
        <v>-0.1890858</v>
      </c>
      <c r="AE1906">
        <v>0.11660000000000501</v>
      </c>
      <c r="AF1906">
        <v>9.5959411355794805E-2</v>
      </c>
      <c r="AG1906">
        <v>-0.1890858</v>
      </c>
      <c r="AH1906">
        <v>0.27854032719271199</v>
      </c>
      <c r="AI1906">
        <v>122.693369870897</v>
      </c>
      <c r="AJ1906">
        <v>70.990753199440206</v>
      </c>
      <c r="AK1906">
        <v>0.35006622553741701</v>
      </c>
      <c r="AL1906">
        <v>94.1671599500757</v>
      </c>
      <c r="AM1906">
        <v>91.461896317590799</v>
      </c>
      <c r="AN1906">
        <v>1.00000003599815</v>
      </c>
    </row>
    <row r="1907" spans="1:40" x14ac:dyDescent="0.25">
      <c r="A1907" t="str">
        <f>"20190305135231041"</f>
        <v>20190305135231041</v>
      </c>
      <c r="B1907" t="str">
        <f>"1551765151031495"</f>
        <v>1551765151031495</v>
      </c>
      <c r="C1907" t="s">
        <v>40</v>
      </c>
      <c r="D1907">
        <v>4.487724</v>
      </c>
      <c r="E1907">
        <v>0.5645559</v>
      </c>
      <c r="F1907" t="s">
        <v>41</v>
      </c>
      <c r="G1907">
        <v>-273.8229</v>
      </c>
      <c r="H1907">
        <v>0.92283939999999998</v>
      </c>
      <c r="I1907">
        <v>285.154</v>
      </c>
      <c r="J1907">
        <v>-273.50009999999997</v>
      </c>
      <c r="K1907">
        <v>1.1080559999999999</v>
      </c>
      <c r="L1907">
        <v>285.0385</v>
      </c>
      <c r="M1907">
        <v>-0.99987939999999997</v>
      </c>
      <c r="N1907">
        <v>-9.6625800000000005E-3</v>
      </c>
      <c r="O1907">
        <v>-1.2161750000000001E-2</v>
      </c>
      <c r="P1907">
        <v>-0.99596359999999995</v>
      </c>
      <c r="Q1907">
        <v>-8.1871940000000004E-2</v>
      </c>
      <c r="R1907">
        <v>-3.6789599999999999E-2</v>
      </c>
      <c r="S1907">
        <v>-2.9703059999999999</v>
      </c>
      <c r="T1907">
        <v>-0.70148809999999995</v>
      </c>
      <c r="U1907">
        <v>0.41513060000000002</v>
      </c>
      <c r="V1907">
        <v>-2.4671930000000002E-2</v>
      </c>
      <c r="W1907">
        <v>-7.2241399999999997E-2</v>
      </c>
      <c r="X1907">
        <v>0.99708200000000002</v>
      </c>
      <c r="Y1907">
        <v>0.14603669999999999</v>
      </c>
      <c r="Z1907">
        <v>2.0355479999999999E-2</v>
      </c>
      <c r="AA1907">
        <v>0.9890698</v>
      </c>
      <c r="AB1907">
        <v>48</v>
      </c>
      <c r="AC1907">
        <v>-0.32280000000002901</v>
      </c>
      <c r="AD1907">
        <v>-0.18521659999999901</v>
      </c>
      <c r="AE1907">
        <v>0.11549999999999699</v>
      </c>
      <c r="AF1907">
        <v>9.2438423484328097E-2</v>
      </c>
      <c r="AG1907">
        <v>-0.18521659999999901</v>
      </c>
      <c r="AH1907">
        <v>0.24876651306224601</v>
      </c>
      <c r="AI1907">
        <v>124.911743734615</v>
      </c>
      <c r="AJ1907">
        <v>69.615584095528504</v>
      </c>
      <c r="AK1907">
        <v>0.323627608638349</v>
      </c>
      <c r="AL1907">
        <v>94.142735953794102</v>
      </c>
      <c r="AM1907">
        <v>91.417445170275002</v>
      </c>
      <c r="AN1907">
        <v>1.00000001936394</v>
      </c>
    </row>
    <row r="1908" spans="1:40" x14ac:dyDescent="0.25">
      <c r="A1908" t="str">
        <f>"20190305135231063"</f>
        <v>20190305135231063</v>
      </c>
      <c r="B1908" t="str">
        <f>"1551765151061752"</f>
        <v>1551765151061752</v>
      </c>
      <c r="C1908" t="s">
        <v>40</v>
      </c>
      <c r="D1908">
        <v>4.4924730000000004</v>
      </c>
      <c r="E1908">
        <v>0.56471839999999995</v>
      </c>
      <c r="F1908" t="s">
        <v>41</v>
      </c>
      <c r="G1908">
        <v>-274.25569999999999</v>
      </c>
      <c r="H1908">
        <v>0.92984290000000003</v>
      </c>
      <c r="I1908">
        <v>285.14530000000002</v>
      </c>
      <c r="J1908">
        <v>-273.97770000000003</v>
      </c>
      <c r="K1908">
        <v>1.1081780000000001</v>
      </c>
      <c r="L1908">
        <v>285.03269999999998</v>
      </c>
      <c r="M1908">
        <v>-0.99987440000000005</v>
      </c>
      <c r="N1908">
        <v>-1.01706E-2</v>
      </c>
      <c r="O1908">
        <v>-1.216445E-2</v>
      </c>
      <c r="P1908">
        <v>-0.99599099999999996</v>
      </c>
      <c r="Q1908">
        <v>-8.179736E-2</v>
      </c>
      <c r="R1908">
        <v>-3.6211140000000003E-2</v>
      </c>
      <c r="S1908">
        <v>-2.9700319999999998</v>
      </c>
      <c r="T1908">
        <v>-0.70052239999999999</v>
      </c>
      <c r="U1908">
        <v>0.41888429999999999</v>
      </c>
      <c r="V1908">
        <v>-2.409147E-2</v>
      </c>
      <c r="W1908">
        <v>-7.1659870000000001E-2</v>
      </c>
      <c r="X1908">
        <v>0.99713810000000003</v>
      </c>
      <c r="Y1908">
        <v>0.14724799999999999</v>
      </c>
      <c r="Z1908">
        <v>2.050803E-2</v>
      </c>
      <c r="AA1908">
        <v>0.98888699999999996</v>
      </c>
      <c r="AB1908">
        <v>48</v>
      </c>
      <c r="AC1908">
        <v>-0.277999999999963</v>
      </c>
      <c r="AD1908">
        <v>-0.1783351</v>
      </c>
      <c r="AE1908">
        <v>0.112600000000043</v>
      </c>
      <c r="AF1908">
        <v>8.5683089836451495E-2</v>
      </c>
      <c r="AG1908">
        <v>-0.1783351</v>
      </c>
      <c r="AH1908">
        <v>0.204363553333406</v>
      </c>
      <c r="AI1908">
        <v>128.825908857705</v>
      </c>
      <c r="AJ1908">
        <v>67.253257170721497</v>
      </c>
      <c r="AK1908">
        <v>0.28444588537538601</v>
      </c>
      <c r="AL1908">
        <v>94.109330389233307</v>
      </c>
      <c r="AM1908">
        <v>91.384032024224695</v>
      </c>
      <c r="AN1908">
        <v>0.99999996318339301</v>
      </c>
    </row>
    <row r="1909" spans="1:40" x14ac:dyDescent="0.25">
      <c r="A1909" t="str">
        <f>"20190305135231088"</f>
        <v>20190305135231088</v>
      </c>
      <c r="B1909" t="str">
        <f>"1551765151081271"</f>
        <v>1551765151081271</v>
      </c>
      <c r="C1909" t="s">
        <v>40</v>
      </c>
      <c r="D1909">
        <v>4.5923579999999999</v>
      </c>
      <c r="E1909">
        <v>0.56474599999999997</v>
      </c>
      <c r="F1909" t="s">
        <v>41</v>
      </c>
      <c r="G1909">
        <v>-274.68990000000002</v>
      </c>
      <c r="H1909">
        <v>0.94068669999999999</v>
      </c>
      <c r="I1909">
        <v>285.13420000000002</v>
      </c>
      <c r="J1909">
        <v>-274.48860000000002</v>
      </c>
      <c r="K1909">
        <v>1.108274</v>
      </c>
      <c r="L1909">
        <v>285.0265</v>
      </c>
      <c r="M1909">
        <v>-0.99986889999999995</v>
      </c>
      <c r="N1909">
        <v>-1.069486E-2</v>
      </c>
      <c r="O1909">
        <v>-1.2163200000000001E-2</v>
      </c>
      <c r="P1909">
        <v>-0.99602789999999997</v>
      </c>
      <c r="Q1909">
        <v>-8.1250439999999993E-2</v>
      </c>
      <c r="R1909">
        <v>-3.6424819999999997E-2</v>
      </c>
      <c r="S1909">
        <v>-2.9700009999999999</v>
      </c>
      <c r="T1909">
        <v>-0.69848880000000002</v>
      </c>
      <c r="U1909">
        <v>0.42196660000000002</v>
      </c>
      <c r="V1909">
        <v>-2.430587E-2</v>
      </c>
      <c r="W1909">
        <v>-7.0589669999999993E-2</v>
      </c>
      <c r="X1909">
        <v>0.99720929999999997</v>
      </c>
      <c r="Y1909">
        <v>0.14824419999999999</v>
      </c>
      <c r="Z1909">
        <v>2.0603940000000001E-2</v>
      </c>
      <c r="AA1909">
        <v>0.98873619999999995</v>
      </c>
      <c r="AB1909">
        <v>48</v>
      </c>
      <c r="AC1909">
        <v>-0.201300000000003</v>
      </c>
      <c r="AD1909">
        <v>-0.16758729999999999</v>
      </c>
      <c r="AE1909">
        <v>0.107700000000022</v>
      </c>
      <c r="AF1909">
        <v>7.1573232497319603E-2</v>
      </c>
      <c r="AG1909">
        <v>-0.16758729999999999</v>
      </c>
      <c r="AH1909">
        <v>0.12995079046776001</v>
      </c>
      <c r="AI1909">
        <v>138.48298621448399</v>
      </c>
      <c r="AJ1909">
        <v>61.155265966635298</v>
      </c>
      <c r="AK1909">
        <v>0.22382010337456501</v>
      </c>
      <c r="AL1909">
        <v>94.047856473535404</v>
      </c>
      <c r="AM1909">
        <v>91.396244586750996</v>
      </c>
      <c r="AN1909">
        <v>1.0000000324168199</v>
      </c>
    </row>
    <row r="1910" spans="1:40" x14ac:dyDescent="0.25">
      <c r="A1910" t="str">
        <f>"20190305135231109"</f>
        <v>20190305135231109</v>
      </c>
      <c r="B1910" t="str">
        <f>"1551765151101771"</f>
        <v>1551765151101771</v>
      </c>
      <c r="C1910" t="s">
        <v>40</v>
      </c>
      <c r="D1910">
        <v>4.4991810000000001</v>
      </c>
      <c r="E1910">
        <v>0.51869790000000005</v>
      </c>
      <c r="F1910" t="s">
        <v>41</v>
      </c>
      <c r="G1910">
        <v>-275.51839999999999</v>
      </c>
      <c r="H1910">
        <v>0.86670369999999997</v>
      </c>
      <c r="I1910">
        <v>285.17270000000002</v>
      </c>
      <c r="J1910">
        <v>-274.96519999999998</v>
      </c>
      <c r="K1910">
        <v>1.108341</v>
      </c>
      <c r="L1910">
        <v>285.02069999999998</v>
      </c>
      <c r="M1910">
        <v>-0.99986370000000002</v>
      </c>
      <c r="N1910">
        <v>-1.115902E-2</v>
      </c>
      <c r="O1910">
        <v>-1.2161989999999999E-2</v>
      </c>
      <c r="P1910">
        <v>-0.9959905</v>
      </c>
      <c r="Q1910">
        <v>-8.1475000000000006E-2</v>
      </c>
      <c r="R1910">
        <v>-3.6940969999999997E-2</v>
      </c>
      <c r="S1910">
        <v>-2.9705509999999999</v>
      </c>
      <c r="T1910">
        <v>-0.69684389999999996</v>
      </c>
      <c r="U1910">
        <v>0.42129519999999998</v>
      </c>
      <c r="V1910">
        <v>-2.482411E-2</v>
      </c>
      <c r="W1910">
        <v>-7.0351540000000004E-2</v>
      </c>
      <c r="X1910">
        <v>0.99721329999999997</v>
      </c>
      <c r="Y1910">
        <v>0.1480197</v>
      </c>
      <c r="Z1910">
        <v>2.0557039999999999E-2</v>
      </c>
      <c r="AA1910">
        <v>0.9887707</v>
      </c>
      <c r="AB1910">
        <v>48</v>
      </c>
      <c r="AC1910">
        <v>-0.55320000000000302</v>
      </c>
      <c r="AD1910">
        <v>-0.241637299999999</v>
      </c>
      <c r="AE1910">
        <v>0.15200000000004299</v>
      </c>
      <c r="AF1910">
        <v>0.134803056858739</v>
      </c>
      <c r="AG1910">
        <v>-0.241637299999999</v>
      </c>
      <c r="AH1910">
        <v>0.46824367248276</v>
      </c>
      <c r="AI1910">
        <v>116.377209779179</v>
      </c>
      <c r="AJ1910">
        <v>73.939375836133706</v>
      </c>
      <c r="AK1910">
        <v>0.54388655591942303</v>
      </c>
      <c r="AL1910">
        <v>94.034178874438098</v>
      </c>
      <c r="AM1910">
        <v>91.425996871544001</v>
      </c>
      <c r="AN1910">
        <v>0.99999997065727597</v>
      </c>
    </row>
    <row r="1911" spans="1:40" x14ac:dyDescent="0.25">
      <c r="A1911" t="str">
        <f>"20190305135231132"</f>
        <v>20190305135231132</v>
      </c>
      <c r="B1911" t="str">
        <f>"1551765151121287"</f>
        <v>1551765151121287</v>
      </c>
      <c r="C1911" t="s">
        <v>40</v>
      </c>
      <c r="D1911">
        <v>4.5662320000000003</v>
      </c>
      <c r="E1911">
        <v>0.50842770000000004</v>
      </c>
      <c r="F1911" t="s">
        <v>41</v>
      </c>
      <c r="G1911">
        <v>-275.98039999999997</v>
      </c>
      <c r="H1911">
        <v>0.95143770000000005</v>
      </c>
      <c r="I1911">
        <v>285.03620000000001</v>
      </c>
      <c r="J1911">
        <v>-275.4316</v>
      </c>
      <c r="K1911">
        <v>1.1083879999999999</v>
      </c>
      <c r="L1911">
        <v>285.01499999999999</v>
      </c>
      <c r="M1911">
        <v>-0.99985900000000005</v>
      </c>
      <c r="N1911">
        <v>-1.157996E-2</v>
      </c>
      <c r="O1911">
        <v>-1.216193E-2</v>
      </c>
      <c r="P1911">
        <v>-0.99599090000000001</v>
      </c>
      <c r="Q1911">
        <v>-8.1166660000000002E-2</v>
      </c>
      <c r="R1911">
        <v>-3.7603709999999999E-2</v>
      </c>
      <c r="S1911">
        <v>-2.9760740000000001</v>
      </c>
      <c r="T1911">
        <v>-0.46000560000000001</v>
      </c>
      <c r="U1911">
        <v>4.4799800000000001E-2</v>
      </c>
      <c r="V1911">
        <v>-2.5487320000000001E-2</v>
      </c>
      <c r="W1911">
        <v>-6.9623160000000003E-2</v>
      </c>
      <c r="X1911">
        <v>0.99724769999999896</v>
      </c>
      <c r="Y1911">
        <v>2.674665E-2</v>
      </c>
      <c r="Z1911">
        <v>3.939222E-3</v>
      </c>
      <c r="AA1911">
        <v>0.99963449999999998</v>
      </c>
      <c r="AB1911">
        <v>48</v>
      </c>
      <c r="AC1911">
        <v>-0.54879999999997098</v>
      </c>
      <c r="AD1911">
        <v>-0.15695029999999899</v>
      </c>
      <c r="AE1911">
        <v>2.1200000000021601E-2</v>
      </c>
      <c r="AF1911">
        <v>2.57688709286669E-2</v>
      </c>
      <c r="AG1911">
        <v>-0.15695029999999899</v>
      </c>
      <c r="AH1911">
        <v>0.50708894213551003</v>
      </c>
      <c r="AI1911">
        <v>107.177085115194</v>
      </c>
      <c r="AJ1911">
        <v>87.090887875955502</v>
      </c>
      <c r="AK1911">
        <v>0.53144767062725795</v>
      </c>
      <c r="AL1911">
        <v>93.992343142767197</v>
      </c>
      <c r="AM1911">
        <v>91.464027477909099</v>
      </c>
      <c r="AN1911">
        <v>0.99999998152222802</v>
      </c>
    </row>
    <row r="1912" spans="1:40" x14ac:dyDescent="0.25">
      <c r="A1912" t="str">
        <f>"20190305135231153"</f>
        <v>20190305135231153</v>
      </c>
      <c r="B1912" t="str">
        <f>"1551765151141783"</f>
        <v>1551765151141783</v>
      </c>
      <c r="C1912" t="s">
        <v>40</v>
      </c>
      <c r="D1912">
        <v>4.5398339999999999</v>
      </c>
      <c r="E1912">
        <v>0.50384209999999996</v>
      </c>
      <c r="F1912" t="s">
        <v>41</v>
      </c>
      <c r="G1912">
        <v>-276.42739999999998</v>
      </c>
      <c r="H1912">
        <v>0.9896412</v>
      </c>
      <c r="I1912">
        <v>285.00130000000001</v>
      </c>
      <c r="J1912">
        <v>-275.88729999999998</v>
      </c>
      <c r="K1912">
        <v>1.108422</v>
      </c>
      <c r="L1912">
        <v>285.00940000000003</v>
      </c>
      <c r="M1912">
        <v>-0.99985460000000004</v>
      </c>
      <c r="N1912">
        <v>-1.1955540000000001E-2</v>
      </c>
      <c r="O1912">
        <v>-1.2163240000000001E-2</v>
      </c>
      <c r="P1912">
        <v>-0.99594720000000003</v>
      </c>
      <c r="Q1912">
        <v>-8.1345630000000002E-2</v>
      </c>
      <c r="R1912">
        <v>-3.836664E-2</v>
      </c>
      <c r="S1912">
        <v>-2.981506</v>
      </c>
      <c r="T1912">
        <v>-0.3556839</v>
      </c>
      <c r="U1912">
        <v>-4.2205810000000003E-2</v>
      </c>
      <c r="V1912">
        <v>-2.6249939999999999E-2</v>
      </c>
      <c r="W1912">
        <v>-6.9427779999999994E-2</v>
      </c>
      <c r="X1912">
        <v>0.99724159999999995</v>
      </c>
      <c r="Y1912">
        <v>-2.0443610000000002E-3</v>
      </c>
      <c r="Z1912">
        <v>1.1670439999999999E-3</v>
      </c>
      <c r="AA1912">
        <v>0.99999729999999998</v>
      </c>
      <c r="AB1912">
        <v>48</v>
      </c>
      <c r="AC1912">
        <v>-0.54009999999999503</v>
      </c>
      <c r="AD1912">
        <v>-0.11878080000000001</v>
      </c>
      <c r="AE1912">
        <v>-8.1000000000130898E-3</v>
      </c>
      <c r="AF1912">
        <v>-1.4590141239312999E-3</v>
      </c>
      <c r="AG1912">
        <v>-0.11878080000000001</v>
      </c>
      <c r="AH1912">
        <v>0.51524367055027198</v>
      </c>
      <c r="AI1912">
        <v>102.98172899363</v>
      </c>
      <c r="AJ1912">
        <v>90.162243871965103</v>
      </c>
      <c r="AK1912">
        <v>0.52875991452924198</v>
      </c>
      <c r="AL1912">
        <v>93.981121296176298</v>
      </c>
      <c r="AM1912">
        <v>91.507822732440303</v>
      </c>
      <c r="AN1912">
        <v>1.0000000423781401</v>
      </c>
    </row>
    <row r="1913" spans="1:40" x14ac:dyDescent="0.25">
      <c r="A1913" t="str">
        <f>"20190305135231176"</f>
        <v>20190305135231176</v>
      </c>
      <c r="B1913" t="str">
        <f>"1551765151171066"</f>
        <v>1551765151171066</v>
      </c>
      <c r="C1913" t="s">
        <v>40</v>
      </c>
      <c r="D1913">
        <v>4.5526660000000003</v>
      </c>
      <c r="E1913">
        <v>0.50161060000000002</v>
      </c>
      <c r="F1913" t="s">
        <v>41</v>
      </c>
      <c r="G1913">
        <v>-276.86559999999997</v>
      </c>
      <c r="H1913">
        <v>1.0106280000000001</v>
      </c>
      <c r="I1913">
        <v>284.98230000000001</v>
      </c>
      <c r="J1913">
        <v>-276.37849999999997</v>
      </c>
      <c r="K1913">
        <v>1.1084459999999901</v>
      </c>
      <c r="L1913">
        <v>285.0034</v>
      </c>
      <c r="M1913">
        <v>-0.99985020000000002</v>
      </c>
      <c r="N1913">
        <v>-1.232018E-2</v>
      </c>
      <c r="O1913">
        <v>-1.2165499999999999E-2</v>
      </c>
      <c r="P1913">
        <v>-0.99590429999999996</v>
      </c>
      <c r="Q1913">
        <v>-8.1697370000000005E-2</v>
      </c>
      <c r="R1913">
        <v>-3.8735760000000001E-2</v>
      </c>
      <c r="S1913">
        <v>-2.98468</v>
      </c>
      <c r="T1913">
        <v>-0.298357599999999</v>
      </c>
      <c r="U1913">
        <v>-8.2702639999999994E-2</v>
      </c>
      <c r="V1913">
        <v>-2.661753E-2</v>
      </c>
      <c r="W1913">
        <v>-6.9416119999999998E-2</v>
      </c>
      <c r="X1913">
        <v>0.99723260000000002</v>
      </c>
      <c r="Y1913">
        <v>-1.549445E-2</v>
      </c>
      <c r="Z1913">
        <v>1.951326E-4</v>
      </c>
      <c r="AA1913">
        <v>0.99987999999999999</v>
      </c>
      <c r="AB1913">
        <v>48</v>
      </c>
      <c r="AC1913">
        <v>-0.48709999999999798</v>
      </c>
      <c r="AD1913">
        <v>-9.7817999999999697E-2</v>
      </c>
      <c r="AE1913">
        <v>-2.1099999999989901E-2</v>
      </c>
      <c r="AF1913">
        <v>-1.4585095273560399E-2</v>
      </c>
      <c r="AG1913">
        <v>-9.7817999999999697E-2</v>
      </c>
      <c r="AH1913">
        <v>0.46846405799740998</v>
      </c>
      <c r="AI1913">
        <v>101.788677182382</v>
      </c>
      <c r="AJ1913">
        <v>91.783262851508496</v>
      </c>
      <c r="AK1913">
        <v>0.47878978661155602</v>
      </c>
      <c r="AL1913">
        <v>93.980451882103694</v>
      </c>
      <c r="AM1913">
        <v>91.528941307616094</v>
      </c>
      <c r="AN1913">
        <v>0.99999997456095702</v>
      </c>
    </row>
    <row r="1914" spans="1:40" x14ac:dyDescent="0.25">
      <c r="A1914" t="str">
        <f>"20190305135231199"</f>
        <v>20190305135231199</v>
      </c>
      <c r="B1914" t="str">
        <f>"1551765151191559"</f>
        <v>1551765151191559</v>
      </c>
      <c r="C1914" t="s">
        <v>40</v>
      </c>
      <c r="D1914">
        <v>4.5499369999999999</v>
      </c>
      <c r="E1914">
        <v>0.5009034</v>
      </c>
      <c r="F1914" t="s">
        <v>41</v>
      </c>
      <c r="G1914">
        <v>-277.30329999999998</v>
      </c>
      <c r="H1914">
        <v>1.027441</v>
      </c>
      <c r="I1914">
        <v>284.97190000000001</v>
      </c>
      <c r="J1914">
        <v>-276.88810000000001</v>
      </c>
      <c r="K1914">
        <v>1.108465</v>
      </c>
      <c r="L1914">
        <v>284.9973</v>
      </c>
      <c r="M1914">
        <v>-0.99984600000000001</v>
      </c>
      <c r="N1914">
        <v>-1.265666E-2</v>
      </c>
      <c r="O1914">
        <v>-1.216802E-2</v>
      </c>
      <c r="P1914">
        <v>-0.99592700000000001</v>
      </c>
      <c r="Q1914">
        <v>-8.1411239999999996E-2</v>
      </c>
      <c r="R1914">
        <v>-3.8754110000000001E-2</v>
      </c>
      <c r="S1914">
        <v>-2.9868769999999998</v>
      </c>
      <c r="T1914">
        <v>-0.26183579999999901</v>
      </c>
      <c r="U1914">
        <v>-0.10290530000000001</v>
      </c>
      <c r="V1914">
        <v>-2.663343E-2</v>
      </c>
      <c r="W1914">
        <v>-6.8793999999999994E-2</v>
      </c>
      <c r="X1914">
        <v>0.99727529999999998</v>
      </c>
      <c r="Y1914">
        <v>-2.2204430000000001E-2</v>
      </c>
      <c r="Z1914">
        <v>-2.0144950000000001E-4</v>
      </c>
      <c r="AA1914">
        <v>0.99975340000000001</v>
      </c>
      <c r="AB1914">
        <v>48</v>
      </c>
      <c r="AC1914">
        <v>-0.41519999999996998</v>
      </c>
      <c r="AD1914">
        <v>-8.1023999999999902E-2</v>
      </c>
      <c r="AE1914">
        <v>-2.53999999999905E-2</v>
      </c>
      <c r="AF1914">
        <v>-1.96018702663746E-2</v>
      </c>
      <c r="AG1914">
        <v>-8.1023999999999902E-2</v>
      </c>
      <c r="AH1914">
        <v>0.40029153084348601</v>
      </c>
      <c r="AI1914">
        <v>101.429444567972</v>
      </c>
      <c r="AJ1914">
        <v>92.803476764668503</v>
      </c>
      <c r="AK1914">
        <v>0.40887948292738002</v>
      </c>
      <c r="AL1914">
        <v>93.944721555952896</v>
      </c>
      <c r="AM1914">
        <v>91.529788715740096</v>
      </c>
      <c r="AN1914">
        <v>0.99999998900982701</v>
      </c>
    </row>
    <row r="1915" spans="1:40" x14ac:dyDescent="0.25">
      <c r="A1915" t="str">
        <f>"20190305135231220"</f>
        <v>20190305135231220</v>
      </c>
      <c r="B1915" t="str">
        <f>"1551765151211079"</f>
        <v>1551765151211079</v>
      </c>
      <c r="C1915" t="s">
        <v>40</v>
      </c>
      <c r="D1915">
        <v>4.5421930000000001</v>
      </c>
      <c r="E1915">
        <v>0.50019029999999998</v>
      </c>
      <c r="F1915" t="s">
        <v>66</v>
      </c>
      <c r="G1915">
        <v>-290.2337</v>
      </c>
      <c r="H1915" s="1">
        <v>2.256419E-6</v>
      </c>
      <c r="I1915">
        <v>284.51089999999999</v>
      </c>
      <c r="J1915">
        <v>-277.33760000000001</v>
      </c>
      <c r="K1915">
        <v>1.1084750000000001</v>
      </c>
      <c r="L1915">
        <v>284.99180000000001</v>
      </c>
      <c r="M1915">
        <v>-0.99984260000000003</v>
      </c>
      <c r="N1915">
        <v>-1.2919379999999999E-2</v>
      </c>
      <c r="O1915">
        <v>-1.2169299999999999E-2</v>
      </c>
      <c r="P1915">
        <v>-0.99598469999999995</v>
      </c>
      <c r="Q1915">
        <v>-8.0668519999999994E-2</v>
      </c>
      <c r="R1915">
        <v>-3.8825070000000003E-2</v>
      </c>
      <c r="S1915">
        <v>-2.9877009999999999</v>
      </c>
      <c r="T1915">
        <v>-0.24815380000000001</v>
      </c>
      <c r="U1915">
        <v>-0.1088867</v>
      </c>
      <c r="V1915">
        <v>-2.6702320000000002E-2</v>
      </c>
      <c r="W1915">
        <v>-6.7788470000000003E-2</v>
      </c>
      <c r="X1915">
        <v>0.99734230000000001</v>
      </c>
      <c r="Y1915">
        <v>-2.4189530000000001E-2</v>
      </c>
      <c r="Z1915">
        <v>-3.0747990000000002E-4</v>
      </c>
      <c r="AA1915">
        <v>0.99970729999999997</v>
      </c>
      <c r="AB1915">
        <v>48</v>
      </c>
      <c r="AC1915">
        <v>-12.896099999999899</v>
      </c>
      <c r="AD1915">
        <v>-1.108472743581</v>
      </c>
      <c r="AE1915">
        <v>-0.48090000000001898</v>
      </c>
      <c r="AF1915">
        <v>-0.32154250135263401</v>
      </c>
      <c r="AG1915">
        <v>-1.108472743581</v>
      </c>
      <c r="AH1915">
        <v>12.8065130875333</v>
      </c>
      <c r="AI1915">
        <v>94.945378503708099</v>
      </c>
      <c r="AJ1915">
        <v>91.438264913946995</v>
      </c>
      <c r="AK1915">
        <v>12.8584166546507</v>
      </c>
      <c r="AL1915">
        <v>93.8869741590281</v>
      </c>
      <c r="AM1915">
        <v>91.533640792459593</v>
      </c>
      <c r="AN1915">
        <v>0.99999997696380605</v>
      </c>
    </row>
    <row r="1916" spans="1:40" x14ac:dyDescent="0.25">
      <c r="A1916" t="str">
        <f>"20190305135231233"</f>
        <v>20190305135231233</v>
      </c>
      <c r="B1916" t="str">
        <f>"1551765151221817"</f>
        <v>1551765151221817</v>
      </c>
      <c r="C1916" t="s">
        <v>40</v>
      </c>
      <c r="D1916">
        <v>4.5438419999999997</v>
      </c>
      <c r="E1916">
        <v>0.49995099999999998</v>
      </c>
      <c r="F1916" t="s">
        <v>66</v>
      </c>
      <c r="G1916">
        <v>-291.21039999999999</v>
      </c>
      <c r="H1916" s="1">
        <v>2.4343909999999999E-6</v>
      </c>
      <c r="I1916">
        <v>284.45690000000002</v>
      </c>
      <c r="J1916">
        <v>-277.608</v>
      </c>
      <c r="K1916">
        <v>1.1084799999999999</v>
      </c>
      <c r="L1916">
        <v>284.98849999999999</v>
      </c>
      <c r="M1916">
        <v>-0.99984070000000003</v>
      </c>
      <c r="N1916">
        <v>-1.3061919999999999E-2</v>
      </c>
      <c r="O1916">
        <v>-1.217008E-2</v>
      </c>
      <c r="P1916">
        <v>-0.99597800000000003</v>
      </c>
      <c r="Q1916">
        <v>-8.0638390000000004E-2</v>
      </c>
      <c r="R1916">
        <v>-3.905902E-2</v>
      </c>
      <c r="S1916">
        <v>-2.988251</v>
      </c>
      <c r="T1916">
        <v>-0.2387687</v>
      </c>
      <c r="U1916">
        <v>-0.1152039</v>
      </c>
      <c r="V1916">
        <v>-2.693566E-2</v>
      </c>
      <c r="W1916">
        <v>-6.7616190000000007E-2</v>
      </c>
      <c r="X1916">
        <v>0.99734780000000001</v>
      </c>
      <c r="Y1916">
        <v>-2.628842E-2</v>
      </c>
      <c r="Z1916">
        <v>-4.0854839999999998E-4</v>
      </c>
      <c r="AA1916">
        <v>0.9996543</v>
      </c>
      <c r="AB1916">
        <v>48</v>
      </c>
      <c r="AC1916">
        <v>-13.6023999999999</v>
      </c>
      <c r="AD1916">
        <v>-1.108477565609</v>
      </c>
      <c r="AE1916">
        <v>-0.53159999999996899</v>
      </c>
      <c r="AF1916">
        <v>-0.36359333516843001</v>
      </c>
      <c r="AG1916">
        <v>-1.108477565609</v>
      </c>
      <c r="AH1916">
        <v>13.518227205094201</v>
      </c>
      <c r="AI1916">
        <v>94.686006876194995</v>
      </c>
      <c r="AJ1916">
        <v>91.540685911714107</v>
      </c>
      <c r="AK1916">
        <v>13.568470414729299</v>
      </c>
      <c r="AL1916">
        <v>93.877080232607696</v>
      </c>
      <c r="AM1916">
        <v>91.547027602818204</v>
      </c>
      <c r="AN1916">
        <v>1.00000005654729</v>
      </c>
    </row>
    <row r="1917" spans="1:40" x14ac:dyDescent="0.25">
      <c r="A1917" t="str">
        <f>"20190305135231254"</f>
        <v>20190305135231254</v>
      </c>
      <c r="B1917" t="str">
        <f>"1551765151251095"</f>
        <v>1551765151251095</v>
      </c>
      <c r="C1917" t="s">
        <v>40</v>
      </c>
      <c r="D1917">
        <v>4.4736279999999997</v>
      </c>
      <c r="E1917">
        <v>0.49966159999999998</v>
      </c>
      <c r="F1917" t="s">
        <v>66</v>
      </c>
      <c r="G1917">
        <v>-291.59210000000002</v>
      </c>
      <c r="H1917" s="1">
        <v>2.503812E-6</v>
      </c>
      <c r="I1917">
        <v>284.43740000000003</v>
      </c>
      <c r="J1917">
        <v>-278.03809999999999</v>
      </c>
      <c r="K1917">
        <v>1.1084989999999999</v>
      </c>
      <c r="L1917">
        <v>284.98329999999999</v>
      </c>
      <c r="M1917">
        <v>-0.999838</v>
      </c>
      <c r="N1917">
        <v>-1.3269309999999999E-2</v>
      </c>
      <c r="O1917">
        <v>-1.217094E-2</v>
      </c>
      <c r="P1917">
        <v>-0.99598989999999998</v>
      </c>
      <c r="Q1917">
        <v>-8.0338800000000002E-2</v>
      </c>
      <c r="R1917">
        <v>-3.937206E-2</v>
      </c>
      <c r="S1917">
        <v>-2.9883120000000001</v>
      </c>
      <c r="T1917">
        <v>-0.23687349999999999</v>
      </c>
      <c r="U1917">
        <v>-0.11776730000000001</v>
      </c>
      <c r="V1917">
        <v>-2.7248100000000001E-2</v>
      </c>
      <c r="W1917">
        <v>-6.7109500000000002E-2</v>
      </c>
      <c r="X1917">
        <v>0.99737350000000002</v>
      </c>
      <c r="Y1917">
        <v>-2.7140399999999999E-2</v>
      </c>
      <c r="Z1917">
        <v>-4.5249439999999998E-4</v>
      </c>
      <c r="AA1917">
        <v>0.99963150000000001</v>
      </c>
      <c r="AB1917">
        <v>48</v>
      </c>
      <c r="AC1917">
        <v>-13.554</v>
      </c>
      <c r="AD1917">
        <v>-1.1084964961879999</v>
      </c>
      <c r="AE1917">
        <v>-0.54589999999995997</v>
      </c>
      <c r="AF1917">
        <v>-0.37835358389120599</v>
      </c>
      <c r="AG1917">
        <v>-1.1084964961879999</v>
      </c>
      <c r="AH1917">
        <v>13.4696934329175</v>
      </c>
      <c r="AI1917">
        <v>94.702742369278695</v>
      </c>
      <c r="AJ1917">
        <v>91.608972390673699</v>
      </c>
      <c r="AK1917">
        <v>13.5205235510052</v>
      </c>
      <c r="AL1917">
        <v>93.847983078330202</v>
      </c>
      <c r="AM1917">
        <v>91.564923160704396</v>
      </c>
      <c r="AN1917">
        <v>1.00000002122305</v>
      </c>
    </row>
    <row r="1918" spans="1:40" x14ac:dyDescent="0.25">
      <c r="A1918" t="str">
        <f>"20190305135231277"</f>
        <v>20190305135231277</v>
      </c>
      <c r="B1918" t="str">
        <f>"1551765151271592"</f>
        <v>1551765151271592</v>
      </c>
      <c r="C1918" t="s">
        <v>40</v>
      </c>
      <c r="D1918">
        <v>4.5515460000000001</v>
      </c>
      <c r="E1918">
        <v>0.49940240000000002</v>
      </c>
      <c r="F1918" t="s">
        <v>66</v>
      </c>
      <c r="G1918">
        <v>-291.8039</v>
      </c>
      <c r="H1918" s="1">
        <v>2.5423740000000001E-6</v>
      </c>
      <c r="I1918">
        <v>284.42590000000001</v>
      </c>
      <c r="J1918">
        <v>-278.52679999999998</v>
      </c>
      <c r="K1918">
        <v>1.1085050000000001</v>
      </c>
      <c r="L1918">
        <v>284.97730000000001</v>
      </c>
      <c r="M1918">
        <v>-0.99983529999999998</v>
      </c>
      <c r="N1918">
        <v>-1.347653E-2</v>
      </c>
      <c r="O1918">
        <v>-1.217146E-2</v>
      </c>
      <c r="P1918">
        <v>-0.996008</v>
      </c>
      <c r="Q1918">
        <v>-7.9909560000000004E-2</v>
      </c>
      <c r="R1918">
        <v>-3.9786479999999999E-2</v>
      </c>
      <c r="S1918">
        <v>-2.9878849999999999</v>
      </c>
      <c r="T1918">
        <v>-0.24060119999999999</v>
      </c>
      <c r="U1918">
        <v>-0.1209717</v>
      </c>
      <c r="V1918">
        <v>-2.7661129999999999E-2</v>
      </c>
      <c r="W1918">
        <v>-6.6473249999999998E-2</v>
      </c>
      <c r="X1918">
        <v>0.99740469999999903</v>
      </c>
      <c r="Y1918">
        <v>-2.8209439999999999E-2</v>
      </c>
      <c r="Z1918">
        <v>-5.0972980000000005E-4</v>
      </c>
      <c r="AA1918">
        <v>0.99960190000000004</v>
      </c>
      <c r="AB1918">
        <v>48</v>
      </c>
      <c r="AC1918">
        <v>-13.277100000000001</v>
      </c>
      <c r="AD1918">
        <v>-1.1085024576260001</v>
      </c>
      <c r="AE1918">
        <v>-0.551400000000001</v>
      </c>
      <c r="AF1918">
        <v>-0.38704950912990599</v>
      </c>
      <c r="AG1918">
        <v>-1.1085024576260001</v>
      </c>
      <c r="AH1918">
        <v>13.191037837223799</v>
      </c>
      <c r="AI1918">
        <v>94.801480220003697</v>
      </c>
      <c r="AJ1918">
        <v>91.680682195496303</v>
      </c>
      <c r="AK1918">
        <v>13.2431893531789</v>
      </c>
      <c r="AL1918">
        <v>93.811447197104201</v>
      </c>
      <c r="AM1918">
        <v>91.588582721600503</v>
      </c>
      <c r="AN1918">
        <v>0.99999998333026396</v>
      </c>
    </row>
    <row r="1919" spans="1:40" x14ac:dyDescent="0.25">
      <c r="A1919" t="str">
        <f>"20190305135231299"</f>
        <v>20190305135231299</v>
      </c>
      <c r="B1919" t="str">
        <f>"1551765151291111"</f>
        <v>1551765151291111</v>
      </c>
      <c r="C1919" t="s">
        <v>40</v>
      </c>
      <c r="D1919">
        <v>4.5803949999999896</v>
      </c>
      <c r="E1919">
        <v>0.49964150000000002</v>
      </c>
      <c r="F1919" t="s">
        <v>66</v>
      </c>
      <c r="G1919">
        <v>-292.54219999999998</v>
      </c>
      <c r="H1919" s="1">
        <v>2.6761079999999999E-6</v>
      </c>
      <c r="I1919">
        <v>284.39429999999999</v>
      </c>
      <c r="J1919">
        <v>-279.02769999999998</v>
      </c>
      <c r="K1919">
        <v>1.1085130000000001</v>
      </c>
      <c r="L1919">
        <v>284.97120000000001</v>
      </c>
      <c r="M1919">
        <v>-0.99983259999999996</v>
      </c>
      <c r="N1919">
        <v>-1.366157E-2</v>
      </c>
      <c r="O1919">
        <v>-1.21715E-2</v>
      </c>
      <c r="P1919">
        <v>-0.9960116</v>
      </c>
      <c r="Q1919">
        <v>-7.9630259999999994E-2</v>
      </c>
      <c r="R1919">
        <v>-4.0252339999999998E-2</v>
      </c>
      <c r="S1919">
        <v>-2.9881289999999998</v>
      </c>
      <c r="T1919">
        <v>-0.2363355</v>
      </c>
      <c r="U1919">
        <v>-0.12429809999999999</v>
      </c>
      <c r="V1919">
        <v>-2.8127139999999998E-2</v>
      </c>
      <c r="W1919">
        <v>-6.6009219999999993E-2</v>
      </c>
      <c r="X1919">
        <v>0.99742249999999999</v>
      </c>
      <c r="Y1919">
        <v>-2.931489E-2</v>
      </c>
      <c r="Z1919">
        <v>-5.6302700000000002E-4</v>
      </c>
      <c r="AA1919">
        <v>0.99957010000000002</v>
      </c>
      <c r="AB1919">
        <v>48</v>
      </c>
      <c r="AC1919">
        <v>-13.5144999999999</v>
      </c>
      <c r="AD1919">
        <v>-1.10851032389199</v>
      </c>
      <c r="AE1919">
        <v>-0.57690000000002295</v>
      </c>
      <c r="AF1919">
        <v>-0.40959943816913402</v>
      </c>
      <c r="AG1919">
        <v>-1.10851032389199</v>
      </c>
      <c r="AH1919">
        <v>13.430327567663101</v>
      </c>
      <c r="AI1919">
        <v>94.716192112907194</v>
      </c>
      <c r="AJ1919">
        <v>91.746870790091094</v>
      </c>
      <c r="AK1919">
        <v>13.482220344314801</v>
      </c>
      <c r="AL1919">
        <v>93.784801655895194</v>
      </c>
      <c r="AM1919">
        <v>91.6153028699092</v>
      </c>
      <c r="AN1919">
        <v>0.99999999831791897</v>
      </c>
    </row>
    <row r="1920" spans="1:40" x14ac:dyDescent="0.25">
      <c r="A1920" t="str">
        <f>"20190305135231320"</f>
        <v>20190305135231320</v>
      </c>
      <c r="B1920" t="str">
        <f>"1551765151311611"</f>
        <v>1551765151311611</v>
      </c>
      <c r="C1920" t="s">
        <v>40</v>
      </c>
      <c r="D1920">
        <v>4.5926999999999998</v>
      </c>
      <c r="E1920">
        <v>0.49973459999999997</v>
      </c>
      <c r="F1920" t="s">
        <v>66</v>
      </c>
      <c r="G1920">
        <v>-292.99889999999999</v>
      </c>
      <c r="H1920" s="1">
        <v>2.757198E-6</v>
      </c>
      <c r="I1920">
        <v>284.39339999999999</v>
      </c>
      <c r="J1920">
        <v>-279.46339999999998</v>
      </c>
      <c r="K1920">
        <v>1.108519</v>
      </c>
      <c r="L1920">
        <v>284.96589999999998</v>
      </c>
      <c r="M1920">
        <v>-0.99983080000000002</v>
      </c>
      <c r="N1920">
        <v>-1.3801320000000001E-2</v>
      </c>
      <c r="O1920">
        <v>-1.217184E-2</v>
      </c>
      <c r="P1920">
        <v>-0.99597080000000004</v>
      </c>
      <c r="Q1920">
        <v>-7.9680790000000001E-2</v>
      </c>
      <c r="R1920">
        <v>-4.114901E-2</v>
      </c>
      <c r="S1920">
        <v>-2.9880680000000002</v>
      </c>
      <c r="T1920">
        <v>-0.23708070000000001</v>
      </c>
      <c r="U1920">
        <v>-0.1235657</v>
      </c>
      <c r="V1920">
        <v>-2.9023810000000001E-2</v>
      </c>
      <c r="W1920">
        <v>-6.5920720000000002E-2</v>
      </c>
      <c r="X1920">
        <v>0.99740269999999998</v>
      </c>
      <c r="Y1920">
        <v>-2.907098E-2</v>
      </c>
      <c r="Z1920">
        <v>-5.5603559999999996E-4</v>
      </c>
      <c r="AA1920">
        <v>0.99957720000000005</v>
      </c>
      <c r="AB1920">
        <v>48</v>
      </c>
      <c r="AC1920">
        <v>-13.535500000000001</v>
      </c>
      <c r="AD1920">
        <v>-1.1085162428019999</v>
      </c>
      <c r="AE1920">
        <v>-0.57249999999999002</v>
      </c>
      <c r="AF1920">
        <v>-0.40497858357468702</v>
      </c>
      <c r="AG1920">
        <v>-1.1085162428019999</v>
      </c>
      <c r="AH1920">
        <v>13.451407173163901</v>
      </c>
      <c r="AI1920">
        <v>94.708915226740999</v>
      </c>
      <c r="AJ1920">
        <v>91.724470639537302</v>
      </c>
      <c r="AK1920">
        <v>13.5030800505646</v>
      </c>
      <c r="AL1920">
        <v>93.779719774396597</v>
      </c>
      <c r="AM1920">
        <v>91.666801862294193</v>
      </c>
      <c r="AN1920">
        <v>1.0000000344197599</v>
      </c>
    </row>
    <row r="1921" spans="1:40" x14ac:dyDescent="0.25">
      <c r="A1921" t="str">
        <f>"20190305135231342"</f>
        <v>20190305135231342</v>
      </c>
      <c r="B1921" t="str">
        <f>"1551765151331127"</f>
        <v>1551765151331127</v>
      </c>
      <c r="C1921" t="s">
        <v>40</v>
      </c>
      <c r="D1921">
        <v>4.5386569999999997</v>
      </c>
      <c r="E1921">
        <v>0.49965369999999998</v>
      </c>
      <c r="F1921" t="s">
        <v>66</v>
      </c>
      <c r="G1921">
        <v>-293.60989999999998</v>
      </c>
      <c r="H1921" s="1">
        <v>2.8675559999999999E-6</v>
      </c>
      <c r="I1921">
        <v>284.37079999999997</v>
      </c>
      <c r="J1921">
        <v>-279.92680000000001</v>
      </c>
      <c r="K1921">
        <v>1.1085229999999999</v>
      </c>
      <c r="L1921">
        <v>284.96019999999999</v>
      </c>
      <c r="M1921">
        <v>-0.99982879999999996</v>
      </c>
      <c r="N1921">
        <v>-1.3931580000000001E-2</v>
      </c>
      <c r="O1921">
        <v>-1.217213E-2</v>
      </c>
      <c r="P1921">
        <v>-0.99594179999999999</v>
      </c>
      <c r="Q1921">
        <v>-7.9966659999999995E-2</v>
      </c>
      <c r="R1921">
        <v>-4.129592E-2</v>
      </c>
      <c r="S1921">
        <v>-2.9882200000000001</v>
      </c>
      <c r="T1921">
        <v>-0.2341559</v>
      </c>
      <c r="U1921">
        <v>-0.12570190000000001</v>
      </c>
      <c r="V1921">
        <v>-2.917142E-2</v>
      </c>
      <c r="W1921">
        <v>-6.6076930000000006E-2</v>
      </c>
      <c r="X1921">
        <v>0.99738800000000005</v>
      </c>
      <c r="Y1921">
        <v>-2.9780750000000002E-2</v>
      </c>
      <c r="Z1921">
        <v>-5.8989269999999998E-4</v>
      </c>
      <c r="AA1921">
        <v>0.99955629999999995</v>
      </c>
      <c r="AB1921">
        <v>48</v>
      </c>
      <c r="AC1921">
        <v>-13.6830999999999</v>
      </c>
      <c r="AD1921">
        <v>-1.1085201324439999</v>
      </c>
      <c r="AE1921">
        <v>-0.58940000000001103</v>
      </c>
      <c r="AF1921">
        <v>-0.42003598888529498</v>
      </c>
      <c r="AG1921">
        <v>-1.1085201324439999</v>
      </c>
      <c r="AH1921">
        <v>13.600165255649101</v>
      </c>
      <c r="AI1921">
        <v>94.657543524694006</v>
      </c>
      <c r="AJ1921">
        <v>91.768996285998</v>
      </c>
      <c r="AK1921">
        <v>13.651730370065099</v>
      </c>
      <c r="AL1921">
        <v>93.788689720539196</v>
      </c>
      <c r="AM1921">
        <v>91.675298782317796</v>
      </c>
      <c r="AN1921">
        <v>0.99999997748351999</v>
      </c>
    </row>
    <row r="1922" spans="1:40" x14ac:dyDescent="0.25">
      <c r="A1922" t="str">
        <f>"20190305135231369"</f>
        <v>20190305135231369</v>
      </c>
      <c r="B1922" t="str">
        <f>"1551765151361383"</f>
        <v>1551765151361383</v>
      </c>
      <c r="C1922" t="s">
        <v>40</v>
      </c>
      <c r="D1922">
        <v>4.5369869999999999</v>
      </c>
      <c r="E1922">
        <v>0.4994924</v>
      </c>
      <c r="F1922" t="s">
        <v>66</v>
      </c>
      <c r="G1922">
        <v>-294.20010000000002</v>
      </c>
      <c r="H1922" s="1">
        <v>2.9737430000000001E-6</v>
      </c>
      <c r="I1922">
        <v>284.35359999999997</v>
      </c>
      <c r="J1922">
        <v>-280.44470000000001</v>
      </c>
      <c r="K1922">
        <v>1.108527</v>
      </c>
      <c r="L1922">
        <v>284.95389999999998</v>
      </c>
      <c r="M1922">
        <v>-0.99982720000000003</v>
      </c>
      <c r="N1922">
        <v>-1.4056610000000001E-2</v>
      </c>
      <c r="O1922">
        <v>-1.217239E-2</v>
      </c>
      <c r="P1922">
        <v>-0.99589989999999995</v>
      </c>
      <c r="Q1922">
        <v>-7.9832410000000006E-2</v>
      </c>
      <c r="R1922">
        <v>-4.2550820000000003E-2</v>
      </c>
      <c r="S1922">
        <v>-2.9883419999999998</v>
      </c>
      <c r="T1922">
        <v>-0.2320874</v>
      </c>
      <c r="U1922">
        <v>-0.12701419999999999</v>
      </c>
      <c r="V1922">
        <v>-3.0426060000000001E-2</v>
      </c>
      <c r="W1922">
        <v>-6.5818310000000005E-2</v>
      </c>
      <c r="X1922">
        <v>0.99736760000000002</v>
      </c>
      <c r="Y1922">
        <v>-3.0216320000000001E-2</v>
      </c>
      <c r="Z1922">
        <v>-6.1132829999999995E-4</v>
      </c>
      <c r="AA1922">
        <v>0.99954319999999997</v>
      </c>
      <c r="AB1922">
        <v>48</v>
      </c>
      <c r="AC1922">
        <v>-13.7554</v>
      </c>
      <c r="AD1922">
        <v>-1.108524026257</v>
      </c>
      <c r="AE1922">
        <v>-0.60030000000000405</v>
      </c>
      <c r="AF1922">
        <v>-0.43001548090091302</v>
      </c>
      <c r="AG1922">
        <v>-1.108524026257</v>
      </c>
      <c r="AH1922">
        <v>13.673058042570201</v>
      </c>
      <c r="AI1922">
        <v>94.632756972386304</v>
      </c>
      <c r="AJ1922">
        <v>91.801349325915893</v>
      </c>
      <c r="AK1922">
        <v>13.724658650257799</v>
      </c>
      <c r="AL1922">
        <v>93.773839615547004</v>
      </c>
      <c r="AM1922">
        <v>91.747344046235696</v>
      </c>
      <c r="AN1922">
        <v>0.99999996229406896</v>
      </c>
    </row>
    <row r="1923" spans="1:40" x14ac:dyDescent="0.25">
      <c r="A1923" t="str">
        <f>"20190305135231390"</f>
        <v>20190305135231390</v>
      </c>
      <c r="B1923" t="str">
        <f>"1551765151381880"</f>
        <v>1551765151381880</v>
      </c>
      <c r="C1923" t="s">
        <v>40</v>
      </c>
      <c r="D1923">
        <v>4.5343580000000001</v>
      </c>
      <c r="E1923">
        <v>0.49964579999999997</v>
      </c>
      <c r="F1923" t="s">
        <v>41</v>
      </c>
      <c r="G1923">
        <v>-281.55950000000001</v>
      </c>
      <c r="H1923">
        <v>1.0226010000000001</v>
      </c>
      <c r="I1923">
        <v>284.9049</v>
      </c>
      <c r="J1923">
        <v>-280.94400000000002</v>
      </c>
      <c r="K1923">
        <v>1.1085320000000001</v>
      </c>
      <c r="L1923">
        <v>284.9479</v>
      </c>
      <c r="M1923">
        <v>-0.99982570000000004</v>
      </c>
      <c r="N1923">
        <v>-1.415869E-2</v>
      </c>
      <c r="O1923">
        <v>-1.217262E-2</v>
      </c>
      <c r="P1923">
        <v>-0.99587669999999995</v>
      </c>
      <c r="Q1923">
        <v>-7.9817440000000003E-2</v>
      </c>
      <c r="R1923">
        <v>-4.3113520000000002E-2</v>
      </c>
      <c r="S1923">
        <v>-2.9882200000000001</v>
      </c>
      <c r="T1923">
        <v>-0.23050490000000001</v>
      </c>
      <c r="U1923">
        <v>-0.13204959999999999</v>
      </c>
      <c r="V1923">
        <v>-3.09889E-2</v>
      </c>
      <c r="W1923">
        <v>-6.5701699999999905E-2</v>
      </c>
      <c r="X1923">
        <v>0.99735799999999997</v>
      </c>
      <c r="Y1923">
        <v>-3.1893779999999997E-2</v>
      </c>
      <c r="Z1923">
        <v>-6.8903029999999997E-4</v>
      </c>
      <c r="AA1923">
        <v>0.99949100000000002</v>
      </c>
      <c r="AB1923">
        <v>47</v>
      </c>
      <c r="AC1923">
        <v>-0.61549999999999705</v>
      </c>
      <c r="AD1923">
        <v>-8.5930999999999896E-2</v>
      </c>
      <c r="AE1923">
        <v>-4.3000000000006297E-2</v>
      </c>
      <c r="AF1923">
        <v>-3.4828259814290399E-2</v>
      </c>
      <c r="AG1923">
        <v>-8.5930999999999896E-2</v>
      </c>
      <c r="AH1923">
        <v>0.60425723359753103</v>
      </c>
      <c r="AI1923">
        <v>98.080489308184696</v>
      </c>
      <c r="AJ1923">
        <v>93.298772076806799</v>
      </c>
      <c r="AK1923">
        <v>0.61132965640285497</v>
      </c>
      <c r="AL1923">
        <v>93.767143708701695</v>
      </c>
      <c r="AM1923">
        <v>91.779664014452905</v>
      </c>
      <c r="AN1923">
        <v>1.00000000273505</v>
      </c>
    </row>
    <row r="1924" spans="1:40" x14ac:dyDescent="0.25">
      <c r="A1924" t="str">
        <f>"20190305135231411"</f>
        <v>20190305135231411</v>
      </c>
      <c r="B1924" t="str">
        <f>"1551765151401400"</f>
        <v>1551765151401400</v>
      </c>
      <c r="C1924" t="s">
        <v>40</v>
      </c>
      <c r="D1924">
        <v>4.5065150000000003</v>
      </c>
      <c r="E1924">
        <v>0.49957049999999997</v>
      </c>
      <c r="F1924" t="s">
        <v>66</v>
      </c>
      <c r="G1924">
        <v>-295.2629</v>
      </c>
      <c r="H1924" s="1">
        <v>3.1658479999999999E-6</v>
      </c>
      <c r="I1924">
        <v>284.31259999999997</v>
      </c>
      <c r="J1924">
        <v>-281.38339999999999</v>
      </c>
      <c r="K1924">
        <v>1.1085400000000001</v>
      </c>
      <c r="L1924">
        <v>284.9425</v>
      </c>
      <c r="M1924">
        <v>-0.99982459999999995</v>
      </c>
      <c r="N1924">
        <v>-1.423665E-2</v>
      </c>
      <c r="O1924">
        <v>-1.217304E-2</v>
      </c>
      <c r="P1924">
        <v>-0.99589660000000002</v>
      </c>
      <c r="Q1924">
        <v>-7.9394140000000002E-2</v>
      </c>
      <c r="R1924">
        <v>-4.3436339999999997E-2</v>
      </c>
      <c r="S1924">
        <v>-2.9881289999999998</v>
      </c>
      <c r="T1924">
        <v>-0.2313325</v>
      </c>
      <c r="U1924">
        <v>-0.1325684</v>
      </c>
      <c r="V1924">
        <v>-3.1311430000000001E-2</v>
      </c>
      <c r="W1924">
        <v>-6.5200289999999994E-2</v>
      </c>
      <c r="X1924">
        <v>0.99738090000000001</v>
      </c>
      <c r="Y1924">
        <v>-3.2066579999999997E-2</v>
      </c>
      <c r="Z1924">
        <v>-7.0015669999999998E-4</v>
      </c>
      <c r="AA1924">
        <v>0.99948550000000003</v>
      </c>
      <c r="AB1924">
        <v>47</v>
      </c>
      <c r="AC1924">
        <v>-13.8795</v>
      </c>
      <c r="AD1924">
        <v>-1.1085368341520001</v>
      </c>
      <c r="AE1924">
        <v>-0.62990000000002</v>
      </c>
      <c r="AF1924">
        <v>-0.45796513821222201</v>
      </c>
      <c r="AG1924">
        <v>-1.1085368341520001</v>
      </c>
      <c r="AH1924">
        <v>13.7983015254165</v>
      </c>
      <c r="AI1924">
        <v>94.590683245049902</v>
      </c>
      <c r="AJ1924">
        <v>91.900947083588605</v>
      </c>
      <c r="AK1924">
        <v>13.850332521885599</v>
      </c>
      <c r="AL1924">
        <v>93.7383530411213</v>
      </c>
      <c r="AM1924">
        <v>91.798133258655696</v>
      </c>
      <c r="AN1924">
        <v>1.0000000715747599</v>
      </c>
    </row>
    <row r="1925" spans="1:40" x14ac:dyDescent="0.25">
      <c r="A1925" t="str">
        <f>"20190305135231422"</f>
        <v>20190305135231422</v>
      </c>
      <c r="B1925" t="str">
        <f>"1551765151411160"</f>
        <v>1551765151411160</v>
      </c>
      <c r="C1925" t="s">
        <v>40</v>
      </c>
      <c r="D1925">
        <v>4.5038049999999998</v>
      </c>
      <c r="E1925">
        <v>0.49950870000000003</v>
      </c>
      <c r="F1925" t="s">
        <v>66</v>
      </c>
      <c r="G1925">
        <v>-295.89069999999998</v>
      </c>
      <c r="H1925" s="1">
        <v>3.2790700000000001E-6</v>
      </c>
      <c r="I1925">
        <v>284.29149999999998</v>
      </c>
      <c r="J1925">
        <v>-281.63589999999999</v>
      </c>
      <c r="K1925">
        <v>1.1085400000000001</v>
      </c>
      <c r="L1925">
        <v>284.93939999999998</v>
      </c>
      <c r="M1925">
        <v>-0.99982400000000005</v>
      </c>
      <c r="N1925">
        <v>-1.4277389999999999E-2</v>
      </c>
      <c r="O1925">
        <v>-1.2173079999999999E-2</v>
      </c>
      <c r="P1925">
        <v>-0.99587890000000001</v>
      </c>
      <c r="Q1925">
        <v>-7.9648670000000005E-2</v>
      </c>
      <c r="R1925">
        <v>-4.3376129999999999E-2</v>
      </c>
      <c r="S1925">
        <v>-2.9883120000000001</v>
      </c>
      <c r="T1925">
        <v>-0.22834289999999999</v>
      </c>
      <c r="U1925">
        <v>-0.1340942</v>
      </c>
      <c r="V1925">
        <v>-3.1251069999999999E-2</v>
      </c>
      <c r="W1925">
        <v>-6.5414410000000006E-2</v>
      </c>
      <c r="X1925">
        <v>0.9973687</v>
      </c>
      <c r="Y1925">
        <v>-3.257326E-2</v>
      </c>
      <c r="Z1925">
        <v>-7.2038210000000002E-4</v>
      </c>
      <c r="AA1925">
        <v>0.9994691</v>
      </c>
      <c r="AB1925">
        <v>47</v>
      </c>
      <c r="AC1925">
        <v>-14.2547999999999</v>
      </c>
      <c r="AD1925">
        <v>-1.1085367209300001</v>
      </c>
      <c r="AE1925">
        <v>-0.64789999999999204</v>
      </c>
      <c r="AF1925">
        <v>-0.47146416492568899</v>
      </c>
      <c r="AG1925">
        <v>-1.1085367209300001</v>
      </c>
      <c r="AH1925">
        <v>14.1760778285076</v>
      </c>
      <c r="AI1925">
        <v>94.468838591946295</v>
      </c>
      <c r="AJ1925">
        <v>91.904825461948406</v>
      </c>
      <c r="AK1925">
        <v>14.2271681904856</v>
      </c>
      <c r="AL1925">
        <v>93.750647731047906</v>
      </c>
      <c r="AM1925">
        <v>91.794691149619993</v>
      </c>
      <c r="AN1925">
        <v>0.999999999075741</v>
      </c>
    </row>
    <row r="1926" spans="1:40" x14ac:dyDescent="0.25">
      <c r="A1926" t="str">
        <f>"20190305135231444"</f>
        <v>20190305135231444</v>
      </c>
      <c r="B1926" t="str">
        <f>"1551765151441416"</f>
        <v>1551765151441416</v>
      </c>
      <c r="C1926" t="s">
        <v>40</v>
      </c>
      <c r="D1926">
        <v>4.4871230000000004</v>
      </c>
      <c r="E1926">
        <v>0.4994247</v>
      </c>
      <c r="F1926" t="s">
        <v>66</v>
      </c>
      <c r="G1926">
        <v>-296.12689999999998</v>
      </c>
      <c r="H1926" s="1">
        <v>3.3212559999999999E-6</v>
      </c>
      <c r="I1926">
        <v>284.28809999999999</v>
      </c>
      <c r="J1926">
        <v>-282.07100000000003</v>
      </c>
      <c r="K1926">
        <v>1.108544</v>
      </c>
      <c r="L1926">
        <v>284.9341</v>
      </c>
      <c r="M1926">
        <v>-0.99982309999999996</v>
      </c>
      <c r="N1926">
        <v>-1.433948E-2</v>
      </c>
      <c r="O1926">
        <v>-1.217352E-2</v>
      </c>
      <c r="P1926">
        <v>-0.99587300000000001</v>
      </c>
      <c r="Q1926">
        <v>-7.987408E-2</v>
      </c>
      <c r="R1926">
        <v>-4.3094359999999998E-2</v>
      </c>
      <c r="S1926">
        <v>-2.9882810000000002</v>
      </c>
      <c r="T1926">
        <v>-0.22859760000000001</v>
      </c>
      <c r="U1926">
        <v>-0.13430790000000001</v>
      </c>
      <c r="V1926">
        <v>-3.0969179999999999E-2</v>
      </c>
      <c r="W1926">
        <v>-6.5578020000000001E-2</v>
      </c>
      <c r="X1926">
        <v>0.99736670000000005</v>
      </c>
      <c r="Y1926">
        <v>-3.2644029999999997E-2</v>
      </c>
      <c r="Z1926">
        <v>-7.2568660000000001E-4</v>
      </c>
      <c r="AA1926">
        <v>0.99946679999999999</v>
      </c>
      <c r="AB1926">
        <v>47</v>
      </c>
      <c r="AC1926">
        <v>-14.055899999999999</v>
      </c>
      <c r="AD1926">
        <v>-1.108540678744</v>
      </c>
      <c r="AE1926">
        <v>-0.64600000000001501</v>
      </c>
      <c r="AF1926">
        <v>-0.47189577617525003</v>
      </c>
      <c r="AG1926">
        <v>-1.108540678744</v>
      </c>
      <c r="AH1926">
        <v>13.9759766890168</v>
      </c>
      <c r="AI1926">
        <v>94.532495988315901</v>
      </c>
      <c r="AJ1926">
        <v>91.933844705320894</v>
      </c>
      <c r="AK1926">
        <v>14.0278106799295</v>
      </c>
      <c r="AL1926">
        <v>93.7600422476484</v>
      </c>
      <c r="AM1926">
        <v>91.778516736456098</v>
      </c>
      <c r="AN1926">
        <v>0.99999995054294</v>
      </c>
    </row>
    <row r="1927" spans="1:40" x14ac:dyDescent="0.25">
      <c r="A1927" t="str">
        <f>"20190305135231456"</f>
        <v>20190305135231456</v>
      </c>
      <c r="B1927" t="str">
        <f>"1551765151451176"</f>
        <v>1551765151451176</v>
      </c>
      <c r="C1927" t="s">
        <v>40</v>
      </c>
      <c r="D1927">
        <v>4.5134480000000003</v>
      </c>
      <c r="E1927">
        <v>0.4994441</v>
      </c>
      <c r="F1927" t="s">
        <v>66</v>
      </c>
      <c r="G1927">
        <v>-296.61250000000001</v>
      </c>
      <c r="H1927" s="1">
        <v>3.4079539999999998E-6</v>
      </c>
      <c r="I1927">
        <v>284.28179999999998</v>
      </c>
      <c r="J1927">
        <v>-282.3365</v>
      </c>
      <c r="K1927">
        <v>1.108552</v>
      </c>
      <c r="L1927">
        <v>284.93090000000001</v>
      </c>
      <c r="M1927">
        <v>-0.99982260000000001</v>
      </c>
      <c r="N1927">
        <v>-1.437247E-2</v>
      </c>
      <c r="O1927">
        <v>-1.218468E-2</v>
      </c>
      <c r="P1927">
        <v>-0.99588690000000002</v>
      </c>
      <c r="Q1927">
        <v>-7.9916890000000004E-2</v>
      </c>
      <c r="R1927">
        <v>-4.2697880000000001E-2</v>
      </c>
      <c r="S1927">
        <v>-2.9883120000000001</v>
      </c>
      <c r="T1927">
        <v>-0.2278076</v>
      </c>
      <c r="U1927">
        <v>-0.13406370000000001</v>
      </c>
      <c r="V1927">
        <v>-3.056064E-2</v>
      </c>
      <c r="W1927">
        <v>-6.5588140000000003E-2</v>
      </c>
      <c r="X1927">
        <v>0.99737869999999995</v>
      </c>
      <c r="Y1927">
        <v>-3.2551719999999999E-2</v>
      </c>
      <c r="Z1927">
        <v>-7.2066649999999997E-4</v>
      </c>
      <c r="AA1927">
        <v>0.99946979999999996</v>
      </c>
      <c r="AB1927">
        <v>47</v>
      </c>
      <c r="AC1927">
        <v>-14.276</v>
      </c>
      <c r="AD1927">
        <v>-1.1085485920460001</v>
      </c>
      <c r="AE1927">
        <v>-0.64910000000003198</v>
      </c>
      <c r="AF1927">
        <v>-0.47224374800480201</v>
      </c>
      <c r="AG1927">
        <v>-1.1085485920460001</v>
      </c>
      <c r="AH1927">
        <v>14.197420172275701</v>
      </c>
      <c r="AI1927">
        <v>94.462194803712904</v>
      </c>
      <c r="AJ1927">
        <v>91.905106779106802</v>
      </c>
      <c r="AK1927">
        <v>14.2484607479755</v>
      </c>
      <c r="AL1927">
        <v>93.760623092919303</v>
      </c>
      <c r="AM1927">
        <v>91.755048523570196</v>
      </c>
      <c r="AN1927">
        <v>1.00000001401977</v>
      </c>
    </row>
    <row r="1928" spans="1:40" x14ac:dyDescent="0.25">
      <c r="A1928" t="str">
        <f>"20190305135231469"</f>
        <v>20190305135231469</v>
      </c>
      <c r="B1928" t="str">
        <f>"1551765151461912"</f>
        <v>1551765151461912</v>
      </c>
      <c r="C1928" t="s">
        <v>40</v>
      </c>
      <c r="D1928">
        <v>4.5106000000000002</v>
      </c>
      <c r="E1928">
        <v>0.49942979999999998</v>
      </c>
      <c r="F1928" t="s">
        <v>66</v>
      </c>
      <c r="G1928">
        <v>-296.93049999999999</v>
      </c>
      <c r="H1928" s="1">
        <v>3.4644459999999998E-6</v>
      </c>
      <c r="I1928">
        <v>284.28070000000002</v>
      </c>
      <c r="J1928">
        <v>-282.62329999999997</v>
      </c>
      <c r="K1928">
        <v>1.108563</v>
      </c>
      <c r="L1928">
        <v>284.92739999999998</v>
      </c>
      <c r="M1928">
        <v>-0.99982179999999998</v>
      </c>
      <c r="N1928">
        <v>-1.4405970000000001E-2</v>
      </c>
      <c r="O1928">
        <v>-1.220629E-2</v>
      </c>
      <c r="P1928">
        <v>-0.99587349999999997</v>
      </c>
      <c r="Q1928">
        <v>-8.0216659999999995E-2</v>
      </c>
      <c r="R1928">
        <v>-4.2440600000000002E-2</v>
      </c>
      <c r="S1928">
        <v>-2.988464</v>
      </c>
      <c r="T1928">
        <v>-0.22700100000000001</v>
      </c>
      <c r="U1928">
        <v>-0.13314819999999999</v>
      </c>
      <c r="V1928">
        <v>-3.028045E-2</v>
      </c>
      <c r="W1928">
        <v>-6.5855339999999998E-2</v>
      </c>
      <c r="X1928">
        <v>0.99736959999999997</v>
      </c>
      <c r="Y1928">
        <v>-3.2223880000000003E-2</v>
      </c>
      <c r="Z1928">
        <v>-7.0438480000000001E-4</v>
      </c>
      <c r="AA1928">
        <v>0.99948040000000005</v>
      </c>
      <c r="AB1928">
        <v>47</v>
      </c>
      <c r="AC1928">
        <v>-14.3072</v>
      </c>
      <c r="AD1928">
        <v>-1.1085595355540001</v>
      </c>
      <c r="AE1928">
        <v>-0.64669999999995298</v>
      </c>
      <c r="AF1928">
        <v>-0.46918483303575198</v>
      </c>
      <c r="AG1928">
        <v>-1.1085595355540001</v>
      </c>
      <c r="AH1928">
        <v>14.2287793911731</v>
      </c>
      <c r="AI1928">
        <v>94.4524861006566</v>
      </c>
      <c r="AJ1928">
        <v>91.888607113700402</v>
      </c>
      <c r="AK1928">
        <v>14.2796078942698</v>
      </c>
      <c r="AL1928">
        <v>93.775965842583602</v>
      </c>
      <c r="AM1928">
        <v>91.738983443415705</v>
      </c>
      <c r="AN1928">
        <v>0.99999997523143802</v>
      </c>
    </row>
    <row r="1929" spans="1:40" x14ac:dyDescent="0.25">
      <c r="A1929" t="str">
        <f>"20190305135231490"</f>
        <v>20190305135231490</v>
      </c>
      <c r="B1929" t="str">
        <f>"1551765151481431"</f>
        <v>1551765151481431</v>
      </c>
      <c r="C1929" t="s">
        <v>40</v>
      </c>
      <c r="D1929">
        <v>4.477773</v>
      </c>
      <c r="E1929">
        <v>0.49893470000000001</v>
      </c>
      <c r="F1929" t="s">
        <v>66</v>
      </c>
      <c r="G1929">
        <v>-297.20690000000002</v>
      </c>
      <c r="H1929" s="1">
        <v>3.513364E-6</v>
      </c>
      <c r="I1929">
        <v>284.28199999999998</v>
      </c>
      <c r="J1929">
        <v>-283.05020000000002</v>
      </c>
      <c r="K1929">
        <v>1.1085849999999999</v>
      </c>
      <c r="L1929">
        <v>284.92219999999998</v>
      </c>
      <c r="M1929">
        <v>-0.99982040000000005</v>
      </c>
      <c r="N1929">
        <v>-1.44501E-2</v>
      </c>
      <c r="O1929">
        <v>-1.227224E-2</v>
      </c>
      <c r="P1929">
        <v>-0.9958863</v>
      </c>
      <c r="Q1929">
        <v>-8.0606120000000003E-2</v>
      </c>
      <c r="R1929">
        <v>-4.1392239999999997E-2</v>
      </c>
      <c r="S1929">
        <v>-2.9884949999999999</v>
      </c>
      <c r="T1929">
        <v>-0.2271678</v>
      </c>
      <c r="U1929">
        <v>-0.1322632</v>
      </c>
      <c r="V1929">
        <v>-2.916214E-2</v>
      </c>
      <c r="W1929">
        <v>-6.6202460000000005E-2</v>
      </c>
      <c r="X1929">
        <v>0.99738000000000004</v>
      </c>
      <c r="Y1929">
        <v>-3.1863250000000003E-2</v>
      </c>
      <c r="Z1929">
        <v>-6.8550839999999996E-4</v>
      </c>
      <c r="AA1929">
        <v>0.99949200000000005</v>
      </c>
      <c r="AB1929">
        <v>47</v>
      </c>
      <c r="AC1929">
        <v>-14.156700000000001</v>
      </c>
      <c r="AD1929">
        <v>-1.108581486636</v>
      </c>
      <c r="AE1929">
        <v>-0.640199999999992</v>
      </c>
      <c r="AF1929">
        <v>-0.46356241627732803</v>
      </c>
      <c r="AG1929">
        <v>-1.108581486636</v>
      </c>
      <c r="AH1929">
        <v>14.077343301949901</v>
      </c>
      <c r="AI1929">
        <v>94.500283056946202</v>
      </c>
      <c r="AJ1929">
        <v>91.886050184987695</v>
      </c>
      <c r="AK1929">
        <v>14.1285327429019</v>
      </c>
      <c r="AL1929">
        <v>93.795897642380893</v>
      </c>
      <c r="AM1929">
        <v>91.6747795662031</v>
      </c>
      <c r="AN1929">
        <v>1.0000000302597101</v>
      </c>
    </row>
    <row r="1930" spans="1:40" x14ac:dyDescent="0.25">
      <c r="A1930" t="str">
        <f>"20190305135231502"</f>
        <v>20190305135231502</v>
      </c>
      <c r="B1930" t="str">
        <f>"1551765151491192"</f>
        <v>1551765151491192</v>
      </c>
      <c r="C1930" t="s">
        <v>40</v>
      </c>
      <c r="D1930">
        <v>4.4630330000000002</v>
      </c>
      <c r="E1930">
        <v>0.49893470000000001</v>
      </c>
      <c r="F1930" t="s">
        <v>66</v>
      </c>
      <c r="G1930">
        <v>-297.58690000000001</v>
      </c>
      <c r="H1930" s="1">
        <v>3.5814050000000001E-6</v>
      </c>
      <c r="I1930">
        <v>284.2747</v>
      </c>
      <c r="J1930">
        <v>-283.31830000000002</v>
      </c>
      <c r="K1930">
        <v>1.1086100000000001</v>
      </c>
      <c r="L1930">
        <v>284.91890000000001</v>
      </c>
      <c r="M1930">
        <v>-0.99981929999999997</v>
      </c>
      <c r="N1930">
        <v>-1.4474900000000001E-2</v>
      </c>
      <c r="O1930">
        <v>-1.233395E-2</v>
      </c>
      <c r="P1930">
        <v>-0.99589729999999999</v>
      </c>
      <c r="Q1930">
        <v>-8.0682589999999998E-2</v>
      </c>
      <c r="R1930">
        <v>-4.0980959999999997E-2</v>
      </c>
      <c r="S1930">
        <v>-2.9884339999999998</v>
      </c>
      <c r="T1930">
        <v>-0.22790160000000001</v>
      </c>
      <c r="U1930">
        <v>-0.13311770000000001</v>
      </c>
      <c r="V1930">
        <v>-2.8685970000000002E-2</v>
      </c>
      <c r="W1930">
        <v>-6.6255530000000007E-2</v>
      </c>
      <c r="X1930">
        <v>0.99739029999999995</v>
      </c>
      <c r="Y1930">
        <v>-3.2086509999999999E-2</v>
      </c>
      <c r="Z1930">
        <v>-6.9342089999999904E-4</v>
      </c>
      <c r="AA1930">
        <v>0.99948479999999995</v>
      </c>
      <c r="AB1930">
        <v>47</v>
      </c>
      <c r="AC1930">
        <v>-14.2685999999999</v>
      </c>
      <c r="AD1930">
        <v>-1.108606418595</v>
      </c>
      <c r="AE1930">
        <v>-0.64420000000001199</v>
      </c>
      <c r="AF1930">
        <v>-0.46534101308171599</v>
      </c>
      <c r="AG1930">
        <v>-1.108606418595</v>
      </c>
      <c r="AH1930">
        <v>14.189975887135301</v>
      </c>
      <c r="AI1930">
        <v>94.464827032765896</v>
      </c>
      <c r="AJ1930">
        <v>91.878264261177705</v>
      </c>
      <c r="AK1930">
        <v>14.2408204162291</v>
      </c>
      <c r="AL1930">
        <v>93.798944962633996</v>
      </c>
      <c r="AM1930">
        <v>91.647431349251704</v>
      </c>
      <c r="AN1930">
        <v>1.00000004533225</v>
      </c>
    </row>
    <row r="1931" spans="1:40" x14ac:dyDescent="0.25">
      <c r="A1931" t="str">
        <f>"20190305135231516"</f>
        <v>20190305135231516</v>
      </c>
      <c r="B1931" t="str">
        <f>"1551765151511688"</f>
        <v>1551765151511688</v>
      </c>
      <c r="C1931" t="s">
        <v>40</v>
      </c>
      <c r="D1931">
        <v>4.4518459999999997</v>
      </c>
      <c r="E1931">
        <v>0.47374050000000001</v>
      </c>
      <c r="F1931" t="s">
        <v>66</v>
      </c>
      <c r="G1931">
        <v>-297.84039999999999</v>
      </c>
      <c r="H1931" s="1">
        <v>3.626074E-6</v>
      </c>
      <c r="I1931">
        <v>284.27820000000003</v>
      </c>
      <c r="J1931">
        <v>-283.60809999999998</v>
      </c>
      <c r="K1931">
        <v>1.1086370000000001</v>
      </c>
      <c r="L1931">
        <v>284.91520000000003</v>
      </c>
      <c r="M1931">
        <v>-0.99981779999999998</v>
      </c>
      <c r="N1931">
        <v>-1.44989E-2</v>
      </c>
      <c r="O1931">
        <v>-1.2425230000000001E-2</v>
      </c>
      <c r="P1931">
        <v>-0.99589430000000001</v>
      </c>
      <c r="Q1931">
        <v>-8.0788529999999997E-2</v>
      </c>
      <c r="R1931">
        <v>-4.0841479999999999E-2</v>
      </c>
      <c r="S1931">
        <v>-2.988464</v>
      </c>
      <c r="T1931">
        <v>-0.22813649999999999</v>
      </c>
      <c r="U1931">
        <v>-0.13183590000000001</v>
      </c>
      <c r="V1931">
        <v>-2.845087E-2</v>
      </c>
      <c r="W1931">
        <v>-6.6339519999999999E-2</v>
      </c>
      <c r="X1931">
        <v>0.99739140000000004</v>
      </c>
      <c r="Y1931">
        <v>-3.1568730000000003E-2</v>
      </c>
      <c r="Z1931">
        <v>-6.6527259999999897E-4</v>
      </c>
      <c r="AA1931">
        <v>0.99950130000000004</v>
      </c>
      <c r="AB1931">
        <v>47</v>
      </c>
      <c r="AC1931">
        <v>-14.2323</v>
      </c>
      <c r="AD1931">
        <v>-1.1086333739259999</v>
      </c>
      <c r="AE1931">
        <v>-0.63700000000000001</v>
      </c>
      <c r="AF1931">
        <v>-0.457323282271342</v>
      </c>
      <c r="AG1931">
        <v>-1.1086333739259999</v>
      </c>
      <c r="AH1931">
        <v>14.1534095208902</v>
      </c>
      <c r="AI1931">
        <v>94.476493659013997</v>
      </c>
      <c r="AJ1931">
        <v>91.850690505054899</v>
      </c>
      <c r="AK1931">
        <v>14.204126640111101</v>
      </c>
      <c r="AL1931">
        <v>93.803768039956395</v>
      </c>
      <c r="AM1931">
        <v>91.633935136473198</v>
      </c>
      <c r="AN1931">
        <v>0.99999999435577303</v>
      </c>
    </row>
    <row r="1932" spans="1:40" x14ac:dyDescent="0.25">
      <c r="A1932" t="str">
        <f>"20190305135231533"</f>
        <v>20190305135231533</v>
      </c>
      <c r="B1932" t="str">
        <f>"1551765151521449"</f>
        <v>1551765151521449</v>
      </c>
      <c r="C1932" t="s">
        <v>40</v>
      </c>
      <c r="D1932">
        <v>4.4067509999999999</v>
      </c>
      <c r="E1932">
        <v>0.47253200000000001</v>
      </c>
      <c r="F1932" t="s">
        <v>56</v>
      </c>
      <c r="G1932">
        <v>-323.08789999999999</v>
      </c>
      <c r="H1932" s="1">
        <v>2.878294E-7</v>
      </c>
      <c r="I1932">
        <v>280.4667</v>
      </c>
      <c r="J1932">
        <v>-283.95920000000001</v>
      </c>
      <c r="K1932">
        <v>1.1086830000000001</v>
      </c>
      <c r="L1932">
        <v>284.91079999999999</v>
      </c>
      <c r="M1932">
        <v>-0.99981569999999997</v>
      </c>
      <c r="N1932">
        <v>-1.4525410000000001E-2</v>
      </c>
      <c r="O1932">
        <v>-1.2565E-2</v>
      </c>
      <c r="P1932">
        <v>-0.99592760000000002</v>
      </c>
      <c r="Q1932">
        <v>-8.053718E-2</v>
      </c>
      <c r="R1932">
        <v>-4.0524730000000002E-2</v>
      </c>
      <c r="S1932">
        <v>-2.99173</v>
      </c>
      <c r="T1932">
        <v>-8.4011080000000002E-2</v>
      </c>
      <c r="U1932">
        <v>-0.33709719999999999</v>
      </c>
      <c r="V1932">
        <v>-2.798815E-2</v>
      </c>
      <c r="W1932">
        <v>-6.6063869999999997E-2</v>
      </c>
      <c r="X1932">
        <v>0.99742280000000005</v>
      </c>
      <c r="Y1932">
        <v>-9.9413879999999996E-2</v>
      </c>
      <c r="Z1932">
        <v>-1.946071E-3</v>
      </c>
      <c r="AA1932">
        <v>0.99504429999999999</v>
      </c>
      <c r="AB1932">
        <v>47</v>
      </c>
      <c r="AC1932">
        <v>-39.128699999999903</v>
      </c>
      <c r="AD1932">
        <v>-1.1086827121706</v>
      </c>
      <c r="AE1932">
        <v>-4.4440999999999899</v>
      </c>
      <c r="AF1932">
        <v>-3.94891524713438</v>
      </c>
      <c r="AG1932">
        <v>-1.1086827121706</v>
      </c>
      <c r="AH1932">
        <v>39.150425563873299</v>
      </c>
      <c r="AI1932">
        <v>91.613914373504699</v>
      </c>
      <c r="AJ1932">
        <v>95.759670041891994</v>
      </c>
      <c r="AK1932">
        <v>39.364691422869001</v>
      </c>
      <c r="AL1932">
        <v>93.787939688167299</v>
      </c>
      <c r="AM1932">
        <v>91.607324580150902</v>
      </c>
      <c r="AN1932">
        <v>1.00000000670981</v>
      </c>
    </row>
    <row r="1933" spans="1:40" x14ac:dyDescent="0.25">
      <c r="A1933" t="str">
        <f>"20190305135231544"</f>
        <v>20190305135231544</v>
      </c>
      <c r="B1933" t="str">
        <f>"1551765151541945"</f>
        <v>1551765151541945</v>
      </c>
      <c r="C1933" t="s">
        <v>40</v>
      </c>
      <c r="D1933">
        <v>4.4125579999999998</v>
      </c>
      <c r="E1933">
        <v>0.47292610000000002</v>
      </c>
      <c r="F1933" t="s">
        <v>56</v>
      </c>
      <c r="G1933">
        <v>-336.63049999999998</v>
      </c>
      <c r="H1933">
        <v>8.0001240000000001E-2</v>
      </c>
      <c r="I1933">
        <v>278.8107</v>
      </c>
      <c r="J1933">
        <v>-284.21379999999999</v>
      </c>
      <c r="K1933">
        <v>1.1087149999999999</v>
      </c>
      <c r="L1933">
        <v>284.90750000000003</v>
      </c>
      <c r="M1933">
        <v>-0.99981390000000003</v>
      </c>
      <c r="N1933">
        <v>-1.4543179999999999E-2</v>
      </c>
      <c r="O1933">
        <v>-1.2684539999999999E-2</v>
      </c>
      <c r="P1933">
        <v>-0.9959211</v>
      </c>
      <c r="Q1933">
        <v>-8.0605969999999999E-2</v>
      </c>
      <c r="R1933">
        <v>-4.0549599999999998E-2</v>
      </c>
      <c r="S1933">
        <v>-2.993439</v>
      </c>
      <c r="T1933">
        <v>-5.8462500000000001E-2</v>
      </c>
      <c r="U1933">
        <v>-0.34667969999999998</v>
      </c>
      <c r="V1933">
        <v>-2.7888659999999999E-2</v>
      </c>
      <c r="W1933">
        <v>-6.6117079999999995E-2</v>
      </c>
      <c r="X1933">
        <v>0.99742200000000003</v>
      </c>
      <c r="Y1933">
        <v>-0.1023997</v>
      </c>
      <c r="Z1933">
        <v>-1.6808389999999999E-3</v>
      </c>
      <c r="AA1933">
        <v>0.99474189999999996</v>
      </c>
      <c r="AB1933">
        <v>47</v>
      </c>
      <c r="AC1933">
        <v>-52.416699999999899</v>
      </c>
      <c r="AD1933">
        <v>-1.02871375999999</v>
      </c>
      <c r="AE1933">
        <v>-6.0968000000000302</v>
      </c>
      <c r="AF1933">
        <v>-5.4292941492764299</v>
      </c>
      <c r="AG1933">
        <v>-1.02871375999999</v>
      </c>
      <c r="AH1933">
        <v>52.469885420592803</v>
      </c>
      <c r="AI1933">
        <v>91.117221766708795</v>
      </c>
      <c r="AJ1933">
        <v>95.907626642176396</v>
      </c>
      <c r="AK1933">
        <v>52.760064092166502</v>
      </c>
      <c r="AL1933">
        <v>93.790995307812096</v>
      </c>
      <c r="AM1933">
        <v>91.601615258569197</v>
      </c>
      <c r="AN1933">
        <v>0.99999994585415897</v>
      </c>
    </row>
    <row r="1934" spans="1:40" x14ac:dyDescent="0.25">
      <c r="A1934" t="str">
        <f>"20190305135231557"</f>
        <v>20190305135231557</v>
      </c>
      <c r="B1934" t="str">
        <f>"1551765151551704"</f>
        <v>1551765151551704</v>
      </c>
      <c r="C1934" t="s">
        <v>40</v>
      </c>
      <c r="D1934">
        <v>4.3239280000000004</v>
      </c>
      <c r="E1934">
        <v>0.47205819999999998</v>
      </c>
      <c r="F1934" t="s">
        <v>56</v>
      </c>
      <c r="G1934">
        <v>-341.75470000000001</v>
      </c>
      <c r="H1934">
        <v>8.0000950000000001E-2</v>
      </c>
      <c r="I1934">
        <v>278.29969999999997</v>
      </c>
      <c r="J1934">
        <v>-284.47609999999997</v>
      </c>
      <c r="K1934">
        <v>1.1087590000000001</v>
      </c>
      <c r="L1934">
        <v>284.904</v>
      </c>
      <c r="M1934">
        <v>-0.99981160000000002</v>
      </c>
      <c r="N1934">
        <v>-1.455909E-2</v>
      </c>
      <c r="O1934">
        <v>-1.2841099999999999E-2</v>
      </c>
      <c r="P1934">
        <v>-0.99587879999999995</v>
      </c>
      <c r="Q1934">
        <v>-8.0884120000000004E-2</v>
      </c>
      <c r="R1934">
        <v>-4.1027609999999999E-2</v>
      </c>
      <c r="S1934">
        <v>-2.9939269999999998</v>
      </c>
      <c r="T1934">
        <v>-5.3525330000000003E-2</v>
      </c>
      <c r="U1934">
        <v>-0.34381099999999998</v>
      </c>
      <c r="V1934">
        <v>-2.8205379999999999E-2</v>
      </c>
      <c r="W1934">
        <v>-6.6382330000000003E-2</v>
      </c>
      <c r="X1934">
        <v>0.99739549999999999</v>
      </c>
      <c r="Y1934">
        <v>-0.1012893</v>
      </c>
      <c r="Z1934">
        <v>-1.5999180000000001E-3</v>
      </c>
      <c r="AA1934">
        <v>0.99485570000000001</v>
      </c>
      <c r="AB1934">
        <v>47</v>
      </c>
      <c r="AC1934">
        <v>-57.278599999999997</v>
      </c>
      <c r="AD1934">
        <v>-1.02875805</v>
      </c>
      <c r="AE1934">
        <v>-6.6043000000000198</v>
      </c>
      <c r="AF1934">
        <v>-5.8662896590061697</v>
      </c>
      <c r="AG1934">
        <v>-1.02875805</v>
      </c>
      <c r="AH1934">
        <v>57.340437443224097</v>
      </c>
      <c r="AI1934">
        <v>91.022510531934998</v>
      </c>
      <c r="AJ1934">
        <v>95.8413976141468</v>
      </c>
      <c r="AK1934">
        <v>57.648915546340497</v>
      </c>
      <c r="AL1934">
        <v>93.806226382716304</v>
      </c>
      <c r="AM1934">
        <v>91.619837520120299</v>
      </c>
      <c r="AN1934">
        <v>0.99999997030871102</v>
      </c>
    </row>
    <row r="1935" spans="1:40" x14ac:dyDescent="0.25">
      <c r="A1935" t="str">
        <f>"20190305135231570"</f>
        <v>20190305135231570</v>
      </c>
      <c r="B1935" t="str">
        <f>"1551765151561465"</f>
        <v>1551765151561465</v>
      </c>
      <c r="C1935" t="s">
        <v>40</v>
      </c>
      <c r="D1935">
        <v>4.4555170000000004</v>
      </c>
      <c r="E1935">
        <v>0.47196539999999998</v>
      </c>
      <c r="F1935" t="s">
        <v>56</v>
      </c>
      <c r="G1935">
        <v>-334.21449999999999</v>
      </c>
      <c r="H1935">
        <v>8.0000470000000004E-2</v>
      </c>
      <c r="I1935">
        <v>279.0523</v>
      </c>
      <c r="J1935">
        <v>-284.73320000000001</v>
      </c>
      <c r="K1935">
        <v>1.1088020000000001</v>
      </c>
      <c r="L1935">
        <v>284.9006</v>
      </c>
      <c r="M1935">
        <v>-0.99980910000000001</v>
      </c>
      <c r="N1935">
        <v>-1.4573829999999999E-2</v>
      </c>
      <c r="O1935">
        <v>-1.30067E-2</v>
      </c>
      <c r="P1935">
        <v>-0.99586300000000005</v>
      </c>
      <c r="Q1935">
        <v>-8.080292E-2</v>
      </c>
      <c r="R1935">
        <v>-4.1570019999999999E-2</v>
      </c>
      <c r="S1935">
        <v>-2.9928590000000002</v>
      </c>
      <c r="T1935">
        <v>-6.1902520000000003E-2</v>
      </c>
      <c r="U1935">
        <v>-0.35211179999999997</v>
      </c>
      <c r="V1935">
        <v>-2.8577470000000001E-2</v>
      </c>
      <c r="W1935">
        <v>-6.6289059999999997E-2</v>
      </c>
      <c r="X1935">
        <v>0.99739120000000003</v>
      </c>
      <c r="Y1935">
        <v>-0.1038786</v>
      </c>
      <c r="Z1935">
        <v>-1.751147E-3</v>
      </c>
      <c r="AA1935">
        <v>0.99458840000000004</v>
      </c>
      <c r="AB1935">
        <v>47</v>
      </c>
      <c r="AC1935">
        <v>-49.481299999999898</v>
      </c>
      <c r="AD1935">
        <v>-1.02880153</v>
      </c>
      <c r="AE1935">
        <v>-5.8482999999999903</v>
      </c>
      <c r="AF1935">
        <v>-5.2019305459026901</v>
      </c>
      <c r="AG1935">
        <v>-1.02880153</v>
      </c>
      <c r="AH1935">
        <v>49.532071115459097</v>
      </c>
      <c r="AI1935">
        <v>91.183379578259604</v>
      </c>
      <c r="AJ1935">
        <v>95.995309243574994</v>
      </c>
      <c r="AK1935">
        <v>49.8151039643543</v>
      </c>
      <c r="AL1935">
        <v>93.800870272471997</v>
      </c>
      <c r="AM1935">
        <v>91.641202143242296</v>
      </c>
      <c r="AN1935">
        <v>1.0000000585523601</v>
      </c>
    </row>
    <row r="1936" spans="1:40" x14ac:dyDescent="0.25">
      <c r="A1936" t="str">
        <f>"20190305135231583"</f>
        <v>20190305135231583</v>
      </c>
      <c r="B1936" t="str">
        <f>"1551765151571223"</f>
        <v>1551765151571223</v>
      </c>
      <c r="C1936" t="s">
        <v>40</v>
      </c>
      <c r="D1936">
        <v>4.4438190000000004</v>
      </c>
      <c r="E1936">
        <v>0.47196080000000001</v>
      </c>
      <c r="F1936" t="s">
        <v>56</v>
      </c>
      <c r="G1936">
        <v>-342.63699999999898</v>
      </c>
      <c r="H1936">
        <v>8.0000680000000005E-2</v>
      </c>
      <c r="I1936">
        <v>278.03919999999999</v>
      </c>
      <c r="J1936">
        <v>-285.02940000000001</v>
      </c>
      <c r="K1936">
        <v>1.1088530000000001</v>
      </c>
      <c r="L1936">
        <v>284.89659999999998</v>
      </c>
      <c r="M1936">
        <v>-0.99980619999999998</v>
      </c>
      <c r="N1936">
        <v>-1.458922E-2</v>
      </c>
      <c r="O1936">
        <v>-1.3220559999999999E-2</v>
      </c>
      <c r="P1936">
        <v>-0.9958825</v>
      </c>
      <c r="Q1936">
        <v>-8.0207699999999896E-2</v>
      </c>
      <c r="R1936">
        <v>-4.2247939999999998E-2</v>
      </c>
      <c r="S1936">
        <v>-2.9933779999999999</v>
      </c>
      <c r="T1936">
        <v>-5.3184629999999997E-2</v>
      </c>
      <c r="U1936">
        <v>-0.35470580000000002</v>
      </c>
      <c r="V1936">
        <v>-2.9036159999999998E-2</v>
      </c>
      <c r="W1936">
        <v>-6.5681080000000003E-2</v>
      </c>
      <c r="X1936">
        <v>0.99741809999999997</v>
      </c>
      <c r="Y1936">
        <v>-0.104503399999999</v>
      </c>
      <c r="Z1936">
        <v>-1.6484360000000001E-3</v>
      </c>
      <c r="AA1936">
        <v>0.99452320000000005</v>
      </c>
      <c r="AB1936">
        <v>47</v>
      </c>
      <c r="AC1936">
        <v>-57.607599999999898</v>
      </c>
      <c r="AD1936">
        <v>-1.0288523199999999</v>
      </c>
      <c r="AE1936">
        <v>-6.8573999999999797</v>
      </c>
      <c r="AF1936">
        <v>-6.0931984168411004</v>
      </c>
      <c r="AG1936">
        <v>-1.0288523199999999</v>
      </c>
      <c r="AH1936">
        <v>57.675093148831699</v>
      </c>
      <c r="AI1936">
        <v>91.016322641413694</v>
      </c>
      <c r="AJ1936">
        <v>96.030754494478401</v>
      </c>
      <c r="AK1936">
        <v>58.005189196913904</v>
      </c>
      <c r="AL1936">
        <v>93.7659597809334</v>
      </c>
      <c r="AM1936">
        <v>91.667484975723298</v>
      </c>
      <c r="AN1936">
        <v>0.99999998453256</v>
      </c>
    </row>
    <row r="1937" spans="1:40" x14ac:dyDescent="0.25">
      <c r="A1937" t="str">
        <f>"20190305135231603"</f>
        <v>20190305135231603</v>
      </c>
      <c r="B1937" t="str">
        <f>"1551765151591721"</f>
        <v>1551765151591721</v>
      </c>
      <c r="C1937" t="s">
        <v>40</v>
      </c>
      <c r="D1937">
        <v>4.4754170000000002</v>
      </c>
      <c r="E1937">
        <v>0.47338150000000001</v>
      </c>
      <c r="F1937" t="s">
        <v>56</v>
      </c>
      <c r="G1937">
        <v>-351.41460000000001</v>
      </c>
      <c r="H1937">
        <v>8.0001050000000004E-2</v>
      </c>
      <c r="I1937">
        <v>276.9812</v>
      </c>
      <c r="J1937">
        <v>-285.42880000000002</v>
      </c>
      <c r="K1937">
        <v>1.1089169999999999</v>
      </c>
      <c r="L1937">
        <v>284.89109999999999</v>
      </c>
      <c r="M1937">
        <v>-0.99980150000000001</v>
      </c>
      <c r="N1937">
        <v>-1.4607419999999999E-2</v>
      </c>
      <c r="O1937">
        <v>-1.354646E-2</v>
      </c>
      <c r="P1937">
        <v>-0.99590440000000002</v>
      </c>
      <c r="Q1937">
        <v>-7.9218730000000001E-2</v>
      </c>
      <c r="R1937">
        <v>-4.3578520000000003E-2</v>
      </c>
      <c r="S1937">
        <v>-2.9935299999999998</v>
      </c>
      <c r="T1937">
        <v>-4.6394350000000001E-2</v>
      </c>
      <c r="U1937">
        <v>-0.35693360000000002</v>
      </c>
      <c r="V1937">
        <v>-3.0034040000000001E-2</v>
      </c>
      <c r="W1937">
        <v>-6.467763E-2</v>
      </c>
      <c r="X1937">
        <v>0.99745419999999996</v>
      </c>
      <c r="Y1937">
        <v>-0.1049086</v>
      </c>
      <c r="Z1937">
        <v>-1.567176E-3</v>
      </c>
      <c r="AA1937">
        <v>0.99448060000000005</v>
      </c>
      <c r="AB1937">
        <v>47</v>
      </c>
      <c r="AC1937">
        <v>-65.985799999999898</v>
      </c>
      <c r="AD1937">
        <v>-1.02891595</v>
      </c>
      <c r="AE1937">
        <v>-7.9098999999999897</v>
      </c>
      <c r="AF1937">
        <v>-7.0135235155951099</v>
      </c>
      <c r="AG1937">
        <v>-1.02891595</v>
      </c>
      <c r="AH1937">
        <v>66.071069557843401</v>
      </c>
      <c r="AI1937">
        <v>90.887203676633604</v>
      </c>
      <c r="AJ1937">
        <v>96.059324925064701</v>
      </c>
      <c r="AK1937">
        <v>66.450240124873503</v>
      </c>
      <c r="AL1937">
        <v>93.708343529878604</v>
      </c>
      <c r="AM1937">
        <v>91.724694680263397</v>
      </c>
      <c r="AN1937">
        <v>1.0000000602393799</v>
      </c>
    </row>
    <row r="1938" spans="1:40" x14ac:dyDescent="0.25">
      <c r="A1938" t="str">
        <f>"20190305135231623"</f>
        <v>20190305135231623</v>
      </c>
      <c r="B1938" t="str">
        <f>"1551765151611242"</f>
        <v>1551765151611242</v>
      </c>
      <c r="C1938" t="s">
        <v>40</v>
      </c>
      <c r="D1938">
        <v>4.5990789999999997</v>
      </c>
      <c r="E1938">
        <v>0.47341119999999998</v>
      </c>
      <c r="F1938" t="s">
        <v>56</v>
      </c>
      <c r="G1938">
        <v>-338.34120000000001</v>
      </c>
      <c r="H1938">
        <v>8.0000740000000001E-2</v>
      </c>
      <c r="I1938">
        <v>278.71949999999998</v>
      </c>
      <c r="J1938">
        <v>-285.86059999999998</v>
      </c>
      <c r="K1938">
        <v>1.108976</v>
      </c>
      <c r="L1938">
        <v>284.88490000000002</v>
      </c>
      <c r="M1938">
        <v>-0.99979600000000002</v>
      </c>
      <c r="N1938">
        <v>-1.4624409999999999E-2</v>
      </c>
      <c r="O1938">
        <v>-1.3932150000000001E-2</v>
      </c>
      <c r="P1938">
        <v>-0.9959076</v>
      </c>
      <c r="Q1938">
        <v>-7.8418539999999995E-2</v>
      </c>
      <c r="R1938">
        <v>-4.4929440000000001E-2</v>
      </c>
      <c r="S1938">
        <v>-2.9924620000000002</v>
      </c>
      <c r="T1938">
        <v>-5.8190350000000002E-2</v>
      </c>
      <c r="U1938">
        <v>-0.34902949999999999</v>
      </c>
      <c r="V1938">
        <v>-3.099356E-2</v>
      </c>
      <c r="W1938">
        <v>-6.3864400000000002E-2</v>
      </c>
      <c r="X1938">
        <v>0.99747719999999995</v>
      </c>
      <c r="Y1938">
        <v>-0.1019665</v>
      </c>
      <c r="Z1938">
        <v>-1.669437E-3</v>
      </c>
      <c r="AA1938">
        <v>0.99478639999999996</v>
      </c>
      <c r="AB1938">
        <v>47</v>
      </c>
      <c r="AC1938">
        <v>-52.480600000000003</v>
      </c>
      <c r="AD1938">
        <v>-1.0289752599999999</v>
      </c>
      <c r="AE1938">
        <v>-6.1654000000000302</v>
      </c>
      <c r="AF1938">
        <v>-5.4314961099966697</v>
      </c>
      <c r="AG1938">
        <v>-1.0289752599999999</v>
      </c>
      <c r="AH1938">
        <v>52.541488437251203</v>
      </c>
      <c r="AI1938">
        <v>91.115994468185804</v>
      </c>
      <c r="AJ1938">
        <v>95.902008440220797</v>
      </c>
      <c r="AK1938">
        <v>52.831505252835598</v>
      </c>
      <c r="AL1938">
        <v>93.661652521333707</v>
      </c>
      <c r="AM1938">
        <v>91.779718894188093</v>
      </c>
      <c r="AN1938">
        <v>1.0000000134343301</v>
      </c>
    </row>
    <row r="1939" spans="1:40" x14ac:dyDescent="0.25">
      <c r="A1939" t="str">
        <f>"20190305135231646"</f>
        <v>20190305135231646</v>
      </c>
      <c r="B1939" t="str">
        <f>"1551765151641497"</f>
        <v>1551765151641497</v>
      </c>
      <c r="C1939" t="s">
        <v>40</v>
      </c>
      <c r="D1939">
        <v>4.5930400000000002</v>
      </c>
      <c r="E1939">
        <v>0.47252149999999998</v>
      </c>
      <c r="F1939" t="s">
        <v>56</v>
      </c>
      <c r="G1939">
        <v>-330.59120000000001</v>
      </c>
      <c r="H1939">
        <v>2.502097E-2</v>
      </c>
      <c r="I1939">
        <v>279.61630000000002</v>
      </c>
      <c r="J1939">
        <v>-286.32819999999998</v>
      </c>
      <c r="K1939">
        <v>1.1090310000000001</v>
      </c>
      <c r="L1939">
        <v>284.87810000000002</v>
      </c>
      <c r="M1939">
        <v>-0.9997895</v>
      </c>
      <c r="N1939">
        <v>-1.464001E-2</v>
      </c>
      <c r="O1939">
        <v>-1.4379629999999999E-2</v>
      </c>
      <c r="P1939">
        <v>-0.99590420000000002</v>
      </c>
      <c r="Q1939">
        <v>-7.7932230000000005E-2</v>
      </c>
      <c r="R1939">
        <v>-4.5844339999999997E-2</v>
      </c>
      <c r="S1939">
        <v>-2.990723</v>
      </c>
      <c r="T1939">
        <v>-7.2474120000000003E-2</v>
      </c>
      <c r="U1939">
        <v>-0.35226439999999998</v>
      </c>
      <c r="V1939">
        <v>-3.1456400000000002E-2</v>
      </c>
      <c r="W1939">
        <v>-6.3365969999999994E-2</v>
      </c>
      <c r="X1939">
        <v>0.99749449999999995</v>
      </c>
      <c r="Y1939">
        <v>-0.1026353</v>
      </c>
      <c r="Z1939">
        <v>-1.8559239999999999E-3</v>
      </c>
      <c r="AA1939">
        <v>0.99471730000000003</v>
      </c>
      <c r="AB1939">
        <v>47</v>
      </c>
      <c r="AC1939">
        <v>-44.262999999999998</v>
      </c>
      <c r="AD1939">
        <v>-1.08401003</v>
      </c>
      <c r="AE1939">
        <v>-5.2617999999999903</v>
      </c>
      <c r="AF1939">
        <v>-4.6219686277451597</v>
      </c>
      <c r="AG1939">
        <v>-1.08401003</v>
      </c>
      <c r="AH1939">
        <v>44.307889161850099</v>
      </c>
      <c r="AI1939">
        <v>91.393923809509104</v>
      </c>
      <c r="AJ1939">
        <v>95.9552592749409</v>
      </c>
      <c r="AK1939">
        <v>44.561493620835897</v>
      </c>
      <c r="AL1939">
        <v>93.633036621130898</v>
      </c>
      <c r="AM1939">
        <v>91.8062474097581</v>
      </c>
      <c r="AN1939">
        <v>1.00000001439262</v>
      </c>
    </row>
    <row r="1940" spans="1:40" x14ac:dyDescent="0.25">
      <c r="A1940" t="str">
        <f>"20190305135231667"</f>
        <v>20190305135231667</v>
      </c>
      <c r="B1940" t="str">
        <f>"1551765151661992"</f>
        <v>1551765151661992</v>
      </c>
      <c r="C1940" t="s">
        <v>40</v>
      </c>
      <c r="D1940">
        <v>4.6230270000000004</v>
      </c>
      <c r="E1940">
        <v>0.47190799999999999</v>
      </c>
      <c r="F1940" t="s">
        <v>66</v>
      </c>
      <c r="G1940">
        <v>-319.85739999999998</v>
      </c>
      <c r="H1940" s="1">
        <v>6.9196429999999999E-6</v>
      </c>
      <c r="I1940">
        <v>280.82659999999998</v>
      </c>
      <c r="J1940">
        <v>-286.78809999999999</v>
      </c>
      <c r="K1940">
        <v>1.1090690000000001</v>
      </c>
      <c r="L1940">
        <v>284.87110000000001</v>
      </c>
      <c r="M1940">
        <v>-0.99978259999999997</v>
      </c>
      <c r="N1940">
        <v>-1.4652729999999999E-2</v>
      </c>
      <c r="O1940">
        <v>-1.484184E-2</v>
      </c>
      <c r="P1940">
        <v>-0.99586399999999997</v>
      </c>
      <c r="Q1940">
        <v>-7.8179120000000005E-2</v>
      </c>
      <c r="R1940">
        <v>-4.6296820000000002E-2</v>
      </c>
      <c r="S1940">
        <v>-2.987946</v>
      </c>
      <c r="T1940">
        <v>-9.8830340000000003E-2</v>
      </c>
      <c r="U1940">
        <v>-0.36105350000000003</v>
      </c>
      <c r="V1940">
        <v>-3.1443079999999998E-2</v>
      </c>
      <c r="W1940">
        <v>-6.3603129999999994E-2</v>
      </c>
      <c r="X1940">
        <v>0.99747980000000003</v>
      </c>
      <c r="Y1940">
        <v>-0.10513500000000001</v>
      </c>
      <c r="Z1940">
        <v>-2.2332020000000001E-3</v>
      </c>
      <c r="AA1940">
        <v>0.99445550000000005</v>
      </c>
      <c r="AB1940">
        <v>47</v>
      </c>
      <c r="AC1940">
        <v>-33.069299999999998</v>
      </c>
      <c r="AD1940">
        <v>-1.1090620803569999</v>
      </c>
      <c r="AE1940">
        <v>-4.0445000000000197</v>
      </c>
      <c r="AF1940">
        <v>-3.5492592702220298</v>
      </c>
      <c r="AG1940">
        <v>-1.1090620803569999</v>
      </c>
      <c r="AH1940">
        <v>33.089022155686997</v>
      </c>
      <c r="AI1940">
        <v>91.908752921230899</v>
      </c>
      <c r="AJ1940">
        <v>96.122362934480293</v>
      </c>
      <c r="AK1940">
        <v>33.297306907389498</v>
      </c>
      <c r="AL1940">
        <v>93.646652448251899</v>
      </c>
      <c r="AM1940">
        <v>91.805509662869795</v>
      </c>
      <c r="AN1940">
        <v>0.999999988416861</v>
      </c>
    </row>
    <row r="1941" spans="1:40" x14ac:dyDescent="0.25">
      <c r="A1941" t="str">
        <f>"20190305135231691"</f>
        <v>20190305135231691</v>
      </c>
      <c r="B1941" t="str">
        <f>"1551765151681512"</f>
        <v>1551765151681512</v>
      </c>
      <c r="C1941" t="s">
        <v>40</v>
      </c>
      <c r="D1941">
        <v>4.632282</v>
      </c>
      <c r="E1941">
        <v>0.47134369999999998</v>
      </c>
      <c r="F1941" t="s">
        <v>66</v>
      </c>
      <c r="G1941">
        <v>-317.35180000000003</v>
      </c>
      <c r="H1941" s="1">
        <v>5.7832120000000003E-6</v>
      </c>
      <c r="I1941">
        <v>281.11599999999999</v>
      </c>
      <c r="J1941">
        <v>-287.2722</v>
      </c>
      <c r="K1941">
        <v>1.1090979999999999</v>
      </c>
      <c r="L1941">
        <v>284.86360000000002</v>
      </c>
      <c r="M1941">
        <v>-0.99977490000000002</v>
      </c>
      <c r="N1941">
        <v>-1.4663890000000001E-2</v>
      </c>
      <c r="O1941">
        <v>-1.5340319999999999E-2</v>
      </c>
      <c r="P1941">
        <v>-0.99577859999999996</v>
      </c>
      <c r="Q1941">
        <v>-7.9056379999999996E-2</v>
      </c>
      <c r="R1941">
        <v>-4.6642610000000001E-2</v>
      </c>
      <c r="S1941">
        <v>-2.9869080000000001</v>
      </c>
      <c r="T1941">
        <v>-0.1083857</v>
      </c>
      <c r="U1941">
        <v>-0.36697390000000002</v>
      </c>
      <c r="V1941">
        <v>-3.1287229999999999E-2</v>
      </c>
      <c r="W1941">
        <v>-6.4472340000000003E-2</v>
      </c>
      <c r="X1941">
        <v>0.99742889999999995</v>
      </c>
      <c r="Y1941">
        <v>-0.1066082</v>
      </c>
      <c r="Z1941">
        <v>-2.3812360000000001E-3</v>
      </c>
      <c r="AA1941">
        <v>0.99429829999999997</v>
      </c>
      <c r="AB1941">
        <v>47</v>
      </c>
      <c r="AC1941">
        <v>-30.079599999999999</v>
      </c>
      <c r="AD1941">
        <v>-1.109092216788</v>
      </c>
      <c r="AE1941">
        <v>-3.74760000000003</v>
      </c>
      <c r="AF1941">
        <v>-3.2812858226792798</v>
      </c>
      <c r="AG1941">
        <v>-1.109092216788</v>
      </c>
      <c r="AH1941">
        <v>30.093267780867102</v>
      </c>
      <c r="AI1941">
        <v>92.098264667521704</v>
      </c>
      <c r="AJ1941">
        <v>96.222788244806196</v>
      </c>
      <c r="AK1941">
        <v>30.291940973242799</v>
      </c>
      <c r="AL1941">
        <v>93.696556931866596</v>
      </c>
      <c r="AM1941">
        <v>91.796658018068499</v>
      </c>
      <c r="AN1941">
        <v>0.99999999197067901</v>
      </c>
    </row>
    <row r="1942" spans="1:40" x14ac:dyDescent="0.25">
      <c r="A1942" t="str">
        <f>"20190305135231702"</f>
        <v>20190305135231702</v>
      </c>
      <c r="B1942" t="str">
        <f>"1551765151691272"</f>
        <v>1551765151691272</v>
      </c>
      <c r="C1942" t="s">
        <v>40</v>
      </c>
      <c r="D1942">
        <v>4.6125489999999996</v>
      </c>
      <c r="E1942">
        <v>0.47136549999999999</v>
      </c>
      <c r="F1942" t="s">
        <v>66</v>
      </c>
      <c r="G1942">
        <v>-315.12439999999998</v>
      </c>
      <c r="H1942" s="1">
        <v>4.7711970000000003E-6</v>
      </c>
      <c r="I1942">
        <v>281.39339999999999</v>
      </c>
      <c r="J1942">
        <v>-287.52780000000001</v>
      </c>
      <c r="K1942">
        <v>1.109113</v>
      </c>
      <c r="L1942">
        <v>284.85950000000003</v>
      </c>
      <c r="M1942">
        <v>-0.99977059999999995</v>
      </c>
      <c r="N1942">
        <v>-1.4669130000000001E-2</v>
      </c>
      <c r="O1942">
        <v>-1.5605519999999999E-2</v>
      </c>
      <c r="P1942">
        <v>-0.9957222</v>
      </c>
      <c r="Q1942">
        <v>-7.969996E-2</v>
      </c>
      <c r="R1942">
        <v>-4.6747610000000002E-2</v>
      </c>
      <c r="S1942">
        <v>-2.98584</v>
      </c>
      <c r="T1942">
        <v>-0.118898</v>
      </c>
      <c r="U1942">
        <v>-0.37200929999999999</v>
      </c>
      <c r="V1942">
        <v>-3.112612E-2</v>
      </c>
      <c r="W1942">
        <v>-6.5112290000000003E-2</v>
      </c>
      <c r="X1942">
        <v>0.99739239999999996</v>
      </c>
      <c r="Y1942">
        <v>-0.1080219</v>
      </c>
      <c r="Z1942">
        <v>-2.5468790000000002E-3</v>
      </c>
      <c r="AA1942">
        <v>0.99414530000000001</v>
      </c>
      <c r="AB1942">
        <v>47</v>
      </c>
      <c r="AC1942">
        <v>-27.596599999999899</v>
      </c>
      <c r="AD1942">
        <v>-1.1091082288030001</v>
      </c>
      <c r="AE1942">
        <v>-3.4661000000000399</v>
      </c>
      <c r="AF1942">
        <v>-3.0301537761851298</v>
      </c>
      <c r="AG1942">
        <v>-1.1091082288030001</v>
      </c>
      <c r="AH1942">
        <v>27.603441136285799</v>
      </c>
      <c r="AI1942">
        <v>92.287185996698099</v>
      </c>
      <c r="AJ1942">
        <v>96.2645320895532</v>
      </c>
      <c r="AK1942">
        <v>27.791400028334699</v>
      </c>
      <c r="AL1942">
        <v>93.733300459154293</v>
      </c>
      <c r="AM1942">
        <v>91.787477719363196</v>
      </c>
      <c r="AN1942">
        <v>1.00000002261652</v>
      </c>
    </row>
    <row r="1943" spans="1:40" x14ac:dyDescent="0.25">
      <c r="A1943" t="str">
        <f>"20190305135231714"</f>
        <v>20190305135231714</v>
      </c>
      <c r="B1943" t="str">
        <f>"1551765151711768"</f>
        <v>1551765151711768</v>
      </c>
      <c r="C1943" t="s">
        <v>40</v>
      </c>
      <c r="D1943">
        <v>4.6266189999999998</v>
      </c>
      <c r="E1943">
        <v>0.47145550000000003</v>
      </c>
      <c r="F1943" t="s">
        <v>66</v>
      </c>
      <c r="G1943">
        <v>-313.1284</v>
      </c>
      <c r="H1943" s="1">
        <v>3.8620270000000001E-6</v>
      </c>
      <c r="I1943">
        <v>281.66829999999999</v>
      </c>
      <c r="J1943">
        <v>-287.76979999999998</v>
      </c>
      <c r="K1943">
        <v>1.1091219999999999</v>
      </c>
      <c r="L1943">
        <v>284.85559999999998</v>
      </c>
      <c r="M1943">
        <v>-0.99976659999999995</v>
      </c>
      <c r="N1943">
        <v>-1.467338E-2</v>
      </c>
      <c r="O1943">
        <v>-1.5857670000000001E-2</v>
      </c>
      <c r="P1943">
        <v>-0.99567950000000005</v>
      </c>
      <c r="Q1943">
        <v>-8.0262230000000004E-2</v>
      </c>
      <c r="R1943">
        <v>-4.6698160000000002E-2</v>
      </c>
      <c r="S1943">
        <v>-2.9851070000000002</v>
      </c>
      <c r="T1943">
        <v>-0.1293253</v>
      </c>
      <c r="U1943">
        <v>-0.37210080000000001</v>
      </c>
      <c r="V1943">
        <v>-3.082346E-2</v>
      </c>
      <c r="W1943">
        <v>-6.5671380000000001E-2</v>
      </c>
      <c r="X1943">
        <v>0.9973651</v>
      </c>
      <c r="Y1943">
        <v>-0.1078146</v>
      </c>
      <c r="Z1943">
        <v>-2.6678980000000001E-3</v>
      </c>
      <c r="AA1943">
        <v>0.99416740000000003</v>
      </c>
      <c r="AB1943">
        <v>47</v>
      </c>
      <c r="AC1943">
        <v>-25.358599999999999</v>
      </c>
      <c r="AD1943">
        <v>-1.109118137973</v>
      </c>
      <c r="AE1943">
        <v>-3.1872999999999898</v>
      </c>
      <c r="AF1943">
        <v>-2.7794931795553399</v>
      </c>
      <c r="AG1943">
        <v>-1.109118137973</v>
      </c>
      <c r="AH1943">
        <v>25.358204574759199</v>
      </c>
      <c r="AI1943">
        <v>92.489517672605899</v>
      </c>
      <c r="AJ1943">
        <v>96.255175534175393</v>
      </c>
      <c r="AK1943">
        <v>25.534178362236599</v>
      </c>
      <c r="AL1943">
        <v>93.765402829206593</v>
      </c>
      <c r="AM1943">
        <v>91.770156415098597</v>
      </c>
      <c r="AN1943">
        <v>0.99999997926774198</v>
      </c>
    </row>
    <row r="1944" spans="1:40" x14ac:dyDescent="0.25">
      <c r="A1944" t="str">
        <f>"20190305135231727"</f>
        <v>20190305135231727</v>
      </c>
      <c r="B1944" t="str">
        <f>"1551765151721528"</f>
        <v>1551765151721528</v>
      </c>
      <c r="C1944" t="s">
        <v>40</v>
      </c>
      <c r="D1944">
        <v>4.506221</v>
      </c>
      <c r="E1944">
        <v>0.47174719999999998</v>
      </c>
      <c r="F1944" t="s">
        <v>66</v>
      </c>
      <c r="G1944">
        <v>-310.25639999999999</v>
      </c>
      <c r="H1944" s="1">
        <v>2.5539779999999998E-6</v>
      </c>
      <c r="I1944">
        <v>282.06229999999999</v>
      </c>
      <c r="J1944">
        <v>-288.02600000000001</v>
      </c>
      <c r="K1944">
        <v>1.1091329999999999</v>
      </c>
      <c r="L1944">
        <v>284.85129999999998</v>
      </c>
      <c r="M1944">
        <v>-0.99976240000000005</v>
      </c>
      <c r="N1944">
        <v>-1.4677600000000001E-2</v>
      </c>
      <c r="O1944">
        <v>-1.6125090000000002E-2</v>
      </c>
      <c r="P1944">
        <v>-0.99562609999999996</v>
      </c>
      <c r="Q1944">
        <v>-8.0820050000000004E-2</v>
      </c>
      <c r="R1944">
        <v>-4.6875769999999997E-2</v>
      </c>
      <c r="S1944">
        <v>-2.9837340000000001</v>
      </c>
      <c r="T1944">
        <v>-0.14716850000000001</v>
      </c>
      <c r="U1944">
        <v>-0.37063600000000002</v>
      </c>
      <c r="V1944">
        <v>-3.0732450000000001E-2</v>
      </c>
      <c r="W1944">
        <v>-6.6226419999999994E-2</v>
      </c>
      <c r="X1944">
        <v>0.99733119999999997</v>
      </c>
      <c r="Y1944">
        <v>-0.1070942</v>
      </c>
      <c r="Z1944">
        <v>-2.863202E-3</v>
      </c>
      <c r="AA1944">
        <v>0.99424480000000004</v>
      </c>
      <c r="AB1944">
        <v>47</v>
      </c>
      <c r="AC1944">
        <v>-22.2303999999999</v>
      </c>
      <c r="AD1944">
        <v>-1.1091304460219999</v>
      </c>
      <c r="AE1944">
        <v>-2.7889999999999802</v>
      </c>
      <c r="AF1944">
        <v>-2.4241906010347698</v>
      </c>
      <c r="AG1944">
        <v>-1.1091304460219999</v>
      </c>
      <c r="AH1944">
        <v>22.218037249695801</v>
      </c>
      <c r="AI1944">
        <v>92.841015518216196</v>
      </c>
      <c r="AJ1944">
        <v>96.226860475997697</v>
      </c>
      <c r="AK1944">
        <v>22.377400421972801</v>
      </c>
      <c r="AL1944">
        <v>93.797273688837606</v>
      </c>
      <c r="AM1944">
        <v>91.764993077756998</v>
      </c>
      <c r="AN1944">
        <v>0.99999997234122895</v>
      </c>
    </row>
    <row r="1945" spans="1:40" x14ac:dyDescent="0.25">
      <c r="A1945" t="str">
        <f>"20190305135231739"</f>
        <v>20190305135231739</v>
      </c>
      <c r="B1945" t="str">
        <f>"1551765151731288"</f>
        <v>1551765151731288</v>
      </c>
      <c r="C1945" t="s">
        <v>40</v>
      </c>
      <c r="D1945">
        <v>4.5360959999999997</v>
      </c>
      <c r="E1945">
        <v>0.47201680000000001</v>
      </c>
      <c r="F1945" t="s">
        <v>66</v>
      </c>
      <c r="G1945">
        <v>-310.15030000000002</v>
      </c>
      <c r="H1945" s="1">
        <v>2.5021440000000001E-6</v>
      </c>
      <c r="I1945">
        <v>282.11700000000002</v>
      </c>
      <c r="J1945">
        <v>-288.29559999999998</v>
      </c>
      <c r="K1945">
        <v>1.109143</v>
      </c>
      <c r="L1945">
        <v>284.84679999999997</v>
      </c>
      <c r="M1945">
        <v>-0.99975749999999997</v>
      </c>
      <c r="N1945">
        <v>-1.4681390000000001E-2</v>
      </c>
      <c r="O1945">
        <v>-1.6405960000000001E-2</v>
      </c>
      <c r="P1945">
        <v>-0.99561659999999996</v>
      </c>
      <c r="Q1945">
        <v>-8.097588E-2</v>
      </c>
      <c r="R1945">
        <v>-4.6803230000000001E-2</v>
      </c>
      <c r="S1945">
        <v>-2.9836429999999998</v>
      </c>
      <c r="T1945">
        <v>-0.1495755</v>
      </c>
      <c r="U1945">
        <v>-0.36874390000000001</v>
      </c>
      <c r="V1945">
        <v>-3.037784E-2</v>
      </c>
      <c r="W1945">
        <v>-6.6378960000000001E-2</v>
      </c>
      <c r="X1945">
        <v>0.997332</v>
      </c>
      <c r="Y1945">
        <v>-0.10619480000000001</v>
      </c>
      <c r="Z1945">
        <v>-2.8546280000000001E-3</v>
      </c>
      <c r="AA1945">
        <v>0.99434129999999998</v>
      </c>
      <c r="AB1945">
        <v>47</v>
      </c>
      <c r="AC1945">
        <v>-21.854700000000001</v>
      </c>
      <c r="AD1945">
        <v>-1.109140497856</v>
      </c>
      <c r="AE1945">
        <v>-2.7297999999999498</v>
      </c>
      <c r="AF1945">
        <v>-2.3648490947702001</v>
      </c>
      <c r="AG1945">
        <v>-1.109140497856</v>
      </c>
      <c r="AH1945">
        <v>21.841157285959099</v>
      </c>
      <c r="AI1945">
        <v>92.890240948240304</v>
      </c>
      <c r="AJ1945">
        <v>96.179620930312495</v>
      </c>
      <c r="AK1945">
        <v>21.9967919359852</v>
      </c>
      <c r="AL1945">
        <v>93.8060325697097</v>
      </c>
      <c r="AM1945">
        <v>91.744638757818294</v>
      </c>
      <c r="AN1945">
        <v>1.0000000488588701</v>
      </c>
    </row>
    <row r="1946" spans="1:40" x14ac:dyDescent="0.25">
      <c r="A1946" t="str">
        <f>"20190305135231757"</f>
        <v>20190305135231757</v>
      </c>
      <c r="B1946" t="str">
        <f>"1551765151751784"</f>
        <v>1551765151751784</v>
      </c>
      <c r="C1946" t="s">
        <v>40</v>
      </c>
      <c r="D1946">
        <v>4.5558300000000003</v>
      </c>
      <c r="E1946">
        <v>0.47194380000000002</v>
      </c>
      <c r="F1946" t="s">
        <v>66</v>
      </c>
      <c r="G1946">
        <v>-310.34390000000002</v>
      </c>
      <c r="H1946" s="1">
        <v>2.5860240000000001E-6</v>
      </c>
      <c r="I1946">
        <v>282.13940000000002</v>
      </c>
      <c r="J1946">
        <v>-288.67129999999997</v>
      </c>
      <c r="K1946">
        <v>1.1091610000000001</v>
      </c>
      <c r="L1946">
        <v>284.84039999999999</v>
      </c>
      <c r="M1946">
        <v>-0.99975119999999895</v>
      </c>
      <c r="N1946">
        <v>-1.4686029999999999E-2</v>
      </c>
      <c r="O1946">
        <v>-1.6797880000000001E-2</v>
      </c>
      <c r="P1946">
        <v>-0.99553179999999997</v>
      </c>
      <c r="Q1946">
        <v>-8.1848599999999994E-2</v>
      </c>
      <c r="R1946">
        <v>-4.7091000000000001E-2</v>
      </c>
      <c r="S1946">
        <v>-2.983765</v>
      </c>
      <c r="T1946">
        <v>-0.15009879999999901</v>
      </c>
      <c r="U1946">
        <v>-0.366394</v>
      </c>
      <c r="V1946">
        <v>-3.0272879999999999E-2</v>
      </c>
      <c r="W1946">
        <v>-6.724898E-2</v>
      </c>
      <c r="X1946">
        <v>0.99727679999999996</v>
      </c>
      <c r="Y1946">
        <v>-0.10502980000000001</v>
      </c>
      <c r="Z1946">
        <v>-2.8096879999999999E-3</v>
      </c>
      <c r="AA1946">
        <v>0.99446509999999999</v>
      </c>
      <c r="AB1946">
        <v>47</v>
      </c>
      <c r="AC1946">
        <v>-21.672599999999999</v>
      </c>
      <c r="AD1946">
        <v>-1.109158413976</v>
      </c>
      <c r="AE1946">
        <v>-2.7009999999999601</v>
      </c>
      <c r="AF1946">
        <v>-2.33051520075764</v>
      </c>
      <c r="AG1946">
        <v>-1.109158413976</v>
      </c>
      <c r="AH1946">
        <v>21.659056119934199</v>
      </c>
      <c r="AI1946">
        <v>92.914755783275993</v>
      </c>
      <c r="AJ1946">
        <v>96.141399395263903</v>
      </c>
      <c r="AK1946">
        <v>21.812295741042899</v>
      </c>
      <c r="AL1946">
        <v>93.855993085506299</v>
      </c>
      <c r="AM1946">
        <v>91.738710649450098</v>
      </c>
      <c r="AN1946">
        <v>0.99999994419638505</v>
      </c>
    </row>
    <row r="1947" spans="1:40" x14ac:dyDescent="0.25">
      <c r="A1947" t="str">
        <f>"20190305135231770"</f>
        <v>20190305135231770</v>
      </c>
      <c r="B1947" t="str">
        <f>"1551765151761544"</f>
        <v>1551765151761544</v>
      </c>
      <c r="C1947" t="s">
        <v>40</v>
      </c>
      <c r="D1947">
        <v>4.5577949999999996</v>
      </c>
      <c r="E1947">
        <v>0.47188350000000001</v>
      </c>
      <c r="F1947" t="s">
        <v>66</v>
      </c>
      <c r="G1947">
        <v>-311.96859999999998</v>
      </c>
      <c r="H1947" s="1">
        <v>3.3216730000000002E-6</v>
      </c>
      <c r="I1947">
        <v>281.96609999999998</v>
      </c>
      <c r="J1947">
        <v>-288.9357</v>
      </c>
      <c r="K1947">
        <v>1.1091709999999999</v>
      </c>
      <c r="L1947">
        <v>284.83580000000001</v>
      </c>
      <c r="M1947">
        <v>-0.99974629999999998</v>
      </c>
      <c r="N1947">
        <v>-1.468882E-2</v>
      </c>
      <c r="O1947">
        <v>-1.707345E-2</v>
      </c>
      <c r="P1947">
        <v>-0.99551210000000001</v>
      </c>
      <c r="Q1947">
        <v>-8.2006029999999994E-2</v>
      </c>
      <c r="R1947">
        <v>-4.7229439999999998E-2</v>
      </c>
      <c r="S1947">
        <v>-2.9843440000000001</v>
      </c>
      <c r="T1947">
        <v>-0.14208109999999999</v>
      </c>
      <c r="U1947">
        <v>-0.36819459999999998</v>
      </c>
      <c r="V1947">
        <v>-3.0135599999999998E-2</v>
      </c>
      <c r="W1947">
        <v>-6.7404279999999997E-2</v>
      </c>
      <c r="X1947">
        <v>0.99727049999999995</v>
      </c>
      <c r="Y1947">
        <v>-0.10533720000000001</v>
      </c>
      <c r="Z1947">
        <v>-2.7145450000000001E-3</v>
      </c>
      <c r="AA1947">
        <v>0.99443289999999995</v>
      </c>
      <c r="AB1947">
        <v>47</v>
      </c>
      <c r="AC1947">
        <v>-23.032899999999898</v>
      </c>
      <c r="AD1947">
        <v>-1.1091676783269999</v>
      </c>
      <c r="AE1947">
        <v>-2.8697000000000199</v>
      </c>
      <c r="AF1947">
        <v>-2.4703469846389599</v>
      </c>
      <c r="AG1947">
        <v>-1.1091676783269999</v>
      </c>
      <c r="AH1947">
        <v>23.025962363866</v>
      </c>
      <c r="AI1947">
        <v>92.742111887193303</v>
      </c>
      <c r="AJ1947">
        <v>96.123571466506206</v>
      </c>
      <c r="AK1947">
        <v>23.184645995687099</v>
      </c>
      <c r="AL1947">
        <v>93.864911253411904</v>
      </c>
      <c r="AM1947">
        <v>91.730841762321802</v>
      </c>
      <c r="AN1947">
        <v>0.99999997075996305</v>
      </c>
    </row>
    <row r="1948" spans="1:40" x14ac:dyDescent="0.25">
      <c r="A1948" t="str">
        <f>"20190305135231783"</f>
        <v>20190305135231783</v>
      </c>
      <c r="B1948" t="str">
        <f>"1551765151771304"</f>
        <v>1551765151771304</v>
      </c>
      <c r="C1948" t="s">
        <v>40</v>
      </c>
      <c r="D1948">
        <v>4.5373869999999998</v>
      </c>
      <c r="E1948">
        <v>0.4718465</v>
      </c>
      <c r="F1948" t="s">
        <v>66</v>
      </c>
      <c r="G1948">
        <v>-312.97989999999999</v>
      </c>
      <c r="H1948" s="1">
        <v>3.7794109999999999E-6</v>
      </c>
      <c r="I1948">
        <v>281.85980000000001</v>
      </c>
      <c r="J1948">
        <v>-289.22109999999998</v>
      </c>
      <c r="K1948">
        <v>1.109183</v>
      </c>
      <c r="L1948">
        <v>284.83069999999998</v>
      </c>
      <c r="M1948">
        <v>-0.99974130000000005</v>
      </c>
      <c r="N1948">
        <v>-1.469141E-2</v>
      </c>
      <c r="O1948">
        <v>-1.7370819999999999E-2</v>
      </c>
      <c r="P1948">
        <v>-0.99551670000000003</v>
      </c>
      <c r="Q1948">
        <v>-8.1771060000000007E-2</v>
      </c>
      <c r="R1948">
        <v>-4.7541989999999999E-2</v>
      </c>
      <c r="S1948">
        <v>-2.98468</v>
      </c>
      <c r="T1948">
        <v>-0.13768449999999999</v>
      </c>
      <c r="U1948">
        <v>-0.3694153</v>
      </c>
      <c r="V1948">
        <v>-3.0150360000000001E-2</v>
      </c>
      <c r="W1948">
        <v>-6.7167149999999995E-2</v>
      </c>
      <c r="X1948">
        <v>0.99728609999999895</v>
      </c>
      <c r="Y1948">
        <v>-0.1054359</v>
      </c>
      <c r="Z1948">
        <v>-2.656027E-3</v>
      </c>
      <c r="AA1948">
        <v>0.99442260000000005</v>
      </c>
      <c r="AB1948">
        <v>47</v>
      </c>
      <c r="AC1948">
        <v>-23.758800000000001</v>
      </c>
      <c r="AD1948">
        <v>-1.1091792205890001</v>
      </c>
      <c r="AE1948">
        <v>-2.9708999999999701</v>
      </c>
      <c r="AF1948">
        <v>-2.55222041256095</v>
      </c>
      <c r="AG1948">
        <v>-1.1091792205890001</v>
      </c>
      <c r="AH1948">
        <v>23.755848455000201</v>
      </c>
      <c r="AI1948">
        <v>92.657969975555801</v>
      </c>
      <c r="AJ1948">
        <v>96.132077466945901</v>
      </c>
      <c r="AK1948">
        <v>23.9182867989038</v>
      </c>
      <c r="AL1948">
        <v>93.851293663061895</v>
      </c>
      <c r="AM1948">
        <v>91.731661917266194</v>
      </c>
      <c r="AN1948">
        <v>1.00000001775023</v>
      </c>
    </row>
    <row r="1949" spans="1:40" x14ac:dyDescent="0.25">
      <c r="A1949" t="str">
        <f>"20190305135231803"</f>
        <v>20190305135231803</v>
      </c>
      <c r="B1949" t="str">
        <f>"1551765151791799"</f>
        <v>1551765151791799</v>
      </c>
      <c r="C1949" t="s">
        <v>40</v>
      </c>
      <c r="D1949">
        <v>4.664282</v>
      </c>
      <c r="E1949">
        <v>0.47157329999999997</v>
      </c>
      <c r="F1949" t="s">
        <v>66</v>
      </c>
      <c r="G1949">
        <v>-314.31009999999998</v>
      </c>
      <c r="H1949" s="1">
        <v>4.381973E-6</v>
      </c>
      <c r="I1949">
        <v>281.71499999999997</v>
      </c>
      <c r="J1949">
        <v>-289.6225</v>
      </c>
      <c r="K1949">
        <v>1.109199</v>
      </c>
      <c r="L1949">
        <v>284.82350000000002</v>
      </c>
      <c r="M1949">
        <v>-0.99973380000000001</v>
      </c>
      <c r="N1949">
        <v>-1.4694230000000001E-2</v>
      </c>
      <c r="O1949">
        <v>-1.778969E-2</v>
      </c>
      <c r="P1949">
        <v>-0.99548599999999998</v>
      </c>
      <c r="Q1949">
        <v>-8.1867919999999997E-2</v>
      </c>
      <c r="R1949">
        <v>-4.8015710000000003E-2</v>
      </c>
      <c r="S1949">
        <v>-2.9849549999999998</v>
      </c>
      <c r="T1949">
        <v>-0.1319641</v>
      </c>
      <c r="U1949">
        <v>-0.370697</v>
      </c>
      <c r="V1949">
        <v>-3.0204849999999998E-2</v>
      </c>
      <c r="W1949">
        <v>-6.7262169999999996E-2</v>
      </c>
      <c r="X1949">
        <v>0.997278</v>
      </c>
      <c r="Y1949">
        <v>-0.1054383</v>
      </c>
      <c r="Z1949">
        <v>-2.576409E-3</v>
      </c>
      <c r="AA1949">
        <v>0.99442249999999999</v>
      </c>
      <c r="AB1949">
        <v>47</v>
      </c>
      <c r="AC1949">
        <v>-24.6875999999999</v>
      </c>
      <c r="AD1949">
        <v>-1.109194618027</v>
      </c>
      <c r="AE1949">
        <v>-3.1085000000000398</v>
      </c>
      <c r="AF1949">
        <v>-2.6634831291842702</v>
      </c>
      <c r="AG1949">
        <v>-1.109194618027</v>
      </c>
      <c r="AH1949">
        <v>24.6899354640823</v>
      </c>
      <c r="AI1949">
        <v>92.557463287691903</v>
      </c>
      <c r="AJ1949">
        <v>96.1571021916738</v>
      </c>
      <c r="AK1949">
        <v>24.857943766543901</v>
      </c>
      <c r="AL1949">
        <v>93.856750428836406</v>
      </c>
      <c r="AM1949">
        <v>91.734803677948193</v>
      </c>
      <c r="AN1949">
        <v>0.999999970880315</v>
      </c>
    </row>
    <row r="1950" spans="1:40" x14ac:dyDescent="0.25">
      <c r="A1950" t="str">
        <f>"20190305135231823"</f>
        <v>20190305135231823</v>
      </c>
      <c r="B1950" t="str">
        <f>"1551765151811322"</f>
        <v>1551765151811322</v>
      </c>
      <c r="C1950" t="s">
        <v>40</v>
      </c>
      <c r="D1950">
        <v>4.7022110000000001</v>
      </c>
      <c r="E1950">
        <v>0.47177649999999999</v>
      </c>
      <c r="F1950" t="s">
        <v>66</v>
      </c>
      <c r="G1950">
        <v>-316.45139999999998</v>
      </c>
      <c r="H1950" s="1">
        <v>5.3539910000000003E-6</v>
      </c>
      <c r="I1950">
        <v>281.4581</v>
      </c>
      <c r="J1950">
        <v>-290.03980000000001</v>
      </c>
      <c r="K1950">
        <v>1.1092150000000001</v>
      </c>
      <c r="L1950">
        <v>284.81569999999999</v>
      </c>
      <c r="M1950">
        <v>-0.999726</v>
      </c>
      <c r="N1950">
        <v>-1.469667E-2</v>
      </c>
      <c r="O1950">
        <v>-1.822652E-2</v>
      </c>
      <c r="P1950">
        <v>-0.99549030000000005</v>
      </c>
      <c r="Q1950">
        <v>-8.1466730000000001E-2</v>
      </c>
      <c r="R1950">
        <v>-4.8606650000000001E-2</v>
      </c>
      <c r="S1950">
        <v>-2.9854129999999999</v>
      </c>
      <c r="T1950">
        <v>-0.123427</v>
      </c>
      <c r="U1950">
        <v>-0.37448120000000001</v>
      </c>
      <c r="V1950">
        <v>-3.0359750000000001E-2</v>
      </c>
      <c r="W1950">
        <v>-6.6859050000000003E-2</v>
      </c>
      <c r="X1950">
        <v>0.99730039999999998</v>
      </c>
      <c r="Y1950">
        <v>-0.1062391</v>
      </c>
      <c r="Z1950">
        <v>-2.4876730000000001E-3</v>
      </c>
      <c r="AA1950">
        <v>0.99433749999999999</v>
      </c>
      <c r="AB1950">
        <v>47</v>
      </c>
      <c r="AC1950">
        <v>-26.4115999999999</v>
      </c>
      <c r="AD1950">
        <v>-1.109209646009</v>
      </c>
      <c r="AE1950">
        <v>-3.3575999999999899</v>
      </c>
      <c r="AF1950">
        <v>-2.8706161032047599</v>
      </c>
      <c r="AG1950">
        <v>-1.109209646009</v>
      </c>
      <c r="AH1950">
        <v>26.422553911018401</v>
      </c>
      <c r="AI1950">
        <v>92.389799667383699</v>
      </c>
      <c r="AJ1950">
        <v>96.200446172068794</v>
      </c>
      <c r="AK1950">
        <v>26.601167982467398</v>
      </c>
      <c r="AL1950">
        <v>93.833601255623194</v>
      </c>
      <c r="AM1950">
        <v>91.743655679962202</v>
      </c>
      <c r="AN1950">
        <v>0.99999996741356201</v>
      </c>
    </row>
    <row r="1951" spans="1:40" x14ac:dyDescent="0.25">
      <c r="A1951" t="str">
        <f>"20190305135231836"</f>
        <v>20190305135231836</v>
      </c>
      <c r="B1951" t="str">
        <f>"1551765151831816"</f>
        <v>1551765151831816</v>
      </c>
      <c r="C1951" t="s">
        <v>40</v>
      </c>
      <c r="D1951">
        <v>4.6752419999999999</v>
      </c>
      <c r="E1951">
        <v>0.47161789999999998</v>
      </c>
      <c r="F1951" t="s">
        <v>66</v>
      </c>
      <c r="G1951">
        <v>-315.7022</v>
      </c>
      <c r="H1951" s="1">
        <v>5.0098160000000003E-6</v>
      </c>
      <c r="I1951">
        <v>281.59519999999998</v>
      </c>
      <c r="J1951">
        <v>-290.3168</v>
      </c>
      <c r="K1951">
        <v>1.1092249999999999</v>
      </c>
      <c r="L1951">
        <v>284.81049999999999</v>
      </c>
      <c r="M1951">
        <v>-0.99972050000000001</v>
      </c>
      <c r="N1951">
        <v>-1.469795E-2</v>
      </c>
      <c r="O1951">
        <v>-1.8516999999999999E-2</v>
      </c>
      <c r="P1951">
        <v>-0.9954923</v>
      </c>
      <c r="Q1951">
        <v>-8.1300570000000003E-2</v>
      </c>
      <c r="R1951">
        <v>-4.8840069999999999E-2</v>
      </c>
      <c r="S1951">
        <v>-2.9847410000000001</v>
      </c>
      <c r="T1951">
        <v>-0.12900980000000001</v>
      </c>
      <c r="U1951">
        <v>-0.37457279999999998</v>
      </c>
      <c r="V1951">
        <v>-3.030302E-2</v>
      </c>
      <c r="W1951">
        <v>-6.6691680000000003E-2</v>
      </c>
      <c r="X1951">
        <v>0.99731340000000002</v>
      </c>
      <c r="Y1951">
        <v>-0.10599939999999999</v>
      </c>
      <c r="Z1951">
        <v>-2.5378829999999999E-3</v>
      </c>
      <c r="AA1951">
        <v>0.994363</v>
      </c>
      <c r="AB1951">
        <v>47</v>
      </c>
      <c r="AC1951">
        <v>-25.385400000000001</v>
      </c>
      <c r="AD1951">
        <v>-1.1092199901840001</v>
      </c>
      <c r="AE1951">
        <v>-3.2153000000000098</v>
      </c>
      <c r="AF1951">
        <v>-2.7394885284764898</v>
      </c>
      <c r="AG1951">
        <v>-1.1092199901840001</v>
      </c>
      <c r="AH1951">
        <v>25.392874405808001</v>
      </c>
      <c r="AI1951">
        <v>92.486811372130703</v>
      </c>
      <c r="AJ1951">
        <v>96.157490856715697</v>
      </c>
      <c r="AK1951">
        <v>25.564296136866599</v>
      </c>
      <c r="AL1951">
        <v>93.823989948365394</v>
      </c>
      <c r="AM1951">
        <v>91.740376831595796</v>
      </c>
      <c r="AN1951">
        <v>1.00000003551095</v>
      </c>
    </row>
    <row r="1952" spans="1:40" x14ac:dyDescent="0.25">
      <c r="A1952" t="str">
        <f>"20190305135231849"</f>
        <v>20190305135231849</v>
      </c>
      <c r="B1952" t="str">
        <f>"1551765151841576"</f>
        <v>1551765151841576</v>
      </c>
      <c r="C1952" t="s">
        <v>40</v>
      </c>
      <c r="D1952">
        <v>4.8556019999999904</v>
      </c>
      <c r="E1952">
        <v>0.47127269999999999</v>
      </c>
      <c r="F1952" t="s">
        <v>66</v>
      </c>
      <c r="G1952">
        <v>-314.53609999999998</v>
      </c>
      <c r="H1952" s="1">
        <v>4.4785819999999997E-6</v>
      </c>
      <c r="I1952">
        <v>281.75659999999999</v>
      </c>
      <c r="J1952">
        <v>-290.58550000000002</v>
      </c>
      <c r="K1952">
        <v>1.1092329999999999</v>
      </c>
      <c r="L1952">
        <v>284.80529999999999</v>
      </c>
      <c r="M1952">
        <v>-0.99971540000000003</v>
      </c>
      <c r="N1952">
        <v>-1.469903E-2</v>
      </c>
      <c r="O1952">
        <v>-1.8799239999999998E-2</v>
      </c>
      <c r="P1952">
        <v>-0.99550590000000005</v>
      </c>
      <c r="Q1952">
        <v>-8.080946E-2</v>
      </c>
      <c r="R1952">
        <v>-4.9381010000000003E-2</v>
      </c>
      <c r="S1952">
        <v>-2.983978</v>
      </c>
      <c r="T1952">
        <v>-0.13666310000000001</v>
      </c>
      <c r="U1952">
        <v>-0.37625120000000001</v>
      </c>
      <c r="V1952">
        <v>-3.0562249999999999E-2</v>
      </c>
      <c r="W1952">
        <v>-6.61997E-2</v>
      </c>
      <c r="X1952">
        <v>0.99733819999999995</v>
      </c>
      <c r="Y1952">
        <v>-0.1062879</v>
      </c>
      <c r="Z1952">
        <v>-2.626303E-3</v>
      </c>
      <c r="AA1952">
        <v>0.99433199999999999</v>
      </c>
      <c r="AB1952">
        <v>47</v>
      </c>
      <c r="AC1952">
        <v>-23.950599999999898</v>
      </c>
      <c r="AD1952">
        <v>-1.109228521418</v>
      </c>
      <c r="AE1952">
        <v>-3.04869999999999</v>
      </c>
      <c r="AF1952">
        <v>-2.5923876853793502</v>
      </c>
      <c r="AG1952">
        <v>-1.109228521418</v>
      </c>
      <c r="AH1952">
        <v>23.953127800451501</v>
      </c>
      <c r="AI1952">
        <v>92.636004545495794</v>
      </c>
      <c r="AJ1952">
        <v>96.176937926420706</v>
      </c>
      <c r="AK1952">
        <v>24.1185238613145</v>
      </c>
      <c r="AL1952">
        <v>93.795739393925501</v>
      </c>
      <c r="AM1952">
        <v>91.755212153797899</v>
      </c>
      <c r="AN1952">
        <v>0.99999996829219495</v>
      </c>
    </row>
    <row r="1953" spans="1:40" x14ac:dyDescent="0.25">
      <c r="A1953" t="str">
        <f>"20190305135231868"</f>
        <v>20190305135231868</v>
      </c>
      <c r="B1953" t="str">
        <f>"1551765151862072"</f>
        <v>1551765151862072</v>
      </c>
      <c r="C1953" t="s">
        <v>40</v>
      </c>
      <c r="D1953">
        <v>4.7083769999999996</v>
      </c>
      <c r="E1953">
        <v>0.47156520000000002</v>
      </c>
      <c r="F1953" t="s">
        <v>66</v>
      </c>
      <c r="G1953">
        <v>-314.75060000000002</v>
      </c>
      <c r="H1953" s="1">
        <v>4.5766660000000001E-6</v>
      </c>
      <c r="I1953">
        <v>281.72250000000003</v>
      </c>
      <c r="J1953">
        <v>-290.99279999999999</v>
      </c>
      <c r="K1953">
        <v>1.109243</v>
      </c>
      <c r="L1953">
        <v>284.79730000000001</v>
      </c>
      <c r="M1953">
        <v>-0.99970720000000002</v>
      </c>
      <c r="N1953">
        <v>-1.470019E-2</v>
      </c>
      <c r="O1953">
        <v>-1.9227640000000001E-2</v>
      </c>
      <c r="P1953">
        <v>-0.99550349999999999</v>
      </c>
      <c r="Q1953">
        <v>-8.0504069999999997E-2</v>
      </c>
      <c r="R1953">
        <v>-4.9920810000000003E-2</v>
      </c>
      <c r="S1953">
        <v>-2.9835210000000001</v>
      </c>
      <c r="T1953">
        <v>-0.13695009999999999</v>
      </c>
      <c r="U1953">
        <v>-0.38061519999999999</v>
      </c>
      <c r="V1953">
        <v>-3.0675109999999998E-2</v>
      </c>
      <c r="W1953">
        <v>-6.5893409999999999E-2</v>
      </c>
      <c r="X1953">
        <v>0.99735499999999999</v>
      </c>
      <c r="Y1953">
        <v>-0.1073104</v>
      </c>
      <c r="Z1953">
        <v>-2.6474459999999999E-3</v>
      </c>
      <c r="AA1953">
        <v>0.99422200000000005</v>
      </c>
      <c r="AB1953">
        <v>47</v>
      </c>
      <c r="AC1953">
        <v>-23.7578</v>
      </c>
      <c r="AD1953">
        <v>-1.109238423334</v>
      </c>
      <c r="AE1953">
        <v>-3.0747999999999802</v>
      </c>
      <c r="AF1953">
        <v>-2.6117760929378999</v>
      </c>
      <c r="AG1953">
        <v>-1.109238423334</v>
      </c>
      <c r="AH1953">
        <v>23.761589870276801</v>
      </c>
      <c r="AI1953">
        <v>92.656763412943306</v>
      </c>
      <c r="AJ1953">
        <v>96.2725364230932</v>
      </c>
      <c r="AK1953">
        <v>23.930418663339001</v>
      </c>
      <c r="AL1953">
        <v>93.778151936811895</v>
      </c>
      <c r="AM1953">
        <v>91.761660052305601</v>
      </c>
      <c r="AN1953">
        <v>0.99999994993996799</v>
      </c>
    </row>
    <row r="1954" spans="1:40" x14ac:dyDescent="0.25">
      <c r="A1954" t="str">
        <f>"20190305135231881"</f>
        <v>20190305135231881</v>
      </c>
      <c r="B1954" t="str">
        <f>"1551765151871833"</f>
        <v>1551765151871833</v>
      </c>
      <c r="C1954" t="s">
        <v>40</v>
      </c>
      <c r="D1954">
        <v>4.5545900000000001</v>
      </c>
      <c r="E1954">
        <v>0.47154509999999999</v>
      </c>
      <c r="F1954" t="s">
        <v>66</v>
      </c>
      <c r="G1954">
        <v>-315.64350000000002</v>
      </c>
      <c r="H1954" s="1">
        <v>4.9783099999999899E-6</v>
      </c>
      <c r="I1954">
        <v>281.65769999999998</v>
      </c>
      <c r="J1954">
        <v>-291.26499999999999</v>
      </c>
      <c r="K1954">
        <v>1.1092420000000001</v>
      </c>
      <c r="L1954">
        <v>284.7919</v>
      </c>
      <c r="M1954">
        <v>-0.99970150000000002</v>
      </c>
      <c r="N1954">
        <v>-1.4700700000000001E-2</v>
      </c>
      <c r="O1954">
        <v>-1.9514610000000002E-2</v>
      </c>
      <c r="P1954">
        <v>-0.9954674</v>
      </c>
      <c r="Q1954">
        <v>-8.0779050000000005E-2</v>
      </c>
      <c r="R1954">
        <v>-5.0194759999999998E-2</v>
      </c>
      <c r="S1954">
        <v>-2.9836119999999999</v>
      </c>
      <c r="T1954">
        <v>-0.13425709999999999</v>
      </c>
      <c r="U1954">
        <v>-0.38000489999999998</v>
      </c>
      <c r="V1954">
        <v>-3.0662660000000001E-2</v>
      </c>
      <c r="W1954">
        <v>-6.6168320000000003E-2</v>
      </c>
      <c r="X1954">
        <v>0.99733720000000003</v>
      </c>
      <c r="Y1954">
        <v>-0.1068263</v>
      </c>
      <c r="Z1954">
        <v>-2.5934669999999999E-3</v>
      </c>
      <c r="AA1954">
        <v>0.99427430000000006</v>
      </c>
      <c r="AB1954">
        <v>47</v>
      </c>
      <c r="AC1954">
        <v>-24.378499999999999</v>
      </c>
      <c r="AD1954">
        <v>-1.10923702169</v>
      </c>
      <c r="AE1954">
        <v>-3.1342000000000199</v>
      </c>
      <c r="AF1954">
        <v>-2.65241268167276</v>
      </c>
      <c r="AG1954">
        <v>-1.10923702169</v>
      </c>
      <c r="AH1954">
        <v>24.385361646981799</v>
      </c>
      <c r="AI1954">
        <v>92.589214372013302</v>
      </c>
      <c r="AJ1954">
        <v>96.207697176796898</v>
      </c>
      <c r="AK1954">
        <v>24.554257522032199</v>
      </c>
      <c r="AL1954">
        <v>93.7939375030424</v>
      </c>
      <c r="AM1954">
        <v>91.760976912472103</v>
      </c>
      <c r="AN1954">
        <v>0.99999996789686796</v>
      </c>
    </row>
    <row r="1955" spans="1:40" x14ac:dyDescent="0.25">
      <c r="A1955" t="str">
        <f>"20190305135231894"</f>
        <v>20190305135231894</v>
      </c>
      <c r="B1955" t="str">
        <f>"1551765151881593"</f>
        <v>1551765151881593</v>
      </c>
      <c r="C1955" t="s">
        <v>40</v>
      </c>
      <c r="D1955">
        <v>4.793736</v>
      </c>
      <c r="E1955">
        <v>0.47133639999999999</v>
      </c>
      <c r="F1955" t="s">
        <v>66</v>
      </c>
      <c r="G1955">
        <v>-316.42099999999999</v>
      </c>
      <c r="H1955" s="1">
        <v>5.3298490000000001E-6</v>
      </c>
      <c r="I1955">
        <v>281.58010000000002</v>
      </c>
      <c r="J1955">
        <v>-291.5224</v>
      </c>
      <c r="K1955">
        <v>1.109245</v>
      </c>
      <c r="L1955">
        <v>284.7867</v>
      </c>
      <c r="M1955">
        <v>-0.99969629999999998</v>
      </c>
      <c r="N1955">
        <v>-1.470106E-2</v>
      </c>
      <c r="O1955">
        <v>-1.9786189999999999E-2</v>
      </c>
      <c r="P1955">
        <v>-0.99539840000000002</v>
      </c>
      <c r="Q1955">
        <v>-8.1316239999999998E-2</v>
      </c>
      <c r="R1955">
        <v>-5.069187E-2</v>
      </c>
      <c r="S1955">
        <v>-2.9837950000000002</v>
      </c>
      <c r="T1955">
        <v>-0.13156860000000001</v>
      </c>
      <c r="U1955">
        <v>-0.38095089999999998</v>
      </c>
      <c r="V1955">
        <v>-3.0889819999999998E-2</v>
      </c>
      <c r="W1955">
        <v>-6.6706310000000005E-2</v>
      </c>
      <c r="X1955">
        <v>0.99729440000000003</v>
      </c>
      <c r="Y1955">
        <v>-0.10686320000000001</v>
      </c>
      <c r="Z1955">
        <v>-2.5561350000000002E-3</v>
      </c>
      <c r="AA1955">
        <v>0.9942704</v>
      </c>
      <c r="AB1955">
        <v>47</v>
      </c>
      <c r="AC1955">
        <v>-24.898599999999899</v>
      </c>
      <c r="AD1955">
        <v>-1.1092396701509999</v>
      </c>
      <c r="AE1955">
        <v>-3.2065999999999799</v>
      </c>
      <c r="AF1955">
        <v>-2.7079836009822098</v>
      </c>
      <c r="AG1955">
        <v>-1.1092396701509999</v>
      </c>
      <c r="AH1955">
        <v>24.908547787970701</v>
      </c>
      <c r="AI1955">
        <v>92.534922127013104</v>
      </c>
      <c r="AJ1955">
        <v>96.204659055557002</v>
      </c>
      <c r="AK1955">
        <v>25.079859264649901</v>
      </c>
      <c r="AL1955">
        <v>93.824830129126696</v>
      </c>
      <c r="AM1955">
        <v>91.774090641560903</v>
      </c>
      <c r="AN1955">
        <v>1.0000000165223999</v>
      </c>
    </row>
    <row r="1956" spans="1:40" x14ac:dyDescent="0.25">
      <c r="A1956" t="str">
        <f>"20190305135231913"</f>
        <v>20190305135231913</v>
      </c>
      <c r="B1956" t="str">
        <f>"1551765151901113"</f>
        <v>1551765151901113</v>
      </c>
      <c r="C1956" t="s">
        <v>40</v>
      </c>
      <c r="D1956">
        <v>4.5637030000000003</v>
      </c>
      <c r="E1956">
        <v>0.4712403</v>
      </c>
      <c r="F1956" t="s">
        <v>66</v>
      </c>
      <c r="G1956">
        <v>-317.17500000000001</v>
      </c>
      <c r="H1956" s="1">
        <v>5.6728099999999898E-6</v>
      </c>
      <c r="I1956">
        <v>281.48239999999998</v>
      </c>
      <c r="J1956">
        <v>-291.91469999999998</v>
      </c>
      <c r="K1956">
        <v>1.10924</v>
      </c>
      <c r="L1956">
        <v>284.77859999999998</v>
      </c>
      <c r="M1956">
        <v>-0.99968800000000002</v>
      </c>
      <c r="N1956">
        <v>-1.470133E-2</v>
      </c>
      <c r="O1956">
        <v>-2.0200240000000001E-2</v>
      </c>
      <c r="P1956">
        <v>-0.99532140000000002</v>
      </c>
      <c r="Q1956">
        <v>-8.1715839999999998E-2</v>
      </c>
      <c r="R1956">
        <v>-5.1558949999999999E-2</v>
      </c>
      <c r="S1956">
        <v>-2.9837950000000002</v>
      </c>
      <c r="T1956">
        <v>-0.12902149999999901</v>
      </c>
      <c r="U1956">
        <v>-0.38433840000000002</v>
      </c>
      <c r="V1956">
        <v>-3.1344549999999999E-2</v>
      </c>
      <c r="W1956">
        <v>-6.7107130000000001E-2</v>
      </c>
      <c r="X1956">
        <v>0.99725330000000001</v>
      </c>
      <c r="Y1956">
        <v>-0.1075653</v>
      </c>
      <c r="Z1956">
        <v>-2.536061E-3</v>
      </c>
      <c r="AA1956">
        <v>0.99419480000000005</v>
      </c>
      <c r="AB1956">
        <v>47</v>
      </c>
      <c r="AC1956">
        <v>-25.260300000000001</v>
      </c>
      <c r="AD1956">
        <v>-1.10923432719</v>
      </c>
      <c r="AE1956">
        <v>-3.29619999999999</v>
      </c>
      <c r="AF1956">
        <v>-2.7799373331287902</v>
      </c>
      <c r="AG1956">
        <v>-1.10923432719</v>
      </c>
      <c r="AH1956">
        <v>25.273816850945298</v>
      </c>
      <c r="AI1956">
        <v>92.497977026414802</v>
      </c>
      <c r="AJ1956">
        <v>96.2768896619054</v>
      </c>
      <c r="AK1956">
        <v>25.4504277092521</v>
      </c>
      <c r="AL1956">
        <v>93.847847077590899</v>
      </c>
      <c r="AM1956">
        <v>91.800264168144295</v>
      </c>
      <c r="AN1956">
        <v>0.99999999603621403</v>
      </c>
    </row>
    <row r="1957" spans="1:40" x14ac:dyDescent="0.25">
      <c r="A1957" t="str">
        <f>"20190305135231927"</f>
        <v>20190305135231927</v>
      </c>
      <c r="B1957" t="str">
        <f>"1551765151921608"</f>
        <v>1551765151921608</v>
      </c>
      <c r="C1957" t="s">
        <v>40</v>
      </c>
      <c r="D1957">
        <v>4.5478050000000003</v>
      </c>
      <c r="E1957">
        <v>0.47117959999999898</v>
      </c>
      <c r="F1957" t="s">
        <v>66</v>
      </c>
      <c r="G1957">
        <v>-318.738</v>
      </c>
      <c r="H1957" s="1">
        <v>6.382651E-6</v>
      </c>
      <c r="I1957">
        <v>281.291</v>
      </c>
      <c r="J1957">
        <v>-292.19869999999997</v>
      </c>
      <c r="K1957">
        <v>1.1092439999999999</v>
      </c>
      <c r="L1957">
        <v>284.77260000000001</v>
      </c>
      <c r="M1957">
        <v>-0.99968190000000001</v>
      </c>
      <c r="N1957">
        <v>-1.4701280000000001E-2</v>
      </c>
      <c r="O1957">
        <v>-2.050018E-2</v>
      </c>
      <c r="P1957">
        <v>-0.99525050000000004</v>
      </c>
      <c r="Q1957">
        <v>-8.2091999999999998E-2</v>
      </c>
      <c r="R1957">
        <v>-5.2319780000000003E-2</v>
      </c>
      <c r="S1957">
        <v>-2.9838559999999998</v>
      </c>
      <c r="T1957">
        <v>-0.1233925</v>
      </c>
      <c r="U1957">
        <v>-0.38796999999999998</v>
      </c>
      <c r="V1957">
        <v>-3.1806899999999999E-2</v>
      </c>
      <c r="W1957">
        <v>-6.7484760000000005E-2</v>
      </c>
      <c r="X1957">
        <v>0.99721320000000002</v>
      </c>
      <c r="Y1957">
        <v>-0.1084625</v>
      </c>
      <c r="Z1957">
        <v>-2.490061E-3</v>
      </c>
      <c r="AA1957">
        <v>0.99409740000000002</v>
      </c>
      <c r="AB1957">
        <v>47</v>
      </c>
      <c r="AC1957">
        <v>-26.539300000000001</v>
      </c>
      <c r="AD1957">
        <v>-1.1092376173489999</v>
      </c>
      <c r="AE1957">
        <v>-3.48160000000001</v>
      </c>
      <c r="AF1957">
        <v>-2.93171423981997</v>
      </c>
      <c r="AG1957">
        <v>-1.1092376173489999</v>
      </c>
      <c r="AH1957">
        <v>26.5594906414767</v>
      </c>
      <c r="AI1957">
        <v>92.377105086223494</v>
      </c>
      <c r="AJ1957">
        <v>96.298975222276297</v>
      </c>
      <c r="AK1957">
        <v>26.743819839551598</v>
      </c>
      <c r="AL1957">
        <v>93.869532754446197</v>
      </c>
      <c r="AM1957">
        <v>91.826874639321701</v>
      </c>
      <c r="AN1957">
        <v>1.0000000189870499</v>
      </c>
    </row>
    <row r="1958" spans="1:40" x14ac:dyDescent="0.25">
      <c r="A1958" t="str">
        <f>"20190305135231939"</f>
        <v>20190305135231939</v>
      </c>
      <c r="B1958" t="str">
        <f>"1551765151931368"</f>
        <v>1551765151931368</v>
      </c>
      <c r="C1958" t="s">
        <v>40</v>
      </c>
      <c r="D1958">
        <v>4.6173209999999996</v>
      </c>
      <c r="E1958">
        <v>0.4709409</v>
      </c>
      <c r="F1958" t="s">
        <v>56</v>
      </c>
      <c r="G1958">
        <v>-320.14159999999998</v>
      </c>
      <c r="H1958" s="1">
        <v>-1.3081720000000001E-6</v>
      </c>
      <c r="I1958">
        <v>281.11009999999999</v>
      </c>
      <c r="J1958">
        <v>-292.47199999999998</v>
      </c>
      <c r="K1958">
        <v>1.1092470000000001</v>
      </c>
      <c r="L1958">
        <v>284.76679999999999</v>
      </c>
      <c r="M1958">
        <v>-0.99967589999999995</v>
      </c>
      <c r="N1958">
        <v>-1.4701000000000001E-2</v>
      </c>
      <c r="O1958">
        <v>-2.07888E-2</v>
      </c>
      <c r="P1958">
        <v>-0.99525640000000004</v>
      </c>
      <c r="Q1958">
        <v>-8.1760639999999996E-2</v>
      </c>
      <c r="R1958">
        <v>-5.2728730000000001E-2</v>
      </c>
      <c r="S1958">
        <v>-2.983978</v>
      </c>
      <c r="T1958">
        <v>-0.1184543</v>
      </c>
      <c r="U1958">
        <v>-0.3911133</v>
      </c>
      <c r="V1958">
        <v>-3.1928390000000001E-2</v>
      </c>
      <c r="W1958">
        <v>-6.7153640000000001E-2</v>
      </c>
      <c r="X1958">
        <v>0.99723170000000005</v>
      </c>
      <c r="Y1958">
        <v>-0.10920680000000001</v>
      </c>
      <c r="Z1958">
        <v>-2.4474100000000001E-3</v>
      </c>
      <c r="AA1958">
        <v>0.99401609999999996</v>
      </c>
      <c r="AB1958">
        <v>46</v>
      </c>
      <c r="AC1958">
        <v>-27.669599999999999</v>
      </c>
      <c r="AD1958">
        <v>-1.1092483081719999</v>
      </c>
      <c r="AE1958">
        <v>-3.6566999999999998</v>
      </c>
      <c r="AF1958">
        <v>-3.0757713650673901</v>
      </c>
      <c r="AG1958">
        <v>-1.1092483081719999</v>
      </c>
      <c r="AH1958">
        <v>27.695898690175799</v>
      </c>
      <c r="AI1958">
        <v>92.279528197269002</v>
      </c>
      <c r="AJ1958">
        <v>96.337022820285299</v>
      </c>
      <c r="AK1958">
        <v>27.888234177800399</v>
      </c>
      <c r="AL1958">
        <v>93.850517726985302</v>
      </c>
      <c r="AM1958">
        <v>91.833813837936603</v>
      </c>
      <c r="AN1958">
        <v>1.0000000484690601</v>
      </c>
    </row>
    <row r="1959" spans="1:40" x14ac:dyDescent="0.25">
      <c r="A1959" t="str">
        <f>"20190305135231958"</f>
        <v>20190305135231958</v>
      </c>
      <c r="B1959" t="str">
        <f>"1551765151951864"</f>
        <v>1551765151951864</v>
      </c>
      <c r="C1959" t="s">
        <v>40</v>
      </c>
      <c r="D1959">
        <v>4.4982369999999996</v>
      </c>
      <c r="E1959">
        <v>0.4703408</v>
      </c>
      <c r="F1959" t="s">
        <v>56</v>
      </c>
      <c r="G1959">
        <v>-321.06029999999998</v>
      </c>
      <c r="H1959" s="1">
        <v>-8.1404529999999996E-7</v>
      </c>
      <c r="I1959">
        <v>280.9907</v>
      </c>
      <c r="J1959">
        <v>-292.84910000000002</v>
      </c>
      <c r="K1959">
        <v>1.109251</v>
      </c>
      <c r="L1959">
        <v>284.75869999999998</v>
      </c>
      <c r="M1959">
        <v>-0.99966750000000004</v>
      </c>
      <c r="N1959">
        <v>-1.470052E-2</v>
      </c>
      <c r="O1959">
        <v>-2.1187069999999999E-2</v>
      </c>
      <c r="P1959">
        <v>-0.99521289999999996</v>
      </c>
      <c r="Q1959">
        <v>-8.1528959999999998E-2</v>
      </c>
      <c r="R1959">
        <v>-5.3890849999999997E-2</v>
      </c>
      <c r="S1959">
        <v>-2.9839169999999999</v>
      </c>
      <c r="T1959">
        <v>-0.1157782</v>
      </c>
      <c r="U1959">
        <v>-0.3941345</v>
      </c>
      <c r="V1959">
        <v>-3.2693989999999999E-2</v>
      </c>
      <c r="W1959">
        <v>-6.6923789999999997E-2</v>
      </c>
      <c r="X1959">
        <v>0.99722230000000001</v>
      </c>
      <c r="Y1959">
        <v>-0.10980620000000001</v>
      </c>
      <c r="Z1959">
        <v>-2.4236349999999999E-3</v>
      </c>
      <c r="AA1959">
        <v>0.99395009999999995</v>
      </c>
      <c r="AB1959">
        <v>46</v>
      </c>
      <c r="AC1959">
        <v>-28.211199999999899</v>
      </c>
      <c r="AD1959">
        <v>-1.1092518140453</v>
      </c>
      <c r="AE1959">
        <v>-3.76799999999997</v>
      </c>
      <c r="AF1959">
        <v>-3.1645700156615</v>
      </c>
      <c r="AG1959">
        <v>-1.1092518140453</v>
      </c>
      <c r="AH1959">
        <v>28.241810182874701</v>
      </c>
      <c r="AI1959">
        <v>92.235271891403798</v>
      </c>
      <c r="AJ1959">
        <v>96.393475237344902</v>
      </c>
      <c r="AK1959">
        <v>28.440196647993002</v>
      </c>
      <c r="AL1959">
        <v>93.837318773814999</v>
      </c>
      <c r="AM1959">
        <v>91.877772812021107</v>
      </c>
      <c r="AN1959">
        <v>1.00000000313368</v>
      </c>
    </row>
    <row r="1960" spans="1:40" x14ac:dyDescent="0.25">
      <c r="A1960" t="str">
        <f>"20190305135231970"</f>
        <v>20190305135231970</v>
      </c>
      <c r="B1960" t="str">
        <f>"1551765151961625"</f>
        <v>1551765151961625</v>
      </c>
      <c r="C1960" t="s">
        <v>40</v>
      </c>
      <c r="D1960">
        <v>4.6061259999999997</v>
      </c>
      <c r="E1960">
        <v>0.4259791</v>
      </c>
      <c r="F1960" t="s">
        <v>56</v>
      </c>
      <c r="G1960">
        <v>-321.75450000000001</v>
      </c>
      <c r="H1960" s="1">
        <v>-4.3896709999999998E-7</v>
      </c>
      <c r="I1960">
        <v>280.86</v>
      </c>
      <c r="J1960">
        <v>-293.10750000000002</v>
      </c>
      <c r="K1960">
        <v>1.109254</v>
      </c>
      <c r="L1960">
        <v>284.75299999999999</v>
      </c>
      <c r="M1960">
        <v>-0.99966169999999999</v>
      </c>
      <c r="N1960">
        <v>-1.4700110000000001E-2</v>
      </c>
      <c r="O1960">
        <v>-2.1460420000000001E-2</v>
      </c>
      <c r="P1960">
        <v>-0.99522069999999996</v>
      </c>
      <c r="Q1960">
        <v>-8.1160899999999994E-2</v>
      </c>
      <c r="R1960">
        <v>-5.4306800000000002E-2</v>
      </c>
      <c r="S1960">
        <v>-2.983276</v>
      </c>
      <c r="T1960">
        <v>-0.114484199999999</v>
      </c>
      <c r="U1960">
        <v>-0.40237430000000002</v>
      </c>
      <c r="V1960">
        <v>-3.2837940000000003E-2</v>
      </c>
      <c r="W1960">
        <v>-6.6556039999999997E-2</v>
      </c>
      <c r="X1960">
        <v>0.99724219999999997</v>
      </c>
      <c r="Y1960">
        <v>-0.1122586</v>
      </c>
      <c r="Z1960">
        <v>-2.467707E-3</v>
      </c>
      <c r="AA1960">
        <v>0.99367589999999995</v>
      </c>
      <c r="AB1960">
        <v>46</v>
      </c>
      <c r="AC1960">
        <v>-28.646999999999899</v>
      </c>
      <c r="AD1960">
        <v>-1.1092544389671</v>
      </c>
      <c r="AE1960">
        <v>-3.89299999999997</v>
      </c>
      <c r="AF1960">
        <v>-3.2724426252191501</v>
      </c>
      <c r="AG1960">
        <v>-1.1092544389671</v>
      </c>
      <c r="AH1960">
        <v>28.681731294624001</v>
      </c>
      <c r="AI1960">
        <v>92.200525090229206</v>
      </c>
      <c r="AJ1960">
        <v>96.509016250074694</v>
      </c>
      <c r="AK1960">
        <v>28.889116223981802</v>
      </c>
      <c r="AL1960">
        <v>93.816201098450406</v>
      </c>
      <c r="AM1960">
        <v>91.885996984893097</v>
      </c>
      <c r="AN1960">
        <v>1.0000000211123801</v>
      </c>
    </row>
    <row r="1961" spans="1:40" x14ac:dyDescent="0.25">
      <c r="A1961" t="str">
        <f>"20190305135231985"</f>
        <v>20190305135231985</v>
      </c>
      <c r="B1961" t="str">
        <f>"1551765151981145"</f>
        <v>1551765151981145</v>
      </c>
      <c r="C1961" t="s">
        <v>40</v>
      </c>
      <c r="D1961">
        <v>4.5251349999999997</v>
      </c>
      <c r="E1961">
        <v>0.42724030000000002</v>
      </c>
      <c r="F1961" t="s">
        <v>66</v>
      </c>
      <c r="G1961">
        <v>-311.1379</v>
      </c>
      <c r="H1961" s="1">
        <v>3.1118570000000001E-6</v>
      </c>
      <c r="I1961">
        <v>280.15230000000003</v>
      </c>
      <c r="J1961">
        <v>-293.39690000000002</v>
      </c>
      <c r="K1961">
        <v>1.1092630000000001</v>
      </c>
      <c r="L1961">
        <v>284.7466</v>
      </c>
      <c r="M1961">
        <v>-0.99965499999999996</v>
      </c>
      <c r="N1961">
        <v>-1.469958E-2</v>
      </c>
      <c r="O1961">
        <v>-2.1766529999999999E-2</v>
      </c>
      <c r="P1961">
        <v>-0.99523629999999996</v>
      </c>
      <c r="Q1961">
        <v>-8.0649269999999995E-2</v>
      </c>
      <c r="R1961">
        <v>-5.4775169999999998E-2</v>
      </c>
      <c r="S1961">
        <v>-2.958405</v>
      </c>
      <c r="T1961">
        <v>-0.18200479999999999</v>
      </c>
      <c r="U1961">
        <v>-0.75488279999999996</v>
      </c>
      <c r="V1961">
        <v>-3.3001679999999999E-2</v>
      </c>
      <c r="W1961">
        <v>-6.6044759999999994E-2</v>
      </c>
      <c r="X1961">
        <v>0.99727080000000001</v>
      </c>
      <c r="Y1961">
        <v>-0.22561339999999999</v>
      </c>
      <c r="Z1961">
        <v>-7.5098530000000004E-3</v>
      </c>
      <c r="AA1961">
        <v>0.97418800000000005</v>
      </c>
      <c r="AB1961">
        <v>46</v>
      </c>
      <c r="AC1961">
        <v>-17.7409999999999</v>
      </c>
      <c r="AD1961">
        <v>-1.10925988814299</v>
      </c>
      <c r="AE1961">
        <v>-4.5942999999999703</v>
      </c>
      <c r="AF1961">
        <v>-4.1916525730748599</v>
      </c>
      <c r="AG1961">
        <v>-1.10925988814299</v>
      </c>
      <c r="AH1961">
        <v>17.7716984425027</v>
      </c>
      <c r="AI1961">
        <v>93.476463163047598</v>
      </c>
      <c r="AJ1961">
        <v>103.27129825097001</v>
      </c>
      <c r="AK1961">
        <v>18.2929952256065</v>
      </c>
      <c r="AL1961">
        <v>93.786842262523805</v>
      </c>
      <c r="AM1961">
        <v>91.8953399825795</v>
      </c>
      <c r="AN1961">
        <v>1.00000003486945</v>
      </c>
    </row>
    <row r="1962" spans="1:40" x14ac:dyDescent="0.25">
      <c r="A1962" t="str">
        <f>"20190305135232003"</f>
        <v>20190305135232003</v>
      </c>
      <c r="B1962" t="str">
        <f>"1551765151991880"</f>
        <v>1551765151991880</v>
      </c>
      <c r="C1962" t="s">
        <v>40</v>
      </c>
      <c r="D1962">
        <v>4.519501</v>
      </c>
      <c r="E1962">
        <v>0.42761549999999998</v>
      </c>
      <c r="F1962" t="s">
        <v>66</v>
      </c>
      <c r="G1962">
        <v>-311.63310000000001</v>
      </c>
      <c r="H1962" s="1">
        <v>3.331862E-6</v>
      </c>
      <c r="I1962">
        <v>280.14789999999999</v>
      </c>
      <c r="J1962">
        <v>-293.78640000000001</v>
      </c>
      <c r="K1962">
        <v>1.1092660000000001</v>
      </c>
      <c r="L1962">
        <v>284.73790000000002</v>
      </c>
      <c r="M1962">
        <v>-0.99964609999999998</v>
      </c>
      <c r="N1962">
        <v>-1.4698640000000001E-2</v>
      </c>
      <c r="O1962">
        <v>-2.2178980000000001E-2</v>
      </c>
      <c r="P1962">
        <v>-0.99526079999999995</v>
      </c>
      <c r="Q1962">
        <v>-8.0022350000000006E-2</v>
      </c>
      <c r="R1962">
        <v>-5.5250760000000003E-2</v>
      </c>
      <c r="S1962">
        <v>-2.9586489999999999</v>
      </c>
      <c r="T1962">
        <v>-0.17996589999999901</v>
      </c>
      <c r="U1962">
        <v>-0.74609380000000003</v>
      </c>
      <c r="V1962">
        <v>-3.3066779999999997E-2</v>
      </c>
      <c r="W1962">
        <v>-6.5418240000000002E-2</v>
      </c>
      <c r="X1962">
        <v>0.99730989999999997</v>
      </c>
      <c r="Y1962">
        <v>-0.2224884</v>
      </c>
      <c r="Z1962">
        <v>-7.3136149999999999E-3</v>
      </c>
      <c r="AA1962">
        <v>0.97490790000000005</v>
      </c>
      <c r="AB1962">
        <v>46</v>
      </c>
      <c r="AC1962">
        <v>-17.846699999999998</v>
      </c>
      <c r="AD1962">
        <v>-1.109262668138</v>
      </c>
      <c r="AE1962">
        <v>-4.5900000000000301</v>
      </c>
      <c r="AF1962">
        <v>-4.1778676091862001</v>
      </c>
      <c r="AG1962">
        <v>-1.109262668138</v>
      </c>
      <c r="AH1962">
        <v>17.879334647940698</v>
      </c>
      <c r="AI1962">
        <v>93.457274726190406</v>
      </c>
      <c r="AJ1962">
        <v>103.152325118162</v>
      </c>
      <c r="AK1962">
        <v>18.3944461422427</v>
      </c>
      <c r="AL1962">
        <v>93.750867651404306</v>
      </c>
      <c r="AM1962">
        <v>91.899001646466203</v>
      </c>
      <c r="AN1962">
        <v>0.99999999735113798</v>
      </c>
    </row>
    <row r="1963" spans="1:40" x14ac:dyDescent="0.25">
      <c r="A1963" t="str">
        <f>"20190305135232026"</f>
        <v>20190305135232026</v>
      </c>
      <c r="B1963" t="str">
        <f>"1551765152021161"</f>
        <v>1551765152021161</v>
      </c>
      <c r="C1963" t="s">
        <v>40</v>
      </c>
      <c r="D1963">
        <v>4.5259600000000004</v>
      </c>
      <c r="E1963">
        <v>0.42795549999999999</v>
      </c>
      <c r="F1963" t="s">
        <v>66</v>
      </c>
      <c r="G1963">
        <v>-312.45670000000001</v>
      </c>
      <c r="H1963" s="1">
        <v>3.7064230000000002E-6</v>
      </c>
      <c r="I1963">
        <v>280.04079999999999</v>
      </c>
      <c r="J1963">
        <v>-294.23919999999998</v>
      </c>
      <c r="K1963">
        <v>1.1092759999999999</v>
      </c>
      <c r="L1963">
        <v>284.72739999999999</v>
      </c>
      <c r="M1963">
        <v>-0.9996353</v>
      </c>
      <c r="N1963">
        <v>-1.469737E-2</v>
      </c>
      <c r="O1963">
        <v>-2.2658299999999999E-2</v>
      </c>
      <c r="P1963">
        <v>-0.9952394</v>
      </c>
      <c r="Q1963">
        <v>-8.0038109999999996E-2</v>
      </c>
      <c r="R1963">
        <v>-5.5612599999999998E-2</v>
      </c>
      <c r="S1963">
        <v>-2.9588619999999999</v>
      </c>
      <c r="T1963">
        <v>-0.1757956</v>
      </c>
      <c r="U1963">
        <v>-0.74438479999999996</v>
      </c>
      <c r="V1963">
        <v>-3.2950699999999902E-2</v>
      </c>
      <c r="W1963">
        <v>-6.5435119999999999E-2</v>
      </c>
      <c r="X1963">
        <v>0.99731270000000005</v>
      </c>
      <c r="Y1963">
        <v>-0.22149579999999999</v>
      </c>
      <c r="Z1963">
        <v>-7.1325199999999998E-3</v>
      </c>
      <c r="AA1963">
        <v>0.97513530000000004</v>
      </c>
      <c r="AB1963">
        <v>46</v>
      </c>
      <c r="AC1963">
        <v>-18.217500000000001</v>
      </c>
      <c r="AD1963">
        <v>-1.1092722935770001</v>
      </c>
      <c r="AE1963">
        <v>-4.6865999999999897</v>
      </c>
      <c r="AF1963">
        <v>-4.2577679969647102</v>
      </c>
      <c r="AG1963">
        <v>-1.1092722935770001</v>
      </c>
      <c r="AH1963">
        <v>18.2555401244264</v>
      </c>
      <c r="AI1963">
        <v>93.386553018598406</v>
      </c>
      <c r="AJ1963">
        <v>103.12849177034199</v>
      </c>
      <c r="AK1963">
        <v>18.778280500935601</v>
      </c>
      <c r="AL1963">
        <v>93.751836635813007</v>
      </c>
      <c r="AM1963">
        <v>91.892334801056194</v>
      </c>
      <c r="AN1963">
        <v>1.00000006257059</v>
      </c>
    </row>
    <row r="1964" spans="1:40" x14ac:dyDescent="0.25">
      <c r="A1964" t="str">
        <f>"20190305135232047"</f>
        <v>20190305135232047</v>
      </c>
      <c r="B1964" t="str">
        <f>"1551765152041657"</f>
        <v>1551765152041657</v>
      </c>
      <c r="C1964" t="s">
        <v>40</v>
      </c>
      <c r="D1964">
        <v>4.5546519999999999</v>
      </c>
      <c r="E1964">
        <v>0.4281315</v>
      </c>
      <c r="F1964" t="s">
        <v>66</v>
      </c>
      <c r="G1964">
        <v>-313.12290000000002</v>
      </c>
      <c r="H1964" s="1">
        <v>4.0065980000000003E-6</v>
      </c>
      <c r="I1964">
        <v>279.98660000000001</v>
      </c>
      <c r="J1964">
        <v>-294.69060000000002</v>
      </c>
      <c r="K1964">
        <v>1.1092789999999999</v>
      </c>
      <c r="L1964">
        <v>284.71679999999998</v>
      </c>
      <c r="M1964">
        <v>-0.99962439999999997</v>
      </c>
      <c r="N1964">
        <v>-1.4696010000000001E-2</v>
      </c>
      <c r="O1964">
        <v>-2.3136529999999999E-2</v>
      </c>
      <c r="P1964">
        <v>-0.99522250000000001</v>
      </c>
      <c r="Q1964">
        <v>-8.024452E-2</v>
      </c>
      <c r="R1964">
        <v>-5.5614629999999998E-2</v>
      </c>
      <c r="S1964">
        <v>-2.9588320000000001</v>
      </c>
      <c r="T1964">
        <v>-0.17380880000000001</v>
      </c>
      <c r="U1964">
        <v>-0.74282840000000006</v>
      </c>
      <c r="V1964">
        <v>-3.2476599999999897E-2</v>
      </c>
      <c r="W1964">
        <v>-6.5642190000000003E-2</v>
      </c>
      <c r="X1964">
        <v>0.99731460000000005</v>
      </c>
      <c r="Y1964">
        <v>-0.22056010000000001</v>
      </c>
      <c r="Z1964">
        <v>-7.0197949999999997E-3</v>
      </c>
      <c r="AA1964">
        <v>0.97534810000000005</v>
      </c>
      <c r="AB1964">
        <v>46</v>
      </c>
      <c r="AC1964">
        <v>-18.432300000000001</v>
      </c>
      <c r="AD1964">
        <v>-1.1092749934020001</v>
      </c>
      <c r="AE1964">
        <v>-4.73019999999996</v>
      </c>
      <c r="AF1964">
        <v>-4.2878579984603</v>
      </c>
      <c r="AG1964">
        <v>-1.1092749934020001</v>
      </c>
      <c r="AH1964">
        <v>18.474042709907302</v>
      </c>
      <c r="AI1964">
        <v>93.347430843820405</v>
      </c>
      <c r="AJ1964">
        <v>103.06708409335199</v>
      </c>
      <c r="AK1964">
        <v>18.9975385582824</v>
      </c>
      <c r="AL1964">
        <v>93.763726599020202</v>
      </c>
      <c r="AM1964">
        <v>91.865123401905393</v>
      </c>
      <c r="AN1964">
        <v>1.0000000190143501</v>
      </c>
    </row>
    <row r="1965" spans="1:40" x14ac:dyDescent="0.25">
      <c r="A1965" t="str">
        <f>"20190305135232069"</f>
        <v>20190305135232069</v>
      </c>
      <c r="B1965" t="str">
        <f>"1551765152061176"</f>
        <v>1551765152061176</v>
      </c>
      <c r="C1965" t="s">
        <v>40</v>
      </c>
      <c r="D1965">
        <v>4.5660270000000001</v>
      </c>
      <c r="E1965">
        <v>0.42898649999999999</v>
      </c>
      <c r="F1965" t="s">
        <v>66</v>
      </c>
      <c r="G1965">
        <v>-313.3972</v>
      </c>
      <c r="H1965" s="1">
        <v>4.124415E-6</v>
      </c>
      <c r="I1965">
        <v>280.03030000000001</v>
      </c>
      <c r="J1965">
        <v>-295.15809999999999</v>
      </c>
      <c r="K1965">
        <v>1.1092850000000001</v>
      </c>
      <c r="L1965">
        <v>284.7056</v>
      </c>
      <c r="M1965">
        <v>-0.99961270000000002</v>
      </c>
      <c r="N1965">
        <v>-1.4694240000000001E-2</v>
      </c>
      <c r="O1965">
        <v>-2.363204E-2</v>
      </c>
      <c r="P1965">
        <v>-0.99519970000000002</v>
      </c>
      <c r="Q1965">
        <v>-8.0483719999999995E-2</v>
      </c>
      <c r="R1965">
        <v>-5.5679449999999998E-2</v>
      </c>
      <c r="S1965">
        <v>-2.9588619999999999</v>
      </c>
      <c r="T1965">
        <v>-0.17545639999999901</v>
      </c>
      <c r="U1965">
        <v>-0.74127200000000004</v>
      </c>
      <c r="V1965">
        <v>-3.2047140000000002E-2</v>
      </c>
      <c r="W1965">
        <v>-6.5882549999999998E-2</v>
      </c>
      <c r="X1965">
        <v>0.99731259999999999</v>
      </c>
      <c r="Y1965">
        <v>-0.2195868</v>
      </c>
      <c r="Z1965">
        <v>-7.0100919999999999E-3</v>
      </c>
      <c r="AA1965">
        <v>0.97556779999999998</v>
      </c>
      <c r="AB1965">
        <v>46</v>
      </c>
      <c r="AC1965">
        <v>-18.239100000000001</v>
      </c>
      <c r="AD1965">
        <v>-1.1092808755850001</v>
      </c>
      <c r="AE1965">
        <v>-4.6752999999999902</v>
      </c>
      <c r="AF1965">
        <v>-4.2282446372578404</v>
      </c>
      <c r="AG1965">
        <v>-1.1092808755850001</v>
      </c>
      <c r="AH1965">
        <v>18.2810528084892</v>
      </c>
      <c r="AI1965">
        <v>93.383307013298904</v>
      </c>
      <c r="AJ1965">
        <v>103.02300208126999</v>
      </c>
      <c r="AK1965">
        <v>18.7964211636207</v>
      </c>
      <c r="AL1965">
        <v>93.777528251567006</v>
      </c>
      <c r="AM1965">
        <v>91.840480380939994</v>
      </c>
      <c r="AN1965">
        <v>0.99999997584772005</v>
      </c>
    </row>
    <row r="1966" spans="1:40" x14ac:dyDescent="0.25">
      <c r="A1966" t="str">
        <f>"20190305135232081"</f>
        <v>20190305135232081</v>
      </c>
      <c r="B1966" t="str">
        <f>"1551765152071913"</f>
        <v>1551765152071913</v>
      </c>
      <c r="C1966" t="s">
        <v>40</v>
      </c>
      <c r="D1966">
        <v>4.5672389999999998</v>
      </c>
      <c r="E1966">
        <v>0.4289171</v>
      </c>
      <c r="F1966" t="s">
        <v>66</v>
      </c>
      <c r="G1966">
        <v>-312.68709999999999</v>
      </c>
      <c r="H1966" s="1">
        <v>3.7812919999999999E-6</v>
      </c>
      <c r="I1966">
        <v>280.35340000000002</v>
      </c>
      <c r="J1966">
        <v>-295.40410000000003</v>
      </c>
      <c r="K1966">
        <v>1.109289</v>
      </c>
      <c r="L1966">
        <v>284.69959999999998</v>
      </c>
      <c r="M1966">
        <v>-0.99960649999999995</v>
      </c>
      <c r="N1966">
        <v>-1.469323E-2</v>
      </c>
      <c r="O1966">
        <v>-2.3892960000000001E-2</v>
      </c>
      <c r="P1966">
        <v>-0.99520730000000002</v>
      </c>
      <c r="Q1966">
        <v>-8.0350500000000005E-2</v>
      </c>
      <c r="R1966">
        <v>-5.5734279999999997E-2</v>
      </c>
      <c r="S1966">
        <v>-2.9582519999999999</v>
      </c>
      <c r="T1966">
        <v>-0.1872057</v>
      </c>
      <c r="U1966">
        <v>-0.73449709999999901</v>
      </c>
      <c r="V1966">
        <v>-3.1841969999999997E-2</v>
      </c>
      <c r="W1966">
        <v>-6.5749810000000006E-2</v>
      </c>
      <c r="X1966">
        <v>0.99732799999999999</v>
      </c>
      <c r="Y1966">
        <v>-0.2172287</v>
      </c>
      <c r="Z1966">
        <v>-7.2449419999999999E-3</v>
      </c>
      <c r="AA1966">
        <v>0.97609389999999996</v>
      </c>
      <c r="AB1966">
        <v>46</v>
      </c>
      <c r="AC1966">
        <v>-17.282999999999902</v>
      </c>
      <c r="AD1966">
        <v>-1.109285218708</v>
      </c>
      <c r="AE1966">
        <v>-4.3461999999999499</v>
      </c>
      <c r="AF1966">
        <v>-3.91679666918608</v>
      </c>
      <c r="AG1966">
        <v>-1.109285218708</v>
      </c>
      <c r="AH1966">
        <v>17.314833216158299</v>
      </c>
      <c r="AI1966">
        <v>93.575580242624</v>
      </c>
      <c r="AJ1966">
        <v>102.74637961698799</v>
      </c>
      <c r="AK1966">
        <v>17.786940691068001</v>
      </c>
      <c r="AL1966">
        <v>93.769906025796104</v>
      </c>
      <c r="AM1966">
        <v>91.8286771917018</v>
      </c>
      <c r="AN1966">
        <v>1.00000004407625</v>
      </c>
    </row>
    <row r="1967" spans="1:40" x14ac:dyDescent="0.25">
      <c r="A1967" t="str">
        <f>"20190305135232094"</f>
        <v>20190305135232094</v>
      </c>
      <c r="B1967" t="str">
        <f>"1551765152091432"</f>
        <v>1551765152091432</v>
      </c>
      <c r="C1967" t="s">
        <v>40</v>
      </c>
      <c r="D1967">
        <v>4.5434760000000001</v>
      </c>
      <c r="E1967">
        <v>0.42864829999999998</v>
      </c>
      <c r="F1967" t="s">
        <v>66</v>
      </c>
      <c r="G1967">
        <v>-312.89080000000001</v>
      </c>
      <c r="H1967" s="1">
        <v>3.8715640000000002E-6</v>
      </c>
      <c r="I1967">
        <v>280.35390000000001</v>
      </c>
      <c r="J1967">
        <v>-295.65179999999998</v>
      </c>
      <c r="K1967">
        <v>1.1092900000000001</v>
      </c>
      <c r="L1967">
        <v>284.69349999999997</v>
      </c>
      <c r="M1967">
        <v>-0.99960039999999994</v>
      </c>
      <c r="N1967">
        <v>-1.4692159999999999E-2</v>
      </c>
      <c r="O1967">
        <v>-2.4156029999999998E-2</v>
      </c>
      <c r="P1967">
        <v>-0.99525249999999998</v>
      </c>
      <c r="Q1967">
        <v>-7.984658E-2</v>
      </c>
      <c r="R1967">
        <v>-5.565457E-2</v>
      </c>
      <c r="S1967">
        <v>-2.9581599999999999</v>
      </c>
      <c r="T1967">
        <v>-0.18765319999999999</v>
      </c>
      <c r="U1967">
        <v>-0.73513790000000001</v>
      </c>
      <c r="V1967">
        <v>-3.149967E-2</v>
      </c>
      <c r="W1967">
        <v>-6.5245739999999997E-2</v>
      </c>
      <c r="X1967">
        <v>0.99737189999999998</v>
      </c>
      <c r="Y1967">
        <v>-0.21717649999999999</v>
      </c>
      <c r="Z1967">
        <v>-7.2428509999999998E-3</v>
      </c>
      <c r="AA1967">
        <v>0.97610549999999996</v>
      </c>
      <c r="AB1967">
        <v>46</v>
      </c>
      <c r="AC1967">
        <v>-17.239000000000001</v>
      </c>
      <c r="AD1967">
        <v>-1.1092861284359901</v>
      </c>
      <c r="AE1967">
        <v>-4.3395999999999599</v>
      </c>
      <c r="AF1967">
        <v>-3.90665084106445</v>
      </c>
      <c r="AG1967">
        <v>-1.1092861284359901</v>
      </c>
      <c r="AH1967">
        <v>17.271554562263201</v>
      </c>
      <c r="AI1967">
        <v>93.584535294457595</v>
      </c>
      <c r="AJ1967">
        <v>102.74525693616999</v>
      </c>
      <c r="AK1967">
        <v>17.742576856419799</v>
      </c>
      <c r="AL1967">
        <v>93.740963066264499</v>
      </c>
      <c r="AM1967">
        <v>91.808952539654001</v>
      </c>
      <c r="AN1967">
        <v>0.99999997135393204</v>
      </c>
    </row>
    <row r="1968" spans="1:40" x14ac:dyDescent="0.25">
      <c r="A1968" t="str">
        <f>"20190305135232108"</f>
        <v>20190305135232108</v>
      </c>
      <c r="B1968" t="str">
        <f>"1551765152101192"</f>
        <v>1551765152101192</v>
      </c>
      <c r="C1968" t="s">
        <v>40</v>
      </c>
      <c r="D1968">
        <v>4.547612</v>
      </c>
      <c r="E1968">
        <v>0.42837350000000002</v>
      </c>
      <c r="F1968" t="s">
        <v>66</v>
      </c>
      <c r="G1968">
        <v>-313.20339999999999</v>
      </c>
      <c r="H1968" s="1">
        <v>4.0131240000000004E-6</v>
      </c>
      <c r="I1968">
        <v>280.32029999999997</v>
      </c>
      <c r="J1968">
        <v>-295.92939999999999</v>
      </c>
      <c r="K1968">
        <v>1.1092930000000001</v>
      </c>
      <c r="L1968">
        <v>284.6866</v>
      </c>
      <c r="M1968">
        <v>-0.99959310000000001</v>
      </c>
      <c r="N1968">
        <v>-1.469093E-2</v>
      </c>
      <c r="O1968">
        <v>-2.4450449999999999E-2</v>
      </c>
      <c r="P1968">
        <v>-0.99525490000000005</v>
      </c>
      <c r="Q1968">
        <v>-7.9688369999999994E-2</v>
      </c>
      <c r="R1968">
        <v>-5.5837449999999997E-2</v>
      </c>
      <c r="S1968">
        <v>-2.9581300000000001</v>
      </c>
      <c r="T1968">
        <v>-0.1869584</v>
      </c>
      <c r="U1968">
        <v>-0.73706050000000001</v>
      </c>
      <c r="V1968">
        <v>-3.1389649999999998E-2</v>
      </c>
      <c r="W1968">
        <v>-6.5088350000000003E-2</v>
      </c>
      <c r="X1968">
        <v>0.99738570000000004</v>
      </c>
      <c r="Y1968">
        <v>-0.21749160000000001</v>
      </c>
      <c r="Z1968">
        <v>-7.2210769999999898E-3</v>
      </c>
      <c r="AA1968">
        <v>0.97603549999999994</v>
      </c>
      <c r="AB1968">
        <v>46</v>
      </c>
      <c r="AC1968">
        <v>-17.274000000000001</v>
      </c>
      <c r="AD1968">
        <v>-1.1092889868760001</v>
      </c>
      <c r="AE1968">
        <v>-4.3663000000000203</v>
      </c>
      <c r="AF1968">
        <v>-3.9273684561100102</v>
      </c>
      <c r="AG1968">
        <v>-1.1092889868760001</v>
      </c>
      <c r="AH1968">
        <v>17.308512941436302</v>
      </c>
      <c r="AI1968">
        <v>93.5763615698217</v>
      </c>
      <c r="AJ1968">
        <v>102.784168153416</v>
      </c>
      <c r="AK1968">
        <v>17.783120234939599</v>
      </c>
      <c r="AL1968">
        <v>93.731925895888196</v>
      </c>
      <c r="AM1968">
        <v>91.802613598511002</v>
      </c>
      <c r="AN1968">
        <v>1.00000001899866</v>
      </c>
    </row>
    <row r="1969" spans="1:40" x14ac:dyDescent="0.25">
      <c r="A1969" t="str">
        <f>"20190305135232120"</f>
        <v>20190305135232120</v>
      </c>
      <c r="B1969" t="str">
        <f>"1551765152111928"</f>
        <v>1551765152111928</v>
      </c>
      <c r="C1969" t="s">
        <v>40</v>
      </c>
      <c r="D1969">
        <v>4.5514999999999999</v>
      </c>
      <c r="E1969">
        <v>0.42824570000000001</v>
      </c>
      <c r="F1969" t="s">
        <v>66</v>
      </c>
      <c r="G1969">
        <v>-313.54379999999998</v>
      </c>
      <c r="H1969" s="1">
        <v>4.1675929999999997E-6</v>
      </c>
      <c r="I1969">
        <v>280.28019999999998</v>
      </c>
      <c r="J1969">
        <v>-296.21660000000003</v>
      </c>
      <c r="K1969">
        <v>1.1092879999999901</v>
      </c>
      <c r="L1969">
        <v>284.67939999999999</v>
      </c>
      <c r="M1969">
        <v>-0.99958570000000002</v>
      </c>
      <c r="N1969">
        <v>-1.4689610000000001E-2</v>
      </c>
      <c r="O1969">
        <v>-2.4755349999999999E-2</v>
      </c>
      <c r="P1969">
        <v>-0.99523729999999999</v>
      </c>
      <c r="Q1969">
        <v>-7.9790089999999994E-2</v>
      </c>
      <c r="R1969">
        <v>-5.6005149999999997E-2</v>
      </c>
      <c r="S1969">
        <v>-2.9578859999999998</v>
      </c>
      <c r="T1969">
        <v>-0.1862762</v>
      </c>
      <c r="U1969">
        <v>-0.73992919999999995</v>
      </c>
      <c r="V1969">
        <v>-3.1253419999999997E-2</v>
      </c>
      <c r="W1969">
        <v>-6.5191219999999994E-2</v>
      </c>
      <c r="X1969">
        <v>0.99738320000000003</v>
      </c>
      <c r="Y1969">
        <v>-0.21810579999999999</v>
      </c>
      <c r="Z1969">
        <v>-7.2109269999999998E-3</v>
      </c>
      <c r="AA1969">
        <v>0.9758985</v>
      </c>
      <c r="AB1969">
        <v>46</v>
      </c>
      <c r="AC1969">
        <v>-17.327199999999898</v>
      </c>
      <c r="AD1969">
        <v>-1.10928383240699</v>
      </c>
      <c r="AE1969">
        <v>-4.3992000000000004</v>
      </c>
      <c r="AF1969">
        <v>-3.9536415105107201</v>
      </c>
      <c r="AG1969">
        <v>-1.10928383240699</v>
      </c>
      <c r="AH1969">
        <v>17.363947105477099</v>
      </c>
      <c r="AI1969">
        <v>93.564350983461495</v>
      </c>
      <c r="AJ1969">
        <v>102.827136985745</v>
      </c>
      <c r="AK1969">
        <v>17.8428823595371</v>
      </c>
      <c r="AL1969">
        <v>93.737832679857107</v>
      </c>
      <c r="AM1969">
        <v>91.794799941314693</v>
      </c>
      <c r="AN1969">
        <v>0.99999995953451104</v>
      </c>
    </row>
    <row r="1970" spans="1:40" x14ac:dyDescent="0.25">
      <c r="A1970" t="str">
        <f>"20190305135232137"</f>
        <v>20190305135232137</v>
      </c>
      <c r="B1970" t="str">
        <f>"1551765152131448"</f>
        <v>1551765152131448</v>
      </c>
      <c r="C1970" t="s">
        <v>40</v>
      </c>
      <c r="D1970">
        <v>4.5671869999999997</v>
      </c>
      <c r="E1970">
        <v>0.42755389999999999</v>
      </c>
      <c r="F1970" t="s">
        <v>66</v>
      </c>
      <c r="G1970">
        <v>-313.8698</v>
      </c>
      <c r="H1970" s="1">
        <v>4.3143889999999996E-6</v>
      </c>
      <c r="I1970">
        <v>280.25439999999998</v>
      </c>
      <c r="J1970">
        <v>-296.53500000000003</v>
      </c>
      <c r="K1970">
        <v>1.1092839999999999</v>
      </c>
      <c r="L1970">
        <v>284.6712</v>
      </c>
      <c r="M1970">
        <v>-0.99957720000000005</v>
      </c>
      <c r="N1970">
        <v>-1.4688120000000001E-2</v>
      </c>
      <c r="O1970">
        <v>-2.5093509999999999E-2</v>
      </c>
      <c r="P1970">
        <v>-0.99526599999999998</v>
      </c>
      <c r="Q1970">
        <v>-7.9572260000000006E-2</v>
      </c>
      <c r="R1970">
        <v>-5.5802249999999998E-2</v>
      </c>
      <c r="S1970">
        <v>-2.9577330000000002</v>
      </c>
      <c r="T1970">
        <v>-0.18585750000000001</v>
      </c>
      <c r="U1970">
        <v>-0.741394</v>
      </c>
      <c r="V1970">
        <v>-3.0713589999999999E-2</v>
      </c>
      <c r="W1970">
        <v>-6.4973589999999998E-2</v>
      </c>
      <c r="X1970">
        <v>0.99741420000000003</v>
      </c>
      <c r="Y1970">
        <v>-0.2182443</v>
      </c>
      <c r="Z1970">
        <v>-7.1883729999999996E-3</v>
      </c>
      <c r="AA1970">
        <v>0.9758677</v>
      </c>
      <c r="AB1970">
        <v>46</v>
      </c>
      <c r="AC1970">
        <v>-17.334799999999898</v>
      </c>
      <c r="AD1970">
        <v>-1.1092796856110001</v>
      </c>
      <c r="AE1970">
        <v>-4.4168000000000198</v>
      </c>
      <c r="AF1970">
        <v>-3.9651239838172301</v>
      </c>
      <c r="AG1970">
        <v>-1.1092796856110001</v>
      </c>
      <c r="AH1970">
        <v>17.373379770623501</v>
      </c>
      <c r="AI1970">
        <v>93.561993774533804</v>
      </c>
      <c r="AJ1970">
        <v>102.85640127886199</v>
      </c>
      <c r="AK1970">
        <v>17.8546082085903</v>
      </c>
      <c r="AL1970">
        <v>93.725336795837805</v>
      </c>
      <c r="AM1970">
        <v>91.763763923535294</v>
      </c>
      <c r="AN1970">
        <v>0.99999998918490796</v>
      </c>
    </row>
    <row r="1971" spans="1:40" x14ac:dyDescent="0.25">
      <c r="A1971" t="str">
        <f>"20190305135232149"</f>
        <v>20190305135232149</v>
      </c>
      <c r="B1971" t="str">
        <f>"1551765152141209"</f>
        <v>1551765152141209</v>
      </c>
      <c r="C1971" t="s">
        <v>40</v>
      </c>
      <c r="D1971">
        <v>4.583526</v>
      </c>
      <c r="E1971">
        <v>0.42711529999999998</v>
      </c>
      <c r="F1971" t="s">
        <v>66</v>
      </c>
      <c r="G1971">
        <v>-314.26710000000003</v>
      </c>
      <c r="H1971" s="1">
        <v>4.4956419999999997E-6</v>
      </c>
      <c r="I1971">
        <v>280.19670000000002</v>
      </c>
      <c r="J1971">
        <v>-296.78300000000002</v>
      </c>
      <c r="K1971">
        <v>1.1092850000000001</v>
      </c>
      <c r="L1971">
        <v>284.66480000000001</v>
      </c>
      <c r="M1971">
        <v>-0.99957070000000003</v>
      </c>
      <c r="N1971">
        <v>-1.4686970000000001E-2</v>
      </c>
      <c r="O1971">
        <v>-2.5356819999999999E-2</v>
      </c>
      <c r="P1971">
        <v>-0.99523200000000001</v>
      </c>
      <c r="Q1971">
        <v>-7.972783E-2</v>
      </c>
      <c r="R1971">
        <v>-5.6187269999999997E-2</v>
      </c>
      <c r="S1971">
        <v>-2.9576419999999999</v>
      </c>
      <c r="T1971">
        <v>-0.18502370000000001</v>
      </c>
      <c r="U1971">
        <v>-0.7463379</v>
      </c>
      <c r="V1971">
        <v>-3.0836450000000001E-2</v>
      </c>
      <c r="W1971">
        <v>-6.5130720000000003E-2</v>
      </c>
      <c r="X1971">
        <v>0.99740019999999996</v>
      </c>
      <c r="Y1971">
        <v>-0.21952959999999999</v>
      </c>
      <c r="Z1971">
        <v>-7.2010879999999996E-3</v>
      </c>
      <c r="AA1971">
        <v>0.97557930000000004</v>
      </c>
      <c r="AB1971">
        <v>46</v>
      </c>
      <c r="AC1971">
        <v>-17.484100000000002</v>
      </c>
      <c r="AD1971">
        <v>-1.1092805043580001</v>
      </c>
      <c r="AE1971">
        <v>-4.46809999999999</v>
      </c>
      <c r="AF1971">
        <v>-4.0081293062841699</v>
      </c>
      <c r="AG1971">
        <v>-1.1092805043580001</v>
      </c>
      <c r="AH1971">
        <v>17.5255653803714</v>
      </c>
      <c r="AI1971">
        <v>93.530782967451501</v>
      </c>
      <c r="AJ1971">
        <v>102.88210318787</v>
      </c>
      <c r="AK1971">
        <v>18.012247102316699</v>
      </c>
      <c r="AL1971">
        <v>93.734358645872803</v>
      </c>
      <c r="AM1971">
        <v>91.770839660178098</v>
      </c>
      <c r="AN1971">
        <v>1.00000002814818</v>
      </c>
    </row>
    <row r="1972" spans="1:40" x14ac:dyDescent="0.25">
      <c r="A1972" t="str">
        <f>"20190305135232170"</f>
        <v>20190305135232170</v>
      </c>
      <c r="B1972" t="str">
        <f>"1551765152161707"</f>
        <v>1551765152161707</v>
      </c>
      <c r="C1972" t="s">
        <v>40</v>
      </c>
      <c r="D1972">
        <v>4.5688879999999896</v>
      </c>
      <c r="E1972">
        <v>0.42667339999999998</v>
      </c>
      <c r="F1972" t="s">
        <v>66</v>
      </c>
      <c r="G1972">
        <v>-314.6653</v>
      </c>
      <c r="H1972" s="1">
        <v>4.6787230000000002E-6</v>
      </c>
      <c r="I1972">
        <v>280.12259999999998</v>
      </c>
      <c r="J1972">
        <v>-297.22399999999999</v>
      </c>
      <c r="K1972">
        <v>1.1092839999999999</v>
      </c>
      <c r="L1972">
        <v>284.65320000000003</v>
      </c>
      <c r="M1972">
        <v>-0.99955870000000002</v>
      </c>
      <c r="N1972">
        <v>-1.4684920000000001E-2</v>
      </c>
      <c r="O1972">
        <v>-2.5825379999999998E-2</v>
      </c>
      <c r="P1972">
        <v>-0.99519100000000005</v>
      </c>
      <c r="Q1972">
        <v>-7.9942669999999993E-2</v>
      </c>
      <c r="R1972">
        <v>-5.6606839999999999E-2</v>
      </c>
      <c r="S1972">
        <v>-2.9572750000000001</v>
      </c>
      <c r="T1972">
        <v>-0.1834462</v>
      </c>
      <c r="U1972">
        <v>-0.75115969999999999</v>
      </c>
      <c r="V1972">
        <v>-3.078941E-2</v>
      </c>
      <c r="W1972">
        <v>-6.5347660000000002E-2</v>
      </c>
      <c r="X1972">
        <v>0.99738740000000004</v>
      </c>
      <c r="Y1972">
        <v>-0.22060099999999999</v>
      </c>
      <c r="Z1972">
        <v>-7.1753569999999899E-3</v>
      </c>
      <c r="AA1972">
        <v>0.97533769999999997</v>
      </c>
      <c r="AB1972">
        <v>46</v>
      </c>
      <c r="AC1972">
        <v>-17.441299999999998</v>
      </c>
      <c r="AD1972">
        <v>-1.109279321277</v>
      </c>
      <c r="AE1972">
        <v>-4.5306000000000397</v>
      </c>
      <c r="AF1972">
        <v>-4.0632148692426604</v>
      </c>
      <c r="AG1972">
        <v>-1.109279321277</v>
      </c>
      <c r="AH1972">
        <v>17.486236983217399</v>
      </c>
      <c r="AI1972">
        <v>93.535869816470594</v>
      </c>
      <c r="AJ1972">
        <v>103.081473321327</v>
      </c>
      <c r="AK1972">
        <v>17.9863475869751</v>
      </c>
      <c r="AL1972">
        <v>93.746815164861999</v>
      </c>
      <c r="AM1972">
        <v>91.768162695072704</v>
      </c>
      <c r="AN1972">
        <v>0.99999996505719102</v>
      </c>
    </row>
    <row r="1973" spans="1:40" x14ac:dyDescent="0.25">
      <c r="A1973" t="str">
        <f>"20190305135232192"</f>
        <v>20190305135232192</v>
      </c>
      <c r="B1973" t="str">
        <f>"1551765152181228"</f>
        <v>1551765152181228</v>
      </c>
      <c r="C1973" t="s">
        <v>40</v>
      </c>
      <c r="D1973">
        <v>4.5990320000000002</v>
      </c>
      <c r="E1973">
        <v>0.4262666</v>
      </c>
      <c r="F1973" t="s">
        <v>66</v>
      </c>
      <c r="G1973">
        <v>-314.92349999999999</v>
      </c>
      <c r="H1973" s="1">
        <v>4.7926599999999996E-6</v>
      </c>
      <c r="I1973">
        <v>280.12869999999998</v>
      </c>
      <c r="J1973">
        <v>-297.6893</v>
      </c>
      <c r="K1973">
        <v>1.1092770000000001</v>
      </c>
      <c r="L1973">
        <v>284.64080000000001</v>
      </c>
      <c r="M1973">
        <v>-0.99954569999999998</v>
      </c>
      <c r="N1973">
        <v>-1.4682489999999999E-2</v>
      </c>
      <c r="O1973">
        <v>-2.6320389999999999E-2</v>
      </c>
      <c r="P1973">
        <v>-0.99512769999999995</v>
      </c>
      <c r="Q1973">
        <v>-8.0288719999999994E-2</v>
      </c>
      <c r="R1973">
        <v>-5.7222700000000001E-2</v>
      </c>
      <c r="S1973">
        <v>-2.956604</v>
      </c>
      <c r="T1973">
        <v>-0.18529899999999999</v>
      </c>
      <c r="U1973">
        <v>-0.75579830000000003</v>
      </c>
      <c r="V1973">
        <v>-3.0913300000000001E-2</v>
      </c>
      <c r="W1973">
        <v>-6.5696710000000005E-2</v>
      </c>
      <c r="X1973">
        <v>0.99736060000000004</v>
      </c>
      <c r="Y1973">
        <v>-0.22159760000000001</v>
      </c>
      <c r="Z1973">
        <v>-7.2422880000000004E-3</v>
      </c>
      <c r="AA1973">
        <v>0.97511130000000001</v>
      </c>
      <c r="AB1973">
        <v>46</v>
      </c>
      <c r="AC1973">
        <v>-17.234199999999898</v>
      </c>
      <c r="AD1973">
        <v>-1.1092722073399901</v>
      </c>
      <c r="AE1973">
        <v>-4.5121000000000304</v>
      </c>
      <c r="AF1973">
        <v>-4.0412087426348</v>
      </c>
      <c r="AG1973">
        <v>-1.1092722073399901</v>
      </c>
      <c r="AH1973">
        <v>17.280005688921801</v>
      </c>
      <c r="AI1973">
        <v>93.576754289847898</v>
      </c>
      <c r="AJ1973">
        <v>103.16297183762801</v>
      </c>
      <c r="AK1973">
        <v>17.7809012578298</v>
      </c>
      <c r="AL1973">
        <v>93.766857465161195</v>
      </c>
      <c r="AM1973">
        <v>91.775320532673007</v>
      </c>
      <c r="AN1973">
        <v>0.99999992812703398</v>
      </c>
    </row>
    <row r="1974" spans="1:40" x14ac:dyDescent="0.25">
      <c r="A1974" t="str">
        <f>"20190305135232215"</f>
        <v>20190305135232215</v>
      </c>
      <c r="B1974" t="str">
        <f>"1551765152211484"</f>
        <v>1551765152211484</v>
      </c>
      <c r="C1974" t="s">
        <v>40</v>
      </c>
      <c r="D1974">
        <v>4.5796849999999996</v>
      </c>
      <c r="E1974">
        <v>0.4253189</v>
      </c>
      <c r="F1974" t="s">
        <v>66</v>
      </c>
      <c r="G1974">
        <v>-315.22039999999998</v>
      </c>
      <c r="H1974" s="1">
        <v>4.9244260000000001E-6</v>
      </c>
      <c r="I1974">
        <v>280.12790000000001</v>
      </c>
      <c r="J1974">
        <v>-298.14859999999999</v>
      </c>
      <c r="K1974">
        <v>1.1092839999999999</v>
      </c>
      <c r="L1974">
        <v>284.6284</v>
      </c>
      <c r="M1974">
        <v>-0.9995328</v>
      </c>
      <c r="N1974">
        <v>-1.468E-2</v>
      </c>
      <c r="O1974">
        <v>-2.680838E-2</v>
      </c>
      <c r="P1974">
        <v>-0.99507449999999997</v>
      </c>
      <c r="Q1974">
        <v>-8.0147250000000003E-2</v>
      </c>
      <c r="R1974">
        <v>-5.8337069999999998E-2</v>
      </c>
      <c r="S1974">
        <v>-2.9558409999999999</v>
      </c>
      <c r="T1974">
        <v>-0.18702940000000001</v>
      </c>
      <c r="U1974">
        <v>-0.76089479999999998</v>
      </c>
      <c r="V1974">
        <v>-3.1542769999999998E-2</v>
      </c>
      <c r="W1974">
        <v>-6.5558749999999999E-2</v>
      </c>
      <c r="X1974">
        <v>0.99734999999999996</v>
      </c>
      <c r="Y1974">
        <v>-0.22274920000000001</v>
      </c>
      <c r="Z1974">
        <v>-7.3121660000000002E-3</v>
      </c>
      <c r="AA1974">
        <v>0.9748483</v>
      </c>
      <c r="AB1974">
        <v>46</v>
      </c>
      <c r="AC1974">
        <v>-17.0717999999999</v>
      </c>
      <c r="AD1974">
        <v>-1.1092790755740001</v>
      </c>
      <c r="AE1974">
        <v>-4.5004999999999802</v>
      </c>
      <c r="AF1974">
        <v>-4.0252749487373398</v>
      </c>
      <c r="AG1974">
        <v>-1.1092790755740001</v>
      </c>
      <c r="AH1974">
        <v>17.118747428816999</v>
      </c>
      <c r="AI1974">
        <v>93.609362697738703</v>
      </c>
      <c r="AJ1974">
        <v>103.23206591191</v>
      </c>
      <c r="AK1974">
        <v>17.6205803540084</v>
      </c>
      <c r="AL1974">
        <v>93.758935744030396</v>
      </c>
      <c r="AM1974">
        <v>91.811465773351799</v>
      </c>
      <c r="AN1974">
        <v>0.99999995927041596</v>
      </c>
    </row>
    <row r="1975" spans="1:40" x14ac:dyDescent="0.25">
      <c r="A1975" t="str">
        <f>"20190305135232236"</f>
        <v>20190305135232236</v>
      </c>
      <c r="B1975" t="str">
        <f>"1551765152231980"</f>
        <v>1551765152231980</v>
      </c>
      <c r="C1975" t="s">
        <v>40</v>
      </c>
      <c r="D1975">
        <v>4.6457470000000001</v>
      </c>
      <c r="E1975">
        <v>0.42471700000000001</v>
      </c>
      <c r="F1975" t="s">
        <v>66</v>
      </c>
      <c r="G1975">
        <v>-315.96190000000001</v>
      </c>
      <c r="H1975" s="1">
        <v>5.2665159999999999E-6</v>
      </c>
      <c r="I1975">
        <v>279.97570000000002</v>
      </c>
      <c r="J1975">
        <v>-298.59399999999999</v>
      </c>
      <c r="K1975">
        <v>1.109283</v>
      </c>
      <c r="L1975">
        <v>284.61599999999999</v>
      </c>
      <c r="M1975">
        <v>-0.99952010000000002</v>
      </c>
      <c r="N1975">
        <v>-1.4677529999999999E-2</v>
      </c>
      <c r="O1975">
        <v>-2.728123E-2</v>
      </c>
      <c r="P1975">
        <v>-0.99507619999999997</v>
      </c>
      <c r="Q1975">
        <v>-7.9814369999999996E-2</v>
      </c>
      <c r="R1975">
        <v>-5.8764530000000002E-2</v>
      </c>
      <c r="S1975">
        <v>-2.9547729999999999</v>
      </c>
      <c r="T1975">
        <v>-0.18400179999999999</v>
      </c>
      <c r="U1975">
        <v>-0.77175899999999997</v>
      </c>
      <c r="V1975">
        <v>-3.1498749999999999E-2</v>
      </c>
      <c r="W1975">
        <v>-6.5227839999999995E-2</v>
      </c>
      <c r="X1975">
        <v>0.99737310000000001</v>
      </c>
      <c r="Y1975">
        <v>-0.2257383</v>
      </c>
      <c r="Z1975">
        <v>-7.3185519999999999E-3</v>
      </c>
      <c r="AA1975">
        <v>0.97416049999999998</v>
      </c>
      <c r="AB1975">
        <v>46</v>
      </c>
      <c r="AC1975">
        <v>-17.367899999999999</v>
      </c>
      <c r="AD1975">
        <v>-1.1092777334840001</v>
      </c>
      <c r="AE1975">
        <v>-4.6402999999999599</v>
      </c>
      <c r="AF1975">
        <v>-4.1489068050337696</v>
      </c>
      <c r="AG1975">
        <v>-1.1092777334840001</v>
      </c>
      <c r="AH1975">
        <v>17.421707637771998</v>
      </c>
      <c r="AI1975">
        <v>93.544370516916203</v>
      </c>
      <c r="AJ1975">
        <v>103.39524022942101</v>
      </c>
      <c r="AK1975">
        <v>17.943238887749999</v>
      </c>
      <c r="AL1975">
        <v>93.739935281924801</v>
      </c>
      <c r="AM1975">
        <v>91.808897566351106</v>
      </c>
      <c r="AN1975">
        <v>0.99999997148311803</v>
      </c>
    </row>
    <row r="1976" spans="1:40" x14ac:dyDescent="0.25">
      <c r="A1976" t="str">
        <f>"20190305135232261"</f>
        <v>20190305135232261</v>
      </c>
      <c r="B1976" t="str">
        <f>"1551765152251500"</f>
        <v>1551765152251500</v>
      </c>
      <c r="C1976" t="s">
        <v>40</v>
      </c>
      <c r="D1976">
        <v>4.6130370000000003</v>
      </c>
      <c r="E1976">
        <v>0.42398599999999997</v>
      </c>
      <c r="F1976" t="s">
        <v>66</v>
      </c>
      <c r="G1976">
        <v>-316.75479999999999</v>
      </c>
      <c r="H1976" s="1">
        <v>5.6305319999999997E-6</v>
      </c>
      <c r="I1976">
        <v>279.83409999999998</v>
      </c>
      <c r="J1976">
        <v>-299.0881</v>
      </c>
      <c r="K1976">
        <v>1.109275</v>
      </c>
      <c r="L1976">
        <v>284.60210000000001</v>
      </c>
      <c r="M1976">
        <v>-0.9995058</v>
      </c>
      <c r="N1976">
        <v>-1.467476E-2</v>
      </c>
      <c r="O1976">
        <v>-2.7801949999999999E-2</v>
      </c>
      <c r="P1976">
        <v>-0.99499850000000001</v>
      </c>
      <c r="Q1976">
        <v>-8.0484840000000002E-2</v>
      </c>
      <c r="R1976">
        <v>-5.9162779999999998E-2</v>
      </c>
      <c r="S1976">
        <v>-2.954437</v>
      </c>
      <c r="T1976">
        <v>-0.18045990000000001</v>
      </c>
      <c r="U1976">
        <v>-0.77792359999999905</v>
      </c>
      <c r="V1976">
        <v>-3.1379410000000003E-2</v>
      </c>
      <c r="W1976">
        <v>-6.5901340000000003E-2</v>
      </c>
      <c r="X1976">
        <v>0.99733260000000001</v>
      </c>
      <c r="Y1976">
        <v>-0.22717309999999999</v>
      </c>
      <c r="Z1976">
        <v>-7.2471239999999998E-3</v>
      </c>
      <c r="AA1976">
        <v>0.97382740000000001</v>
      </c>
      <c r="AB1976">
        <v>46</v>
      </c>
      <c r="AC1976">
        <v>-17.666699999999899</v>
      </c>
      <c r="AD1976">
        <v>-1.109269369468</v>
      </c>
      <c r="AE1976">
        <v>-4.7680000000000202</v>
      </c>
      <c r="AF1976">
        <v>-4.2592831317243602</v>
      </c>
      <c r="AG1976">
        <v>-1.109269369468</v>
      </c>
      <c r="AH1976">
        <v>17.727299907164099</v>
      </c>
      <c r="AI1976">
        <v>93.481729197773504</v>
      </c>
      <c r="AJ1976">
        <v>103.51019098623701</v>
      </c>
      <c r="AK1976">
        <v>18.265517603636901</v>
      </c>
      <c r="AL1976">
        <v>93.778607151307696</v>
      </c>
      <c r="AM1976">
        <v>91.802121813990993</v>
      </c>
      <c r="AN1976">
        <v>0.99999998450425098</v>
      </c>
    </row>
    <row r="1977" spans="1:40" x14ac:dyDescent="0.25">
      <c r="A1977" t="str">
        <f>"20190305135232281"</f>
        <v>20190305135232281</v>
      </c>
      <c r="B1977" t="str">
        <f>"1551765152271996"</f>
        <v>1551765152271996</v>
      </c>
      <c r="C1977" t="s">
        <v>40</v>
      </c>
      <c r="D1977">
        <v>4.5948129999999896</v>
      </c>
      <c r="E1977">
        <v>0.42353469999999999</v>
      </c>
      <c r="F1977" t="s">
        <v>66</v>
      </c>
      <c r="G1977">
        <v>-317.20929999999998</v>
      </c>
      <c r="H1977" s="1">
        <v>5.8362199999999998E-6</v>
      </c>
      <c r="I1977">
        <v>279.7867</v>
      </c>
      <c r="J1977">
        <v>-299.50909999999999</v>
      </c>
      <c r="K1977">
        <v>1.109278</v>
      </c>
      <c r="L1977">
        <v>284.58999999999997</v>
      </c>
      <c r="M1977">
        <v>-0.99949370000000004</v>
      </c>
      <c r="N1977">
        <v>-1.467238E-2</v>
      </c>
      <c r="O1977">
        <v>-2.8239549999999999E-2</v>
      </c>
      <c r="P1977">
        <v>-0.99498909999999996</v>
      </c>
      <c r="Q1977">
        <v>-8.0538009999999993E-2</v>
      </c>
      <c r="R1977">
        <v>-5.9252550000000001E-2</v>
      </c>
      <c r="S1977">
        <v>-2.9537659999999999</v>
      </c>
      <c r="T1977">
        <v>-0.18081159999999999</v>
      </c>
      <c r="U1977">
        <v>-0.7849121</v>
      </c>
      <c r="V1977">
        <v>-3.1034039999999999E-2</v>
      </c>
      <c r="W1977">
        <v>-6.5955910000000006E-2</v>
      </c>
      <c r="X1977">
        <v>0.9973398</v>
      </c>
      <c r="Y1977">
        <v>-0.22894929999999999</v>
      </c>
      <c r="Z1977">
        <v>-7.3035289999999996E-3</v>
      </c>
      <c r="AA1977">
        <v>0.97341100000000003</v>
      </c>
      <c r="AB1977">
        <v>46</v>
      </c>
      <c r="AC1977">
        <v>-17.700199999999899</v>
      </c>
      <c r="AD1977">
        <v>-1.1092721637799901</v>
      </c>
      <c r="AE1977">
        <v>-4.8032999999999699</v>
      </c>
      <c r="AF1977">
        <v>-4.2858064755616603</v>
      </c>
      <c r="AG1977">
        <v>-1.1092721637799901</v>
      </c>
      <c r="AH1977">
        <v>17.7638144162656</v>
      </c>
      <c r="AI1977">
        <v>93.473810497723605</v>
      </c>
      <c r="AJ1977">
        <v>103.56430563517</v>
      </c>
      <c r="AK1977">
        <v>18.3071495458694</v>
      </c>
      <c r="AL1977">
        <v>93.781740596785895</v>
      </c>
      <c r="AM1977">
        <v>91.782287195004997</v>
      </c>
      <c r="AN1977">
        <v>0.99999998518334399</v>
      </c>
    </row>
    <row r="1978" spans="1:40" x14ac:dyDescent="0.25">
      <c r="A1978" t="str">
        <f>"20190305135232326"</f>
        <v>20190305135232326</v>
      </c>
      <c r="B1978" t="str">
        <f>"1551765152321772"</f>
        <v>1551765152321772</v>
      </c>
      <c r="C1978" t="s">
        <v>40</v>
      </c>
      <c r="D1978">
        <v>4.7827840000000004</v>
      </c>
      <c r="E1978">
        <v>0.49658020000000003</v>
      </c>
      <c r="F1978" t="s">
        <v>66</v>
      </c>
      <c r="G1978">
        <v>-317.5564</v>
      </c>
      <c r="H1978" s="1">
        <v>5.9916259999999998E-6</v>
      </c>
      <c r="I1978">
        <v>279.77</v>
      </c>
      <c r="J1978">
        <v>-300.41230000000002</v>
      </c>
      <c r="K1978">
        <v>1.109259</v>
      </c>
      <c r="L1978">
        <v>284.56349999999998</v>
      </c>
      <c r="M1978">
        <v>-0.99946829999999998</v>
      </c>
      <c r="N1978">
        <v>-1.4667029999999999E-2</v>
      </c>
      <c r="O1978">
        <v>-2.9121520000000001E-2</v>
      </c>
      <c r="P1978">
        <v>-0.99491450000000003</v>
      </c>
      <c r="Q1978">
        <v>-8.0843330000000005E-2</v>
      </c>
      <c r="R1978">
        <v>-6.0081099999999998E-2</v>
      </c>
      <c r="S1978">
        <v>-2.9533999999999998</v>
      </c>
      <c r="T1978">
        <v>-0.18152979999999999</v>
      </c>
      <c r="U1978">
        <v>-0.78878780000000004</v>
      </c>
      <c r="V1978">
        <v>-3.0990130000000001E-2</v>
      </c>
      <c r="W1978">
        <v>-6.626464E-2</v>
      </c>
      <c r="X1978">
        <v>0.99732069999999995</v>
      </c>
      <c r="Y1978">
        <v>-0.22931009999999999</v>
      </c>
      <c r="Z1978">
        <v>-7.2965130000000001E-3</v>
      </c>
      <c r="AA1978">
        <v>0.97332609999999997</v>
      </c>
      <c r="AB1978">
        <v>46</v>
      </c>
      <c r="AC1978">
        <v>-17.144099999999899</v>
      </c>
      <c r="AD1978">
        <v>-1.109253008374</v>
      </c>
      <c r="AE1978">
        <v>-4.7934999999999901</v>
      </c>
      <c r="AF1978">
        <v>-4.2755496043042003</v>
      </c>
      <c r="AG1978">
        <v>-1.109253008374</v>
      </c>
      <c r="AH1978">
        <v>17.209615245836599</v>
      </c>
      <c r="AI1978">
        <v>93.579407371695396</v>
      </c>
      <c r="AJ1978">
        <v>103.95206635260899</v>
      </c>
      <c r="AK1978">
        <v>17.7674315410299</v>
      </c>
      <c r="AL1978">
        <v>93.799468307625006</v>
      </c>
      <c r="AM1978">
        <v>91.779801126425497</v>
      </c>
      <c r="AN1978">
        <v>0.99999998466011797</v>
      </c>
    </row>
    <row r="1979" spans="1:40" x14ac:dyDescent="0.25">
      <c r="A1979" t="str">
        <f>"20190305135232349"</f>
        <v>20190305135232349</v>
      </c>
      <c r="B1979" t="str">
        <f>"1551765152341295"</f>
        <v>1551765152341295</v>
      </c>
      <c r="C1979" t="s">
        <v>40</v>
      </c>
      <c r="D1979">
        <v>4.7924249999999997</v>
      </c>
      <c r="E1979">
        <v>0.50818019999999997</v>
      </c>
      <c r="F1979" t="s">
        <v>41</v>
      </c>
      <c r="G1979">
        <v>-301.5324</v>
      </c>
      <c r="H1979">
        <v>1.0101209999999901</v>
      </c>
      <c r="I1979">
        <v>284.48599999999999</v>
      </c>
      <c r="J1979">
        <v>-300.89800000000002</v>
      </c>
      <c r="K1979">
        <v>1.1092169999999999</v>
      </c>
      <c r="L1979">
        <v>284.54899999999998</v>
      </c>
      <c r="M1979">
        <v>-0.99945649999999997</v>
      </c>
      <c r="N1979">
        <v>-1.466406E-2</v>
      </c>
      <c r="O1979">
        <v>-2.9527660000000001E-2</v>
      </c>
      <c r="P1979">
        <v>-0.99475619999999998</v>
      </c>
      <c r="Q1979">
        <v>-8.1529160000000003E-2</v>
      </c>
      <c r="R1979">
        <v>-6.1753120000000002E-2</v>
      </c>
      <c r="S1979">
        <v>-2.9814449999999999</v>
      </c>
      <c r="T1979">
        <v>-0.2639533</v>
      </c>
      <c r="U1979">
        <v>-0.2067871</v>
      </c>
      <c r="V1979">
        <v>-3.2265490000000001E-2</v>
      </c>
      <c r="W1979">
        <v>-6.6953739999999998E-2</v>
      </c>
      <c r="X1979">
        <v>0.99723419999999896</v>
      </c>
      <c r="Y1979">
        <v>-3.9601669999999999E-2</v>
      </c>
      <c r="Z1979">
        <v>1.3414119999999999E-4</v>
      </c>
      <c r="AA1979">
        <v>0.99921550000000003</v>
      </c>
      <c r="AB1979">
        <v>46</v>
      </c>
      <c r="AC1979">
        <v>-0.63440000000002705</v>
      </c>
      <c r="AD1979">
        <v>-9.9096000000000004E-2</v>
      </c>
      <c r="AE1979">
        <v>-6.3000000000045006E-2</v>
      </c>
      <c r="AF1979">
        <v>-4.3194519349304898E-2</v>
      </c>
      <c r="AG1979">
        <v>-9.9096000000000004E-2</v>
      </c>
      <c r="AH1979">
        <v>0.62097995169356601</v>
      </c>
      <c r="AI1979">
        <v>99.045320136407199</v>
      </c>
      <c r="AJ1979">
        <v>93.979007267654794</v>
      </c>
      <c r="AK1979">
        <v>0.63031887495390904</v>
      </c>
      <c r="AL1979">
        <v>93.839038815765704</v>
      </c>
      <c r="AM1979">
        <v>91.853157175642707</v>
      </c>
      <c r="AN1979">
        <v>0.99999995739728198</v>
      </c>
    </row>
    <row r="1980" spans="1:40" x14ac:dyDescent="0.25">
      <c r="A1980" t="str">
        <f>"20190305135232370"</f>
        <v>20190305135232370</v>
      </c>
      <c r="B1980" t="str">
        <f>"1551765152361788"</f>
        <v>1551765152361788</v>
      </c>
      <c r="C1980" t="s">
        <v>40</v>
      </c>
      <c r="D1980">
        <v>4.7090160000000001</v>
      </c>
      <c r="E1980">
        <v>0.51105579999999995</v>
      </c>
      <c r="F1980" t="s">
        <v>41</v>
      </c>
      <c r="G1980">
        <v>-301.9425</v>
      </c>
      <c r="H1980">
        <v>1.016411</v>
      </c>
      <c r="I1980">
        <v>284.50740000000002</v>
      </c>
      <c r="J1980">
        <v>-301.3365</v>
      </c>
      <c r="K1980">
        <v>1.1091799999999901</v>
      </c>
      <c r="L1980">
        <v>284.53579999999999</v>
      </c>
      <c r="M1980">
        <v>-0.99944699999999997</v>
      </c>
      <c r="N1980">
        <v>-1.466136E-2</v>
      </c>
      <c r="O1980">
        <v>-2.9850390000000001E-2</v>
      </c>
      <c r="P1980">
        <v>-0.99469319999999894</v>
      </c>
      <c r="Q1980">
        <v>-8.1332260000000003E-2</v>
      </c>
      <c r="R1980">
        <v>-6.3015589999999996E-2</v>
      </c>
      <c r="S1980">
        <v>-2.9866640000000002</v>
      </c>
      <c r="T1980">
        <v>-0.2653934</v>
      </c>
      <c r="U1980">
        <v>-0.11920169999999999</v>
      </c>
      <c r="V1980">
        <v>-3.3214569999999999E-2</v>
      </c>
      <c r="W1980">
        <v>-6.6757789999999997E-2</v>
      </c>
      <c r="X1980">
        <v>0.9972162</v>
      </c>
      <c r="Y1980">
        <v>-1.006758E-2</v>
      </c>
      <c r="Z1980">
        <v>1.6883969999999999E-3</v>
      </c>
      <c r="AA1980">
        <v>0.9999479</v>
      </c>
      <c r="AB1980">
        <v>46</v>
      </c>
      <c r="AC1980">
        <v>-0.60599999999999399</v>
      </c>
      <c r="AD1980">
        <v>-9.2768999999999796E-2</v>
      </c>
      <c r="AE1980">
        <v>-2.8399999999976399E-2</v>
      </c>
      <c r="AF1980">
        <v>-1.0060807620843701E-2</v>
      </c>
      <c r="AG1980">
        <v>-9.2768999999999796E-2</v>
      </c>
      <c r="AH1980">
        <v>0.59271797401723603</v>
      </c>
      <c r="AI1980">
        <v>98.894195434471698</v>
      </c>
      <c r="AJ1980">
        <v>90.972446406266002</v>
      </c>
      <c r="AK1980">
        <v>0.60001825300075695</v>
      </c>
      <c r="AL1980">
        <v>93.827786445852894</v>
      </c>
      <c r="AM1980">
        <v>91.907661962608998</v>
      </c>
      <c r="AN1980">
        <v>0.99999997986420397</v>
      </c>
    </row>
    <row r="1981" spans="1:40" x14ac:dyDescent="0.25">
      <c r="A1981" t="str">
        <f>"20190305135232393"</f>
        <v>20190305135232393</v>
      </c>
      <c r="B1981" t="str">
        <f>"1551765152381308"</f>
        <v>1551765152381308</v>
      </c>
      <c r="C1981" t="s">
        <v>40</v>
      </c>
      <c r="D1981">
        <v>4.6484819999999996</v>
      </c>
      <c r="E1981">
        <v>0.51153720000000003</v>
      </c>
      <c r="F1981" t="s">
        <v>41</v>
      </c>
      <c r="G1981">
        <v>-302.35239999999999</v>
      </c>
      <c r="H1981">
        <v>1.01959</v>
      </c>
      <c r="I1981">
        <v>284.50200000000001</v>
      </c>
      <c r="J1981">
        <v>-301.79759999999999</v>
      </c>
      <c r="K1981">
        <v>1.109137</v>
      </c>
      <c r="L1981">
        <v>284.52179999999998</v>
      </c>
      <c r="M1981">
        <v>-0.99943879999999996</v>
      </c>
      <c r="N1981">
        <v>-1.4658239999999999E-2</v>
      </c>
      <c r="O1981">
        <v>-3.0126630000000001E-2</v>
      </c>
      <c r="P1981">
        <v>-0.99473460000000002</v>
      </c>
      <c r="Q1981">
        <v>-7.9983819999999997E-2</v>
      </c>
      <c r="R1981">
        <v>-6.4078380000000004E-2</v>
      </c>
      <c r="S1981">
        <v>-2.9880979999999999</v>
      </c>
      <c r="T1981">
        <v>-0.26363379999999997</v>
      </c>
      <c r="U1981">
        <v>-0.1001282</v>
      </c>
      <c r="V1981">
        <v>-3.4009810000000001E-2</v>
      </c>
      <c r="W1981">
        <v>-6.5408010000000003E-2</v>
      </c>
      <c r="X1981">
        <v>0.99727889999999997</v>
      </c>
      <c r="Y1981">
        <v>-3.4277359999999998E-3</v>
      </c>
      <c r="Z1981">
        <v>2.0345239999999998E-3</v>
      </c>
      <c r="AA1981">
        <v>0.99999210000000005</v>
      </c>
      <c r="AB1981">
        <v>46</v>
      </c>
      <c r="AC1981">
        <v>-0.55479999999999996</v>
      </c>
      <c r="AD1981">
        <v>-8.9547000000000002E-2</v>
      </c>
      <c r="AE1981">
        <v>-1.9799999999975101E-2</v>
      </c>
      <c r="AF1981">
        <v>-2.9969876119741502E-3</v>
      </c>
      <c r="AG1981">
        <v>-8.9547000000000002E-2</v>
      </c>
      <c r="AH1981">
        <v>0.54106712348048602</v>
      </c>
      <c r="AI1981">
        <v>99.397170199769207</v>
      </c>
      <c r="AJ1981">
        <v>90.317359857734303</v>
      </c>
      <c r="AK1981">
        <v>0.548435300883517</v>
      </c>
      <c r="AL1981">
        <v>93.750280098615505</v>
      </c>
      <c r="AM1981">
        <v>91.953178489180004</v>
      </c>
      <c r="AN1981">
        <v>1.0000000396668001</v>
      </c>
    </row>
    <row r="1982" spans="1:40" x14ac:dyDescent="0.25">
      <c r="A1982" t="str">
        <f>"20190305135232416"</f>
        <v>20190305135232416</v>
      </c>
      <c r="B1982" t="str">
        <f>"1551765152411564"</f>
        <v>1551765152411564</v>
      </c>
      <c r="C1982" t="s">
        <v>40</v>
      </c>
      <c r="D1982">
        <v>4.6956360000000004</v>
      </c>
      <c r="E1982">
        <v>0.51207849999999999</v>
      </c>
      <c r="F1982" t="s">
        <v>41</v>
      </c>
      <c r="G1982">
        <v>-302.76280000000003</v>
      </c>
      <c r="H1982">
        <v>1.024267</v>
      </c>
      <c r="I1982">
        <v>284.4896</v>
      </c>
      <c r="J1982">
        <v>-302.26179999999999</v>
      </c>
      <c r="K1982">
        <v>1.109084</v>
      </c>
      <c r="L1982">
        <v>284.50760000000002</v>
      </c>
      <c r="M1982">
        <v>-0.9994326</v>
      </c>
      <c r="N1982">
        <v>-1.4655079999999999E-2</v>
      </c>
      <c r="O1982">
        <v>-3.0330090000000001E-2</v>
      </c>
      <c r="P1982">
        <v>-0.99476330000000002</v>
      </c>
      <c r="Q1982">
        <v>-7.9296329999999998E-2</v>
      </c>
      <c r="R1982">
        <v>-6.4484570000000005E-2</v>
      </c>
      <c r="S1982">
        <v>-2.9883419999999998</v>
      </c>
      <c r="T1982">
        <v>-0.26271709999999998</v>
      </c>
      <c r="U1982">
        <v>-9.9426269999999997E-2</v>
      </c>
      <c r="V1982">
        <v>-3.4222959999999997E-2</v>
      </c>
      <c r="W1982">
        <v>-6.4718079999999997E-2</v>
      </c>
      <c r="X1982">
        <v>0.9973166</v>
      </c>
      <c r="Y1982">
        <v>-2.9887410000000001E-3</v>
      </c>
      <c r="Z1982">
        <v>2.0631040000000001E-3</v>
      </c>
      <c r="AA1982">
        <v>0.99999340000000003</v>
      </c>
      <c r="AB1982">
        <v>46</v>
      </c>
      <c r="AC1982">
        <v>-0.50100000000003297</v>
      </c>
      <c r="AD1982">
        <v>-8.4816999999999906E-2</v>
      </c>
      <c r="AE1982">
        <v>-1.80000000000291E-2</v>
      </c>
      <c r="AF1982">
        <v>-2.7169418404859899E-3</v>
      </c>
      <c r="AG1982">
        <v>-8.4816999999999906E-2</v>
      </c>
      <c r="AH1982">
        <v>0.48736512620281702</v>
      </c>
      <c r="AI1982">
        <v>99.872257472726901</v>
      </c>
      <c r="AJ1982">
        <v>90.319406702855005</v>
      </c>
      <c r="AK1982">
        <v>0.49469795987112403</v>
      </c>
      <c r="AL1982">
        <v>93.710666156576593</v>
      </c>
      <c r="AM1982">
        <v>91.965335855345202</v>
      </c>
      <c r="AN1982">
        <v>1.0000000207527999</v>
      </c>
    </row>
    <row r="1983" spans="1:40" x14ac:dyDescent="0.25">
      <c r="A1983" t="str">
        <f>"20190305135232438"</f>
        <v>20190305135232438</v>
      </c>
      <c r="B1983" t="str">
        <f>"1551765152431084"</f>
        <v>1551765152431084</v>
      </c>
      <c r="C1983" t="s">
        <v>40</v>
      </c>
      <c r="D1983">
        <v>4.6887850000000002</v>
      </c>
      <c r="E1983">
        <v>0.51239650000000003</v>
      </c>
      <c r="F1983" t="s">
        <v>41</v>
      </c>
      <c r="G1983">
        <v>-303.173</v>
      </c>
      <c r="H1983">
        <v>1.0293110000000001</v>
      </c>
      <c r="I1983">
        <v>284.4785</v>
      </c>
      <c r="J1983">
        <v>-302.7199</v>
      </c>
      <c r="K1983">
        <v>1.1090169999999999</v>
      </c>
      <c r="L1983">
        <v>284.49360000000001</v>
      </c>
      <c r="M1983">
        <v>-0.99942869999999995</v>
      </c>
      <c r="N1983">
        <v>-1.4652E-2</v>
      </c>
      <c r="O1983">
        <v>-3.045658E-2</v>
      </c>
      <c r="P1983">
        <v>-0.99477280000000001</v>
      </c>
      <c r="Q1983">
        <v>-7.9179089999999994E-2</v>
      </c>
      <c r="R1983">
        <v>-6.4479239999999993E-2</v>
      </c>
      <c r="S1983">
        <v>-2.9887079999999999</v>
      </c>
      <c r="T1983">
        <v>-0.26178299999999999</v>
      </c>
      <c r="U1983">
        <v>-9.6282960000000001E-2</v>
      </c>
      <c r="V1983">
        <v>-3.4101960000000001E-2</v>
      </c>
      <c r="W1983">
        <v>-6.4597959999999996E-2</v>
      </c>
      <c r="X1983">
        <v>0.99732849999999995</v>
      </c>
      <c r="Y1983">
        <v>-1.812494E-3</v>
      </c>
      <c r="Z1983">
        <v>2.1232199999999999E-3</v>
      </c>
      <c r="AA1983">
        <v>0.99999610000000005</v>
      </c>
      <c r="AB1983">
        <v>46</v>
      </c>
      <c r="AC1983">
        <v>-0.453100000000006</v>
      </c>
      <c r="AD1983">
        <v>-7.9705999999999805E-2</v>
      </c>
      <c r="AE1983">
        <v>-1.5100000000018101E-2</v>
      </c>
      <c r="AF1983">
        <v>-1.25290711425319E-3</v>
      </c>
      <c r="AG1983">
        <v>-7.9705999999999805E-2</v>
      </c>
      <c r="AH1983">
        <v>0.43975642848944202</v>
      </c>
      <c r="AI1983">
        <v>100.27330841956901</v>
      </c>
      <c r="AJ1983">
        <v>90.163240582470607</v>
      </c>
      <c r="AK1983">
        <v>0.44692318423866401</v>
      </c>
      <c r="AL1983">
        <v>93.7037694755724</v>
      </c>
      <c r="AM1983">
        <v>91.958369210431599</v>
      </c>
      <c r="AN1983">
        <v>0.99999998851212601</v>
      </c>
    </row>
    <row r="1984" spans="1:40" x14ac:dyDescent="0.25">
      <c r="A1984" t="str">
        <f>"20190305135232460"</f>
        <v>20190305135232460</v>
      </c>
      <c r="B1984" t="str">
        <f>"1551765152451580"</f>
        <v>1551765152451580</v>
      </c>
      <c r="C1984" t="s">
        <v>40</v>
      </c>
      <c r="D1984">
        <v>4.5994469999999996</v>
      </c>
      <c r="E1984">
        <v>0.51243179999999999</v>
      </c>
      <c r="F1984" t="s">
        <v>41</v>
      </c>
      <c r="G1984">
        <v>-303.58269999999999</v>
      </c>
      <c r="H1984">
        <v>1.0324</v>
      </c>
      <c r="I1984">
        <v>284.46660000000003</v>
      </c>
      <c r="J1984">
        <v>-303.1592</v>
      </c>
      <c r="K1984">
        <v>1.1089439999999999</v>
      </c>
      <c r="L1984">
        <v>284.48020000000002</v>
      </c>
      <c r="M1984">
        <v>-0.99942770000000003</v>
      </c>
      <c r="N1984">
        <v>-1.4649179999999999E-2</v>
      </c>
      <c r="O1984">
        <v>-3.0495950000000001E-2</v>
      </c>
      <c r="P1984">
        <v>-0.99478500000000003</v>
      </c>
      <c r="Q1984">
        <v>-7.9464549999999995E-2</v>
      </c>
      <c r="R1984">
        <v>-6.3943710000000001E-2</v>
      </c>
      <c r="S1984">
        <v>-2.988556</v>
      </c>
      <c r="T1984">
        <v>-0.26538489999999998</v>
      </c>
      <c r="U1984">
        <v>-9.3688960000000002E-2</v>
      </c>
      <c r="V1984">
        <v>-3.3538279999999997E-2</v>
      </c>
      <c r="W1984">
        <v>-6.4879790000000007E-2</v>
      </c>
      <c r="X1984">
        <v>0.99732940000000003</v>
      </c>
      <c r="Y1984">
        <v>-9.1437029999999996E-4</v>
      </c>
      <c r="Z1984">
        <v>2.208186E-3</v>
      </c>
      <c r="AA1984">
        <v>0.99999709999999997</v>
      </c>
      <c r="AB1984">
        <v>46</v>
      </c>
      <c r="AC1984">
        <v>-0.42349999999999</v>
      </c>
      <c r="AD1984">
        <v>-7.6544000000000098E-2</v>
      </c>
      <c r="AE1984">
        <v>-1.35999999999967E-2</v>
      </c>
      <c r="AF1984">
        <v>-6.5585151979592196E-4</v>
      </c>
      <c r="AG1984">
        <v>-7.6544000000000098E-2</v>
      </c>
      <c r="AH1984">
        <v>0.41032723063439203</v>
      </c>
      <c r="AI1984">
        <v>100.566707254976</v>
      </c>
      <c r="AJ1984">
        <v>90.091579328071802</v>
      </c>
      <c r="AK1984">
        <v>0.41740609755645097</v>
      </c>
      <c r="AL1984">
        <v>93.719950795379404</v>
      </c>
      <c r="AM1984">
        <v>91.9260216739779</v>
      </c>
      <c r="AN1984">
        <v>1.00000006774007</v>
      </c>
    </row>
    <row r="1985" spans="1:40" x14ac:dyDescent="0.25">
      <c r="A1985" t="str">
        <f>"20190305135232482"</f>
        <v>20190305135232482</v>
      </c>
      <c r="B1985" t="str">
        <f>"1551765152471100"</f>
        <v>1551765152471100</v>
      </c>
      <c r="C1985" t="s">
        <v>40</v>
      </c>
      <c r="D1985">
        <v>4.6841309999999998</v>
      </c>
      <c r="E1985">
        <v>0.5127178</v>
      </c>
      <c r="F1985" t="s">
        <v>41</v>
      </c>
      <c r="G1985">
        <v>-303.98939999999999</v>
      </c>
      <c r="H1985">
        <v>1.0319240000000001</v>
      </c>
      <c r="I1985">
        <v>284.45490000000001</v>
      </c>
      <c r="J1985">
        <v>-303.6053</v>
      </c>
      <c r="K1985">
        <v>1.1088549999999999</v>
      </c>
      <c r="L1985">
        <v>284.46660000000003</v>
      </c>
      <c r="M1985">
        <v>-0.99942920000000002</v>
      </c>
      <c r="N1985">
        <v>-1.464641E-2</v>
      </c>
      <c r="O1985">
        <v>-3.0444180000000001E-2</v>
      </c>
      <c r="P1985">
        <v>-0.99483160000000004</v>
      </c>
      <c r="Q1985">
        <v>-7.9466300000000004E-2</v>
      </c>
      <c r="R1985">
        <v>-6.3206990000000005E-2</v>
      </c>
      <c r="S1985">
        <v>-2.9877009999999999</v>
      </c>
      <c r="T1985">
        <v>-0.27718949999999998</v>
      </c>
      <c r="U1985">
        <v>-9.1491699999999995E-2</v>
      </c>
      <c r="V1985">
        <v>-3.2865350000000002E-2</v>
      </c>
      <c r="W1985">
        <v>-6.487677E-2</v>
      </c>
      <c r="X1985">
        <v>0.99735189999999996</v>
      </c>
      <c r="Y1985">
        <v>-2.5236969999999998E-4</v>
      </c>
      <c r="Z1985">
        <v>2.3585020000000002E-3</v>
      </c>
      <c r="AA1985">
        <v>0.99999720000000003</v>
      </c>
      <c r="AB1985">
        <v>46</v>
      </c>
      <c r="AC1985">
        <v>-0.38409999999998901</v>
      </c>
      <c r="AD1985">
        <v>-7.6930999999999805E-2</v>
      </c>
      <c r="AE1985">
        <v>-1.17000000000189E-2</v>
      </c>
      <c r="AF1985" s="1">
        <v>2.7683377227388699E-7</v>
      </c>
      <c r="AG1985">
        <v>-7.6930999999999805E-2</v>
      </c>
      <c r="AH1985">
        <v>0.36947034069534201</v>
      </c>
      <c r="AI1985">
        <v>101.762048388286</v>
      </c>
      <c r="AJ1985">
        <v>89.999957069877993</v>
      </c>
      <c r="AK1985">
        <v>0.37739463617625602</v>
      </c>
      <c r="AL1985">
        <v>93.719777762857305</v>
      </c>
      <c r="AM1985">
        <v>91.887362632029607</v>
      </c>
      <c r="AN1985">
        <v>0.99999996947493197</v>
      </c>
    </row>
    <row r="1986" spans="1:40" x14ac:dyDescent="0.25">
      <c r="A1986" t="str">
        <f>"20190305135232505"</f>
        <v>20190305135232505</v>
      </c>
      <c r="B1986" t="str">
        <f>"1551765152501125"</f>
        <v>1551765152501125</v>
      </c>
      <c r="C1986" t="s">
        <v>40</v>
      </c>
      <c r="D1986">
        <v>4.6983259999999998</v>
      </c>
      <c r="E1986">
        <v>0.51314170000000003</v>
      </c>
      <c r="F1986" t="s">
        <v>41</v>
      </c>
      <c r="G1986">
        <v>-304.39870000000002</v>
      </c>
      <c r="H1986">
        <v>1.034805</v>
      </c>
      <c r="I1986">
        <v>284.4436</v>
      </c>
      <c r="J1986">
        <v>-304.06439999999998</v>
      </c>
      <c r="K1986">
        <v>1.1087610000000001</v>
      </c>
      <c r="L1986">
        <v>284.45269999999999</v>
      </c>
      <c r="M1986">
        <v>-0.99943380000000004</v>
      </c>
      <c r="N1986">
        <v>-1.4643649999999999E-2</v>
      </c>
      <c r="O1986">
        <v>-3.029447E-2</v>
      </c>
      <c r="P1986">
        <v>-0.99489799999999995</v>
      </c>
      <c r="Q1986">
        <v>-7.9093659999999996E-2</v>
      </c>
      <c r="R1986">
        <v>-6.2627589999999997E-2</v>
      </c>
      <c r="S1986">
        <v>-2.987762</v>
      </c>
      <c r="T1986">
        <v>-0.27885529999999997</v>
      </c>
      <c r="U1986">
        <v>-8.6853029999999998E-2</v>
      </c>
      <c r="V1986">
        <v>-3.2449060000000002E-2</v>
      </c>
      <c r="W1986">
        <v>-6.4498479999999997E-2</v>
      </c>
      <c r="X1986">
        <v>0.99739009999999995</v>
      </c>
      <c r="Y1986">
        <v>1.1417700000000001E-3</v>
      </c>
      <c r="Z1986">
        <v>2.4387990000000002E-3</v>
      </c>
      <c r="AA1986">
        <v>0.99999640000000001</v>
      </c>
      <c r="AB1986">
        <v>46</v>
      </c>
      <c r="AC1986">
        <v>-0.33430000000004101</v>
      </c>
      <c r="AD1986">
        <v>-7.3956000000000105E-2</v>
      </c>
      <c r="AE1986">
        <v>-9.0999999999894499E-3</v>
      </c>
      <c r="AF1986">
        <v>9.8455485575724491E-4</v>
      </c>
      <c r="AG1986">
        <v>-7.3956000000000105E-2</v>
      </c>
      <c r="AH1986">
        <v>0.31882989386398303</v>
      </c>
      <c r="AI1986">
        <v>103.059353301126</v>
      </c>
      <c r="AJ1986">
        <v>89.823069731818507</v>
      </c>
      <c r="AK1986">
        <v>0.32729644132740399</v>
      </c>
      <c r="AL1986">
        <v>93.698057724632605</v>
      </c>
      <c r="AM1986">
        <v>91.863401935732199</v>
      </c>
      <c r="AN1986">
        <v>1.0000000034976</v>
      </c>
    </row>
    <row r="1987" spans="1:40" x14ac:dyDescent="0.25">
      <c r="A1987" t="str">
        <f>"20190305135232528"</f>
        <v>20190305135232528</v>
      </c>
      <c r="B1987" t="str">
        <f>"1551765152521621"</f>
        <v>1551765152521621</v>
      </c>
      <c r="C1987" t="s">
        <v>40</v>
      </c>
      <c r="D1987">
        <v>4.6600729999999997</v>
      </c>
      <c r="E1987">
        <v>0.51337129999999997</v>
      </c>
      <c r="F1987" t="s">
        <v>41</v>
      </c>
      <c r="G1987">
        <v>-304.80919999999998</v>
      </c>
      <c r="H1987">
        <v>1.039112</v>
      </c>
      <c r="I1987">
        <v>284.43259999999998</v>
      </c>
      <c r="J1987">
        <v>-304.52670000000001</v>
      </c>
      <c r="K1987">
        <v>1.108663</v>
      </c>
      <c r="L1987">
        <v>284.43889999999999</v>
      </c>
      <c r="M1987">
        <v>-0.99944140000000004</v>
      </c>
      <c r="N1987">
        <v>-1.4641E-2</v>
      </c>
      <c r="O1987">
        <v>-3.0043879999999999E-2</v>
      </c>
      <c r="P1987">
        <v>-0.99491410000000002</v>
      </c>
      <c r="Q1987">
        <v>-7.9477800000000001E-2</v>
      </c>
      <c r="R1987">
        <v>-6.1879969999999999E-2</v>
      </c>
      <c r="S1987">
        <v>-2.9880369999999998</v>
      </c>
      <c r="T1987">
        <v>-0.2795591</v>
      </c>
      <c r="U1987">
        <v>-8.1665039999999994E-2</v>
      </c>
      <c r="V1987">
        <v>-3.1967450000000001E-2</v>
      </c>
      <c r="W1987">
        <v>-6.4877530000000003E-2</v>
      </c>
      <c r="X1987">
        <v>0.99738110000000002</v>
      </c>
      <c r="Y1987">
        <v>2.6212940000000001E-3</v>
      </c>
      <c r="Z1987">
        <v>2.5061150000000002E-3</v>
      </c>
      <c r="AA1987">
        <v>0.99999340000000003</v>
      </c>
      <c r="AB1987">
        <v>46</v>
      </c>
      <c r="AC1987">
        <v>-0.28249999999997</v>
      </c>
      <c r="AD1987">
        <v>-6.9550999999999905E-2</v>
      </c>
      <c r="AE1987">
        <v>-6.3000000000101803E-3</v>
      </c>
      <c r="AF1987">
        <v>2.0659855164393902E-3</v>
      </c>
      <c r="AG1987">
        <v>-6.9550999999999905E-2</v>
      </c>
      <c r="AH1987">
        <v>0.266421040697427</v>
      </c>
      <c r="AI1987">
        <v>104.63049184191399</v>
      </c>
      <c r="AJ1987">
        <v>89.555703717376403</v>
      </c>
      <c r="AK1987">
        <v>0.27535755087422997</v>
      </c>
      <c r="AL1987">
        <v>93.719821154760993</v>
      </c>
      <c r="AM1987">
        <v>91.835780883926702</v>
      </c>
      <c r="AN1987">
        <v>1.0000000351978</v>
      </c>
    </row>
    <row r="1988" spans="1:40" x14ac:dyDescent="0.25">
      <c r="A1988" t="str">
        <f>"20190305135232549"</f>
        <v>20190305135232549</v>
      </c>
      <c r="B1988" t="str">
        <f>"1551765152541140"</f>
        <v>1551765152541140</v>
      </c>
      <c r="C1988" t="s">
        <v>40</v>
      </c>
      <c r="D1988">
        <v>4.6306659999999997</v>
      </c>
      <c r="E1988">
        <v>0.51362379999999996</v>
      </c>
      <c r="F1988" t="s">
        <v>41</v>
      </c>
      <c r="G1988">
        <v>-305.60340000000002</v>
      </c>
      <c r="H1988">
        <v>1.0070870000000001</v>
      </c>
      <c r="I1988">
        <v>284.41120000000001</v>
      </c>
      <c r="J1988">
        <v>-304.98750000000001</v>
      </c>
      <c r="K1988">
        <v>1.1085700000000001</v>
      </c>
      <c r="L1988">
        <v>284.42529999999999</v>
      </c>
      <c r="M1988">
        <v>-0.99945130000000004</v>
      </c>
      <c r="N1988">
        <v>-1.4638389999999999E-2</v>
      </c>
      <c r="O1988">
        <v>-2.971507E-2</v>
      </c>
      <c r="P1988">
        <v>-0.99495250000000002</v>
      </c>
      <c r="Q1988">
        <v>-7.9563270000000005E-2</v>
      </c>
      <c r="R1988">
        <v>-6.1150780000000002E-2</v>
      </c>
      <c r="S1988">
        <v>-2.9879760000000002</v>
      </c>
      <c r="T1988">
        <v>-0.28191749999999999</v>
      </c>
      <c r="U1988">
        <v>-7.76062E-2</v>
      </c>
      <c r="V1988">
        <v>-3.1580150000000001E-2</v>
      </c>
      <c r="W1988">
        <v>-6.4958130000000003E-2</v>
      </c>
      <c r="X1988">
        <v>0.99738819999999995</v>
      </c>
      <c r="Y1988">
        <v>3.6428710000000002E-3</v>
      </c>
      <c r="Z1988">
        <v>2.5603510000000002E-3</v>
      </c>
      <c r="AA1988">
        <v>0.99999009999999999</v>
      </c>
      <c r="AB1988">
        <v>45</v>
      </c>
      <c r="AC1988">
        <v>-0.61590000000001</v>
      </c>
      <c r="AD1988">
        <v>-0.101483</v>
      </c>
      <c r="AE1988">
        <v>-1.4099999999984901E-2</v>
      </c>
      <c r="AF1988">
        <v>4.0984843563395797E-3</v>
      </c>
      <c r="AG1988">
        <v>-0.101483</v>
      </c>
      <c r="AH1988">
        <v>0.59977185448413795</v>
      </c>
      <c r="AI1988">
        <v>99.603419042447996</v>
      </c>
      <c r="AJ1988">
        <v>89.6084807927095</v>
      </c>
      <c r="AK1988">
        <v>0.608310672513939</v>
      </c>
      <c r="AL1988">
        <v>93.724448927103396</v>
      </c>
      <c r="AM1988">
        <v>91.813541616924695</v>
      </c>
      <c r="AN1988">
        <v>1.0000000430131699</v>
      </c>
    </row>
    <row r="1989" spans="1:40" x14ac:dyDescent="0.25">
      <c r="A1989" t="str">
        <f>"20190305135232571"</f>
        <v>20190305135232571</v>
      </c>
      <c r="B1989" t="str">
        <f>"1551765152561637"</f>
        <v>1551765152561637</v>
      </c>
      <c r="C1989" t="s">
        <v>40</v>
      </c>
      <c r="D1989">
        <v>4.629105</v>
      </c>
      <c r="E1989">
        <v>0.51374979999999904</v>
      </c>
      <c r="F1989" t="s">
        <v>41</v>
      </c>
      <c r="G1989">
        <v>-306.01139999999998</v>
      </c>
      <c r="H1989">
        <v>1.011361</v>
      </c>
      <c r="I1989">
        <v>284.40019999999998</v>
      </c>
      <c r="J1989">
        <v>-305.41629999999998</v>
      </c>
      <c r="K1989">
        <v>1.1084830000000001</v>
      </c>
      <c r="L1989">
        <v>284.4128</v>
      </c>
      <c r="M1989">
        <v>-0.99946199999999996</v>
      </c>
      <c r="N1989">
        <v>-1.46359E-2</v>
      </c>
      <c r="O1989">
        <v>-2.9356190000000001E-2</v>
      </c>
      <c r="P1989">
        <v>-0.99496039999999997</v>
      </c>
      <c r="Q1989">
        <v>-7.9700690000000005E-2</v>
      </c>
      <c r="R1989">
        <v>-6.0843500000000002E-2</v>
      </c>
      <c r="S1989">
        <v>-2.9879760000000002</v>
      </c>
      <c r="T1989">
        <v>-0.28369899999999998</v>
      </c>
      <c r="U1989">
        <v>-7.3303220000000002E-2</v>
      </c>
      <c r="V1989">
        <v>-3.1643600000000001E-2</v>
      </c>
      <c r="W1989">
        <v>-6.5091979999999994E-2</v>
      </c>
      <c r="X1989">
        <v>0.99737739999999997</v>
      </c>
      <c r="Y1989">
        <v>4.716891E-3</v>
      </c>
      <c r="Z1989">
        <v>2.6091819999999998E-3</v>
      </c>
      <c r="AA1989">
        <v>0.99998549999999997</v>
      </c>
      <c r="AB1989">
        <v>45</v>
      </c>
      <c r="AC1989">
        <v>-0.59510000000000196</v>
      </c>
      <c r="AD1989">
        <v>-9.7121999999999903E-2</v>
      </c>
      <c r="AE1989">
        <v>-1.26000000000203E-2</v>
      </c>
      <c r="AF1989">
        <v>4.7506904622164302E-3</v>
      </c>
      <c r="AG1989">
        <v>-9.7121999999999903E-2</v>
      </c>
      <c r="AH1989">
        <v>0.57977783637305602</v>
      </c>
      <c r="AI1989">
        <v>99.509344115068302</v>
      </c>
      <c r="AJ1989">
        <v>89.530529791604295</v>
      </c>
      <c r="AK1989">
        <v>0.58787548978783699</v>
      </c>
      <c r="AL1989">
        <v>93.732134464856799</v>
      </c>
      <c r="AM1989">
        <v>91.817202560116598</v>
      </c>
      <c r="AN1989">
        <v>0.99999998065602003</v>
      </c>
    </row>
    <row r="1990" spans="1:40" x14ac:dyDescent="0.25">
      <c r="A1990" t="str">
        <f>"20190305135232594"</f>
        <v>20190305135232594</v>
      </c>
      <c r="B1990" t="str">
        <f>"1551765152591644"</f>
        <v>1551765152591644</v>
      </c>
      <c r="C1990" t="s">
        <v>40</v>
      </c>
      <c r="D1990">
        <v>4.6430989999999897</v>
      </c>
      <c r="E1990">
        <v>0.51397159999999997</v>
      </c>
      <c r="F1990" t="s">
        <v>41</v>
      </c>
      <c r="G1990">
        <v>-306.4178</v>
      </c>
      <c r="H1990">
        <v>1.0128919999999999</v>
      </c>
      <c r="I1990">
        <v>284.38909999999998</v>
      </c>
      <c r="J1990">
        <v>-305.88</v>
      </c>
      <c r="K1990">
        <v>1.108406</v>
      </c>
      <c r="L1990">
        <v>284.39949999999999</v>
      </c>
      <c r="M1990">
        <v>-0.99947450000000004</v>
      </c>
      <c r="N1990">
        <v>-1.463311E-2</v>
      </c>
      <c r="O1990">
        <v>-2.8922940000000001E-2</v>
      </c>
      <c r="P1990">
        <v>-0.99498339999999996</v>
      </c>
      <c r="Q1990">
        <v>-7.9870969999999999E-2</v>
      </c>
      <c r="R1990">
        <v>-6.0236680000000001E-2</v>
      </c>
      <c r="S1990">
        <v>-2.9879760000000002</v>
      </c>
      <c r="T1990">
        <v>-0.285280599999999</v>
      </c>
      <c r="U1990">
        <v>-7.1441649999999995E-2</v>
      </c>
      <c r="V1990">
        <v>-3.147966E-2</v>
      </c>
      <c r="W1990">
        <v>-6.5259670000000006E-2</v>
      </c>
      <c r="X1990">
        <v>0.99737169999999997</v>
      </c>
      <c r="Y1990">
        <v>4.9049779999999999E-3</v>
      </c>
      <c r="Z1990">
        <v>2.6013859999999998E-3</v>
      </c>
      <c r="AA1990">
        <v>0.9999846</v>
      </c>
      <c r="AB1990">
        <v>45</v>
      </c>
      <c r="AC1990">
        <v>-0.53780000000000405</v>
      </c>
      <c r="AD1990">
        <v>-9.5514000000000099E-2</v>
      </c>
      <c r="AE1990">
        <v>-1.04000000000041E-2</v>
      </c>
      <c r="AF1990">
        <v>5.0030273716140401E-3</v>
      </c>
      <c r="AG1990">
        <v>-9.5514000000000099E-2</v>
      </c>
      <c r="AH1990">
        <v>0.52143472233784005</v>
      </c>
      <c r="AI1990">
        <v>100.379634066725</v>
      </c>
      <c r="AJ1990">
        <v>89.450279114361905</v>
      </c>
      <c r="AK1990">
        <v>0.53013406242046102</v>
      </c>
      <c r="AL1990">
        <v>93.741762603654493</v>
      </c>
      <c r="AM1990">
        <v>91.807804537079406</v>
      </c>
      <c r="AN1990">
        <v>1.0000000507415501</v>
      </c>
    </row>
    <row r="1991" spans="1:40" x14ac:dyDescent="0.25">
      <c r="A1991" t="str">
        <f>"20190305135232617"</f>
        <v>20190305135232617</v>
      </c>
      <c r="B1991" t="str">
        <f>"1551765152611164"</f>
        <v>1551765152611164</v>
      </c>
      <c r="C1991" t="s">
        <v>40</v>
      </c>
      <c r="D1991">
        <v>4.6007680000000004</v>
      </c>
      <c r="E1991">
        <v>0.51413109999999995</v>
      </c>
      <c r="F1991" t="s">
        <v>41</v>
      </c>
      <c r="G1991">
        <v>-306.82549999999998</v>
      </c>
      <c r="H1991">
        <v>1.017684</v>
      </c>
      <c r="I1991">
        <v>284.37810000000002</v>
      </c>
      <c r="J1991">
        <v>-306.36099999999999</v>
      </c>
      <c r="K1991">
        <v>1.1083529999999999</v>
      </c>
      <c r="L1991">
        <v>284.38600000000002</v>
      </c>
      <c r="M1991">
        <v>-0.99948840000000005</v>
      </c>
      <c r="N1991">
        <v>-1.463017E-2</v>
      </c>
      <c r="O1991">
        <v>-2.8439349999999999E-2</v>
      </c>
      <c r="P1991">
        <v>-0.99499490000000002</v>
      </c>
      <c r="Q1991">
        <v>-8.0275490000000005E-2</v>
      </c>
      <c r="R1991">
        <v>-5.9506219999999999E-2</v>
      </c>
      <c r="S1991">
        <v>-2.9880070000000001</v>
      </c>
      <c r="T1991">
        <v>-0.28666219999999998</v>
      </c>
      <c r="U1991">
        <v>-6.7657469999999997E-2</v>
      </c>
      <c r="V1991">
        <v>-3.124151E-2</v>
      </c>
      <c r="W1991">
        <v>-6.5662940000000003E-2</v>
      </c>
      <c r="X1991">
        <v>0.99735269999999998</v>
      </c>
      <c r="Y1991">
        <v>5.6832940000000002E-3</v>
      </c>
      <c r="Z1991">
        <v>2.6196570000000001E-3</v>
      </c>
      <c r="AA1991">
        <v>0.99998039999999999</v>
      </c>
      <c r="AB1991">
        <v>45</v>
      </c>
      <c r="AC1991">
        <v>-0.46449999999998598</v>
      </c>
      <c r="AD1991">
        <v>-9.0669000000000097E-2</v>
      </c>
      <c r="AE1991">
        <v>-7.8999999999496105E-3</v>
      </c>
      <c r="AF1991">
        <v>5.1196760066810299E-3</v>
      </c>
      <c r="AG1991">
        <v>-9.0669000000000097E-2</v>
      </c>
      <c r="AH1991">
        <v>0.447491446196564</v>
      </c>
      <c r="AI1991">
        <v>101.45325988117401</v>
      </c>
      <c r="AJ1991">
        <v>89.344517012229801</v>
      </c>
      <c r="AK1991">
        <v>0.456613264220944</v>
      </c>
      <c r="AL1991">
        <v>93.764918012064797</v>
      </c>
      <c r="AM1991">
        <v>91.794171259039103</v>
      </c>
      <c r="AN1991">
        <v>1.0000000309168999</v>
      </c>
    </row>
    <row r="1992" spans="1:40" x14ac:dyDescent="0.25">
      <c r="A1992" t="str">
        <f>"20190305135232640"</f>
        <v>20190305135232640</v>
      </c>
      <c r="B1992" t="str">
        <f>"1551765152631660"</f>
        <v>1551765152631660</v>
      </c>
      <c r="C1992" t="s">
        <v>40</v>
      </c>
      <c r="D1992">
        <v>4.5856700000000004</v>
      </c>
      <c r="E1992">
        <v>0.5142544</v>
      </c>
      <c r="F1992" t="s">
        <v>41</v>
      </c>
      <c r="G1992">
        <v>-307.2337</v>
      </c>
      <c r="H1992">
        <v>1.024197</v>
      </c>
      <c r="I1992">
        <v>284.3673</v>
      </c>
      <c r="J1992">
        <v>-306.81259999999997</v>
      </c>
      <c r="K1992">
        <v>1.108311</v>
      </c>
      <c r="L1992">
        <v>284.37349999999998</v>
      </c>
      <c r="M1992">
        <v>-0.99950190000000005</v>
      </c>
      <c r="N1992">
        <v>-1.4627299999999999E-2</v>
      </c>
      <c r="O1992">
        <v>-2.796473E-2</v>
      </c>
      <c r="P1992">
        <v>-0.99502409999999997</v>
      </c>
      <c r="Q1992">
        <v>-7.9843689999999995E-2</v>
      </c>
      <c r="R1992">
        <v>-5.9603099999999902E-2</v>
      </c>
      <c r="S1992">
        <v>-2.9880070000000001</v>
      </c>
      <c r="T1992">
        <v>-0.28819109999999998</v>
      </c>
      <c r="U1992">
        <v>-6.4147949999999995E-2</v>
      </c>
      <c r="V1992">
        <v>-3.1816909999999997E-2</v>
      </c>
      <c r="W1992">
        <v>-6.5229679999999998E-2</v>
      </c>
      <c r="X1992">
        <v>0.99736290000000005</v>
      </c>
      <c r="Y1992">
        <v>6.3787480000000001E-3</v>
      </c>
      <c r="Z1992">
        <v>2.6355200000000001E-3</v>
      </c>
      <c r="AA1992">
        <v>0.99997619999999998</v>
      </c>
      <c r="AB1992">
        <v>45</v>
      </c>
      <c r="AC1992">
        <v>-0.42110000000002401</v>
      </c>
      <c r="AD1992">
        <v>-8.4113999999999994E-2</v>
      </c>
      <c r="AE1992">
        <v>-6.1999999999784398E-3</v>
      </c>
      <c r="AF1992">
        <v>5.36559536696617E-3</v>
      </c>
      <c r="AG1992">
        <v>-8.4113999999999994E-2</v>
      </c>
      <c r="AH1992">
        <v>0.40495473780789498</v>
      </c>
      <c r="AI1992">
        <v>101.733170079774</v>
      </c>
      <c r="AJ1992">
        <v>89.240883111516894</v>
      </c>
      <c r="AK1992">
        <v>0.41363304302570297</v>
      </c>
      <c r="AL1992">
        <v>93.740040859538595</v>
      </c>
      <c r="AM1992">
        <v>91.827175081624304</v>
      </c>
      <c r="AN1992">
        <v>0.99999999060563005</v>
      </c>
    </row>
    <row r="1993" spans="1:40" x14ac:dyDescent="0.25">
      <c r="A1993" t="str">
        <f>"20190305135232660"</f>
        <v>20190305135232660</v>
      </c>
      <c r="B1993" t="str">
        <f>"1551765152651180"</f>
        <v>1551765152651180</v>
      </c>
      <c r="C1993" t="s">
        <v>40</v>
      </c>
      <c r="D1993">
        <v>4.5821110000000003</v>
      </c>
      <c r="E1993">
        <v>0.51440129999999995</v>
      </c>
      <c r="F1993" t="s">
        <v>41</v>
      </c>
      <c r="G1993">
        <v>-307.64060000000001</v>
      </c>
      <c r="H1993">
        <v>1.028602</v>
      </c>
      <c r="I1993">
        <v>284.35590000000002</v>
      </c>
      <c r="J1993">
        <v>-307.23439999999999</v>
      </c>
      <c r="K1993">
        <v>1.1082809999999901</v>
      </c>
      <c r="L1993">
        <v>284.36200000000002</v>
      </c>
      <c r="M1993">
        <v>-0.99951460000000003</v>
      </c>
      <c r="N1993">
        <v>-1.4624460000000001E-2</v>
      </c>
      <c r="O1993">
        <v>-2.751257E-2</v>
      </c>
      <c r="P1993">
        <v>-0.99511309999999997</v>
      </c>
      <c r="Q1993">
        <v>-7.9119410000000001E-2</v>
      </c>
      <c r="R1993">
        <v>-5.9076799999999999E-2</v>
      </c>
      <c r="S1993">
        <v>-2.988159</v>
      </c>
      <c r="T1993">
        <v>-0.28771000000000002</v>
      </c>
      <c r="U1993">
        <v>-6.3385010000000006E-2</v>
      </c>
      <c r="V1993">
        <v>-3.1744689999999999E-2</v>
      </c>
      <c r="W1993">
        <v>-6.4504699999999998E-2</v>
      </c>
      <c r="X1993">
        <v>0.99741239999999998</v>
      </c>
      <c r="Y1993">
        <v>6.1856799999999998E-3</v>
      </c>
      <c r="Z1993">
        <v>2.5829669999999998E-3</v>
      </c>
      <c r="AA1993">
        <v>0.99997749999999996</v>
      </c>
      <c r="AB1993">
        <v>45</v>
      </c>
      <c r="AC1993">
        <v>-0.406200000000012</v>
      </c>
      <c r="AD1993">
        <v>-7.9678999999999806E-2</v>
      </c>
      <c r="AE1993">
        <v>-6.1000000000035401E-3</v>
      </c>
      <c r="AF1993">
        <v>4.8909594859861101E-3</v>
      </c>
      <c r="AG1993">
        <v>-7.9678999999999806E-2</v>
      </c>
      <c r="AH1993">
        <v>0.39116630302113697</v>
      </c>
      <c r="AI1993">
        <v>101.512529936108</v>
      </c>
      <c r="AJ1993">
        <v>89.283637849436502</v>
      </c>
      <c r="AK1993">
        <v>0.39922893325123299</v>
      </c>
      <c r="AL1993">
        <v>93.698414717790897</v>
      </c>
      <c r="AM1993">
        <v>91.822940034772103</v>
      </c>
      <c r="AN1993">
        <v>1.00000003866952</v>
      </c>
    </row>
    <row r="1994" spans="1:40" x14ac:dyDescent="0.25">
      <c r="A1994" t="str">
        <f>"20190305135232673"</f>
        <v>20190305135232673</v>
      </c>
      <c r="B1994" t="str">
        <f>"1551765152671677"</f>
        <v>1551765152671677</v>
      </c>
      <c r="C1994" t="s">
        <v>40</v>
      </c>
      <c r="D1994">
        <v>4.6115349999999999</v>
      </c>
      <c r="E1994">
        <v>0.51461299999999999</v>
      </c>
      <c r="F1994" t="s">
        <v>41</v>
      </c>
      <c r="G1994">
        <v>-308.04590000000002</v>
      </c>
      <c r="H1994">
        <v>1.030386</v>
      </c>
      <c r="I1994">
        <v>284.3458</v>
      </c>
      <c r="J1994">
        <v>-307.48930000000001</v>
      </c>
      <c r="K1994">
        <v>1.1082620000000001</v>
      </c>
      <c r="L1994">
        <v>284.35509999999999</v>
      </c>
      <c r="M1994">
        <v>-0.99952209999999997</v>
      </c>
      <c r="N1994">
        <v>-1.462277E-2</v>
      </c>
      <c r="O1994">
        <v>-2.723689E-2</v>
      </c>
      <c r="P1994">
        <v>-0.99515699999999996</v>
      </c>
      <c r="Q1994">
        <v>-7.874826E-2</v>
      </c>
      <c r="R1994">
        <v>-5.883451E-2</v>
      </c>
      <c r="S1994">
        <v>-2.9883120000000001</v>
      </c>
      <c r="T1994">
        <v>-0.28698220000000002</v>
      </c>
      <c r="U1994">
        <v>-6.0668949999999999E-2</v>
      </c>
      <c r="V1994">
        <v>-3.1778269999999997E-2</v>
      </c>
      <c r="W1994">
        <v>-6.4133350000000006E-2</v>
      </c>
      <c r="X1994">
        <v>0.99743519999999997</v>
      </c>
      <c r="Y1994">
        <v>6.8177009999999998E-3</v>
      </c>
      <c r="Z1994">
        <v>2.5880199999999999E-3</v>
      </c>
      <c r="AA1994">
        <v>0.99997340000000001</v>
      </c>
      <c r="AB1994">
        <v>45</v>
      </c>
      <c r="AC1994">
        <v>-0.55660000000000298</v>
      </c>
      <c r="AD1994">
        <v>-7.7876000000000001E-2</v>
      </c>
      <c r="AE1994">
        <v>-9.2999999999960892E-3</v>
      </c>
      <c r="AF1994">
        <v>5.7525446508459397E-3</v>
      </c>
      <c r="AG1994">
        <v>-7.7876000000000001E-2</v>
      </c>
      <c r="AH1994">
        <v>0.54596209625176995</v>
      </c>
      <c r="AI1994">
        <v>98.117461430019205</v>
      </c>
      <c r="AJ1994">
        <v>89.396323781568896</v>
      </c>
      <c r="AK1994">
        <v>0.55151824420374995</v>
      </c>
      <c r="AL1994">
        <v>93.677094067118304</v>
      </c>
      <c r="AM1994">
        <v>91.824825378661799</v>
      </c>
      <c r="AN1994">
        <v>0.99999996161272597</v>
      </c>
    </row>
    <row r="1995" spans="1:40" x14ac:dyDescent="0.25">
      <c r="A1995" t="str">
        <f>"20190305135232687"</f>
        <v>20190305135232687</v>
      </c>
      <c r="B1995" t="str">
        <f>"1551765152681435"</f>
        <v>1551765152681435</v>
      </c>
      <c r="C1995" t="s">
        <v>40</v>
      </c>
      <c r="D1995">
        <v>4.6257679999999999</v>
      </c>
      <c r="E1995">
        <v>0.51471480000000003</v>
      </c>
      <c r="F1995" t="s">
        <v>41</v>
      </c>
      <c r="G1995">
        <v>-308.44330000000002</v>
      </c>
      <c r="H1995">
        <v>1.016729</v>
      </c>
      <c r="I1995">
        <v>284.33659999999998</v>
      </c>
      <c r="J1995">
        <v>-307.75040000000001</v>
      </c>
      <c r="K1995">
        <v>1.1082449999999999</v>
      </c>
      <c r="L1995">
        <v>284.34820000000002</v>
      </c>
      <c r="M1995">
        <v>-0.99952980000000002</v>
      </c>
      <c r="N1995">
        <v>-1.462107E-2</v>
      </c>
      <c r="O1995">
        <v>-2.695347E-2</v>
      </c>
      <c r="P1995">
        <v>-0.99523070000000002</v>
      </c>
      <c r="Q1995">
        <v>-7.8381019999999996E-2</v>
      </c>
      <c r="R1995">
        <v>-5.8071110000000002E-2</v>
      </c>
      <c r="S1995">
        <v>-2.9884949999999999</v>
      </c>
      <c r="T1995">
        <v>-0.28676469999999998</v>
      </c>
      <c r="U1995">
        <v>-5.8197020000000002E-2</v>
      </c>
      <c r="V1995">
        <v>-3.1298159999999998E-2</v>
      </c>
      <c r="W1995">
        <v>-6.3766370000000003E-2</v>
      </c>
      <c r="X1995">
        <v>0.99747399999999997</v>
      </c>
      <c r="Y1995">
        <v>7.36048E-3</v>
      </c>
      <c r="Z1995">
        <v>2.592671E-3</v>
      </c>
      <c r="AA1995">
        <v>0.99996949999999996</v>
      </c>
      <c r="AB1995">
        <v>45</v>
      </c>
      <c r="AC1995">
        <v>-0.69290000000000795</v>
      </c>
      <c r="AD1995">
        <v>-9.1516000000000097E-2</v>
      </c>
      <c r="AE1995">
        <v>-1.1600000000044E-2</v>
      </c>
      <c r="AF1995">
        <v>6.9608769932291998E-3</v>
      </c>
      <c r="AG1995">
        <v>-9.1516000000000097E-2</v>
      </c>
      <c r="AH1995">
        <v>0.68108322731184801</v>
      </c>
      <c r="AI1995">
        <v>97.652504333857607</v>
      </c>
      <c r="AJ1995">
        <v>89.414440156802399</v>
      </c>
      <c r="AK1995">
        <v>0.68723940122059202</v>
      </c>
      <c r="AL1995">
        <v>93.656024200525096</v>
      </c>
      <c r="AM1995">
        <v>91.797204048296194</v>
      </c>
      <c r="AN1995">
        <v>1.0000000527191799</v>
      </c>
    </row>
    <row r="1996" spans="1:40" x14ac:dyDescent="0.25">
      <c r="A1996" t="str">
        <f>"20190305135232699"</f>
        <v>20190305135232699</v>
      </c>
      <c r="B1996" t="str">
        <f>"1551765152691196"</f>
        <v>1551765152691196</v>
      </c>
      <c r="C1996" t="s">
        <v>40</v>
      </c>
      <c r="D1996">
        <v>4.5971479999999998</v>
      </c>
      <c r="E1996">
        <v>0.51481899999999903</v>
      </c>
      <c r="F1996" t="s">
        <v>41</v>
      </c>
      <c r="G1996">
        <v>-308.84089999999998</v>
      </c>
      <c r="H1996">
        <v>1.0038549999999999</v>
      </c>
      <c r="I1996">
        <v>284.32819999999998</v>
      </c>
      <c r="J1996">
        <v>-308.02719999999999</v>
      </c>
      <c r="K1996">
        <v>1.1082270000000001</v>
      </c>
      <c r="L1996">
        <v>284.34089999999998</v>
      </c>
      <c r="M1996">
        <v>-0.99953789999999998</v>
      </c>
      <c r="N1996">
        <v>-1.461938E-2</v>
      </c>
      <c r="O1996">
        <v>-2.6652060000000002E-2</v>
      </c>
      <c r="P1996">
        <v>-0.99526079999999995</v>
      </c>
      <c r="Q1996">
        <v>-7.8278210000000001E-2</v>
      </c>
      <c r="R1996">
        <v>-5.7694990000000002E-2</v>
      </c>
      <c r="S1996">
        <v>-2.9886170000000001</v>
      </c>
      <c r="T1996">
        <v>-0.28616249999999999</v>
      </c>
      <c r="U1996">
        <v>-5.5145260000000001E-2</v>
      </c>
      <c r="V1996">
        <v>-3.1224640000000001E-2</v>
      </c>
      <c r="W1996">
        <v>-6.3663839999999999E-2</v>
      </c>
      <c r="X1996">
        <v>0.9974828</v>
      </c>
      <c r="Y1996">
        <v>8.0782600000000003E-3</v>
      </c>
      <c r="Z1996">
        <v>2.601655E-3</v>
      </c>
      <c r="AA1996">
        <v>0.99996399999999996</v>
      </c>
      <c r="AB1996">
        <v>45</v>
      </c>
      <c r="AC1996">
        <v>-0.81369999999998199</v>
      </c>
      <c r="AD1996">
        <v>-0.10437200000000001</v>
      </c>
      <c r="AE1996">
        <v>-1.26999999999952E-2</v>
      </c>
      <c r="AF1996">
        <v>8.8480707666863407E-3</v>
      </c>
      <c r="AG1996">
        <v>-0.10437200000000001</v>
      </c>
      <c r="AH1996">
        <v>0.80058083042088901</v>
      </c>
      <c r="AI1996">
        <v>97.427329228016802</v>
      </c>
      <c r="AJ1996">
        <v>89.366789145171396</v>
      </c>
      <c r="AK1996">
        <v>0.80740415454572201</v>
      </c>
      <c r="AL1996">
        <v>93.650137898544102</v>
      </c>
      <c r="AM1996">
        <v>91.792969331338199</v>
      </c>
      <c r="AN1996">
        <v>0.99999999948125695</v>
      </c>
    </row>
    <row r="1997" spans="1:40" x14ac:dyDescent="0.25">
      <c r="A1997" t="str">
        <f>"20190305135232717"</f>
        <v>20190305135232717</v>
      </c>
      <c r="B1997" t="str">
        <f>"1551765152711693"</f>
        <v>1551765152711693</v>
      </c>
      <c r="C1997" t="s">
        <v>40</v>
      </c>
      <c r="D1997">
        <v>4.5727010000000003</v>
      </c>
      <c r="E1997">
        <v>0.51495440000000003</v>
      </c>
      <c r="F1997" t="s">
        <v>41</v>
      </c>
      <c r="G1997">
        <v>-308.85329999999999</v>
      </c>
      <c r="H1997">
        <v>1.0291090000000001</v>
      </c>
      <c r="I1997">
        <v>284.32639999999998</v>
      </c>
      <c r="J1997">
        <v>-308.38080000000002</v>
      </c>
      <c r="K1997">
        <v>1.1082050000000001</v>
      </c>
      <c r="L1997">
        <v>284.33179999999999</v>
      </c>
      <c r="M1997">
        <v>-0.99954829999999995</v>
      </c>
      <c r="N1997">
        <v>-1.4617140000000001E-2</v>
      </c>
      <c r="O1997">
        <v>-2.626394E-2</v>
      </c>
      <c r="P1997">
        <v>-0.99533320000000003</v>
      </c>
      <c r="Q1997">
        <v>-7.8201960000000001E-2</v>
      </c>
      <c r="R1997">
        <v>-5.6535879999999997E-2</v>
      </c>
      <c r="S1997">
        <v>-2.9886780000000002</v>
      </c>
      <c r="T1997">
        <v>-0.28635919999999998</v>
      </c>
      <c r="U1997">
        <v>-5.3131100000000001E-2</v>
      </c>
      <c r="V1997">
        <v>-3.045424E-2</v>
      </c>
      <c r="W1997">
        <v>-6.3588779999999998E-2</v>
      </c>
      <c r="X1997">
        <v>0.99751140000000005</v>
      </c>
      <c r="Y1997">
        <v>8.3636019999999995E-3</v>
      </c>
      <c r="Z1997">
        <v>2.587981E-3</v>
      </c>
      <c r="AA1997">
        <v>0.99996169999999995</v>
      </c>
      <c r="AB1997">
        <v>45</v>
      </c>
      <c r="AC1997">
        <v>-0.472499999999968</v>
      </c>
      <c r="AD1997">
        <v>-7.9095999999999805E-2</v>
      </c>
      <c r="AE1997">
        <v>-5.4000000000087303E-3</v>
      </c>
      <c r="AF1997">
        <v>6.8217619354556999E-3</v>
      </c>
      <c r="AG1997">
        <v>-7.9095999999999805E-2</v>
      </c>
      <c r="AH1997">
        <v>0.45960135972495902</v>
      </c>
      <c r="AI1997">
        <v>99.7637225840909</v>
      </c>
      <c r="AJ1997">
        <v>89.149633785470797</v>
      </c>
      <c r="AK1997">
        <v>0.46640767951753898</v>
      </c>
      <c r="AL1997">
        <v>93.645828567882702</v>
      </c>
      <c r="AM1997">
        <v>91.748709424679504</v>
      </c>
      <c r="AN1997">
        <v>0.99999999340291301</v>
      </c>
    </row>
    <row r="1998" spans="1:40" x14ac:dyDescent="0.25">
      <c r="A1998" t="str">
        <f>"20190305135232731"</f>
        <v>20190305135232731</v>
      </c>
      <c r="B1998" t="str">
        <f>"1551765152721452"</f>
        <v>1551765152721452</v>
      </c>
      <c r="C1998" t="s">
        <v>40</v>
      </c>
      <c r="D1998">
        <v>4.6021260000000002</v>
      </c>
      <c r="E1998">
        <v>0.51504649999999996</v>
      </c>
      <c r="F1998" t="s">
        <v>41</v>
      </c>
      <c r="G1998">
        <v>-309.25450000000001</v>
      </c>
      <c r="H1998">
        <v>1.0243640000000001</v>
      </c>
      <c r="I1998">
        <v>284.31760000000003</v>
      </c>
      <c r="J1998">
        <v>-308.64</v>
      </c>
      <c r="K1998">
        <v>1.1081939999999999</v>
      </c>
      <c r="L1998">
        <v>284.3252</v>
      </c>
      <c r="M1998">
        <v>-0.99955579999999999</v>
      </c>
      <c r="N1998">
        <v>-1.46155E-2</v>
      </c>
      <c r="O1998">
        <v>-2.597557E-2</v>
      </c>
      <c r="P1998">
        <v>-0.99534210000000001</v>
      </c>
      <c r="Q1998">
        <v>-7.8661969999999998E-2</v>
      </c>
      <c r="R1998">
        <v>-5.5737200000000001E-2</v>
      </c>
      <c r="S1998">
        <v>-2.9888309999999998</v>
      </c>
      <c r="T1998">
        <v>-0.28681800000000002</v>
      </c>
      <c r="U1998">
        <v>-4.8706050000000001E-2</v>
      </c>
      <c r="V1998">
        <v>-2.994631E-2</v>
      </c>
      <c r="W1998">
        <v>-6.405023E-2</v>
      </c>
      <c r="X1998">
        <v>0.99749730000000003</v>
      </c>
      <c r="Y1998">
        <v>9.5502699999999996E-3</v>
      </c>
      <c r="Z1998">
        <v>2.6346680000000002E-3</v>
      </c>
      <c r="AA1998">
        <v>0.99995089999999998</v>
      </c>
      <c r="AB1998">
        <v>45</v>
      </c>
      <c r="AC1998">
        <v>-0.61450000000002003</v>
      </c>
      <c r="AD1998">
        <v>-8.3830000000000002E-2</v>
      </c>
      <c r="AE1998">
        <v>-7.5999999999680698E-3</v>
      </c>
      <c r="AF1998">
        <v>8.2134251587014599E-3</v>
      </c>
      <c r="AG1998">
        <v>-8.3830000000000002E-2</v>
      </c>
      <c r="AH1998">
        <v>0.60326477771305298</v>
      </c>
      <c r="AI1998">
        <v>97.910466490527796</v>
      </c>
      <c r="AJ1998">
        <v>89.219968511386497</v>
      </c>
      <c r="AK1998">
        <v>0.60911683713554998</v>
      </c>
      <c r="AL1998">
        <v>93.672321547401793</v>
      </c>
      <c r="AM1998">
        <v>91.719585585100006</v>
      </c>
      <c r="AN1998">
        <v>1.00000003847647</v>
      </c>
    </row>
    <row r="1999" spans="1:40" x14ac:dyDescent="0.25">
      <c r="A1999" t="str">
        <f>"20190305135232741"</f>
        <v>20190305135232741</v>
      </c>
      <c r="B1999" t="str">
        <f>"1551765152731212"</f>
        <v>1551765152731212</v>
      </c>
      <c r="C1999" t="s">
        <v>40</v>
      </c>
      <c r="D1999">
        <v>4.5763749999999996</v>
      </c>
      <c r="E1999">
        <v>0.51512829999999998</v>
      </c>
      <c r="F1999" t="s">
        <v>41</v>
      </c>
      <c r="G1999">
        <v>-309.65100000000001</v>
      </c>
      <c r="H1999">
        <v>1.010613</v>
      </c>
      <c r="I1999">
        <v>284.31009999999998</v>
      </c>
      <c r="J1999">
        <v>-308.88249999999999</v>
      </c>
      <c r="K1999">
        <v>1.1081799999999999</v>
      </c>
      <c r="L1999">
        <v>284.31909999999999</v>
      </c>
      <c r="M1999">
        <v>-0.99956290000000003</v>
      </c>
      <c r="N1999">
        <v>-1.461398E-2</v>
      </c>
      <c r="O1999">
        <v>-2.5701990000000001E-2</v>
      </c>
      <c r="P1999">
        <v>-0.99536820000000004</v>
      </c>
      <c r="Q1999">
        <v>-7.8795729999999994E-2</v>
      </c>
      <c r="R1999">
        <v>-5.5079580000000003E-2</v>
      </c>
      <c r="S1999">
        <v>-2.9887079999999999</v>
      </c>
      <c r="T1999">
        <v>-0.28857820000000001</v>
      </c>
      <c r="U1999">
        <v>-4.5318600000000001E-2</v>
      </c>
      <c r="V1999">
        <v>-2.9562689999999999E-2</v>
      </c>
      <c r="W1999">
        <v>-6.4184930000000001E-2</v>
      </c>
      <c r="X1999">
        <v>0.9975001</v>
      </c>
      <c r="Y1999">
        <v>1.0403509999999999E-2</v>
      </c>
      <c r="Z1999">
        <v>2.6778409999999998E-3</v>
      </c>
      <c r="AA1999">
        <v>0.99994229999999995</v>
      </c>
      <c r="AB1999">
        <v>45</v>
      </c>
      <c r="AC1999">
        <v>-0.76850000000001695</v>
      </c>
      <c r="AD1999">
        <v>-9.7566999999999904E-2</v>
      </c>
      <c r="AE1999">
        <v>-9.0000000000145502E-3</v>
      </c>
      <c r="AF1999">
        <v>1.0586449398935299E-2</v>
      </c>
      <c r="AG1999">
        <v>-9.7566999999999904E-2</v>
      </c>
      <c r="AH1999">
        <v>0.75628902235733297</v>
      </c>
      <c r="AI1999">
        <v>97.350275129842203</v>
      </c>
      <c r="AJ1999">
        <v>89.198032444270893</v>
      </c>
      <c r="AK1999">
        <v>0.76262997432443402</v>
      </c>
      <c r="AL1999">
        <v>93.680055145693998</v>
      </c>
      <c r="AM1999">
        <v>91.6975654580298</v>
      </c>
      <c r="AN1999">
        <v>1.0000000536895699</v>
      </c>
    </row>
    <row r="2000" spans="1:40" x14ac:dyDescent="0.25">
      <c r="A2000" t="str">
        <f>"20190305135232754"</f>
        <v>20190305135232754</v>
      </c>
      <c r="B2000" t="str">
        <f>"1551765152751708"</f>
        <v>1551765152751708</v>
      </c>
      <c r="C2000" t="s">
        <v>40</v>
      </c>
      <c r="D2000">
        <v>4.5458350000000003</v>
      </c>
      <c r="E2000">
        <v>0.51530129999999996</v>
      </c>
      <c r="F2000" t="s">
        <v>41</v>
      </c>
      <c r="G2000">
        <v>-309.6619</v>
      </c>
      <c r="H2000">
        <v>1.032783</v>
      </c>
      <c r="I2000">
        <v>284.30810000000002</v>
      </c>
      <c r="J2000">
        <v>-309.12119999999999</v>
      </c>
      <c r="K2000">
        <v>1.1081650000000001</v>
      </c>
      <c r="L2000">
        <v>284.31310000000002</v>
      </c>
      <c r="M2000">
        <v>-0.99956999999999996</v>
      </c>
      <c r="N2000">
        <v>-1.46125E-2</v>
      </c>
      <c r="O2000">
        <v>-2.5422799999999999E-2</v>
      </c>
      <c r="P2000">
        <v>-0.99535819999999997</v>
      </c>
      <c r="Q2000">
        <v>-7.9102530000000004E-2</v>
      </c>
      <c r="R2000">
        <v>-5.481697E-2</v>
      </c>
      <c r="S2000">
        <v>-2.9887079999999999</v>
      </c>
      <c r="T2000">
        <v>-0.28922059999999999</v>
      </c>
      <c r="U2000">
        <v>-4.2846679999999998E-2</v>
      </c>
      <c r="V2000">
        <v>-2.958208E-2</v>
      </c>
      <c r="W2000">
        <v>-6.4492450000000007E-2</v>
      </c>
      <c r="X2000">
        <v>0.99747960000000002</v>
      </c>
      <c r="Y2000">
        <v>1.0948390000000001E-2</v>
      </c>
      <c r="Z2000">
        <v>2.6919169999999998E-3</v>
      </c>
      <c r="AA2000">
        <v>0.99993650000000001</v>
      </c>
      <c r="AB2000">
        <v>45</v>
      </c>
      <c r="AC2000">
        <v>-0.54070000000001495</v>
      </c>
      <c r="AD2000">
        <v>-7.5382000000000005E-2</v>
      </c>
      <c r="AE2000">
        <v>-4.9999999999954499E-3</v>
      </c>
      <c r="AF2000">
        <v>8.5823928231418198E-3</v>
      </c>
      <c r="AG2000">
        <v>-7.5382000000000005E-2</v>
      </c>
      <c r="AH2000">
        <v>0.53034505247234898</v>
      </c>
      <c r="AI2000">
        <v>98.088653888862595</v>
      </c>
      <c r="AJ2000">
        <v>89.072882896861003</v>
      </c>
      <c r="AK2000">
        <v>0.53574432154943896</v>
      </c>
      <c r="AL2000">
        <v>93.697711656555398</v>
      </c>
      <c r="AM2000">
        <v>91.698713119864294</v>
      </c>
      <c r="AN2000">
        <v>0.99999996399014301</v>
      </c>
    </row>
    <row r="2001" spans="1:40" x14ac:dyDescent="0.25">
      <c r="A2001" t="str">
        <f>"20190305135232767"</f>
        <v>20190305135232767</v>
      </c>
      <c r="B2001" t="str">
        <f>"1551765152761468"</f>
        <v>1551765152761468</v>
      </c>
      <c r="C2001" t="s">
        <v>40</v>
      </c>
      <c r="D2001">
        <v>4.6068769999999999</v>
      </c>
      <c r="E2001">
        <v>0.51540640000000004</v>
      </c>
      <c r="F2001" t="s">
        <v>41</v>
      </c>
      <c r="G2001">
        <v>-310.05709999999999</v>
      </c>
      <c r="H2001">
        <v>1.017066</v>
      </c>
      <c r="I2001">
        <v>284.30029999999999</v>
      </c>
      <c r="J2001">
        <v>-309.37380000000002</v>
      </c>
      <c r="K2001">
        <v>1.10815</v>
      </c>
      <c r="L2001">
        <v>284.30689999999998</v>
      </c>
      <c r="M2001">
        <v>-0.99957770000000001</v>
      </c>
      <c r="N2001">
        <v>-1.4610919999999999E-2</v>
      </c>
      <c r="O2001">
        <v>-2.5121640000000001E-2</v>
      </c>
      <c r="P2001">
        <v>-0.99534089999999997</v>
      </c>
      <c r="Q2001">
        <v>-7.9618599999999998E-2</v>
      </c>
      <c r="R2001">
        <v>-5.4384729999999999E-2</v>
      </c>
      <c r="S2001">
        <v>-2.9885860000000002</v>
      </c>
      <c r="T2001">
        <v>-0.29094520000000001</v>
      </c>
      <c r="U2001">
        <v>-4.0710450000000002E-2</v>
      </c>
      <c r="V2001">
        <v>-2.9454089999999999E-2</v>
      </c>
      <c r="W2001">
        <v>-6.5009479999999994E-2</v>
      </c>
      <c r="X2001">
        <v>0.9974499</v>
      </c>
      <c r="Y2001">
        <v>1.135806E-2</v>
      </c>
      <c r="Z2001">
        <v>2.7078509999999998E-3</v>
      </c>
      <c r="AA2001">
        <v>0.99993180000000004</v>
      </c>
      <c r="AB2001">
        <v>45</v>
      </c>
      <c r="AC2001">
        <v>-0.68329999999997404</v>
      </c>
      <c r="AD2001">
        <v>-9.1083999999999901E-2</v>
      </c>
      <c r="AE2001">
        <v>-6.5999999999917201E-3</v>
      </c>
      <c r="AF2001">
        <v>1.0385017754667301E-2</v>
      </c>
      <c r="AG2001">
        <v>-9.1083999999999901E-2</v>
      </c>
      <c r="AH2001">
        <v>0.67132255362016002</v>
      </c>
      <c r="AI2001">
        <v>97.725707408932394</v>
      </c>
      <c r="AJ2001">
        <v>89.1137341840803</v>
      </c>
      <c r="AK2001">
        <v>0.67755303456545601</v>
      </c>
      <c r="AL2001">
        <v>93.727397310436501</v>
      </c>
      <c r="AM2001">
        <v>91.691418068877098</v>
      </c>
      <c r="AN2001">
        <v>1.0000000394588</v>
      </c>
    </row>
    <row r="2002" spans="1:40" x14ac:dyDescent="0.25">
      <c r="A2002" t="str">
        <f>"20190305135232782"</f>
        <v>20190305135232782</v>
      </c>
      <c r="B2002" t="str">
        <f>"1551765152771228"</f>
        <v>1551765152771228</v>
      </c>
      <c r="C2002" t="s">
        <v>40</v>
      </c>
      <c r="D2002">
        <v>4.6170920000000004</v>
      </c>
      <c r="E2002">
        <v>0.51548530000000004</v>
      </c>
      <c r="F2002" t="s">
        <v>41</v>
      </c>
      <c r="G2002">
        <v>-310.45269999999999</v>
      </c>
      <c r="H2002">
        <v>1.00247</v>
      </c>
      <c r="I2002">
        <v>284.29329999999999</v>
      </c>
      <c r="J2002">
        <v>-309.70699999999999</v>
      </c>
      <c r="K2002">
        <v>1.108123</v>
      </c>
      <c r="L2002">
        <v>284.29880000000003</v>
      </c>
      <c r="M2002">
        <v>-0.99958829999999999</v>
      </c>
      <c r="N2002">
        <v>-1.4608889999999999E-2</v>
      </c>
      <c r="O2002">
        <v>-2.469739E-2</v>
      </c>
      <c r="P2002">
        <v>-0.99534730000000005</v>
      </c>
      <c r="Q2002">
        <v>-7.963162E-2</v>
      </c>
      <c r="R2002">
        <v>-5.4247860000000002E-2</v>
      </c>
      <c r="S2002">
        <v>-2.9885250000000001</v>
      </c>
      <c r="T2002">
        <v>-0.29284829999999901</v>
      </c>
      <c r="U2002">
        <v>-3.8482669999999997E-2</v>
      </c>
      <c r="V2002">
        <v>-2.9744670000000001E-2</v>
      </c>
      <c r="W2002">
        <v>-6.5022120000000003E-2</v>
      </c>
      <c r="X2002">
        <v>0.9974404</v>
      </c>
      <c r="Y2002">
        <v>1.1676280000000001E-2</v>
      </c>
      <c r="Z2002">
        <v>2.7100700000000002E-3</v>
      </c>
      <c r="AA2002">
        <v>0.99992820000000004</v>
      </c>
      <c r="AB2002">
        <v>45</v>
      </c>
      <c r="AC2002">
        <v>-0.74569999999999903</v>
      </c>
      <c r="AD2002">
        <v>-0.105653</v>
      </c>
      <c r="AE2002">
        <v>-5.5000000000404699E-3</v>
      </c>
      <c r="AF2002">
        <v>1.26662368560939E-2</v>
      </c>
      <c r="AG2002">
        <v>-0.105653</v>
      </c>
      <c r="AH2002">
        <v>0.73093627691587704</v>
      </c>
      <c r="AI2002">
        <v>98.223620948433293</v>
      </c>
      <c r="AJ2002">
        <v>89.007233176666603</v>
      </c>
      <c r="AK2002">
        <v>0.73864120578041004</v>
      </c>
      <c r="AL2002">
        <v>93.728123262237403</v>
      </c>
      <c r="AM2002">
        <v>91.708111214641605</v>
      </c>
      <c r="AN2002">
        <v>0.99999998651743105</v>
      </c>
    </row>
    <row r="2003" spans="1:40" x14ac:dyDescent="0.25">
      <c r="A2003" t="str">
        <f>"20190305135232795"</f>
        <v>20190305135232795</v>
      </c>
      <c r="B2003" t="str">
        <f>"1551765152791724"</f>
        <v>1551765152791724</v>
      </c>
      <c r="C2003" t="s">
        <v>40</v>
      </c>
      <c r="D2003">
        <v>4.6311859999999996</v>
      </c>
      <c r="E2003">
        <v>0.51570539999999998</v>
      </c>
      <c r="F2003" t="s">
        <v>41</v>
      </c>
      <c r="G2003">
        <v>-310.46789999999999</v>
      </c>
      <c r="H2003">
        <v>1.0335049999999999</v>
      </c>
      <c r="I2003">
        <v>284.28960000000001</v>
      </c>
      <c r="J2003">
        <v>-309.94110000000001</v>
      </c>
      <c r="K2003">
        <v>1.1080989999999999</v>
      </c>
      <c r="L2003">
        <v>284.29320000000001</v>
      </c>
      <c r="M2003">
        <v>-0.99959620000000005</v>
      </c>
      <c r="N2003">
        <v>-1.4607530000000001E-2</v>
      </c>
      <c r="O2003">
        <v>-2.4375480000000001E-2</v>
      </c>
      <c r="P2003">
        <v>-0.99535180000000001</v>
      </c>
      <c r="Q2003">
        <v>-7.9509090000000004E-2</v>
      </c>
      <c r="R2003">
        <v>-5.4342759999999997E-2</v>
      </c>
      <c r="S2003">
        <v>-2.9885250000000001</v>
      </c>
      <c r="T2003">
        <v>-0.29321750000000002</v>
      </c>
      <c r="U2003">
        <v>-3.7475590000000003E-2</v>
      </c>
      <c r="V2003">
        <v>-3.0164400000000001E-2</v>
      </c>
      <c r="W2003">
        <v>-6.4898479999999995E-2</v>
      </c>
      <c r="X2003">
        <v>0.99743590000000004</v>
      </c>
      <c r="Y2003">
        <v>1.1691790000000001E-2</v>
      </c>
      <c r="Z2003">
        <v>2.6879209999999998E-3</v>
      </c>
      <c r="AA2003">
        <v>0.99992809999999999</v>
      </c>
      <c r="AB2003">
        <v>45</v>
      </c>
      <c r="AC2003">
        <v>-0.52679999999997995</v>
      </c>
      <c r="AD2003">
        <v>-7.4593999999999994E-2</v>
      </c>
      <c r="AE2003">
        <v>-3.6000000000058199E-3</v>
      </c>
      <c r="AF2003">
        <v>9.0617616599387597E-3</v>
      </c>
      <c r="AG2003">
        <v>-7.4593999999999994E-2</v>
      </c>
      <c r="AH2003">
        <v>0.51637825618855804</v>
      </c>
      <c r="AI2003">
        <v>98.218616506696407</v>
      </c>
      <c r="AJ2003">
        <v>88.994637352337904</v>
      </c>
      <c r="AK2003">
        <v>0.52181690641902201</v>
      </c>
      <c r="AL2003">
        <v>93.7210240215027</v>
      </c>
      <c r="AM2003">
        <v>91.732207769877803</v>
      </c>
      <c r="AN2003">
        <v>1.00000003917123</v>
      </c>
    </row>
    <row r="2004" spans="1:40" x14ac:dyDescent="0.25">
      <c r="A2004" t="str">
        <f>"20190305135232809"</f>
        <v>20190305135232809</v>
      </c>
      <c r="B2004" t="str">
        <f>"1551765152801483"</f>
        <v>1551765152801483</v>
      </c>
      <c r="C2004" t="s">
        <v>40</v>
      </c>
      <c r="D2004">
        <v>4.6514259999999998</v>
      </c>
      <c r="E2004">
        <v>0.51579679999999895</v>
      </c>
      <c r="F2004" t="s">
        <v>41</v>
      </c>
      <c r="G2004">
        <v>-310.86250000000001</v>
      </c>
      <c r="H2004">
        <v>1.017693</v>
      </c>
      <c r="I2004">
        <v>284.28230000000002</v>
      </c>
      <c r="J2004">
        <v>-310.21929999999998</v>
      </c>
      <c r="K2004">
        <v>1.108066</v>
      </c>
      <c r="L2004">
        <v>284.2867</v>
      </c>
      <c r="M2004">
        <v>-0.99960579999999999</v>
      </c>
      <c r="N2004">
        <v>-1.4605949999999999E-2</v>
      </c>
      <c r="O2004">
        <v>-2.3975E-2</v>
      </c>
      <c r="P2004">
        <v>-0.99536840000000004</v>
      </c>
      <c r="Q2004">
        <v>-7.9297389999999995E-2</v>
      </c>
      <c r="R2004">
        <v>-5.4346779999999997E-2</v>
      </c>
      <c r="S2004">
        <v>-2.9886170000000001</v>
      </c>
      <c r="T2004">
        <v>-0.29325459999999998</v>
      </c>
      <c r="U2004">
        <v>-3.5766600000000003E-2</v>
      </c>
      <c r="V2004">
        <v>-3.0571959999999999E-2</v>
      </c>
      <c r="W2004">
        <v>-6.4685110000000004E-2</v>
      </c>
      <c r="X2004">
        <v>0.99743729999999997</v>
      </c>
      <c r="Y2004">
        <v>1.186367E-2</v>
      </c>
      <c r="Z2004">
        <v>2.6645670000000001E-3</v>
      </c>
      <c r="AA2004">
        <v>0.99992610000000004</v>
      </c>
      <c r="AB2004">
        <v>45</v>
      </c>
      <c r="AC2004">
        <v>-0.64320000000003497</v>
      </c>
      <c r="AD2004">
        <v>-9.0372999999999995E-2</v>
      </c>
      <c r="AE2004">
        <v>-4.3999999999755303E-3</v>
      </c>
      <c r="AF2004">
        <v>1.0810228325784E-2</v>
      </c>
      <c r="AG2004">
        <v>-9.0372999999999995E-2</v>
      </c>
      <c r="AH2004">
        <v>0.63067062924958495</v>
      </c>
      <c r="AI2004">
        <v>98.153598528450402</v>
      </c>
      <c r="AJ2004">
        <v>89.017998015386695</v>
      </c>
      <c r="AK2004">
        <v>0.63720450623290703</v>
      </c>
      <c r="AL2004">
        <v>93.708773270601398</v>
      </c>
      <c r="AM2004">
        <v>91.755595122512901</v>
      </c>
      <c r="AN2004">
        <v>0.99999998781262101</v>
      </c>
    </row>
    <row r="2005" spans="1:40" x14ac:dyDescent="0.25">
      <c r="A2005" t="str">
        <f>"20190305135232830"</f>
        <v>20190305135232830</v>
      </c>
      <c r="B2005" t="str">
        <f>"1551765152821004"</f>
        <v>1551765152821004</v>
      </c>
      <c r="C2005" t="s">
        <v>40</v>
      </c>
      <c r="D2005">
        <v>4.5464520000000004</v>
      </c>
      <c r="E2005">
        <v>0.51592890000000002</v>
      </c>
      <c r="F2005" t="s">
        <v>41</v>
      </c>
      <c r="G2005">
        <v>-311.25900000000001</v>
      </c>
      <c r="H2005">
        <v>1.0061389999999999</v>
      </c>
      <c r="I2005">
        <v>284.27480000000003</v>
      </c>
      <c r="J2005">
        <v>-310.6567</v>
      </c>
      <c r="K2005">
        <v>1.107999</v>
      </c>
      <c r="L2005">
        <v>284.27679999999998</v>
      </c>
      <c r="M2005">
        <v>-0.99962269999999998</v>
      </c>
      <c r="N2005">
        <v>-1.4603680000000001E-2</v>
      </c>
      <c r="O2005">
        <v>-2.3265560000000001E-2</v>
      </c>
      <c r="P2005">
        <v>-0.99540980000000001</v>
      </c>
      <c r="Q2005">
        <v>-7.8480969999999997E-2</v>
      </c>
      <c r="R2005">
        <v>-5.4775200000000003E-2</v>
      </c>
      <c r="S2005">
        <v>-2.9887079999999999</v>
      </c>
      <c r="T2005">
        <v>-0.29306290000000002</v>
      </c>
      <c r="U2005">
        <v>-3.5034179999999998E-2</v>
      </c>
      <c r="V2005">
        <v>-3.1716040000000001E-2</v>
      </c>
      <c r="W2005">
        <v>-6.3863169999999997E-2</v>
      </c>
      <c r="X2005">
        <v>0.99745459999999997</v>
      </c>
      <c r="Y2005">
        <v>1.1404589999999999E-2</v>
      </c>
      <c r="Z2005">
        <v>2.5777679999999998E-3</v>
      </c>
      <c r="AA2005">
        <v>0.99993160000000003</v>
      </c>
      <c r="AB2005">
        <v>45</v>
      </c>
      <c r="AC2005">
        <v>-0.60230000000001305</v>
      </c>
      <c r="AD2005">
        <v>-0.10186000000000001</v>
      </c>
      <c r="AE2005">
        <v>-1.9999999999527002E-3</v>
      </c>
      <c r="AF2005">
        <v>1.16808028061271E-2</v>
      </c>
      <c r="AG2005">
        <v>-0.10186000000000001</v>
      </c>
      <c r="AH2005">
        <v>0.585439485393769</v>
      </c>
      <c r="AI2005">
        <v>99.868102822563003</v>
      </c>
      <c r="AJ2005">
        <v>88.856975090793497</v>
      </c>
      <c r="AK2005">
        <v>0.59434946943050004</v>
      </c>
      <c r="AL2005">
        <v>93.661581786279299</v>
      </c>
      <c r="AM2005">
        <v>91.821218913056995</v>
      </c>
      <c r="AN2005">
        <v>1.0000000453684399</v>
      </c>
    </row>
    <row r="2006" spans="1:40" x14ac:dyDescent="0.25">
      <c r="A2006" t="str">
        <f>"20190305135232851"</f>
        <v>20190305135232851</v>
      </c>
      <c r="B2006" t="str">
        <f>"1551765152841500"</f>
        <v>1551765152841500</v>
      </c>
      <c r="C2006" t="s">
        <v>40</v>
      </c>
      <c r="D2006">
        <v>4.6622879999999904</v>
      </c>
      <c r="E2006">
        <v>0.51613069999999905</v>
      </c>
      <c r="F2006" t="s">
        <v>41</v>
      </c>
      <c r="G2006">
        <v>-311.6628</v>
      </c>
      <c r="H2006">
        <v>1.009911</v>
      </c>
      <c r="I2006">
        <v>284.26510000000002</v>
      </c>
      <c r="J2006">
        <v>-311.06299999999999</v>
      </c>
      <c r="K2006">
        <v>1.1079209999999999</v>
      </c>
      <c r="L2006">
        <v>284.2679</v>
      </c>
      <c r="M2006">
        <v>-0.99963979999999997</v>
      </c>
      <c r="N2006">
        <v>-1.46018E-2</v>
      </c>
      <c r="O2006">
        <v>-2.2520020000000002E-2</v>
      </c>
      <c r="P2006">
        <v>-0.99547459999999999</v>
      </c>
      <c r="Q2006">
        <v>-7.756971E-2</v>
      </c>
      <c r="R2006">
        <v>-5.4895480000000003E-2</v>
      </c>
      <c r="S2006">
        <v>-2.9888309999999998</v>
      </c>
      <c r="T2006">
        <v>-0.2914445</v>
      </c>
      <c r="U2006">
        <v>-3.5461430000000002E-2</v>
      </c>
      <c r="V2006">
        <v>-3.2588800000000001E-2</v>
      </c>
      <c r="W2006">
        <v>-6.2945310000000004E-2</v>
      </c>
      <c r="X2006">
        <v>0.9974847</v>
      </c>
      <c r="Y2006">
        <v>1.0525420000000001E-2</v>
      </c>
      <c r="Z2006">
        <v>2.4512639999999999E-3</v>
      </c>
      <c r="AA2006">
        <v>0.99994159999999999</v>
      </c>
      <c r="AB2006">
        <v>45</v>
      </c>
      <c r="AC2006">
        <v>-0.59980000000001599</v>
      </c>
      <c r="AD2006">
        <v>-9.8009999999999903E-2</v>
      </c>
      <c r="AE2006">
        <v>-2.7999999999792601E-3</v>
      </c>
      <c r="AF2006">
        <v>1.0431141774511699E-2</v>
      </c>
      <c r="AG2006">
        <v>-9.8009999999999903E-2</v>
      </c>
      <c r="AH2006">
        <v>0.58411479530227794</v>
      </c>
      <c r="AI2006">
        <v>99.523574393287902</v>
      </c>
      <c r="AJ2006">
        <v>88.976918778680599</v>
      </c>
      <c r="AK2006">
        <v>0.59237223340543399</v>
      </c>
      <c r="AL2006">
        <v>93.608886656594606</v>
      </c>
      <c r="AM2006">
        <v>91.871243517861203</v>
      </c>
      <c r="AN2006">
        <v>0.99999993433526002</v>
      </c>
    </row>
    <row r="2007" spans="1:40" x14ac:dyDescent="0.25">
      <c r="A2007" t="str">
        <f>"20190305135232863"</f>
        <v>20190305135232863</v>
      </c>
      <c r="B2007" t="str">
        <f>"1551765152861022"</f>
        <v>1551765152861022</v>
      </c>
      <c r="C2007" t="s">
        <v>40</v>
      </c>
      <c r="D2007">
        <v>4.6308040000000004</v>
      </c>
      <c r="E2007">
        <v>0.51625500000000002</v>
      </c>
      <c r="F2007" t="s">
        <v>41</v>
      </c>
      <c r="G2007">
        <v>-312.065</v>
      </c>
      <c r="H2007">
        <v>1.011112</v>
      </c>
      <c r="I2007">
        <v>284.2568</v>
      </c>
      <c r="J2007">
        <v>-311.33179999999999</v>
      </c>
      <c r="K2007">
        <v>1.1078650000000001</v>
      </c>
      <c r="L2007">
        <v>284.26220000000001</v>
      </c>
      <c r="M2007">
        <v>-0.99965179999999998</v>
      </c>
      <c r="N2007">
        <v>-1.460059E-2</v>
      </c>
      <c r="O2007">
        <v>-2.1985459999999998E-2</v>
      </c>
      <c r="P2007">
        <v>-0.99552700000000005</v>
      </c>
      <c r="Q2007">
        <v>-7.7194869999999999E-2</v>
      </c>
      <c r="R2007">
        <v>-5.4471400000000003E-2</v>
      </c>
      <c r="S2007">
        <v>-2.989258</v>
      </c>
      <c r="T2007">
        <v>-0.2889332</v>
      </c>
      <c r="U2007">
        <v>-3.411865E-2</v>
      </c>
      <c r="V2007">
        <v>-3.2705159999999997E-2</v>
      </c>
      <c r="W2007">
        <v>-6.2566529999999995E-2</v>
      </c>
      <c r="X2007">
        <v>0.99750479999999997</v>
      </c>
      <c r="Y2007">
        <v>1.0446250000000001E-2</v>
      </c>
      <c r="Z2007">
        <v>2.3795790000000002E-3</v>
      </c>
      <c r="AA2007">
        <v>0.99994260000000001</v>
      </c>
      <c r="AB2007">
        <v>45</v>
      </c>
      <c r="AC2007">
        <v>-0.73320000000000995</v>
      </c>
      <c r="AD2007">
        <v>-9.6752999999999797E-2</v>
      </c>
      <c r="AE2007">
        <v>-5.4000000000087303E-3</v>
      </c>
      <c r="AF2007">
        <v>1.0539246817352599E-2</v>
      </c>
      <c r="AG2007">
        <v>-9.6752999999999797E-2</v>
      </c>
      <c r="AH2007">
        <v>0.72059415014669903</v>
      </c>
      <c r="AI2007">
        <v>97.646466503817805</v>
      </c>
      <c r="AJ2007">
        <v>89.162064652064501</v>
      </c>
      <c r="AK2007">
        <v>0.72713695268368805</v>
      </c>
      <c r="AL2007">
        <v>93.587141018191801</v>
      </c>
      <c r="AM2007">
        <v>91.8778823008508</v>
      </c>
      <c r="AN2007">
        <v>1.0000000120949499</v>
      </c>
    </row>
    <row r="2008" spans="1:40" x14ac:dyDescent="0.25">
      <c r="A2008" t="str">
        <f>"20190305135232876"</f>
        <v>20190305135232876</v>
      </c>
      <c r="B2008" t="str">
        <f>"1551765152871756"</f>
        <v>1551765152871756</v>
      </c>
      <c r="C2008" t="s">
        <v>40</v>
      </c>
      <c r="D2008">
        <v>4.6401130000000004</v>
      </c>
      <c r="E2008">
        <v>0.51631919999999998</v>
      </c>
      <c r="F2008" t="s">
        <v>41</v>
      </c>
      <c r="G2008">
        <v>-312.07799999999997</v>
      </c>
      <c r="H2008">
        <v>1.0358350000000001</v>
      </c>
      <c r="I2008">
        <v>284.25459999999998</v>
      </c>
      <c r="J2008">
        <v>-311.56659999999999</v>
      </c>
      <c r="K2008">
        <v>1.1078129999999999</v>
      </c>
      <c r="L2008">
        <v>284.25740000000002</v>
      </c>
      <c r="M2008">
        <v>-0.99966299999999997</v>
      </c>
      <c r="N2008">
        <v>-1.459978E-2</v>
      </c>
      <c r="O2008">
        <v>-2.1466929999999999E-2</v>
      </c>
      <c r="P2008">
        <v>-0.99555570000000004</v>
      </c>
      <c r="Q2008">
        <v>-7.7074379999999998E-2</v>
      </c>
      <c r="R2008">
        <v>-5.4117220000000001E-2</v>
      </c>
      <c r="S2008">
        <v>-2.9893190000000001</v>
      </c>
      <c r="T2008">
        <v>-0.28866170000000002</v>
      </c>
      <c r="U2008">
        <v>-3.17688E-2</v>
      </c>
      <c r="V2008">
        <v>-3.2875219999999997E-2</v>
      </c>
      <c r="W2008">
        <v>-6.2442049999999999E-2</v>
      </c>
      <c r="X2008">
        <v>0.99750700000000003</v>
      </c>
      <c r="Y2008">
        <v>1.0714309999999999E-2</v>
      </c>
      <c r="Z2008">
        <v>2.349589E-3</v>
      </c>
      <c r="AA2008">
        <v>0.99993989999999999</v>
      </c>
      <c r="AB2008">
        <v>45</v>
      </c>
      <c r="AC2008">
        <v>-0.51139999999997998</v>
      </c>
      <c r="AD2008">
        <v>-7.1977999999999806E-2</v>
      </c>
      <c r="AE2008">
        <v>-2.8000000000361E-3</v>
      </c>
      <c r="AF2008">
        <v>8.0211119208968007E-3</v>
      </c>
      <c r="AG2008">
        <v>-7.1977999999999806E-2</v>
      </c>
      <c r="AH2008">
        <v>0.50140975732806004</v>
      </c>
      <c r="AI2008">
        <v>98.1680419093952</v>
      </c>
      <c r="AJ2008">
        <v>89.083510728800405</v>
      </c>
      <c r="AK2008">
        <v>0.50661318129735999</v>
      </c>
      <c r="AL2008">
        <v>93.579994901583703</v>
      </c>
      <c r="AM2008">
        <v>91.887635690427601</v>
      </c>
      <c r="AN2008">
        <v>1.00000000237362</v>
      </c>
    </row>
    <row r="2009" spans="1:40" x14ac:dyDescent="0.25">
      <c r="A2009" t="str">
        <f>"20190305135232889"</f>
        <v>20190305135232889</v>
      </c>
      <c r="B2009" t="str">
        <f>"1551765152881047"</f>
        <v>1551765152881047</v>
      </c>
      <c r="C2009" t="s">
        <v>40</v>
      </c>
      <c r="D2009">
        <v>4.6338369999999998</v>
      </c>
      <c r="E2009">
        <v>0.51632199999999995</v>
      </c>
      <c r="F2009" t="s">
        <v>41</v>
      </c>
      <c r="G2009">
        <v>-312.471</v>
      </c>
      <c r="H2009">
        <v>1.0205139999999999</v>
      </c>
      <c r="I2009">
        <v>284.24860000000001</v>
      </c>
      <c r="J2009">
        <v>-311.84780000000001</v>
      </c>
      <c r="K2009">
        <v>1.107745</v>
      </c>
      <c r="L2009">
        <v>284.25189999999998</v>
      </c>
      <c r="M2009">
        <v>-0.99967700000000004</v>
      </c>
      <c r="N2009">
        <v>-1.459889E-2</v>
      </c>
      <c r="O2009">
        <v>-2.0812420000000002E-2</v>
      </c>
      <c r="P2009">
        <v>-0.99558659999999999</v>
      </c>
      <c r="Q2009">
        <v>-7.7345650000000002E-2</v>
      </c>
      <c r="R2009">
        <v>-5.3153110000000003E-2</v>
      </c>
      <c r="S2009">
        <v>-2.9894099999999999</v>
      </c>
      <c r="T2009">
        <v>-0.28871910000000001</v>
      </c>
      <c r="U2009">
        <v>-3.0181880000000001E-2</v>
      </c>
      <c r="V2009">
        <v>-3.2574069999999997E-2</v>
      </c>
      <c r="W2009">
        <v>-6.2709509999999996E-2</v>
      </c>
      <c r="X2009">
        <v>0.9975001</v>
      </c>
      <c r="Y2009">
        <v>1.0593490000000001E-2</v>
      </c>
      <c r="Z2009">
        <v>2.2898279999999998E-3</v>
      </c>
      <c r="AA2009">
        <v>0.99994130000000003</v>
      </c>
      <c r="AB2009">
        <v>45</v>
      </c>
      <c r="AC2009">
        <v>-0.62319999999999698</v>
      </c>
      <c r="AD2009">
        <v>-8.7231000000000003E-2</v>
      </c>
      <c r="AE2009">
        <v>-3.2999999999674301E-3</v>
      </c>
      <c r="AF2009">
        <v>9.4865364930498495E-3</v>
      </c>
      <c r="AG2009">
        <v>-8.7231000000000003E-2</v>
      </c>
      <c r="AH2009">
        <v>0.61115994174510502</v>
      </c>
      <c r="AI2009">
        <v>98.1220108394931</v>
      </c>
      <c r="AJ2009">
        <v>89.110715838231499</v>
      </c>
      <c r="AK2009">
        <v>0.61742668887043906</v>
      </c>
      <c r="AL2009">
        <v>93.595349326757201</v>
      </c>
      <c r="AM2009">
        <v>91.8703694687797</v>
      </c>
      <c r="AN2009">
        <v>1.0000000010904</v>
      </c>
    </row>
    <row r="2010" spans="1:40" x14ac:dyDescent="0.25">
      <c r="A2010" t="str">
        <f>"20190305135232902"</f>
        <v>20190305135232902</v>
      </c>
      <c r="B2010" t="str">
        <f>"1551765152891784"</f>
        <v>1551765152891784</v>
      </c>
      <c r="C2010" t="s">
        <v>40</v>
      </c>
      <c r="D2010">
        <v>4.6272769999999896</v>
      </c>
      <c r="E2010">
        <v>0.5163875</v>
      </c>
      <c r="F2010" t="s">
        <v>41</v>
      </c>
      <c r="G2010">
        <v>-312.86649999999997</v>
      </c>
      <c r="H2010">
        <v>1.008947</v>
      </c>
      <c r="I2010">
        <v>284.24279999999999</v>
      </c>
      <c r="J2010">
        <v>-312.09390000000002</v>
      </c>
      <c r="K2010">
        <v>1.1076790000000001</v>
      </c>
      <c r="L2010">
        <v>284.24720000000002</v>
      </c>
      <c r="M2010">
        <v>-0.99968959999999996</v>
      </c>
      <c r="N2010">
        <v>-1.459824E-2</v>
      </c>
      <c r="O2010">
        <v>-2.0192069999999999E-2</v>
      </c>
      <c r="P2010">
        <v>-0.99558650000000004</v>
      </c>
      <c r="Q2010">
        <v>-7.7795359999999994E-2</v>
      </c>
      <c r="R2010">
        <v>-5.2494029999999997E-2</v>
      </c>
      <c r="S2010">
        <v>-2.9893190000000001</v>
      </c>
      <c r="T2010">
        <v>-0.29003139999999999</v>
      </c>
      <c r="U2010">
        <v>-2.7313230000000001E-2</v>
      </c>
      <c r="V2010">
        <v>-3.2545079999999997E-2</v>
      </c>
      <c r="W2010">
        <v>-6.3155139999999999E-2</v>
      </c>
      <c r="X2010">
        <v>0.9974729</v>
      </c>
      <c r="Y2010">
        <v>1.09312E-2</v>
      </c>
      <c r="Z2010">
        <v>2.269142E-3</v>
      </c>
      <c r="AA2010">
        <v>0.99993770000000004</v>
      </c>
      <c r="AB2010">
        <v>45</v>
      </c>
      <c r="AC2010">
        <v>-0.77259999999995399</v>
      </c>
      <c r="AD2010">
        <v>-9.8732E-2</v>
      </c>
      <c r="AE2010">
        <v>-4.4000000000323702E-3</v>
      </c>
      <c r="AF2010">
        <v>1.10229448741377E-2</v>
      </c>
      <c r="AG2010">
        <v>-9.8732E-2</v>
      </c>
      <c r="AH2010">
        <v>0.76011839253286495</v>
      </c>
      <c r="AI2010">
        <v>97.399961275439097</v>
      </c>
      <c r="AJ2010">
        <v>89.169176856379806</v>
      </c>
      <c r="AK2010">
        <v>0.76658299211790804</v>
      </c>
      <c r="AL2010">
        <v>93.620932869137505</v>
      </c>
      <c r="AM2010">
        <v>91.868756995087097</v>
      </c>
      <c r="AN2010">
        <v>0.99999997008751695</v>
      </c>
    </row>
    <row r="2011" spans="1:40" x14ac:dyDescent="0.25">
      <c r="A2011" t="str">
        <f>"20190305135232919"</f>
        <v>20190305135232919</v>
      </c>
      <c r="B2011" t="str">
        <f>"1551765152911303"</f>
        <v>1551765152911303</v>
      </c>
      <c r="C2011" t="s">
        <v>40</v>
      </c>
      <c r="D2011">
        <v>4.6338609999999996</v>
      </c>
      <c r="E2011">
        <v>0.51643790000000001</v>
      </c>
      <c r="F2011" t="s">
        <v>41</v>
      </c>
      <c r="G2011">
        <v>-312.87729999999999</v>
      </c>
      <c r="H2011">
        <v>1.031164</v>
      </c>
      <c r="I2011">
        <v>284.24099999999999</v>
      </c>
      <c r="J2011">
        <v>-312.42540000000002</v>
      </c>
      <c r="K2011">
        <v>1.1075740000000001</v>
      </c>
      <c r="L2011">
        <v>284.24119999999999</v>
      </c>
      <c r="M2011">
        <v>-0.99970760000000003</v>
      </c>
      <c r="N2011">
        <v>-1.459769E-2</v>
      </c>
      <c r="O2011">
        <v>-1.9277249999999999E-2</v>
      </c>
      <c r="P2011">
        <v>-0.99561390000000005</v>
      </c>
      <c r="Q2011">
        <v>-7.8425919999999996E-2</v>
      </c>
      <c r="R2011">
        <v>-5.1011859999999999E-2</v>
      </c>
      <c r="S2011">
        <v>-2.9891969999999999</v>
      </c>
      <c r="T2011">
        <v>-0.29205730000000002</v>
      </c>
      <c r="U2011">
        <v>-2.478027E-2</v>
      </c>
      <c r="V2011">
        <v>-3.1990640000000001E-2</v>
      </c>
      <c r="W2011">
        <v>-6.3780770000000001E-2</v>
      </c>
      <c r="X2011">
        <v>0.99745110000000003</v>
      </c>
      <c r="Y2011">
        <v>1.086463E-2</v>
      </c>
      <c r="Z2011">
        <v>2.206988E-3</v>
      </c>
      <c r="AA2011">
        <v>0.99993849999999995</v>
      </c>
      <c r="AB2011">
        <v>45</v>
      </c>
      <c r="AC2011">
        <v>-0.451899999999966</v>
      </c>
      <c r="AD2011">
        <v>-7.6410000000000006E-2</v>
      </c>
      <c r="AE2011">
        <v>-2.0000000000663901E-4</v>
      </c>
      <c r="AF2011">
        <v>8.2757502984960197E-3</v>
      </c>
      <c r="AG2011">
        <v>-7.6410000000000006E-2</v>
      </c>
      <c r="AH2011">
        <v>0.43926133994517502</v>
      </c>
      <c r="AI2011">
        <v>99.866207804384899</v>
      </c>
      <c r="AJ2011">
        <v>88.920666511387296</v>
      </c>
      <c r="AK2011">
        <v>0.44593441324194</v>
      </c>
      <c r="AL2011">
        <v>93.656850980852894</v>
      </c>
      <c r="AM2011">
        <v>91.836982855670399</v>
      </c>
      <c r="AN2011">
        <v>1.0000000422802999</v>
      </c>
    </row>
    <row r="2012" spans="1:40" x14ac:dyDescent="0.25">
      <c r="A2012" t="str">
        <f>"20190305135232931"</f>
        <v>20190305135232931</v>
      </c>
      <c r="B2012" t="str">
        <f>"1551765152921063"</f>
        <v>1551765152921063</v>
      </c>
      <c r="C2012" t="s">
        <v>40</v>
      </c>
      <c r="D2012">
        <v>4.6249830000000003</v>
      </c>
      <c r="E2012">
        <v>0.51645799999999997</v>
      </c>
      <c r="F2012" t="s">
        <v>41</v>
      </c>
      <c r="G2012">
        <v>-313.27460000000002</v>
      </c>
      <c r="H2012">
        <v>1.0236749999999999</v>
      </c>
      <c r="I2012">
        <v>284.23570000000001</v>
      </c>
      <c r="J2012">
        <v>-312.68450000000001</v>
      </c>
      <c r="K2012">
        <v>1.107499</v>
      </c>
      <c r="L2012">
        <v>284.23669999999998</v>
      </c>
      <c r="M2012">
        <v>-0.99972209999999995</v>
      </c>
      <c r="N2012">
        <v>-1.4597290000000001E-2</v>
      </c>
      <c r="O2012">
        <v>-1.851063E-2</v>
      </c>
      <c r="P2012">
        <v>-0.99567059999999996</v>
      </c>
      <c r="Q2012">
        <v>-7.8617980000000004E-2</v>
      </c>
      <c r="R2012">
        <v>-4.9592190000000001E-2</v>
      </c>
      <c r="S2012">
        <v>-2.9889220000000001</v>
      </c>
      <c r="T2012">
        <v>-0.29530790000000001</v>
      </c>
      <c r="U2012">
        <v>-1.986694E-2</v>
      </c>
      <c r="V2012">
        <v>-3.1346739999999998E-2</v>
      </c>
      <c r="W2012">
        <v>-6.3969079999999998E-2</v>
      </c>
      <c r="X2012">
        <v>0.99745950000000005</v>
      </c>
      <c r="Y2012">
        <v>1.1735560000000001E-2</v>
      </c>
      <c r="Z2012">
        <v>2.2188500000000001E-3</v>
      </c>
      <c r="AA2012">
        <v>0.9999287</v>
      </c>
      <c r="AB2012">
        <v>45</v>
      </c>
      <c r="AC2012">
        <v>-0.59010000000000595</v>
      </c>
      <c r="AD2012">
        <v>-8.3824000000000107E-2</v>
      </c>
      <c r="AE2012">
        <v>-9.9999999997635292E-4</v>
      </c>
      <c r="AF2012">
        <v>9.7281604582721594E-3</v>
      </c>
      <c r="AG2012">
        <v>-8.3824000000000107E-2</v>
      </c>
      <c r="AH2012">
        <v>0.57834732733587102</v>
      </c>
      <c r="AI2012">
        <v>98.245708648742493</v>
      </c>
      <c r="AJ2012">
        <v>89.036340358268802</v>
      </c>
      <c r="AK2012">
        <v>0.584471326173018</v>
      </c>
      <c r="AL2012">
        <v>93.667662369861503</v>
      </c>
      <c r="AM2012">
        <v>91.800017926254796</v>
      </c>
      <c r="AN2012">
        <v>1.0000000577224599</v>
      </c>
    </row>
    <row r="2013" spans="1:40" x14ac:dyDescent="0.25">
      <c r="A2013" t="str">
        <f>"20190305135232943"</f>
        <v>20190305135232943</v>
      </c>
      <c r="B2013" t="str">
        <f>"1551765152941560"</f>
        <v>1551765152941560</v>
      </c>
      <c r="C2013" t="s">
        <v>40</v>
      </c>
      <c r="D2013">
        <v>4.6239679999999996</v>
      </c>
      <c r="E2013">
        <v>0.51652690000000001</v>
      </c>
      <c r="F2013" t="s">
        <v>41</v>
      </c>
      <c r="G2013">
        <v>-313.66849999999999</v>
      </c>
      <c r="H2013">
        <v>1.009949</v>
      </c>
      <c r="I2013">
        <v>284.23200000000003</v>
      </c>
      <c r="J2013">
        <v>-312.93259999999998</v>
      </c>
      <c r="K2013">
        <v>1.1074280000000001</v>
      </c>
      <c r="L2013">
        <v>284.23259999999999</v>
      </c>
      <c r="M2013">
        <v>-0.99973619999999996</v>
      </c>
      <c r="N2013">
        <v>-1.459685E-2</v>
      </c>
      <c r="O2013">
        <v>-1.774071E-2</v>
      </c>
      <c r="P2013">
        <v>-0.99573120000000004</v>
      </c>
      <c r="Q2013">
        <v>-7.8390210000000002E-2</v>
      </c>
      <c r="R2013">
        <v>-4.8731839999999998E-2</v>
      </c>
      <c r="S2013">
        <v>-2.9888919999999999</v>
      </c>
      <c r="T2013">
        <v>-0.29638109999999901</v>
      </c>
      <c r="U2013">
        <v>-1.5350340000000001E-2</v>
      </c>
      <c r="V2013">
        <v>-3.1263970000000002E-2</v>
      </c>
      <c r="W2013">
        <v>-6.373595E-2</v>
      </c>
      <c r="X2013">
        <v>0.9974769</v>
      </c>
      <c r="Y2013">
        <v>1.2473959999999999E-2</v>
      </c>
      <c r="Z2013">
        <v>2.2045860000000001E-3</v>
      </c>
      <c r="AA2013">
        <v>0.99991980000000003</v>
      </c>
      <c r="AB2013">
        <v>45</v>
      </c>
      <c r="AC2013">
        <v>-0.73590000000001499</v>
      </c>
      <c r="AD2013">
        <v>-9.7479000000000093E-2</v>
      </c>
      <c r="AE2013">
        <v>-5.9999999996307397E-4</v>
      </c>
      <c r="AF2013">
        <v>1.2242069855767399E-2</v>
      </c>
      <c r="AG2013">
        <v>-9.7479000000000093E-2</v>
      </c>
      <c r="AH2013">
        <v>0.72310699205054296</v>
      </c>
      <c r="AI2013">
        <v>97.676431611198893</v>
      </c>
      <c r="AJ2013">
        <v>89.030085532014894</v>
      </c>
      <c r="AK2013">
        <v>0.72975046808326005</v>
      </c>
      <c r="AL2013">
        <v>93.654278135290994</v>
      </c>
      <c r="AM2013">
        <v>91.795236858356105</v>
      </c>
      <c r="AN2013">
        <v>0.99999993658808395</v>
      </c>
    </row>
    <row r="2014" spans="1:40" x14ac:dyDescent="0.25">
      <c r="A2014" t="str">
        <f>"20190305135232956"</f>
        <v>20190305135232956</v>
      </c>
      <c r="B2014" t="str">
        <f>"1551765152951321"</f>
        <v>1551765152951321</v>
      </c>
      <c r="C2014" t="s">
        <v>40</v>
      </c>
      <c r="D2014">
        <v>4.6279409999999999</v>
      </c>
      <c r="E2014">
        <v>0.51653269999999996</v>
      </c>
      <c r="F2014" t="s">
        <v>41</v>
      </c>
      <c r="G2014">
        <v>-313.68</v>
      </c>
      <c r="H2014">
        <v>1.0332269999999999</v>
      </c>
      <c r="I2014">
        <v>284.22989999999999</v>
      </c>
      <c r="J2014">
        <v>-313.16210000000001</v>
      </c>
      <c r="K2014">
        <v>1.1073599999999999</v>
      </c>
      <c r="L2014">
        <v>284.22910000000002</v>
      </c>
      <c r="M2014">
        <v>-0.99974949999999996</v>
      </c>
      <c r="N2014">
        <v>-1.459675E-2</v>
      </c>
      <c r="O2014">
        <v>-1.6970760000000001E-2</v>
      </c>
      <c r="P2014">
        <v>-0.99578040000000001</v>
      </c>
      <c r="Q2014">
        <v>-7.8383670000000003E-2</v>
      </c>
      <c r="R2014">
        <v>-4.7724740000000002E-2</v>
      </c>
      <c r="S2014">
        <v>-2.9888919999999999</v>
      </c>
      <c r="T2014">
        <v>-0.29689110000000002</v>
      </c>
      <c r="U2014">
        <v>-1.2268070000000001E-2</v>
      </c>
      <c r="V2014">
        <v>-3.103475E-2</v>
      </c>
      <c r="W2014">
        <v>-6.3724790000000003E-2</v>
      </c>
      <c r="X2014">
        <v>0.99748490000000001</v>
      </c>
      <c r="Y2014">
        <v>1.27358E-2</v>
      </c>
      <c r="Z2014">
        <v>2.158484E-3</v>
      </c>
      <c r="AA2014">
        <v>0.99991660000000004</v>
      </c>
      <c r="AB2014">
        <v>45</v>
      </c>
      <c r="AC2014">
        <v>-0.51789999999999703</v>
      </c>
      <c r="AD2014">
        <v>-7.4133000000000004E-2</v>
      </c>
      <c r="AE2014">
        <v>7.9999999996971296E-4</v>
      </c>
      <c r="AF2014">
        <v>9.3974291077246301E-3</v>
      </c>
      <c r="AG2014">
        <v>-7.4133000000000004E-2</v>
      </c>
      <c r="AH2014">
        <v>0.50741516392233499</v>
      </c>
      <c r="AI2014">
        <v>98.310660565954606</v>
      </c>
      <c r="AJ2014">
        <v>88.938992137686697</v>
      </c>
      <c r="AK2014">
        <v>0.51288805985435604</v>
      </c>
      <c r="AL2014">
        <v>93.653636941509504</v>
      </c>
      <c r="AM2014">
        <v>91.782068843377701</v>
      </c>
      <c r="AN2014">
        <v>1.0000000651480501</v>
      </c>
    </row>
    <row r="2015" spans="1:40" x14ac:dyDescent="0.25">
      <c r="A2015" t="str">
        <f>"20190305135232973"</f>
        <v>20190305135232973</v>
      </c>
      <c r="B2015" t="str">
        <f>"1551765152961079"</f>
        <v>1551765152961079</v>
      </c>
      <c r="C2015" t="s">
        <v>40</v>
      </c>
      <c r="D2015">
        <v>4.6573849999999997</v>
      </c>
      <c r="E2015">
        <v>0.51657059999999999</v>
      </c>
      <c r="F2015" t="s">
        <v>41</v>
      </c>
      <c r="G2015">
        <v>-314.07229999999998</v>
      </c>
      <c r="H2015">
        <v>1.01681</v>
      </c>
      <c r="I2015">
        <v>284.22620000000001</v>
      </c>
      <c r="J2015">
        <v>-313.51220000000001</v>
      </c>
      <c r="K2015">
        <v>1.107259</v>
      </c>
      <c r="L2015">
        <v>284.22410000000002</v>
      </c>
      <c r="M2015">
        <v>-0.99976960000000004</v>
      </c>
      <c r="N2015">
        <v>-1.459652E-2</v>
      </c>
      <c r="O2015">
        <v>-1.574832E-2</v>
      </c>
      <c r="P2015">
        <v>-0.99589660000000002</v>
      </c>
      <c r="Q2015">
        <v>-7.8056860000000006E-2</v>
      </c>
      <c r="R2015">
        <v>-4.5798949999999998E-2</v>
      </c>
      <c r="S2015">
        <v>-2.988861</v>
      </c>
      <c r="T2015">
        <v>-0.29727940000000003</v>
      </c>
      <c r="U2015">
        <v>-9.1552730000000002E-3</v>
      </c>
      <c r="V2015">
        <v>-3.0340949999999998E-2</v>
      </c>
      <c r="W2015">
        <v>-6.3392039999999997E-2</v>
      </c>
      <c r="X2015">
        <v>0.99752739999999995</v>
      </c>
      <c r="Y2015">
        <v>1.2559509999999999E-2</v>
      </c>
      <c r="Z2015">
        <v>2.0480289999999998E-3</v>
      </c>
      <c r="AA2015">
        <v>0.99991909999999895</v>
      </c>
      <c r="AB2015">
        <v>45</v>
      </c>
      <c r="AC2015">
        <v>-0.56009999999997695</v>
      </c>
      <c r="AD2015">
        <v>-9.0449000000000002E-2</v>
      </c>
      <c r="AE2015">
        <v>2.0999999999844398E-3</v>
      </c>
      <c r="AF2015">
        <v>1.0643746859920301E-2</v>
      </c>
      <c r="AG2015">
        <v>-9.0449000000000002E-2</v>
      </c>
      <c r="AH2015">
        <v>0.54576511889121304</v>
      </c>
      <c r="AI2015">
        <v>99.408273937839397</v>
      </c>
      <c r="AJ2015">
        <v>88.882734617715499</v>
      </c>
      <c r="AK2015">
        <v>0.55331173487154395</v>
      </c>
      <c r="AL2015">
        <v>93.634533314889694</v>
      </c>
      <c r="AM2015">
        <v>91.742180301925501</v>
      </c>
      <c r="AN2015">
        <v>1.0000000188665099</v>
      </c>
    </row>
    <row r="2016" spans="1:40" x14ac:dyDescent="0.25">
      <c r="A2016" t="str">
        <f>"20190305135232987"</f>
        <v>20190305135232987</v>
      </c>
      <c r="B2016" t="str">
        <f>"1551765152981576"</f>
        <v>1551765152981576</v>
      </c>
      <c r="C2016" t="s">
        <v>40</v>
      </c>
      <c r="D2016">
        <v>4.636158</v>
      </c>
      <c r="E2016">
        <v>0.51658249999999994</v>
      </c>
      <c r="F2016" t="s">
        <v>41</v>
      </c>
      <c r="G2016">
        <v>-314.47019999999998</v>
      </c>
      <c r="H2016">
        <v>1.0121659999999999</v>
      </c>
      <c r="I2016">
        <v>284.22329999999999</v>
      </c>
      <c r="J2016">
        <v>-313.78449999999998</v>
      </c>
      <c r="K2016">
        <v>1.1071789999999999</v>
      </c>
      <c r="L2016">
        <v>284.22039999999998</v>
      </c>
      <c r="M2016">
        <v>-0.99978460000000002</v>
      </c>
      <c r="N2016">
        <v>-1.459623E-2</v>
      </c>
      <c r="O2016">
        <v>-1.4754639999999999E-2</v>
      </c>
      <c r="P2016">
        <v>-0.99594950000000004</v>
      </c>
      <c r="Q2016">
        <v>-7.8102950000000004E-2</v>
      </c>
      <c r="R2016">
        <v>-4.4554200000000002E-2</v>
      </c>
      <c r="S2016">
        <v>-2.988953</v>
      </c>
      <c r="T2016">
        <v>-0.29674699999999998</v>
      </c>
      <c r="U2016">
        <v>-3.0212400000000001E-3</v>
      </c>
      <c r="V2016">
        <v>-3.0098759999999999E-2</v>
      </c>
      <c r="W2016">
        <v>-6.343327E-2</v>
      </c>
      <c r="X2016">
        <v>0.99753210000000003</v>
      </c>
      <c r="Y2016">
        <v>1.361591E-2</v>
      </c>
      <c r="Z2016">
        <v>2.0201949999999998E-3</v>
      </c>
      <c r="AA2016">
        <v>0.99990520000000005</v>
      </c>
      <c r="AB2016">
        <v>45</v>
      </c>
      <c r="AC2016">
        <v>-0.68569999999999698</v>
      </c>
      <c r="AD2016">
        <v>-9.5013000000000195E-2</v>
      </c>
      <c r="AE2016">
        <v>2.9000000000110001E-3</v>
      </c>
      <c r="AF2016">
        <v>1.2772787654053101E-2</v>
      </c>
      <c r="AG2016">
        <v>-9.5013000000000195E-2</v>
      </c>
      <c r="AH2016">
        <v>0.67266766369824305</v>
      </c>
      <c r="AI2016">
        <v>98.038302030555599</v>
      </c>
      <c r="AJ2016">
        <v>88.912183639335794</v>
      </c>
      <c r="AK2016">
        <v>0.67946478941789801</v>
      </c>
      <c r="AL2016">
        <v>93.636900442277707</v>
      </c>
      <c r="AM2016">
        <v>91.728274058375106</v>
      </c>
      <c r="AN2016">
        <v>1.0000000028134199</v>
      </c>
    </row>
    <row r="2017" spans="1:40" x14ac:dyDescent="0.25">
      <c r="A2017" t="str">
        <f>"20190305135232999"</f>
        <v>20190305135232999</v>
      </c>
      <c r="B2017" t="str">
        <f>"1551765152991335"</f>
        <v>1551765152991335</v>
      </c>
      <c r="C2017" t="s">
        <v>40</v>
      </c>
      <c r="D2017">
        <v>4.6340219999999999</v>
      </c>
      <c r="E2017">
        <v>0.51660059999999997</v>
      </c>
      <c r="F2017" t="s">
        <v>41</v>
      </c>
      <c r="G2017">
        <v>-314.86399999999998</v>
      </c>
      <c r="H2017">
        <v>0.99964790000000003</v>
      </c>
      <c r="I2017">
        <v>284.2208</v>
      </c>
      <c r="J2017">
        <v>-314.04180000000002</v>
      </c>
      <c r="K2017">
        <v>1.107108</v>
      </c>
      <c r="L2017">
        <v>284.21730000000002</v>
      </c>
      <c r="M2017">
        <v>-0.99979870000000004</v>
      </c>
      <c r="N2017">
        <v>-1.459592E-2</v>
      </c>
      <c r="O2017">
        <v>-1.37673E-2</v>
      </c>
      <c r="P2017">
        <v>-0.99599559999999998</v>
      </c>
      <c r="Q2017">
        <v>-7.7933310000000006E-2</v>
      </c>
      <c r="R2017">
        <v>-4.380974E-2</v>
      </c>
      <c r="S2017">
        <v>-2.9888919999999999</v>
      </c>
      <c r="T2017">
        <v>-0.29773329999999998</v>
      </c>
      <c r="U2017">
        <v>9.765625E-4</v>
      </c>
      <c r="V2017">
        <v>-3.0348819999999999E-2</v>
      </c>
      <c r="W2017">
        <v>-6.3257629999999995E-2</v>
      </c>
      <c r="X2017">
        <v>0.99753559999999997</v>
      </c>
      <c r="Y2017">
        <v>1.396653E-2</v>
      </c>
      <c r="Z2017">
        <v>1.9635799999999999E-3</v>
      </c>
      <c r="AA2017">
        <v>0.99990049999999997</v>
      </c>
      <c r="AB2017">
        <v>45</v>
      </c>
      <c r="AC2017">
        <v>-0.82220000000000903</v>
      </c>
      <c r="AD2017">
        <v>-0.1074601</v>
      </c>
      <c r="AE2017">
        <v>3.4999999999740798E-3</v>
      </c>
      <c r="AF2017">
        <v>1.4571442772161301E-2</v>
      </c>
      <c r="AG2017">
        <v>-0.1074601</v>
      </c>
      <c r="AH2017">
        <v>0.80826727234965701</v>
      </c>
      <c r="AI2017">
        <v>97.571913750692303</v>
      </c>
      <c r="AJ2017">
        <v>88.967183541342393</v>
      </c>
      <c r="AK2017">
        <v>0.81550964653278502</v>
      </c>
      <c r="AL2017">
        <v>93.626817039269596</v>
      </c>
      <c r="AM2017">
        <v>91.742617603442696</v>
      </c>
      <c r="AN2017">
        <v>0.99999992594798104</v>
      </c>
    </row>
    <row r="2018" spans="1:40" x14ac:dyDescent="0.25">
      <c r="A2018" t="str">
        <f>"20190305135233020"</f>
        <v>20190305135233020</v>
      </c>
      <c r="B2018" t="str">
        <f>"1551765153011831"</f>
        <v>1551765153011831</v>
      </c>
      <c r="C2018" t="s">
        <v>40</v>
      </c>
      <c r="D2018">
        <v>4.6071479999999996</v>
      </c>
      <c r="E2018">
        <v>0.51666279999999998</v>
      </c>
      <c r="F2018" t="s">
        <v>41</v>
      </c>
      <c r="G2018">
        <v>-314.8759</v>
      </c>
      <c r="H2018">
        <v>1.0239879999999999</v>
      </c>
      <c r="I2018">
        <v>284.2183</v>
      </c>
      <c r="J2018">
        <v>-314.4606</v>
      </c>
      <c r="K2018">
        <v>1.107</v>
      </c>
      <c r="L2018">
        <v>284.21289999999999</v>
      </c>
      <c r="M2018">
        <v>-0.99982009999999999</v>
      </c>
      <c r="N2018">
        <v>-1.4595230000000001E-2</v>
      </c>
      <c r="O2018">
        <v>-1.211067E-2</v>
      </c>
      <c r="P2018">
        <v>-0.99601139999999999</v>
      </c>
      <c r="Q2018">
        <v>-7.8504840000000006E-2</v>
      </c>
      <c r="R2018">
        <v>-4.2412400000000003E-2</v>
      </c>
      <c r="S2018">
        <v>-2.9888919999999999</v>
      </c>
      <c r="T2018">
        <v>-0.2978615</v>
      </c>
      <c r="U2018">
        <v>3.2653809999999999E-3</v>
      </c>
      <c r="V2018">
        <v>-3.0621220000000001E-2</v>
      </c>
      <c r="W2018">
        <v>-6.3821409999999995E-2</v>
      </c>
      <c r="X2018">
        <v>0.99749140000000003</v>
      </c>
      <c r="Y2018">
        <v>1.308631E-2</v>
      </c>
      <c r="Z2018">
        <v>1.77373299999999E-3</v>
      </c>
      <c r="AA2018">
        <v>0.99991280000000005</v>
      </c>
      <c r="AB2018">
        <v>45</v>
      </c>
      <c r="AC2018">
        <v>-0.415300000000002</v>
      </c>
      <c r="AD2018">
        <v>-8.3012000000000002E-2</v>
      </c>
      <c r="AE2018">
        <v>5.4000000000087303E-3</v>
      </c>
      <c r="AF2018">
        <v>1.0029069607640301E-2</v>
      </c>
      <c r="AG2018">
        <v>-8.3012000000000002E-2</v>
      </c>
      <c r="AH2018">
        <v>0.399255078363285</v>
      </c>
      <c r="AI2018">
        <v>101.741835415418</v>
      </c>
      <c r="AJ2018">
        <v>88.561063896544297</v>
      </c>
      <c r="AK2018">
        <v>0.40791689347227</v>
      </c>
      <c r="AL2018">
        <v>93.659184528053402</v>
      </c>
      <c r="AM2018">
        <v>91.758326794023105</v>
      </c>
      <c r="AN2018">
        <v>0.99999996228131705</v>
      </c>
    </row>
    <row r="2019" spans="1:40" x14ac:dyDescent="0.25">
      <c r="A2019" t="str">
        <f>"20190305135233044"</f>
        <v>20190305135233044</v>
      </c>
      <c r="B2019" t="str">
        <f>"1551765153031351"</f>
        <v>1551765153031351</v>
      </c>
      <c r="C2019" t="s">
        <v>40</v>
      </c>
      <c r="D2019">
        <v>4.6321640000000004</v>
      </c>
      <c r="E2019">
        <v>0.51665109999999903</v>
      </c>
      <c r="F2019" t="s">
        <v>41</v>
      </c>
      <c r="G2019">
        <v>-315.27609999999999</v>
      </c>
      <c r="H2019">
        <v>1.0250159999999999</v>
      </c>
      <c r="I2019">
        <v>284.21519999999998</v>
      </c>
      <c r="J2019">
        <v>-314.9015</v>
      </c>
      <c r="K2019">
        <v>1.106889</v>
      </c>
      <c r="L2019">
        <v>284.20890000000003</v>
      </c>
      <c r="M2019">
        <v>-0.99984059999999997</v>
      </c>
      <c r="N2019">
        <v>-1.459397E-2</v>
      </c>
      <c r="O2019">
        <v>-1.0304229999999999E-2</v>
      </c>
      <c r="P2019">
        <v>-0.99603560000000002</v>
      </c>
      <c r="Q2019">
        <v>-7.8852539999999999E-2</v>
      </c>
      <c r="R2019">
        <v>-4.1178699999999999E-2</v>
      </c>
      <c r="S2019">
        <v>-2.9886780000000002</v>
      </c>
      <c r="T2019">
        <v>-0.30052669999999998</v>
      </c>
      <c r="U2019">
        <v>7.9956049999999994E-3</v>
      </c>
      <c r="V2019">
        <v>-3.1204619999999999E-2</v>
      </c>
      <c r="W2019">
        <v>-6.4161090000000004E-2</v>
      </c>
      <c r="X2019">
        <v>0.99745150000000005</v>
      </c>
      <c r="Y2019">
        <v>1.286811E-2</v>
      </c>
      <c r="Z2019">
        <v>1.622982E-3</v>
      </c>
      <c r="AA2019">
        <v>0.99991589999999997</v>
      </c>
      <c r="AB2019">
        <v>45</v>
      </c>
      <c r="AC2019">
        <v>-0.374599999999986</v>
      </c>
      <c r="AD2019">
        <v>-8.1873000000000001E-2</v>
      </c>
      <c r="AE2019">
        <v>6.2999999999533403E-3</v>
      </c>
      <c r="AF2019">
        <v>9.6969577083431194E-3</v>
      </c>
      <c r="AG2019">
        <v>-8.1873000000000001E-2</v>
      </c>
      <c r="AH2019">
        <v>0.35744522326857597</v>
      </c>
      <c r="AI2019">
        <v>102.89649764537801</v>
      </c>
      <c r="AJ2019">
        <v>88.446031791761698</v>
      </c>
      <c r="AK2019">
        <v>0.36683007885848101</v>
      </c>
      <c r="AL2019">
        <v>93.678686832837997</v>
      </c>
      <c r="AM2019">
        <v>91.791876690808294</v>
      </c>
      <c r="AN2019">
        <v>0.99999993431578904</v>
      </c>
    </row>
    <row r="2020" spans="1:40" x14ac:dyDescent="0.25">
      <c r="A2020" t="str">
        <f>"20190305135233062"</f>
        <v>20190305135233062</v>
      </c>
      <c r="B2020" t="str">
        <f>"1551765153051847"</f>
        <v>1551765153051847</v>
      </c>
      <c r="C2020" t="s">
        <v>40</v>
      </c>
      <c r="D2020">
        <v>4.4737850000000003</v>
      </c>
      <c r="E2020">
        <v>0.51660059999999997</v>
      </c>
      <c r="F2020" t="s">
        <v>41</v>
      </c>
      <c r="G2020">
        <v>-315.6771</v>
      </c>
      <c r="H2020">
        <v>1.0284740000000001</v>
      </c>
      <c r="I2020">
        <v>284.21199999999999</v>
      </c>
      <c r="J2020">
        <v>-315.29500000000002</v>
      </c>
      <c r="K2020">
        <v>1.1068150000000001</v>
      </c>
      <c r="L2020">
        <v>284.20609999999999</v>
      </c>
      <c r="M2020">
        <v>-0.99985610000000003</v>
      </c>
      <c r="N2020">
        <v>-1.459244E-2</v>
      </c>
      <c r="O2020">
        <v>-8.6517720000000003E-3</v>
      </c>
      <c r="P2020">
        <v>-0.99603339999999996</v>
      </c>
      <c r="Q2020">
        <v>-7.9394069999999997E-2</v>
      </c>
      <c r="R2020">
        <v>-4.0172430000000002E-2</v>
      </c>
      <c r="S2020">
        <v>-2.9884949999999999</v>
      </c>
      <c r="T2020">
        <v>-0.30221049999999999</v>
      </c>
      <c r="U2020">
        <v>1.153564E-2</v>
      </c>
      <c r="V2020">
        <v>-3.1858919999999999E-2</v>
      </c>
      <c r="W2020">
        <v>-6.4696390000000006E-2</v>
      </c>
      <c r="X2020">
        <v>0.99739630000000001</v>
      </c>
      <c r="Y2020">
        <v>1.2407710000000001E-2</v>
      </c>
      <c r="Z2020">
        <v>1.463254E-3</v>
      </c>
      <c r="AA2020">
        <v>0.99992199999999998</v>
      </c>
      <c r="AB2020">
        <v>45</v>
      </c>
      <c r="AC2020">
        <v>-0.38209999999997901</v>
      </c>
      <c r="AD2020">
        <v>-7.8340999999999994E-2</v>
      </c>
      <c r="AE2020">
        <v>5.8999999999968999E-3</v>
      </c>
      <c r="AF2020">
        <v>8.8346845798944699E-3</v>
      </c>
      <c r="AG2020">
        <v>-7.8340999999999994E-2</v>
      </c>
      <c r="AH2020">
        <v>0.36662670068374298</v>
      </c>
      <c r="AI2020">
        <v>102.058204639823</v>
      </c>
      <c r="AJ2020">
        <v>88.619598094089497</v>
      </c>
      <c r="AK2020">
        <v>0.37500733537741998</v>
      </c>
      <c r="AL2020">
        <v>93.709420891487497</v>
      </c>
      <c r="AM2020">
        <v>91.829524758777097</v>
      </c>
      <c r="AN2020">
        <v>0.99999999645814397</v>
      </c>
    </row>
    <row r="2021" spans="1:40" x14ac:dyDescent="0.25">
      <c r="A2021" t="str">
        <f>"20190305135233077"</f>
        <v>20190305135233077</v>
      </c>
      <c r="B2021" t="str">
        <f>"1551765153071367"</f>
        <v>1551765153071367</v>
      </c>
      <c r="C2021" t="s">
        <v>40</v>
      </c>
      <c r="D2021">
        <v>4.4989189999999999</v>
      </c>
      <c r="E2021">
        <v>0.5163354</v>
      </c>
      <c r="F2021" t="s">
        <v>41</v>
      </c>
      <c r="G2021">
        <v>-316.07560000000001</v>
      </c>
      <c r="H2021">
        <v>1.027377</v>
      </c>
      <c r="I2021">
        <v>284.20999999999998</v>
      </c>
      <c r="J2021">
        <v>-315.58100000000002</v>
      </c>
      <c r="K2021">
        <v>1.1067709999999999</v>
      </c>
      <c r="L2021">
        <v>284.2045</v>
      </c>
      <c r="M2021">
        <v>-0.99986589999999997</v>
      </c>
      <c r="N2021">
        <v>-1.459118E-2</v>
      </c>
      <c r="O2021">
        <v>-7.4345100000000001E-3</v>
      </c>
      <c r="P2021">
        <v>-0.99609859999999995</v>
      </c>
      <c r="Q2021">
        <v>-7.9061850000000003E-2</v>
      </c>
      <c r="R2021">
        <v>-3.9202969999999997E-2</v>
      </c>
      <c r="S2021">
        <v>-2.9883120000000001</v>
      </c>
      <c r="T2021">
        <v>-0.30415310000000001</v>
      </c>
      <c r="U2021">
        <v>1.4373779999999999E-2</v>
      </c>
      <c r="V2021">
        <v>-3.2107869999999997E-2</v>
      </c>
      <c r="W2021">
        <v>-6.4360459999999994E-2</v>
      </c>
      <c r="X2021">
        <v>0.99741009999999997</v>
      </c>
      <c r="Y2021">
        <v>1.2145049999999999E-2</v>
      </c>
      <c r="Z2021">
        <v>1.3518339999999999E-3</v>
      </c>
      <c r="AA2021">
        <v>0.99992530000000002</v>
      </c>
      <c r="AB2021">
        <v>45</v>
      </c>
      <c r="AC2021">
        <v>-0.494600000000048</v>
      </c>
      <c r="AD2021">
        <v>-7.9393999999999895E-2</v>
      </c>
      <c r="AE2021">
        <v>5.4999999999836204E-3</v>
      </c>
      <c r="AF2021">
        <v>8.9468416152376808E-3</v>
      </c>
      <c r="AG2021">
        <v>-7.9393999999999895E-2</v>
      </c>
      <c r="AH2021">
        <v>0.48212398725458899</v>
      </c>
      <c r="AI2021">
        <v>99.349702139927899</v>
      </c>
      <c r="AJ2021">
        <v>88.936876306810703</v>
      </c>
      <c r="AK2021">
        <v>0.48869928616394598</v>
      </c>
      <c r="AL2021">
        <v>93.6901331397695</v>
      </c>
      <c r="AM2021">
        <v>91.843785595101593</v>
      </c>
      <c r="AN2021">
        <v>1.0000000458546701</v>
      </c>
    </row>
    <row r="2022" spans="1:40" x14ac:dyDescent="0.25">
      <c r="A2022" t="str">
        <f>"20190305135233089"</f>
        <v>20190305135233089</v>
      </c>
      <c r="B2022" t="str">
        <f>"1551765153081127"</f>
        <v>1551765153081127</v>
      </c>
      <c r="C2022" t="s">
        <v>40</v>
      </c>
      <c r="D2022">
        <v>4.6374420000000001</v>
      </c>
      <c r="E2022">
        <v>0.516250599999999</v>
      </c>
      <c r="F2022" t="s">
        <v>41</v>
      </c>
      <c r="G2022">
        <v>-316.46949999999998</v>
      </c>
      <c r="H2022">
        <v>1.017523</v>
      </c>
      <c r="I2022">
        <v>284.20909999999998</v>
      </c>
      <c r="J2022">
        <v>-315.83940000000001</v>
      </c>
      <c r="K2022">
        <v>1.106735</v>
      </c>
      <c r="L2022">
        <v>284.20319999999998</v>
      </c>
      <c r="M2022">
        <v>-0.99987349999999997</v>
      </c>
      <c r="N2022">
        <v>-1.4589990000000001E-2</v>
      </c>
      <c r="O2022">
        <v>-6.3296400000000001E-3</v>
      </c>
      <c r="P2022">
        <v>-0.99614449999999999</v>
      </c>
      <c r="Q2022">
        <v>-7.8926979999999994E-2</v>
      </c>
      <c r="R2022">
        <v>-3.8298890000000002E-2</v>
      </c>
      <c r="S2022">
        <v>-2.9884949999999999</v>
      </c>
      <c r="T2022">
        <v>-0.30028719999999998</v>
      </c>
      <c r="U2022">
        <v>1.498413E-2</v>
      </c>
      <c r="V2022">
        <v>-3.2309339999999999E-2</v>
      </c>
      <c r="W2022">
        <v>-6.4222829999999995E-2</v>
      </c>
      <c r="X2022">
        <v>0.99741239999999998</v>
      </c>
      <c r="Y2022">
        <v>1.125577E-2</v>
      </c>
      <c r="Z2022">
        <v>1.1886760000000001E-3</v>
      </c>
      <c r="AA2022">
        <v>0.99993589999999999</v>
      </c>
      <c r="AB2022">
        <v>45</v>
      </c>
      <c r="AC2022">
        <v>-0.63009999999997002</v>
      </c>
      <c r="AD2022">
        <v>-8.9212E-2</v>
      </c>
      <c r="AE2022">
        <v>5.8999999999968999E-3</v>
      </c>
      <c r="AF2022">
        <v>9.6942978128735004E-3</v>
      </c>
      <c r="AG2022">
        <v>-8.9212E-2</v>
      </c>
      <c r="AH2022">
        <v>0.61766931626539101</v>
      </c>
      <c r="AI2022">
        <v>98.217583924359403</v>
      </c>
      <c r="AJ2022">
        <v>89.100818618618007</v>
      </c>
      <c r="AK2022">
        <v>0.62415394303796601</v>
      </c>
      <c r="AL2022">
        <v>93.682231414976201</v>
      </c>
      <c r="AM2022">
        <v>91.855342618222295</v>
      </c>
      <c r="AN2022">
        <v>0.99999998050910199</v>
      </c>
    </row>
    <row r="2023" spans="1:40" x14ac:dyDescent="0.25">
      <c r="A2023" t="str">
        <f>"20190305135233102"</f>
        <v>20190305135233102</v>
      </c>
      <c r="B2023" t="str">
        <f>"1551765153091866"</f>
        <v>1551765153091866</v>
      </c>
      <c r="C2023" t="s">
        <v>40</v>
      </c>
      <c r="D2023">
        <v>4.5730899999999997</v>
      </c>
      <c r="E2023">
        <v>0.51607740000000002</v>
      </c>
      <c r="F2023" t="s">
        <v>41</v>
      </c>
      <c r="G2023">
        <v>-316.86160000000001</v>
      </c>
      <c r="H2023">
        <v>1.004659</v>
      </c>
      <c r="I2023">
        <v>284.20929999999998</v>
      </c>
      <c r="J2023">
        <v>-316.09719999999999</v>
      </c>
      <c r="K2023">
        <v>1.1067009999999999</v>
      </c>
      <c r="L2023">
        <v>284.20240000000001</v>
      </c>
      <c r="M2023">
        <v>-0.99987999999999999</v>
      </c>
      <c r="N2023">
        <v>-1.4588830000000001E-2</v>
      </c>
      <c r="O2023">
        <v>-5.2229210000000002E-3</v>
      </c>
      <c r="P2023">
        <v>-0.9961932</v>
      </c>
      <c r="Q2023">
        <v>-7.8840480000000004E-2</v>
      </c>
      <c r="R2023">
        <v>-3.7195560000000003E-2</v>
      </c>
      <c r="S2023">
        <v>-2.9886170000000001</v>
      </c>
      <c r="T2023">
        <v>-0.29855179999999998</v>
      </c>
      <c r="U2023">
        <v>1.6937259999999999E-2</v>
      </c>
      <c r="V2023">
        <v>-3.2313809999999998E-2</v>
      </c>
      <c r="W2023">
        <v>-6.413481E-2</v>
      </c>
      <c r="X2023">
        <v>0.99741789999999997</v>
      </c>
      <c r="Y2023">
        <v>1.0809819999999999E-2</v>
      </c>
      <c r="Z2023">
        <v>1.06208E-3</v>
      </c>
      <c r="AA2023">
        <v>0.99994099999999997</v>
      </c>
      <c r="AB2023">
        <v>45</v>
      </c>
      <c r="AC2023">
        <v>-0.76440000000002295</v>
      </c>
      <c r="AD2023">
        <v>-0.10204199999999899</v>
      </c>
      <c r="AE2023">
        <v>6.89999999997326E-3</v>
      </c>
      <c r="AF2023">
        <v>1.0702032772661E-2</v>
      </c>
      <c r="AG2023">
        <v>-0.10204199999999899</v>
      </c>
      <c r="AH2023">
        <v>0.75097202532156604</v>
      </c>
      <c r="AI2023">
        <v>97.737177793379402</v>
      </c>
      <c r="AJ2023">
        <v>89.1835384215766</v>
      </c>
      <c r="AK2023">
        <v>0.757948603854537</v>
      </c>
      <c r="AL2023">
        <v>93.677177891188293</v>
      </c>
      <c r="AM2023">
        <v>91.855588900534499</v>
      </c>
      <c r="AN2023">
        <v>0.99999996170543004</v>
      </c>
    </row>
    <row r="2024" spans="1:40" x14ac:dyDescent="0.25">
      <c r="A2024" t="str">
        <f>"20190305135233119"</f>
        <v>20190305135233119</v>
      </c>
      <c r="B2024" t="str">
        <f>"1551765153111383"</f>
        <v>1551765153111383</v>
      </c>
      <c r="C2024" t="s">
        <v>40</v>
      </c>
      <c r="D2024">
        <v>4.618023</v>
      </c>
      <c r="E2024">
        <v>0.51595609999999903</v>
      </c>
      <c r="F2024" t="s">
        <v>41</v>
      </c>
      <c r="G2024">
        <v>-316.87360000000001</v>
      </c>
      <c r="H2024">
        <v>1.029123</v>
      </c>
      <c r="I2024">
        <v>284.20749999999998</v>
      </c>
      <c r="J2024">
        <v>-316.42380000000003</v>
      </c>
      <c r="K2024">
        <v>1.1066739999999999</v>
      </c>
      <c r="L2024">
        <v>284.20170000000002</v>
      </c>
      <c r="M2024">
        <v>-0.99988639999999995</v>
      </c>
      <c r="N2024">
        <v>-1.4587060000000001E-2</v>
      </c>
      <c r="O2024">
        <v>-3.8223469999999998E-3</v>
      </c>
      <c r="P2024">
        <v>-0.99632889999999996</v>
      </c>
      <c r="Q2024">
        <v>-7.7818579999999998E-2</v>
      </c>
      <c r="R2024">
        <v>-3.5687160000000002E-2</v>
      </c>
      <c r="S2024">
        <v>-2.9885250000000001</v>
      </c>
      <c r="T2024">
        <v>-0.29872470000000001</v>
      </c>
      <c r="U2024">
        <v>1.8890379999999998E-2</v>
      </c>
      <c r="V2024">
        <v>-3.2200819999999998E-2</v>
      </c>
      <c r="W2024">
        <v>-6.3111399999999998E-2</v>
      </c>
      <c r="X2024">
        <v>0.99748689999999995</v>
      </c>
      <c r="Y2024">
        <v>1.0072029999999999E-2</v>
      </c>
      <c r="Z2024">
        <v>9.0128199999999999E-4</v>
      </c>
      <c r="AA2024">
        <v>0.99994890000000003</v>
      </c>
      <c r="AB2024">
        <v>45</v>
      </c>
      <c r="AC2024">
        <v>-0.44979999999998199</v>
      </c>
      <c r="AD2024">
        <v>-7.7550999999999898E-2</v>
      </c>
      <c r="AE2024">
        <v>5.7999999999651603E-3</v>
      </c>
      <c r="AF2024">
        <v>7.30239737885802E-3</v>
      </c>
      <c r="AG2024">
        <v>-7.7550999999999898E-2</v>
      </c>
      <c r="AH2024">
        <v>0.43679261963676302</v>
      </c>
      <c r="AI2024">
        <v>100.066374203851</v>
      </c>
      <c r="AJ2024">
        <v>89.042205482914</v>
      </c>
      <c r="AK2024">
        <v>0.44368375581896702</v>
      </c>
      <c r="AL2024">
        <v>93.618421530064097</v>
      </c>
      <c r="AM2024">
        <v>91.848977251721806</v>
      </c>
      <c r="AN2024">
        <v>1.0000000286451201</v>
      </c>
    </row>
    <row r="2025" spans="1:40" x14ac:dyDescent="0.25">
      <c r="A2025" t="str">
        <f>"20190305135233131"</f>
        <v>20190305135233131</v>
      </c>
      <c r="B2025" t="str">
        <f>"1551765153121144"</f>
        <v>1551765153121144</v>
      </c>
      <c r="C2025" t="s">
        <v>40</v>
      </c>
      <c r="D2025">
        <v>4.6437730000000004</v>
      </c>
      <c r="E2025">
        <v>0.51590049999999998</v>
      </c>
      <c r="F2025" t="s">
        <v>41</v>
      </c>
      <c r="G2025">
        <v>-317.26909999999998</v>
      </c>
      <c r="H2025">
        <v>1.0237240000000001</v>
      </c>
      <c r="I2025">
        <v>284.20800000000003</v>
      </c>
      <c r="J2025">
        <v>-316.6841</v>
      </c>
      <c r="K2025">
        <v>1.1066560000000001</v>
      </c>
      <c r="L2025">
        <v>284.20139999999998</v>
      </c>
      <c r="M2025">
        <v>-0.99988999999999995</v>
      </c>
      <c r="N2025">
        <v>-1.4585580000000001E-2</v>
      </c>
      <c r="O2025">
        <v>-2.7114679999999999E-3</v>
      </c>
      <c r="P2025">
        <v>-0.99640470000000003</v>
      </c>
      <c r="Q2025">
        <v>-7.7398380000000003E-2</v>
      </c>
      <c r="R2025">
        <v>-3.4458000000000003E-2</v>
      </c>
      <c r="S2025">
        <v>-2.988953</v>
      </c>
      <c r="T2025">
        <v>-0.2933134</v>
      </c>
      <c r="U2025">
        <v>2.2521969999999999E-2</v>
      </c>
      <c r="V2025">
        <v>-3.2079419999999997E-2</v>
      </c>
      <c r="W2025">
        <v>-6.2691129999999998E-2</v>
      </c>
      <c r="X2025">
        <v>0.99751730000000005</v>
      </c>
      <c r="Y2025">
        <v>1.018086E-2</v>
      </c>
      <c r="Z2025">
        <v>7.9876229999999995E-4</v>
      </c>
      <c r="AA2025">
        <v>0.99994780000000005</v>
      </c>
      <c r="AB2025">
        <v>44</v>
      </c>
      <c r="AC2025">
        <v>-0.58499999999997898</v>
      </c>
      <c r="AD2025">
        <v>-8.29319999999997E-2</v>
      </c>
      <c r="AE2025">
        <v>6.5999999999917201E-3</v>
      </c>
      <c r="AF2025">
        <v>8.0250929279669994E-3</v>
      </c>
      <c r="AG2025">
        <v>-8.29319999999997E-2</v>
      </c>
      <c r="AH2025">
        <v>0.573456625556515</v>
      </c>
      <c r="AI2025">
        <v>98.228140447583797</v>
      </c>
      <c r="AJ2025">
        <v>89.198241118554506</v>
      </c>
      <c r="AK2025">
        <v>0.57947788580339099</v>
      </c>
      <c r="AL2025">
        <v>93.594294102730501</v>
      </c>
      <c r="AM2025">
        <v>91.841955153920495</v>
      </c>
      <c r="AN2025">
        <v>1.0000000153837501</v>
      </c>
    </row>
    <row r="2026" spans="1:40" x14ac:dyDescent="0.25">
      <c r="A2026" t="str">
        <f>"20190305135233144"</f>
        <v>20190305135233144</v>
      </c>
      <c r="B2026" t="str">
        <f>"1551765153141640"</f>
        <v>1551765153141640</v>
      </c>
      <c r="C2026" t="s">
        <v>40</v>
      </c>
      <c r="D2026">
        <v>4.6252570000000004</v>
      </c>
      <c r="E2026">
        <v>0.51576160000000004</v>
      </c>
      <c r="F2026" t="s">
        <v>41</v>
      </c>
      <c r="G2026">
        <v>-317.66090000000003</v>
      </c>
      <c r="H2026">
        <v>1.011563</v>
      </c>
      <c r="I2026">
        <v>284.20999999999998</v>
      </c>
      <c r="J2026">
        <v>-316.93430000000001</v>
      </c>
      <c r="K2026">
        <v>1.1066400000000001</v>
      </c>
      <c r="L2026">
        <v>284.20139999999998</v>
      </c>
      <c r="M2026">
        <v>-0.99989249999999996</v>
      </c>
      <c r="N2026">
        <v>-1.4584150000000001E-2</v>
      </c>
      <c r="O2026">
        <v>-1.64773E-3</v>
      </c>
      <c r="P2026">
        <v>-0.99647750000000002</v>
      </c>
      <c r="Q2026">
        <v>-7.7075589999999999E-2</v>
      </c>
      <c r="R2026">
        <v>-3.3048420000000002E-2</v>
      </c>
      <c r="S2026">
        <v>-2.9891049999999999</v>
      </c>
      <c r="T2026">
        <v>-0.29105130000000001</v>
      </c>
      <c r="U2026">
        <v>2.5604249999999999E-2</v>
      </c>
      <c r="V2026">
        <v>-3.1730929999999997E-2</v>
      </c>
      <c r="W2026">
        <v>-6.2369760000000003E-2</v>
      </c>
      <c r="X2026">
        <v>0.99754860000000001</v>
      </c>
      <c r="Y2026">
        <v>1.01525E-2</v>
      </c>
      <c r="Z2026">
        <v>7.0341839999999995E-4</v>
      </c>
      <c r="AA2026">
        <v>0.99994819999999995</v>
      </c>
      <c r="AB2026">
        <v>44</v>
      </c>
      <c r="AC2026">
        <v>-0.72660000000001901</v>
      </c>
      <c r="AD2026">
        <v>-9.5076999999999995E-2</v>
      </c>
      <c r="AE2026">
        <v>8.6000000000012698E-3</v>
      </c>
      <c r="AF2026">
        <v>9.6324501727305598E-3</v>
      </c>
      <c r="AG2026">
        <v>-9.5076999999999995E-2</v>
      </c>
      <c r="AH2026">
        <v>0.71435520545900499</v>
      </c>
      <c r="AI2026">
        <v>97.5805365143882</v>
      </c>
      <c r="AJ2026">
        <v>89.227463743962105</v>
      </c>
      <c r="AK2026">
        <v>0.72071893244988805</v>
      </c>
      <c r="AL2026">
        <v>93.575844822857206</v>
      </c>
      <c r="AM2026">
        <v>91.821901779959305</v>
      </c>
      <c r="AN2026">
        <v>1.0000000241215401</v>
      </c>
    </row>
    <row r="2027" spans="1:40" x14ac:dyDescent="0.25">
      <c r="A2027" t="str">
        <f>"20190305135233158"</f>
        <v>20190305135233158</v>
      </c>
      <c r="B2027" t="str">
        <f>"1551765153151399"</f>
        <v>1551765153151399</v>
      </c>
      <c r="C2027" t="s">
        <v>40</v>
      </c>
      <c r="D2027">
        <v>4.5875219999999999</v>
      </c>
      <c r="E2027">
        <v>0.51569739999999997</v>
      </c>
      <c r="F2027" t="s">
        <v>41</v>
      </c>
      <c r="G2027">
        <v>-317.67380000000003</v>
      </c>
      <c r="H2027">
        <v>1.035274</v>
      </c>
      <c r="I2027">
        <v>284.20870000000002</v>
      </c>
      <c r="J2027">
        <v>-317.19959999999998</v>
      </c>
      <c r="K2027">
        <v>1.10663</v>
      </c>
      <c r="L2027">
        <v>284.20179999999999</v>
      </c>
      <c r="M2027">
        <v>-0.99989349999999999</v>
      </c>
      <c r="N2027">
        <v>-1.4582499999999899E-2</v>
      </c>
      <c r="O2027">
        <v>-5.3436640000000001E-4</v>
      </c>
      <c r="P2027">
        <v>-0.99657799999999996</v>
      </c>
      <c r="Q2027">
        <v>-7.6478240000000003E-2</v>
      </c>
      <c r="R2027">
        <v>-3.13586E-2</v>
      </c>
      <c r="S2027">
        <v>-2.9892270000000001</v>
      </c>
      <c r="T2027">
        <v>-0.2885935</v>
      </c>
      <c r="U2027">
        <v>2.8656009999999999E-2</v>
      </c>
      <c r="V2027">
        <v>-3.1148909999999998E-2</v>
      </c>
      <c r="W2027">
        <v>-6.1775469999999999E-2</v>
      </c>
      <c r="X2027">
        <v>0.99760389999999999</v>
      </c>
      <c r="Y2027">
        <v>1.0064699999999999E-2</v>
      </c>
      <c r="Z2027">
        <v>6.0198559999999996E-4</v>
      </c>
      <c r="AA2027">
        <v>0.99994919999999998</v>
      </c>
      <c r="AB2027">
        <v>44</v>
      </c>
      <c r="AC2027">
        <v>-0.47420000000005202</v>
      </c>
      <c r="AD2027">
        <v>-7.1355999999999906E-2</v>
      </c>
      <c r="AE2027">
        <v>6.9000000000300999E-3</v>
      </c>
      <c r="AF2027">
        <v>6.9950653462460804E-3</v>
      </c>
      <c r="AG2027">
        <v>-7.1355999999999906E-2</v>
      </c>
      <c r="AH2027">
        <v>0.46369883955674501</v>
      </c>
      <c r="AI2027">
        <v>98.747320935540003</v>
      </c>
      <c r="AJ2027">
        <v>89.135737919649799</v>
      </c>
      <c r="AK2027">
        <v>0.46920914684335602</v>
      </c>
      <c r="AL2027">
        <v>93.5417288035257</v>
      </c>
      <c r="AM2027">
        <v>91.788406638743496</v>
      </c>
      <c r="AN2027">
        <v>1.0000000022915501</v>
      </c>
    </row>
    <row r="2028" spans="1:40" x14ac:dyDescent="0.25">
      <c r="A2028" t="str">
        <f>"20190305135233170"</f>
        <v>20190305135233170</v>
      </c>
      <c r="B2028" t="str">
        <f>"1551765153161159"</f>
        <v>1551765153161159</v>
      </c>
      <c r="C2028" t="s">
        <v>40</v>
      </c>
      <c r="D2028">
        <v>4.6148480000000003</v>
      </c>
      <c r="E2028">
        <v>0.51562039999999998</v>
      </c>
      <c r="F2028" t="s">
        <v>41</v>
      </c>
      <c r="G2028">
        <v>-318.06450000000001</v>
      </c>
      <c r="H2028">
        <v>1.0239</v>
      </c>
      <c r="I2028">
        <v>284.21159999999998</v>
      </c>
      <c r="J2028">
        <v>-317.45460000000003</v>
      </c>
      <c r="K2028">
        <v>1.106627</v>
      </c>
      <c r="L2028">
        <v>284.20229999999998</v>
      </c>
      <c r="M2028">
        <v>-0.9998937</v>
      </c>
      <c r="N2028">
        <v>-1.4580839999999999E-2</v>
      </c>
      <c r="O2028">
        <v>5.246456E-4</v>
      </c>
      <c r="P2028">
        <v>-0.99662660000000003</v>
      </c>
      <c r="Q2028">
        <v>-7.6360700000000004E-2</v>
      </c>
      <c r="R2028">
        <v>-3.0086700000000001E-2</v>
      </c>
      <c r="S2028">
        <v>-2.9894409999999998</v>
      </c>
      <c r="T2028">
        <v>-0.28599200000000002</v>
      </c>
      <c r="U2028">
        <v>3.3233640000000002E-2</v>
      </c>
      <c r="V2028">
        <v>-3.09327E-2</v>
      </c>
      <c r="W2028">
        <v>-6.1660100000000002E-2</v>
      </c>
      <c r="X2028">
        <v>0.9976178</v>
      </c>
      <c r="Y2028">
        <v>1.0537899999999999E-2</v>
      </c>
      <c r="Z2028">
        <v>5.3749660000000003E-4</v>
      </c>
      <c r="AA2028">
        <v>0.99994430000000001</v>
      </c>
      <c r="AB2028">
        <v>44</v>
      </c>
      <c r="AC2028">
        <v>-0.60989999999998101</v>
      </c>
      <c r="AD2028">
        <v>-8.2726999999999995E-2</v>
      </c>
      <c r="AE2028">
        <v>9.2999999999960892E-3</v>
      </c>
      <c r="AF2028">
        <v>8.8177889349579201E-3</v>
      </c>
      <c r="AG2028">
        <v>-8.2726999999999995E-2</v>
      </c>
      <c r="AH2028">
        <v>0.59888883119880598</v>
      </c>
      <c r="AI2028">
        <v>97.863891740048501</v>
      </c>
      <c r="AJ2028">
        <v>89.156461832246194</v>
      </c>
      <c r="AK2028">
        <v>0.60463984492040601</v>
      </c>
      <c r="AL2028">
        <v>93.535105839780599</v>
      </c>
      <c r="AM2028">
        <v>91.775976245536299</v>
      </c>
      <c r="AN2028">
        <v>1.0000000373690601</v>
      </c>
    </row>
    <row r="2029" spans="1:40" x14ac:dyDescent="0.25">
      <c r="A2029" t="str">
        <f>"20190305135233185"</f>
        <v>20190305135233185</v>
      </c>
      <c r="B2029" t="str">
        <f>"1551765153181656"</f>
        <v>1551765153181656</v>
      </c>
      <c r="C2029" t="s">
        <v>40</v>
      </c>
      <c r="D2029">
        <v>4.4758519999999997</v>
      </c>
      <c r="E2029">
        <v>0.51549239999999996</v>
      </c>
      <c r="F2029" t="s">
        <v>41</v>
      </c>
      <c r="G2029">
        <v>-318.4554</v>
      </c>
      <c r="H2029">
        <v>1.011247</v>
      </c>
      <c r="I2029">
        <v>284.21480000000003</v>
      </c>
      <c r="J2029">
        <v>-317.74439999999998</v>
      </c>
      <c r="K2029">
        <v>1.10663</v>
      </c>
      <c r="L2029">
        <v>284.20319999999998</v>
      </c>
      <c r="M2029">
        <v>-0.99989229999999996</v>
      </c>
      <c r="N2029">
        <v>-1.4578880000000001E-2</v>
      </c>
      <c r="O2029">
        <v>1.7143060000000001E-3</v>
      </c>
      <c r="P2029">
        <v>-0.99666849999999996</v>
      </c>
      <c r="Q2029">
        <v>-7.6528719999999995E-2</v>
      </c>
      <c r="R2029">
        <v>-2.8206289999999998E-2</v>
      </c>
      <c r="S2029">
        <v>-2.9893800000000001</v>
      </c>
      <c r="T2029">
        <v>-0.28499449999999998</v>
      </c>
      <c r="U2029">
        <v>3.6315920000000002E-2</v>
      </c>
      <c r="V2029">
        <v>-3.023878E-2</v>
      </c>
      <c r="W2029">
        <v>-6.1833619999999999E-2</v>
      </c>
      <c r="X2029">
        <v>0.99762830000000002</v>
      </c>
      <c r="Y2029">
        <v>1.0384300000000001E-2</v>
      </c>
      <c r="Z2029">
        <v>4.3164629999999999E-4</v>
      </c>
      <c r="AA2029">
        <v>0.999946</v>
      </c>
      <c r="AB2029">
        <v>44</v>
      </c>
      <c r="AC2029">
        <v>-0.71100000000001196</v>
      </c>
      <c r="AD2029">
        <v>-9.5382999999999996E-2</v>
      </c>
      <c r="AE2029">
        <v>1.1600000000044E-2</v>
      </c>
      <c r="AF2029">
        <v>1.0197505114018599E-2</v>
      </c>
      <c r="AG2029">
        <v>-9.5382999999999996E-2</v>
      </c>
      <c r="AH2029">
        <v>0.69845206987394004</v>
      </c>
      <c r="AI2029">
        <v>97.775584682704704</v>
      </c>
      <c r="AJ2029">
        <v>89.163532446054404</v>
      </c>
      <c r="AK2029">
        <v>0.70500865222402898</v>
      </c>
      <c r="AL2029">
        <v>93.545066933355102</v>
      </c>
      <c r="AM2029">
        <v>91.736141784325994</v>
      </c>
      <c r="AN2029">
        <v>1.0000000026695399</v>
      </c>
    </row>
    <row r="2030" spans="1:40" x14ac:dyDescent="0.25">
      <c r="A2030" t="str">
        <f>"20190305135233199"</f>
        <v>20190305135233199</v>
      </c>
      <c r="B2030" t="str">
        <f>"1551765153191416"</f>
        <v>1551765153191416</v>
      </c>
      <c r="C2030" t="s">
        <v>40</v>
      </c>
      <c r="D2030">
        <v>4.634341</v>
      </c>
      <c r="E2030">
        <v>0.51543329999999998</v>
      </c>
      <c r="F2030" t="s">
        <v>41</v>
      </c>
      <c r="G2030">
        <v>-318.84750000000003</v>
      </c>
      <c r="H2030">
        <v>1.001609</v>
      </c>
      <c r="I2030">
        <v>284.21839999999997</v>
      </c>
      <c r="J2030">
        <v>-318.03219999999999</v>
      </c>
      <c r="K2030">
        <v>1.106641</v>
      </c>
      <c r="L2030">
        <v>284.20460000000003</v>
      </c>
      <c r="M2030">
        <v>-0.99988969999999999</v>
      </c>
      <c r="N2030">
        <v>-1.4576820000000001E-2</v>
      </c>
      <c r="O2030">
        <v>2.8693579999999998E-3</v>
      </c>
      <c r="P2030">
        <v>-0.99672130000000003</v>
      </c>
      <c r="Q2030">
        <v>-7.6345910000000003E-2</v>
      </c>
      <c r="R2030">
        <v>-2.679666E-2</v>
      </c>
      <c r="S2030">
        <v>-2.9892880000000002</v>
      </c>
      <c r="T2030">
        <v>-0.2846861</v>
      </c>
      <c r="U2030">
        <v>4.0832519999999997E-2</v>
      </c>
      <c r="V2030">
        <v>-2.997843E-2</v>
      </c>
      <c r="W2030">
        <v>-6.1654559999999997E-2</v>
      </c>
      <c r="X2030">
        <v>0.99764719999999996</v>
      </c>
      <c r="Y2030">
        <v>1.0742130000000001E-2</v>
      </c>
      <c r="Z2030">
        <v>3.579551E-4</v>
      </c>
      <c r="AA2030">
        <v>0.9999422</v>
      </c>
      <c r="AB2030">
        <v>44</v>
      </c>
      <c r="AC2030">
        <v>-0.815300000000036</v>
      </c>
      <c r="AD2030">
        <v>-0.105032</v>
      </c>
      <c r="AE2030">
        <v>1.3799999999946499E-2</v>
      </c>
      <c r="AF2030">
        <v>1.1273267474754101E-2</v>
      </c>
      <c r="AG2030">
        <v>-0.105032</v>
      </c>
      <c r="AH2030">
        <v>0.80202942440773395</v>
      </c>
      <c r="AI2030">
        <v>97.460142142105198</v>
      </c>
      <c r="AJ2030">
        <v>89.194707705623202</v>
      </c>
      <c r="AK2030">
        <v>0.80895612068848199</v>
      </c>
      <c r="AL2030">
        <v>93.534788078065603</v>
      </c>
      <c r="AM2030">
        <v>91.721170384640104</v>
      </c>
      <c r="AN2030">
        <v>0.99999996335094798</v>
      </c>
    </row>
    <row r="2031" spans="1:40" x14ac:dyDescent="0.25">
      <c r="A2031" t="str">
        <f>"20190305135233220"</f>
        <v>20190305135233220</v>
      </c>
      <c r="B2031" t="str">
        <f>"1551765153211911"</f>
        <v>1551765153211911</v>
      </c>
      <c r="C2031" t="s">
        <v>40</v>
      </c>
      <c r="D2031">
        <v>4.6105609999999997</v>
      </c>
      <c r="E2031">
        <v>0.51529720000000001</v>
      </c>
      <c r="F2031" t="s">
        <v>41</v>
      </c>
      <c r="G2031">
        <v>-318.86059999999998</v>
      </c>
      <c r="H2031">
        <v>1.0281359999999999</v>
      </c>
      <c r="I2031">
        <v>284.21710000000002</v>
      </c>
      <c r="J2031">
        <v>-318.4357</v>
      </c>
      <c r="K2031">
        <v>1.1066609999999999</v>
      </c>
      <c r="L2031">
        <v>284.20699999999999</v>
      </c>
      <c r="M2031">
        <v>-0.99988379999999999</v>
      </c>
      <c r="N2031">
        <v>-1.4573869999999999E-2</v>
      </c>
      <c r="O2031">
        <v>4.4572350000000004E-3</v>
      </c>
      <c r="P2031">
        <v>-0.99674419999999997</v>
      </c>
      <c r="Q2031">
        <v>-7.6799240000000005E-2</v>
      </c>
      <c r="R2031">
        <v>-2.4550990000000002E-2</v>
      </c>
      <c r="S2031">
        <v>-2.9893190000000001</v>
      </c>
      <c r="T2031">
        <v>-0.28340700000000002</v>
      </c>
      <c r="U2031">
        <v>4.4677729999999999E-2</v>
      </c>
      <c r="V2031">
        <v>-2.931539E-2</v>
      </c>
      <c r="W2031">
        <v>-6.211589E-2</v>
      </c>
      <c r="X2031">
        <v>0.99763829999999998</v>
      </c>
      <c r="Y2031">
        <v>1.0447E-2</v>
      </c>
      <c r="Z2031">
        <v>2.136533E-4</v>
      </c>
      <c r="AA2031">
        <v>0.99994539999999998</v>
      </c>
      <c r="AB2031">
        <v>44</v>
      </c>
      <c r="AC2031">
        <v>-0.42489999999997902</v>
      </c>
      <c r="AD2031">
        <v>-7.85249999999999E-2</v>
      </c>
      <c r="AE2031">
        <v>1.01000000000226E-2</v>
      </c>
      <c r="AF2031">
        <v>7.9349610722683605E-3</v>
      </c>
      <c r="AG2031">
        <v>-7.85249999999999E-2</v>
      </c>
      <c r="AH2031">
        <v>0.410914330892797</v>
      </c>
      <c r="AI2031">
        <v>100.816717218684</v>
      </c>
      <c r="AJ2031">
        <v>88.893727359990805</v>
      </c>
      <c r="AK2031">
        <v>0.41842529388804101</v>
      </c>
      <c r="AL2031">
        <v>93.561271054184104</v>
      </c>
      <c r="AM2031">
        <v>91.683140004281498</v>
      </c>
      <c r="AN2031">
        <v>0.999999976754116</v>
      </c>
    </row>
    <row r="2032" spans="1:40" x14ac:dyDescent="0.25">
      <c r="A2032" t="str">
        <f>"20190305135233235"</f>
        <v>20190305135233235</v>
      </c>
      <c r="B2032" t="str">
        <f>"1551765153231431"</f>
        <v>1551765153231431</v>
      </c>
      <c r="C2032" t="s">
        <v>40</v>
      </c>
      <c r="D2032">
        <v>4.6166410000000004</v>
      </c>
      <c r="E2032">
        <v>0.51515749999999905</v>
      </c>
      <c r="F2032" t="s">
        <v>41</v>
      </c>
      <c r="G2032">
        <v>-319.25740000000002</v>
      </c>
      <c r="H2032">
        <v>1.0287569999999999</v>
      </c>
      <c r="I2032">
        <v>284.22089999999997</v>
      </c>
      <c r="J2032">
        <v>-318.72109999999998</v>
      </c>
      <c r="K2032">
        <v>1.1066830000000001</v>
      </c>
      <c r="L2032">
        <v>284.209</v>
      </c>
      <c r="M2032">
        <v>-0.99987859999999995</v>
      </c>
      <c r="N2032">
        <v>-1.457175E-2</v>
      </c>
      <c r="O2032">
        <v>5.5492079999999999E-3</v>
      </c>
      <c r="P2032">
        <v>-0.99669370000000002</v>
      </c>
      <c r="Q2032">
        <v>-7.7792429999999996E-2</v>
      </c>
      <c r="R2032">
        <v>-2.3463810000000002E-2</v>
      </c>
      <c r="S2032">
        <v>-2.9892270000000001</v>
      </c>
      <c r="T2032">
        <v>-0.28344059999999999</v>
      </c>
      <c r="U2032">
        <v>5.0109859999999999E-2</v>
      </c>
      <c r="V2032">
        <v>-2.931783E-2</v>
      </c>
      <c r="W2032">
        <v>-6.3113669999999997E-2</v>
      </c>
      <c r="X2032">
        <v>0.99757560000000001</v>
      </c>
      <c r="Y2032">
        <v>1.1171840000000001E-2</v>
      </c>
      <c r="Z2032">
        <v>1.6580640000000001E-4</v>
      </c>
      <c r="AA2032">
        <v>0.99993759999999998</v>
      </c>
      <c r="AB2032">
        <v>44</v>
      </c>
      <c r="AC2032">
        <v>-0.53630000000003897</v>
      </c>
      <c r="AD2032">
        <v>-7.7926000000000106E-2</v>
      </c>
      <c r="AE2032">
        <v>1.18999999999687E-2</v>
      </c>
      <c r="AF2032">
        <v>8.7390446656877199E-3</v>
      </c>
      <c r="AG2032">
        <v>-7.7926000000000106E-2</v>
      </c>
      <c r="AH2032">
        <v>0.52527316833806603</v>
      </c>
      <c r="AI2032">
        <v>98.437318916099301</v>
      </c>
      <c r="AJ2032">
        <v>89.046849875060602</v>
      </c>
      <c r="AK2032">
        <v>0.53109390295274395</v>
      </c>
      <c r="AL2032">
        <v>93.618552048901293</v>
      </c>
      <c r="AM2032">
        <v>91.683385753311001</v>
      </c>
      <c r="AN2032">
        <v>0.999999974106068</v>
      </c>
    </row>
    <row r="2033" spans="1:40" x14ac:dyDescent="0.25">
      <c r="A2033" t="str">
        <f>"20190305135233252"</f>
        <v>20190305135233252</v>
      </c>
      <c r="B2033" t="str">
        <f>"1551765153242168"</f>
        <v>1551765153242168</v>
      </c>
      <c r="C2033" t="s">
        <v>40</v>
      </c>
      <c r="D2033">
        <v>4.6119269999999997</v>
      </c>
      <c r="E2033">
        <v>0.51510509999999998</v>
      </c>
      <c r="F2033" t="s">
        <v>41</v>
      </c>
      <c r="G2033">
        <v>-319.64859999999999</v>
      </c>
      <c r="H2033">
        <v>1.0182719999999901</v>
      </c>
      <c r="I2033">
        <v>284.22539999999998</v>
      </c>
      <c r="J2033">
        <v>-319.0795</v>
      </c>
      <c r="K2033">
        <v>1.1067039999999999</v>
      </c>
      <c r="L2033">
        <v>284.21199999999999</v>
      </c>
      <c r="M2033">
        <v>-0.99987029999999999</v>
      </c>
      <c r="N2033">
        <v>-1.4568869999999999E-2</v>
      </c>
      <c r="O2033">
        <v>6.8858349999999999E-3</v>
      </c>
      <c r="P2033">
        <v>-0.99664889999999995</v>
      </c>
      <c r="Q2033">
        <v>-7.8726249999999998E-2</v>
      </c>
      <c r="R2033">
        <v>-2.2217850000000001E-2</v>
      </c>
      <c r="S2033">
        <v>-2.9889220000000001</v>
      </c>
      <c r="T2033">
        <v>-0.284999</v>
      </c>
      <c r="U2033">
        <v>5.2062990000000003E-2</v>
      </c>
      <c r="V2033">
        <v>-2.9403599999999998E-2</v>
      </c>
      <c r="W2033">
        <v>-6.4053260000000001E-2</v>
      </c>
      <c r="X2033">
        <v>0.99751319999999999</v>
      </c>
      <c r="Y2033">
        <v>1.0497579999999999E-2</v>
      </c>
      <c r="Z2033" s="1">
        <v>2.108811E-5</v>
      </c>
      <c r="AA2033">
        <v>0.99994490000000003</v>
      </c>
      <c r="AB2033">
        <v>44</v>
      </c>
      <c r="AC2033">
        <v>-0.56909999999999095</v>
      </c>
      <c r="AD2033">
        <v>-8.8432000000000205E-2</v>
      </c>
      <c r="AE2033">
        <v>1.339999999999E-2</v>
      </c>
      <c r="AF2033">
        <v>9.2571408801354598E-3</v>
      </c>
      <c r="AG2033">
        <v>-8.8432000000000205E-2</v>
      </c>
      <c r="AH2033">
        <v>0.55576678342361396</v>
      </c>
      <c r="AI2033">
        <v>99.0397133064223</v>
      </c>
      <c r="AJ2033">
        <v>89.045739911255495</v>
      </c>
      <c r="AK2033">
        <v>0.56283446131016701</v>
      </c>
      <c r="AL2033">
        <v>93.672495696485896</v>
      </c>
      <c r="AM2033">
        <v>91.688413243697198</v>
      </c>
      <c r="AN2033">
        <v>0.99999998799191303</v>
      </c>
    </row>
    <row r="2034" spans="1:40" x14ac:dyDescent="0.25">
      <c r="A2034" t="str">
        <f>"20190305135233268"</f>
        <v>20190305135233268</v>
      </c>
      <c r="B2034" t="str">
        <f>"1551765153261688"</f>
        <v>1551765153261688</v>
      </c>
      <c r="C2034" t="s">
        <v>40</v>
      </c>
      <c r="D2034">
        <v>4.6129850000000001</v>
      </c>
      <c r="E2034">
        <v>0.5149627</v>
      </c>
      <c r="F2034" t="s">
        <v>41</v>
      </c>
      <c r="G2034">
        <v>-320.04250000000002</v>
      </c>
      <c r="H2034">
        <v>1.014335</v>
      </c>
      <c r="I2034">
        <v>284.23020000000002</v>
      </c>
      <c r="J2034">
        <v>-319.36989999999997</v>
      </c>
      <c r="K2034">
        <v>1.1067340000000001</v>
      </c>
      <c r="L2034">
        <v>284.21469999999999</v>
      </c>
      <c r="M2034">
        <v>-0.99986240000000004</v>
      </c>
      <c r="N2034">
        <v>-1.4566340000000001E-2</v>
      </c>
      <c r="O2034">
        <v>7.9402680000000003E-3</v>
      </c>
      <c r="P2034">
        <v>-0.9966507</v>
      </c>
      <c r="Q2034">
        <v>-7.8944360000000005E-2</v>
      </c>
      <c r="R2034">
        <v>-2.133678E-2</v>
      </c>
      <c r="S2034">
        <v>-2.9886780000000002</v>
      </c>
      <c r="T2034">
        <v>-0.28684700000000002</v>
      </c>
      <c r="U2034">
        <v>5.5328370000000002E-2</v>
      </c>
      <c r="V2034">
        <v>-2.9569649999999999E-2</v>
      </c>
      <c r="W2034">
        <v>-6.4275499999999999E-2</v>
      </c>
      <c r="X2034">
        <v>0.99749399999999999</v>
      </c>
      <c r="Y2034">
        <v>1.053959E-2</v>
      </c>
      <c r="Z2034" s="1">
        <v>-6.3266949999999999E-5</v>
      </c>
      <c r="AA2034">
        <v>0.99994439999999996</v>
      </c>
      <c r="AB2034">
        <v>44</v>
      </c>
      <c r="AC2034">
        <v>-0.67260000000004505</v>
      </c>
      <c r="AD2034">
        <v>-9.2399000000000106E-2</v>
      </c>
      <c r="AE2034">
        <v>1.55000000000313E-2</v>
      </c>
      <c r="AF2034">
        <v>9.9702603273188108E-3</v>
      </c>
      <c r="AG2034">
        <v>-9.2399000000000106E-2</v>
      </c>
      <c r="AH2034">
        <v>0.66024820611175905</v>
      </c>
      <c r="AI2034">
        <v>97.9656712429354</v>
      </c>
      <c r="AJ2034">
        <v>89.134855019073797</v>
      </c>
      <c r="AK2034">
        <v>0.66675683346013803</v>
      </c>
      <c r="AL2034">
        <v>93.685255389041004</v>
      </c>
      <c r="AM2034">
        <v>91.697975262674106</v>
      </c>
      <c r="AN2034">
        <v>0.99999999206868595</v>
      </c>
    </row>
    <row r="2035" spans="1:40" x14ac:dyDescent="0.25">
      <c r="A2035" t="str">
        <f>"20190305135233280"</f>
        <v>20190305135233280</v>
      </c>
      <c r="B2035" t="str">
        <f>"1551765153271448"</f>
        <v>1551765153271448</v>
      </c>
      <c r="C2035" t="s">
        <v>40</v>
      </c>
      <c r="D2035">
        <v>4.6071540000000004</v>
      </c>
      <c r="E2035">
        <v>0.51489439999999997</v>
      </c>
      <c r="F2035" t="s">
        <v>41</v>
      </c>
      <c r="G2035">
        <v>-320.43340000000001</v>
      </c>
      <c r="H2035">
        <v>1.0049459999999999</v>
      </c>
      <c r="I2035">
        <v>284.23509999999999</v>
      </c>
      <c r="J2035">
        <v>-319.63220000000001</v>
      </c>
      <c r="K2035">
        <v>1.106762</v>
      </c>
      <c r="L2035">
        <v>284.2174</v>
      </c>
      <c r="M2035">
        <v>-0.99985480000000004</v>
      </c>
      <c r="N2035">
        <v>-1.4564209999999999E-2</v>
      </c>
      <c r="O2035">
        <v>8.8638729999999995E-3</v>
      </c>
      <c r="P2035">
        <v>-0.99664339999999996</v>
      </c>
      <c r="Q2035">
        <v>-7.9243789999999995E-2</v>
      </c>
      <c r="R2035">
        <v>-2.055997E-2</v>
      </c>
      <c r="S2035">
        <v>-2.9886170000000001</v>
      </c>
      <c r="T2035">
        <v>-0.28608479999999997</v>
      </c>
      <c r="U2035">
        <v>5.6976319999999997E-2</v>
      </c>
      <c r="V2035">
        <v>-2.9710319999999998E-2</v>
      </c>
      <c r="W2035">
        <v>-6.4578869999999997E-2</v>
      </c>
      <c r="X2035">
        <v>0.99747030000000003</v>
      </c>
      <c r="Y2035">
        <v>1.0172550000000001E-2</v>
      </c>
      <c r="Z2035">
        <v>-1.5759859999999999E-4</v>
      </c>
      <c r="AA2035">
        <v>0.99994830000000001</v>
      </c>
      <c r="AB2035">
        <v>44</v>
      </c>
      <c r="AC2035">
        <v>-0.80119999999999403</v>
      </c>
      <c r="AD2035">
        <v>-0.101816</v>
      </c>
      <c r="AE2035">
        <v>1.7699999999990699E-2</v>
      </c>
      <c r="AF2035">
        <v>1.04284879692484E-2</v>
      </c>
      <c r="AG2035">
        <v>-0.101816</v>
      </c>
      <c r="AH2035">
        <v>0.78859646026645303</v>
      </c>
      <c r="AI2035">
        <v>97.356146744386507</v>
      </c>
      <c r="AJ2035">
        <v>89.242358353206996</v>
      </c>
      <c r="AK2035">
        <v>0.79521043023976001</v>
      </c>
      <c r="AL2035">
        <v>93.702673121464301</v>
      </c>
      <c r="AM2035">
        <v>91.706088692517994</v>
      </c>
      <c r="AN2035">
        <v>1.00000006647353</v>
      </c>
    </row>
    <row r="2036" spans="1:40" x14ac:dyDescent="0.25">
      <c r="A2036" t="str">
        <f>"20190305135233291"</f>
        <v>20190305135233291</v>
      </c>
      <c r="B2036" t="str">
        <f>"1551765153281208"</f>
        <v>1551765153281208</v>
      </c>
      <c r="C2036" t="s">
        <v>40</v>
      </c>
      <c r="D2036">
        <v>4.4849550000000002</v>
      </c>
      <c r="E2036">
        <v>0.514845</v>
      </c>
      <c r="F2036" t="s">
        <v>41</v>
      </c>
      <c r="G2036">
        <v>-320.4452</v>
      </c>
      <c r="H2036">
        <v>1.0288580000000001</v>
      </c>
      <c r="I2036">
        <v>284.23349999999999</v>
      </c>
      <c r="J2036">
        <v>-319.86</v>
      </c>
      <c r="K2036">
        <v>1.106789</v>
      </c>
      <c r="L2036">
        <v>284.22000000000003</v>
      </c>
      <c r="M2036">
        <v>-0.99984740000000005</v>
      </c>
      <c r="N2036">
        <v>-1.456258E-2</v>
      </c>
      <c r="O2036">
        <v>9.6492920000000003E-3</v>
      </c>
      <c r="P2036">
        <v>-0.996641</v>
      </c>
      <c r="Q2036">
        <v>-7.9367519999999997E-2</v>
      </c>
      <c r="R2036">
        <v>-2.019019E-2</v>
      </c>
      <c r="S2036">
        <v>-2.988556</v>
      </c>
      <c r="T2036">
        <v>-0.28640399999999999</v>
      </c>
      <c r="U2036">
        <v>5.8654789999999998E-2</v>
      </c>
      <c r="V2036">
        <v>-3.01196E-2</v>
      </c>
      <c r="W2036">
        <v>-6.4704520000000001E-2</v>
      </c>
      <c r="X2036">
        <v>0.99744980000000005</v>
      </c>
      <c r="Y2036">
        <v>9.9525519999999999E-3</v>
      </c>
      <c r="Z2036">
        <v>-2.3381880000000001E-4</v>
      </c>
      <c r="AA2036">
        <v>0.99995049999999996</v>
      </c>
      <c r="AB2036">
        <v>44</v>
      </c>
      <c r="AC2036">
        <v>-0.58519999999998595</v>
      </c>
      <c r="AD2036">
        <v>-7.7930999999999903E-2</v>
      </c>
      <c r="AE2036">
        <v>1.3499999999964899E-2</v>
      </c>
      <c r="AF2036">
        <v>7.7152556521278698E-3</v>
      </c>
      <c r="AG2036">
        <v>-7.7930999999999903E-2</v>
      </c>
      <c r="AH2036">
        <v>0.57510934381682199</v>
      </c>
      <c r="AI2036">
        <v>97.716255475983203</v>
      </c>
      <c r="AJ2036">
        <v>89.231406904283801</v>
      </c>
      <c r="AK2036">
        <v>0.580416680735653</v>
      </c>
      <c r="AL2036">
        <v>93.709887729155298</v>
      </c>
      <c r="AM2036">
        <v>91.729612579571196</v>
      </c>
      <c r="AN2036">
        <v>0.99999998436631499</v>
      </c>
    </row>
    <row r="2037" spans="1:40" x14ac:dyDescent="0.25">
      <c r="A2037" t="str">
        <f>"20190305135233309"</f>
        <v>20190305135233309</v>
      </c>
      <c r="B2037" t="str">
        <f>"1551765153301713"</f>
        <v>1551765153301713</v>
      </c>
      <c r="C2037" t="s">
        <v>40</v>
      </c>
      <c r="D2037">
        <v>4.4660289999999998</v>
      </c>
      <c r="E2037">
        <v>0.51467350000000001</v>
      </c>
      <c r="F2037" t="s">
        <v>41</v>
      </c>
      <c r="G2037">
        <v>-320.83300000000003</v>
      </c>
      <c r="H2037">
        <v>1.0138309999999999</v>
      </c>
      <c r="I2037">
        <v>284.23970000000003</v>
      </c>
      <c r="J2037">
        <v>-320.19450000000001</v>
      </c>
      <c r="K2037">
        <v>1.106832</v>
      </c>
      <c r="L2037">
        <v>284.22410000000002</v>
      </c>
      <c r="M2037">
        <v>-0.99983610000000001</v>
      </c>
      <c r="N2037">
        <v>-1.4560409999999999E-2</v>
      </c>
      <c r="O2037">
        <v>1.0777200000000001E-2</v>
      </c>
      <c r="P2037">
        <v>-0.99663860000000004</v>
      </c>
      <c r="Q2037">
        <v>-7.9372180000000001E-2</v>
      </c>
      <c r="R2037">
        <v>-2.0296089999999999E-2</v>
      </c>
      <c r="S2037">
        <v>-2.9885250000000001</v>
      </c>
      <c r="T2037">
        <v>-0.28567340000000002</v>
      </c>
      <c r="U2037">
        <v>5.9448239999999999E-2</v>
      </c>
      <c r="V2037">
        <v>-3.1343339999999997E-2</v>
      </c>
      <c r="W2037">
        <v>-6.4709080000000002E-2</v>
      </c>
      <c r="X2037">
        <v>0.99741179999999996</v>
      </c>
      <c r="Y2037">
        <v>9.0983479999999992E-3</v>
      </c>
      <c r="Z2037">
        <v>-3.7084370000000001E-4</v>
      </c>
      <c r="AA2037">
        <v>0.99995849999999997</v>
      </c>
      <c r="AB2037">
        <v>44</v>
      </c>
      <c r="AC2037">
        <v>-0.63849999999996498</v>
      </c>
      <c r="AD2037">
        <v>-9.3001000000000097E-2</v>
      </c>
      <c r="AE2037">
        <v>1.5600000000006199E-2</v>
      </c>
      <c r="AF2037">
        <v>8.5361330315394997E-3</v>
      </c>
      <c r="AG2037">
        <v>-9.3001000000000097E-2</v>
      </c>
      <c r="AH2037">
        <v>0.62537139627775395</v>
      </c>
      <c r="AI2037">
        <v>98.457871384350298</v>
      </c>
      <c r="AJ2037">
        <v>89.217978263966401</v>
      </c>
      <c r="AK2037">
        <v>0.63230644062078001</v>
      </c>
      <c r="AL2037">
        <v>93.710149546519204</v>
      </c>
      <c r="AM2037">
        <v>91.799908834824507</v>
      </c>
      <c r="AN2037">
        <v>0.99999998438801996</v>
      </c>
    </row>
    <row r="2038" spans="1:40" x14ac:dyDescent="0.25">
      <c r="A2038" t="str">
        <f>"20190305135233322"</f>
        <v>20190305135233322</v>
      </c>
      <c r="B2038" t="str">
        <f>"1551765153311464"</f>
        <v>1551765153311464</v>
      </c>
      <c r="C2038" t="s">
        <v>40</v>
      </c>
      <c r="D2038">
        <v>4.6013979999999997</v>
      </c>
      <c r="E2038">
        <v>0.51460439999999996</v>
      </c>
      <c r="F2038" t="s">
        <v>41</v>
      </c>
      <c r="G2038">
        <v>-321.22539999999998</v>
      </c>
      <c r="H2038">
        <v>1.008543</v>
      </c>
      <c r="I2038">
        <v>284.2439</v>
      </c>
      <c r="J2038">
        <v>-320.45780000000002</v>
      </c>
      <c r="K2038">
        <v>1.1068629999999999</v>
      </c>
      <c r="L2038">
        <v>284.22750000000002</v>
      </c>
      <c r="M2038">
        <v>-0.99982629999999995</v>
      </c>
      <c r="N2038">
        <v>-1.4558690000000001E-2</v>
      </c>
      <c r="O2038">
        <v>1.1641810000000001E-2</v>
      </c>
      <c r="P2038">
        <v>-0.99663389999999996</v>
      </c>
      <c r="Q2038">
        <v>-7.9504039999999998E-2</v>
      </c>
      <c r="R2038">
        <v>-2.0009989999999998E-2</v>
      </c>
      <c r="S2038">
        <v>-2.9886469999999998</v>
      </c>
      <c r="T2038">
        <v>-0.28495379999999998</v>
      </c>
      <c r="U2038">
        <v>5.7617189999999999E-2</v>
      </c>
      <c r="V2038">
        <v>-3.191331E-2</v>
      </c>
      <c r="W2038">
        <v>-6.4842860000000002E-2</v>
      </c>
      <c r="X2038">
        <v>0.99738499999999997</v>
      </c>
      <c r="Y2038">
        <v>7.6308999999999899E-3</v>
      </c>
      <c r="Z2038">
        <v>-5.1953389999999996E-4</v>
      </c>
      <c r="AA2038">
        <v>0.99997069999999999</v>
      </c>
      <c r="AB2038">
        <v>44</v>
      </c>
      <c r="AC2038">
        <v>-0.76759999999995898</v>
      </c>
      <c r="AD2038">
        <v>-9.8319999999999894E-2</v>
      </c>
      <c r="AE2038">
        <v>1.6399999999975899E-2</v>
      </c>
      <c r="AF2038">
        <v>7.3412988679098E-3</v>
      </c>
      <c r="AG2038">
        <v>-9.8319999999999894E-2</v>
      </c>
      <c r="AH2038">
        <v>0.75535194956209095</v>
      </c>
      <c r="AI2038">
        <v>97.415833449891096</v>
      </c>
      <c r="AJ2038">
        <v>89.443157327915301</v>
      </c>
      <c r="AK2038">
        <v>0.76175933520785899</v>
      </c>
      <c r="AL2038">
        <v>93.717830846823006</v>
      </c>
      <c r="AM2038">
        <v>91.832666770344204</v>
      </c>
      <c r="AN2038">
        <v>0.99999994703656603</v>
      </c>
    </row>
    <row r="2039" spans="1:40" x14ac:dyDescent="0.25">
      <c r="A2039" t="str">
        <f>"20190305135233334"</f>
        <v>20190305135233334</v>
      </c>
      <c r="B2039" t="str">
        <f>"1551765153331960"</f>
        <v>1551765153331960</v>
      </c>
      <c r="C2039" t="s">
        <v>40</v>
      </c>
      <c r="D2039">
        <v>4.4408789999999998</v>
      </c>
      <c r="E2039">
        <v>0.51442290000000002</v>
      </c>
      <c r="F2039" t="s">
        <v>41</v>
      </c>
      <c r="G2039">
        <v>-321.23779999999999</v>
      </c>
      <c r="H2039">
        <v>1.032621</v>
      </c>
      <c r="I2039">
        <v>284.24259999999998</v>
      </c>
      <c r="J2039">
        <v>-320.69159999999999</v>
      </c>
      <c r="K2039">
        <v>1.106894</v>
      </c>
      <c r="L2039">
        <v>284.23079999999999</v>
      </c>
      <c r="M2039">
        <v>-0.99981730000000002</v>
      </c>
      <c r="N2039">
        <v>-1.455714E-2</v>
      </c>
      <c r="O2039">
        <v>1.2390780000000001E-2</v>
      </c>
      <c r="P2039">
        <v>-0.99662930000000005</v>
      </c>
      <c r="Q2039">
        <v>-7.9613210000000004E-2</v>
      </c>
      <c r="R2039">
        <v>-1.9799580000000001E-2</v>
      </c>
      <c r="S2039">
        <v>-2.9885860000000002</v>
      </c>
      <c r="T2039">
        <v>-0.2845644</v>
      </c>
      <c r="U2039">
        <v>5.7861330000000002E-2</v>
      </c>
      <c r="V2039">
        <v>-3.2445729999999999E-2</v>
      </c>
      <c r="W2039">
        <v>-6.4953739999999996E-2</v>
      </c>
      <c r="X2039">
        <v>0.99736060000000004</v>
      </c>
      <c r="Y2039">
        <v>6.9697269999999898E-3</v>
      </c>
      <c r="Z2039">
        <v>-6.1504449999999998E-4</v>
      </c>
      <c r="AA2039">
        <v>0.99997550000000002</v>
      </c>
      <c r="AB2039">
        <v>44</v>
      </c>
      <c r="AC2039">
        <v>-0.54619999999999802</v>
      </c>
      <c r="AD2039">
        <v>-7.4273000000000006E-2</v>
      </c>
      <c r="AE2039">
        <v>1.17999999999938E-2</v>
      </c>
      <c r="AF2039">
        <v>4.9392443836282496E-3</v>
      </c>
      <c r="AG2039">
        <v>-7.4273000000000006E-2</v>
      </c>
      <c r="AH2039">
        <v>0.53639055836432004</v>
      </c>
      <c r="AI2039">
        <v>97.883180125425397</v>
      </c>
      <c r="AJ2039">
        <v>89.472418269791703</v>
      </c>
      <c r="AK2039">
        <v>0.54153089087001205</v>
      </c>
      <c r="AL2039">
        <v>93.724197250193498</v>
      </c>
      <c r="AM2039">
        <v>91.863265915101707</v>
      </c>
      <c r="AN2039">
        <v>0.99999994008378801</v>
      </c>
    </row>
    <row r="2040" spans="1:40" x14ac:dyDescent="0.25">
      <c r="A2040" t="str">
        <f>"20190305135233352"</f>
        <v>20190305135233352</v>
      </c>
      <c r="B2040" t="str">
        <f>"1551765153341720"</f>
        <v>1551765153341720</v>
      </c>
      <c r="C2040" t="s">
        <v>40</v>
      </c>
      <c r="D2040">
        <v>4.4342829999999998</v>
      </c>
      <c r="E2040">
        <v>0.5143219</v>
      </c>
      <c r="F2040" t="s">
        <v>41</v>
      </c>
      <c r="G2040">
        <v>-321.62470000000002</v>
      </c>
      <c r="H2040">
        <v>1.0180959999999999</v>
      </c>
      <c r="I2040">
        <v>284.24869999999999</v>
      </c>
      <c r="J2040">
        <v>-321.04820000000001</v>
      </c>
      <c r="K2040">
        <v>1.106941</v>
      </c>
      <c r="L2040">
        <v>284.23610000000002</v>
      </c>
      <c r="M2040">
        <v>-0.99980290000000005</v>
      </c>
      <c r="N2040">
        <v>-1.455476E-2</v>
      </c>
      <c r="O2040">
        <v>1.351022E-2</v>
      </c>
      <c r="P2040">
        <v>-0.99664629999999998</v>
      </c>
      <c r="Q2040">
        <v>-7.9325419999999994E-2</v>
      </c>
      <c r="R2040">
        <v>-2.010493E-2</v>
      </c>
      <c r="S2040">
        <v>-2.988556</v>
      </c>
      <c r="T2040">
        <v>-0.2845029</v>
      </c>
      <c r="U2040">
        <v>5.7006840000000003E-2</v>
      </c>
      <c r="V2040">
        <v>-3.3858319999999997E-2</v>
      </c>
      <c r="W2040">
        <v>-6.4665879999999995E-2</v>
      </c>
      <c r="X2040">
        <v>0.99733240000000001</v>
      </c>
      <c r="Y2040">
        <v>5.5753819999999898E-3</v>
      </c>
      <c r="Z2040">
        <v>-7.8134119999999905E-4</v>
      </c>
      <c r="AA2040">
        <v>0.99998410000000004</v>
      </c>
      <c r="AB2040">
        <v>44</v>
      </c>
      <c r="AC2040">
        <v>-0.57650000000001</v>
      </c>
      <c r="AD2040">
        <v>-8.8844999999999993E-2</v>
      </c>
      <c r="AE2040">
        <v>1.25999999999635E-2</v>
      </c>
      <c r="AF2040">
        <v>4.69786174761709E-3</v>
      </c>
      <c r="AG2040">
        <v>-8.8844999999999993E-2</v>
      </c>
      <c r="AH2040">
        <v>0.56324678074611201</v>
      </c>
      <c r="AI2040">
        <v>98.963516014092605</v>
      </c>
      <c r="AJ2040">
        <v>89.522125259103504</v>
      </c>
      <c r="AK2040">
        <v>0.57023016401349602</v>
      </c>
      <c r="AL2040">
        <v>93.707669156794594</v>
      </c>
      <c r="AM2040">
        <v>91.944380905822698</v>
      </c>
      <c r="AN2040">
        <v>0.99999998897957798</v>
      </c>
    </row>
    <row r="2041" spans="1:40" x14ac:dyDescent="0.25">
      <c r="A2041" t="str">
        <f>"20190305135233375"</f>
        <v>20190305135233375</v>
      </c>
      <c r="B2041" t="str">
        <f>"1551765153371976"</f>
        <v>1551765153371976</v>
      </c>
      <c r="C2041" t="s">
        <v>40</v>
      </c>
      <c r="D2041">
        <v>4.4810930000000004</v>
      </c>
      <c r="E2041">
        <v>0.51406989999999997</v>
      </c>
      <c r="F2041" t="s">
        <v>41</v>
      </c>
      <c r="G2041">
        <v>-322.01749999999998</v>
      </c>
      <c r="H2041">
        <v>1.0149360000000001</v>
      </c>
      <c r="I2041">
        <v>284.25420000000003</v>
      </c>
      <c r="J2041">
        <v>-321.49689999999998</v>
      </c>
      <c r="K2041">
        <v>1.1070040000000001</v>
      </c>
      <c r="L2041">
        <v>284.2432</v>
      </c>
      <c r="M2041">
        <v>-0.99978359999999999</v>
      </c>
      <c r="N2041">
        <v>-1.455158E-2</v>
      </c>
      <c r="O2041">
        <v>1.4870950000000001E-2</v>
      </c>
      <c r="P2041">
        <v>-0.99669870000000005</v>
      </c>
      <c r="Q2041">
        <v>-7.8834089999999996E-2</v>
      </c>
      <c r="R2041">
        <v>-1.9421999999999998E-2</v>
      </c>
      <c r="S2041">
        <v>-2.9886469999999998</v>
      </c>
      <c r="T2041">
        <v>-0.28382929999999901</v>
      </c>
      <c r="U2041">
        <v>5.5328370000000002E-2</v>
      </c>
      <c r="V2041">
        <v>-3.4520910000000002E-2</v>
      </c>
      <c r="W2041">
        <v>-6.4179360000000005E-2</v>
      </c>
      <c r="X2041">
        <v>0.99734109999999998</v>
      </c>
      <c r="Y2041">
        <v>3.666571E-3</v>
      </c>
      <c r="Z2041">
        <v>-9.9246300000000007E-4</v>
      </c>
      <c r="AA2041">
        <v>0.99999280000000002</v>
      </c>
      <c r="AB2041">
        <v>44</v>
      </c>
      <c r="AC2041">
        <v>-0.52060000000000095</v>
      </c>
      <c r="AD2041">
        <v>-9.2067999999999997E-2</v>
      </c>
      <c r="AE2041">
        <v>1.10000000000241E-2</v>
      </c>
      <c r="AF2041">
        <v>3.15744001683315E-3</v>
      </c>
      <c r="AG2041">
        <v>-9.2067999999999997E-2</v>
      </c>
      <c r="AH2041">
        <v>0.50492122609695</v>
      </c>
      <c r="AI2041">
        <v>100.333660245684</v>
      </c>
      <c r="AJ2041">
        <v>89.641715143569897</v>
      </c>
      <c r="AK2041">
        <v>0.51325620367873503</v>
      </c>
      <c r="AL2041">
        <v>93.679735632873502</v>
      </c>
      <c r="AM2041">
        <v>91.982384097180798</v>
      </c>
      <c r="AN2041">
        <v>0.99999997661322304</v>
      </c>
    </row>
    <row r="2042" spans="1:40" x14ac:dyDescent="0.25">
      <c r="A2042" t="str">
        <f>"20190305135233389"</f>
        <v>20190305135233389</v>
      </c>
      <c r="B2042" t="str">
        <f>"1551765153381737"</f>
        <v>1551765153381737</v>
      </c>
      <c r="C2042" t="s">
        <v>40</v>
      </c>
      <c r="D2042">
        <v>4.5606970000000002</v>
      </c>
      <c r="E2042">
        <v>0.51398599999999905</v>
      </c>
      <c r="F2042" t="s">
        <v>41</v>
      </c>
      <c r="G2042">
        <v>-322.41430000000003</v>
      </c>
      <c r="H2042">
        <v>1.0207360000000001</v>
      </c>
      <c r="I2042">
        <v>284.2604</v>
      </c>
      <c r="J2042">
        <v>-321.7747</v>
      </c>
      <c r="K2042">
        <v>1.1070439999999999</v>
      </c>
      <c r="L2042">
        <v>284.24799999999999</v>
      </c>
      <c r="M2042">
        <v>-0.99977099999999997</v>
      </c>
      <c r="N2042">
        <v>-1.454944E-2</v>
      </c>
      <c r="O2042">
        <v>1.5690570000000001E-2</v>
      </c>
      <c r="P2042">
        <v>-0.99674640000000003</v>
      </c>
      <c r="Q2042">
        <v>-7.8359269999999995E-2</v>
      </c>
      <c r="R2042">
        <v>-1.8889090000000001E-2</v>
      </c>
      <c r="S2042">
        <v>-2.9888309999999998</v>
      </c>
      <c r="T2042">
        <v>-0.28110669999999999</v>
      </c>
      <c r="U2042">
        <v>5.52063E-2</v>
      </c>
      <c r="V2042">
        <v>-3.4797799999999997E-2</v>
      </c>
      <c r="W2042">
        <v>-6.3708150000000005E-2</v>
      </c>
      <c r="X2042">
        <v>0.99736170000000002</v>
      </c>
      <c r="Y2042">
        <v>2.811015E-3</v>
      </c>
      <c r="Z2042">
        <v>-1.0919980000000001E-3</v>
      </c>
      <c r="AA2042">
        <v>0.99999550000000004</v>
      </c>
      <c r="AB2042">
        <v>44</v>
      </c>
      <c r="AC2042">
        <v>-0.63960000000002903</v>
      </c>
      <c r="AD2042">
        <v>-8.6307999999999996E-2</v>
      </c>
      <c r="AE2042">
        <v>1.24000000000137E-2</v>
      </c>
      <c r="AF2042">
        <v>2.3195020365125501E-3</v>
      </c>
      <c r="AG2042">
        <v>-8.6307999999999996E-2</v>
      </c>
      <c r="AH2042">
        <v>0.62827980441422604</v>
      </c>
      <c r="AI2042">
        <v>97.821821194850102</v>
      </c>
      <c r="AJ2042">
        <v>89.788474700994001</v>
      </c>
      <c r="AK2042">
        <v>0.63418448702918795</v>
      </c>
      <c r="AL2042">
        <v>93.652681880967606</v>
      </c>
      <c r="AM2042">
        <v>91.9982305931822</v>
      </c>
      <c r="AN2042">
        <v>0.99999998794407596</v>
      </c>
    </row>
    <row r="2043" spans="1:40" x14ac:dyDescent="0.25">
      <c r="A2043" t="str">
        <f>"20190305135233400"</f>
        <v>20190305135233400</v>
      </c>
      <c r="B2043" t="str">
        <f>"1551765153391496"</f>
        <v>1551765153391496</v>
      </c>
      <c r="C2043" t="s">
        <v>40</v>
      </c>
      <c r="D2043">
        <v>4.5653750000000004</v>
      </c>
      <c r="E2043">
        <v>0.51391579999999903</v>
      </c>
      <c r="F2043" t="s">
        <v>41</v>
      </c>
      <c r="G2043">
        <v>-322.8032</v>
      </c>
      <c r="H2043">
        <v>1.0109589999999999</v>
      </c>
      <c r="I2043">
        <v>284.2672</v>
      </c>
      <c r="J2043">
        <v>-322.0052</v>
      </c>
      <c r="K2043">
        <v>1.1070739999999999</v>
      </c>
      <c r="L2043">
        <v>284.25200000000001</v>
      </c>
      <c r="M2043">
        <v>-0.99976039999999999</v>
      </c>
      <c r="N2043">
        <v>-1.4547579999999999E-2</v>
      </c>
      <c r="O2043">
        <v>1.635385E-2</v>
      </c>
      <c r="P2043">
        <v>-0.99681569999999997</v>
      </c>
      <c r="Q2043">
        <v>-7.7716770000000004E-2</v>
      </c>
      <c r="R2043">
        <v>-1.7854310000000002E-2</v>
      </c>
      <c r="S2043">
        <v>-2.988953</v>
      </c>
      <c r="T2043">
        <v>-0.27916869999999999</v>
      </c>
      <c r="U2043">
        <v>5.621338E-2</v>
      </c>
      <c r="V2043">
        <v>-3.4418240000000003E-2</v>
      </c>
      <c r="W2043">
        <v>-6.3070790000000002E-2</v>
      </c>
      <c r="X2043">
        <v>0.99741539999999995</v>
      </c>
      <c r="Y2043">
        <v>2.4867050000000001E-3</v>
      </c>
      <c r="Z2043">
        <v>-1.1524079999999999E-3</v>
      </c>
      <c r="AA2043">
        <v>0.9999962</v>
      </c>
      <c r="AB2043">
        <v>44</v>
      </c>
      <c r="AC2043">
        <v>-0.79800000000000104</v>
      </c>
      <c r="AD2043">
        <v>-9.6114999999999895E-2</v>
      </c>
      <c r="AE2043">
        <v>1.51999999999929E-2</v>
      </c>
      <c r="AF2043">
        <v>2.1155341140956601E-3</v>
      </c>
      <c r="AG2043">
        <v>-9.6114999999999895E-2</v>
      </c>
      <c r="AH2043">
        <v>0.78673289604832497</v>
      </c>
      <c r="AI2043">
        <v>96.965272383179894</v>
      </c>
      <c r="AJ2043">
        <v>89.845931338815106</v>
      </c>
      <c r="AK2043">
        <v>0.79258514901187305</v>
      </c>
      <c r="AL2043">
        <v>93.616090171390098</v>
      </c>
      <c r="AM2043">
        <v>91.976345776487605</v>
      </c>
      <c r="AN2043">
        <v>1.00000000997654</v>
      </c>
    </row>
    <row r="2044" spans="1:40" x14ac:dyDescent="0.25">
      <c r="A2044" t="str">
        <f>"20190305135233413"</f>
        <v>20190305135233413</v>
      </c>
      <c r="B2044" t="str">
        <f>"1551765153401256"</f>
        <v>1551765153401256</v>
      </c>
      <c r="C2044" t="s">
        <v>40</v>
      </c>
      <c r="D2044">
        <v>4.5400510000000001</v>
      </c>
      <c r="E2044">
        <v>0.51384940000000001</v>
      </c>
      <c r="F2044" t="s">
        <v>41</v>
      </c>
      <c r="G2044">
        <v>-322.81439999999998</v>
      </c>
      <c r="H2044">
        <v>1.032157</v>
      </c>
      <c r="I2044">
        <v>284.26780000000002</v>
      </c>
      <c r="J2044">
        <v>-322.25290000000001</v>
      </c>
      <c r="K2044">
        <v>1.1071089999999999</v>
      </c>
      <c r="L2044">
        <v>284.25670000000002</v>
      </c>
      <c r="M2044">
        <v>-0.999749</v>
      </c>
      <c r="N2044">
        <v>-1.454561E-2</v>
      </c>
      <c r="O2044">
        <v>1.704514E-2</v>
      </c>
      <c r="P2044">
        <v>-0.99687610000000004</v>
      </c>
      <c r="Q2044">
        <v>-7.7231049999999996E-2</v>
      </c>
      <c r="R2044">
        <v>-1.6549680000000001E-2</v>
      </c>
      <c r="S2044">
        <v>-2.9890750000000001</v>
      </c>
      <c r="T2044">
        <v>-0.27666570000000001</v>
      </c>
      <c r="U2044">
        <v>5.8715820000000002E-2</v>
      </c>
      <c r="V2044">
        <v>-3.3796220000000002E-2</v>
      </c>
      <c r="W2044">
        <v>-6.2591740000000007E-2</v>
      </c>
      <c r="X2044">
        <v>0.99746690000000005</v>
      </c>
      <c r="Y2044">
        <v>2.6318779999999998E-3</v>
      </c>
      <c r="Z2044">
        <v>-1.1858249999999999E-3</v>
      </c>
      <c r="AA2044">
        <v>0.99999579999999999</v>
      </c>
      <c r="AB2044">
        <v>44</v>
      </c>
      <c r="AC2044">
        <v>-0.56149999999996603</v>
      </c>
      <c r="AD2044">
        <v>-7.4952000000000102E-2</v>
      </c>
      <c r="AE2044">
        <v>1.1099999999999E-2</v>
      </c>
      <c r="AF2044">
        <v>1.4998153909186599E-3</v>
      </c>
      <c r="AG2044">
        <v>-7.4952000000000102E-2</v>
      </c>
      <c r="AH2044">
        <v>0.55177967947158102</v>
      </c>
      <c r="AI2044">
        <v>97.735502685409401</v>
      </c>
      <c r="AJ2044">
        <v>89.844262332388396</v>
      </c>
      <c r="AK2044">
        <v>0.55684905174379795</v>
      </c>
      <c r="AL2044">
        <v>93.588588096694494</v>
      </c>
      <c r="AM2044">
        <v>91.940555917749805</v>
      </c>
      <c r="AN2044">
        <v>1.00000006349906</v>
      </c>
    </row>
    <row r="2045" spans="1:40" x14ac:dyDescent="0.25">
      <c r="A2045" t="str">
        <f>"20190305135233432"</f>
        <v>20190305135233432</v>
      </c>
      <c r="B2045" t="str">
        <f>"1551765153421752"</f>
        <v>1551765153421752</v>
      </c>
      <c r="C2045" t="s">
        <v>40</v>
      </c>
      <c r="D2045">
        <v>4.6268789999999997</v>
      </c>
      <c r="E2045">
        <v>0.51371290000000003</v>
      </c>
      <c r="F2045" t="s">
        <v>41</v>
      </c>
      <c r="G2045">
        <v>-323.20089999999999</v>
      </c>
      <c r="H2045">
        <v>1.0200830000000001</v>
      </c>
      <c r="I2045">
        <v>284.27659999999997</v>
      </c>
      <c r="J2045">
        <v>-322.60849999999999</v>
      </c>
      <c r="K2045">
        <v>1.1071690000000001</v>
      </c>
      <c r="L2045">
        <v>284.26350000000002</v>
      </c>
      <c r="M2045">
        <v>-0.99973230000000002</v>
      </c>
      <c r="N2045">
        <v>-1.454281E-2</v>
      </c>
      <c r="O2045">
        <v>1.7998509999999999E-2</v>
      </c>
      <c r="P2045">
        <v>-0.99693379999999998</v>
      </c>
      <c r="Q2045">
        <v>-7.6972570000000004E-2</v>
      </c>
      <c r="R2045">
        <v>-1.4083790000000001E-2</v>
      </c>
      <c r="S2045">
        <v>-2.9892270000000001</v>
      </c>
      <c r="T2045">
        <v>-0.27451769999999998</v>
      </c>
      <c r="U2045">
        <v>6.2133790000000001E-2</v>
      </c>
      <c r="V2045">
        <v>-3.2272290000000002E-2</v>
      </c>
      <c r="W2045">
        <v>-6.2345829999999998E-2</v>
      </c>
      <c r="X2045">
        <v>0.99753270000000005</v>
      </c>
      <c r="Y2045">
        <v>2.8213790000000002E-3</v>
      </c>
      <c r="Z2045">
        <v>-1.237985E-3</v>
      </c>
      <c r="AA2045">
        <v>0.99999519999999997</v>
      </c>
      <c r="AB2045">
        <v>44</v>
      </c>
      <c r="AC2045">
        <v>-0.59239999999999704</v>
      </c>
      <c r="AD2045">
        <v>-8.7085999999999997E-2</v>
      </c>
      <c r="AE2045">
        <v>1.3099999999951701E-2</v>
      </c>
      <c r="AF2045">
        <v>2.38296109639787E-3</v>
      </c>
      <c r="AG2045">
        <v>-8.7085999999999997E-2</v>
      </c>
      <c r="AH2045">
        <v>0.58001155986277797</v>
      </c>
      <c r="AI2045">
        <v>98.538835384430001</v>
      </c>
      <c r="AJ2045">
        <v>89.764603234115896</v>
      </c>
      <c r="AK2045">
        <v>0.586517740118779</v>
      </c>
      <c r="AL2045">
        <v>93.574471164169395</v>
      </c>
      <c r="AM2045">
        <v>91.8529931931851</v>
      </c>
      <c r="AN2045">
        <v>0.99999999539476103</v>
      </c>
    </row>
    <row r="2046" spans="1:40" x14ac:dyDescent="0.25">
      <c r="A2046" t="str">
        <f>"20190305135233452"</f>
        <v>20190305135233452</v>
      </c>
      <c r="B2046" t="str">
        <f>"1551765153441271"</f>
        <v>1551765153441271</v>
      </c>
      <c r="C2046" t="s">
        <v>40</v>
      </c>
      <c r="D2046">
        <v>4.5768990000000001</v>
      </c>
      <c r="E2046">
        <v>0.51355090000000003</v>
      </c>
      <c r="F2046" t="s">
        <v>41</v>
      </c>
      <c r="G2046">
        <v>-323.5926</v>
      </c>
      <c r="H2046">
        <v>1.0174270000000001</v>
      </c>
      <c r="I2046">
        <v>284.28609999999998</v>
      </c>
      <c r="J2046">
        <v>-323.02409999999998</v>
      </c>
      <c r="K2046">
        <v>1.107253</v>
      </c>
      <c r="L2046">
        <v>284.27190000000002</v>
      </c>
      <c r="M2046">
        <v>-0.99971319999999997</v>
      </c>
      <c r="N2046">
        <v>-1.453951E-2</v>
      </c>
      <c r="O2046">
        <v>1.9032230000000001E-2</v>
      </c>
      <c r="P2046">
        <v>-0.99697539999999996</v>
      </c>
      <c r="Q2046">
        <v>-7.688768E-2</v>
      </c>
      <c r="R2046">
        <v>-1.132638E-2</v>
      </c>
      <c r="S2046">
        <v>-2.9891359999999998</v>
      </c>
      <c r="T2046">
        <v>-0.2726635</v>
      </c>
      <c r="U2046">
        <v>6.8328860000000005E-2</v>
      </c>
      <c r="V2046">
        <v>-3.0533359999999999E-2</v>
      </c>
      <c r="W2046">
        <v>-6.2276390000000001E-2</v>
      </c>
      <c r="X2046">
        <v>0.99759180000000003</v>
      </c>
      <c r="Y2046">
        <v>3.8569089999999999E-3</v>
      </c>
      <c r="Z2046">
        <v>-1.2522130000000001E-3</v>
      </c>
      <c r="AA2046">
        <v>0.99999179999999999</v>
      </c>
      <c r="AB2046">
        <v>44</v>
      </c>
      <c r="AC2046">
        <v>-0.56850000000002798</v>
      </c>
      <c r="AD2046">
        <v>-8.9825999999999906E-2</v>
      </c>
      <c r="AE2046">
        <v>1.41999999999598E-2</v>
      </c>
      <c r="AF2046">
        <v>3.2942690668631199E-3</v>
      </c>
      <c r="AG2046">
        <v>-8.9825999999999906E-2</v>
      </c>
      <c r="AH2046">
        <v>0.55482436832913096</v>
      </c>
      <c r="AI2046">
        <v>99.196224129047295</v>
      </c>
      <c r="AJ2046">
        <v>89.659810370808799</v>
      </c>
      <c r="AK2046">
        <v>0.562058397478859</v>
      </c>
      <c r="AL2046">
        <v>93.570484721124004</v>
      </c>
      <c r="AM2046">
        <v>91.753108519944107</v>
      </c>
      <c r="AN2046">
        <v>1.0000000171257799</v>
      </c>
    </row>
    <row r="2047" spans="1:40" x14ac:dyDescent="0.25">
      <c r="A2047" t="str">
        <f>"20190305135233464"</f>
        <v>20190305135233464</v>
      </c>
      <c r="B2047" t="str">
        <f>"1551765153461768"</f>
        <v>1551765153461768</v>
      </c>
      <c r="C2047" t="s">
        <v>40</v>
      </c>
      <c r="D2047">
        <v>4.5841890000000003</v>
      </c>
      <c r="E2047">
        <v>0.51341340000000002</v>
      </c>
      <c r="F2047" t="s">
        <v>41</v>
      </c>
      <c r="G2047">
        <v>-323.9864</v>
      </c>
      <c r="H2047">
        <v>1.0199290000000001</v>
      </c>
      <c r="I2047">
        <v>284.29629999999997</v>
      </c>
      <c r="J2047">
        <v>-323.26420000000002</v>
      </c>
      <c r="K2047">
        <v>1.107302</v>
      </c>
      <c r="L2047">
        <v>284.27690000000001</v>
      </c>
      <c r="M2047">
        <v>-0.99970230000000004</v>
      </c>
      <c r="N2047">
        <v>-1.453759E-2</v>
      </c>
      <c r="O2047">
        <v>1.9597079999999999E-2</v>
      </c>
      <c r="P2047">
        <v>-0.99700569999999999</v>
      </c>
      <c r="Q2047">
        <v>-7.6687160000000004E-2</v>
      </c>
      <c r="R2047">
        <v>-9.9517679999999997E-3</v>
      </c>
      <c r="S2047">
        <v>-2.9890439999999998</v>
      </c>
      <c r="T2047">
        <v>-0.27132620000000002</v>
      </c>
      <c r="U2047">
        <v>7.5286870000000006E-2</v>
      </c>
      <c r="V2047">
        <v>-2.971362E-2</v>
      </c>
      <c r="W2047">
        <v>-6.2084159999999999E-2</v>
      </c>
      <c r="X2047">
        <v>0.99762850000000003</v>
      </c>
      <c r="Y2047">
        <v>5.611853E-3</v>
      </c>
      <c r="Z2047">
        <v>-1.1953300000000001E-3</v>
      </c>
      <c r="AA2047">
        <v>0.99998350000000003</v>
      </c>
      <c r="AB2047">
        <v>44</v>
      </c>
      <c r="AC2047">
        <v>-0.72219999999998596</v>
      </c>
      <c r="AD2047">
        <v>-8.7372999999999895E-2</v>
      </c>
      <c r="AE2047">
        <v>1.9399999999961798E-2</v>
      </c>
      <c r="AF2047">
        <v>5.1662061255056402E-3</v>
      </c>
      <c r="AG2047">
        <v>-8.7372999999999895E-2</v>
      </c>
      <c r="AH2047">
        <v>0.71202737313824205</v>
      </c>
      <c r="AI2047">
        <v>96.995618669179706</v>
      </c>
      <c r="AJ2047">
        <v>89.584290402078906</v>
      </c>
      <c r="AK2047">
        <v>0.71738672340159504</v>
      </c>
      <c r="AL2047">
        <v>93.559449520890496</v>
      </c>
      <c r="AM2047">
        <v>91.706007665116005</v>
      </c>
      <c r="AN2047">
        <v>0.99999998307432902</v>
      </c>
    </row>
    <row r="2048" spans="1:40" x14ac:dyDescent="0.25">
      <c r="A2048" t="str">
        <f>"20190305135233480"</f>
        <v>20190305135233480</v>
      </c>
      <c r="B2048" t="str">
        <f>"1551765153471528"</f>
        <v>1551765153471528</v>
      </c>
      <c r="C2048" t="s">
        <v>40</v>
      </c>
      <c r="D2048">
        <v>4.5800619999999999</v>
      </c>
      <c r="E2048">
        <v>0.51333130000000005</v>
      </c>
      <c r="F2048" t="s">
        <v>41</v>
      </c>
      <c r="G2048">
        <v>-324.00040000000001</v>
      </c>
      <c r="H2048">
        <v>1.0409409999999999</v>
      </c>
      <c r="I2048">
        <v>284.29629999999997</v>
      </c>
      <c r="J2048">
        <v>-323.5444</v>
      </c>
      <c r="K2048">
        <v>1.1073759999999999</v>
      </c>
      <c r="L2048">
        <v>284.28280000000001</v>
      </c>
      <c r="M2048">
        <v>-0.99969050000000004</v>
      </c>
      <c r="N2048">
        <v>-1.45351E-2</v>
      </c>
      <c r="O2048">
        <v>2.0189260000000001E-2</v>
      </c>
      <c r="P2048">
        <v>-0.99695210000000001</v>
      </c>
      <c r="Q2048">
        <v>-7.7515529999999999E-2</v>
      </c>
      <c r="R2048">
        <v>-8.8158609999999995E-3</v>
      </c>
      <c r="S2048">
        <v>-2.9890140000000001</v>
      </c>
      <c r="T2048">
        <v>-0.26955630000000003</v>
      </c>
      <c r="U2048">
        <v>7.8247070000000002E-2</v>
      </c>
      <c r="V2048">
        <v>-2.9159299999999999E-2</v>
      </c>
      <c r="W2048">
        <v>-6.2922790000000006E-2</v>
      </c>
      <c r="X2048">
        <v>0.99759229999999999</v>
      </c>
      <c r="Y2048">
        <v>6.0087219999999898E-3</v>
      </c>
      <c r="Z2048">
        <v>-1.2094250000000001E-3</v>
      </c>
      <c r="AA2048">
        <v>0.99998120000000001</v>
      </c>
      <c r="AB2048">
        <v>44</v>
      </c>
      <c r="AC2048">
        <v>-0.456000000000017</v>
      </c>
      <c r="AD2048">
        <v>-6.6434999999999994E-2</v>
      </c>
      <c r="AE2048">
        <v>1.3499999999964899E-2</v>
      </c>
      <c r="AF2048">
        <v>4.2008833927123096E-3</v>
      </c>
      <c r="AG2048">
        <v>-6.6434999999999994E-2</v>
      </c>
      <c r="AH2048">
        <v>0.44670622392828302</v>
      </c>
      <c r="AI2048">
        <v>98.458765481348905</v>
      </c>
      <c r="AJ2048">
        <v>89.4611989252125</v>
      </c>
      <c r="AK2048">
        <v>0.45163891234319498</v>
      </c>
      <c r="AL2048">
        <v>93.607593665130395</v>
      </c>
      <c r="AM2048">
        <v>91.674260381795094</v>
      </c>
      <c r="AN2048">
        <v>0.99999996964858096</v>
      </c>
    </row>
    <row r="2049" spans="1:40" x14ac:dyDescent="0.25">
      <c r="A2049" t="str">
        <f>"20190305135233498"</f>
        <v>20190305135233498</v>
      </c>
      <c r="B2049" t="str">
        <f>"1551765153492023"</f>
        <v>1551765153492023</v>
      </c>
      <c r="C2049" t="s">
        <v>40</v>
      </c>
      <c r="D2049">
        <v>4.6032010000000003</v>
      </c>
      <c r="E2049">
        <v>0.51314659999999901</v>
      </c>
      <c r="F2049" t="s">
        <v>41</v>
      </c>
      <c r="G2049">
        <v>-324.38400000000001</v>
      </c>
      <c r="H2049">
        <v>1.0309740000000001</v>
      </c>
      <c r="I2049">
        <v>284.30590000000001</v>
      </c>
      <c r="J2049">
        <v>-323.92939999999999</v>
      </c>
      <c r="K2049">
        <v>1.107486</v>
      </c>
      <c r="L2049">
        <v>284.2912</v>
      </c>
      <c r="M2049">
        <v>-0.9996758</v>
      </c>
      <c r="N2049">
        <v>-1.453161E-2</v>
      </c>
      <c r="O2049">
        <v>2.091003E-2</v>
      </c>
      <c r="P2049">
        <v>-0.99684930000000005</v>
      </c>
      <c r="Q2049">
        <v>-7.8924980000000006E-2</v>
      </c>
      <c r="R2049">
        <v>-7.9054739999999991E-3</v>
      </c>
      <c r="S2049">
        <v>-2.9887700000000001</v>
      </c>
      <c r="T2049">
        <v>-0.27208529999999997</v>
      </c>
      <c r="U2049">
        <v>8.1054689999999999E-2</v>
      </c>
      <c r="V2049">
        <v>-2.8951649999999999E-2</v>
      </c>
      <c r="W2049">
        <v>-6.4346029999999999E-2</v>
      </c>
      <c r="X2049">
        <v>0.99750760000000005</v>
      </c>
      <c r="Y2049">
        <v>6.2304259999999998E-3</v>
      </c>
      <c r="Z2049">
        <v>-1.2673739999999999E-3</v>
      </c>
      <c r="AA2049">
        <v>0.99997979999999997</v>
      </c>
      <c r="AB2049">
        <v>44</v>
      </c>
      <c r="AC2049">
        <v>-0.45460000000002698</v>
      </c>
      <c r="AD2049">
        <v>-7.65119999999999E-2</v>
      </c>
      <c r="AE2049">
        <v>1.47000000000048E-2</v>
      </c>
      <c r="AF2049">
        <v>5.0472581445169303E-3</v>
      </c>
      <c r="AG2049">
        <v>-7.65119999999999E-2</v>
      </c>
      <c r="AH2049">
        <v>0.44229227886640199</v>
      </c>
      <c r="AI2049">
        <v>99.813820764220196</v>
      </c>
      <c r="AJ2049">
        <v>89.346192435312105</v>
      </c>
      <c r="AK2049">
        <v>0.44888976475702003</v>
      </c>
      <c r="AL2049">
        <v>93.689304773761705</v>
      </c>
      <c r="AM2049">
        <v>91.662485380126</v>
      </c>
      <c r="AN2049">
        <v>1.00000001083612</v>
      </c>
    </row>
    <row r="2050" spans="1:40" x14ac:dyDescent="0.25">
      <c r="A2050" t="str">
        <f>"20190305135233511"</f>
        <v>20190305135233511</v>
      </c>
      <c r="B2050" t="str">
        <f>"1551765153501784"</f>
        <v>1551765153501784</v>
      </c>
      <c r="C2050" t="s">
        <v>40</v>
      </c>
      <c r="D2050">
        <v>4.6141110000000003</v>
      </c>
      <c r="E2050">
        <v>0.51306189999999996</v>
      </c>
      <c r="F2050" t="s">
        <v>41</v>
      </c>
      <c r="G2050">
        <v>-324.77519999999998</v>
      </c>
      <c r="H2050">
        <v>1.0296430000000001</v>
      </c>
      <c r="I2050">
        <v>284.31490000000002</v>
      </c>
      <c r="J2050">
        <v>-324.1712</v>
      </c>
      <c r="K2050">
        <v>1.1075740000000001</v>
      </c>
      <c r="L2050">
        <v>284.29660000000001</v>
      </c>
      <c r="M2050">
        <v>-0.9996678</v>
      </c>
      <c r="N2050">
        <v>-1.4529439999999999E-2</v>
      </c>
      <c r="O2050">
        <v>2.1293650000000001E-2</v>
      </c>
      <c r="P2050">
        <v>-0.99678920000000004</v>
      </c>
      <c r="Q2050">
        <v>-7.9690650000000002E-2</v>
      </c>
      <c r="R2050">
        <v>-7.8326379999999994E-3</v>
      </c>
      <c r="S2050">
        <v>-2.9883730000000002</v>
      </c>
      <c r="T2050">
        <v>-0.27530710000000003</v>
      </c>
      <c r="U2050">
        <v>8.221436E-2</v>
      </c>
      <c r="V2050">
        <v>-2.924889E-2</v>
      </c>
      <c r="W2050">
        <v>-6.5119819999999995E-2</v>
      </c>
      <c r="X2050">
        <v>0.99744869999999997</v>
      </c>
      <c r="Y2050">
        <v>6.2402380000000004E-3</v>
      </c>
      <c r="Z2050">
        <v>-1.3158620000000001E-3</v>
      </c>
      <c r="AA2050">
        <v>0.99997970000000003</v>
      </c>
      <c r="AB2050">
        <v>44</v>
      </c>
      <c r="AC2050">
        <v>-0.60399999999998499</v>
      </c>
      <c r="AD2050">
        <v>-7.7930999999999903E-2</v>
      </c>
      <c r="AE2050">
        <v>1.8300000000010599E-2</v>
      </c>
      <c r="AF2050">
        <v>5.34424281719995E-3</v>
      </c>
      <c r="AG2050">
        <v>-7.7930999999999903E-2</v>
      </c>
      <c r="AH2050">
        <v>0.59436714022691695</v>
      </c>
      <c r="AI2050">
        <v>97.4694800589034</v>
      </c>
      <c r="AJ2050">
        <v>89.4848397800546</v>
      </c>
      <c r="AK2050">
        <v>0.59947818898923499</v>
      </c>
      <c r="AL2050">
        <v>93.733732902900101</v>
      </c>
      <c r="AM2050">
        <v>91.679643134021006</v>
      </c>
      <c r="AN2050">
        <v>0.999999998827377</v>
      </c>
    </row>
    <row r="2051" spans="1:40" x14ac:dyDescent="0.25">
      <c r="A2051" t="str">
        <f>"20190305135233523"</f>
        <v>20190305135233523</v>
      </c>
      <c r="B2051" t="str">
        <f>"1551765153511545"</f>
        <v>1551765153511545</v>
      </c>
      <c r="C2051" t="s">
        <v>40</v>
      </c>
      <c r="D2051">
        <v>4.5778809999999996</v>
      </c>
      <c r="E2051">
        <v>0.51298069999999996</v>
      </c>
      <c r="F2051" t="s">
        <v>41</v>
      </c>
      <c r="G2051">
        <v>-325.1601</v>
      </c>
      <c r="H2051">
        <v>1.0158830000000001</v>
      </c>
      <c r="I2051">
        <v>284.32369999999997</v>
      </c>
      <c r="J2051">
        <v>-324.40589999999997</v>
      </c>
      <c r="K2051">
        <v>1.1076629999999901</v>
      </c>
      <c r="L2051">
        <v>284.30180000000001</v>
      </c>
      <c r="M2051">
        <v>-0.99966069999999996</v>
      </c>
      <c r="N2051">
        <v>-1.4527389999999999E-2</v>
      </c>
      <c r="O2051">
        <v>2.1622240000000001E-2</v>
      </c>
      <c r="P2051">
        <v>-0.99675150000000001</v>
      </c>
      <c r="Q2051">
        <v>-8.0139210000000002E-2</v>
      </c>
      <c r="R2051">
        <v>-8.0262930000000003E-3</v>
      </c>
      <c r="S2051">
        <v>-2.9881899999999999</v>
      </c>
      <c r="T2051">
        <v>-0.27714569999999999</v>
      </c>
      <c r="U2051">
        <v>8.1817630000000002E-2</v>
      </c>
      <c r="V2051">
        <v>-2.9756910000000001E-2</v>
      </c>
      <c r="W2051">
        <v>-6.5575969999999997E-2</v>
      </c>
      <c r="X2051">
        <v>0.99740379999999995</v>
      </c>
      <c r="Y2051">
        <v>5.784473E-3</v>
      </c>
      <c r="Z2051">
        <v>-1.3771670000000001E-3</v>
      </c>
      <c r="AA2051">
        <v>0.99998229999999999</v>
      </c>
      <c r="AB2051">
        <v>44</v>
      </c>
      <c r="AC2051">
        <v>-0.75420000000002496</v>
      </c>
      <c r="AD2051">
        <v>-9.1779999999999695E-2</v>
      </c>
      <c r="AE2051">
        <v>2.1899999999959601E-2</v>
      </c>
      <c r="AF2051">
        <v>5.5042222849248802E-3</v>
      </c>
      <c r="AG2051">
        <v>-9.1779999999999695E-2</v>
      </c>
      <c r="AH2051">
        <v>0.74349612658355801</v>
      </c>
      <c r="AI2051">
        <v>97.037017729661102</v>
      </c>
      <c r="AJ2051">
        <v>89.575837810190095</v>
      </c>
      <c r="AK2051">
        <v>0.74915976607644597</v>
      </c>
      <c r="AL2051">
        <v>93.759924310682905</v>
      </c>
      <c r="AM2051">
        <v>91.708876357872199</v>
      </c>
      <c r="AN2051">
        <v>1.0000000108943099</v>
      </c>
    </row>
    <row r="2052" spans="1:40" x14ac:dyDescent="0.25">
      <c r="A2052" t="str">
        <f>"20190305135233542"</f>
        <v>20190305135233542</v>
      </c>
      <c r="B2052" t="str">
        <f>"1551765153532040"</f>
        <v>1551765153532040</v>
      </c>
      <c r="C2052" t="s">
        <v>40</v>
      </c>
      <c r="D2052">
        <v>4.5587</v>
      </c>
      <c r="E2052">
        <v>0.5128298</v>
      </c>
      <c r="F2052" t="s">
        <v>41</v>
      </c>
      <c r="G2052">
        <v>-325.17230000000001</v>
      </c>
      <c r="H2052">
        <v>1.036394</v>
      </c>
      <c r="I2052">
        <v>284.32249999999999</v>
      </c>
      <c r="J2052">
        <v>-324.78140000000002</v>
      </c>
      <c r="K2052">
        <v>1.1078129999999999</v>
      </c>
      <c r="L2052">
        <v>284.31029999999998</v>
      </c>
      <c r="M2052">
        <v>-0.99965199999999999</v>
      </c>
      <c r="N2052">
        <v>-1.4523980000000001E-2</v>
      </c>
      <c r="O2052">
        <v>2.2024060000000002E-2</v>
      </c>
      <c r="P2052">
        <v>-0.99674390000000002</v>
      </c>
      <c r="Q2052">
        <v>-8.0142630000000006E-2</v>
      </c>
      <c r="R2052">
        <v>-8.8952739999999999E-3</v>
      </c>
      <c r="S2052">
        <v>-2.9880680000000002</v>
      </c>
      <c r="T2052">
        <v>-0.2779915</v>
      </c>
      <c r="U2052">
        <v>8.0444340000000003E-2</v>
      </c>
      <c r="V2052">
        <v>-3.100197E-2</v>
      </c>
      <c r="W2052">
        <v>-6.5591159999999996E-2</v>
      </c>
      <c r="X2052">
        <v>0.9973649</v>
      </c>
      <c r="Y2052">
        <v>4.9302199999999999E-3</v>
      </c>
      <c r="Z2052">
        <v>-1.4599229999999999E-3</v>
      </c>
      <c r="AA2052">
        <v>0.99998679999999995</v>
      </c>
      <c r="AB2052">
        <v>44</v>
      </c>
      <c r="AC2052">
        <v>-0.39089999999998698</v>
      </c>
      <c r="AD2052">
        <v>-7.1418999999999899E-2</v>
      </c>
      <c r="AE2052">
        <v>1.2200000000007E-2</v>
      </c>
      <c r="AF2052">
        <v>3.4711699365990801E-3</v>
      </c>
      <c r="AG2052">
        <v>-7.1418999999999899E-2</v>
      </c>
      <c r="AH2052">
        <v>0.37845312689863903</v>
      </c>
      <c r="AI2052">
        <v>100.686337127778</v>
      </c>
      <c r="AJ2052">
        <v>89.474498170493106</v>
      </c>
      <c r="AK2052">
        <v>0.38514866200090397</v>
      </c>
      <c r="AL2052">
        <v>93.760796427774807</v>
      </c>
      <c r="AM2052">
        <v>91.780401820150502</v>
      </c>
      <c r="AN2052">
        <v>1.0000000330830101</v>
      </c>
    </row>
    <row r="2053" spans="1:40" x14ac:dyDescent="0.25">
      <c r="A2053" t="str">
        <f>"20190305135233555"</f>
        <v>20190305135233555</v>
      </c>
      <c r="B2053" t="str">
        <f>"1551765153551561"</f>
        <v>1551765153551561</v>
      </c>
      <c r="C2053" t="s">
        <v>40</v>
      </c>
      <c r="D2053">
        <v>4.5961869999999996</v>
      </c>
      <c r="E2053">
        <v>0.51268349999999996</v>
      </c>
      <c r="F2053" t="s">
        <v>41</v>
      </c>
      <c r="G2053">
        <v>-325.56290000000001</v>
      </c>
      <c r="H2053">
        <v>1.0354829999999999</v>
      </c>
      <c r="I2053">
        <v>284.33069999999998</v>
      </c>
      <c r="J2053">
        <v>-325.03500000000003</v>
      </c>
      <c r="K2053">
        <v>1.1079190000000001</v>
      </c>
      <c r="L2053">
        <v>284.31599999999997</v>
      </c>
      <c r="M2053">
        <v>-0.99964790000000003</v>
      </c>
      <c r="N2053">
        <v>-1.4521829999999999E-2</v>
      </c>
      <c r="O2053">
        <v>2.2210730000000001E-2</v>
      </c>
      <c r="P2053">
        <v>-0.99676830000000005</v>
      </c>
      <c r="Q2053">
        <v>-7.9760629999999999E-2</v>
      </c>
      <c r="R2053">
        <v>-9.5448749999999995E-3</v>
      </c>
      <c r="S2053">
        <v>-2.988251</v>
      </c>
      <c r="T2053">
        <v>-0.27692879999999997</v>
      </c>
      <c r="U2053">
        <v>7.6721189999999995E-2</v>
      </c>
      <c r="V2053">
        <v>-3.182074E-2</v>
      </c>
      <c r="W2053">
        <v>-6.5217380000000005E-2</v>
      </c>
      <c r="X2053">
        <v>0.99736360000000002</v>
      </c>
      <c r="Y2053">
        <v>3.5039730000000001E-3</v>
      </c>
      <c r="Z2053">
        <v>-1.5438509999999999E-3</v>
      </c>
      <c r="AA2053">
        <v>0.99999269999999996</v>
      </c>
      <c r="AB2053">
        <v>44</v>
      </c>
      <c r="AC2053">
        <v>-0.52789999999998805</v>
      </c>
      <c r="AD2053">
        <v>-7.2436000000000098E-2</v>
      </c>
      <c r="AE2053">
        <v>1.47000000000048E-2</v>
      </c>
      <c r="AF2053">
        <v>2.9152468497513902E-3</v>
      </c>
      <c r="AG2053">
        <v>-7.2436000000000098E-2</v>
      </c>
      <c r="AH2053">
        <v>0.51834441908584805</v>
      </c>
      <c r="AI2053">
        <v>97.955151696943801</v>
      </c>
      <c r="AJ2053">
        <v>89.677763329773697</v>
      </c>
      <c r="AK2053">
        <v>0.52338934795966197</v>
      </c>
      <c r="AL2053">
        <v>93.739334551081896</v>
      </c>
      <c r="AM2053">
        <v>91.827393599282999</v>
      </c>
      <c r="AN2053">
        <v>1.0000000083765801</v>
      </c>
    </row>
    <row r="2054" spans="1:40" x14ac:dyDescent="0.25">
      <c r="A2054" t="str">
        <f>"20190305135233568"</f>
        <v>20190305135233568</v>
      </c>
      <c r="B2054" t="str">
        <f>"1551765153561320"</f>
        <v>1551765153561320</v>
      </c>
      <c r="C2054" t="s">
        <v>40</v>
      </c>
      <c r="D2054">
        <v>4.6183959999999997</v>
      </c>
      <c r="E2054">
        <v>0.51261520000000005</v>
      </c>
      <c r="F2054" t="s">
        <v>41</v>
      </c>
      <c r="G2054">
        <v>-325.94630000000001</v>
      </c>
      <c r="H2054">
        <v>1.0241009999999999</v>
      </c>
      <c r="I2054">
        <v>284.33859999999999</v>
      </c>
      <c r="J2054">
        <v>-325.27370000000002</v>
      </c>
      <c r="K2054">
        <v>1.10802</v>
      </c>
      <c r="L2054">
        <v>284.32139999999998</v>
      </c>
      <c r="M2054">
        <v>-0.9996448</v>
      </c>
      <c r="N2054">
        <v>-1.4519870000000001E-2</v>
      </c>
      <c r="O2054">
        <v>2.2348400000000001E-2</v>
      </c>
      <c r="P2054">
        <v>-0.99678599999999995</v>
      </c>
      <c r="Q2054">
        <v>-7.9451240000000006E-2</v>
      </c>
      <c r="R2054">
        <v>-1.025331E-2</v>
      </c>
      <c r="S2054">
        <v>-2.9884339999999998</v>
      </c>
      <c r="T2054">
        <v>-0.27489540000000001</v>
      </c>
      <c r="U2054">
        <v>7.3608399999999893E-2</v>
      </c>
      <c r="V2054">
        <v>-3.2650779999999997E-2</v>
      </c>
      <c r="W2054">
        <v>-6.4916080000000001E-2</v>
      </c>
      <c r="X2054">
        <v>0.99735640000000003</v>
      </c>
      <c r="Y2054">
        <v>2.3289600000000001E-3</v>
      </c>
      <c r="Z2054">
        <v>-1.6030829999999999E-3</v>
      </c>
      <c r="AA2054">
        <v>0.999996</v>
      </c>
      <c r="AB2054">
        <v>44</v>
      </c>
      <c r="AC2054">
        <v>-0.67259999999998799</v>
      </c>
      <c r="AD2054">
        <v>-8.3918999999999994E-2</v>
      </c>
      <c r="AE2054">
        <v>1.7200000000002501E-2</v>
      </c>
      <c r="AF2054">
        <v>2.1294569518564301E-3</v>
      </c>
      <c r="AG2054">
        <v>-8.3918999999999994E-2</v>
      </c>
      <c r="AH2054">
        <v>0.66250981465085101</v>
      </c>
      <c r="AI2054">
        <v>97.219076717386997</v>
      </c>
      <c r="AJ2054">
        <v>89.815838991163105</v>
      </c>
      <c r="AK2054">
        <v>0.66780699880775096</v>
      </c>
      <c r="AL2054">
        <v>93.722034779584803</v>
      </c>
      <c r="AM2054">
        <v>91.875040864119399</v>
      </c>
      <c r="AN2054">
        <v>0.99999997974906696</v>
      </c>
    </row>
    <row r="2055" spans="1:40" x14ac:dyDescent="0.25">
      <c r="A2055" t="str">
        <f>"20190305135233578"</f>
        <v>20190305135233578</v>
      </c>
      <c r="B2055" t="str">
        <f>"1551765153572056"</f>
        <v>1551765153572056</v>
      </c>
      <c r="C2055" t="s">
        <v>40</v>
      </c>
      <c r="D2055">
        <v>4.6209119999999997</v>
      </c>
      <c r="E2055">
        <v>0.51254529999999998</v>
      </c>
      <c r="F2055" t="s">
        <v>41</v>
      </c>
      <c r="G2055">
        <v>-326.33049999999997</v>
      </c>
      <c r="H2055">
        <v>1.0113939999999999</v>
      </c>
      <c r="I2055">
        <v>284.34679999999997</v>
      </c>
      <c r="J2055">
        <v>-325.50069999999999</v>
      </c>
      <c r="K2055">
        <v>1.1081129999999999</v>
      </c>
      <c r="L2055">
        <v>284.32659999999998</v>
      </c>
      <c r="M2055">
        <v>-0.99964359999999997</v>
      </c>
      <c r="N2055">
        <v>-1.4518059999999999E-2</v>
      </c>
      <c r="O2055">
        <v>2.2407759999999999E-2</v>
      </c>
      <c r="P2055">
        <v>-0.99679960000000001</v>
      </c>
      <c r="Q2055">
        <v>-7.915295E-2</v>
      </c>
      <c r="R2055">
        <v>-1.120967E-2</v>
      </c>
      <c r="S2055">
        <v>-2.9886170000000001</v>
      </c>
      <c r="T2055">
        <v>-0.27344479999999999</v>
      </c>
      <c r="U2055">
        <v>7.0800779999999994E-2</v>
      </c>
      <c r="V2055">
        <v>-3.3650119999999999E-2</v>
      </c>
      <c r="W2055">
        <v>-6.4625779999999994E-2</v>
      </c>
      <c r="X2055">
        <v>0.99734210000000001</v>
      </c>
      <c r="Y2055">
        <v>1.3334530000000001E-3</v>
      </c>
      <c r="Z2055">
        <v>-1.6500529999999901E-3</v>
      </c>
      <c r="AA2055">
        <v>0.99999769999999999</v>
      </c>
      <c r="AB2055">
        <v>44</v>
      </c>
      <c r="AC2055">
        <v>-0.829799999999977</v>
      </c>
      <c r="AD2055">
        <v>-9.6718999999999694E-2</v>
      </c>
      <c r="AE2055">
        <v>2.0199999999988401E-2</v>
      </c>
      <c r="AF2055">
        <v>1.5775901167905E-3</v>
      </c>
      <c r="AG2055">
        <v>-9.6718999999999694E-2</v>
      </c>
      <c r="AH2055">
        <v>0.81892534030491404</v>
      </c>
      <c r="AI2055">
        <v>96.735690709514898</v>
      </c>
      <c r="AJ2055">
        <v>89.889624683433894</v>
      </c>
      <c r="AK2055">
        <v>0.82461855833172704</v>
      </c>
      <c r="AL2055">
        <v>93.705366578783497</v>
      </c>
      <c r="AM2055">
        <v>91.932414922323503</v>
      </c>
      <c r="AN2055">
        <v>1.00000004322451</v>
      </c>
    </row>
    <row r="2056" spans="1:40" x14ac:dyDescent="0.25">
      <c r="A2056" t="str">
        <f>"20190305135233600"</f>
        <v>20190305135233600</v>
      </c>
      <c r="B2056" t="str">
        <f>"1551765153591576"</f>
        <v>1551765153591576</v>
      </c>
      <c r="C2056" t="s">
        <v>40</v>
      </c>
      <c r="D2056">
        <v>4.5436360000000002</v>
      </c>
      <c r="E2056">
        <v>0.5123723</v>
      </c>
      <c r="F2056" t="s">
        <v>41</v>
      </c>
      <c r="G2056">
        <v>-326.34120000000001</v>
      </c>
      <c r="H2056">
        <v>1.031657</v>
      </c>
      <c r="I2056">
        <v>284.34589999999997</v>
      </c>
      <c r="J2056">
        <v>-325.90190000000001</v>
      </c>
      <c r="K2056">
        <v>1.1082879999999999</v>
      </c>
      <c r="L2056">
        <v>284.3356</v>
      </c>
      <c r="M2056">
        <v>-0.99964379999999997</v>
      </c>
      <c r="N2056">
        <v>-1.4515E-2</v>
      </c>
      <c r="O2056">
        <v>2.239936E-2</v>
      </c>
      <c r="P2056">
        <v>-0.99681430000000004</v>
      </c>
      <c r="Q2056">
        <v>-7.8677910000000004E-2</v>
      </c>
      <c r="R2056">
        <v>-1.3083310000000001E-2</v>
      </c>
      <c r="S2056">
        <v>-2.9887999999999999</v>
      </c>
      <c r="T2056">
        <v>-0.27210309999999999</v>
      </c>
      <c r="U2056">
        <v>6.7565920000000002E-2</v>
      </c>
      <c r="V2056">
        <v>-3.5487280000000003E-2</v>
      </c>
      <c r="W2056">
        <v>-6.4166150000000005E-2</v>
      </c>
      <c r="X2056">
        <v>0.99730810000000003</v>
      </c>
      <c r="Y2056">
        <v>2.63059E-4</v>
      </c>
      <c r="Z2056">
        <v>-1.6960930000000001E-3</v>
      </c>
      <c r="AA2056">
        <v>0.99999850000000001</v>
      </c>
      <c r="AB2056">
        <v>44</v>
      </c>
      <c r="AC2056">
        <v>-0.43930000000000202</v>
      </c>
      <c r="AD2056">
        <v>-7.6630999999999894E-2</v>
      </c>
      <c r="AE2056">
        <v>1.0299999999972401E-2</v>
      </c>
      <c r="AF2056">
        <v>4.4287163134090198E-4</v>
      </c>
      <c r="AG2056">
        <v>-7.6630999999999894E-2</v>
      </c>
      <c r="AH2056">
        <v>0.42645117512478897</v>
      </c>
      <c r="AI2056">
        <v>100.18702192813799</v>
      </c>
      <c r="AJ2056">
        <v>89.940498074105705</v>
      </c>
      <c r="AK2056">
        <v>0.43328179174942799</v>
      </c>
      <c r="AL2056">
        <v>93.6789769437394</v>
      </c>
      <c r="AM2056">
        <v>92.037899698642804</v>
      </c>
      <c r="AN2056">
        <v>1.0000000440866099</v>
      </c>
    </row>
    <row r="2057" spans="1:40" x14ac:dyDescent="0.25">
      <c r="A2057" t="str">
        <f>"20190305135233613"</f>
        <v>20190305135233613</v>
      </c>
      <c r="B2057" t="str">
        <f>"1551765153601337"</f>
        <v>1551765153601337</v>
      </c>
      <c r="C2057" t="s">
        <v>40</v>
      </c>
      <c r="D2057">
        <v>4.5742209999999996</v>
      </c>
      <c r="E2057">
        <v>0.51231300000000002</v>
      </c>
      <c r="F2057" t="s">
        <v>41</v>
      </c>
      <c r="G2057">
        <v>-326.73289999999997</v>
      </c>
      <c r="H2057">
        <v>1.0330790000000001</v>
      </c>
      <c r="I2057">
        <v>284.3526</v>
      </c>
      <c r="J2057">
        <v>-326.14879999999999</v>
      </c>
      <c r="K2057">
        <v>1.1084080000000001</v>
      </c>
      <c r="L2057">
        <v>284.34109999999998</v>
      </c>
      <c r="M2057">
        <v>-0.99964589999999998</v>
      </c>
      <c r="N2057">
        <v>-1.451321E-2</v>
      </c>
      <c r="O2057">
        <v>2.2306200000000002E-2</v>
      </c>
      <c r="P2057">
        <v>-0.99681790000000003</v>
      </c>
      <c r="Q2057">
        <v>-7.8419310000000006E-2</v>
      </c>
      <c r="R2057">
        <v>-1.430859E-2</v>
      </c>
      <c r="S2057">
        <v>-2.9890439999999998</v>
      </c>
      <c r="T2057">
        <v>-0.27072479999999999</v>
      </c>
      <c r="U2057">
        <v>6.0241699999999898E-2</v>
      </c>
      <c r="V2057">
        <v>-3.6602549999999998E-2</v>
      </c>
      <c r="W2057">
        <v>-6.391811E-2</v>
      </c>
      <c r="X2057">
        <v>0.9972837</v>
      </c>
      <c r="Y2057">
        <v>-2.0847180000000002E-3</v>
      </c>
      <c r="Z2057">
        <v>-1.801927E-3</v>
      </c>
      <c r="AA2057">
        <v>0.9999962</v>
      </c>
      <c r="AB2057">
        <v>44</v>
      </c>
      <c r="AC2057">
        <v>-0.58409999999997797</v>
      </c>
      <c r="AD2057">
        <v>-7.5328999999999896E-2</v>
      </c>
      <c r="AE2057">
        <v>1.15000000000122E-2</v>
      </c>
      <c r="AF2057">
        <v>-1.5082098185858399E-3</v>
      </c>
      <c r="AG2057">
        <v>-7.5328999999999896E-2</v>
      </c>
      <c r="AH2057">
        <v>0.57465707101248897</v>
      </c>
      <c r="AI2057">
        <v>97.468018604095306</v>
      </c>
      <c r="AJ2057">
        <v>90.150374655028898</v>
      </c>
      <c r="AK2057">
        <v>0.57957526017119598</v>
      </c>
      <c r="AL2057">
        <v>93.664736135969505</v>
      </c>
      <c r="AM2057">
        <v>92.101940226681805</v>
      </c>
      <c r="AN2057">
        <v>1.0000000248690799</v>
      </c>
    </row>
    <row r="2058" spans="1:40" x14ac:dyDescent="0.25">
      <c r="A2058" t="str">
        <f>"20190305135233626"</f>
        <v>20190305135233626</v>
      </c>
      <c r="B2058" t="str">
        <f>"1551765153621832"</f>
        <v>1551765153621832</v>
      </c>
      <c r="C2058" t="s">
        <v>40</v>
      </c>
      <c r="D2058">
        <v>4.6271680000000002</v>
      </c>
      <c r="E2058">
        <v>0.51218430000000004</v>
      </c>
      <c r="F2058" t="s">
        <v>41</v>
      </c>
      <c r="G2058">
        <v>-327.1155</v>
      </c>
      <c r="H2058">
        <v>1.0212920000000001</v>
      </c>
      <c r="I2058">
        <v>284.35950000000003</v>
      </c>
      <c r="J2058">
        <v>-326.42020000000002</v>
      </c>
      <c r="K2058">
        <v>1.10853</v>
      </c>
      <c r="L2058">
        <v>284.34710000000001</v>
      </c>
      <c r="M2058">
        <v>-0.99964960000000003</v>
      </c>
      <c r="N2058">
        <v>-1.45113E-2</v>
      </c>
      <c r="O2058">
        <v>2.2145290000000002E-2</v>
      </c>
      <c r="P2058">
        <v>-0.99685959999999996</v>
      </c>
      <c r="Q2058">
        <v>-7.7695120000000006E-2</v>
      </c>
      <c r="R2058">
        <v>-1.532713E-2</v>
      </c>
      <c r="S2058">
        <v>-2.989166</v>
      </c>
      <c r="T2058">
        <v>-0.26959300000000003</v>
      </c>
      <c r="U2058">
        <v>5.603027E-2</v>
      </c>
      <c r="V2058">
        <v>-3.7441189999999999E-2</v>
      </c>
      <c r="W2058">
        <v>-6.320605E-2</v>
      </c>
      <c r="X2058">
        <v>0.99729789999999996</v>
      </c>
      <c r="Y2058">
        <v>-3.3282490000000001E-3</v>
      </c>
      <c r="Z2058">
        <v>-1.845983E-3</v>
      </c>
      <c r="AA2058">
        <v>0.99999269999999996</v>
      </c>
      <c r="AB2058">
        <v>44</v>
      </c>
      <c r="AC2058">
        <v>-0.69529999999997405</v>
      </c>
      <c r="AD2058">
        <v>-8.7237999999999899E-2</v>
      </c>
      <c r="AE2058">
        <v>1.24000000000137E-2</v>
      </c>
      <c r="AF2058">
        <v>-2.95576513441721E-3</v>
      </c>
      <c r="AG2058">
        <v>-8.7237999999999899E-2</v>
      </c>
      <c r="AH2058">
        <v>0.68462988978969597</v>
      </c>
      <c r="AI2058">
        <v>97.261633646737195</v>
      </c>
      <c r="AJ2058">
        <v>90.2473625790645</v>
      </c>
      <c r="AK2058">
        <v>0.69017192871413002</v>
      </c>
      <c r="AL2058">
        <v>93.623855621061196</v>
      </c>
      <c r="AM2058">
        <v>92.150024739583301</v>
      </c>
      <c r="AN2058">
        <v>0.99999997440481303</v>
      </c>
    </row>
    <row r="2059" spans="1:40" x14ac:dyDescent="0.25">
      <c r="A2059" t="str">
        <f>"20190305135233644"</f>
        <v>20190305135233644</v>
      </c>
      <c r="B2059" t="str">
        <f>"1551765153631592"</f>
        <v>1551765153631592</v>
      </c>
      <c r="C2059" t="s">
        <v>40</v>
      </c>
      <c r="D2059">
        <v>4.5943199999999997</v>
      </c>
      <c r="E2059">
        <v>0.51211260000000003</v>
      </c>
      <c r="F2059" t="s">
        <v>41</v>
      </c>
      <c r="G2059">
        <v>-327.50049999999999</v>
      </c>
      <c r="H2059">
        <v>1.012176</v>
      </c>
      <c r="I2059">
        <v>284.36599999999999</v>
      </c>
      <c r="J2059">
        <v>-326.75790000000001</v>
      </c>
      <c r="K2059">
        <v>1.108697</v>
      </c>
      <c r="L2059">
        <v>284.3544</v>
      </c>
      <c r="M2059">
        <v>-0.99965689999999996</v>
      </c>
      <c r="N2059">
        <v>-1.450917E-2</v>
      </c>
      <c r="O2059">
        <v>2.1812439999999999E-2</v>
      </c>
      <c r="P2059">
        <v>-0.99688949999999998</v>
      </c>
      <c r="Q2059">
        <v>-7.7063049999999994E-2</v>
      </c>
      <c r="R2059">
        <v>-1.6517980000000002E-2</v>
      </c>
      <c r="S2059">
        <v>-2.9894409999999998</v>
      </c>
      <c r="T2059">
        <v>-0.26669690000000001</v>
      </c>
      <c r="U2059">
        <v>5.212402E-2</v>
      </c>
      <c r="V2059">
        <v>-3.8275820000000002E-2</v>
      </c>
      <c r="W2059">
        <v>-6.2590629999999994E-2</v>
      </c>
      <c r="X2059">
        <v>0.997305</v>
      </c>
      <c r="Y2059">
        <v>-4.3016010000000004E-3</v>
      </c>
      <c r="Z2059">
        <v>-1.8485260000000001E-3</v>
      </c>
      <c r="AA2059">
        <v>0.99998900000000002</v>
      </c>
      <c r="AB2059">
        <v>44</v>
      </c>
      <c r="AC2059">
        <v>-0.74259999999998105</v>
      </c>
      <c r="AD2059">
        <v>-9.6520999999999996E-2</v>
      </c>
      <c r="AE2059">
        <v>1.15999999999871E-2</v>
      </c>
      <c r="AF2059">
        <v>-4.5259390877663E-3</v>
      </c>
      <c r="AG2059">
        <v>-9.6520999999999996E-2</v>
      </c>
      <c r="AH2059">
        <v>0.73034092956395102</v>
      </c>
      <c r="AI2059">
        <v>97.528371472459</v>
      </c>
      <c r="AJ2059">
        <v>90.355058683026996</v>
      </c>
      <c r="AK2059">
        <v>0.73670527415104203</v>
      </c>
      <c r="AL2059">
        <v>93.588524802132298</v>
      </c>
      <c r="AM2059">
        <v>92.1978904488262</v>
      </c>
      <c r="AN2059">
        <v>0.99999994419273297</v>
      </c>
    </row>
    <row r="2060" spans="1:40" x14ac:dyDescent="0.25">
      <c r="A2060" t="str">
        <f>"20190305135233668"</f>
        <v>20190305135233668</v>
      </c>
      <c r="B2060" t="str">
        <f>"1551765153661848"</f>
        <v>1551765153661848</v>
      </c>
      <c r="C2060" t="s">
        <v>40</v>
      </c>
      <c r="D2060">
        <v>4.6101260000000002</v>
      </c>
      <c r="E2060">
        <v>0.51192420000000005</v>
      </c>
      <c r="F2060" t="s">
        <v>56</v>
      </c>
      <c r="G2060">
        <v>-339.29259999999999</v>
      </c>
      <c r="H2060" s="1">
        <v>3.410929E-6</v>
      </c>
      <c r="I2060">
        <v>284.55560000000003</v>
      </c>
      <c r="J2060">
        <v>-327.20400000000001</v>
      </c>
      <c r="K2060">
        <v>1.1089209999999901</v>
      </c>
      <c r="L2060">
        <v>284.36369999999999</v>
      </c>
      <c r="M2060">
        <v>-0.99967030000000001</v>
      </c>
      <c r="N2060">
        <v>-1.45068E-2</v>
      </c>
      <c r="O2060">
        <v>2.1191769999999999E-2</v>
      </c>
      <c r="P2060">
        <v>-0.99687979999999998</v>
      </c>
      <c r="Q2060">
        <v>-7.7067109999999994E-2</v>
      </c>
      <c r="R2060">
        <v>-1.7076310000000001E-2</v>
      </c>
      <c r="S2060">
        <v>-2.9897459999999998</v>
      </c>
      <c r="T2060">
        <v>-0.26444279999999998</v>
      </c>
      <c r="U2060">
        <v>4.7973630000000003E-2</v>
      </c>
      <c r="V2060">
        <v>-3.8180640000000002E-2</v>
      </c>
      <c r="W2060">
        <v>-6.261796E-2</v>
      </c>
      <c r="X2060">
        <v>0.99730700000000005</v>
      </c>
      <c r="Y2060">
        <v>-5.0700520000000002E-3</v>
      </c>
      <c r="Z2060">
        <v>-1.8241380000000001E-3</v>
      </c>
      <c r="AA2060">
        <v>0.99998549999999997</v>
      </c>
      <c r="AB2060">
        <v>44</v>
      </c>
      <c r="AC2060">
        <v>-12.0885999999999</v>
      </c>
      <c r="AD2060">
        <v>-1.1089175890709999</v>
      </c>
      <c r="AE2060">
        <v>0.19190000000003199</v>
      </c>
      <c r="AF2060">
        <v>-6.3812030112440604E-2</v>
      </c>
      <c r="AG2060">
        <v>-1.1089175890709999</v>
      </c>
      <c r="AH2060">
        <v>11.989090792274499</v>
      </c>
      <c r="AI2060">
        <v>95.284399293481101</v>
      </c>
      <c r="AJ2060">
        <v>90.304954357783203</v>
      </c>
      <c r="AK2060">
        <v>12.0404347188936</v>
      </c>
      <c r="AL2060">
        <v>93.590093532586195</v>
      </c>
      <c r="AM2060">
        <v>92.192425930063294</v>
      </c>
      <c r="AN2060">
        <v>1.0000000112171801</v>
      </c>
    </row>
    <row r="2061" spans="1:40" x14ac:dyDescent="0.25">
      <c r="A2061" t="str">
        <f>"20190305135233689"</f>
        <v>20190305135233689</v>
      </c>
      <c r="B2061" t="str">
        <f>"1551765153681368"</f>
        <v>1551765153681368</v>
      </c>
      <c r="C2061" t="s">
        <v>40</v>
      </c>
      <c r="D2061">
        <v>4.6047710000000004</v>
      </c>
      <c r="E2061">
        <v>0.5118163</v>
      </c>
      <c r="F2061" t="s">
        <v>41</v>
      </c>
      <c r="G2061">
        <v>-328.2792</v>
      </c>
      <c r="H2061">
        <v>1.0141260000000001</v>
      </c>
      <c r="I2061">
        <v>284.37979999999999</v>
      </c>
      <c r="J2061">
        <v>-327.63659999999999</v>
      </c>
      <c r="K2061">
        <v>1.109151</v>
      </c>
      <c r="L2061">
        <v>284.3723</v>
      </c>
      <c r="M2061">
        <v>-0.99968710000000005</v>
      </c>
      <c r="N2061">
        <v>-1.450504E-2</v>
      </c>
      <c r="O2061">
        <v>2.0380789999999999E-2</v>
      </c>
      <c r="P2061">
        <v>-0.99680939999999996</v>
      </c>
      <c r="Q2061">
        <v>-7.7926319999999993E-2</v>
      </c>
      <c r="R2061">
        <v>-1.7270279999999999E-2</v>
      </c>
      <c r="S2061">
        <v>-2.9897459999999998</v>
      </c>
      <c r="T2061">
        <v>-0.2635691</v>
      </c>
      <c r="U2061">
        <v>4.4677729999999999E-2</v>
      </c>
      <c r="V2061">
        <v>-3.7528930000000002E-2</v>
      </c>
      <c r="W2061">
        <v>-6.3500619999999994E-2</v>
      </c>
      <c r="X2061">
        <v>0.99727589999999999</v>
      </c>
      <c r="Y2061">
        <v>-5.3624079999999999E-3</v>
      </c>
      <c r="Z2061">
        <v>-1.772694E-3</v>
      </c>
      <c r="AA2061">
        <v>0.99998399999999998</v>
      </c>
      <c r="AB2061">
        <v>44</v>
      </c>
      <c r="AC2061">
        <v>-0.64260000000001505</v>
      </c>
      <c r="AD2061">
        <v>-9.5024999999999901E-2</v>
      </c>
      <c r="AE2061">
        <v>7.4999999999931797E-3</v>
      </c>
      <c r="AF2061">
        <v>-5.4798190162977899E-3</v>
      </c>
      <c r="AG2061">
        <v>-9.5024999999999901E-2</v>
      </c>
      <c r="AH2061">
        <v>0.62886958946207605</v>
      </c>
      <c r="AI2061">
        <v>98.592322661284697</v>
      </c>
      <c r="AJ2061">
        <v>90.499249067212801</v>
      </c>
      <c r="AK2061">
        <v>0.63603202717445895</v>
      </c>
      <c r="AL2061">
        <v>93.6407671732983</v>
      </c>
      <c r="AM2061">
        <v>92.155105876557101</v>
      </c>
      <c r="AN2061">
        <v>0.99999998502406895</v>
      </c>
    </row>
    <row r="2062" spans="1:40" x14ac:dyDescent="0.25">
      <c r="A2062" t="str">
        <f>"20190305135233710"</f>
        <v>20190305135233710</v>
      </c>
      <c r="B2062" t="str">
        <f>"1551765153701864"</f>
        <v>1551765153701864</v>
      </c>
      <c r="C2062" t="s">
        <v>40</v>
      </c>
      <c r="D2062">
        <v>4.5785989999999996</v>
      </c>
      <c r="E2062">
        <v>0.51170789999999999</v>
      </c>
      <c r="F2062" t="s">
        <v>41</v>
      </c>
      <c r="G2062">
        <v>-328.66919999999999</v>
      </c>
      <c r="H2062">
        <v>1.017601</v>
      </c>
      <c r="I2062">
        <v>284.38760000000002</v>
      </c>
      <c r="J2062">
        <v>-328.04989999999998</v>
      </c>
      <c r="K2062">
        <v>1.109364</v>
      </c>
      <c r="L2062">
        <v>284.38010000000003</v>
      </c>
      <c r="M2062">
        <v>-0.99970579999999998</v>
      </c>
      <c r="N2062">
        <v>-1.45038999999999E-2</v>
      </c>
      <c r="O2062">
        <v>1.9442439999999998E-2</v>
      </c>
      <c r="P2062">
        <v>-0.99676730000000002</v>
      </c>
      <c r="Q2062">
        <v>-7.8410889999999997E-2</v>
      </c>
      <c r="R2062">
        <v>-1.751656E-2</v>
      </c>
      <c r="S2062">
        <v>-2.9895939999999999</v>
      </c>
      <c r="T2062">
        <v>-0.2652912</v>
      </c>
      <c r="U2062">
        <v>4.3334959999999999E-2</v>
      </c>
      <c r="V2062">
        <v>-3.6804450000000002E-2</v>
      </c>
      <c r="W2062">
        <v>-6.4005480000000003E-2</v>
      </c>
      <c r="X2062">
        <v>0.99727060000000001</v>
      </c>
      <c r="Y2062">
        <v>-4.8757009999999996E-3</v>
      </c>
      <c r="Z2062">
        <v>-1.691459E-3</v>
      </c>
      <c r="AA2062">
        <v>0.99998670000000001</v>
      </c>
      <c r="AB2062">
        <v>44</v>
      </c>
      <c r="AC2062">
        <v>-0.61930000000000895</v>
      </c>
      <c r="AD2062">
        <v>-9.1762999999999997E-2</v>
      </c>
      <c r="AE2062">
        <v>7.4999999999931797E-3</v>
      </c>
      <c r="AF2062">
        <v>-4.4457943525388899E-3</v>
      </c>
      <c r="AG2062">
        <v>-9.1762999999999997E-2</v>
      </c>
      <c r="AH2062">
        <v>0.60602542265859305</v>
      </c>
      <c r="AI2062">
        <v>98.609963896001602</v>
      </c>
      <c r="AJ2062">
        <v>90.4203135283053</v>
      </c>
      <c r="AK2062">
        <v>0.61294944829484199</v>
      </c>
      <c r="AL2062">
        <v>93.669752580430696</v>
      </c>
      <c r="AM2062">
        <v>92.113551799829196</v>
      </c>
      <c r="AN2062">
        <v>0.99999995931709496</v>
      </c>
    </row>
    <row r="2063" spans="1:40" x14ac:dyDescent="0.25">
      <c r="A2063" t="str">
        <f>"20190305135233721"</f>
        <v>20190305135233721</v>
      </c>
      <c r="B2063" t="str">
        <f>"1551765153711627"</f>
        <v>1551765153711627</v>
      </c>
      <c r="C2063" t="s">
        <v>40</v>
      </c>
      <c r="D2063">
        <v>4.5978399999999997</v>
      </c>
      <c r="E2063">
        <v>0.51166299999999998</v>
      </c>
      <c r="F2063" t="s">
        <v>41</v>
      </c>
      <c r="G2063">
        <v>-329.0582</v>
      </c>
      <c r="H2063">
        <v>1.019658</v>
      </c>
      <c r="I2063">
        <v>284.39420000000001</v>
      </c>
      <c r="J2063">
        <v>-328.27879999999999</v>
      </c>
      <c r="K2063">
        <v>1.1094809999999999</v>
      </c>
      <c r="L2063">
        <v>284.38420000000002</v>
      </c>
      <c r="M2063">
        <v>-0.99971690000000002</v>
      </c>
      <c r="N2063">
        <v>-1.45032999999999E-2</v>
      </c>
      <c r="O2063">
        <v>1.8857949999999998E-2</v>
      </c>
      <c r="P2063">
        <v>-0.99672850000000002</v>
      </c>
      <c r="Q2063">
        <v>-7.8884880000000004E-2</v>
      </c>
      <c r="R2063">
        <v>-1.7592380000000001E-2</v>
      </c>
      <c r="S2063">
        <v>-2.9895019999999999</v>
      </c>
      <c r="T2063">
        <v>-0.26603929999999998</v>
      </c>
      <c r="U2063">
        <v>4.1687009999999997E-2</v>
      </c>
      <c r="V2063">
        <v>-3.6278310000000001E-2</v>
      </c>
      <c r="W2063">
        <v>-6.4489999999999895E-2</v>
      </c>
      <c r="X2063">
        <v>0.99725870000000005</v>
      </c>
      <c r="Y2063">
        <v>-4.8430169999999998E-3</v>
      </c>
      <c r="Z2063">
        <v>-1.6518590000000001E-3</v>
      </c>
      <c r="AA2063">
        <v>0.99998690000000001</v>
      </c>
      <c r="AB2063">
        <v>43</v>
      </c>
      <c r="AC2063">
        <v>-0.77940000000000897</v>
      </c>
      <c r="AD2063">
        <v>-8.9822999999999903E-2</v>
      </c>
      <c r="AE2063">
        <v>9.9999999999908998E-3</v>
      </c>
      <c r="AF2063">
        <v>-4.63960032454999E-3</v>
      </c>
      <c r="AG2063">
        <v>-8.9822999999999903E-2</v>
      </c>
      <c r="AH2063">
        <v>0.76923489126246003</v>
      </c>
      <c r="AI2063">
        <v>96.660104962997394</v>
      </c>
      <c r="AJ2063">
        <v>90.3455723301593</v>
      </c>
      <c r="AK2063">
        <v>0.77447531604031195</v>
      </c>
      <c r="AL2063">
        <v>93.697570873123993</v>
      </c>
      <c r="AM2063">
        <v>92.083389062355394</v>
      </c>
      <c r="AN2063">
        <v>0.99999999530107297</v>
      </c>
    </row>
    <row r="2064" spans="1:40" x14ac:dyDescent="0.25">
      <c r="A2064" t="str">
        <f>"20190305135233734"</f>
        <v>20190305135233734</v>
      </c>
      <c r="B2064" t="str">
        <f>"1551765153721384"</f>
        <v>1551765153721384</v>
      </c>
      <c r="C2064" t="s">
        <v>40</v>
      </c>
      <c r="D2064">
        <v>4.5650440000000003</v>
      </c>
      <c r="E2064">
        <v>0.51161400000000001</v>
      </c>
      <c r="F2064" t="s">
        <v>41</v>
      </c>
      <c r="G2064">
        <v>-329.0711</v>
      </c>
      <c r="H2064">
        <v>1.038726</v>
      </c>
      <c r="I2064">
        <v>284.39510000000001</v>
      </c>
      <c r="J2064">
        <v>-328.49950000000001</v>
      </c>
      <c r="K2064">
        <v>1.1095889999999999</v>
      </c>
      <c r="L2064">
        <v>284.3879</v>
      </c>
      <c r="M2064">
        <v>-0.99972870000000003</v>
      </c>
      <c r="N2064">
        <v>-1.450271E-2</v>
      </c>
      <c r="O2064">
        <v>1.8231549999999999E-2</v>
      </c>
      <c r="P2064">
        <v>-0.9967319</v>
      </c>
      <c r="Q2064">
        <v>-7.8796249999999998E-2</v>
      </c>
      <c r="R2064">
        <v>-1.7804770000000001E-2</v>
      </c>
      <c r="S2064">
        <v>-2.989471</v>
      </c>
      <c r="T2064">
        <v>-0.26703890000000002</v>
      </c>
      <c r="U2064">
        <v>4.0954589999999999E-2</v>
      </c>
      <c r="V2064">
        <v>-3.5848610000000003E-2</v>
      </c>
      <c r="W2064">
        <v>-6.4410590000000004E-2</v>
      </c>
      <c r="X2064">
        <v>0.99727929999999998</v>
      </c>
      <c r="Y2064">
        <v>-4.4641339999999998E-3</v>
      </c>
      <c r="Z2064">
        <v>-1.5925689999999901E-3</v>
      </c>
      <c r="AA2064">
        <v>0.99998880000000001</v>
      </c>
      <c r="AB2064">
        <v>43</v>
      </c>
      <c r="AC2064">
        <v>-0.57159999999998901</v>
      </c>
      <c r="AD2064">
        <v>-7.0862999999999898E-2</v>
      </c>
      <c r="AE2064">
        <v>7.2000000000116398E-3</v>
      </c>
      <c r="AF2064">
        <v>-3.1746613966610201E-3</v>
      </c>
      <c r="AG2064">
        <v>-7.0862999999999898E-2</v>
      </c>
      <c r="AH2064">
        <v>0.56298493374207903</v>
      </c>
      <c r="AI2064">
        <v>97.173987312877202</v>
      </c>
      <c r="AJ2064">
        <v>90.3230863928639</v>
      </c>
      <c r="AK2064">
        <v>0.56743605707124101</v>
      </c>
      <c r="AL2064">
        <v>93.693011797568104</v>
      </c>
      <c r="AM2064">
        <v>92.058691143662102</v>
      </c>
      <c r="AN2064">
        <v>0.99999992457578202</v>
      </c>
    </row>
    <row r="2065" spans="1:40" x14ac:dyDescent="0.25">
      <c r="A2065" t="str">
        <f>"20190305135233744"</f>
        <v>20190305135233744</v>
      </c>
      <c r="B2065" t="str">
        <f>"1551765153732120"</f>
        <v>1551765153732120</v>
      </c>
      <c r="C2065" t="s">
        <v>40</v>
      </c>
      <c r="D2065">
        <v>4.5535410000000001</v>
      </c>
      <c r="E2065">
        <v>0.51156509999999999</v>
      </c>
      <c r="F2065" t="s">
        <v>41</v>
      </c>
      <c r="G2065">
        <v>-329.44839999999999</v>
      </c>
      <c r="H2065">
        <v>1.0250330000000001</v>
      </c>
      <c r="I2065">
        <v>284.4006</v>
      </c>
      <c r="J2065">
        <v>-328.72320000000002</v>
      </c>
      <c r="K2065">
        <v>1.109696</v>
      </c>
      <c r="L2065">
        <v>284.39150000000001</v>
      </c>
      <c r="M2065">
        <v>-0.99974039999999997</v>
      </c>
      <c r="N2065">
        <v>-1.4501989999999999E-2</v>
      </c>
      <c r="O2065">
        <v>1.7573109999999999E-2</v>
      </c>
      <c r="P2065">
        <v>-0.9967049</v>
      </c>
      <c r="Q2065">
        <v>-7.9121549999999999E-2</v>
      </c>
      <c r="R2065">
        <v>-1.7862889999999999E-2</v>
      </c>
      <c r="S2065">
        <v>-2.9895019999999999</v>
      </c>
      <c r="T2065">
        <v>-0.26642259999999901</v>
      </c>
      <c r="U2065">
        <v>3.9947509999999999E-2</v>
      </c>
      <c r="V2065">
        <v>-3.5232020000000003E-2</v>
      </c>
      <c r="W2065">
        <v>-6.4744990000000002E-2</v>
      </c>
      <c r="X2065">
        <v>0.99727969999999999</v>
      </c>
      <c r="Y2065">
        <v>-4.1461349999999996E-3</v>
      </c>
      <c r="Z2065">
        <v>-1.522902E-3</v>
      </c>
      <c r="AA2065">
        <v>0.99999020000000005</v>
      </c>
      <c r="AB2065">
        <v>43</v>
      </c>
      <c r="AC2065">
        <v>-0.72519999999997198</v>
      </c>
      <c r="AD2065">
        <v>-8.4662999999999905E-2</v>
      </c>
      <c r="AE2065">
        <v>9.0999999999894499E-3</v>
      </c>
      <c r="AF2065">
        <v>-3.5977385124829802E-3</v>
      </c>
      <c r="AG2065">
        <v>-8.4662999999999905E-2</v>
      </c>
      <c r="AH2065">
        <v>0.71549776662891695</v>
      </c>
      <c r="AI2065">
        <v>96.748198518304804</v>
      </c>
      <c r="AJ2065">
        <v>90.288098027558306</v>
      </c>
      <c r="AK2065">
        <v>0.72049831460064595</v>
      </c>
      <c r="AL2065">
        <v>93.712211286850007</v>
      </c>
      <c r="AM2065">
        <v>92.023310882555904</v>
      </c>
      <c r="AN2065">
        <v>1.00000000449773</v>
      </c>
    </row>
    <row r="2066" spans="1:40" x14ac:dyDescent="0.25">
      <c r="A2066" t="str">
        <f>"20190305135233755"</f>
        <v>20190305135233755</v>
      </c>
      <c r="B2066" t="str">
        <f>"1551765153751640"</f>
        <v>1551765153751640</v>
      </c>
      <c r="C2066" t="s">
        <v>40</v>
      </c>
      <c r="D2066">
        <v>4.7268230000000004</v>
      </c>
      <c r="E2066">
        <v>0.51148899999999997</v>
      </c>
      <c r="F2066" t="s">
        <v>56</v>
      </c>
      <c r="G2066">
        <v>-341.1481</v>
      </c>
      <c r="H2066" s="1">
        <v>-9.2584759999999997E-7</v>
      </c>
      <c r="I2066">
        <v>284.55529999999999</v>
      </c>
      <c r="J2066">
        <v>-328.92</v>
      </c>
      <c r="K2066">
        <v>1.109788</v>
      </c>
      <c r="L2066">
        <v>284.39449999999999</v>
      </c>
      <c r="M2066">
        <v>-0.99975190000000003</v>
      </c>
      <c r="N2066">
        <v>-1.450157E-2</v>
      </c>
      <c r="O2066">
        <v>1.691722E-2</v>
      </c>
      <c r="P2066">
        <v>-0.99669169999999996</v>
      </c>
      <c r="Q2066">
        <v>-7.9223169999999996E-2</v>
      </c>
      <c r="R2066">
        <v>-1.816195E-2</v>
      </c>
      <c r="S2066">
        <v>-2.9894099999999999</v>
      </c>
      <c r="T2066">
        <v>-0.26699279999999997</v>
      </c>
      <c r="U2066">
        <v>3.939819E-2</v>
      </c>
      <c r="V2066">
        <v>-3.4862270000000001E-2</v>
      </c>
      <c r="W2066">
        <v>-6.4854199999999904E-2</v>
      </c>
      <c r="X2066">
        <v>0.99728559999999999</v>
      </c>
      <c r="Y2066">
        <v>-3.6770650000000002E-3</v>
      </c>
      <c r="Z2066">
        <v>-1.4534249999999999E-3</v>
      </c>
      <c r="AA2066">
        <v>0.9999922</v>
      </c>
      <c r="AB2066">
        <v>43</v>
      </c>
      <c r="AC2066">
        <v>-12.2280999999999</v>
      </c>
      <c r="AD2066">
        <v>-1.1097889258475999</v>
      </c>
      <c r="AE2066">
        <v>0.160799999999994</v>
      </c>
      <c r="AF2066">
        <v>-4.5733556197077203E-2</v>
      </c>
      <c r="AG2066">
        <v>-1.1097889258475999</v>
      </c>
      <c r="AH2066">
        <v>12.129180936571601</v>
      </c>
      <c r="AI2066">
        <v>95.227823412806003</v>
      </c>
      <c r="AJ2066">
        <v>90.216034977816093</v>
      </c>
      <c r="AK2066">
        <v>12.1799323976033</v>
      </c>
      <c r="AL2066">
        <v>93.718481729894407</v>
      </c>
      <c r="AM2066">
        <v>92.002082349277003</v>
      </c>
      <c r="AN2066">
        <v>1.0000000065472701</v>
      </c>
    </row>
    <row r="2067" spans="1:40" x14ac:dyDescent="0.25">
      <c r="A2067" t="str">
        <f>"20190305135233777"</f>
        <v>20190305135233777</v>
      </c>
      <c r="B2067" t="str">
        <f>"1551765153771160"</f>
        <v>1551765153771160</v>
      </c>
      <c r="C2067" t="s">
        <v>40</v>
      </c>
      <c r="D2067">
        <v>4.6086809999999998</v>
      </c>
      <c r="E2067">
        <v>0.51141789999999998</v>
      </c>
      <c r="F2067" t="s">
        <v>41</v>
      </c>
      <c r="G2067">
        <v>-329.8372</v>
      </c>
      <c r="H2067">
        <v>1.0281579999999999</v>
      </c>
      <c r="I2067">
        <v>284.40629999999999</v>
      </c>
      <c r="J2067">
        <v>-329.35719999999998</v>
      </c>
      <c r="K2067">
        <v>1.1099950000000001</v>
      </c>
      <c r="L2067">
        <v>284.40069999999997</v>
      </c>
      <c r="M2067">
        <v>-0.99977680000000002</v>
      </c>
      <c r="N2067">
        <v>-1.450072E-2</v>
      </c>
      <c r="O2067">
        <v>1.5372E-2</v>
      </c>
      <c r="P2067">
        <v>-0.99665159999999997</v>
      </c>
      <c r="Q2067">
        <v>-7.9579629999999998E-2</v>
      </c>
      <c r="R2067">
        <v>-1.8785710000000001E-2</v>
      </c>
      <c r="S2067">
        <v>-2.989471</v>
      </c>
      <c r="T2067">
        <v>-0.2663199</v>
      </c>
      <c r="U2067">
        <v>3.7780759999999997E-2</v>
      </c>
      <c r="V2067">
        <v>-3.3911770000000001E-2</v>
      </c>
      <c r="W2067">
        <v>-6.5226119999999999E-2</v>
      </c>
      <c r="X2067">
        <v>0.99729409999999996</v>
      </c>
      <c r="Y2067">
        <v>-2.6819349999999999E-3</v>
      </c>
      <c r="Z2067">
        <v>-1.282755E-3</v>
      </c>
      <c r="AA2067">
        <v>0.99999559999999998</v>
      </c>
      <c r="AB2067">
        <v>43</v>
      </c>
      <c r="AC2067">
        <v>-0.48000000000001802</v>
      </c>
      <c r="AD2067">
        <v>-8.1837000000000104E-2</v>
      </c>
      <c r="AE2067">
        <v>5.6000000000153696E-3</v>
      </c>
      <c r="AF2067">
        <v>-1.72972389853087E-3</v>
      </c>
      <c r="AG2067">
        <v>-8.1837000000000104E-2</v>
      </c>
      <c r="AH2067">
        <v>0.46647175433801202</v>
      </c>
      <c r="AI2067">
        <v>99.950541785253407</v>
      </c>
      <c r="AJ2067">
        <v>90.212457504565606</v>
      </c>
      <c r="AK2067">
        <v>0.47359918085755498</v>
      </c>
      <c r="AL2067">
        <v>93.739836459569702</v>
      </c>
      <c r="AM2067">
        <v>91.947522748036505</v>
      </c>
      <c r="AN2067">
        <v>0.99999998838479798</v>
      </c>
    </row>
    <row r="2068" spans="1:40" x14ac:dyDescent="0.25">
      <c r="A2068" t="str">
        <f>"20190305135233789"</f>
        <v>20190305135233789</v>
      </c>
      <c r="B2068" t="str">
        <f>"1551765153781896"</f>
        <v>1551765153781896</v>
      </c>
      <c r="C2068" t="s">
        <v>40</v>
      </c>
      <c r="D2068">
        <v>4.5481930000000004</v>
      </c>
      <c r="E2068">
        <v>0.51137679999999996</v>
      </c>
      <c r="F2068" t="s">
        <v>41</v>
      </c>
      <c r="G2068">
        <v>-330.22730000000001</v>
      </c>
      <c r="H2068">
        <v>1.0326310000000001</v>
      </c>
      <c r="I2068">
        <v>284.41129999999998</v>
      </c>
      <c r="J2068">
        <v>-329.5949</v>
      </c>
      <c r="K2068">
        <v>1.1100989999999999</v>
      </c>
      <c r="L2068">
        <v>284.40370000000001</v>
      </c>
      <c r="M2068">
        <v>-0.99979030000000002</v>
      </c>
      <c r="N2068">
        <v>-1.450043E-2</v>
      </c>
      <c r="O2068">
        <v>1.446947E-2</v>
      </c>
      <c r="P2068">
        <v>-0.99662439999999997</v>
      </c>
      <c r="Q2068">
        <v>-7.9668320000000001E-2</v>
      </c>
      <c r="R2068">
        <v>-1.9822650000000001E-2</v>
      </c>
      <c r="S2068">
        <v>-2.9895019999999999</v>
      </c>
      <c r="T2068">
        <v>-0.26621070000000002</v>
      </c>
      <c r="U2068">
        <v>3.5369869999999998E-2</v>
      </c>
      <c r="V2068">
        <v>-3.4031869999999999E-2</v>
      </c>
      <c r="W2068">
        <v>-6.5324389999999996E-2</v>
      </c>
      <c r="X2068">
        <v>0.99728360000000005</v>
      </c>
      <c r="Y2068">
        <v>-2.5886540000000001E-3</v>
      </c>
      <c r="Z2068">
        <v>-1.210193E-3</v>
      </c>
      <c r="AA2068">
        <v>0.99999590000000005</v>
      </c>
      <c r="AB2068">
        <v>43</v>
      </c>
      <c r="AC2068">
        <v>-0.63240000000001795</v>
      </c>
      <c r="AD2068">
        <v>-7.7467999999999995E-2</v>
      </c>
      <c r="AE2068">
        <v>7.5999999999680698E-3</v>
      </c>
      <c r="AF2068">
        <v>-1.52930431879491E-3</v>
      </c>
      <c r="AG2068">
        <v>-7.7467999999999995E-2</v>
      </c>
      <c r="AH2068">
        <v>0.62309503251312603</v>
      </c>
      <c r="AI2068">
        <v>97.087067259831301</v>
      </c>
      <c r="AJ2068">
        <v>90.140624627934002</v>
      </c>
      <c r="AK2068">
        <v>0.62789413863981303</v>
      </c>
      <c r="AL2068">
        <v>93.745478863073302</v>
      </c>
      <c r="AM2068">
        <v>91.954435205809901</v>
      </c>
      <c r="AN2068">
        <v>1.00000001146676</v>
      </c>
    </row>
    <row r="2069" spans="1:40" x14ac:dyDescent="0.25">
      <c r="A2069" t="str">
        <f>"20190305135233810"</f>
        <v>20190305135233810</v>
      </c>
      <c r="B2069" t="str">
        <f>"1551765153801866"</f>
        <v>1551765153801866</v>
      </c>
      <c r="C2069" t="s">
        <v>40</v>
      </c>
      <c r="D2069">
        <v>4.5403200000000004</v>
      </c>
      <c r="E2069">
        <v>0.51131139999999997</v>
      </c>
      <c r="F2069" t="s">
        <v>41</v>
      </c>
      <c r="G2069">
        <v>-330.6069</v>
      </c>
      <c r="H2069">
        <v>1.020138</v>
      </c>
      <c r="I2069">
        <v>284.41469999999998</v>
      </c>
      <c r="J2069">
        <v>-329.98489999999998</v>
      </c>
      <c r="K2069">
        <v>1.110257</v>
      </c>
      <c r="L2069">
        <v>284.40809999999999</v>
      </c>
      <c r="M2069">
        <v>-0.99981180000000003</v>
      </c>
      <c r="N2069">
        <v>-1.450009E-2</v>
      </c>
      <c r="O2069">
        <v>1.290353E-2</v>
      </c>
      <c r="P2069">
        <v>-0.99657960000000001</v>
      </c>
      <c r="Q2069">
        <v>-7.9723779999999994E-2</v>
      </c>
      <c r="R2069">
        <v>-2.175734E-2</v>
      </c>
      <c r="S2069">
        <v>-2.9895320000000001</v>
      </c>
      <c r="T2069">
        <v>-0.2659743</v>
      </c>
      <c r="U2069">
        <v>3.1921390000000001E-2</v>
      </c>
      <c r="V2069">
        <v>-3.4380279999999999E-2</v>
      </c>
      <c r="W2069">
        <v>-6.5394800000000003E-2</v>
      </c>
      <c r="X2069">
        <v>0.99726700000000001</v>
      </c>
      <c r="Y2069">
        <v>-2.1822E-3</v>
      </c>
      <c r="Z2069">
        <v>-1.0716020000000001E-3</v>
      </c>
      <c r="AA2069">
        <v>0.99999700000000002</v>
      </c>
      <c r="AB2069">
        <v>43</v>
      </c>
      <c r="AC2069">
        <v>-0.62200000000001399</v>
      </c>
      <c r="AD2069">
        <v>-9.0119000000000005E-2</v>
      </c>
      <c r="AE2069">
        <v>6.5999999999917201E-3</v>
      </c>
      <c r="AF2069">
        <v>-1.39804327135003E-3</v>
      </c>
      <c r="AG2069">
        <v>-9.0119000000000005E-2</v>
      </c>
      <c r="AH2069">
        <v>0.609245588528189</v>
      </c>
      <c r="AI2069">
        <v>98.4140996718655</v>
      </c>
      <c r="AJ2069">
        <v>90.131477092220194</v>
      </c>
      <c r="AK2069">
        <v>0.61587626665349504</v>
      </c>
      <c r="AL2069">
        <v>93.749521835017603</v>
      </c>
      <c r="AM2069">
        <v>91.974461320239996</v>
      </c>
      <c r="AN2069">
        <v>0.99999997640445804</v>
      </c>
    </row>
    <row r="2070" spans="1:40" x14ac:dyDescent="0.25">
      <c r="A2070" t="str">
        <f>"20190305135233834"</f>
        <v>20190305135233834</v>
      </c>
      <c r="B2070" t="str">
        <f>"1551765153821383"</f>
        <v>1551765153821383</v>
      </c>
      <c r="C2070" t="s">
        <v>40</v>
      </c>
      <c r="D2070">
        <v>4.5437089999999998</v>
      </c>
      <c r="E2070">
        <v>0.51123830000000003</v>
      </c>
      <c r="F2070" t="s">
        <v>41</v>
      </c>
      <c r="G2070">
        <v>-330.99360000000001</v>
      </c>
      <c r="H2070">
        <v>1.020956</v>
      </c>
      <c r="I2070">
        <v>284.41719999999998</v>
      </c>
      <c r="J2070">
        <v>-330.43060000000003</v>
      </c>
      <c r="K2070">
        <v>1.1104130000000001</v>
      </c>
      <c r="L2070">
        <v>284.41239999999999</v>
      </c>
      <c r="M2070">
        <v>-0.99983409999999995</v>
      </c>
      <c r="N2070">
        <v>-1.449921E-2</v>
      </c>
      <c r="O2070">
        <v>1.102243E-2</v>
      </c>
      <c r="P2070">
        <v>-0.99655959999999999</v>
      </c>
      <c r="Q2070">
        <v>-7.8891970000000006E-2</v>
      </c>
      <c r="R2070">
        <v>-2.5394300000000002E-2</v>
      </c>
      <c r="S2070">
        <v>-2.9896240000000001</v>
      </c>
      <c r="T2070">
        <v>-0.26504139999999998</v>
      </c>
      <c r="U2070">
        <v>2.5695800000000001E-2</v>
      </c>
      <c r="V2070">
        <v>-3.6121159999999999E-2</v>
      </c>
      <c r="W2070">
        <v>-6.4583799999999997E-2</v>
      </c>
      <c r="X2070">
        <v>0.99725839999999999</v>
      </c>
      <c r="Y2070">
        <v>-2.3878850000000002E-3</v>
      </c>
      <c r="Z2070">
        <v>-9.386485E-4</v>
      </c>
      <c r="AA2070">
        <v>0.99999669999999896</v>
      </c>
      <c r="AB2070">
        <v>43</v>
      </c>
      <c r="AC2070">
        <v>-0.56299999999998795</v>
      </c>
      <c r="AD2070">
        <v>-8.9456999999999898E-2</v>
      </c>
      <c r="AE2070">
        <v>4.7999999999888097E-3</v>
      </c>
      <c r="AF2070">
        <v>-1.37193735231621E-3</v>
      </c>
      <c r="AG2070">
        <v>-8.9456999999999898E-2</v>
      </c>
      <c r="AH2070">
        <v>0.54915512598889504</v>
      </c>
      <c r="AI2070">
        <v>99.252147541578793</v>
      </c>
      <c r="AJ2070">
        <v>90.143139985021193</v>
      </c>
      <c r="AK2070">
        <v>0.55639535355804104</v>
      </c>
      <c r="AL2070">
        <v>93.702956201220104</v>
      </c>
      <c r="AM2070">
        <v>92.074372784484297</v>
      </c>
      <c r="AN2070">
        <v>1.0000000608963699</v>
      </c>
    </row>
    <row r="2071" spans="1:40" x14ac:dyDescent="0.25">
      <c r="A2071" t="str">
        <f>"20190305135233856"</f>
        <v>20190305135233856</v>
      </c>
      <c r="B2071" t="str">
        <f>"1551765153851639"</f>
        <v>1551765153851639</v>
      </c>
      <c r="C2071" t="s">
        <v>40</v>
      </c>
      <c r="D2071">
        <v>4.5787769999999997</v>
      </c>
      <c r="E2071">
        <v>0.51118620000000004</v>
      </c>
      <c r="F2071" t="s">
        <v>41</v>
      </c>
      <c r="G2071">
        <v>-331.3827</v>
      </c>
      <c r="H2071">
        <v>1.027072</v>
      </c>
      <c r="I2071">
        <v>284.4169</v>
      </c>
      <c r="J2071">
        <v>-330.87119999999999</v>
      </c>
      <c r="K2071">
        <v>1.1105370000000001</v>
      </c>
      <c r="L2071">
        <v>284.41570000000002</v>
      </c>
      <c r="M2071">
        <v>-0.99985349999999995</v>
      </c>
      <c r="N2071">
        <v>-1.4497589999999999E-2</v>
      </c>
      <c r="O2071">
        <v>9.0978870000000007E-3</v>
      </c>
      <c r="P2071">
        <v>-0.99656630000000002</v>
      </c>
      <c r="Q2071">
        <v>-7.787848E-2</v>
      </c>
      <c r="R2071">
        <v>-2.8116439999999999E-2</v>
      </c>
      <c r="S2071">
        <v>-2.990021</v>
      </c>
      <c r="T2071">
        <v>-0.26179859999999999</v>
      </c>
      <c r="U2071">
        <v>1.4190670000000001E-2</v>
      </c>
      <c r="V2071">
        <v>-3.6910520000000002E-2</v>
      </c>
      <c r="W2071">
        <v>-6.3585710000000004E-2</v>
      </c>
      <c r="X2071">
        <v>0.9972936</v>
      </c>
      <c r="Y2071">
        <v>-4.3095219999999997E-3</v>
      </c>
      <c r="Z2071">
        <v>-8.8296890000000002E-4</v>
      </c>
      <c r="AA2071">
        <v>0.9999903</v>
      </c>
      <c r="AB2071">
        <v>43</v>
      </c>
      <c r="AC2071">
        <v>-0.51150000000001195</v>
      </c>
      <c r="AD2071">
        <v>-8.3465000000000095E-2</v>
      </c>
      <c r="AE2071">
        <v>1.1999999999829901E-3</v>
      </c>
      <c r="AF2071">
        <v>-3.3645223873180999E-3</v>
      </c>
      <c r="AG2071">
        <v>-8.3465000000000095E-2</v>
      </c>
      <c r="AH2071">
        <v>0.49822375805539498</v>
      </c>
      <c r="AI2071">
        <v>99.509959639209697</v>
      </c>
      <c r="AJ2071">
        <v>90.3869145127302</v>
      </c>
      <c r="AK2071">
        <v>0.50517782940934397</v>
      </c>
      <c r="AL2071">
        <v>93.645652191223107</v>
      </c>
      <c r="AM2071">
        <v>92.119588644177398</v>
      </c>
      <c r="AN2071">
        <v>1.00000002680191</v>
      </c>
    </row>
    <row r="2072" spans="1:40" x14ac:dyDescent="0.25">
      <c r="A2072" t="str">
        <f>"20190305135233877"</f>
        <v>20190305135233877</v>
      </c>
      <c r="B2072" t="str">
        <f>"1551765153871159"</f>
        <v>1551765153871159</v>
      </c>
      <c r="C2072" t="s">
        <v>40</v>
      </c>
      <c r="D2072">
        <v>4.5474430000000003</v>
      </c>
      <c r="E2072">
        <v>0.51114139999999997</v>
      </c>
      <c r="F2072" t="s">
        <v>41</v>
      </c>
      <c r="G2072">
        <v>-331.77269999999999</v>
      </c>
      <c r="H2072">
        <v>1.033018</v>
      </c>
      <c r="I2072">
        <v>284.41750000000002</v>
      </c>
      <c r="J2072">
        <v>-331.29829999999998</v>
      </c>
      <c r="K2072">
        <v>1.110638</v>
      </c>
      <c r="L2072">
        <v>284.41809999999998</v>
      </c>
      <c r="M2072">
        <v>-0.99986920000000001</v>
      </c>
      <c r="N2072">
        <v>-1.4495610000000001E-2</v>
      </c>
      <c r="O2072">
        <v>7.1949519999999897E-3</v>
      </c>
      <c r="P2072">
        <v>-0.99647770000000002</v>
      </c>
      <c r="Q2072">
        <v>-7.7918249999999994E-2</v>
      </c>
      <c r="R2072">
        <v>-3.1000799999999998E-2</v>
      </c>
      <c r="S2072">
        <v>-2.9903870000000001</v>
      </c>
      <c r="T2072">
        <v>-0.25726850000000001</v>
      </c>
      <c r="U2072">
        <v>5.493164E-3</v>
      </c>
      <c r="V2072">
        <v>-3.7883340000000001E-2</v>
      </c>
      <c r="W2072">
        <v>-6.3641089999999997E-2</v>
      </c>
      <c r="X2072">
        <v>0.99725350000000001</v>
      </c>
      <c r="Y2072">
        <v>-5.3174650000000004E-3</v>
      </c>
      <c r="Z2072">
        <v>-7.8064559999999896E-4</v>
      </c>
      <c r="AA2072">
        <v>0.99998560000000003</v>
      </c>
      <c r="AB2072">
        <v>43</v>
      </c>
      <c r="AC2072">
        <v>-0.47440000000000199</v>
      </c>
      <c r="AD2072">
        <v>-7.7619999999999995E-2</v>
      </c>
      <c r="AE2072">
        <v>-5.9999999996307397E-4</v>
      </c>
      <c r="AF2072">
        <v>-3.90898224446346E-3</v>
      </c>
      <c r="AG2072">
        <v>-7.7619999999999995E-2</v>
      </c>
      <c r="AH2072">
        <v>0.462015006849885</v>
      </c>
      <c r="AI2072">
        <v>99.536479066877803</v>
      </c>
      <c r="AJ2072">
        <v>90.484752307907399</v>
      </c>
      <c r="AK2072">
        <v>0.46850614840862698</v>
      </c>
      <c r="AL2072">
        <v>93.648831989966695</v>
      </c>
      <c r="AM2072">
        <v>92.175487291781806</v>
      </c>
      <c r="AN2072">
        <v>0.99999993952409505</v>
      </c>
    </row>
    <row r="2073" spans="1:40" x14ac:dyDescent="0.25">
      <c r="A2073" t="str">
        <f>"20190305135233900"</f>
        <v>20190305135233900</v>
      </c>
      <c r="B2073" t="str">
        <f>"1551765153891655"</f>
        <v>1551765153891655</v>
      </c>
      <c r="C2073" t="s">
        <v>40</v>
      </c>
      <c r="D2073">
        <v>4.4216389999999999</v>
      </c>
      <c r="E2073">
        <v>0.51107309999999995</v>
      </c>
      <c r="F2073" t="s">
        <v>41</v>
      </c>
      <c r="G2073">
        <v>-332.16129999999998</v>
      </c>
      <c r="H2073">
        <v>1.0365120000000001</v>
      </c>
      <c r="I2073">
        <v>284.41699999999997</v>
      </c>
      <c r="J2073">
        <v>-331.71620000000001</v>
      </c>
      <c r="K2073">
        <v>1.110703</v>
      </c>
      <c r="L2073">
        <v>284.41969999999998</v>
      </c>
      <c r="M2073">
        <v>-0.99988089999999996</v>
      </c>
      <c r="N2073">
        <v>-1.4493270000000001E-2</v>
      </c>
      <c r="O2073">
        <v>5.3292790000000001E-3</v>
      </c>
      <c r="P2073">
        <v>-0.99634440000000002</v>
      </c>
      <c r="Q2073">
        <v>-7.839082E-2</v>
      </c>
      <c r="R2073">
        <v>-3.3956460000000001E-2</v>
      </c>
      <c r="S2073">
        <v>-2.9904480000000002</v>
      </c>
      <c r="T2073">
        <v>-0.25672099999999998</v>
      </c>
      <c r="U2073">
        <v>-3.4484860000000002E-3</v>
      </c>
      <c r="V2073">
        <v>-3.8966309999999997E-2</v>
      </c>
      <c r="W2073">
        <v>-6.4128539999999998E-2</v>
      </c>
      <c r="X2073">
        <v>0.99718059999999997</v>
      </c>
      <c r="Y2073">
        <v>-6.441736E-3</v>
      </c>
      <c r="Z2073">
        <v>-7.0231419999999996E-4</v>
      </c>
      <c r="AA2073">
        <v>0.99997899999999995</v>
      </c>
      <c r="AB2073">
        <v>43</v>
      </c>
      <c r="AC2073">
        <v>-0.44509999999996802</v>
      </c>
      <c r="AD2073">
        <v>-7.4190999999999896E-2</v>
      </c>
      <c r="AE2073">
        <v>-2.69999999994752E-3</v>
      </c>
      <c r="AF2073">
        <v>-4.9351614728315799E-3</v>
      </c>
      <c r="AG2073">
        <v>-7.4190999999999896E-2</v>
      </c>
      <c r="AH2073">
        <v>0.43304812890642302</v>
      </c>
      <c r="AI2073">
        <v>99.721069690414893</v>
      </c>
      <c r="AJ2073">
        <v>90.652933621532398</v>
      </c>
      <c r="AK2073">
        <v>0.43938518665189102</v>
      </c>
      <c r="AL2073">
        <v>93.676817779366701</v>
      </c>
      <c r="AM2073">
        <v>92.237778965444093</v>
      </c>
      <c r="AN2073">
        <v>0.99999999598695299</v>
      </c>
    </row>
    <row r="2074" spans="1:40" x14ac:dyDescent="0.25">
      <c r="A2074" t="str">
        <f>"20190305135233922"</f>
        <v>20190305135233922</v>
      </c>
      <c r="B2074" t="str">
        <f>"1551765153911175"</f>
        <v>1551765153911175</v>
      </c>
      <c r="C2074" t="s">
        <v>40</v>
      </c>
      <c r="D2074">
        <v>4.5792299999999999</v>
      </c>
      <c r="E2074">
        <v>0.5110114</v>
      </c>
      <c r="F2074" t="s">
        <v>41</v>
      </c>
      <c r="G2074">
        <v>-332.54880000000003</v>
      </c>
      <c r="H2074">
        <v>1.0388379999999999</v>
      </c>
      <c r="I2074">
        <v>284.4162</v>
      </c>
      <c r="J2074">
        <v>-332.14449999999999</v>
      </c>
      <c r="K2074">
        <v>1.1107320000000001</v>
      </c>
      <c r="L2074">
        <v>284.4205</v>
      </c>
      <c r="M2074">
        <v>-0.99988909999999998</v>
      </c>
      <c r="N2074">
        <v>-1.4490370000000001E-2</v>
      </c>
      <c r="O2074">
        <v>3.4461829999999998E-3</v>
      </c>
      <c r="P2074">
        <v>-0.99617670000000003</v>
      </c>
      <c r="Q2074">
        <v>-7.949167E-2</v>
      </c>
      <c r="R2074">
        <v>-3.6237709999999999E-2</v>
      </c>
      <c r="S2074">
        <v>-2.9902340000000001</v>
      </c>
      <c r="T2074">
        <v>-0.25827480000000003</v>
      </c>
      <c r="U2074">
        <v>-1.2908940000000001E-2</v>
      </c>
      <c r="V2074">
        <v>-3.9359070000000003E-2</v>
      </c>
      <c r="W2074">
        <v>-6.5239450000000004E-2</v>
      </c>
      <c r="X2074">
        <v>0.99709309999999995</v>
      </c>
      <c r="Y2074">
        <v>-7.7210050000000004E-3</v>
      </c>
      <c r="Z2074">
        <v>-6.3612629999999998E-4</v>
      </c>
      <c r="AA2074">
        <v>0.99997000000000003</v>
      </c>
      <c r="AB2074">
        <v>43</v>
      </c>
      <c r="AC2074">
        <v>-0.40430000000003402</v>
      </c>
      <c r="AD2074">
        <v>-7.1894000000000097E-2</v>
      </c>
      <c r="AE2074">
        <v>-4.3000000000006297E-3</v>
      </c>
      <c r="AF2074">
        <v>-5.5189176590391001E-3</v>
      </c>
      <c r="AG2074">
        <v>-7.1894000000000097E-2</v>
      </c>
      <c r="AH2074">
        <v>0.39189209706640599</v>
      </c>
      <c r="AI2074">
        <v>100.39451388625</v>
      </c>
      <c r="AJ2074">
        <v>90.806828691271903</v>
      </c>
      <c r="AK2074">
        <v>0.39847035201032499</v>
      </c>
      <c r="AL2074">
        <v>93.7406018509093</v>
      </c>
      <c r="AM2074">
        <v>92.260509475373695</v>
      </c>
      <c r="AN2074">
        <v>0.999999986147588</v>
      </c>
    </row>
    <row r="2075" spans="1:40" x14ac:dyDescent="0.25">
      <c r="A2075" t="str">
        <f>"20190305135233944"</f>
        <v>20190305135233944</v>
      </c>
      <c r="B2075" t="str">
        <f>"1551765153941432"</f>
        <v>1551765153941432</v>
      </c>
      <c r="C2075" t="s">
        <v>40</v>
      </c>
      <c r="D2075">
        <v>4.6160069999999997</v>
      </c>
      <c r="E2075">
        <v>0.51083400000000001</v>
      </c>
      <c r="F2075" t="s">
        <v>56</v>
      </c>
      <c r="G2075">
        <v>-344.86180000000002</v>
      </c>
      <c r="H2075" s="1">
        <v>1.050426E-6</v>
      </c>
      <c r="I2075">
        <v>284.33359999999999</v>
      </c>
      <c r="J2075">
        <v>-332.5675</v>
      </c>
      <c r="K2075">
        <v>1.110735</v>
      </c>
      <c r="L2075">
        <v>284.4205</v>
      </c>
      <c r="M2075">
        <v>-0.9998937</v>
      </c>
      <c r="N2075">
        <v>-1.448705E-2</v>
      </c>
      <c r="O2075">
        <v>1.652386E-3</v>
      </c>
      <c r="P2075">
        <v>-0.99602080000000004</v>
      </c>
      <c r="Q2075">
        <v>-8.0444459999999995E-2</v>
      </c>
      <c r="R2075">
        <v>-3.8359329999999997E-2</v>
      </c>
      <c r="S2075">
        <v>-2.98996</v>
      </c>
      <c r="T2075">
        <v>-0.26114379999999998</v>
      </c>
      <c r="U2075">
        <v>-2.0416259999999999E-2</v>
      </c>
      <c r="V2075">
        <v>-3.968795E-2</v>
      </c>
      <c r="W2075">
        <v>-6.6199049999999995E-2</v>
      </c>
      <c r="X2075">
        <v>0.99701680000000004</v>
      </c>
      <c r="Y2075">
        <v>-8.4387750000000008E-3</v>
      </c>
      <c r="Z2075">
        <v>-5.4922680000000005E-4</v>
      </c>
      <c r="AA2075">
        <v>0.99996419999999997</v>
      </c>
      <c r="AB2075">
        <v>43</v>
      </c>
      <c r="AC2075">
        <v>-12.2943</v>
      </c>
      <c r="AD2075">
        <v>-1.1107339495739901</v>
      </c>
      <c r="AE2075">
        <v>-8.6900000000014105E-2</v>
      </c>
      <c r="AF2075">
        <v>-0.106348934111792</v>
      </c>
      <c r="AG2075">
        <v>-1.1107339495739901</v>
      </c>
      <c r="AH2075">
        <v>12.194608541147</v>
      </c>
      <c r="AI2075">
        <v>95.204172396713702</v>
      </c>
      <c r="AJ2075">
        <v>90.499662665625195</v>
      </c>
      <c r="AK2075">
        <v>12.245550925717399</v>
      </c>
      <c r="AL2075">
        <v>93.795702049848799</v>
      </c>
      <c r="AM2075">
        <v>92.279552452676995</v>
      </c>
      <c r="AN2075">
        <v>0.99999997353917203</v>
      </c>
    </row>
    <row r="2076" spans="1:40" x14ac:dyDescent="0.25">
      <c r="A2076" t="str">
        <f>"20190305135233967"</f>
        <v>20190305135233967</v>
      </c>
      <c r="B2076" t="str">
        <f>"1551765153961931"</f>
        <v>1551765153961931</v>
      </c>
      <c r="C2076" t="s">
        <v>40</v>
      </c>
      <c r="D2076">
        <v>4.4625019999999997</v>
      </c>
      <c r="E2076">
        <v>0.49163990000000002</v>
      </c>
      <c r="F2076" t="s">
        <v>56</v>
      </c>
      <c r="G2076">
        <v>-345.14389999999997</v>
      </c>
      <c r="H2076" s="1">
        <v>1.200531E-6</v>
      </c>
      <c r="I2076">
        <v>284.30149999999998</v>
      </c>
      <c r="J2076">
        <v>-333.00400000000002</v>
      </c>
      <c r="K2076">
        <v>1.1106990000000001</v>
      </c>
      <c r="L2076">
        <v>284.41989999999998</v>
      </c>
      <c r="M2076">
        <v>-0.99989519999999998</v>
      </c>
      <c r="N2076">
        <v>-1.448311E-2</v>
      </c>
      <c r="O2076" s="1">
        <v>-8.7001129999999998E-5</v>
      </c>
      <c r="P2076">
        <v>-0.99592340000000001</v>
      </c>
      <c r="Q2076">
        <v>-8.0657489999999998E-2</v>
      </c>
      <c r="R2076">
        <v>-4.0388599999999997E-2</v>
      </c>
      <c r="S2076">
        <v>-2.9895320000000001</v>
      </c>
      <c r="T2076">
        <v>-0.26403199999999999</v>
      </c>
      <c r="U2076">
        <v>-2.8289789999999999E-2</v>
      </c>
      <c r="V2076">
        <v>-3.9988309999999999E-2</v>
      </c>
      <c r="W2076">
        <v>-6.6414630000000002E-2</v>
      </c>
      <c r="X2076">
        <v>0.9969905</v>
      </c>
      <c r="Y2076">
        <v>-9.3334469999999999E-3</v>
      </c>
      <c r="Z2076">
        <v>-4.7268560000000002E-4</v>
      </c>
      <c r="AA2076">
        <v>0.99995630000000002</v>
      </c>
      <c r="AB2076">
        <v>43</v>
      </c>
      <c r="AC2076">
        <v>-12.1398999999999</v>
      </c>
      <c r="AD2076">
        <v>-1.1106977994689999</v>
      </c>
      <c r="AE2076">
        <v>-0.118400000000008</v>
      </c>
      <c r="AF2076">
        <v>-0.11636970101755</v>
      </c>
      <c r="AG2076">
        <v>-1.1106977994689999</v>
      </c>
      <c r="AH2076">
        <v>12.039143820009</v>
      </c>
      <c r="AI2076">
        <v>95.270783029790095</v>
      </c>
      <c r="AJ2076">
        <v>90.553800601918496</v>
      </c>
      <c r="AK2076">
        <v>12.090830220788</v>
      </c>
      <c r="AL2076">
        <v>93.808080968426296</v>
      </c>
      <c r="AM2076">
        <v>92.296846313829505</v>
      </c>
      <c r="AN2076">
        <v>1.00000001255247</v>
      </c>
    </row>
    <row r="2077" spans="1:40" x14ac:dyDescent="0.25">
      <c r="A2077" t="str">
        <f>"20190305135233990"</f>
        <v>20190305135233990</v>
      </c>
      <c r="B2077" t="str">
        <f>"1551765153981450"</f>
        <v>1551765153981450</v>
      </c>
      <c r="C2077" t="s">
        <v>40</v>
      </c>
      <c r="D2077">
        <v>4.5953109999999997</v>
      </c>
      <c r="E2077">
        <v>0.49162349999999999</v>
      </c>
      <c r="F2077" t="s">
        <v>56</v>
      </c>
      <c r="G2077">
        <v>-349.88810000000001</v>
      </c>
      <c r="H2077" s="1">
        <v>3.7251679999999999E-6</v>
      </c>
      <c r="I2077">
        <v>283.351</v>
      </c>
      <c r="J2077">
        <v>-333.4391</v>
      </c>
      <c r="K2077">
        <v>1.110627</v>
      </c>
      <c r="L2077">
        <v>284.41849999999999</v>
      </c>
      <c r="M2077">
        <v>-0.99989399999999995</v>
      </c>
      <c r="N2077">
        <v>-1.447883E-2</v>
      </c>
      <c r="O2077">
        <v>-1.6763479999999901E-3</v>
      </c>
      <c r="P2077">
        <v>-0.99579289999999998</v>
      </c>
      <c r="Q2077">
        <v>-8.1234860000000006E-2</v>
      </c>
      <c r="R2077">
        <v>-4.2404230000000001E-2</v>
      </c>
      <c r="S2077">
        <v>-2.9886780000000002</v>
      </c>
      <c r="T2077">
        <v>-0.196606</v>
      </c>
      <c r="U2077">
        <v>-0.18920899999999999</v>
      </c>
      <c r="V2077">
        <v>-4.0429809999999997E-2</v>
      </c>
      <c r="W2077">
        <v>-6.6992319999999994E-2</v>
      </c>
      <c r="X2077">
        <v>0.99693410000000005</v>
      </c>
      <c r="Y2077">
        <v>-6.134974E-2</v>
      </c>
      <c r="Z2077">
        <v>-2.3730859999999999E-3</v>
      </c>
      <c r="AA2077">
        <v>0.99811349999999999</v>
      </c>
      <c r="AB2077">
        <v>43</v>
      </c>
      <c r="AC2077">
        <v>-16.449000000000002</v>
      </c>
      <c r="AD2077">
        <v>-1.110623274832</v>
      </c>
      <c r="AE2077">
        <v>-1.0674999999999899</v>
      </c>
      <c r="AF2077">
        <v>-1.03522174807519</v>
      </c>
      <c r="AG2077">
        <v>-1.110623274832</v>
      </c>
      <c r="AH2077">
        <v>16.376422166626</v>
      </c>
      <c r="AI2077">
        <v>93.872063937641698</v>
      </c>
      <c r="AJ2077">
        <v>93.617091614383796</v>
      </c>
      <c r="AK2077">
        <v>16.446652276552999</v>
      </c>
      <c r="AL2077">
        <v>93.841253827577901</v>
      </c>
      <c r="AM2077">
        <v>92.322308785828099</v>
      </c>
      <c r="AN2077">
        <v>1.00000007010921</v>
      </c>
    </row>
    <row r="2078" spans="1:40" x14ac:dyDescent="0.25">
      <c r="A2078" t="str">
        <f>"20190305135234011"</f>
        <v>20190305135234011</v>
      </c>
      <c r="B2078" t="str">
        <f>"1551765154001949"</f>
        <v>1551765154001949</v>
      </c>
      <c r="C2078" t="s">
        <v>40</v>
      </c>
      <c r="D2078">
        <v>4.6120400000000004</v>
      </c>
      <c r="E2078">
        <v>0.49218210000000001</v>
      </c>
      <c r="F2078" t="s">
        <v>56</v>
      </c>
      <c r="G2078">
        <v>-349.66059999999999</v>
      </c>
      <c r="H2078" s="1">
        <v>3.6041209999999999E-6</v>
      </c>
      <c r="I2078">
        <v>283.3587</v>
      </c>
      <c r="J2078">
        <v>-333.85939999999999</v>
      </c>
      <c r="K2078">
        <v>1.110547</v>
      </c>
      <c r="L2078">
        <v>284.41669999999999</v>
      </c>
      <c r="M2078">
        <v>-0.99989059999999996</v>
      </c>
      <c r="N2078">
        <v>-1.447465E-2</v>
      </c>
      <c r="O2078">
        <v>-3.0845999999999998E-3</v>
      </c>
      <c r="P2078">
        <v>-0.99574180000000001</v>
      </c>
      <c r="Q2078">
        <v>-8.0969330000000006E-2</v>
      </c>
      <c r="R2078">
        <v>-4.4073540000000001E-2</v>
      </c>
      <c r="S2078">
        <v>-2.9876710000000002</v>
      </c>
      <c r="T2078">
        <v>-0.20455319999999999</v>
      </c>
      <c r="U2078">
        <v>-0.19519039999999999</v>
      </c>
      <c r="V2078">
        <v>-4.0712449999999997E-2</v>
      </c>
      <c r="W2078">
        <v>-6.6723420000000006E-2</v>
      </c>
      <c r="X2078">
        <v>0.99694059999999995</v>
      </c>
      <c r="Y2078">
        <v>-6.1943690000000003E-2</v>
      </c>
      <c r="Z2078">
        <v>-2.399076E-3</v>
      </c>
      <c r="AA2078">
        <v>0.99807670000000004</v>
      </c>
      <c r="AB2078">
        <v>43</v>
      </c>
      <c r="AC2078">
        <v>-15.8011999999999</v>
      </c>
      <c r="AD2078">
        <v>-1.1105433958790001</v>
      </c>
      <c r="AE2078">
        <v>-1.0579999999999901</v>
      </c>
      <c r="AF2078">
        <v>-1.0043107412266601</v>
      </c>
      <c r="AG2078">
        <v>-1.1105433958790001</v>
      </c>
      <c r="AH2078">
        <v>15.7270502020402</v>
      </c>
      <c r="AI2078">
        <v>94.030972310770593</v>
      </c>
      <c r="AJ2078">
        <v>93.653879022472694</v>
      </c>
      <c r="AK2078">
        <v>15.798166183344399</v>
      </c>
      <c r="AL2078">
        <v>93.825812562193306</v>
      </c>
      <c r="AM2078">
        <v>92.338510578895594</v>
      </c>
      <c r="AN2078">
        <v>1.00000003914492</v>
      </c>
    </row>
    <row r="2079" spans="1:40" x14ac:dyDescent="0.25">
      <c r="A2079" t="str">
        <f>"20190305135234033"</f>
        <v>20190305135234033</v>
      </c>
      <c r="B2079" t="str">
        <f>"1551765154021463"</f>
        <v>1551765154021463</v>
      </c>
      <c r="C2079" t="s">
        <v>40</v>
      </c>
      <c r="D2079">
        <v>4.5777320000000001</v>
      </c>
      <c r="E2079">
        <v>0.49252259999999998</v>
      </c>
      <c r="F2079" t="s">
        <v>56</v>
      </c>
      <c r="G2079">
        <v>-350.12279999999998</v>
      </c>
      <c r="H2079" s="1">
        <v>-1.4714330000000001E-6</v>
      </c>
      <c r="I2079">
        <v>283.35239999999999</v>
      </c>
      <c r="J2079">
        <v>-334.27159999999998</v>
      </c>
      <c r="K2079">
        <v>1.110447</v>
      </c>
      <c r="L2079">
        <v>284.4144</v>
      </c>
      <c r="M2079">
        <v>-0.99988600000000005</v>
      </c>
      <c r="N2079">
        <v>-1.44707E-2</v>
      </c>
      <c r="O2079">
        <v>-4.3154250000000003E-3</v>
      </c>
      <c r="P2079">
        <v>-0.99568809999999996</v>
      </c>
      <c r="Q2079">
        <v>-8.0759869999999997E-2</v>
      </c>
      <c r="R2079">
        <v>-4.5642229999999999E-2</v>
      </c>
      <c r="S2079">
        <v>-2.9875790000000002</v>
      </c>
      <c r="T2079">
        <v>-0.2040071</v>
      </c>
      <c r="U2079">
        <v>-0.19549559999999999</v>
      </c>
      <c r="V2079">
        <v>-4.1072890000000001E-2</v>
      </c>
      <c r="W2079">
        <v>-6.650876E-2</v>
      </c>
      <c r="X2079">
        <v>0.9969401</v>
      </c>
      <c r="Y2079">
        <v>-6.0824320000000001E-2</v>
      </c>
      <c r="Z2079">
        <v>-2.2815880000000002E-3</v>
      </c>
      <c r="AA2079">
        <v>0.99814590000000003</v>
      </c>
      <c r="AB2079">
        <v>43</v>
      </c>
      <c r="AC2079">
        <v>-15.8512</v>
      </c>
      <c r="AD2079">
        <v>-1.1104484714330001</v>
      </c>
      <c r="AE2079">
        <v>-1.06200000000001</v>
      </c>
      <c r="AF2079">
        <v>-0.98874755125289804</v>
      </c>
      <c r="AG2079">
        <v>-1.1104484714330001</v>
      </c>
      <c r="AH2079">
        <v>15.778546470403001</v>
      </c>
      <c r="AI2079">
        <v>94.017818788133596</v>
      </c>
      <c r="AJ2079">
        <v>93.585696811924606</v>
      </c>
      <c r="AK2079">
        <v>15.8484461776694</v>
      </c>
      <c r="AL2079">
        <v>93.813486294598306</v>
      </c>
      <c r="AM2079">
        <v>92.359192032652004</v>
      </c>
      <c r="AN2079">
        <v>0.99999998021884895</v>
      </c>
    </row>
    <row r="2080" spans="1:40" x14ac:dyDescent="0.25">
      <c r="A2080" t="str">
        <f>"20190305135234057"</f>
        <v>20190305135234057</v>
      </c>
      <c r="B2080" t="str">
        <f>"1551765154051719"</f>
        <v>1551765154051719</v>
      </c>
      <c r="C2080" t="s">
        <v>40</v>
      </c>
      <c r="D2080">
        <v>4.5768230000000001</v>
      </c>
      <c r="E2080">
        <v>0.49303360000000002</v>
      </c>
      <c r="F2080" t="s">
        <v>56</v>
      </c>
      <c r="G2080">
        <v>-350.5754</v>
      </c>
      <c r="H2080" s="1">
        <v>-1.230587E-6</v>
      </c>
      <c r="I2080">
        <v>283.33510000000001</v>
      </c>
      <c r="J2080">
        <v>-334.72289999999998</v>
      </c>
      <c r="K2080">
        <v>1.1103099999999999</v>
      </c>
      <c r="L2080">
        <v>284.41149999999999</v>
      </c>
      <c r="M2080">
        <v>-0.9998804</v>
      </c>
      <c r="N2080">
        <v>-1.4466390000000001E-2</v>
      </c>
      <c r="O2080">
        <v>-5.4599549999999998E-3</v>
      </c>
      <c r="P2080">
        <v>-0.99568420000000002</v>
      </c>
      <c r="Q2080">
        <v>-8.0243739999999994E-2</v>
      </c>
      <c r="R2080">
        <v>-4.6625779999999999E-2</v>
      </c>
      <c r="S2080">
        <v>-2.9874879999999999</v>
      </c>
      <c r="T2080">
        <v>-0.20347709999999999</v>
      </c>
      <c r="U2080">
        <v>-0.1977844</v>
      </c>
      <c r="V2080">
        <v>-4.094217E-2</v>
      </c>
      <c r="W2080">
        <v>-6.5981219999999993E-2</v>
      </c>
      <c r="X2080">
        <v>0.99698050000000005</v>
      </c>
      <c r="Y2080">
        <v>-6.0448670000000003E-2</v>
      </c>
      <c r="Z2080">
        <v>-2.2001120000000002E-3</v>
      </c>
      <c r="AA2080">
        <v>0.99816890000000003</v>
      </c>
      <c r="AB2080">
        <v>43</v>
      </c>
      <c r="AC2080">
        <v>-15.852499999999999</v>
      </c>
      <c r="AD2080">
        <v>-1.110311230587</v>
      </c>
      <c r="AE2080">
        <v>-1.07639999999997</v>
      </c>
      <c r="AF2080">
        <v>-0.98501103905368204</v>
      </c>
      <c r="AG2080">
        <v>-1.110311230587</v>
      </c>
      <c r="AH2080">
        <v>15.7810806691722</v>
      </c>
      <c r="AI2080">
        <v>94.016742404329193</v>
      </c>
      <c r="AJ2080">
        <v>93.571609336985006</v>
      </c>
      <c r="AK2080">
        <v>15.8507269506085</v>
      </c>
      <c r="AL2080">
        <v>93.783194051946495</v>
      </c>
      <c r="AM2080">
        <v>92.351596840834006</v>
      </c>
      <c r="AN2080">
        <v>0.99999995002862196</v>
      </c>
    </row>
    <row r="2081" spans="1:40" x14ac:dyDescent="0.25">
      <c r="A2081" t="str">
        <f>"20190305135234079"</f>
        <v>20190305135234079</v>
      </c>
      <c r="B2081" t="str">
        <f>"1551765154071238"</f>
        <v>1551765154071238</v>
      </c>
      <c r="C2081" t="s">
        <v>40</v>
      </c>
      <c r="D2081">
        <v>4.6160750000000004</v>
      </c>
      <c r="E2081">
        <v>0.49375910000000001</v>
      </c>
      <c r="F2081" t="s">
        <v>56</v>
      </c>
      <c r="G2081">
        <v>-351.1232</v>
      </c>
      <c r="H2081" s="1">
        <v>-9.3910000000000004E-7</v>
      </c>
      <c r="I2081">
        <v>283.33210000000003</v>
      </c>
      <c r="J2081">
        <v>-335.1508</v>
      </c>
      <c r="K2081">
        <v>1.1101460000000001</v>
      </c>
      <c r="L2081">
        <v>284.40839999999997</v>
      </c>
      <c r="M2081">
        <v>-0.99987550000000003</v>
      </c>
      <c r="N2081">
        <v>-1.446218E-2</v>
      </c>
      <c r="O2081">
        <v>-6.3323219999999996E-3</v>
      </c>
      <c r="P2081">
        <v>-0.99567410000000001</v>
      </c>
      <c r="Q2081">
        <v>-8.0327789999999996E-2</v>
      </c>
      <c r="R2081">
        <v>-4.6697719999999998E-2</v>
      </c>
      <c r="S2081">
        <v>-2.9874879999999999</v>
      </c>
      <c r="T2081">
        <v>-0.20225489999999999</v>
      </c>
      <c r="U2081">
        <v>-0.19662479999999999</v>
      </c>
      <c r="V2081">
        <v>-4.0171360000000003E-2</v>
      </c>
      <c r="W2081">
        <v>-6.6049979999999994E-2</v>
      </c>
      <c r="X2081">
        <v>0.99700739999999999</v>
      </c>
      <c r="Y2081">
        <v>-5.9198380000000002E-2</v>
      </c>
      <c r="Z2081">
        <v>-2.0922660000000002E-3</v>
      </c>
      <c r="AA2081">
        <v>0.99824400000000002</v>
      </c>
      <c r="AB2081">
        <v>43</v>
      </c>
      <c r="AC2081">
        <v>-15.972399999999899</v>
      </c>
      <c r="AD2081">
        <v>-1.1101469390999901</v>
      </c>
      <c r="AE2081">
        <v>-1.0762999999999401</v>
      </c>
      <c r="AF2081">
        <v>-0.97045855484263399</v>
      </c>
      <c r="AG2081">
        <v>-1.1101469390999901</v>
      </c>
      <c r="AH2081">
        <v>15.9024214510706</v>
      </c>
      <c r="AI2081">
        <v>93.985944462006501</v>
      </c>
      <c r="AJ2081">
        <v>93.492191957933002</v>
      </c>
      <c r="AK2081">
        <v>15.970636306689</v>
      </c>
      <c r="AL2081">
        <v>93.787141955570107</v>
      </c>
      <c r="AM2081">
        <v>92.307309922719796</v>
      </c>
      <c r="AN2081">
        <v>1.0000000468385</v>
      </c>
    </row>
    <row r="2082" spans="1:40" x14ac:dyDescent="0.25">
      <c r="A2082" t="str">
        <f>"20190305135234100"</f>
        <v>20190305135234100</v>
      </c>
      <c r="B2082" t="str">
        <f>"1551765154091735"</f>
        <v>1551765154091735</v>
      </c>
      <c r="C2082" t="s">
        <v>40</v>
      </c>
      <c r="D2082">
        <v>4.4992109999999998</v>
      </c>
      <c r="E2082">
        <v>0.49437059999999999</v>
      </c>
      <c r="F2082" t="s">
        <v>56</v>
      </c>
      <c r="G2082">
        <v>-351.57339999999999</v>
      </c>
      <c r="H2082" s="1">
        <v>-6.9950219999999997E-7</v>
      </c>
      <c r="I2082">
        <v>283.3587</v>
      </c>
      <c r="J2082">
        <v>-335.56650000000002</v>
      </c>
      <c r="K2082">
        <v>1.1099669999999999</v>
      </c>
      <c r="L2082">
        <v>284.40530000000001</v>
      </c>
      <c r="M2082">
        <v>-0.99987130000000002</v>
      </c>
      <c r="N2082">
        <v>-1.445832E-2</v>
      </c>
      <c r="O2082">
        <v>-6.9752989999999999E-3</v>
      </c>
      <c r="P2082">
        <v>-0.99562709999999999</v>
      </c>
      <c r="Q2082">
        <v>-8.0834149999999994E-2</v>
      </c>
      <c r="R2082">
        <v>-4.6828670000000003E-2</v>
      </c>
      <c r="S2082">
        <v>-2.9877929999999999</v>
      </c>
      <c r="T2082">
        <v>-0.2019715</v>
      </c>
      <c r="U2082">
        <v>-0.19097900000000001</v>
      </c>
      <c r="V2082">
        <v>-3.9689889999999999E-2</v>
      </c>
      <c r="W2082">
        <v>-6.6541100000000006E-2</v>
      </c>
      <c r="X2082">
        <v>0.99699400000000005</v>
      </c>
      <c r="Y2082">
        <v>-5.6679479999999997E-2</v>
      </c>
      <c r="Z2082">
        <v>-1.9525499999999999E-3</v>
      </c>
      <c r="AA2082">
        <v>0.99839049999999996</v>
      </c>
      <c r="AB2082">
        <v>43</v>
      </c>
      <c r="AC2082">
        <v>-16.006899999999899</v>
      </c>
      <c r="AD2082">
        <v>-1.1099676995022001</v>
      </c>
      <c r="AE2082">
        <v>-1.04660000000001</v>
      </c>
      <c r="AF2082">
        <v>-0.93045495341148599</v>
      </c>
      <c r="AG2082">
        <v>-1.1099676995022001</v>
      </c>
      <c r="AH2082">
        <v>15.9375029627223</v>
      </c>
      <c r="AI2082">
        <v>93.977182359151101</v>
      </c>
      <c r="AJ2082">
        <v>93.341219577368904</v>
      </c>
      <c r="AK2082">
        <v>16.003180165237399</v>
      </c>
      <c r="AL2082">
        <v>93.815343199305303</v>
      </c>
      <c r="AM2082">
        <v>92.279715840729494</v>
      </c>
      <c r="AN2082">
        <v>1.0000000206967099</v>
      </c>
    </row>
    <row r="2083" spans="1:40" x14ac:dyDescent="0.25">
      <c r="A2083" t="str">
        <f>"20190305135234122"</f>
        <v>20190305135234122</v>
      </c>
      <c r="B2083" t="str">
        <f>"1551765154111797"</f>
        <v>1551765154111797</v>
      </c>
      <c r="C2083" t="s">
        <v>40</v>
      </c>
      <c r="D2083">
        <v>4.4704100000000002</v>
      </c>
      <c r="E2083">
        <v>0.49503760000000002</v>
      </c>
      <c r="F2083" t="s">
        <v>56</v>
      </c>
      <c r="G2083">
        <v>-351.9119</v>
      </c>
      <c r="H2083" s="1">
        <v>-5.1939380000000001E-7</v>
      </c>
      <c r="I2083">
        <v>283.38440000000003</v>
      </c>
      <c r="J2083">
        <v>-335.99270000000001</v>
      </c>
      <c r="K2083">
        <v>1.1097760000000001</v>
      </c>
      <c r="L2083">
        <v>284.40190000000001</v>
      </c>
      <c r="M2083">
        <v>-0.99986790000000003</v>
      </c>
      <c r="N2083">
        <v>-1.445477E-2</v>
      </c>
      <c r="O2083">
        <v>-7.4415669999999996E-3</v>
      </c>
      <c r="P2083">
        <v>-0.99565119999999896</v>
      </c>
      <c r="Q2083">
        <v>-8.0888020000000005E-2</v>
      </c>
      <c r="R2083">
        <v>-4.6213259999999999E-2</v>
      </c>
      <c r="S2083">
        <v>-2.9879150000000001</v>
      </c>
      <c r="T2083">
        <v>-0.2029012</v>
      </c>
      <c r="U2083">
        <v>-0.186615</v>
      </c>
      <c r="V2083">
        <v>-3.8641509999999997E-2</v>
      </c>
      <c r="W2083">
        <v>-6.6576440000000001E-2</v>
      </c>
      <c r="X2083">
        <v>0.99703280000000005</v>
      </c>
      <c r="Y2083">
        <v>-5.4763590000000001E-2</v>
      </c>
      <c r="Z2083">
        <v>-1.855382E-3</v>
      </c>
      <c r="AA2083">
        <v>0.99849759999999999</v>
      </c>
      <c r="AB2083">
        <v>43</v>
      </c>
      <c r="AC2083">
        <v>-15.919199999999901</v>
      </c>
      <c r="AD2083">
        <v>-1.1097765193938001</v>
      </c>
      <c r="AE2083">
        <v>-1.0174999999999801</v>
      </c>
      <c r="AF2083">
        <v>-0.89466535145693005</v>
      </c>
      <c r="AG2083">
        <v>-1.1097765193938001</v>
      </c>
      <c r="AH2083">
        <v>15.849617334314299</v>
      </c>
      <c r="AI2083">
        <v>93.998918967487498</v>
      </c>
      <c r="AJ2083">
        <v>93.230753653406495</v>
      </c>
      <c r="AK2083">
        <v>15.913591664306701</v>
      </c>
      <c r="AL2083">
        <v>93.817372624774706</v>
      </c>
      <c r="AM2083">
        <v>92.219473533742303</v>
      </c>
      <c r="AN2083">
        <v>0.999999996466997</v>
      </c>
    </row>
    <row r="2084" spans="1:40" x14ac:dyDescent="0.25">
      <c r="A2084" t="str">
        <f>"20190305135234146"</f>
        <v>20190305135234146</v>
      </c>
      <c r="B2084" t="str">
        <f>"1551765154141512"</f>
        <v>1551765154141512</v>
      </c>
      <c r="C2084" t="s">
        <v>40</v>
      </c>
      <c r="D2084">
        <v>4.5399830000000003</v>
      </c>
      <c r="E2084">
        <v>0.49581180000000002</v>
      </c>
      <c r="F2084" t="s">
        <v>56</v>
      </c>
      <c r="G2084">
        <v>-352.63130000000001</v>
      </c>
      <c r="H2084" s="1">
        <v>-1.3652559999999999E-7</v>
      </c>
      <c r="I2084">
        <v>283.40199999999999</v>
      </c>
      <c r="J2084">
        <v>-336.4314</v>
      </c>
      <c r="K2084">
        <v>1.1095759999999999</v>
      </c>
      <c r="L2084">
        <v>284.39830000000001</v>
      </c>
      <c r="M2084">
        <v>-0.99986560000000002</v>
      </c>
      <c r="N2084">
        <v>-1.445139E-2</v>
      </c>
      <c r="O2084">
        <v>-7.7455479999999997E-3</v>
      </c>
      <c r="P2084">
        <v>-0.99569770000000002</v>
      </c>
      <c r="Q2084">
        <v>-8.0694160000000001E-2</v>
      </c>
      <c r="R2084">
        <v>-4.555033E-2</v>
      </c>
      <c r="S2084">
        <v>-2.9885860000000002</v>
      </c>
      <c r="T2084">
        <v>-0.19933509999999999</v>
      </c>
      <c r="U2084">
        <v>-0.179595899999999</v>
      </c>
      <c r="V2084">
        <v>-3.7706870000000003E-2</v>
      </c>
      <c r="W2084">
        <v>-6.6365259999999995E-2</v>
      </c>
      <c r="X2084">
        <v>0.99708269999999999</v>
      </c>
      <c r="Y2084">
        <v>-5.2121519999999998E-2</v>
      </c>
      <c r="Z2084">
        <v>-1.708415E-3</v>
      </c>
      <c r="AA2084">
        <v>0.99863930000000001</v>
      </c>
      <c r="AB2084">
        <v>43</v>
      </c>
      <c r="AC2084">
        <v>-16.1999</v>
      </c>
      <c r="AD2084">
        <v>-1.1095761365256001</v>
      </c>
      <c r="AE2084">
        <v>-0.99630000000001895</v>
      </c>
      <c r="AF2084">
        <v>-0.86672917211037404</v>
      </c>
      <c r="AG2084">
        <v>-1.1095761365256001</v>
      </c>
      <c r="AH2084">
        <v>16.131738612815699</v>
      </c>
      <c r="AI2084">
        <v>93.929082125785897</v>
      </c>
      <c r="AJ2084">
        <v>93.075441685706906</v>
      </c>
      <c r="AK2084">
        <v>16.193065470526101</v>
      </c>
      <c r="AL2084">
        <v>93.805245942514205</v>
      </c>
      <c r="AM2084">
        <v>92.165733574228696</v>
      </c>
      <c r="AN2084">
        <v>1.0000000332096699</v>
      </c>
    </row>
    <row r="2085" spans="1:40" x14ac:dyDescent="0.25">
      <c r="A2085" t="str">
        <f>"20190305135234167"</f>
        <v>20190305135234167</v>
      </c>
      <c r="B2085" t="str">
        <f>"1551765154162007"</f>
        <v>1551765154162007</v>
      </c>
      <c r="C2085" t="s">
        <v>40</v>
      </c>
      <c r="D2085">
        <v>4.5553439999999998</v>
      </c>
      <c r="E2085">
        <v>0.49615399999999998</v>
      </c>
      <c r="F2085" t="s">
        <v>56</v>
      </c>
      <c r="G2085">
        <v>-353.51819999999998</v>
      </c>
      <c r="H2085" s="1">
        <v>3.3545060000000001E-7</v>
      </c>
      <c r="I2085">
        <v>283.41809999999998</v>
      </c>
      <c r="J2085">
        <v>-336.85849999999999</v>
      </c>
      <c r="K2085">
        <v>1.1094040000000001</v>
      </c>
      <c r="L2085">
        <v>284.39479999999998</v>
      </c>
      <c r="M2085">
        <v>-0.99986459999999999</v>
      </c>
      <c r="N2085">
        <v>-1.444815E-2</v>
      </c>
      <c r="O2085">
        <v>-7.8823650000000006E-3</v>
      </c>
      <c r="P2085">
        <v>-0.9957184</v>
      </c>
      <c r="Q2085">
        <v>-8.0856109999999995E-2</v>
      </c>
      <c r="R2085">
        <v>-4.4803759999999998E-2</v>
      </c>
      <c r="S2085">
        <v>-2.9893489999999998</v>
      </c>
      <c r="T2085">
        <v>-0.19412090000000001</v>
      </c>
      <c r="U2085">
        <v>-0.1714783</v>
      </c>
      <c r="V2085">
        <v>-3.6851170000000003E-2</v>
      </c>
      <c r="W2085">
        <v>-6.6513230000000007E-2</v>
      </c>
      <c r="X2085">
        <v>0.99710480000000001</v>
      </c>
      <c r="Y2085">
        <v>-4.9280329999999997E-2</v>
      </c>
      <c r="Z2085">
        <v>-1.5566929999999901E-3</v>
      </c>
      <c r="AA2085">
        <v>0.9987838</v>
      </c>
      <c r="AB2085">
        <v>43</v>
      </c>
      <c r="AC2085">
        <v>-16.659699999999901</v>
      </c>
      <c r="AD2085">
        <v>-1.1094036645493901</v>
      </c>
      <c r="AE2085">
        <v>-0.97669999999999402</v>
      </c>
      <c r="AF2085">
        <v>-0.84161873703503698</v>
      </c>
      <c r="AG2085">
        <v>-1.1094036645493901</v>
      </c>
      <c r="AH2085">
        <v>16.593549765961001</v>
      </c>
      <c r="AI2085">
        <v>93.820065872920594</v>
      </c>
      <c r="AJ2085">
        <v>92.903532794369198</v>
      </c>
      <c r="AK2085">
        <v>16.651876543647202</v>
      </c>
      <c r="AL2085">
        <v>93.813742898260003</v>
      </c>
      <c r="AM2085">
        <v>92.116583899451101</v>
      </c>
      <c r="AN2085">
        <v>1.00000000033922</v>
      </c>
    </row>
    <row r="2086" spans="1:40" x14ac:dyDescent="0.25">
      <c r="A2086" t="str">
        <f>"20190305135234190"</f>
        <v>20190305135234190</v>
      </c>
      <c r="B2086" t="str">
        <f>"1551765154181532"</f>
        <v>1551765154181532</v>
      </c>
      <c r="C2086" t="s">
        <v>40</v>
      </c>
      <c r="D2086">
        <v>4.5339029999999996</v>
      </c>
      <c r="E2086">
        <v>0.49636599999999997</v>
      </c>
      <c r="F2086" t="s">
        <v>56</v>
      </c>
      <c r="G2086">
        <v>-354.13380000000001</v>
      </c>
      <c r="H2086" s="1">
        <v>6.6298739999999997E-7</v>
      </c>
      <c r="I2086">
        <v>283.43060000000003</v>
      </c>
      <c r="J2086">
        <v>-337.27539999999999</v>
      </c>
      <c r="K2086">
        <v>1.1092519999999999</v>
      </c>
      <c r="L2086">
        <v>284.39139999999998</v>
      </c>
      <c r="M2086">
        <v>-0.99986450000000004</v>
      </c>
      <c r="N2086">
        <v>-1.4444899999999899E-2</v>
      </c>
      <c r="O2086">
        <v>-7.9064879999999997E-3</v>
      </c>
      <c r="P2086">
        <v>-0.99568480000000004</v>
      </c>
      <c r="Q2086">
        <v>-8.1253919999999993E-2</v>
      </c>
      <c r="R2086">
        <v>-4.4830599999999998E-2</v>
      </c>
      <c r="S2086">
        <v>-2.9897459999999998</v>
      </c>
      <c r="T2086">
        <v>-0.19199939999999999</v>
      </c>
      <c r="U2086">
        <v>-0.16687009999999999</v>
      </c>
      <c r="V2086">
        <v>-3.6877310000000003E-2</v>
      </c>
      <c r="W2086">
        <v>-6.6901710000000003E-2</v>
      </c>
      <c r="X2086">
        <v>0.99707780000000001</v>
      </c>
      <c r="Y2086">
        <v>-4.772026E-2</v>
      </c>
      <c r="Z2086">
        <v>-1.4821350000000001E-3</v>
      </c>
      <c r="AA2086">
        <v>0.99885959999999996</v>
      </c>
      <c r="AB2086">
        <v>43</v>
      </c>
      <c r="AC2086">
        <v>-16.8584</v>
      </c>
      <c r="AD2086">
        <v>-1.1092513370126</v>
      </c>
      <c r="AE2086">
        <v>-0.96079999999994903</v>
      </c>
      <c r="AF2086">
        <v>-0.82390984674471801</v>
      </c>
      <c r="AG2086">
        <v>-1.1092513370126</v>
      </c>
      <c r="AH2086">
        <v>16.793002142742701</v>
      </c>
      <c r="AI2086">
        <v>93.774620024534897</v>
      </c>
      <c r="AJ2086">
        <v>92.808832715817104</v>
      </c>
      <c r="AK2086">
        <v>16.849753319570802</v>
      </c>
      <c r="AL2086">
        <v>93.836051018502403</v>
      </c>
      <c r="AM2086">
        <v>92.118141213193894</v>
      </c>
      <c r="AN2086">
        <v>0.99999995702329902</v>
      </c>
    </row>
    <row r="2087" spans="1:40" x14ac:dyDescent="0.25">
      <c r="A2087" t="str">
        <f>"20190305135234212"</f>
        <v>20190305135234212</v>
      </c>
      <c r="B2087" t="str">
        <f>"1551765154202023"</f>
        <v>1551765154202023</v>
      </c>
      <c r="C2087" t="s">
        <v>40</v>
      </c>
      <c r="D2087">
        <v>4.5380699999999896</v>
      </c>
      <c r="E2087">
        <v>0.4966605</v>
      </c>
      <c r="F2087" t="s">
        <v>56</v>
      </c>
      <c r="G2087">
        <v>-354.65730000000002</v>
      </c>
      <c r="H2087" s="1">
        <v>9.4162739999999999E-7</v>
      </c>
      <c r="I2087">
        <v>283.43200000000002</v>
      </c>
      <c r="J2087">
        <v>-337.70010000000002</v>
      </c>
      <c r="K2087">
        <v>1.109127</v>
      </c>
      <c r="L2087">
        <v>284.38799999999998</v>
      </c>
      <c r="M2087">
        <v>-0.99986509999999995</v>
      </c>
      <c r="N2087">
        <v>-1.444149E-2</v>
      </c>
      <c r="O2087">
        <v>-7.8439310000000002E-3</v>
      </c>
      <c r="P2087">
        <v>-0.99558290000000005</v>
      </c>
      <c r="Q2087">
        <v>-8.2038410000000006E-2</v>
      </c>
      <c r="R2087">
        <v>-4.5662300000000003E-2</v>
      </c>
      <c r="S2087">
        <v>-2.9899290000000001</v>
      </c>
      <c r="T2087">
        <v>-0.1908059</v>
      </c>
      <c r="U2087">
        <v>-0.16503909999999999</v>
      </c>
      <c r="V2087">
        <v>-3.7792439999999997E-2</v>
      </c>
      <c r="W2087">
        <v>-6.7679950000000003E-2</v>
      </c>
      <c r="X2087">
        <v>0.99699099999999996</v>
      </c>
      <c r="Y2087">
        <v>-4.717201E-2</v>
      </c>
      <c r="Z2087">
        <v>-1.4572820000000001E-3</v>
      </c>
      <c r="AA2087">
        <v>0.99888569999999999</v>
      </c>
      <c r="AB2087">
        <v>43</v>
      </c>
      <c r="AC2087">
        <v>-16.9572</v>
      </c>
      <c r="AD2087">
        <v>-1.1091260583725999</v>
      </c>
      <c r="AE2087">
        <v>-0.95599999999995999</v>
      </c>
      <c r="AF2087">
        <v>-0.819451017232534</v>
      </c>
      <c r="AG2087">
        <v>-1.1091260583725999</v>
      </c>
      <c r="AH2087">
        <v>16.892140064272802</v>
      </c>
      <c r="AI2087">
        <v>93.752208619556896</v>
      </c>
      <c r="AJ2087">
        <v>92.777286158010497</v>
      </c>
      <c r="AK2087">
        <v>16.948334919218901</v>
      </c>
      <c r="AL2087">
        <v>93.880742216599899</v>
      </c>
      <c r="AM2087">
        <v>92.1708431385441</v>
      </c>
      <c r="AN2087">
        <v>0.99999994911707601</v>
      </c>
    </row>
    <row r="2088" spans="1:40" x14ac:dyDescent="0.25">
      <c r="A2088" t="str">
        <f>"20190305135234235"</f>
        <v>20190305135234235</v>
      </c>
      <c r="B2088" t="str">
        <f>"1551765154231303"</f>
        <v>1551765154231303</v>
      </c>
      <c r="C2088" t="s">
        <v>40</v>
      </c>
      <c r="D2088">
        <v>4.5674460000000003</v>
      </c>
      <c r="E2088">
        <v>0.49678990000000001</v>
      </c>
      <c r="F2088" t="s">
        <v>56</v>
      </c>
      <c r="G2088">
        <v>-355.12279999999998</v>
      </c>
      <c r="H2088" s="1">
        <v>1.189302E-6</v>
      </c>
      <c r="I2088">
        <v>283.42309999999998</v>
      </c>
      <c r="J2088">
        <v>-338.13189999999997</v>
      </c>
      <c r="K2088">
        <v>1.1090100000000001</v>
      </c>
      <c r="L2088">
        <v>284.38459999999998</v>
      </c>
      <c r="M2088">
        <v>-0.99986609999999998</v>
      </c>
      <c r="N2088">
        <v>-1.443799E-2</v>
      </c>
      <c r="O2088">
        <v>-7.7139230000000001E-3</v>
      </c>
      <c r="P2088">
        <v>-0.99552669999999999</v>
      </c>
      <c r="Q2088">
        <v>-8.2322670000000001E-2</v>
      </c>
      <c r="R2088">
        <v>-4.6366780000000003E-2</v>
      </c>
      <c r="S2088">
        <v>-2.9900509999999998</v>
      </c>
      <c r="T2088">
        <v>-0.1903466</v>
      </c>
      <c r="U2088">
        <v>-0.1655884</v>
      </c>
      <c r="V2088">
        <v>-3.8646460000000001E-2</v>
      </c>
      <c r="W2088">
        <v>-6.7958030000000003E-2</v>
      </c>
      <c r="X2088">
        <v>0.99693940000000003</v>
      </c>
      <c r="Y2088">
        <v>-4.7482139999999999E-2</v>
      </c>
      <c r="Z2088">
        <v>-1.4732E-3</v>
      </c>
      <c r="AA2088">
        <v>0.99887099999999995</v>
      </c>
      <c r="AB2088">
        <v>43</v>
      </c>
      <c r="AC2088">
        <v>-16.9909</v>
      </c>
      <c r="AD2088">
        <v>-1.1090088106980001</v>
      </c>
      <c r="AE2088">
        <v>-0.96150000000000002</v>
      </c>
      <c r="AF2088">
        <v>-0.82687975434272598</v>
      </c>
      <c r="AG2088">
        <v>-1.1090088106980001</v>
      </c>
      <c r="AH2088">
        <v>16.9259331957361</v>
      </c>
      <c r="AI2088">
        <v>93.744281799718706</v>
      </c>
      <c r="AJ2088">
        <v>92.796837472636597</v>
      </c>
      <c r="AK2088">
        <v>16.9823686574302</v>
      </c>
      <c r="AL2088">
        <v>93.896711577458007</v>
      </c>
      <c r="AM2088">
        <v>92.219965318990702</v>
      </c>
      <c r="AN2088">
        <v>1.00000000499218</v>
      </c>
    </row>
    <row r="2089" spans="1:40" x14ac:dyDescent="0.25">
      <c r="A2089" t="str">
        <f>"20190305135234358"</f>
        <v>20190305135234358</v>
      </c>
      <c r="B2089" t="str">
        <f>"1551765154351432"</f>
        <v>1551765154351432</v>
      </c>
      <c r="C2089" t="s">
        <v>40</v>
      </c>
      <c r="D2089">
        <v>4.6285379999999998</v>
      </c>
      <c r="E2089">
        <v>0.49657220000000002</v>
      </c>
      <c r="F2089" t="s">
        <v>56</v>
      </c>
      <c r="G2089">
        <v>-355.4948</v>
      </c>
      <c r="H2089" s="1">
        <v>1.387284E-6</v>
      </c>
      <c r="I2089">
        <v>283.41699999999997</v>
      </c>
      <c r="J2089">
        <v>-340.47669999999999</v>
      </c>
      <c r="K2089">
        <v>1.108617</v>
      </c>
      <c r="L2089">
        <v>284.3682</v>
      </c>
      <c r="M2089">
        <v>-0.99987630000000005</v>
      </c>
      <c r="N2089">
        <v>-1.432275E-2</v>
      </c>
      <c r="O2089">
        <v>-6.5225500000000002E-3</v>
      </c>
      <c r="P2089">
        <v>-0.99574309999999999</v>
      </c>
      <c r="Q2089">
        <v>-7.9388920000000002E-2</v>
      </c>
      <c r="R2089">
        <v>-4.6831999999999999E-2</v>
      </c>
      <c r="S2089">
        <v>-2.98996</v>
      </c>
      <c r="T2089">
        <v>-0.1909757</v>
      </c>
      <c r="U2089">
        <v>-0.166626</v>
      </c>
      <c r="V2089">
        <v>-4.0363580000000003E-2</v>
      </c>
      <c r="W2089">
        <v>-6.5097669999999996E-2</v>
      </c>
      <c r="X2089">
        <v>0.99706220000000001</v>
      </c>
      <c r="Y2089">
        <v>-4.9013849999999998E-2</v>
      </c>
      <c r="Z2089">
        <v>-1.5916859999999999E-3</v>
      </c>
      <c r="AA2089">
        <v>0.99879680000000004</v>
      </c>
      <c r="AB2089">
        <v>42</v>
      </c>
      <c r="AC2089">
        <v>-15.0181</v>
      </c>
      <c r="AD2089">
        <v>-1.1086156127159901</v>
      </c>
      <c r="AE2089">
        <v>-0.95119999999997096</v>
      </c>
      <c r="AF2089">
        <v>-0.84860767076921395</v>
      </c>
      <c r="AG2089">
        <v>-1.1086156127159901</v>
      </c>
      <c r="AH2089">
        <v>14.942884073577201</v>
      </c>
      <c r="AI2089">
        <v>94.236211442444301</v>
      </c>
      <c r="AJ2089">
        <v>93.250341002843399</v>
      </c>
      <c r="AK2089">
        <v>15.007962819517299</v>
      </c>
      <c r="AL2089">
        <v>93.7324611808816</v>
      </c>
      <c r="AM2089">
        <v>92.3182111049572</v>
      </c>
      <c r="AN2089">
        <v>0.99999997794934203</v>
      </c>
    </row>
    <row r="2090" spans="1:40" x14ac:dyDescent="0.25">
      <c r="A2090" t="str">
        <f>"20190305135234371"</f>
        <v>20190305135234371</v>
      </c>
      <c r="B2090" t="str">
        <f>"1551765154361192"</f>
        <v>1551765154361192</v>
      </c>
      <c r="C2090" t="s">
        <v>40</v>
      </c>
      <c r="D2090">
        <v>4.5611119999999996</v>
      </c>
      <c r="E2090">
        <v>0.49657220000000002</v>
      </c>
      <c r="F2090" t="s">
        <v>56</v>
      </c>
      <c r="G2090">
        <v>-358.62470000000002</v>
      </c>
      <c r="H2090" s="1">
        <v>3.0528569999999999E-6</v>
      </c>
      <c r="I2090">
        <v>283.3381</v>
      </c>
      <c r="J2090">
        <v>-340.71929999999998</v>
      </c>
      <c r="K2090">
        <v>1.1085929999999999</v>
      </c>
      <c r="L2090">
        <v>284.36680000000001</v>
      </c>
      <c r="M2090">
        <v>-0.99987760000000003</v>
      </c>
      <c r="N2090">
        <v>-1.429792E-2</v>
      </c>
      <c r="O2090">
        <v>-6.3776939999999997E-3</v>
      </c>
      <c r="P2090">
        <v>-0.99575259999999999</v>
      </c>
      <c r="Q2090">
        <v>-7.9608509999999993E-2</v>
      </c>
      <c r="R2090">
        <v>-4.6256369999999998E-2</v>
      </c>
      <c r="S2090">
        <v>-2.990265</v>
      </c>
      <c r="T2090">
        <v>-0.18266679999999999</v>
      </c>
      <c r="U2090">
        <v>-0.1697388</v>
      </c>
      <c r="V2090">
        <v>-3.9935039999999998E-2</v>
      </c>
      <c r="W2090">
        <v>-6.5340259999999997E-2</v>
      </c>
      <c r="X2090">
        <v>0.99706360000000005</v>
      </c>
      <c r="Y2090">
        <v>-5.0195070000000001E-2</v>
      </c>
      <c r="Z2090">
        <v>-1.5922E-3</v>
      </c>
      <c r="AA2090">
        <v>0.99873820000000002</v>
      </c>
      <c r="AB2090">
        <v>42</v>
      </c>
      <c r="AC2090">
        <v>-17.9054</v>
      </c>
      <c r="AD2090">
        <v>-1.1085899471430001</v>
      </c>
      <c r="AE2090">
        <v>-1.0287000000000099</v>
      </c>
      <c r="AF2090">
        <v>-0.91099163247204296</v>
      </c>
      <c r="AG2090">
        <v>-1.1085899471430001</v>
      </c>
      <c r="AH2090">
        <v>17.843422847712599</v>
      </c>
      <c r="AI2090">
        <v>93.550534315567106</v>
      </c>
      <c r="AJ2090">
        <v>92.922684499095396</v>
      </c>
      <c r="AK2090">
        <v>17.901022773786298</v>
      </c>
      <c r="AL2090">
        <v>93.746390175457407</v>
      </c>
      <c r="AM2090">
        <v>92.293621874715399</v>
      </c>
      <c r="AN2090">
        <v>0.99999998972081405</v>
      </c>
    </row>
    <row r="2091" spans="1:40" x14ac:dyDescent="0.25">
      <c r="A2091" t="str">
        <f>"20190305135234383"</f>
        <v>20190305135234383</v>
      </c>
      <c r="B2091" t="str">
        <f>"1551765154381688"</f>
        <v>1551765154381688</v>
      </c>
      <c r="C2091" t="s">
        <v>40</v>
      </c>
      <c r="D2091">
        <v>4.5777869999999998</v>
      </c>
      <c r="E2091">
        <v>0.48809390000000002</v>
      </c>
      <c r="F2091" t="s">
        <v>56</v>
      </c>
      <c r="G2091">
        <v>-358.80180000000001</v>
      </c>
      <c r="H2091" s="1">
        <v>3.1470999999999999E-6</v>
      </c>
      <c r="I2091">
        <v>283.35199999999998</v>
      </c>
      <c r="J2091">
        <v>-340.9692</v>
      </c>
      <c r="K2091">
        <v>1.1085659999999999</v>
      </c>
      <c r="L2091">
        <v>284.36529999999999</v>
      </c>
      <c r="M2091">
        <v>-0.99987890000000001</v>
      </c>
      <c r="N2091">
        <v>-1.4272669999999999E-2</v>
      </c>
      <c r="O2091">
        <v>-6.2273869999999896E-3</v>
      </c>
      <c r="P2091">
        <v>-0.99579969999999995</v>
      </c>
      <c r="Q2091">
        <v>-7.9585080000000002E-2</v>
      </c>
      <c r="R2091">
        <v>-4.5271150000000003E-2</v>
      </c>
      <c r="S2091">
        <v>-2.990326</v>
      </c>
      <c r="T2091">
        <v>-0.18332850000000001</v>
      </c>
      <c r="U2091">
        <v>-0.1678162</v>
      </c>
      <c r="V2091">
        <v>-3.9102070000000003E-2</v>
      </c>
      <c r="W2091">
        <v>-6.5340220000000004E-2</v>
      </c>
      <c r="X2091">
        <v>0.9970966</v>
      </c>
      <c r="Y2091">
        <v>-4.9704280000000003E-2</v>
      </c>
      <c r="Z2091">
        <v>-1.5840540000000001E-3</v>
      </c>
      <c r="AA2091">
        <v>0.9987627</v>
      </c>
      <c r="AB2091">
        <v>42</v>
      </c>
      <c r="AC2091">
        <v>-17.832599999999999</v>
      </c>
      <c r="AD2091">
        <v>-1.1085628529</v>
      </c>
      <c r="AE2091">
        <v>-1.0132999999999499</v>
      </c>
      <c r="AF2091">
        <v>-0.89875650044302102</v>
      </c>
      <c r="AG2091">
        <v>-1.1085628529</v>
      </c>
      <c r="AH2091">
        <v>17.770113732946101</v>
      </c>
      <c r="AI2091">
        <v>93.565143270319297</v>
      </c>
      <c r="AJ2091">
        <v>92.895373320553603</v>
      </c>
      <c r="AK2091">
        <v>17.827327812315499</v>
      </c>
      <c r="AL2091">
        <v>93.746387941526294</v>
      </c>
      <c r="AM2091">
        <v>92.245756481995002</v>
      </c>
      <c r="AN2091">
        <v>0.99999997297974597</v>
      </c>
    </row>
    <row r="2092" spans="1:40" x14ac:dyDescent="0.25">
      <c r="A2092" t="str">
        <f>"20190305135234419"</f>
        <v>20190305135234419</v>
      </c>
      <c r="B2092" t="str">
        <f>"1551765154411943"</f>
        <v>1551765154411943</v>
      </c>
      <c r="C2092" t="s">
        <v>40</v>
      </c>
      <c r="D2092">
        <v>4.5505779999999998</v>
      </c>
      <c r="E2092">
        <v>0.48520950000000002</v>
      </c>
      <c r="F2092" t="s">
        <v>56</v>
      </c>
      <c r="G2092">
        <v>-362.577</v>
      </c>
      <c r="H2092" s="1">
        <v>-1.65432899999999E-7</v>
      </c>
      <c r="I2092">
        <v>282.6782</v>
      </c>
      <c r="J2092">
        <v>-341.65280000000001</v>
      </c>
      <c r="K2092">
        <v>1.108514</v>
      </c>
      <c r="L2092">
        <v>284.3614</v>
      </c>
      <c r="M2092">
        <v>-0.99988220000000005</v>
      </c>
      <c r="N2092">
        <v>-1.420986E-2</v>
      </c>
      <c r="O2092">
        <v>-5.8123940000000002E-3</v>
      </c>
      <c r="P2092">
        <v>-0.9958283</v>
      </c>
      <c r="Q2092">
        <v>-8.0268110000000004E-2</v>
      </c>
      <c r="R2092">
        <v>-4.3392779999999999E-2</v>
      </c>
      <c r="S2092">
        <v>-2.9897770000000001</v>
      </c>
      <c r="T2092">
        <v>-0.1533872</v>
      </c>
      <c r="U2092">
        <v>-0.233429</v>
      </c>
      <c r="V2092">
        <v>-3.7643389999999999E-2</v>
      </c>
      <c r="W2092">
        <v>-6.6083420000000004E-2</v>
      </c>
      <c r="X2092">
        <v>0.99710379999999998</v>
      </c>
      <c r="Y2092">
        <v>-7.1925920000000004E-2</v>
      </c>
      <c r="Z2092">
        <v>-2.1381949999999999E-3</v>
      </c>
      <c r="AA2092">
        <v>0.99740770000000001</v>
      </c>
      <c r="AB2092">
        <v>42</v>
      </c>
      <c r="AC2092">
        <v>-20.9241999999999</v>
      </c>
      <c r="AD2092">
        <v>-1.1085141654328901</v>
      </c>
      <c r="AE2092">
        <v>-1.68319999999999</v>
      </c>
      <c r="AF2092">
        <v>-1.55719722068717</v>
      </c>
      <c r="AG2092">
        <v>-1.1085141654328901</v>
      </c>
      <c r="AH2092">
        <v>20.875418059477902</v>
      </c>
      <c r="AI2092">
        <v>93.031225923823598</v>
      </c>
      <c r="AJ2092">
        <v>94.266065112430596</v>
      </c>
      <c r="AK2092">
        <v>20.962746623404598</v>
      </c>
      <c r="AL2092">
        <v>93.789062240076206</v>
      </c>
      <c r="AM2092">
        <v>92.162045287905102</v>
      </c>
      <c r="AN2092">
        <v>1.0000000155920099</v>
      </c>
    </row>
    <row r="2093" spans="1:40" x14ac:dyDescent="0.25">
      <c r="A2093" t="str">
        <f>"20190305135234436"</f>
        <v>20190305135234436</v>
      </c>
      <c r="B2093" t="str">
        <f>"1551765154431464"</f>
        <v>1551765154431464</v>
      </c>
      <c r="C2093" t="s">
        <v>40</v>
      </c>
      <c r="D2093">
        <v>4.5698549999999996</v>
      </c>
      <c r="E2093">
        <v>0.4821609</v>
      </c>
      <c r="F2093" t="s">
        <v>56</v>
      </c>
      <c r="G2093">
        <v>-363.15769999999998</v>
      </c>
      <c r="H2093" s="1">
        <v>1.4355680000000001E-7</v>
      </c>
      <c r="I2093">
        <v>282.55560000000003</v>
      </c>
      <c r="J2093">
        <v>-341.94920000000002</v>
      </c>
      <c r="K2093">
        <v>1.108501</v>
      </c>
      <c r="L2093">
        <v>284.35980000000001</v>
      </c>
      <c r="M2093">
        <v>-0.99988359999999998</v>
      </c>
      <c r="N2093">
        <v>-1.4184840000000001E-2</v>
      </c>
      <c r="O2093">
        <v>-5.6319300000000003E-3</v>
      </c>
      <c r="P2093">
        <v>-0.99580429999999998</v>
      </c>
      <c r="Q2093">
        <v>-8.1062910000000002E-2</v>
      </c>
      <c r="R2093">
        <v>-4.2459719999999999E-2</v>
      </c>
      <c r="S2093">
        <v>-2.9891969999999999</v>
      </c>
      <c r="T2093">
        <v>-0.15408429999999901</v>
      </c>
      <c r="U2093">
        <v>-0.25100709999999998</v>
      </c>
      <c r="V2093">
        <v>-3.6892040000000001E-2</v>
      </c>
      <c r="W2093">
        <v>-6.6903080000000004E-2</v>
      </c>
      <c r="X2093">
        <v>0.9970772</v>
      </c>
      <c r="Y2093">
        <v>-7.7935530000000003E-2</v>
      </c>
      <c r="Z2093">
        <v>-2.348167E-3</v>
      </c>
      <c r="AA2093">
        <v>0.99695560000000005</v>
      </c>
      <c r="AB2093">
        <v>42</v>
      </c>
      <c r="AC2093">
        <v>-21.208499999999901</v>
      </c>
      <c r="AD2093">
        <v>-1.1085008564432</v>
      </c>
      <c r="AE2093">
        <v>-1.80419999999998</v>
      </c>
      <c r="AF2093">
        <v>-1.68015767168352</v>
      </c>
      <c r="AG2093">
        <v>-1.1085008564432</v>
      </c>
      <c r="AH2093">
        <v>21.160933197159999</v>
      </c>
      <c r="AI2093">
        <v>92.989268378541396</v>
      </c>
      <c r="AJ2093">
        <v>94.539705829153306</v>
      </c>
      <c r="AK2093">
        <v>21.2564530843017</v>
      </c>
      <c r="AL2093">
        <v>93.836129548907607</v>
      </c>
      <c r="AM2093">
        <v>92.118987770708998</v>
      </c>
      <c r="AN2093">
        <v>0.99999999374434401</v>
      </c>
    </row>
    <row r="2094" spans="1:40" x14ac:dyDescent="0.25">
      <c r="A2094" t="str">
        <f>"20190305135234449"</f>
        <v>20190305135234449</v>
      </c>
      <c r="B2094" t="str">
        <f>"1551765154441224"</f>
        <v>1551765154441224</v>
      </c>
      <c r="C2094" t="s">
        <v>40</v>
      </c>
      <c r="D2094">
        <v>4.6012449999999996</v>
      </c>
      <c r="E2094">
        <v>0.48085080000000002</v>
      </c>
      <c r="F2094" t="s">
        <v>56</v>
      </c>
      <c r="G2094">
        <v>-362.48590000000002</v>
      </c>
      <c r="H2094" s="1">
        <v>-2.1393499999999999E-7</v>
      </c>
      <c r="I2094">
        <v>282.48860000000002</v>
      </c>
      <c r="J2094">
        <v>-342.18329999999997</v>
      </c>
      <c r="K2094">
        <v>1.1084940000000001</v>
      </c>
      <c r="L2094">
        <v>284.35860000000002</v>
      </c>
      <c r="M2094">
        <v>-0.99988460000000001</v>
      </c>
      <c r="N2094">
        <v>-1.416653E-2</v>
      </c>
      <c r="O2094">
        <v>-5.4893540000000001E-3</v>
      </c>
      <c r="P2094">
        <v>-0.99579879999999998</v>
      </c>
      <c r="Q2094">
        <v>-8.1259410000000004E-2</v>
      </c>
      <c r="R2094">
        <v>-4.2216160000000003E-2</v>
      </c>
      <c r="S2094">
        <v>-2.9878849999999999</v>
      </c>
      <c r="T2094">
        <v>-0.16127569999999999</v>
      </c>
      <c r="U2094">
        <v>-0.27224730000000003</v>
      </c>
      <c r="V2094">
        <v>-3.6791669999999999E-2</v>
      </c>
      <c r="W2094">
        <v>-6.7117369999999996E-2</v>
      </c>
      <c r="X2094">
        <v>0.99706649999999997</v>
      </c>
      <c r="Y2094">
        <v>-8.5121470000000005E-2</v>
      </c>
      <c r="Z2094">
        <v>-2.6777630000000001E-3</v>
      </c>
      <c r="AA2094">
        <v>0.996367</v>
      </c>
      <c r="AB2094">
        <v>42</v>
      </c>
      <c r="AC2094">
        <v>-20.302600000000002</v>
      </c>
      <c r="AD2094">
        <v>-1.108494213935</v>
      </c>
      <c r="AE2094">
        <v>-1.87</v>
      </c>
      <c r="AF2094">
        <v>-1.75332975161162</v>
      </c>
      <c r="AG2094">
        <v>-1.108494213935</v>
      </c>
      <c r="AH2094">
        <v>20.252694544302599</v>
      </c>
      <c r="AI2094">
        <v>93.121202476552796</v>
      </c>
      <c r="AJ2094">
        <v>94.947911720595002</v>
      </c>
      <c r="AK2094">
        <v>20.358648308397999</v>
      </c>
      <c r="AL2094">
        <v>93.848435147431104</v>
      </c>
      <c r="AM2094">
        <v>92.113250656952005</v>
      </c>
      <c r="AN2094">
        <v>0.99999998687967695</v>
      </c>
    </row>
    <row r="2095" spans="1:40" x14ac:dyDescent="0.25">
      <c r="A2095" t="str">
        <f>"20190305135234461"</f>
        <v>20190305135234461</v>
      </c>
      <c r="B2095" t="str">
        <f>"1551765154451960"</f>
        <v>1551765154451960</v>
      </c>
      <c r="C2095" t="s">
        <v>40</v>
      </c>
      <c r="D2095">
        <v>4.5910679999999999</v>
      </c>
      <c r="E2095">
        <v>0.4799947</v>
      </c>
      <c r="F2095" t="s">
        <v>56</v>
      </c>
      <c r="G2095">
        <v>-362.27289999999999</v>
      </c>
      <c r="H2095" s="1">
        <v>-3.2723510000000002E-7</v>
      </c>
      <c r="I2095">
        <v>282.4631</v>
      </c>
      <c r="J2095">
        <v>-342.44220000000001</v>
      </c>
      <c r="K2095">
        <v>1.1084860000000001</v>
      </c>
      <c r="L2095">
        <v>284.35730000000001</v>
      </c>
      <c r="M2095">
        <v>-0.99988569999999999</v>
      </c>
      <c r="N2095">
        <v>-1.414965E-2</v>
      </c>
      <c r="O2095">
        <v>-5.3324890000000002E-3</v>
      </c>
      <c r="P2095">
        <v>-0.9958264</v>
      </c>
      <c r="Q2095">
        <v>-8.113795E-2</v>
      </c>
      <c r="R2095">
        <v>-4.179252E-2</v>
      </c>
      <c r="S2095">
        <v>-2.9873050000000001</v>
      </c>
      <c r="T2095">
        <v>-0.16483200000000001</v>
      </c>
      <c r="U2095">
        <v>-0.28186040000000001</v>
      </c>
      <c r="V2095">
        <v>-3.652569E-2</v>
      </c>
      <c r="W2095">
        <v>-6.7012039999999995E-2</v>
      </c>
      <c r="X2095">
        <v>0.99708339999999995</v>
      </c>
      <c r="Y2095">
        <v>-8.8461349999999994E-2</v>
      </c>
      <c r="Z2095">
        <v>-2.8430640000000002E-3</v>
      </c>
      <c r="AA2095">
        <v>0.99607559999999995</v>
      </c>
      <c r="AB2095">
        <v>42</v>
      </c>
      <c r="AC2095">
        <v>-19.830699999999901</v>
      </c>
      <c r="AD2095">
        <v>-1.1084863272351</v>
      </c>
      <c r="AE2095">
        <v>-1.8942000000000101</v>
      </c>
      <c r="AF2095">
        <v>-1.7828951477667001</v>
      </c>
      <c r="AG2095">
        <v>-1.1084863272351</v>
      </c>
      <c r="AH2095">
        <v>19.779277635798</v>
      </c>
      <c r="AI2095">
        <v>93.194735588558203</v>
      </c>
      <c r="AJ2095">
        <v>95.150695732677505</v>
      </c>
      <c r="AK2095">
        <v>19.890381616237999</v>
      </c>
      <c r="AL2095">
        <v>93.842386426115397</v>
      </c>
      <c r="AM2095">
        <v>92.097951394178907</v>
      </c>
      <c r="AN2095">
        <v>1.0000000230452399</v>
      </c>
    </row>
    <row r="2096" spans="1:40" x14ac:dyDescent="0.25">
      <c r="A2096" t="str">
        <f>"20190305135234482"</f>
        <v>20190305135234482</v>
      </c>
      <c r="B2096" t="str">
        <f>"1551765154471479"</f>
        <v>1551765154471479</v>
      </c>
      <c r="C2096" t="s">
        <v>40</v>
      </c>
      <c r="D2096">
        <v>4.6058770000000004</v>
      </c>
      <c r="E2096">
        <v>0.4788289</v>
      </c>
      <c r="F2096" t="s">
        <v>56</v>
      </c>
      <c r="G2096">
        <v>-362.30990000000003</v>
      </c>
      <c r="H2096" s="1">
        <v>-3.0755350000000001E-7</v>
      </c>
      <c r="I2096">
        <v>282.4468</v>
      </c>
      <c r="J2096">
        <v>-342.82080000000002</v>
      </c>
      <c r="K2096">
        <v>1.108473</v>
      </c>
      <c r="L2096">
        <v>284.35550000000001</v>
      </c>
      <c r="M2096">
        <v>-0.99988719999999998</v>
      </c>
      <c r="N2096">
        <v>-1.413319E-2</v>
      </c>
      <c r="O2096">
        <v>-5.1016919999999997E-3</v>
      </c>
      <c r="P2096">
        <v>-0.99584130000000004</v>
      </c>
      <c r="Q2096">
        <v>-8.112366E-2</v>
      </c>
      <c r="R2096">
        <v>-4.1464809999999998E-2</v>
      </c>
      <c r="S2096">
        <v>-2.9869379999999999</v>
      </c>
      <c r="T2096">
        <v>-0.16665079999999999</v>
      </c>
      <c r="U2096">
        <v>-0.28723140000000003</v>
      </c>
      <c r="V2096">
        <v>-3.6429160000000002E-2</v>
      </c>
      <c r="W2096">
        <v>-6.7013370000000003E-2</v>
      </c>
      <c r="X2096">
        <v>0.99708680000000005</v>
      </c>
      <c r="Y2096">
        <v>-9.0470259999999997E-2</v>
      </c>
      <c r="Z2096">
        <v>-2.9456550000000001E-3</v>
      </c>
      <c r="AA2096">
        <v>0.99589479999999997</v>
      </c>
      <c r="AB2096">
        <v>42</v>
      </c>
      <c r="AC2096">
        <v>-19.489100000000001</v>
      </c>
      <c r="AD2096">
        <v>-1.1084733075535</v>
      </c>
      <c r="AE2096">
        <v>-1.9087000000000101</v>
      </c>
      <c r="AF2096">
        <v>-1.8034591831872899</v>
      </c>
      <c r="AG2096">
        <v>-1.1084733075535</v>
      </c>
      <c r="AH2096">
        <v>19.436306856958598</v>
      </c>
      <c r="AI2096">
        <v>93.250172292138402</v>
      </c>
      <c r="AJ2096">
        <v>95.301191038689794</v>
      </c>
      <c r="AK2096">
        <v>19.5512455443851</v>
      </c>
      <c r="AL2096">
        <v>93.842462962613993</v>
      </c>
      <c r="AM2096">
        <v>92.092404739830002</v>
      </c>
      <c r="AN2096">
        <v>0.99999998109565102</v>
      </c>
    </row>
    <row r="2097" spans="1:40" x14ac:dyDescent="0.25">
      <c r="A2097" t="str">
        <f>"20190305135234503"</f>
        <v>20190305135234503</v>
      </c>
      <c r="B2097" t="str">
        <f>"1551765154491505"</f>
        <v>1551765154491505</v>
      </c>
      <c r="C2097" t="s">
        <v>40</v>
      </c>
      <c r="D2097">
        <v>4.5917789999999998</v>
      </c>
      <c r="E2097">
        <v>0.47825960000000001</v>
      </c>
      <c r="F2097" t="s">
        <v>56</v>
      </c>
      <c r="G2097">
        <v>-362.45800000000003</v>
      </c>
      <c r="H2097" s="1">
        <v>-2.287518E-7</v>
      </c>
      <c r="I2097">
        <v>282.41359999999997</v>
      </c>
      <c r="J2097">
        <v>-343.21089999999998</v>
      </c>
      <c r="K2097">
        <v>1.1084670000000001</v>
      </c>
      <c r="L2097">
        <v>284.35359999999997</v>
      </c>
      <c r="M2097">
        <v>-0.99988849999999996</v>
      </c>
      <c r="N2097">
        <v>-1.413006E-2</v>
      </c>
      <c r="O2097">
        <v>-4.8601520000000004E-3</v>
      </c>
      <c r="P2097">
        <v>-0.99580060000000004</v>
      </c>
      <c r="Q2097">
        <v>-8.1527050000000004E-2</v>
      </c>
      <c r="R2097">
        <v>-4.164872E-2</v>
      </c>
      <c r="S2097">
        <v>-2.9864809999999999</v>
      </c>
      <c r="T2097">
        <v>-0.1685796</v>
      </c>
      <c r="U2097">
        <v>-0.29531859999999999</v>
      </c>
      <c r="V2097">
        <v>-3.6855569999999997E-2</v>
      </c>
      <c r="W2097">
        <v>-6.7419510000000002E-2</v>
      </c>
      <c r="X2097">
        <v>0.99704380000000004</v>
      </c>
      <c r="Y2097">
        <v>-9.3386880000000005E-2</v>
      </c>
      <c r="Z2097">
        <v>-3.0843450000000001E-3</v>
      </c>
      <c r="AA2097">
        <v>0.99562510000000004</v>
      </c>
      <c r="AB2097">
        <v>42</v>
      </c>
      <c r="AC2097">
        <v>-19.2471</v>
      </c>
      <c r="AD2097">
        <v>-1.1084672287518</v>
      </c>
      <c r="AE2097">
        <v>-1.93999999999999</v>
      </c>
      <c r="AF2097">
        <v>-1.8403811986096199</v>
      </c>
      <c r="AG2097">
        <v>-1.1084672287518</v>
      </c>
      <c r="AH2097">
        <v>19.193282847529002</v>
      </c>
      <c r="AI2097">
        <v>93.290266493632203</v>
      </c>
      <c r="AJ2097">
        <v>95.477159949240402</v>
      </c>
      <c r="AK2097">
        <v>19.313151193387998</v>
      </c>
      <c r="AL2097">
        <v>93.865785623510206</v>
      </c>
      <c r="AM2097">
        <v>92.116965780012507</v>
      </c>
      <c r="AN2097">
        <v>1.00000003124355</v>
      </c>
    </row>
    <row r="2098" spans="1:40" x14ac:dyDescent="0.25">
      <c r="A2098" t="str">
        <f>"20190305135234515"</f>
        <v>20190305135234515</v>
      </c>
      <c r="B2098" t="str">
        <f>"1551765154512002"</f>
        <v>1551765154512002</v>
      </c>
      <c r="C2098" t="s">
        <v>40</v>
      </c>
      <c r="D2098">
        <v>4.6417279999999996</v>
      </c>
      <c r="E2098">
        <v>0.47707690000000003</v>
      </c>
      <c r="F2098" t="s">
        <v>56</v>
      </c>
      <c r="G2098">
        <v>-362.13240000000002</v>
      </c>
      <c r="H2098" s="1">
        <v>-4.0201360000000002E-7</v>
      </c>
      <c r="I2098">
        <v>282.44920000000002</v>
      </c>
      <c r="J2098">
        <v>-343.45269999999999</v>
      </c>
      <c r="K2098">
        <v>1.108466</v>
      </c>
      <c r="L2098">
        <v>284.3526</v>
      </c>
      <c r="M2098">
        <v>-0.99988909999999998</v>
      </c>
      <c r="N2098">
        <v>-1.4133379999999999E-2</v>
      </c>
      <c r="O2098">
        <v>-4.7066770000000003E-3</v>
      </c>
      <c r="P2098">
        <v>-0.99577360000000004</v>
      </c>
      <c r="Q2098">
        <v>-8.1697469999999994E-2</v>
      </c>
      <c r="R2098">
        <v>-4.1962569999999998E-2</v>
      </c>
      <c r="S2098">
        <v>-2.9857480000000001</v>
      </c>
      <c r="T2098">
        <v>-0.1749125</v>
      </c>
      <c r="U2098">
        <v>-0.30050660000000001</v>
      </c>
      <c r="V2098">
        <v>-3.7322969999999997E-2</v>
      </c>
      <c r="W2098">
        <v>-6.7586229999999997E-2</v>
      </c>
      <c r="X2098">
        <v>0.99701510000000004</v>
      </c>
      <c r="Y2098">
        <v>-9.5259999999999997E-2</v>
      </c>
      <c r="Z2098">
        <v>-3.2480339999999999E-3</v>
      </c>
      <c r="AA2098">
        <v>0.99544710000000003</v>
      </c>
      <c r="AB2098">
        <v>42</v>
      </c>
      <c r="AC2098">
        <v>-18.6797</v>
      </c>
      <c r="AD2098">
        <v>-1.1084664020135999</v>
      </c>
      <c r="AE2098">
        <v>-1.90339999999997</v>
      </c>
      <c r="AF2098">
        <v>-1.80914570914394</v>
      </c>
      <c r="AG2098">
        <v>-1.1084664020135999</v>
      </c>
      <c r="AH2098">
        <v>18.623547111393801</v>
      </c>
      <c r="AI2098">
        <v>93.390282851993106</v>
      </c>
      <c r="AJ2098">
        <v>95.548469745639906</v>
      </c>
      <c r="AK2098">
        <v>18.744018058346199</v>
      </c>
      <c r="AL2098">
        <v>93.875359911126694</v>
      </c>
      <c r="AM2098">
        <v>92.1438497658134</v>
      </c>
      <c r="AN2098">
        <v>1.0000000061016201</v>
      </c>
    </row>
    <row r="2099" spans="1:40" x14ac:dyDescent="0.25">
      <c r="A2099" t="str">
        <f>"20190305135234528"</f>
        <v>20190305135234528</v>
      </c>
      <c r="B2099" t="str">
        <f>"1551765154521762"</f>
        <v>1551765154521762</v>
      </c>
      <c r="C2099" t="s">
        <v>40</v>
      </c>
      <c r="D2099">
        <v>4.6191319999999996</v>
      </c>
      <c r="E2099">
        <v>0.47671910000000001</v>
      </c>
      <c r="F2099" t="s">
        <v>56</v>
      </c>
      <c r="G2099">
        <v>-364.27550000000002</v>
      </c>
      <c r="H2099" s="1">
        <v>7.3844510000000001E-7</v>
      </c>
      <c r="I2099">
        <v>282.1825</v>
      </c>
      <c r="J2099">
        <v>-343.68009999999998</v>
      </c>
      <c r="K2099">
        <v>1.1084639999999999</v>
      </c>
      <c r="L2099">
        <v>284.35169999999999</v>
      </c>
      <c r="M2099">
        <v>-0.99988969999999999</v>
      </c>
      <c r="N2099">
        <v>-1.413824E-2</v>
      </c>
      <c r="O2099">
        <v>-4.5606040000000002E-3</v>
      </c>
      <c r="P2099">
        <v>-0.99574430000000003</v>
      </c>
      <c r="Q2099">
        <v>-8.184727E-2</v>
      </c>
      <c r="R2099">
        <v>-4.2364619999999999E-2</v>
      </c>
      <c r="S2099">
        <v>-2.986542</v>
      </c>
      <c r="T2099">
        <v>-0.15898289999999901</v>
      </c>
      <c r="U2099">
        <v>-0.31124879999999999</v>
      </c>
      <c r="V2099">
        <v>-3.7871700000000001E-2</v>
      </c>
      <c r="W2099">
        <v>-6.7730769999999996E-2</v>
      </c>
      <c r="X2099">
        <v>0.9969846</v>
      </c>
      <c r="Y2099">
        <v>-9.8945829999999999E-2</v>
      </c>
      <c r="Z2099">
        <v>-3.1489909999999999E-3</v>
      </c>
      <c r="AA2099">
        <v>0.99508790000000003</v>
      </c>
      <c r="AB2099">
        <v>42</v>
      </c>
      <c r="AC2099">
        <v>-20.595400000000001</v>
      </c>
      <c r="AD2099">
        <v>-1.1084632615548999</v>
      </c>
      <c r="AE2099">
        <v>-2.16919999999998</v>
      </c>
      <c r="AF2099">
        <v>-2.0693121962702201</v>
      </c>
      <c r="AG2099">
        <v>-1.1084632615548999</v>
      </c>
      <c r="AH2099">
        <v>20.546216568981102</v>
      </c>
      <c r="AI2099">
        <v>93.072585220761695</v>
      </c>
      <c r="AJ2099">
        <v>95.751151118042102</v>
      </c>
      <c r="AK2099">
        <v>20.6798877914587</v>
      </c>
      <c r="AL2099">
        <v>93.883660457034793</v>
      </c>
      <c r="AM2099">
        <v>92.175405509775501</v>
      </c>
      <c r="AN2099">
        <v>1.00000000775142</v>
      </c>
    </row>
    <row r="2100" spans="1:40" x14ac:dyDescent="0.25">
      <c r="A2100" t="str">
        <f>"20190305135234539"</f>
        <v>20190305135234539</v>
      </c>
      <c r="B2100" t="str">
        <f>"1551765154531522"</f>
        <v>1551765154531522</v>
      </c>
      <c r="C2100" t="s">
        <v>40</v>
      </c>
      <c r="D2100">
        <v>4.601515</v>
      </c>
      <c r="E2100">
        <v>0.47645110000000002</v>
      </c>
      <c r="F2100" t="s">
        <v>56</v>
      </c>
      <c r="G2100">
        <v>-364.77629999999999</v>
      </c>
      <c r="H2100" s="1">
        <v>1.004918E-6</v>
      </c>
      <c r="I2100">
        <v>282.12279999999998</v>
      </c>
      <c r="J2100">
        <v>-343.91719999999998</v>
      </c>
      <c r="K2100">
        <v>1.1084590000000001</v>
      </c>
      <c r="L2100">
        <v>284.35070000000002</v>
      </c>
      <c r="M2100">
        <v>-0.9998901</v>
      </c>
      <c r="N2100">
        <v>-1.4147069999999999E-2</v>
      </c>
      <c r="O2100">
        <v>-4.4029830000000001E-3</v>
      </c>
      <c r="P2100">
        <v>-0.99574399999999996</v>
      </c>
      <c r="Q2100">
        <v>-8.1784889999999999E-2</v>
      </c>
      <c r="R2100">
        <v>-4.248876E-2</v>
      </c>
      <c r="S2100">
        <v>-2.9864809999999999</v>
      </c>
      <c r="T2100">
        <v>-0.15691910000000001</v>
      </c>
      <c r="U2100">
        <v>-0.3155212</v>
      </c>
      <c r="V2100">
        <v>-3.8154269999999997E-2</v>
      </c>
      <c r="W2100">
        <v>-6.7658969999999999E-2</v>
      </c>
      <c r="X2100">
        <v>0.9969787</v>
      </c>
      <c r="Y2100">
        <v>-0.1005138</v>
      </c>
      <c r="Z2100">
        <v>-3.1767029999999999E-3</v>
      </c>
      <c r="AA2100">
        <v>0.9949306</v>
      </c>
      <c r="AB2100">
        <v>42</v>
      </c>
      <c r="AC2100">
        <v>-20.859100000000002</v>
      </c>
      <c r="AD2100">
        <v>-1.1084579950819999</v>
      </c>
      <c r="AE2100">
        <v>-2.2279000000000302</v>
      </c>
      <c r="AF2100">
        <v>-2.1300796736172698</v>
      </c>
      <c r="AG2100">
        <v>-1.1084579950819999</v>
      </c>
      <c r="AH2100">
        <v>20.810604194050399</v>
      </c>
      <c r="AI2100">
        <v>93.033109488303595</v>
      </c>
      <c r="AJ2100">
        <v>95.844185370368805</v>
      </c>
      <c r="AK2100">
        <v>20.9486793250612</v>
      </c>
      <c r="AL2100">
        <v>93.879537166812696</v>
      </c>
      <c r="AM2100">
        <v>92.191633929291299</v>
      </c>
      <c r="AN2100">
        <v>1.0000000063971899</v>
      </c>
    </row>
    <row r="2101" spans="1:40" x14ac:dyDescent="0.25">
      <c r="A2101" t="str">
        <f>"20190305135234560"</f>
        <v>20190305135234560</v>
      </c>
      <c r="B2101" t="str">
        <f>"1551765154552018"</f>
        <v>1551765154552018</v>
      </c>
      <c r="C2101" t="s">
        <v>40</v>
      </c>
      <c r="D2101">
        <v>4.6132860000000004</v>
      </c>
      <c r="E2101">
        <v>0.47570479999999998</v>
      </c>
      <c r="F2101" t="s">
        <v>56</v>
      </c>
      <c r="G2101">
        <v>-365.39170000000001</v>
      </c>
      <c r="H2101" s="1">
        <v>1.332395E-6</v>
      </c>
      <c r="I2101">
        <v>282.0641</v>
      </c>
      <c r="J2101">
        <v>-344.29239999999999</v>
      </c>
      <c r="K2101">
        <v>1.1084579999999999</v>
      </c>
      <c r="L2101">
        <v>284.3492</v>
      </c>
      <c r="M2101">
        <v>-0.99989130000000004</v>
      </c>
      <c r="N2101">
        <v>-1.4163830000000001E-2</v>
      </c>
      <c r="O2101">
        <v>-4.1454409999999997E-3</v>
      </c>
      <c r="P2101">
        <v>-0.99573679999999998</v>
      </c>
      <c r="Q2101">
        <v>-8.1843609999999997E-2</v>
      </c>
      <c r="R2101">
        <v>-4.2548229999999999E-2</v>
      </c>
      <c r="S2101">
        <v>-2.9866640000000002</v>
      </c>
      <c r="T2101">
        <v>-0.154164</v>
      </c>
      <c r="U2101">
        <v>-0.31802370000000002</v>
      </c>
      <c r="V2101">
        <v>-3.8472199999999998E-2</v>
      </c>
      <c r="W2101">
        <v>-6.7699980000000007E-2</v>
      </c>
      <c r="X2101">
        <v>0.99696370000000001</v>
      </c>
      <c r="Y2101">
        <v>-0.1015913</v>
      </c>
      <c r="Z2101">
        <v>-3.180263E-3</v>
      </c>
      <c r="AA2101">
        <v>0.99482110000000001</v>
      </c>
      <c r="AB2101">
        <v>42</v>
      </c>
      <c r="AC2101">
        <v>-21.099299999999999</v>
      </c>
      <c r="AD2101">
        <v>-1.1084566676049901</v>
      </c>
      <c r="AE2101">
        <v>-2.2850999999999999</v>
      </c>
      <c r="AF2101">
        <v>-2.1916270444601702</v>
      </c>
      <c r="AG2101">
        <v>-1.1084566676049901</v>
      </c>
      <c r="AH2101">
        <v>21.051165760965301</v>
      </c>
      <c r="AI2101">
        <v>92.997972554722097</v>
      </c>
      <c r="AJ2101">
        <v>95.943624677094803</v>
      </c>
      <c r="AK2101">
        <v>21.193949258729599</v>
      </c>
      <c r="AL2101">
        <v>93.881892259323294</v>
      </c>
      <c r="AM2101">
        <v>92.209911451955804</v>
      </c>
      <c r="AN2101">
        <v>1.0000000082912599</v>
      </c>
    </row>
    <row r="2102" spans="1:40" x14ac:dyDescent="0.25">
      <c r="A2102" t="str">
        <f>"20190305135234581"</f>
        <v>20190305135234581</v>
      </c>
      <c r="B2102" t="str">
        <f>"1551765154571538"</f>
        <v>1551765154571538</v>
      </c>
      <c r="C2102" t="s">
        <v>40</v>
      </c>
      <c r="D2102">
        <v>4.6086369999999999</v>
      </c>
      <c r="E2102">
        <v>0.47518680000000002</v>
      </c>
      <c r="F2102" t="s">
        <v>56</v>
      </c>
      <c r="G2102">
        <v>-366.27330000000001</v>
      </c>
      <c r="H2102" s="1">
        <v>1.8015170000000001E-6</v>
      </c>
      <c r="I2102">
        <v>281.96300000000002</v>
      </c>
      <c r="J2102">
        <v>-344.68920000000003</v>
      </c>
      <c r="K2102">
        <v>1.1084430000000001</v>
      </c>
      <c r="L2102">
        <v>284.34780000000001</v>
      </c>
      <c r="M2102">
        <v>-0.99989189999999994</v>
      </c>
      <c r="N2102">
        <v>-1.41829E-2</v>
      </c>
      <c r="O2102">
        <v>-3.8572250000000002E-3</v>
      </c>
      <c r="P2102">
        <v>-0.99576799999999999</v>
      </c>
      <c r="Q2102">
        <v>-8.1623169999999995E-2</v>
      </c>
      <c r="R2102">
        <v>-4.2235219999999997E-2</v>
      </c>
      <c r="S2102">
        <v>-2.9866030000000001</v>
      </c>
      <c r="T2102">
        <v>-0.1506091</v>
      </c>
      <c r="U2102">
        <v>-0.32421879999999997</v>
      </c>
      <c r="V2102">
        <v>-3.8447639999999998E-2</v>
      </c>
      <c r="W2102">
        <v>-6.7458969999999993E-2</v>
      </c>
      <c r="X2102">
        <v>0.99698100000000001</v>
      </c>
      <c r="Y2102">
        <v>-0.1039226</v>
      </c>
      <c r="Z2102">
        <v>-3.2114679999999999E-3</v>
      </c>
      <c r="AA2102">
        <v>0.99458020000000003</v>
      </c>
      <c r="AB2102">
        <v>42</v>
      </c>
      <c r="AC2102">
        <v>-21.5840999999999</v>
      </c>
      <c r="AD2102">
        <v>-1.108441198483</v>
      </c>
      <c r="AE2102">
        <v>-2.3848000000000402</v>
      </c>
      <c r="AF2102">
        <v>-2.2955381651254898</v>
      </c>
      <c r="AG2102">
        <v>-1.108441198483</v>
      </c>
      <c r="AH2102">
        <v>21.537024747007798</v>
      </c>
      <c r="AI2102">
        <v>92.929664371017395</v>
      </c>
      <c r="AJ2102">
        <v>96.083939430935104</v>
      </c>
      <c r="AK2102">
        <v>21.6873597358293</v>
      </c>
      <c r="AL2102">
        <v>93.868051701857794</v>
      </c>
      <c r="AM2102">
        <v>92.2084637945417</v>
      </c>
      <c r="AN2102">
        <v>1.00000002400801</v>
      </c>
    </row>
    <row r="2103" spans="1:40" x14ac:dyDescent="0.25">
      <c r="A2103" t="str">
        <f>"20190305135234595"</f>
        <v>20190305135234595</v>
      </c>
      <c r="B2103" t="str">
        <f>"1551765154591565"</f>
        <v>1551765154591565</v>
      </c>
      <c r="C2103" t="s">
        <v>40</v>
      </c>
      <c r="D2103">
        <v>4.6029460000000002</v>
      </c>
      <c r="E2103">
        <v>0.47478179999999998</v>
      </c>
      <c r="F2103" t="s">
        <v>56</v>
      </c>
      <c r="G2103">
        <v>-367.24650000000003</v>
      </c>
      <c r="H2103" s="1">
        <v>2.3194479999999998E-6</v>
      </c>
      <c r="I2103">
        <v>281.87389999999999</v>
      </c>
      <c r="J2103">
        <v>-344.94630000000001</v>
      </c>
      <c r="K2103">
        <v>1.108433</v>
      </c>
      <c r="L2103">
        <v>284.34699999999998</v>
      </c>
      <c r="M2103">
        <v>-0.99989269999999997</v>
      </c>
      <c r="N2103">
        <v>-1.4194969999999999E-2</v>
      </c>
      <c r="O2103">
        <v>-3.660557E-3</v>
      </c>
      <c r="P2103">
        <v>-0.99576120000000001</v>
      </c>
      <c r="Q2103">
        <v>-8.1831790000000001E-2</v>
      </c>
      <c r="R2103">
        <v>-4.1994549999999999E-2</v>
      </c>
      <c r="S2103">
        <v>-2.9868160000000001</v>
      </c>
      <c r="T2103">
        <v>-0.1467686</v>
      </c>
      <c r="U2103">
        <v>-0.32757570000000003</v>
      </c>
      <c r="V2103">
        <v>-3.8405300000000003E-2</v>
      </c>
      <c r="W2103">
        <v>-6.7654720000000002E-2</v>
      </c>
      <c r="X2103">
        <v>0.99696929999999995</v>
      </c>
      <c r="Y2103">
        <v>-0.10522040000000001</v>
      </c>
      <c r="Z2103">
        <v>-3.198149E-3</v>
      </c>
      <c r="AA2103">
        <v>0.99444379999999999</v>
      </c>
      <c r="AB2103">
        <v>42</v>
      </c>
      <c r="AC2103">
        <v>-22.3002</v>
      </c>
      <c r="AD2103">
        <v>-1.1084306805519999</v>
      </c>
      <c r="AE2103">
        <v>-2.4730999999999801</v>
      </c>
      <c r="AF2103">
        <v>-2.3856217904500201</v>
      </c>
      <c r="AG2103">
        <v>-1.1084306805519999</v>
      </c>
      <c r="AH2103">
        <v>22.254790081498701</v>
      </c>
      <c r="AI2103">
        <v>92.835123671991795</v>
      </c>
      <c r="AJ2103">
        <v>96.118507014183706</v>
      </c>
      <c r="AK2103">
        <v>22.409718683469301</v>
      </c>
      <c r="AL2103">
        <v>93.879293293694602</v>
      </c>
      <c r="AM2103">
        <v>92.206060018091705</v>
      </c>
      <c r="AN2103">
        <v>0.99999995667442798</v>
      </c>
    </row>
    <row r="2104" spans="1:40" x14ac:dyDescent="0.25">
      <c r="A2104" t="str">
        <f>"20190305135234615"</f>
        <v>20190305135234615</v>
      </c>
      <c r="B2104" t="str">
        <f>"1551765154612061"</f>
        <v>1551765154612061</v>
      </c>
      <c r="C2104" t="s">
        <v>40</v>
      </c>
      <c r="D2104">
        <v>4.6548749999999997</v>
      </c>
      <c r="E2104">
        <v>0.47454560000000001</v>
      </c>
      <c r="F2104" t="s">
        <v>56</v>
      </c>
      <c r="G2104">
        <v>-367.96899999999999</v>
      </c>
      <c r="H2104" s="1">
        <v>2.703898E-6</v>
      </c>
      <c r="I2104">
        <v>281.80119999999999</v>
      </c>
      <c r="J2104">
        <v>-345.33330000000001</v>
      </c>
      <c r="K2104">
        <v>1.1084240000000001</v>
      </c>
      <c r="L2104">
        <v>284.3458</v>
      </c>
      <c r="M2104">
        <v>-0.99989329999999998</v>
      </c>
      <c r="N2104">
        <v>-1.421246E-2</v>
      </c>
      <c r="O2104">
        <v>-3.3486470000000002E-3</v>
      </c>
      <c r="P2104">
        <v>-0.99570420000000004</v>
      </c>
      <c r="Q2104">
        <v>-8.2351820000000006E-2</v>
      </c>
      <c r="R2104">
        <v>-4.2322930000000002E-2</v>
      </c>
      <c r="S2104">
        <v>-2.9870000000000001</v>
      </c>
      <c r="T2104">
        <v>-0.14380979999999999</v>
      </c>
      <c r="U2104">
        <v>-0.33029170000000002</v>
      </c>
      <c r="V2104">
        <v>-3.9048100000000002E-2</v>
      </c>
      <c r="W2104">
        <v>-6.8155889999999997E-2</v>
      </c>
      <c r="X2104">
        <v>0.99691019999999997</v>
      </c>
      <c r="Y2104">
        <v>-0.106421</v>
      </c>
      <c r="Z2104">
        <v>-3.1985379999999999E-3</v>
      </c>
      <c r="AA2104">
        <v>0.99431599999999998</v>
      </c>
      <c r="AB2104">
        <v>42</v>
      </c>
      <c r="AC2104">
        <v>-22.6356999999999</v>
      </c>
      <c r="AD2104">
        <v>-1.1084212961019999</v>
      </c>
      <c r="AE2104">
        <v>-2.5446</v>
      </c>
      <c r="AF2104">
        <v>-2.4629470234644</v>
      </c>
      <c r="AG2104">
        <v>-1.1084212961019999</v>
      </c>
      <c r="AH2104">
        <v>22.5906020344569</v>
      </c>
      <c r="AI2104">
        <v>92.792477751506794</v>
      </c>
      <c r="AJ2104">
        <v>96.222113772471403</v>
      </c>
      <c r="AK2104">
        <v>22.751483601937998</v>
      </c>
      <c r="AL2104">
        <v>93.908074629663105</v>
      </c>
      <c r="AM2104">
        <v>92.243078879264701</v>
      </c>
      <c r="AN2104">
        <v>0.99999996315966999</v>
      </c>
    </row>
    <row r="2105" spans="1:40" x14ac:dyDescent="0.25">
      <c r="A2105" t="str">
        <f>"20190305135234629"</f>
        <v>20190305135234629</v>
      </c>
      <c r="B2105" t="str">
        <f>"1551765154621821"</f>
        <v>1551765154621821</v>
      </c>
      <c r="C2105" t="s">
        <v>40</v>
      </c>
      <c r="D2105">
        <v>4.6536970000000002</v>
      </c>
      <c r="E2105">
        <v>0.47439819999999999</v>
      </c>
      <c r="F2105" t="s">
        <v>56</v>
      </c>
      <c r="G2105">
        <v>-368.33120000000002</v>
      </c>
      <c r="H2105" s="1">
        <v>2.896687E-6</v>
      </c>
      <c r="I2105">
        <v>281.77969999999999</v>
      </c>
      <c r="J2105">
        <v>-345.58789999999999</v>
      </c>
      <c r="K2105">
        <v>1.108411</v>
      </c>
      <c r="L2105">
        <v>284.34519999999998</v>
      </c>
      <c r="M2105">
        <v>-0.99989399999999995</v>
      </c>
      <c r="N2105">
        <v>-1.422346E-2</v>
      </c>
      <c r="O2105">
        <v>-3.1328599999999999E-3</v>
      </c>
      <c r="P2105">
        <v>-0.9956545</v>
      </c>
      <c r="Q2105">
        <v>-8.3007520000000001E-2</v>
      </c>
      <c r="R2105">
        <v>-4.2211680000000001E-2</v>
      </c>
      <c r="S2105">
        <v>-2.9868769999999998</v>
      </c>
      <c r="T2105">
        <v>-0.1439571</v>
      </c>
      <c r="U2105">
        <v>-0.33328249999999998</v>
      </c>
      <c r="V2105">
        <v>-3.915474E-2</v>
      </c>
      <c r="W2105">
        <v>-6.88E-2</v>
      </c>
      <c r="X2105">
        <v>0.99686180000000002</v>
      </c>
      <c r="Y2105">
        <v>-0.1076212</v>
      </c>
      <c r="Z2105">
        <v>-3.246301E-3</v>
      </c>
      <c r="AA2105">
        <v>0.99418669999999998</v>
      </c>
      <c r="AB2105">
        <v>42</v>
      </c>
      <c r="AC2105">
        <v>-22.743300000000001</v>
      </c>
      <c r="AD2105">
        <v>-1.108408103313</v>
      </c>
      <c r="AE2105">
        <v>-2.5654999999999801</v>
      </c>
      <c r="AF2105">
        <v>-2.4883925649018601</v>
      </c>
      <c r="AG2105">
        <v>-1.108408103313</v>
      </c>
      <c r="AH2105">
        <v>22.6979925923862</v>
      </c>
      <c r="AI2105">
        <v>92.779072061049305</v>
      </c>
      <c r="AJ2105">
        <v>96.256380682295699</v>
      </c>
      <c r="AK2105">
        <v>22.8608734261088</v>
      </c>
      <c r="AL2105">
        <v>93.9450661392885</v>
      </c>
      <c r="AM2105">
        <v>92.249307515799202</v>
      </c>
      <c r="AN2105">
        <v>0.99999999098185299</v>
      </c>
    </row>
    <row r="2106" spans="1:40" x14ac:dyDescent="0.25">
      <c r="A2106" t="str">
        <f>"20190305135234642"</f>
        <v>20190305135234642</v>
      </c>
      <c r="B2106" t="str">
        <f>"1551765154631581"</f>
        <v>1551765154631581</v>
      </c>
      <c r="C2106" t="s">
        <v>40</v>
      </c>
      <c r="D2106">
        <v>4.6393700000000004</v>
      </c>
      <c r="E2106">
        <v>0.47424070000000002</v>
      </c>
      <c r="F2106" t="s">
        <v>56</v>
      </c>
      <c r="G2106">
        <v>-368.36840000000001</v>
      </c>
      <c r="H2106" s="1">
        <v>2.916456E-6</v>
      </c>
      <c r="I2106">
        <v>281.7946</v>
      </c>
      <c r="J2106">
        <v>-345.8415</v>
      </c>
      <c r="K2106">
        <v>1.1083959999999999</v>
      </c>
      <c r="L2106">
        <v>284.34449999999998</v>
      </c>
      <c r="M2106">
        <v>-0.99989450000000002</v>
      </c>
      <c r="N2106">
        <v>-1.423381E-2</v>
      </c>
      <c r="O2106">
        <v>-2.9079969999999998E-3</v>
      </c>
      <c r="P2106">
        <v>-0.99560329999999997</v>
      </c>
      <c r="Q2106">
        <v>-8.3450179999999999E-2</v>
      </c>
      <c r="R2106">
        <v>-4.254434E-2</v>
      </c>
      <c r="S2106">
        <v>-2.986847</v>
      </c>
      <c r="T2106">
        <v>-0.14532779999999901</v>
      </c>
      <c r="U2106">
        <v>-0.33441159999999998</v>
      </c>
      <c r="V2106">
        <v>-3.971446E-2</v>
      </c>
      <c r="W2106">
        <v>-6.9231249999999994E-2</v>
      </c>
      <c r="X2106">
        <v>0.99680979999999997</v>
      </c>
      <c r="Y2106">
        <v>-0.1082134</v>
      </c>
      <c r="Z2106">
        <v>-3.2963279999999998E-3</v>
      </c>
      <c r="AA2106">
        <v>0.99412219999999996</v>
      </c>
      <c r="AB2106">
        <v>42</v>
      </c>
      <c r="AC2106">
        <v>-22.526900000000001</v>
      </c>
      <c r="AD2106">
        <v>-1.1083930835439999</v>
      </c>
      <c r="AE2106">
        <v>-2.5498999999999801</v>
      </c>
      <c r="AF2106">
        <v>-2.4784501412855899</v>
      </c>
      <c r="AG2106">
        <v>-1.1083930835439999</v>
      </c>
      <c r="AH2106">
        <v>22.480485088972099</v>
      </c>
      <c r="AI2106">
        <v>92.805691753515006</v>
      </c>
      <c r="AJ2106">
        <v>96.291392030540607</v>
      </c>
      <c r="AK2106">
        <v>22.6438393424345</v>
      </c>
      <c r="AL2106">
        <v>93.969834002185806</v>
      </c>
      <c r="AM2106">
        <v>92.281546689601896</v>
      </c>
      <c r="AN2106">
        <v>0.99999999084284696</v>
      </c>
    </row>
    <row r="2107" spans="1:40" x14ac:dyDescent="0.25">
      <c r="A2107" t="str">
        <f>"20190305135234655"</f>
        <v>20190305135234655</v>
      </c>
      <c r="B2107" t="str">
        <f>"1551765154652079"</f>
        <v>1551765154652079</v>
      </c>
      <c r="C2107" t="s">
        <v>40</v>
      </c>
      <c r="D2107">
        <v>4.6538760000000003</v>
      </c>
      <c r="E2107">
        <v>0.47398420000000002</v>
      </c>
      <c r="F2107" t="s">
        <v>56</v>
      </c>
      <c r="G2107">
        <v>-368.58249999999998</v>
      </c>
      <c r="H2107" s="1">
        <v>3.0304030000000001E-6</v>
      </c>
      <c r="I2107">
        <v>281.78219999999999</v>
      </c>
      <c r="J2107">
        <v>-346.08139999999997</v>
      </c>
      <c r="K2107">
        <v>1.1083769999999999</v>
      </c>
      <c r="L2107">
        <v>284.34399999999999</v>
      </c>
      <c r="M2107">
        <v>-0.99989510000000004</v>
      </c>
      <c r="N2107">
        <v>-1.424302E-2</v>
      </c>
      <c r="O2107">
        <v>-2.68396E-3</v>
      </c>
      <c r="P2107">
        <v>-0.99558690000000005</v>
      </c>
      <c r="Q2107">
        <v>-8.36982E-2</v>
      </c>
      <c r="R2107">
        <v>-4.244386E-2</v>
      </c>
      <c r="S2107">
        <v>-2.9866640000000002</v>
      </c>
      <c r="T2107">
        <v>-0.14556929999999901</v>
      </c>
      <c r="U2107">
        <v>-0.33651730000000002</v>
      </c>
      <c r="V2107">
        <v>-3.9839760000000002E-2</v>
      </c>
      <c r="W2107">
        <v>-6.9468890000000005E-2</v>
      </c>
      <c r="X2107">
        <v>0.99678829999999996</v>
      </c>
      <c r="Y2107">
        <v>-0.1091329</v>
      </c>
      <c r="Z2107">
        <v>-3.337657E-3</v>
      </c>
      <c r="AA2107">
        <v>0.9940215</v>
      </c>
      <c r="AB2107">
        <v>42</v>
      </c>
      <c r="AC2107">
        <v>-22.501100000000001</v>
      </c>
      <c r="AD2107">
        <v>-1.1083739695970001</v>
      </c>
      <c r="AE2107">
        <v>-2.5617999999999999</v>
      </c>
      <c r="AF2107">
        <v>-2.4954151682897501</v>
      </c>
      <c r="AG2107">
        <v>-1.1083739695970001</v>
      </c>
      <c r="AH2107">
        <v>22.454109597868602</v>
      </c>
      <c r="AI2107">
        <v>92.808662389655694</v>
      </c>
      <c r="AJ2107">
        <v>96.341487569985006</v>
      </c>
      <c r="AK2107">
        <v>22.619518729444799</v>
      </c>
      <c r="AL2107">
        <v>93.9834824993886</v>
      </c>
      <c r="AM2107">
        <v>92.288786690749205</v>
      </c>
      <c r="AN2107">
        <v>1.00000002408578</v>
      </c>
    </row>
    <row r="2108" spans="1:40" x14ac:dyDescent="0.25">
      <c r="A2108" t="str">
        <f>"20190305135234672"</f>
        <v>20190305135234672</v>
      </c>
      <c r="B2108" t="str">
        <f>"1551765154661837"</f>
        <v>1551765154661837</v>
      </c>
      <c r="C2108" t="s">
        <v>40</v>
      </c>
      <c r="D2108">
        <v>4.6633979999999999</v>
      </c>
      <c r="E2108">
        <v>0.47380719999999998</v>
      </c>
      <c r="F2108" t="s">
        <v>56</v>
      </c>
      <c r="G2108">
        <v>-369.0401</v>
      </c>
      <c r="H2108" s="1">
        <v>3.2739239999999999E-6</v>
      </c>
      <c r="I2108">
        <v>281.7432</v>
      </c>
      <c r="J2108">
        <v>-346.40260000000001</v>
      </c>
      <c r="K2108">
        <v>1.10836</v>
      </c>
      <c r="L2108">
        <v>284.34339999999997</v>
      </c>
      <c r="M2108">
        <v>-0.9998956</v>
      </c>
      <c r="N2108">
        <v>-1.4254640000000001E-2</v>
      </c>
      <c r="O2108">
        <v>-2.3693590000000001E-3</v>
      </c>
      <c r="P2108">
        <v>-0.9955735</v>
      </c>
      <c r="Q2108">
        <v>-8.3733989999999994E-2</v>
      </c>
      <c r="R2108">
        <v>-4.2687070000000001E-2</v>
      </c>
      <c r="S2108">
        <v>-2.986755</v>
      </c>
      <c r="T2108">
        <v>-0.14419089999999901</v>
      </c>
      <c r="U2108">
        <v>-0.33834839999999999</v>
      </c>
      <c r="V2108">
        <v>-4.0399129999999998E-2</v>
      </c>
      <c r="W2108">
        <v>-6.9490860000000002E-2</v>
      </c>
      <c r="X2108">
        <v>0.99676419999999999</v>
      </c>
      <c r="Y2108">
        <v>-0.11004510000000001</v>
      </c>
      <c r="Z2108">
        <v>-3.3534760000000002E-3</v>
      </c>
      <c r="AA2108">
        <v>0.9939209</v>
      </c>
      <c r="AB2108">
        <v>42</v>
      </c>
      <c r="AC2108">
        <v>-22.6374999999999</v>
      </c>
      <c r="AD2108">
        <v>-1.1083567260760001</v>
      </c>
      <c r="AE2108">
        <v>-2.6001999999999699</v>
      </c>
      <c r="AF2108">
        <v>-2.5405400359630401</v>
      </c>
      <c r="AG2108">
        <v>-1.1083567260760001</v>
      </c>
      <c r="AH2108">
        <v>22.590150185386001</v>
      </c>
      <c r="AI2108">
        <v>92.791322988217502</v>
      </c>
      <c r="AJ2108">
        <v>96.416653137831204</v>
      </c>
      <c r="AK2108">
        <v>22.759562467342501</v>
      </c>
      <c r="AL2108">
        <v>93.984744553454902</v>
      </c>
      <c r="AM2108">
        <v>92.3209435468859</v>
      </c>
      <c r="AN2108">
        <v>0.99999996986496698</v>
      </c>
    </row>
    <row r="2109" spans="1:40" x14ac:dyDescent="0.25">
      <c r="A2109" t="str">
        <f>"20190305135234694"</f>
        <v>20190305135234694</v>
      </c>
      <c r="B2109" t="str">
        <f>"1551765154681357"</f>
        <v>1551765154681357</v>
      </c>
      <c r="C2109" t="s">
        <v>40</v>
      </c>
      <c r="D2109">
        <v>4.6713680000000002</v>
      </c>
      <c r="E2109">
        <v>0.47351100000000002</v>
      </c>
      <c r="F2109" t="s">
        <v>56</v>
      </c>
      <c r="G2109">
        <v>-369.93610000000001</v>
      </c>
      <c r="H2109" s="1">
        <v>3.750688E-6</v>
      </c>
      <c r="I2109">
        <v>281.66079999999999</v>
      </c>
      <c r="J2109">
        <v>-346.80869999999999</v>
      </c>
      <c r="K2109">
        <v>1.1083339999999999</v>
      </c>
      <c r="L2109">
        <v>284.34280000000001</v>
      </c>
      <c r="M2109">
        <v>-0.99989629999999996</v>
      </c>
      <c r="N2109">
        <v>-1.426795E-2</v>
      </c>
      <c r="O2109">
        <v>-1.9410269999999999E-3</v>
      </c>
      <c r="P2109">
        <v>-0.99558599999999997</v>
      </c>
      <c r="Q2109">
        <v>-8.3627960000000001E-2</v>
      </c>
      <c r="R2109">
        <v>-4.2601269999999997E-2</v>
      </c>
      <c r="S2109">
        <v>-2.9869379999999999</v>
      </c>
      <c r="T2109">
        <v>-0.14067569999999999</v>
      </c>
      <c r="U2109">
        <v>-0.34048460000000003</v>
      </c>
      <c r="V2109">
        <v>-4.0745480000000001E-2</v>
      </c>
      <c r="W2109">
        <v>-6.9368330000000006E-2</v>
      </c>
      <c r="X2109">
        <v>0.99675860000000005</v>
      </c>
      <c r="Y2109">
        <v>-0.1111709</v>
      </c>
      <c r="Z2109">
        <v>-3.3408079999999998E-3</v>
      </c>
      <c r="AA2109">
        <v>0.99379569999999995</v>
      </c>
      <c r="AB2109">
        <v>42</v>
      </c>
      <c r="AC2109">
        <v>-23.127400000000002</v>
      </c>
      <c r="AD2109">
        <v>-1.108330249312</v>
      </c>
      <c r="AE2109">
        <v>-2.6820000000000102</v>
      </c>
      <c r="AF2109">
        <v>-2.6311369915326699</v>
      </c>
      <c r="AG2109">
        <v>-1.108330249312</v>
      </c>
      <c r="AH2109">
        <v>23.0802601140173</v>
      </c>
      <c r="AI2109">
        <v>92.731606030740096</v>
      </c>
      <c r="AJ2109">
        <v>96.503611038663493</v>
      </c>
      <c r="AK2109">
        <v>23.256175195858201</v>
      </c>
      <c r="AL2109">
        <v>93.977707265849105</v>
      </c>
      <c r="AM2109">
        <v>92.340832566752198</v>
      </c>
      <c r="AN2109">
        <v>0.99999993301068701</v>
      </c>
    </row>
    <row r="2110" spans="1:40" x14ac:dyDescent="0.25">
      <c r="A2110" t="str">
        <f>"20190305135234716"</f>
        <v>20190305135234716</v>
      </c>
      <c r="B2110" t="str">
        <f>"1551765154712122"</f>
        <v>1551765154712122</v>
      </c>
      <c r="C2110" t="s">
        <v>40</v>
      </c>
      <c r="D2110">
        <v>4.6868030000000003</v>
      </c>
      <c r="E2110">
        <v>0.4730954</v>
      </c>
      <c r="F2110" t="s">
        <v>56</v>
      </c>
      <c r="G2110">
        <v>-371.3381</v>
      </c>
      <c r="H2110" s="1">
        <v>-8.2471659999999999E-7</v>
      </c>
      <c r="I2110">
        <v>281.52659999999997</v>
      </c>
      <c r="J2110">
        <v>-347.214</v>
      </c>
      <c r="K2110">
        <v>1.108301</v>
      </c>
      <c r="L2110">
        <v>284.34249999999997</v>
      </c>
      <c r="M2110">
        <v>-0.99989709999999998</v>
      </c>
      <c r="N2110">
        <v>-1.4279740000000001E-2</v>
      </c>
      <c r="O2110">
        <v>-1.4789149999999999E-3</v>
      </c>
      <c r="P2110">
        <v>-0.99558049999999998</v>
      </c>
      <c r="Q2110">
        <v>-8.3711179999999996E-2</v>
      </c>
      <c r="R2110">
        <v>-4.2572499999999999E-2</v>
      </c>
      <c r="S2110">
        <v>-2.987244</v>
      </c>
      <c r="T2110">
        <v>-0.13497519999999999</v>
      </c>
      <c r="U2110">
        <v>-0.3429565</v>
      </c>
      <c r="V2110">
        <v>-4.1182080000000003E-2</v>
      </c>
      <c r="W2110">
        <v>-6.9436390000000001E-2</v>
      </c>
      <c r="X2110">
        <v>0.99673599999999996</v>
      </c>
      <c r="Y2110">
        <v>-0.1124395</v>
      </c>
      <c r="Z2110">
        <v>-3.2911110000000002E-3</v>
      </c>
      <c r="AA2110">
        <v>0.99365309999999996</v>
      </c>
      <c r="AB2110">
        <v>42</v>
      </c>
      <c r="AC2110">
        <v>-24.124099999999999</v>
      </c>
      <c r="AD2110">
        <v>-1.1083018247166001</v>
      </c>
      <c r="AE2110">
        <v>-2.8158999999999899</v>
      </c>
      <c r="AF2110">
        <v>-2.7744386694664298</v>
      </c>
      <c r="AG2110">
        <v>-1.1083018247166001</v>
      </c>
      <c r="AH2110">
        <v>24.078101456023902</v>
      </c>
      <c r="AI2110">
        <v>92.618134105462801</v>
      </c>
      <c r="AJ2110">
        <v>96.573011955953504</v>
      </c>
      <c r="AK2110">
        <v>24.262745363867701</v>
      </c>
      <c r="AL2110">
        <v>93.981615916079804</v>
      </c>
      <c r="AM2110">
        <v>92.365940519370398</v>
      </c>
      <c r="AN2110">
        <v>1.00000001483267</v>
      </c>
    </row>
    <row r="2111" spans="1:40" x14ac:dyDescent="0.25">
      <c r="A2111" t="str">
        <f>"20190305135234728"</f>
        <v>20190305135234728</v>
      </c>
      <c r="B2111" t="str">
        <f>"1551765154721882"</f>
        <v>1551765154721882</v>
      </c>
      <c r="C2111" t="s">
        <v>40</v>
      </c>
      <c r="D2111">
        <v>4.7039540000000004</v>
      </c>
      <c r="E2111">
        <v>0.47296870000000002</v>
      </c>
      <c r="F2111" t="s">
        <v>56</v>
      </c>
      <c r="G2111">
        <v>-373.17200000000003</v>
      </c>
      <c r="H2111" s="1">
        <v>1.512021E-7</v>
      </c>
      <c r="I2111">
        <v>281.33449999999999</v>
      </c>
      <c r="J2111">
        <v>-347.44740000000002</v>
      </c>
      <c r="K2111">
        <v>1.1082799999999999</v>
      </c>
      <c r="L2111">
        <v>284.34230000000002</v>
      </c>
      <c r="M2111">
        <v>-0.99989720000000004</v>
      </c>
      <c r="N2111">
        <v>-1.4285920000000001E-2</v>
      </c>
      <c r="O2111">
        <v>-1.1989979999999999E-3</v>
      </c>
      <c r="P2111">
        <v>-0.99558690000000005</v>
      </c>
      <c r="Q2111">
        <v>-8.3697830000000001E-2</v>
      </c>
      <c r="R2111">
        <v>-4.2445579999999997E-2</v>
      </c>
      <c r="S2111">
        <v>-2.9877929999999999</v>
      </c>
      <c r="T2111">
        <v>-0.1275665</v>
      </c>
      <c r="U2111">
        <v>-0.34622190000000003</v>
      </c>
      <c r="V2111">
        <v>-4.1337079999999998E-2</v>
      </c>
      <c r="W2111">
        <v>-6.941485E-2</v>
      </c>
      <c r="X2111">
        <v>0.99673100000000003</v>
      </c>
      <c r="Y2111">
        <v>-0.1137809</v>
      </c>
      <c r="Z2111">
        <v>-3.2018400000000001E-3</v>
      </c>
      <c r="AA2111">
        <v>0.99350070000000001</v>
      </c>
      <c r="AB2111">
        <v>42</v>
      </c>
      <c r="AC2111">
        <v>-25.724599999999899</v>
      </c>
      <c r="AD2111">
        <v>-1.1082798487979</v>
      </c>
      <c r="AE2111">
        <v>-3.0078000000000298</v>
      </c>
      <c r="AF2111">
        <v>-2.9715099066063799</v>
      </c>
      <c r="AG2111">
        <v>-1.1082798487979</v>
      </c>
      <c r="AH2111">
        <v>25.681164249519298</v>
      </c>
      <c r="AI2111">
        <v>92.454729188384704</v>
      </c>
      <c r="AJ2111">
        <v>96.600215361948401</v>
      </c>
      <c r="AK2111">
        <v>25.8762507438597</v>
      </c>
      <c r="AL2111">
        <v>93.980379114294095</v>
      </c>
      <c r="AM2111">
        <v>92.374847105433503</v>
      </c>
      <c r="AN2111">
        <v>0.99999993097222195</v>
      </c>
    </row>
    <row r="2112" spans="1:40" x14ac:dyDescent="0.25">
      <c r="A2112" t="str">
        <f>"20190305135234740"</f>
        <v>20190305135234740</v>
      </c>
      <c r="B2112" t="str">
        <f>"1551765154731642"</f>
        <v>1551765154731642</v>
      </c>
      <c r="C2112" t="s">
        <v>40</v>
      </c>
      <c r="D2112">
        <v>4.684666</v>
      </c>
      <c r="E2112">
        <v>0.47286050000000002</v>
      </c>
      <c r="F2112" t="s">
        <v>56</v>
      </c>
      <c r="G2112">
        <v>-374.0342</v>
      </c>
      <c r="H2112" s="1">
        <v>6.1001899999999998E-7</v>
      </c>
      <c r="I2112">
        <v>281.2552</v>
      </c>
      <c r="J2112">
        <v>-347.69869999999997</v>
      </c>
      <c r="K2112">
        <v>1.1082510000000001</v>
      </c>
      <c r="L2112">
        <v>284.34219999999999</v>
      </c>
      <c r="M2112">
        <v>-0.99989760000000005</v>
      </c>
      <c r="N2112">
        <v>-1.429184E-2</v>
      </c>
      <c r="O2112">
        <v>-8.8161179999999997E-4</v>
      </c>
      <c r="P2112">
        <v>-0.99557309999999999</v>
      </c>
      <c r="Q2112">
        <v>-8.382365E-2</v>
      </c>
      <c r="R2112">
        <v>-4.2520580000000002E-2</v>
      </c>
      <c r="S2112">
        <v>-2.9880369999999998</v>
      </c>
      <c r="T2112">
        <v>-0.1245571</v>
      </c>
      <c r="U2112">
        <v>-0.34695429999999999</v>
      </c>
      <c r="V2112">
        <v>-4.1732159999999997E-2</v>
      </c>
      <c r="W2112">
        <v>-6.9532479999999994E-2</v>
      </c>
      <c r="X2112">
        <v>0.99670639999999999</v>
      </c>
      <c r="Y2112">
        <v>-0.114332</v>
      </c>
      <c r="Z2112">
        <v>-3.1701820000000001E-3</v>
      </c>
      <c r="AA2112">
        <v>0.99343749999999997</v>
      </c>
      <c r="AB2112">
        <v>42</v>
      </c>
      <c r="AC2112">
        <v>-26.3355</v>
      </c>
      <c r="AD2112">
        <v>-1.1082503899809999</v>
      </c>
      <c r="AE2112">
        <v>-3.0869999999999802</v>
      </c>
      <c r="AF2112">
        <v>-3.0584359869010398</v>
      </c>
      <c r="AG2112">
        <v>-1.1082503899809999</v>
      </c>
      <c r="AH2112">
        <v>26.292281803745102</v>
      </c>
      <c r="AI2112">
        <v>92.397508004602201</v>
      </c>
      <c r="AJ2112">
        <v>96.635081659902795</v>
      </c>
      <c r="AK2112">
        <v>26.492759993258701</v>
      </c>
      <c r="AL2112">
        <v>93.987134892098496</v>
      </c>
      <c r="AM2112">
        <v>92.397577499876903</v>
      </c>
      <c r="AN2112">
        <v>0.999999993377088</v>
      </c>
    </row>
    <row r="2113" spans="1:40" x14ac:dyDescent="0.25">
      <c r="A2113" t="str">
        <f>"20190305135234753"</f>
        <v>20190305135234753</v>
      </c>
      <c r="B2113" t="str">
        <f>"1551765154741402"</f>
        <v>1551765154741402</v>
      </c>
      <c r="C2113" t="s">
        <v>40</v>
      </c>
      <c r="D2113">
        <v>4.8177839999999996</v>
      </c>
      <c r="E2113">
        <v>0.47298099999999998</v>
      </c>
      <c r="F2113" t="s">
        <v>56</v>
      </c>
      <c r="G2113">
        <v>-374.84780000000001</v>
      </c>
      <c r="H2113" s="1">
        <v>1.0429870000000001E-6</v>
      </c>
      <c r="I2113">
        <v>281.17840000000001</v>
      </c>
      <c r="J2113">
        <v>-347.92039999999997</v>
      </c>
      <c r="K2113">
        <v>1.108231</v>
      </c>
      <c r="L2113">
        <v>284.34230000000002</v>
      </c>
      <c r="M2113">
        <v>-0.9998977</v>
      </c>
      <c r="N2113">
        <v>-1.4296669999999999E-2</v>
      </c>
      <c r="O2113">
        <v>-5.8940190000000001E-4</v>
      </c>
      <c r="P2113">
        <v>-0.99560680000000001</v>
      </c>
      <c r="Q2113">
        <v>-8.3594340000000003E-2</v>
      </c>
      <c r="R2113">
        <v>-4.2182560000000001E-2</v>
      </c>
      <c r="S2113">
        <v>-2.9882200000000001</v>
      </c>
      <c r="T2113">
        <v>-0.1219817</v>
      </c>
      <c r="U2113">
        <v>-0.34823609999999999</v>
      </c>
      <c r="V2113">
        <v>-4.1688179999999998E-2</v>
      </c>
      <c r="W2113">
        <v>-6.9296109999999994E-2</v>
      </c>
      <c r="X2113">
        <v>0.99672470000000002</v>
      </c>
      <c r="Y2113">
        <v>-0.11503960000000001</v>
      </c>
      <c r="Z2113">
        <v>-3.1491679999999999E-3</v>
      </c>
      <c r="AA2113">
        <v>0.99335589999999996</v>
      </c>
      <c r="AB2113">
        <v>42</v>
      </c>
      <c r="AC2113">
        <v>-26.927399999999999</v>
      </c>
      <c r="AD2113">
        <v>-1.1082299570130001</v>
      </c>
      <c r="AE2113">
        <v>-3.1639000000000101</v>
      </c>
      <c r="AF2113">
        <v>-3.1427759182499901</v>
      </c>
      <c r="AG2113">
        <v>-1.1082299570130001</v>
      </c>
      <c r="AH2113">
        <v>26.884342813579799</v>
      </c>
      <c r="AI2113">
        <v>92.3445702108977</v>
      </c>
      <c r="AJ2113">
        <v>96.667606284905602</v>
      </c>
      <c r="AK2113">
        <v>27.090092333324201</v>
      </c>
      <c r="AL2113">
        <v>93.973559150625206</v>
      </c>
      <c r="AM2113">
        <v>92.395009802101697</v>
      </c>
      <c r="AN2113">
        <v>0.999999991401467</v>
      </c>
    </row>
    <row r="2114" spans="1:40" x14ac:dyDescent="0.25">
      <c r="A2114" t="str">
        <f>"20190305135234766"</f>
        <v>20190305135234766</v>
      </c>
      <c r="B2114" t="str">
        <f>"1551765154761897"</f>
        <v>1551765154761897</v>
      </c>
      <c r="C2114" t="s">
        <v>40</v>
      </c>
      <c r="D2114">
        <v>4.6989109999999998</v>
      </c>
      <c r="E2114">
        <v>0.46889530000000001</v>
      </c>
      <c r="F2114" t="s">
        <v>56</v>
      </c>
      <c r="G2114">
        <v>-375.48020000000002</v>
      </c>
      <c r="H2114" s="1">
        <v>1.3794840000000001E-6</v>
      </c>
      <c r="I2114">
        <v>281.14749999999998</v>
      </c>
      <c r="J2114">
        <v>-348.16579999999999</v>
      </c>
      <c r="K2114">
        <v>1.108209</v>
      </c>
      <c r="L2114">
        <v>284.3424</v>
      </c>
      <c r="M2114">
        <v>-0.99989779999999995</v>
      </c>
      <c r="N2114">
        <v>-1.430175E-2</v>
      </c>
      <c r="O2114">
        <v>-2.5758010000000002E-4</v>
      </c>
      <c r="P2114">
        <v>-0.99562289999999998</v>
      </c>
      <c r="Q2114">
        <v>-8.3545809999999998E-2</v>
      </c>
      <c r="R2114">
        <v>-4.1899100000000002E-2</v>
      </c>
      <c r="S2114">
        <v>-2.9884949999999999</v>
      </c>
      <c r="T2114">
        <v>-0.120173</v>
      </c>
      <c r="U2114">
        <v>-0.34643550000000001</v>
      </c>
      <c r="V2114">
        <v>-4.1738249999999998E-2</v>
      </c>
      <c r="W2114">
        <v>-6.9240189999999993E-2</v>
      </c>
      <c r="X2114">
        <v>0.99672649999999996</v>
      </c>
      <c r="Y2114">
        <v>-0.1147717</v>
      </c>
      <c r="Z2114">
        <v>-3.1162669999999998E-3</v>
      </c>
      <c r="AA2114">
        <v>0.99338700000000002</v>
      </c>
      <c r="AB2114">
        <v>42</v>
      </c>
      <c r="AC2114">
        <v>-27.314399999999999</v>
      </c>
      <c r="AD2114">
        <v>-1.1082076205159901</v>
      </c>
      <c r="AE2114">
        <v>-3.1949000000000098</v>
      </c>
      <c r="AF2114">
        <v>-3.1826951723626098</v>
      </c>
      <c r="AG2114">
        <v>-1.1082076205159901</v>
      </c>
      <c r="AH2114">
        <v>27.270937032826399</v>
      </c>
      <c r="AI2114">
        <v>92.311374680928395</v>
      </c>
      <c r="AJ2114">
        <v>96.656675757354904</v>
      </c>
      <c r="AK2114">
        <v>27.478385675631198</v>
      </c>
      <c r="AL2114">
        <v>93.970347419731894</v>
      </c>
      <c r="AM2114">
        <v>92.397878671280694</v>
      </c>
      <c r="AN2114">
        <v>1.0000000006132701</v>
      </c>
    </row>
    <row r="2115" spans="1:40" x14ac:dyDescent="0.25">
      <c r="A2115" t="str">
        <f>"20190305135234778"</f>
        <v>20190305135234778</v>
      </c>
      <c r="B2115" t="str">
        <f>"1551765154771658"</f>
        <v>1551765154771658</v>
      </c>
      <c r="C2115" t="s">
        <v>40</v>
      </c>
      <c r="D2115">
        <v>4.7083680000000001</v>
      </c>
      <c r="E2115">
        <v>0.46863719999999998</v>
      </c>
      <c r="F2115" t="s">
        <v>42</v>
      </c>
      <c r="G2115">
        <v>-477.15179999999998</v>
      </c>
      <c r="H2115">
        <v>7.9986450000000001E-2</v>
      </c>
      <c r="I2115">
        <v>267.91699999999997</v>
      </c>
      <c r="J2115">
        <v>-348.41379999999998</v>
      </c>
      <c r="K2115">
        <v>1.1081939999999999</v>
      </c>
      <c r="L2115">
        <v>284.3426</v>
      </c>
      <c r="M2115">
        <v>-0.9998977</v>
      </c>
      <c r="N2115">
        <v>-1.430624E-2</v>
      </c>
      <c r="O2115" s="1">
        <v>9.6719360000000005E-5</v>
      </c>
      <c r="P2115">
        <v>-0.99564260000000004</v>
      </c>
      <c r="Q2115">
        <v>-8.3457680000000006E-2</v>
      </c>
      <c r="R2115">
        <v>-4.1603540000000001E-2</v>
      </c>
      <c r="S2115">
        <v>-2.9951479999999999</v>
      </c>
      <c r="T2115">
        <v>-2.3876069999999999E-2</v>
      </c>
      <c r="U2115">
        <v>-0.38140869999999999</v>
      </c>
      <c r="V2115">
        <v>-4.1799360000000001E-2</v>
      </c>
      <c r="W2115">
        <v>-6.9145109999999996E-2</v>
      </c>
      <c r="X2115">
        <v>0.99673060000000002</v>
      </c>
      <c r="Y2115">
        <v>-0.12640689999999999</v>
      </c>
      <c r="Z2115">
        <v>-1.4091139999999999E-3</v>
      </c>
      <c r="AA2115">
        <v>0.99197749999999996</v>
      </c>
      <c r="AB2115">
        <v>42</v>
      </c>
      <c r="AC2115">
        <v>-128.738</v>
      </c>
      <c r="AD2115">
        <v>-1.0282075500000001</v>
      </c>
      <c r="AE2115">
        <v>-16.4255999999999</v>
      </c>
      <c r="AF2115">
        <v>-16.4370209426543</v>
      </c>
      <c r="AG2115">
        <v>-1.0282075500000001</v>
      </c>
      <c r="AH2115">
        <v>128.72833060137799</v>
      </c>
      <c r="AI2115">
        <v>90.4539503429897</v>
      </c>
      <c r="AJ2115">
        <v>97.276589045420394</v>
      </c>
      <c r="AK2115">
        <v>129.77756342162101</v>
      </c>
      <c r="AL2115">
        <v>93.964886410046006</v>
      </c>
      <c r="AM2115">
        <v>92.401375491118401</v>
      </c>
      <c r="AN2115">
        <v>1.0000000608548301</v>
      </c>
    </row>
    <row r="2116" spans="1:40" x14ac:dyDescent="0.25">
      <c r="A2116" t="str">
        <f>"20190305135234793"</f>
        <v>20190305135234793</v>
      </c>
      <c r="B2116" t="str">
        <f>"1551765154781418"</f>
        <v>1551765154781418</v>
      </c>
      <c r="C2116" t="s">
        <v>40</v>
      </c>
      <c r="D2116">
        <v>4.7008369999999999</v>
      </c>
      <c r="E2116">
        <v>0.46861639999999999</v>
      </c>
      <c r="F2116" t="s">
        <v>42</v>
      </c>
      <c r="G2116">
        <v>-495.70139999999998</v>
      </c>
      <c r="H2116" s="1">
        <v>-3.9213299999999996E-6</v>
      </c>
      <c r="I2116">
        <v>265.53789999999998</v>
      </c>
      <c r="J2116">
        <v>-348.67160000000001</v>
      </c>
      <c r="K2116">
        <v>1.1081719999999999</v>
      </c>
      <c r="L2116">
        <v>284.34300000000002</v>
      </c>
      <c r="M2116">
        <v>-0.99989740000000005</v>
      </c>
      <c r="N2116">
        <v>-1.431053E-2</v>
      </c>
      <c r="O2116">
        <v>4.7611319999999997E-4</v>
      </c>
      <c r="P2116">
        <v>-0.99564680000000005</v>
      </c>
      <c r="Q2116">
        <v>-8.3623749999999997E-2</v>
      </c>
      <c r="R2116">
        <v>-4.1162990000000003E-2</v>
      </c>
      <c r="S2116">
        <v>-2.9952700000000001</v>
      </c>
      <c r="T2116">
        <v>-2.2536520000000001E-2</v>
      </c>
      <c r="U2116">
        <v>-0.38241579999999997</v>
      </c>
      <c r="V2116">
        <v>-4.1740909999999999E-2</v>
      </c>
      <c r="W2116">
        <v>-6.9304870000000005E-2</v>
      </c>
      <c r="X2116">
        <v>0.99672190000000005</v>
      </c>
      <c r="Y2116">
        <v>-0.1271071</v>
      </c>
      <c r="Z2116">
        <v>-1.3862670000000001E-3</v>
      </c>
      <c r="AA2116">
        <v>0.99188799999999999</v>
      </c>
      <c r="AB2116">
        <v>42</v>
      </c>
      <c r="AC2116">
        <v>-147.029799999999</v>
      </c>
      <c r="AD2116">
        <v>-1.10817592132999</v>
      </c>
      <c r="AE2116">
        <v>-18.805099999999999</v>
      </c>
      <c r="AF2116">
        <v>-18.874052938577702</v>
      </c>
      <c r="AG2116">
        <v>-1.10817592132999</v>
      </c>
      <c r="AH2116">
        <v>147.012612036794</v>
      </c>
      <c r="AI2116">
        <v>90.428369674658796</v>
      </c>
      <c r="AJ2116">
        <v>97.315836715186904</v>
      </c>
      <c r="AK2116">
        <v>148.223365317624</v>
      </c>
      <c r="AL2116">
        <v>93.974062208134995</v>
      </c>
      <c r="AM2116">
        <v>92.398042365222494</v>
      </c>
      <c r="AN2116">
        <v>1.0000000072564701</v>
      </c>
    </row>
    <row r="2117" spans="1:40" x14ac:dyDescent="0.25">
      <c r="A2117" t="str">
        <f>"20190305135234807"</f>
        <v>20190305135234807</v>
      </c>
      <c r="B2117" t="str">
        <f>"1551765154801442"</f>
        <v>1551765154801442</v>
      </c>
      <c r="C2117" t="s">
        <v>40</v>
      </c>
      <c r="D2117">
        <v>4.8950649999999998</v>
      </c>
      <c r="E2117">
        <v>0.46834540000000002</v>
      </c>
      <c r="F2117" t="s">
        <v>42</v>
      </c>
      <c r="G2117">
        <v>-499.95780000000002</v>
      </c>
      <c r="H2117">
        <v>4.0305880000000002E-2</v>
      </c>
      <c r="I2117">
        <v>265.08229999999998</v>
      </c>
      <c r="J2117">
        <v>-348.92380000000003</v>
      </c>
      <c r="K2117">
        <v>1.108152</v>
      </c>
      <c r="L2117">
        <v>284.34339999999997</v>
      </c>
      <c r="M2117">
        <v>-0.99989720000000004</v>
      </c>
      <c r="N2117">
        <v>-1.431435E-2</v>
      </c>
      <c r="O2117">
        <v>8.5590679999999998E-4</v>
      </c>
      <c r="P2117">
        <v>-0.99562609999999996</v>
      </c>
      <c r="Q2117">
        <v>-8.4072640000000004E-2</v>
      </c>
      <c r="R2117">
        <v>-4.0749210000000001E-2</v>
      </c>
      <c r="S2117">
        <v>-2.9956049999999999</v>
      </c>
      <c r="T2117">
        <v>-2.114475E-2</v>
      </c>
      <c r="U2117">
        <v>-0.3813782</v>
      </c>
      <c r="V2117">
        <v>-4.1709200000000002E-2</v>
      </c>
      <c r="W2117">
        <v>-6.9748290000000004E-2</v>
      </c>
      <c r="X2117">
        <v>0.99669229999999998</v>
      </c>
      <c r="Y2117">
        <v>-0.12713269999999999</v>
      </c>
      <c r="Z2117">
        <v>-1.3543429999999901E-3</v>
      </c>
      <c r="AA2117">
        <v>0.99188480000000001</v>
      </c>
      <c r="AB2117">
        <v>42</v>
      </c>
      <c r="AC2117">
        <v>-151.03399999999999</v>
      </c>
      <c r="AD2117">
        <v>-1.06784612</v>
      </c>
      <c r="AE2117">
        <v>-19.261099999999999</v>
      </c>
      <c r="AF2117">
        <v>-19.3894234818397</v>
      </c>
      <c r="AG2117">
        <v>-1.06784612</v>
      </c>
      <c r="AH2117">
        <v>151.01002934850399</v>
      </c>
      <c r="AI2117">
        <v>90.401853420008706</v>
      </c>
      <c r="AJ2117">
        <v>97.3166453941882</v>
      </c>
      <c r="AK2117">
        <v>152.25346958979401</v>
      </c>
      <c r="AL2117">
        <v>93.999529916673694</v>
      </c>
      <c r="AM2117">
        <v>92.396293810100701</v>
      </c>
      <c r="AN2117">
        <v>1.00000001110092</v>
      </c>
    </row>
    <row r="2118" spans="1:40" x14ac:dyDescent="0.25">
      <c r="A2118" t="str">
        <f>"20190305135234819"</f>
        <v>20190305135234819</v>
      </c>
      <c r="B2118" t="str">
        <f>"1551765154811203"</f>
        <v>1551765154811203</v>
      </c>
      <c r="C2118" t="s">
        <v>40</v>
      </c>
      <c r="D2118">
        <v>4.7151059999999996</v>
      </c>
      <c r="E2118">
        <v>0.46815790000000002</v>
      </c>
      <c r="F2118" t="s">
        <v>42</v>
      </c>
      <c r="G2118">
        <v>-481.63780000000003</v>
      </c>
      <c r="H2118" s="1">
        <v>-4.8657979999999996E-6</v>
      </c>
      <c r="I2118">
        <v>267.4083</v>
      </c>
      <c r="J2118">
        <v>-349.16230000000002</v>
      </c>
      <c r="K2118">
        <v>1.1081319999999999</v>
      </c>
      <c r="L2118">
        <v>284.34390000000002</v>
      </c>
      <c r="M2118">
        <v>-0.99989689999999998</v>
      </c>
      <c r="N2118">
        <v>-1.431728E-2</v>
      </c>
      <c r="O2118">
        <v>1.227559E-3</v>
      </c>
      <c r="P2118">
        <v>-0.99565309999999996</v>
      </c>
      <c r="Q2118">
        <v>-8.3974670000000001E-2</v>
      </c>
      <c r="R2118">
        <v>-4.0293599999999999E-2</v>
      </c>
      <c r="S2118">
        <v>-2.995422</v>
      </c>
      <c r="T2118">
        <v>-2.5011660000000002E-2</v>
      </c>
      <c r="U2118">
        <v>-0.38223269999999998</v>
      </c>
      <c r="V2118">
        <v>-4.162681E-2</v>
      </c>
      <c r="W2118">
        <v>-6.9645440000000003E-2</v>
      </c>
      <c r="X2118">
        <v>0.99670289999999995</v>
      </c>
      <c r="Y2118">
        <v>-0.1277848</v>
      </c>
      <c r="Z2118">
        <v>-1.442589E-3</v>
      </c>
      <c r="AA2118">
        <v>0.99180080000000004</v>
      </c>
      <c r="AB2118">
        <v>42</v>
      </c>
      <c r="AC2118">
        <v>-132.47550000000001</v>
      </c>
      <c r="AD2118">
        <v>-1.108136865798</v>
      </c>
      <c r="AE2118">
        <v>-16.935600000000001</v>
      </c>
      <c r="AF2118">
        <v>-17.097048320580001</v>
      </c>
      <c r="AG2118">
        <v>-1.108136865798</v>
      </c>
      <c r="AH2118">
        <v>132.445490316974</v>
      </c>
      <c r="AI2118">
        <v>90.475423081831295</v>
      </c>
      <c r="AJ2118">
        <v>97.355488841969006</v>
      </c>
      <c r="AK2118">
        <v>133.549035690615</v>
      </c>
      <c r="AL2118">
        <v>93.993622826119605</v>
      </c>
      <c r="AM2118">
        <v>92.391540403198206</v>
      </c>
      <c r="AN2118">
        <v>0.99999997474598901</v>
      </c>
    </row>
    <row r="2119" spans="1:40" x14ac:dyDescent="0.25">
      <c r="A2119" t="str">
        <f>"20190305135234831"</f>
        <v>20190305135234831</v>
      </c>
      <c r="B2119" t="str">
        <f>"1551765154821938"</f>
        <v>1551765154821938</v>
      </c>
      <c r="C2119" t="s">
        <v>40</v>
      </c>
      <c r="D2119">
        <v>4.7334820000000004</v>
      </c>
      <c r="E2119">
        <v>0.46813700000000003</v>
      </c>
      <c r="F2119" t="s">
        <v>47</v>
      </c>
      <c r="G2119">
        <v>-475.27480000000003</v>
      </c>
      <c r="H2119">
        <v>-0.05</v>
      </c>
      <c r="I2119">
        <v>268.24939999999998</v>
      </c>
      <c r="J2119">
        <v>-349.38409999999999</v>
      </c>
      <c r="K2119">
        <v>1.108115</v>
      </c>
      <c r="L2119">
        <v>284.34440000000001</v>
      </c>
      <c r="M2119">
        <v>-0.99989640000000002</v>
      </c>
      <c r="N2119">
        <v>-1.4319810000000001E-2</v>
      </c>
      <c r="O2119">
        <v>1.5793910000000001E-3</v>
      </c>
      <c r="P2119">
        <v>-0.99563610000000002</v>
      </c>
      <c r="Q2119">
        <v>-8.4268700000000002E-2</v>
      </c>
      <c r="R2119">
        <v>-4.0097479999999998E-2</v>
      </c>
      <c r="S2119">
        <v>-2.9953310000000002</v>
      </c>
      <c r="T2119">
        <v>-2.7507070000000002E-2</v>
      </c>
      <c r="U2119">
        <v>-0.38226320000000003</v>
      </c>
      <c r="V2119">
        <v>-4.1784689999999999E-2</v>
      </c>
      <c r="W2119">
        <v>-6.9935440000000001E-2</v>
      </c>
      <c r="X2119">
        <v>0.99667600000000001</v>
      </c>
      <c r="Y2119">
        <v>-0.12814589999999901</v>
      </c>
      <c r="Z2119">
        <v>-1.499247E-3</v>
      </c>
      <c r="AA2119">
        <v>0.99175420000000003</v>
      </c>
      <c r="AB2119">
        <v>42</v>
      </c>
      <c r="AC2119">
        <v>-125.8907</v>
      </c>
      <c r="AD2119">
        <v>-1.158115</v>
      </c>
      <c r="AE2119">
        <v>-16.094999999999999</v>
      </c>
      <c r="AF2119">
        <v>-16.292474281843099</v>
      </c>
      <c r="AG2119">
        <v>-1.158115</v>
      </c>
      <c r="AH2119">
        <v>125.854640468931</v>
      </c>
      <c r="AI2119">
        <v>90.522858436823697</v>
      </c>
      <c r="AJ2119">
        <v>97.376185640404003</v>
      </c>
      <c r="AK2119">
        <v>126.91011179626901</v>
      </c>
      <c r="AL2119">
        <v>94.010279165003993</v>
      </c>
      <c r="AM2119">
        <v>92.400665037342804</v>
      </c>
      <c r="AN2119">
        <v>0.99999998753119401</v>
      </c>
    </row>
    <row r="2120" spans="1:40" x14ac:dyDescent="0.25">
      <c r="A2120" t="str">
        <f>"20190305135234843"</f>
        <v>20190305135234843</v>
      </c>
      <c r="B2120" t="str">
        <f>"1551765154831698"</f>
        <v>1551765154831698</v>
      </c>
      <c r="C2120" t="s">
        <v>40</v>
      </c>
      <c r="D2120">
        <v>4.7181369999999996</v>
      </c>
      <c r="E2120">
        <v>0.46785890000000002</v>
      </c>
      <c r="F2120" t="s">
        <v>47</v>
      </c>
      <c r="G2120">
        <v>-469.95830000000001</v>
      </c>
      <c r="H2120">
        <v>-0.05</v>
      </c>
      <c r="I2120">
        <v>268.96640000000002</v>
      </c>
      <c r="J2120">
        <v>-349.60570000000001</v>
      </c>
      <c r="K2120">
        <v>1.108101</v>
      </c>
      <c r="L2120">
        <v>284.34500000000003</v>
      </c>
      <c r="M2120">
        <v>-0.99989570000000005</v>
      </c>
      <c r="N2120">
        <v>-1.4322150000000001E-2</v>
      </c>
      <c r="O2120">
        <v>1.9365140000000001E-3</v>
      </c>
      <c r="P2120">
        <v>-0.99565130000000002</v>
      </c>
      <c r="Q2120">
        <v>-8.4306899999999907E-2</v>
      </c>
      <c r="R2120">
        <v>-3.9639000000000001E-2</v>
      </c>
      <c r="S2120">
        <v>-2.9952999999999999</v>
      </c>
      <c r="T2120">
        <v>-2.876985E-2</v>
      </c>
      <c r="U2120">
        <v>-0.382019</v>
      </c>
      <c r="V2120">
        <v>-4.1684310000000002E-2</v>
      </c>
      <c r="W2120">
        <v>-6.9969840000000005E-2</v>
      </c>
      <c r="X2120">
        <v>0.99667779999999995</v>
      </c>
      <c r="Y2120">
        <v>-0.12842089999999901</v>
      </c>
      <c r="Z2120">
        <v>-1.5285819999999999E-3</v>
      </c>
      <c r="AA2120">
        <v>0.99171860000000001</v>
      </c>
      <c r="AB2120">
        <v>42</v>
      </c>
      <c r="AC2120">
        <v>-120.3526</v>
      </c>
      <c r="AD2120">
        <v>-1.158101</v>
      </c>
      <c r="AE2120">
        <v>-15.3786</v>
      </c>
      <c r="AF2120">
        <v>-15.610237337118701</v>
      </c>
      <c r="AG2120">
        <v>-1.158101</v>
      </c>
      <c r="AH2120">
        <v>120.311629220439</v>
      </c>
      <c r="AI2120">
        <v>90.546919117327505</v>
      </c>
      <c r="AJ2120">
        <v>97.392733730379604</v>
      </c>
      <c r="AK2120">
        <v>121.325631394705</v>
      </c>
      <c r="AL2120">
        <v>94.012254935442002</v>
      </c>
      <c r="AM2120">
        <v>92.394900285964894</v>
      </c>
      <c r="AN2120">
        <v>0.99999999861132005</v>
      </c>
    </row>
    <row r="2121" spans="1:40" x14ac:dyDescent="0.25">
      <c r="A2121" t="str">
        <f>"20190305135234860"</f>
        <v>20190305135234860</v>
      </c>
      <c r="B2121" t="str">
        <f>"1551765154851218"</f>
        <v>1551765154851218</v>
      </c>
      <c r="C2121" t="s">
        <v>40</v>
      </c>
      <c r="D2121">
        <v>4.8176410000000001</v>
      </c>
      <c r="E2121">
        <v>0.4678718</v>
      </c>
      <c r="F2121" t="s">
        <v>47</v>
      </c>
      <c r="G2121">
        <v>-467.28410000000002</v>
      </c>
      <c r="H2121">
        <v>-0.05</v>
      </c>
      <c r="I2121">
        <v>269.30309999999997</v>
      </c>
      <c r="J2121">
        <v>-349.92919999999998</v>
      </c>
      <c r="K2121">
        <v>1.1080829999999999</v>
      </c>
      <c r="L2121">
        <v>284.34609999999998</v>
      </c>
      <c r="M2121">
        <v>-0.99989450000000002</v>
      </c>
      <c r="N2121">
        <v>-1.432524E-2</v>
      </c>
      <c r="O2121">
        <v>2.4704309999999999E-3</v>
      </c>
      <c r="P2121">
        <v>-0.99566920000000003</v>
      </c>
      <c r="Q2121">
        <v>-8.4397570000000005E-2</v>
      </c>
      <c r="R2121">
        <v>-3.8989250000000003E-2</v>
      </c>
      <c r="S2121">
        <v>-2.9953609999999999</v>
      </c>
      <c r="T2121">
        <v>-2.9478069999999999E-2</v>
      </c>
      <c r="U2121">
        <v>-0.38287349999999998</v>
      </c>
      <c r="V2121">
        <v>-4.1570000000000003E-2</v>
      </c>
      <c r="W2121">
        <v>-7.0055519999999996E-2</v>
      </c>
      <c r="X2121">
        <v>0.99667660000000002</v>
      </c>
      <c r="Y2121">
        <v>-0.1292256</v>
      </c>
      <c r="Z2121">
        <v>-1.5516919999999999E-3</v>
      </c>
      <c r="AA2121">
        <v>0.991614</v>
      </c>
      <c r="AB2121">
        <v>42</v>
      </c>
      <c r="AC2121">
        <v>-117.3549</v>
      </c>
      <c r="AD2121">
        <v>-1.158083</v>
      </c>
      <c r="AE2121">
        <v>-15.042999999999999</v>
      </c>
      <c r="AF2121">
        <v>-15.3314321096952</v>
      </c>
      <c r="AG2121">
        <v>-1.158083</v>
      </c>
      <c r="AH2121">
        <v>117.30613652079199</v>
      </c>
      <c r="AI2121">
        <v>90.560854043451897</v>
      </c>
      <c r="AJ2121">
        <v>97.446118617604697</v>
      </c>
      <c r="AK2121">
        <v>118.309440165203</v>
      </c>
      <c r="AL2121">
        <v>94.0171759357642</v>
      </c>
      <c r="AM2121">
        <v>92.388343289416696</v>
      </c>
      <c r="AN2121">
        <v>1.00000004288501</v>
      </c>
    </row>
    <row r="2122" spans="1:40" x14ac:dyDescent="0.25">
      <c r="A2122" t="str">
        <f>"20190305135234883"</f>
        <v>20190305135234883</v>
      </c>
      <c r="B2122" t="str">
        <f>"1551765154871714"</f>
        <v>1551765154871714</v>
      </c>
      <c r="C2122" t="s">
        <v>40</v>
      </c>
      <c r="D2122">
        <v>4.7624610000000001</v>
      </c>
      <c r="E2122">
        <v>0.48696020000000001</v>
      </c>
      <c r="F2122" t="s">
        <v>47</v>
      </c>
      <c r="G2122">
        <v>-473.29329999999999</v>
      </c>
      <c r="H2122">
        <v>-0.05</v>
      </c>
      <c r="I2122">
        <v>268.6626</v>
      </c>
      <c r="J2122">
        <v>-350.35199999999998</v>
      </c>
      <c r="K2122">
        <v>1.108066</v>
      </c>
      <c r="L2122">
        <v>284.34769999999997</v>
      </c>
      <c r="M2122">
        <v>-0.99989240000000001</v>
      </c>
      <c r="N2122">
        <v>-1.432863E-2</v>
      </c>
      <c r="O2122">
        <v>3.1823089999999999E-3</v>
      </c>
      <c r="P2122">
        <v>-0.99571520000000002</v>
      </c>
      <c r="Q2122">
        <v>-8.4195510000000001E-2</v>
      </c>
      <c r="R2122">
        <v>-3.8246460000000003E-2</v>
      </c>
      <c r="S2122">
        <v>-2.9957889999999998</v>
      </c>
      <c r="T2122">
        <v>-2.8123019999999999E-2</v>
      </c>
      <c r="U2122">
        <v>-0.38085940000000001</v>
      </c>
      <c r="V2122">
        <v>-4.1539710000000001E-2</v>
      </c>
      <c r="W2122">
        <v>-6.9847439999999997E-2</v>
      </c>
      <c r="X2122">
        <v>0.99669240000000003</v>
      </c>
      <c r="Y2122">
        <v>-0.12925880000000001</v>
      </c>
      <c r="Z2122">
        <v>-1.5184650000000001E-3</v>
      </c>
      <c r="AA2122">
        <v>0.99160979999999999</v>
      </c>
      <c r="AB2122">
        <v>42</v>
      </c>
      <c r="AC2122">
        <v>-122.9413</v>
      </c>
      <c r="AD2122">
        <v>-1.158066</v>
      </c>
      <c r="AE2122">
        <v>-15.685099999999901</v>
      </c>
      <c r="AF2122">
        <v>-16.074894404314701</v>
      </c>
      <c r="AG2122">
        <v>-1.158066</v>
      </c>
      <c r="AH2122">
        <v>122.880028870045</v>
      </c>
      <c r="AI2122">
        <v>90.535398724534105</v>
      </c>
      <c r="AJ2122">
        <v>97.452984784126997</v>
      </c>
      <c r="AK2122">
        <v>123.93242046403</v>
      </c>
      <c r="AL2122">
        <v>94.005224821415297</v>
      </c>
      <c r="AM2122">
        <v>92.386567245226203</v>
      </c>
      <c r="AN2122">
        <v>0.99999997629959803</v>
      </c>
    </row>
    <row r="2123" spans="1:40" x14ac:dyDescent="0.25">
      <c r="A2123" t="str">
        <f>"20190305135234905"</f>
        <v>20190305135234905</v>
      </c>
      <c r="B2123" t="str">
        <f>"1551765154901502"</f>
        <v>1551765154901502</v>
      </c>
      <c r="C2123" t="s">
        <v>40</v>
      </c>
      <c r="D2123">
        <v>4.6954609999999999</v>
      </c>
      <c r="E2123">
        <v>0.55363989999999996</v>
      </c>
      <c r="F2123" t="s">
        <v>56</v>
      </c>
      <c r="G2123">
        <v>-382.06790000000001</v>
      </c>
      <c r="H2123" s="1">
        <v>-4.3636960000000001E-7</v>
      </c>
      <c r="I2123">
        <v>281.97640000000001</v>
      </c>
      <c r="J2123">
        <v>-350.75699999999898</v>
      </c>
      <c r="K2123">
        <v>1.1080429999999999</v>
      </c>
      <c r="L2123">
        <v>284.34960000000001</v>
      </c>
      <c r="M2123">
        <v>-0.99988980000000005</v>
      </c>
      <c r="N2123">
        <v>-1.4331109999999999E-2</v>
      </c>
      <c r="O2123">
        <v>3.876432E-3</v>
      </c>
      <c r="P2123">
        <v>-0.99575820000000004</v>
      </c>
      <c r="Q2123">
        <v>-8.3842020000000003E-2</v>
      </c>
      <c r="R2123">
        <v>-3.7899009999999997E-2</v>
      </c>
      <c r="S2123">
        <v>-2.9954529999999999</v>
      </c>
      <c r="T2123">
        <v>-0.104653</v>
      </c>
      <c r="U2123">
        <v>-0.22396849999999999</v>
      </c>
      <c r="V2123">
        <v>-4.1886279999999998E-2</v>
      </c>
      <c r="W2123">
        <v>-6.9488560000000005E-2</v>
      </c>
      <c r="X2123">
        <v>0.99670300000000001</v>
      </c>
      <c r="Y2123">
        <v>-7.8358880000000006E-2</v>
      </c>
      <c r="Z2123">
        <v>-2.0087769999999998E-3</v>
      </c>
      <c r="AA2123">
        <v>0.99692320000000001</v>
      </c>
      <c r="AB2123">
        <v>42</v>
      </c>
      <c r="AC2123">
        <v>-31.3109</v>
      </c>
      <c r="AD2123">
        <v>-1.1080434363695999</v>
      </c>
      <c r="AE2123">
        <v>-2.37319999999999</v>
      </c>
      <c r="AF2123">
        <v>-2.4914668622797702</v>
      </c>
      <c r="AG2123">
        <v>-1.1080434363695999</v>
      </c>
      <c r="AH2123">
        <v>31.262536496290299</v>
      </c>
      <c r="AI2123">
        <v>92.023484080276404</v>
      </c>
      <c r="AJ2123">
        <v>94.556554965164494</v>
      </c>
      <c r="AK2123">
        <v>31.381226164135199</v>
      </c>
      <c r="AL2123">
        <v>93.984612352252896</v>
      </c>
      <c r="AM2123">
        <v>92.406429742817906</v>
      </c>
      <c r="AN2123">
        <v>0.99999999531605599</v>
      </c>
    </row>
    <row r="2124" spans="1:40" x14ac:dyDescent="0.25">
      <c r="A2124" t="str">
        <f>"20190305135234918"</f>
        <v>20190305135234918</v>
      </c>
      <c r="B2124" t="str">
        <f>"1551765154911261"</f>
        <v>1551765154911261</v>
      </c>
      <c r="C2124" t="s">
        <v>40</v>
      </c>
      <c r="D2124">
        <v>4.6916739999999999</v>
      </c>
      <c r="E2124">
        <v>0.55461179999999999</v>
      </c>
      <c r="F2124" t="s">
        <v>56</v>
      </c>
      <c r="G2124">
        <v>-397.70049999999998</v>
      </c>
      <c r="H2124" s="1">
        <v>2.561033E-6</v>
      </c>
      <c r="I2124">
        <v>289.13170000000002</v>
      </c>
      <c r="J2124">
        <v>-350.99810000000002</v>
      </c>
      <c r="K2124">
        <v>1.108034</v>
      </c>
      <c r="L2124">
        <v>284.35090000000002</v>
      </c>
      <c r="M2124">
        <v>-0.9998882</v>
      </c>
      <c r="N2124">
        <v>-1.433221E-2</v>
      </c>
      <c r="O2124">
        <v>4.2951680000000002E-3</v>
      </c>
      <c r="P2124">
        <v>-0.99576989999999999</v>
      </c>
      <c r="Q2124">
        <v>-8.3770670000000005E-2</v>
      </c>
      <c r="R2124">
        <v>-3.7751369999999999E-2</v>
      </c>
      <c r="S2124">
        <v>-3.018494</v>
      </c>
      <c r="T2124">
        <v>-7.1247580000000005E-2</v>
      </c>
      <c r="U2124">
        <v>0.30749510000000002</v>
      </c>
      <c r="V2124">
        <v>-4.215787E-2</v>
      </c>
      <c r="W2124">
        <v>-6.9414589999999998E-2</v>
      </c>
      <c r="X2124">
        <v>0.99669669999999999</v>
      </c>
      <c r="Y2124">
        <v>9.7028489999999995E-2</v>
      </c>
      <c r="Z2124">
        <v>1.7996069999999999E-3</v>
      </c>
      <c r="AA2124">
        <v>0.99528000000000005</v>
      </c>
      <c r="AB2124">
        <v>42</v>
      </c>
      <c r="AC2124">
        <v>-46.702399999999898</v>
      </c>
      <c r="AD2124">
        <v>-1.1080314389669901</v>
      </c>
      <c r="AE2124">
        <v>4.7807999999999904</v>
      </c>
      <c r="AF2124">
        <v>4.5775906875194599</v>
      </c>
      <c r="AG2124">
        <v>-1.1080314389669901</v>
      </c>
      <c r="AH2124">
        <v>46.696493024449602</v>
      </c>
      <c r="AI2124">
        <v>91.352798152281096</v>
      </c>
      <c r="AJ2124">
        <v>84.401264503491703</v>
      </c>
      <c r="AK2124">
        <v>46.9334052776344</v>
      </c>
      <c r="AL2124">
        <v>93.980363939862897</v>
      </c>
      <c r="AM2124">
        <v>92.422029765964396</v>
      </c>
      <c r="AN2124">
        <v>0.99999999154934704</v>
      </c>
    </row>
    <row r="2125" spans="1:40" x14ac:dyDescent="0.25">
      <c r="A2125" t="str">
        <f>"20190305135234930"</f>
        <v>20190305135234930</v>
      </c>
      <c r="B2125" t="str">
        <f>"1551765154921996"</f>
        <v>1551765154921996</v>
      </c>
      <c r="C2125" t="s">
        <v>40</v>
      </c>
      <c r="D2125">
        <v>4.6475109999999997</v>
      </c>
      <c r="E2125">
        <v>0.55514759999999996</v>
      </c>
      <c r="F2125" t="s">
        <v>66</v>
      </c>
      <c r="G2125">
        <v>-401.39249999999998</v>
      </c>
      <c r="H2125">
        <v>1.542317E-2</v>
      </c>
      <c r="I2125">
        <v>289.61630000000002</v>
      </c>
      <c r="J2125">
        <v>-351.23919999999998</v>
      </c>
      <c r="K2125">
        <v>1.108028</v>
      </c>
      <c r="L2125">
        <v>284.35219999999998</v>
      </c>
      <c r="M2125">
        <v>-0.99988619999999995</v>
      </c>
      <c r="N2125">
        <v>-1.433312E-2</v>
      </c>
      <c r="O2125">
        <v>4.7158E-3</v>
      </c>
      <c r="P2125">
        <v>-0.9957743</v>
      </c>
      <c r="Q2125">
        <v>-8.3836759999999996E-2</v>
      </c>
      <c r="R2125">
        <v>-3.7486529999999997E-2</v>
      </c>
      <c r="S2125">
        <v>-3.019196</v>
      </c>
      <c r="T2125">
        <v>-6.545985E-2</v>
      </c>
      <c r="U2125">
        <v>0.31546020000000002</v>
      </c>
      <c r="V2125">
        <v>-4.2313089999999998E-2</v>
      </c>
      <c r="W2125">
        <v>-6.9478659999999998E-2</v>
      </c>
      <c r="X2125">
        <v>0.99668570000000001</v>
      </c>
      <c r="Y2125">
        <v>9.9188899999999997E-2</v>
      </c>
      <c r="Z2125">
        <v>1.750637E-3</v>
      </c>
      <c r="AA2125">
        <v>0.99506709999999998</v>
      </c>
      <c r="AB2125">
        <v>42</v>
      </c>
      <c r="AC2125">
        <v>-50.153300000000002</v>
      </c>
      <c r="AD2125">
        <v>-1.09260483</v>
      </c>
      <c r="AE2125">
        <v>5.26410000000004</v>
      </c>
      <c r="AF2125">
        <v>5.0251452910465497</v>
      </c>
      <c r="AG2125">
        <v>-1.09260483</v>
      </c>
      <c r="AH2125">
        <v>50.154025501564199</v>
      </c>
      <c r="AI2125">
        <v>91.241774958393904</v>
      </c>
      <c r="AJ2125">
        <v>84.278387200938894</v>
      </c>
      <c r="AK2125">
        <v>50.416982699505297</v>
      </c>
      <c r="AL2125">
        <v>93.984043598668293</v>
      </c>
      <c r="AM2125">
        <v>92.430963494986301</v>
      </c>
      <c r="AN2125">
        <v>1.00000003318261</v>
      </c>
    </row>
    <row r="2126" spans="1:40" x14ac:dyDescent="0.25">
      <c r="A2126" t="str">
        <f>"20190305135234950"</f>
        <v>20190305135234950</v>
      </c>
      <c r="B2126" t="str">
        <f>"1551765154941520"</f>
        <v>1551765154941520</v>
      </c>
      <c r="C2126" t="s">
        <v>40</v>
      </c>
      <c r="D2126">
        <v>4.624371</v>
      </c>
      <c r="E2126">
        <v>0.55570200000000003</v>
      </c>
      <c r="F2126" t="s">
        <v>66</v>
      </c>
      <c r="G2126">
        <v>-402.74919999999997</v>
      </c>
      <c r="H2126">
        <v>8.0000210000000002E-2</v>
      </c>
      <c r="I2126">
        <v>289.81610000000001</v>
      </c>
      <c r="J2126">
        <v>-351.59550000000002</v>
      </c>
      <c r="K2126">
        <v>1.108015</v>
      </c>
      <c r="L2126">
        <v>284.3544</v>
      </c>
      <c r="M2126">
        <v>-0.99988299999999997</v>
      </c>
      <c r="N2126">
        <v>-1.4334029999999999E-2</v>
      </c>
      <c r="O2126">
        <v>5.3406719999999899E-3</v>
      </c>
      <c r="P2126">
        <v>-0.99579850000000003</v>
      </c>
      <c r="Q2126">
        <v>-8.3701390000000001E-2</v>
      </c>
      <c r="R2126">
        <v>-3.7143959999999997E-2</v>
      </c>
      <c r="S2126">
        <v>-3.019714</v>
      </c>
      <c r="T2126">
        <v>-6.0266970000000003E-2</v>
      </c>
      <c r="U2126">
        <v>0.3203125</v>
      </c>
      <c r="V2126">
        <v>-4.2594859999999998E-2</v>
      </c>
      <c r="W2126">
        <v>-6.9340579999999999E-2</v>
      </c>
      <c r="X2126">
        <v>0.99668330000000005</v>
      </c>
      <c r="Y2126">
        <v>0.1001351</v>
      </c>
      <c r="Z2126">
        <v>1.6862579999999999E-3</v>
      </c>
      <c r="AA2126">
        <v>0.99497239999999998</v>
      </c>
      <c r="AB2126">
        <v>42</v>
      </c>
      <c r="AC2126">
        <v>-51.153699999999901</v>
      </c>
      <c r="AD2126">
        <v>-1.0280147900000001</v>
      </c>
      <c r="AE2126">
        <v>5.4617000000000004</v>
      </c>
      <c r="AF2126">
        <v>5.1863278810468998</v>
      </c>
      <c r="AG2126">
        <v>-1.0280147900000001</v>
      </c>
      <c r="AH2126">
        <v>51.161712541928203</v>
      </c>
      <c r="AI2126">
        <v>91.145246653233002</v>
      </c>
      <c r="AJ2126">
        <v>84.211627270883</v>
      </c>
      <c r="AK2126">
        <v>51.434187477990498</v>
      </c>
      <c r="AL2126">
        <v>93.976113126417403</v>
      </c>
      <c r="AM2126">
        <v>92.4471379615145</v>
      </c>
      <c r="AN2126">
        <v>1.0000000193160199</v>
      </c>
    </row>
    <row r="2127" spans="1:40" x14ac:dyDescent="0.25">
      <c r="A2127" t="str">
        <f>"20190305135234962"</f>
        <v>20190305135234962</v>
      </c>
      <c r="B2127" t="str">
        <f>"1551765154951276"</f>
        <v>1551765154951276</v>
      </c>
      <c r="C2127" t="s">
        <v>40</v>
      </c>
      <c r="D2127">
        <v>4.6270699999999998</v>
      </c>
      <c r="E2127">
        <v>0.55588749999999998</v>
      </c>
      <c r="F2127" t="s">
        <v>66</v>
      </c>
      <c r="G2127">
        <v>-406.22449999999998</v>
      </c>
      <c r="H2127">
        <v>8.0000360000000006E-2</v>
      </c>
      <c r="I2127">
        <v>290.25170000000003</v>
      </c>
      <c r="J2127">
        <v>-351.8134</v>
      </c>
      <c r="K2127">
        <v>1.1080049999999999</v>
      </c>
      <c r="L2127">
        <v>284.35590000000002</v>
      </c>
      <c r="M2127">
        <v>-0.99988100000000002</v>
      </c>
      <c r="N2127">
        <v>-1.4334410000000001E-2</v>
      </c>
      <c r="O2127">
        <v>5.7240709999999998E-3</v>
      </c>
      <c r="P2127">
        <v>-0.99578840000000002</v>
      </c>
      <c r="Q2127">
        <v>-8.3850399999999894E-2</v>
      </c>
      <c r="R2127">
        <v>-3.7079439999999998E-2</v>
      </c>
      <c r="S2127">
        <v>-3.0200809999999998</v>
      </c>
      <c r="T2127">
        <v>-5.6832189999999998E-2</v>
      </c>
      <c r="U2127">
        <v>0.32601930000000001</v>
      </c>
      <c r="V2127">
        <v>-4.2913779999999999E-2</v>
      </c>
      <c r="W2127">
        <v>-6.9488220000000003E-2</v>
      </c>
      <c r="X2127">
        <v>0.99665930000000003</v>
      </c>
      <c r="Y2127">
        <v>0.1016022</v>
      </c>
      <c r="Z2127">
        <v>1.6580290000000001E-3</v>
      </c>
      <c r="AA2127">
        <v>0.99482369999999998</v>
      </c>
      <c r="AB2127">
        <v>42</v>
      </c>
      <c r="AC2127">
        <v>-54.411099999999898</v>
      </c>
      <c r="AD2127">
        <v>-1.02800463999999</v>
      </c>
      <c r="AE2127">
        <v>5.8958000000000004</v>
      </c>
      <c r="AF2127">
        <v>5.5822489334466798</v>
      </c>
      <c r="AG2127">
        <v>-1.02800463999999</v>
      </c>
      <c r="AH2127">
        <v>54.424758048555397</v>
      </c>
      <c r="AI2127">
        <v>91.076459240365196</v>
      </c>
      <c r="AJ2127">
        <v>84.143754650158897</v>
      </c>
      <c r="AK2127">
        <v>54.719946868930997</v>
      </c>
      <c r="AL2127">
        <v>93.984592874617803</v>
      </c>
      <c r="AM2127">
        <v>92.465497159940796</v>
      </c>
      <c r="AN2127">
        <v>0.99999998275457302</v>
      </c>
    </row>
    <row r="2128" spans="1:40" x14ac:dyDescent="0.25">
      <c r="A2128" t="str">
        <f>"20190305135234973"</f>
        <v>20190305135234973</v>
      </c>
      <c r="B2128" t="str">
        <f>"1551765154961036"</f>
        <v>1551765154961036</v>
      </c>
      <c r="C2128" t="s">
        <v>40</v>
      </c>
      <c r="D2128">
        <v>4.6410850000000003</v>
      </c>
      <c r="E2128">
        <v>0.55590949999999995</v>
      </c>
      <c r="F2128" t="s">
        <v>66</v>
      </c>
      <c r="G2128">
        <v>-407.48399999999998</v>
      </c>
      <c r="H2128">
        <v>8.000024E-2</v>
      </c>
      <c r="I2128">
        <v>290.39460000000003</v>
      </c>
      <c r="J2128">
        <v>-352.03100000000001</v>
      </c>
      <c r="K2128">
        <v>1.107998</v>
      </c>
      <c r="L2128">
        <v>284.35750000000002</v>
      </c>
      <c r="M2128">
        <v>-0.99987859999999995</v>
      </c>
      <c r="N2128">
        <v>-1.4334670000000001E-2</v>
      </c>
      <c r="O2128">
        <v>6.1085280000000002E-3</v>
      </c>
      <c r="P2128">
        <v>-0.99575939999999996</v>
      </c>
      <c r="Q2128">
        <v>-8.4338750000000004E-2</v>
      </c>
      <c r="R2128">
        <v>-3.674405E-2</v>
      </c>
      <c r="S2128">
        <v>-3.020203</v>
      </c>
      <c r="T2128">
        <v>-5.5770519999999997E-2</v>
      </c>
      <c r="U2128">
        <v>0.32760620000000001</v>
      </c>
      <c r="V2128">
        <v>-4.296316E-2</v>
      </c>
      <c r="W2128">
        <v>-6.9976199999999905E-2</v>
      </c>
      <c r="X2128">
        <v>0.99662300000000004</v>
      </c>
      <c r="Y2128">
        <v>0.101733</v>
      </c>
      <c r="Z2128">
        <v>1.642768E-3</v>
      </c>
      <c r="AA2128">
        <v>0.99481039999999998</v>
      </c>
      <c r="AB2128">
        <v>42</v>
      </c>
      <c r="AC2128">
        <v>-55.453000000000003</v>
      </c>
      <c r="AD2128">
        <v>-1.0279977600000001</v>
      </c>
      <c r="AE2128">
        <v>6.0370999999999997</v>
      </c>
      <c r="AF2128">
        <v>5.6962816552075397</v>
      </c>
      <c r="AG2128">
        <v>-1.0279977600000001</v>
      </c>
      <c r="AH2128">
        <v>55.4700070146679</v>
      </c>
      <c r="AI2128">
        <v>91.056159363092206</v>
      </c>
      <c r="AJ2128">
        <v>84.136780094815094</v>
      </c>
      <c r="AK2128">
        <v>55.771194018931702</v>
      </c>
      <c r="AL2128">
        <v>94.012620415681596</v>
      </c>
      <c r="AM2128">
        <v>92.468420442528</v>
      </c>
      <c r="AN2128">
        <v>0.99999995290631105</v>
      </c>
    </row>
    <row r="2129" spans="1:40" x14ac:dyDescent="0.25">
      <c r="A2129" t="str">
        <f>"20190305135234986"</f>
        <v>20190305135234986</v>
      </c>
      <c r="B2129" t="str">
        <f>"1551765154981533"</f>
        <v>1551765154981533</v>
      </c>
      <c r="C2129" t="s">
        <v>40</v>
      </c>
      <c r="D2129">
        <v>4.5968650000000002</v>
      </c>
      <c r="E2129">
        <v>0.55574599999999996</v>
      </c>
      <c r="F2129" t="s">
        <v>66</v>
      </c>
      <c r="G2129">
        <v>-406.85509999999999</v>
      </c>
      <c r="H2129">
        <v>8.0000290000000002E-2</v>
      </c>
      <c r="I2129">
        <v>290.32499999999999</v>
      </c>
      <c r="J2129">
        <v>-352.26690000000002</v>
      </c>
      <c r="K2129">
        <v>1.10799</v>
      </c>
      <c r="L2129">
        <v>284.35919999999999</v>
      </c>
      <c r="M2129">
        <v>-0.99987610000000005</v>
      </c>
      <c r="N2129">
        <v>-1.4334899999999999E-2</v>
      </c>
      <c r="O2129">
        <v>6.5255269999999997E-3</v>
      </c>
      <c r="P2129">
        <v>-0.99572680000000002</v>
      </c>
      <c r="Q2129">
        <v>-8.471207E-2</v>
      </c>
      <c r="R2129">
        <v>-3.6770110000000002E-2</v>
      </c>
      <c r="S2129">
        <v>-3.020111</v>
      </c>
      <c r="T2129">
        <v>-5.6629539999999999E-2</v>
      </c>
      <c r="U2129">
        <v>0.32873540000000001</v>
      </c>
      <c r="V2129">
        <v>-4.3405880000000001E-2</v>
      </c>
      <c r="W2129">
        <v>-7.0348519999999998E-2</v>
      </c>
      <c r="X2129">
        <v>0.99657770000000001</v>
      </c>
      <c r="Y2129">
        <v>0.10168820000000001</v>
      </c>
      <c r="Z2129">
        <v>1.6529209999999999E-3</v>
      </c>
      <c r="AA2129">
        <v>0.99481489999999995</v>
      </c>
      <c r="AB2129">
        <v>42</v>
      </c>
      <c r="AC2129">
        <v>-54.588199999999901</v>
      </c>
      <c r="AD2129">
        <v>-1.0279897099999999</v>
      </c>
      <c r="AE2129">
        <v>5.9657999999999998</v>
      </c>
      <c r="AF2129">
        <v>5.6074545050074498</v>
      </c>
      <c r="AG2129">
        <v>-1.0279897099999999</v>
      </c>
      <c r="AH2129">
        <v>54.606834624147503</v>
      </c>
      <c r="AI2129">
        <v>91.072842218015296</v>
      </c>
      <c r="AJ2129">
        <v>84.136974193831307</v>
      </c>
      <c r="AK2129">
        <v>54.903612782207603</v>
      </c>
      <c r="AL2129">
        <v>94.034005097222803</v>
      </c>
      <c r="AM2129">
        <v>92.493937897849506</v>
      </c>
      <c r="AN2129">
        <v>1.0000000484110201</v>
      </c>
    </row>
    <row r="2130" spans="1:40" x14ac:dyDescent="0.25">
      <c r="A2130" t="str">
        <f>"20190305135235006"</f>
        <v>20190305135235006</v>
      </c>
      <c r="B2130" t="str">
        <f>"1551765155001559"</f>
        <v>1551765155001559</v>
      </c>
      <c r="C2130" t="s">
        <v>40</v>
      </c>
      <c r="D2130">
        <v>4.6330119999999999</v>
      </c>
      <c r="E2130">
        <v>0.55590519999999999</v>
      </c>
      <c r="F2130" t="s">
        <v>66</v>
      </c>
      <c r="G2130">
        <v>-405.46469999999999</v>
      </c>
      <c r="H2130">
        <v>8.0000420000000003E-2</v>
      </c>
      <c r="I2130">
        <v>290.1284</v>
      </c>
      <c r="J2130">
        <v>-352.6386</v>
      </c>
      <c r="K2130">
        <v>1.1079859999999999</v>
      </c>
      <c r="L2130">
        <v>284.36219999999997</v>
      </c>
      <c r="M2130">
        <v>-0.99987159999999997</v>
      </c>
      <c r="N2130">
        <v>-1.433512E-2</v>
      </c>
      <c r="O2130">
        <v>7.1843519999999998E-3</v>
      </c>
      <c r="P2130">
        <v>-0.99569770000000002</v>
      </c>
      <c r="Q2130">
        <v>-8.5348399999999894E-2</v>
      </c>
      <c r="R2130">
        <v>-3.6086069999999998E-2</v>
      </c>
      <c r="S2130">
        <v>-3.0200200000000001</v>
      </c>
      <c r="T2130">
        <v>-5.8358550000000002E-2</v>
      </c>
      <c r="U2130">
        <v>0.32751459999999999</v>
      </c>
      <c r="V2130">
        <v>-4.3379689999999999E-2</v>
      </c>
      <c r="W2130">
        <v>-7.0984610000000004E-2</v>
      </c>
      <c r="X2130">
        <v>0.99653369999999997</v>
      </c>
      <c r="Y2130">
        <v>0.1006373</v>
      </c>
      <c r="Z2130">
        <v>1.6573110000000001E-3</v>
      </c>
      <c r="AA2130">
        <v>0.99492179999999997</v>
      </c>
      <c r="AB2130">
        <v>41</v>
      </c>
      <c r="AC2130">
        <v>-52.826099999999997</v>
      </c>
      <c r="AD2130">
        <v>-1.02798558</v>
      </c>
      <c r="AE2130">
        <v>5.76620000000002</v>
      </c>
      <c r="AF2130">
        <v>5.3844759137982496</v>
      </c>
      <c r="AG2130">
        <v>-1.02798558</v>
      </c>
      <c r="AH2130">
        <v>52.846390604080398</v>
      </c>
      <c r="AI2130">
        <v>91.108657617511199</v>
      </c>
      <c r="AJ2130">
        <v>84.182256145857806</v>
      </c>
      <c r="AK2130">
        <v>53.129938218465902</v>
      </c>
      <c r="AL2130">
        <v>94.070541851374202</v>
      </c>
      <c r="AM2130">
        <v>92.492544927430501</v>
      </c>
      <c r="AN2130">
        <v>1.0000000137985099</v>
      </c>
    </row>
    <row r="2131" spans="1:40" x14ac:dyDescent="0.25">
      <c r="A2131" t="str">
        <f>"20190305135235019"</f>
        <v>20190305135235019</v>
      </c>
      <c r="B2131" t="str">
        <f>"1551765155011321"</f>
        <v>1551765155011321</v>
      </c>
      <c r="C2131" t="s">
        <v>40</v>
      </c>
      <c r="D2131">
        <v>4.5929549999999999</v>
      </c>
      <c r="E2131">
        <v>0.55589440000000001</v>
      </c>
      <c r="F2131" t="s">
        <v>66</v>
      </c>
      <c r="G2131">
        <v>-404.54059999999998</v>
      </c>
      <c r="H2131">
        <v>8.0000390000000005E-2</v>
      </c>
      <c r="I2131">
        <v>290.04320000000001</v>
      </c>
      <c r="J2131">
        <v>-352.86989999999997</v>
      </c>
      <c r="K2131">
        <v>1.1079840000000001</v>
      </c>
      <c r="L2131">
        <v>284.36419999999998</v>
      </c>
      <c r="M2131">
        <v>-0.99986850000000005</v>
      </c>
      <c r="N2131">
        <v>-1.4335000000000001E-2</v>
      </c>
      <c r="O2131">
        <v>7.5951809999999899E-3</v>
      </c>
      <c r="P2131">
        <v>-0.99572190000000005</v>
      </c>
      <c r="Q2131">
        <v>-8.5208060000000002E-2</v>
      </c>
      <c r="R2131">
        <v>-3.5743339999999998E-2</v>
      </c>
      <c r="S2131">
        <v>-3.019806</v>
      </c>
      <c r="T2131">
        <v>-5.9811120000000002E-2</v>
      </c>
      <c r="U2131">
        <v>0.33053589999999999</v>
      </c>
      <c r="V2131">
        <v>-4.3446650000000003E-2</v>
      </c>
      <c r="W2131">
        <v>-7.0843760000000006E-2</v>
      </c>
      <c r="X2131">
        <v>0.9965408</v>
      </c>
      <c r="Y2131">
        <v>0.1012183</v>
      </c>
      <c r="Z2131">
        <v>1.6857129999999999E-3</v>
      </c>
      <c r="AA2131">
        <v>0.99486280000000005</v>
      </c>
      <c r="AB2131">
        <v>41</v>
      </c>
      <c r="AC2131">
        <v>-51.670699999999997</v>
      </c>
      <c r="AD2131">
        <v>-1.0279836099999999</v>
      </c>
      <c r="AE2131">
        <v>5.6790000000000296</v>
      </c>
      <c r="AF2131">
        <v>5.2842809605867096</v>
      </c>
      <c r="AG2131">
        <v>-1.0279836099999999</v>
      </c>
      <c r="AH2131">
        <v>51.692130859541102</v>
      </c>
      <c r="AI2131">
        <v>91.133366285696994</v>
      </c>
      <c r="AJ2131">
        <v>84.163155956047405</v>
      </c>
      <c r="AK2131">
        <v>51.971691990666997</v>
      </c>
      <c r="AL2131">
        <v>94.062451396527095</v>
      </c>
      <c r="AM2131">
        <v>92.496369741666896</v>
      </c>
      <c r="AN2131">
        <v>1.0000000078958999</v>
      </c>
    </row>
    <row r="2132" spans="1:40" x14ac:dyDescent="0.25">
      <c r="A2132" t="str">
        <f>"20190305135235031"</f>
        <v>20190305135235031</v>
      </c>
      <c r="B2132" t="str">
        <f>"1551765155021079"</f>
        <v>1551765155021079</v>
      </c>
      <c r="C2132" t="s">
        <v>40</v>
      </c>
      <c r="D2132">
        <v>4.6062209999999997</v>
      </c>
      <c r="E2132">
        <v>0.55595399999999995</v>
      </c>
      <c r="F2132" t="s">
        <v>66</v>
      </c>
      <c r="G2132">
        <v>-404.98950000000002</v>
      </c>
      <c r="H2132">
        <v>8.0000479999999999E-2</v>
      </c>
      <c r="I2132">
        <v>290.08339999999998</v>
      </c>
      <c r="J2132">
        <v>-353.10770000000002</v>
      </c>
      <c r="K2132">
        <v>1.1079810000000001</v>
      </c>
      <c r="L2132">
        <v>284.36630000000002</v>
      </c>
      <c r="M2132">
        <v>-0.99986509999999995</v>
      </c>
      <c r="N2132">
        <v>-1.433479E-2</v>
      </c>
      <c r="O2132">
        <v>8.0180479999999998E-3</v>
      </c>
      <c r="P2132">
        <v>-0.99575880000000005</v>
      </c>
      <c r="Q2132">
        <v>-8.4890880000000002E-2</v>
      </c>
      <c r="R2132">
        <v>-3.5464820000000001E-2</v>
      </c>
      <c r="S2132">
        <v>-3.019714</v>
      </c>
      <c r="T2132">
        <v>-5.9559460000000002E-2</v>
      </c>
      <c r="U2132">
        <v>0.33135989999999999</v>
      </c>
      <c r="V2132">
        <v>-4.3589240000000001E-2</v>
      </c>
      <c r="W2132">
        <v>-7.0525879999999999E-2</v>
      </c>
      <c r="X2132">
        <v>0.99655709999999997</v>
      </c>
      <c r="Y2132">
        <v>0.1010693</v>
      </c>
      <c r="Z2132">
        <v>1.677347E-3</v>
      </c>
      <c r="AA2132">
        <v>0.99487800000000004</v>
      </c>
      <c r="AB2132">
        <v>41</v>
      </c>
      <c r="AC2132">
        <v>-51.881799999999998</v>
      </c>
      <c r="AD2132">
        <v>-1.0279805199999901</v>
      </c>
      <c r="AE2132">
        <v>5.7170999999999497</v>
      </c>
      <c r="AF2132">
        <v>5.29882736335587</v>
      </c>
      <c r="AG2132">
        <v>-1.0279805199999901</v>
      </c>
      <c r="AH2132">
        <v>51.905843345038001</v>
      </c>
      <c r="AI2132">
        <v>91.128713728200296</v>
      </c>
      <c r="AJ2132">
        <v>84.171131397106194</v>
      </c>
      <c r="AK2132">
        <v>52.1857345328756</v>
      </c>
      <c r="AL2132">
        <v>94.044192625640093</v>
      </c>
      <c r="AM2132">
        <v>92.50451138887</v>
      </c>
      <c r="AN2132">
        <v>0.99999998757698005</v>
      </c>
    </row>
    <row r="2133" spans="1:40" x14ac:dyDescent="0.25">
      <c r="A2133" t="str">
        <f>"20190305135235051"</f>
        <v>20190305135235051</v>
      </c>
      <c r="B2133" t="str">
        <f>"1551765155041575"</f>
        <v>1551765155041575</v>
      </c>
      <c r="C2133" t="s">
        <v>40</v>
      </c>
      <c r="D2133">
        <v>4.5491609999999998</v>
      </c>
      <c r="E2133">
        <v>0.55588490000000002</v>
      </c>
      <c r="F2133" t="s">
        <v>66</v>
      </c>
      <c r="G2133">
        <v>-407.7226</v>
      </c>
      <c r="H2133">
        <v>8.0000210000000002E-2</v>
      </c>
      <c r="I2133">
        <v>290.3852</v>
      </c>
      <c r="J2133">
        <v>-353.46379999999999</v>
      </c>
      <c r="K2133">
        <v>1.107982</v>
      </c>
      <c r="L2133">
        <v>284.36970000000002</v>
      </c>
      <c r="M2133">
        <v>-0.99985990000000002</v>
      </c>
      <c r="N2133">
        <v>-1.433426E-2</v>
      </c>
      <c r="O2133">
        <v>8.6532350000000004E-3</v>
      </c>
      <c r="P2133">
        <v>-0.99579340000000005</v>
      </c>
      <c r="Q2133">
        <v>-8.4736039999999999E-2</v>
      </c>
      <c r="R2133">
        <v>-3.4865559999999997E-2</v>
      </c>
      <c r="S2133">
        <v>-3.0197750000000001</v>
      </c>
      <c r="T2133">
        <v>-5.6839229999999998E-2</v>
      </c>
      <c r="U2133">
        <v>0.33279419999999998</v>
      </c>
      <c r="V2133">
        <v>-4.3623450000000001E-2</v>
      </c>
      <c r="W2133">
        <v>-7.0370849999999999E-2</v>
      </c>
      <c r="X2133">
        <v>0.99656659999999997</v>
      </c>
      <c r="Y2133">
        <v>0.10090440000000001</v>
      </c>
      <c r="Z2133">
        <v>1.6335430000000001E-3</v>
      </c>
      <c r="AA2133">
        <v>0.99489479999999997</v>
      </c>
      <c r="AB2133">
        <v>41</v>
      </c>
      <c r="AC2133">
        <v>-54.258800000000001</v>
      </c>
      <c r="AD2133">
        <v>-1.0279817899999999</v>
      </c>
      <c r="AE2133">
        <v>6.0154999999999701</v>
      </c>
      <c r="AF2133">
        <v>5.5437466331116001</v>
      </c>
      <c r="AG2133">
        <v>-1.0279817899999999</v>
      </c>
      <c r="AH2133">
        <v>54.289576545011698</v>
      </c>
      <c r="AI2133">
        <v>91.079164606427099</v>
      </c>
      <c r="AJ2133">
        <v>84.169486356039897</v>
      </c>
      <c r="AK2133">
        <v>54.581571933477598</v>
      </c>
      <c r="AL2133">
        <v>94.035287784898898</v>
      </c>
      <c r="AM2133">
        <v>92.506450627417394</v>
      </c>
      <c r="AN2133">
        <v>1.00000002507759</v>
      </c>
    </row>
    <row r="2134" spans="1:40" x14ac:dyDescent="0.25">
      <c r="A2134" t="str">
        <f>"20190305135235063"</f>
        <v>20190305135235063</v>
      </c>
      <c r="B2134" t="str">
        <f>"1551765155051335"</f>
        <v>1551765155051335</v>
      </c>
      <c r="C2134" t="s">
        <v>40</v>
      </c>
      <c r="D2134">
        <v>4.5961980000000002</v>
      </c>
      <c r="E2134">
        <v>0.55577279999999996</v>
      </c>
      <c r="F2134" t="s">
        <v>66</v>
      </c>
      <c r="G2134">
        <v>-407.48169999999999</v>
      </c>
      <c r="H2134">
        <v>8.000024E-2</v>
      </c>
      <c r="I2134">
        <v>290.34620000000001</v>
      </c>
      <c r="J2134">
        <v>-353.69900000000001</v>
      </c>
      <c r="K2134">
        <v>1.1079810000000001</v>
      </c>
      <c r="L2134">
        <v>284.37209999999999</v>
      </c>
      <c r="M2134">
        <v>-0.99985619999999997</v>
      </c>
      <c r="N2134">
        <v>-1.4333749999999999E-2</v>
      </c>
      <c r="O2134">
        <v>9.0741889999999999E-3</v>
      </c>
      <c r="P2134">
        <v>-0.99579490000000004</v>
      </c>
      <c r="Q2134">
        <v>-8.4716169999999993E-2</v>
      </c>
      <c r="R2134">
        <v>-3.4873880000000003E-2</v>
      </c>
      <c r="S2134">
        <v>-3.019501</v>
      </c>
      <c r="T2134">
        <v>-5.7462329999999999E-2</v>
      </c>
      <c r="U2134">
        <v>0.33407589999999998</v>
      </c>
      <c r="V2134">
        <v>-4.4051189999999997E-2</v>
      </c>
      <c r="W2134">
        <v>-7.0350540000000003E-2</v>
      </c>
      <c r="X2134">
        <v>0.99654920000000002</v>
      </c>
      <c r="Y2134">
        <v>0.1009121</v>
      </c>
      <c r="Z2134">
        <v>1.640341E-3</v>
      </c>
      <c r="AA2134">
        <v>0.99489399999999995</v>
      </c>
      <c r="AB2134">
        <v>41</v>
      </c>
      <c r="AC2134">
        <v>-53.782699999999899</v>
      </c>
      <c r="AD2134">
        <v>-1.0279807599999999</v>
      </c>
      <c r="AE2134">
        <v>5.9741000000000204</v>
      </c>
      <c r="AF2134">
        <v>5.4837905407260603</v>
      </c>
      <c r="AG2134">
        <v>-1.0279807599999999</v>
      </c>
      <c r="AH2134">
        <v>53.815280228139898</v>
      </c>
      <c r="AI2134">
        <v>91.088695890394106</v>
      </c>
      <c r="AJ2134">
        <v>84.181628912207103</v>
      </c>
      <c r="AK2134">
        <v>54.103725279972203</v>
      </c>
      <c r="AL2134">
        <v>94.0341212898132</v>
      </c>
      <c r="AM2134">
        <v>92.531039399484499</v>
      </c>
      <c r="AN2134">
        <v>1.0000000069196699</v>
      </c>
    </row>
    <row r="2135" spans="1:40" x14ac:dyDescent="0.25">
      <c r="A2135" t="str">
        <f>"20190305135235077"</f>
        <v>20190305135235077</v>
      </c>
      <c r="B2135" t="str">
        <f>"1551765155071830"</f>
        <v>1551765155071830</v>
      </c>
      <c r="C2135" t="s">
        <v>40</v>
      </c>
      <c r="D2135">
        <v>4.6187809999999896</v>
      </c>
      <c r="E2135">
        <v>0.51180369999999997</v>
      </c>
      <c r="F2135" t="s">
        <v>66</v>
      </c>
      <c r="G2135">
        <v>-407.66829999999999</v>
      </c>
      <c r="H2135">
        <v>8.0000210000000002E-2</v>
      </c>
      <c r="I2135">
        <v>290.327</v>
      </c>
      <c r="J2135">
        <v>-353.95339999999999</v>
      </c>
      <c r="K2135">
        <v>1.10798</v>
      </c>
      <c r="L2135">
        <v>284.37479999999999</v>
      </c>
      <c r="M2135">
        <v>-0.99985179999999996</v>
      </c>
      <c r="N2135">
        <v>-1.4333179999999999E-2</v>
      </c>
      <c r="O2135">
        <v>9.5322859999999992E-3</v>
      </c>
      <c r="P2135">
        <v>-0.99579399999999996</v>
      </c>
      <c r="Q2135">
        <v>-8.4741159999999996E-2</v>
      </c>
      <c r="R2135">
        <v>-3.4835709999999999E-2</v>
      </c>
      <c r="S2135">
        <v>-3.0194399999999999</v>
      </c>
      <c r="T2135">
        <v>-5.7512880000000002E-2</v>
      </c>
      <c r="U2135">
        <v>0.33316040000000002</v>
      </c>
      <c r="V2135">
        <v>-4.4469759999999997E-2</v>
      </c>
      <c r="W2135">
        <v>-7.0375179999999996E-2</v>
      </c>
      <c r="X2135">
        <v>0.99652890000000005</v>
      </c>
      <c r="Y2135">
        <v>0.10016070000000001</v>
      </c>
      <c r="Z2135">
        <v>1.626331E-3</v>
      </c>
      <c r="AA2135">
        <v>0.99497000000000002</v>
      </c>
      <c r="AB2135">
        <v>41</v>
      </c>
      <c r="AC2135">
        <v>-53.7149</v>
      </c>
      <c r="AD2135">
        <v>-1.0279797900000001</v>
      </c>
      <c r="AE2135">
        <v>5.9522000000000004</v>
      </c>
      <c r="AF2135">
        <v>5.43788362982745</v>
      </c>
      <c r="AG2135">
        <v>-1.0279797900000001</v>
      </c>
      <c r="AH2135">
        <v>53.749755813815703</v>
      </c>
      <c r="AI2135">
        <v>91.090101669945895</v>
      </c>
      <c r="AJ2135">
        <v>84.223020257701506</v>
      </c>
      <c r="AK2135">
        <v>54.033911304522597</v>
      </c>
      <c r="AL2135">
        <v>94.035536443933097</v>
      </c>
      <c r="AM2135">
        <v>92.555109340235205</v>
      </c>
      <c r="AN2135">
        <v>1.0000000370248401</v>
      </c>
    </row>
    <row r="2136" spans="1:40" x14ac:dyDescent="0.25">
      <c r="A2136" t="str">
        <f>"20190305135235096"</f>
        <v>20190305135235096</v>
      </c>
      <c r="B2136" t="str">
        <f>"1551765155091856"</f>
        <v>1551765155091856</v>
      </c>
      <c r="C2136" t="s">
        <v>40</v>
      </c>
      <c r="D2136">
        <v>4.4849600000000001</v>
      </c>
      <c r="E2136">
        <v>0.48460439999999999</v>
      </c>
      <c r="F2136" t="s">
        <v>56</v>
      </c>
      <c r="G2136">
        <v>-386.04399999999998</v>
      </c>
      <c r="H2136" s="1">
        <v>1.679553E-6</v>
      </c>
      <c r="I2136">
        <v>284.20679999999999</v>
      </c>
      <c r="J2136">
        <v>-354.29660000000001</v>
      </c>
      <c r="K2136">
        <v>1.10798</v>
      </c>
      <c r="L2136">
        <v>284.37860000000001</v>
      </c>
      <c r="M2136">
        <v>-0.99984580000000001</v>
      </c>
      <c r="N2136">
        <v>-1.4332320000000001E-2</v>
      </c>
      <c r="O2136">
        <v>1.0152700000000001E-2</v>
      </c>
      <c r="P2136">
        <v>-0.99576560000000003</v>
      </c>
      <c r="Q2136">
        <v>-8.4932590000000002E-2</v>
      </c>
      <c r="R2136">
        <v>-3.5176359999999997E-2</v>
      </c>
      <c r="S2136">
        <v>-3.0033259999999999</v>
      </c>
      <c r="T2136">
        <v>-0.1036943</v>
      </c>
      <c r="U2136">
        <v>-1.5716549999999999E-2</v>
      </c>
      <c r="V2136">
        <v>-4.5428980000000001E-2</v>
      </c>
      <c r="W2136">
        <v>-7.0565799999999998E-2</v>
      </c>
      <c r="X2136">
        <v>0.99647209999999997</v>
      </c>
      <c r="Y2136">
        <v>-1.5371279999999999E-2</v>
      </c>
      <c r="Z2136">
        <v>-5.8041760000000005E-4</v>
      </c>
      <c r="AA2136">
        <v>0.99988169999999998</v>
      </c>
      <c r="AB2136">
        <v>41</v>
      </c>
      <c r="AC2136">
        <v>-31.747399999999999</v>
      </c>
      <c r="AD2136">
        <v>-1.107978320447</v>
      </c>
      <c r="AE2136">
        <v>-0.17180000000001799</v>
      </c>
      <c r="AF2136">
        <v>-0.49354494421718498</v>
      </c>
      <c r="AG2136">
        <v>-1.107978320447</v>
      </c>
      <c r="AH2136">
        <v>31.7054030373959</v>
      </c>
      <c r="AI2136">
        <v>92.001203944044605</v>
      </c>
      <c r="AJ2136">
        <v>90.891827758923</v>
      </c>
      <c r="AK2136">
        <v>31.728595688026601</v>
      </c>
      <c r="AL2136">
        <v>94.046485595579199</v>
      </c>
      <c r="AM2136">
        <v>92.610296623965496</v>
      </c>
      <c r="AN2136">
        <v>0.99999998521594502</v>
      </c>
    </row>
    <row r="2137" spans="1:40" x14ac:dyDescent="0.25">
      <c r="A2137" t="str">
        <f>"20190305135235118"</f>
        <v>20190305135235118</v>
      </c>
      <c r="B2137" t="str">
        <f>"1551765155111377"</f>
        <v>1551765155111377</v>
      </c>
      <c r="C2137" t="s">
        <v>40</v>
      </c>
      <c r="D2137">
        <v>4.4985569999999999</v>
      </c>
      <c r="E2137">
        <v>0.47390330000000003</v>
      </c>
      <c r="F2137" t="s">
        <v>66</v>
      </c>
      <c r="G2137">
        <v>-402.85129999999998</v>
      </c>
      <c r="H2137" s="1">
        <v>7.9734450000000004E-6</v>
      </c>
      <c r="I2137">
        <v>280.57220000000001</v>
      </c>
      <c r="J2137">
        <v>-354.70960000000002</v>
      </c>
      <c r="K2137">
        <v>1.107979</v>
      </c>
      <c r="L2137">
        <v>284.38339999999999</v>
      </c>
      <c r="M2137">
        <v>-0.99983789999999995</v>
      </c>
      <c r="N2137">
        <v>-1.433102E-2</v>
      </c>
      <c r="O2137">
        <v>1.0903360000000001E-2</v>
      </c>
      <c r="P2137">
        <v>-0.99580290000000005</v>
      </c>
      <c r="Q2137">
        <v>-8.4349610000000005E-2</v>
      </c>
      <c r="R2137">
        <v>-3.5523579999999999E-2</v>
      </c>
      <c r="S2137">
        <v>-2.998688</v>
      </c>
      <c r="T2137">
        <v>-6.8427210000000002E-2</v>
      </c>
      <c r="U2137">
        <v>-0.23507690000000001</v>
      </c>
      <c r="V2137">
        <v>-4.6523729999999999E-2</v>
      </c>
      <c r="W2137">
        <v>-6.998132E-2</v>
      </c>
      <c r="X2137">
        <v>0.99646279999999998</v>
      </c>
      <c r="Y2137">
        <v>-8.8982000000000006E-2</v>
      </c>
      <c r="Z2137">
        <v>-1.744712E-3</v>
      </c>
      <c r="AA2137">
        <v>0.99603169999999996</v>
      </c>
      <c r="AB2137">
        <v>41</v>
      </c>
      <c r="AC2137">
        <v>-48.141699999999901</v>
      </c>
      <c r="AD2137">
        <v>-1.107971026555</v>
      </c>
      <c r="AE2137">
        <v>-3.8111999999999799</v>
      </c>
      <c r="AF2137">
        <v>-4.33365242196178</v>
      </c>
      <c r="AG2137">
        <v>-1.107971026555</v>
      </c>
      <c r="AH2137">
        <v>48.071974357435899</v>
      </c>
      <c r="AI2137">
        <v>91.314998367217697</v>
      </c>
      <c r="AJ2137">
        <v>95.1512471154998</v>
      </c>
      <c r="AK2137">
        <v>48.279631955225597</v>
      </c>
      <c r="AL2137">
        <v>94.012914393397807</v>
      </c>
      <c r="AM2137">
        <v>92.673134436384998</v>
      </c>
      <c r="AN2137">
        <v>0.99999997719294698</v>
      </c>
    </row>
    <row r="2138" spans="1:40" x14ac:dyDescent="0.25">
      <c r="A2138" t="str">
        <f>"20190305135235140"</f>
        <v>20190305135235140</v>
      </c>
      <c r="B2138" t="str">
        <f>"1551765155131873"</f>
        <v>1551765155131873</v>
      </c>
      <c r="C2138" t="s">
        <v>40</v>
      </c>
      <c r="D2138">
        <v>4.4596519999999904</v>
      </c>
      <c r="E2138">
        <v>0.4699082</v>
      </c>
      <c r="F2138" t="s">
        <v>67</v>
      </c>
      <c r="G2138">
        <v>-512.8252</v>
      </c>
      <c r="H2138">
        <v>0.16775860000000001</v>
      </c>
      <c r="I2138">
        <v>267.37360000000001</v>
      </c>
      <c r="J2138">
        <v>-355.11349999999999</v>
      </c>
      <c r="K2138">
        <v>1.1079760000000001</v>
      </c>
      <c r="L2138">
        <v>284.38850000000002</v>
      </c>
      <c r="M2138">
        <v>-0.99982959999999999</v>
      </c>
      <c r="N2138">
        <v>-1.432838E-2</v>
      </c>
      <c r="O2138">
        <v>1.1641139999999999E-2</v>
      </c>
      <c r="P2138">
        <v>-0.99585990000000002</v>
      </c>
      <c r="Q2138">
        <v>-8.3785330000000005E-2</v>
      </c>
      <c r="R2138">
        <v>-3.5257209999999997E-2</v>
      </c>
      <c r="S2138">
        <v>-2.999603</v>
      </c>
      <c r="T2138">
        <v>-1.7835380000000001E-2</v>
      </c>
      <c r="U2138">
        <v>-0.3226929</v>
      </c>
      <c r="V2138">
        <v>-4.6992190000000003E-2</v>
      </c>
      <c r="W2138">
        <v>-6.9417809999999996E-2</v>
      </c>
      <c r="X2138">
        <v>0.99648020000000004</v>
      </c>
      <c r="Y2138">
        <v>-0.11852210000000001</v>
      </c>
      <c r="Z2138">
        <v>-1.1056919999999999E-3</v>
      </c>
      <c r="AA2138">
        <v>0.99295080000000002</v>
      </c>
      <c r="AB2138">
        <v>41</v>
      </c>
      <c r="AC2138">
        <v>-157.71170000000001</v>
      </c>
      <c r="AD2138">
        <v>-0.94021739999999998</v>
      </c>
      <c r="AE2138">
        <v>-17.014900000000001</v>
      </c>
      <c r="AF2138">
        <v>-18.8492170430846</v>
      </c>
      <c r="AG2138">
        <v>-0.94021739999999998</v>
      </c>
      <c r="AH2138">
        <v>157.49738483991001</v>
      </c>
      <c r="AI2138">
        <v>90.339612998910297</v>
      </c>
      <c r="AJ2138">
        <v>96.824673254111701</v>
      </c>
      <c r="AK2138">
        <v>158.62409408191201</v>
      </c>
      <c r="AL2138">
        <v>93.980549069442105</v>
      </c>
      <c r="AM2138">
        <v>92.699964239595303</v>
      </c>
      <c r="AN2138">
        <v>0.99999994362911404</v>
      </c>
    </row>
    <row r="2139" spans="1:40" x14ac:dyDescent="0.25">
      <c r="A2139" t="str">
        <f>"20190305135235154"</f>
        <v>20190305135235154</v>
      </c>
      <c r="B2139" t="str">
        <f>"1551765155141633"</f>
        <v>1551765155141633</v>
      </c>
      <c r="C2139" t="s">
        <v>40</v>
      </c>
      <c r="D2139">
        <v>4.4500209999999996</v>
      </c>
      <c r="E2139">
        <v>0.46832750000000001</v>
      </c>
      <c r="F2139" t="s">
        <v>67</v>
      </c>
      <c r="G2139">
        <v>-512.82560000000001</v>
      </c>
      <c r="H2139">
        <v>1.4434009999999999</v>
      </c>
      <c r="I2139">
        <v>265.75400000000002</v>
      </c>
      <c r="J2139">
        <v>-355.35770000000002</v>
      </c>
      <c r="K2139">
        <v>1.107972</v>
      </c>
      <c r="L2139">
        <v>284.39170000000001</v>
      </c>
      <c r="M2139">
        <v>-0.99982439999999995</v>
      </c>
      <c r="N2139">
        <v>-1.4320619999999999E-2</v>
      </c>
      <c r="O2139">
        <v>1.208967E-2</v>
      </c>
      <c r="P2139">
        <v>-0.99588350000000003</v>
      </c>
      <c r="Q2139">
        <v>-8.3660440000000003E-2</v>
      </c>
      <c r="R2139">
        <v>-3.488554E-2</v>
      </c>
      <c r="S2139">
        <v>-3.0004879999999998</v>
      </c>
      <c r="T2139">
        <v>6.382942E-3</v>
      </c>
      <c r="U2139">
        <v>-0.35452270000000002</v>
      </c>
      <c r="V2139">
        <v>-4.7067169999999998E-2</v>
      </c>
      <c r="W2139">
        <v>-6.9300139999999996E-2</v>
      </c>
      <c r="X2139">
        <v>0.99648490000000001</v>
      </c>
      <c r="Y2139">
        <v>-0.1293376</v>
      </c>
      <c r="Z2139">
        <v>-5.9411160000000002E-4</v>
      </c>
      <c r="AA2139">
        <v>0.9916005</v>
      </c>
      <c r="AB2139">
        <v>41</v>
      </c>
      <c r="AC2139">
        <v>-157.46789999999999</v>
      </c>
      <c r="AD2139">
        <v>0.33542899999999998</v>
      </c>
      <c r="AE2139">
        <v>-18.637699999999899</v>
      </c>
      <c r="AF2139">
        <v>-20.540175831161601</v>
      </c>
      <c r="AG2139">
        <v>0.33542899999999998</v>
      </c>
      <c r="AH2139">
        <v>157.23033913595401</v>
      </c>
      <c r="AI2139">
        <v>89.878797482611603</v>
      </c>
      <c r="AJ2139">
        <v>97.442827293841006</v>
      </c>
      <c r="AK2139">
        <v>158.566676450622</v>
      </c>
      <c r="AL2139">
        <v>93.973790607014095</v>
      </c>
      <c r="AM2139">
        <v>92.704253134156502</v>
      </c>
      <c r="AN2139">
        <v>0.99999999191191902</v>
      </c>
    </row>
    <row r="2140" spans="1:40" x14ac:dyDescent="0.25">
      <c r="A2140" t="str">
        <f>"20190305135235167"</f>
        <v>20190305135235167</v>
      </c>
      <c r="B2140" t="str">
        <f>"1551765155162129"</f>
        <v>1551765155162129</v>
      </c>
      <c r="C2140" t="s">
        <v>40</v>
      </c>
      <c r="D2140">
        <v>4.5507819999999999</v>
      </c>
      <c r="E2140">
        <v>0.4656208</v>
      </c>
      <c r="F2140" t="s">
        <v>67</v>
      </c>
      <c r="G2140">
        <v>-512.82569999999998</v>
      </c>
      <c r="H2140">
        <v>1.67943</v>
      </c>
      <c r="I2140">
        <v>265.17860000000002</v>
      </c>
      <c r="J2140">
        <v>-355.60180000000003</v>
      </c>
      <c r="K2140">
        <v>1.107969</v>
      </c>
      <c r="L2140">
        <v>284.39510000000001</v>
      </c>
      <c r="M2140">
        <v>-0.99981920000000002</v>
      </c>
      <c r="N2140">
        <v>-1.4308639999999999E-2</v>
      </c>
      <c r="O2140">
        <v>1.2538580000000001E-2</v>
      </c>
      <c r="P2140">
        <v>-0.99587139999999996</v>
      </c>
      <c r="Q2140">
        <v>-8.3901749999999997E-2</v>
      </c>
      <c r="R2140">
        <v>-3.4655869999999998E-2</v>
      </c>
      <c r="S2140">
        <v>-3.0004270000000002</v>
      </c>
      <c r="T2140">
        <v>1.089013E-2</v>
      </c>
      <c r="U2140">
        <v>-0.36608889999999999</v>
      </c>
      <c r="V2140">
        <v>-4.7285389999999997E-2</v>
      </c>
      <c r="W2140">
        <v>-6.9553089999999998E-2</v>
      </c>
      <c r="X2140">
        <v>0.99645700000000004</v>
      </c>
      <c r="Y2140">
        <v>-0.1335527</v>
      </c>
      <c r="Z2140">
        <v>-4.9350659999999999E-4</v>
      </c>
      <c r="AA2140">
        <v>0.99104159999999997</v>
      </c>
      <c r="AB2140">
        <v>41</v>
      </c>
      <c r="AC2140">
        <v>-157.22389999999899</v>
      </c>
      <c r="AD2140">
        <v>0.571461</v>
      </c>
      <c r="AE2140">
        <v>-19.2165</v>
      </c>
      <c r="AF2140">
        <v>-21.186279193229801</v>
      </c>
      <c r="AG2140">
        <v>0.571461</v>
      </c>
      <c r="AH2140">
        <v>156.96852249674001</v>
      </c>
      <c r="AI2140">
        <v>89.7932837887235</v>
      </c>
      <c r="AJ2140">
        <v>97.686844871437501</v>
      </c>
      <c r="AK2140">
        <v>158.3928724676</v>
      </c>
      <c r="AL2140">
        <v>93.988318411189496</v>
      </c>
      <c r="AM2140">
        <v>92.716848217710705</v>
      </c>
      <c r="AN2140">
        <v>1.0000000466424901</v>
      </c>
    </row>
    <row r="2141" spans="1:40" x14ac:dyDescent="0.25">
      <c r="A2141" t="str">
        <f>"20190305135235178"</f>
        <v>20190305135235178</v>
      </c>
      <c r="B2141" t="str">
        <f>"1551765155171889"</f>
        <v>1551765155171889</v>
      </c>
      <c r="C2141" t="s">
        <v>40</v>
      </c>
      <c r="D2141">
        <v>4.367216</v>
      </c>
      <c r="E2141">
        <v>0.46490239999999999</v>
      </c>
      <c r="F2141" t="s">
        <v>67</v>
      </c>
      <c r="G2141">
        <v>-512.82590000000005</v>
      </c>
      <c r="H2141">
        <v>2.1046740000000002</v>
      </c>
      <c r="I2141">
        <v>264.11099999999999</v>
      </c>
      <c r="J2141">
        <v>-355.84129999999999</v>
      </c>
      <c r="K2141">
        <v>1.1079490000000001</v>
      </c>
      <c r="L2141">
        <v>284.39839999999998</v>
      </c>
      <c r="M2141">
        <v>-0.99981370000000003</v>
      </c>
      <c r="N2141">
        <v>-1.429191E-2</v>
      </c>
      <c r="O2141">
        <v>1.29806E-2</v>
      </c>
      <c r="P2141">
        <v>-0.99587340000000002</v>
      </c>
      <c r="Q2141">
        <v>-8.4085679999999996E-2</v>
      </c>
      <c r="R2141">
        <v>-3.4148159999999997E-2</v>
      </c>
      <c r="S2141">
        <v>-3.0005799999999998</v>
      </c>
      <c r="T2141">
        <v>1.90233E-2</v>
      </c>
      <c r="U2141">
        <v>-0.3871155</v>
      </c>
      <c r="V2141">
        <v>-4.7218679999999999E-2</v>
      </c>
      <c r="W2141">
        <v>-6.9753759999999998E-2</v>
      </c>
      <c r="X2141">
        <v>0.9964461</v>
      </c>
      <c r="Y2141">
        <v>-0.14081840000000001</v>
      </c>
      <c r="Z2141">
        <v>-2.9924340000000001E-4</v>
      </c>
      <c r="AA2141">
        <v>0.99003540000000001</v>
      </c>
      <c r="AB2141">
        <v>41</v>
      </c>
      <c r="AC2141">
        <v>-156.9846</v>
      </c>
      <c r="AD2141">
        <v>0.99672499999999997</v>
      </c>
      <c r="AE2141">
        <v>-20.287399999999899</v>
      </c>
      <c r="AF2141">
        <v>-22.322767560437299</v>
      </c>
      <c r="AG2141">
        <v>0.99672499999999997</v>
      </c>
      <c r="AH2141">
        <v>156.70178837868201</v>
      </c>
      <c r="AI2141">
        <v>89.639208898134896</v>
      </c>
      <c r="AJ2141">
        <v>98.107454268100696</v>
      </c>
      <c r="AK2141">
        <v>158.28692268586201</v>
      </c>
      <c r="AL2141">
        <v>93.999844092221295</v>
      </c>
      <c r="AM2141">
        <v>92.713050665151002</v>
      </c>
      <c r="AN2141">
        <v>1.0000000104901401</v>
      </c>
    </row>
    <row r="2142" spans="1:40" x14ac:dyDescent="0.25">
      <c r="A2142" t="str">
        <f>"20190305135235191"</f>
        <v>20190305135235191</v>
      </c>
      <c r="B2142" t="str">
        <f>"1551765155181650"</f>
        <v>1551765155181650</v>
      </c>
      <c r="C2142" t="s">
        <v>40</v>
      </c>
      <c r="D2142">
        <v>4.3844190000000003</v>
      </c>
      <c r="E2142">
        <v>0.46428740000000002</v>
      </c>
      <c r="F2142" t="s">
        <v>67</v>
      </c>
      <c r="G2142">
        <v>-512.82590000000005</v>
      </c>
      <c r="H2142">
        <v>2.2227290000000002</v>
      </c>
      <c r="I2142">
        <v>263.91199999999998</v>
      </c>
      <c r="J2142">
        <v>-356.06970000000001</v>
      </c>
      <c r="K2142">
        <v>1.1079410000000001</v>
      </c>
      <c r="L2142">
        <v>284.40170000000001</v>
      </c>
      <c r="M2142">
        <v>-0.99980829999999998</v>
      </c>
      <c r="N2142">
        <v>-1.427732E-2</v>
      </c>
      <c r="O2142">
        <v>1.340186E-2</v>
      </c>
      <c r="P2142">
        <v>-0.99585159999999995</v>
      </c>
      <c r="Q2142">
        <v>-8.4479719999999994E-2</v>
      </c>
      <c r="R2142">
        <v>-3.3807480000000001E-2</v>
      </c>
      <c r="S2142">
        <v>-3.0007929999999998</v>
      </c>
      <c r="T2142">
        <v>2.131069E-2</v>
      </c>
      <c r="U2142">
        <v>-0.39160159999999999</v>
      </c>
      <c r="V2142">
        <v>-4.7298569999999998E-2</v>
      </c>
      <c r="W2142">
        <v>-7.0162450000000001E-2</v>
      </c>
      <c r="X2142">
        <v>0.99641360000000001</v>
      </c>
      <c r="Y2142">
        <v>-0.14268159999999999</v>
      </c>
      <c r="Z2142">
        <v>-2.3310839999999999E-4</v>
      </c>
      <c r="AA2142">
        <v>0.9897686</v>
      </c>
      <c r="AB2142">
        <v>41</v>
      </c>
      <c r="AC2142">
        <v>-156.75620000000001</v>
      </c>
      <c r="AD2142">
        <v>1.1147879999999999</v>
      </c>
      <c r="AE2142">
        <v>-20.4896999999999</v>
      </c>
      <c r="AF2142">
        <v>-22.587774985905298</v>
      </c>
      <c r="AG2142">
        <v>1.1147879999999999</v>
      </c>
      <c r="AH2142">
        <v>156.459710937106</v>
      </c>
      <c r="AI2142">
        <v>89.5959585649437</v>
      </c>
      <c r="AJ2142">
        <v>98.214918572955995</v>
      </c>
      <c r="AK2142">
        <v>158.085709277029</v>
      </c>
      <c r="AL2142">
        <v>94.023317886249899</v>
      </c>
      <c r="AM2142">
        <v>92.717722549029403</v>
      </c>
      <c r="AN2142">
        <v>0.99999999318950294</v>
      </c>
    </row>
    <row r="2143" spans="1:40" x14ac:dyDescent="0.25">
      <c r="A2143" t="str">
        <f>"20190305135235207"</f>
        <v>20190305135235207</v>
      </c>
      <c r="B2143" t="str">
        <f>"1551765155201676"</f>
        <v>1551765155201676</v>
      </c>
      <c r="C2143" t="s">
        <v>40</v>
      </c>
      <c r="D2143">
        <v>4.3488860000000003</v>
      </c>
      <c r="E2143">
        <v>0.46335979999999999</v>
      </c>
      <c r="F2143" t="s">
        <v>67</v>
      </c>
      <c r="G2143">
        <v>-512.82590000000005</v>
      </c>
      <c r="H2143">
        <v>2.2432210000000001</v>
      </c>
      <c r="I2143">
        <v>263.7321</v>
      </c>
      <c r="J2143">
        <v>-356.3449</v>
      </c>
      <c r="K2143">
        <v>1.107931</v>
      </c>
      <c r="L2143">
        <v>284.4058</v>
      </c>
      <c r="M2143">
        <v>-0.99980159999999996</v>
      </c>
      <c r="N2143">
        <v>-1.426152E-2</v>
      </c>
      <c r="O2143">
        <v>1.3908780000000001E-2</v>
      </c>
      <c r="P2143">
        <v>-0.99581370000000002</v>
      </c>
      <c r="Q2143">
        <v>-8.5174949999999999E-2</v>
      </c>
      <c r="R2143">
        <v>-3.3171039999999999E-2</v>
      </c>
      <c r="S2143">
        <v>-3.0008849999999998</v>
      </c>
      <c r="T2143">
        <v>2.173483E-2</v>
      </c>
      <c r="U2143">
        <v>-0.39569090000000001</v>
      </c>
      <c r="V2143">
        <v>-4.7167430000000003E-2</v>
      </c>
      <c r="W2143">
        <v>-7.087417E-2</v>
      </c>
      <c r="X2143">
        <v>0.99636950000000002</v>
      </c>
      <c r="Y2143">
        <v>-0.1445052</v>
      </c>
      <c r="Z2143">
        <v>-2.1607129999999999E-4</v>
      </c>
      <c r="AA2143">
        <v>0.98950400000000005</v>
      </c>
      <c r="AB2143">
        <v>41</v>
      </c>
      <c r="AC2143">
        <v>-156.48099999999999</v>
      </c>
      <c r="AD2143">
        <v>1.1352899999999999</v>
      </c>
      <c r="AE2143">
        <v>-20.6737</v>
      </c>
      <c r="AF2143">
        <v>-22.847198896133801</v>
      </c>
      <c r="AG2143">
        <v>1.1352899999999999</v>
      </c>
      <c r="AH2143">
        <v>156.17020576456099</v>
      </c>
      <c r="AI2143">
        <v>89.587878510019905</v>
      </c>
      <c r="AJ2143">
        <v>98.323144059279798</v>
      </c>
      <c r="AK2143">
        <v>157.83667681920099</v>
      </c>
      <c r="AL2143">
        <v>94.0641979907696</v>
      </c>
      <c r="AM2143">
        <v>92.710318419094605</v>
      </c>
      <c r="AN2143">
        <v>1.0000000474781201</v>
      </c>
    </row>
    <row r="2144" spans="1:40" x14ac:dyDescent="0.25">
      <c r="A2144" t="str">
        <f>"20190305135235240"</f>
        <v>20190305135235240</v>
      </c>
      <c r="B2144" t="str">
        <f>"1551765155231943"</f>
        <v>1551765155231943</v>
      </c>
      <c r="C2144" t="s">
        <v>40</v>
      </c>
      <c r="D2144">
        <v>4.3564369999999997</v>
      </c>
      <c r="E2144">
        <v>0.46275509999999997</v>
      </c>
      <c r="F2144" t="s">
        <v>67</v>
      </c>
      <c r="G2144">
        <v>-512.82590000000005</v>
      </c>
      <c r="H2144">
        <v>2.1719059999999999</v>
      </c>
      <c r="I2144">
        <v>263.46120000000002</v>
      </c>
      <c r="J2144">
        <v>-356.9624</v>
      </c>
      <c r="K2144">
        <v>1.1079319999999999</v>
      </c>
      <c r="L2144">
        <v>284.41550000000001</v>
      </c>
      <c r="M2144">
        <v>-0.99978549999999999</v>
      </c>
      <c r="N2144">
        <v>-1.4234190000000001E-2</v>
      </c>
      <c r="O2144">
        <v>1.5048250000000001E-2</v>
      </c>
      <c r="P2144">
        <v>-0.9958456</v>
      </c>
      <c r="Q2144">
        <v>-8.5321610000000006E-2</v>
      </c>
      <c r="R2144">
        <v>-3.1812819999999999E-2</v>
      </c>
      <c r="S2144">
        <v>-3.0009769999999998</v>
      </c>
      <c r="T2144">
        <v>2.0406250000000001E-2</v>
      </c>
      <c r="U2144">
        <v>-0.40167239999999999</v>
      </c>
      <c r="V2144">
        <v>-4.6945439999999998E-2</v>
      </c>
      <c r="W2144">
        <v>-7.1048449999999999E-2</v>
      </c>
      <c r="X2144">
        <v>0.99636749999999996</v>
      </c>
      <c r="Y2144">
        <v>-0.14756629999999901</v>
      </c>
      <c r="Z2144">
        <v>-2.4036479999999999E-4</v>
      </c>
      <c r="AA2144">
        <v>0.98905209999999999</v>
      </c>
      <c r="AB2144">
        <v>41</v>
      </c>
      <c r="AC2144">
        <v>-155.86349999999999</v>
      </c>
      <c r="AD2144">
        <v>1.063974</v>
      </c>
      <c r="AE2144">
        <v>-20.9542999999999</v>
      </c>
      <c r="AF2144">
        <v>-23.2965709545695</v>
      </c>
      <c r="AG2144">
        <v>1.063974</v>
      </c>
      <c r="AH2144">
        <v>155.52337180176099</v>
      </c>
      <c r="AI2144">
        <v>89.612356261625095</v>
      </c>
      <c r="AJ2144">
        <v>98.519259165554701</v>
      </c>
      <c r="AK2144">
        <v>157.26214241038099</v>
      </c>
      <c r="AL2144">
        <v>94.074209027600801</v>
      </c>
      <c r="AM2144">
        <v>92.697586800580396</v>
      </c>
      <c r="AN2144">
        <v>0.99999997582022204</v>
      </c>
    </row>
    <row r="2145" spans="1:40" x14ac:dyDescent="0.25">
      <c r="A2145" t="str">
        <f>"20190305135235262"</f>
        <v>20190305135235262</v>
      </c>
      <c r="B2145" t="str">
        <f>"1551765155251452"</f>
        <v>1551765155251452</v>
      </c>
      <c r="C2145" t="s">
        <v>40</v>
      </c>
      <c r="D2145">
        <v>4.3547120000000001</v>
      </c>
      <c r="E2145">
        <v>0.46233350000000001</v>
      </c>
      <c r="F2145" t="s">
        <v>67</v>
      </c>
      <c r="G2145">
        <v>-512.82590000000005</v>
      </c>
      <c r="H2145">
        <v>2.3462719999999999</v>
      </c>
      <c r="I2145">
        <v>263.51929999999999</v>
      </c>
      <c r="J2145">
        <v>-357.36189999999999</v>
      </c>
      <c r="K2145">
        <v>1.1079380000000001</v>
      </c>
      <c r="L2145">
        <v>284.42219999999998</v>
      </c>
      <c r="M2145">
        <v>-0.99977439999999995</v>
      </c>
      <c r="N2145">
        <v>-1.4217799999999999E-2</v>
      </c>
      <c r="O2145">
        <v>1.5787519999999999E-2</v>
      </c>
      <c r="P2145">
        <v>-0.99586739999999996</v>
      </c>
      <c r="Q2145">
        <v>-8.5246210000000003E-2</v>
      </c>
      <c r="R2145">
        <v>-3.1330499999999997E-2</v>
      </c>
      <c r="S2145">
        <v>-3.0017399999999999</v>
      </c>
      <c r="T2145">
        <v>2.3850320000000001E-2</v>
      </c>
      <c r="U2145">
        <v>-0.4024353</v>
      </c>
      <c r="V2145">
        <v>-4.7198400000000001E-2</v>
      </c>
      <c r="W2145">
        <v>-7.0988999999999997E-2</v>
      </c>
      <c r="X2145">
        <v>0.99635980000000002</v>
      </c>
      <c r="Y2145">
        <v>-0.1485109</v>
      </c>
      <c r="Z2145">
        <v>-1.248097E-4</v>
      </c>
      <c r="AA2145">
        <v>0.98891070000000003</v>
      </c>
      <c r="AB2145">
        <v>41</v>
      </c>
      <c r="AC2145">
        <v>-155.464</v>
      </c>
      <c r="AD2145">
        <v>1.238334</v>
      </c>
      <c r="AE2145">
        <v>-20.902899999999899</v>
      </c>
      <c r="AF2145">
        <v>-23.353477739870598</v>
      </c>
      <c r="AG2145">
        <v>1.238334</v>
      </c>
      <c r="AH2145">
        <v>155.104915932252</v>
      </c>
      <c r="AI2145">
        <v>89.547667200132693</v>
      </c>
      <c r="AJ2145">
        <v>98.562461068027702</v>
      </c>
      <c r="AK2145">
        <v>156.858067500505</v>
      </c>
      <c r="AL2145">
        <v>94.070794116825098</v>
      </c>
      <c r="AM2145">
        <v>92.712121714283697</v>
      </c>
      <c r="AN2145">
        <v>0.99999998906979903</v>
      </c>
    </row>
    <row r="2146" spans="1:40" x14ac:dyDescent="0.25">
      <c r="A2146" t="str">
        <f>"20190305135235285"</f>
        <v>20190305135235285</v>
      </c>
      <c r="B2146" t="str">
        <f>"1551765155281708"</f>
        <v>1551765155281708</v>
      </c>
      <c r="C2146" t="s">
        <v>40</v>
      </c>
      <c r="D2146">
        <v>4.3377540000000003</v>
      </c>
      <c r="E2146">
        <v>0.46161469999999999</v>
      </c>
      <c r="F2146" t="s">
        <v>67</v>
      </c>
      <c r="G2146">
        <v>-512.82590000000005</v>
      </c>
      <c r="H2146">
        <v>2.3975599999999999</v>
      </c>
      <c r="I2146">
        <v>263.4855</v>
      </c>
      <c r="J2146">
        <v>-357.7826</v>
      </c>
      <c r="K2146">
        <v>1.1079490000000001</v>
      </c>
      <c r="L2146">
        <v>284.42950000000002</v>
      </c>
      <c r="M2146">
        <v>-0.99976200000000004</v>
      </c>
      <c r="N2146">
        <v>-1.420606E-2</v>
      </c>
      <c r="O2146">
        <v>1.6566270000000001E-2</v>
      </c>
      <c r="P2146">
        <v>-0.99592610000000004</v>
      </c>
      <c r="Q2146">
        <v>-8.4556950000000006E-2</v>
      </c>
      <c r="R2146">
        <v>-3.1330490000000003E-2</v>
      </c>
      <c r="S2146">
        <v>-3.001862</v>
      </c>
      <c r="T2146">
        <v>2.4902819999999999E-2</v>
      </c>
      <c r="U2146">
        <v>-0.40426640000000003</v>
      </c>
      <c r="V2146">
        <v>-4.7973689999999999E-2</v>
      </c>
      <c r="W2146">
        <v>-7.0309689999999994E-2</v>
      </c>
      <c r="X2146">
        <v>0.99637100000000001</v>
      </c>
      <c r="Y2146">
        <v>-0.149868</v>
      </c>
      <c r="Z2146" s="1">
        <v>-7.9436459999999995E-5</v>
      </c>
      <c r="AA2146">
        <v>0.98870599999999997</v>
      </c>
      <c r="AB2146">
        <v>41</v>
      </c>
      <c r="AC2146">
        <v>-155.04329999999999</v>
      </c>
      <c r="AD2146">
        <v>1.2896109999999901</v>
      </c>
      <c r="AE2146">
        <v>-20.943999999999999</v>
      </c>
      <c r="AF2146">
        <v>-23.508275989353201</v>
      </c>
      <c r="AG2146">
        <v>1.2896109999999901</v>
      </c>
      <c r="AH2146">
        <v>154.664511497636</v>
      </c>
      <c r="AI2146">
        <v>89.527696392144804</v>
      </c>
      <c r="AJ2146">
        <v>98.642538344290799</v>
      </c>
      <c r="AK2146">
        <v>156.446199229401</v>
      </c>
      <c r="AL2146">
        <v>94.031774779072293</v>
      </c>
      <c r="AM2146">
        <v>92.7565724468258</v>
      </c>
      <c r="AN2146">
        <v>1.00000004854055</v>
      </c>
    </row>
    <row r="2147" spans="1:40" x14ac:dyDescent="0.25">
      <c r="A2147" t="str">
        <f>"20190305135235309"</f>
        <v>20190305135235309</v>
      </c>
      <c r="B2147" t="str">
        <f>"1551765155301734"</f>
        <v>1551765155301734</v>
      </c>
      <c r="C2147" t="s">
        <v>40</v>
      </c>
      <c r="D2147">
        <v>4.3150079999999997</v>
      </c>
      <c r="E2147">
        <v>0.46124739999999997</v>
      </c>
      <c r="F2147" t="s">
        <v>67</v>
      </c>
      <c r="G2147">
        <v>-512.82600000000002</v>
      </c>
      <c r="H2147">
        <v>2.5593849999999998</v>
      </c>
      <c r="I2147">
        <v>263.25389999999999</v>
      </c>
      <c r="J2147">
        <v>-358.2079</v>
      </c>
      <c r="K2147">
        <v>1.1079509999999999</v>
      </c>
      <c r="L2147">
        <v>284.43729999999999</v>
      </c>
      <c r="M2147">
        <v>-0.99974859999999999</v>
      </c>
      <c r="N2147">
        <v>-1.419958E-2</v>
      </c>
      <c r="O2147">
        <v>1.7354060000000001E-2</v>
      </c>
      <c r="P2147">
        <v>-0.99597780000000002</v>
      </c>
      <c r="Q2147">
        <v>-8.3948289999999995E-2</v>
      </c>
      <c r="R2147">
        <v>-3.1325909999999998E-2</v>
      </c>
      <c r="S2147">
        <v>-3.0017399999999999</v>
      </c>
      <c r="T2147">
        <v>2.8102160000000001E-2</v>
      </c>
      <c r="U2147">
        <v>-0.40997309999999998</v>
      </c>
      <c r="V2147">
        <v>-4.8752549999999999E-2</v>
      </c>
      <c r="W2147">
        <v>-6.9705840000000005E-2</v>
      </c>
      <c r="X2147">
        <v>0.99637560000000003</v>
      </c>
      <c r="Y2147">
        <v>-0.15249670000000001</v>
      </c>
      <c r="Z2147" s="1">
        <v>2.975366E-5</v>
      </c>
      <c r="AA2147">
        <v>0.98830399999999996</v>
      </c>
      <c r="AB2147">
        <v>41</v>
      </c>
      <c r="AC2147">
        <v>-154.6181</v>
      </c>
      <c r="AD2147">
        <v>1.4514339999999899</v>
      </c>
      <c r="AE2147">
        <v>-21.183399999999999</v>
      </c>
      <c r="AF2147">
        <v>-23.861667599138801</v>
      </c>
      <c r="AG2147">
        <v>1.4514339999999899</v>
      </c>
      <c r="AH2147">
        <v>154.213816916117</v>
      </c>
      <c r="AI2147">
        <v>89.467099043668199</v>
      </c>
      <c r="AJ2147">
        <v>98.795684853064998</v>
      </c>
      <c r="AK2147">
        <v>156.05571815574601</v>
      </c>
      <c r="AL2147">
        <v>93.997091717963798</v>
      </c>
      <c r="AM2147">
        <v>92.801242183709903</v>
      </c>
      <c r="AN2147">
        <v>1.00000002576848</v>
      </c>
    </row>
    <row r="2148" spans="1:40" x14ac:dyDescent="0.25">
      <c r="A2148" t="str">
        <f>"20190305135235330"</f>
        <v>20190305135235330</v>
      </c>
      <c r="B2148" t="str">
        <f>"1551765155321261"</f>
        <v>1551765155321261</v>
      </c>
      <c r="C2148" t="s">
        <v>40</v>
      </c>
      <c r="D2148">
        <v>4.2907599999999997</v>
      </c>
      <c r="E2148">
        <v>0.46100459999999899</v>
      </c>
      <c r="F2148" t="s">
        <v>67</v>
      </c>
      <c r="G2148">
        <v>-512.82600000000002</v>
      </c>
      <c r="H2148">
        <v>2.6544629999999998</v>
      </c>
      <c r="I2148">
        <v>263.15899999999999</v>
      </c>
      <c r="J2148">
        <v>-358.60300000000001</v>
      </c>
      <c r="K2148">
        <v>1.107952</v>
      </c>
      <c r="L2148">
        <v>284.44479999999999</v>
      </c>
      <c r="M2148">
        <v>-0.99973579999999995</v>
      </c>
      <c r="N2148">
        <v>-1.419489E-2</v>
      </c>
      <c r="O2148">
        <v>1.8085029999999998E-2</v>
      </c>
      <c r="P2148">
        <v>-0.99599729999999997</v>
      </c>
      <c r="Q2148">
        <v>-8.3827090000000007E-2</v>
      </c>
      <c r="R2148">
        <v>-3.1027639999999999E-2</v>
      </c>
      <c r="S2148">
        <v>-3.0016780000000001</v>
      </c>
      <c r="T2148">
        <v>3.002465E-2</v>
      </c>
      <c r="U2148">
        <v>-0.41308590000000001</v>
      </c>
      <c r="V2148">
        <v>-4.9181959999999997E-2</v>
      </c>
      <c r="W2148">
        <v>-6.9588629999999999E-2</v>
      </c>
      <c r="X2148">
        <v>0.99636270000000005</v>
      </c>
      <c r="Y2148">
        <v>-0.15422710000000001</v>
      </c>
      <c r="Z2148">
        <v>1.0343680000000001E-4</v>
      </c>
      <c r="AA2148">
        <v>0.98803540000000001</v>
      </c>
      <c r="AB2148">
        <v>41</v>
      </c>
      <c r="AC2148">
        <v>-154.22299999999899</v>
      </c>
      <c r="AD2148">
        <v>1.546511</v>
      </c>
      <c r="AE2148">
        <v>-21.285799999999899</v>
      </c>
      <c r="AF2148">
        <v>-24.069351283259198</v>
      </c>
      <c r="AG2148">
        <v>1.546511</v>
      </c>
      <c r="AH2148">
        <v>153.797602890338</v>
      </c>
      <c r="AI2148">
        <v>89.430809763239694</v>
      </c>
      <c r="AJ2148">
        <v>98.894650801720999</v>
      </c>
      <c r="AK2148">
        <v>155.67732019239099</v>
      </c>
      <c r="AL2148">
        <v>93.990359690397199</v>
      </c>
      <c r="AM2148">
        <v>92.825912092225593</v>
      </c>
      <c r="AN2148">
        <v>1.0000000362829999</v>
      </c>
    </row>
    <row r="2149" spans="1:40" x14ac:dyDescent="0.25">
      <c r="A2149" t="str">
        <f>"20190305135235351"</f>
        <v>20190305135235351</v>
      </c>
      <c r="B2149" t="str">
        <f>"1551765155341751"</f>
        <v>1551765155341751</v>
      </c>
      <c r="C2149" t="s">
        <v>40</v>
      </c>
      <c r="D2149">
        <v>4.3011970000000002</v>
      </c>
      <c r="E2149">
        <v>0.46075460000000001</v>
      </c>
      <c r="F2149" t="s">
        <v>67</v>
      </c>
      <c r="G2149">
        <v>-512.82600000000002</v>
      </c>
      <c r="H2149">
        <v>2.6743839999999999</v>
      </c>
      <c r="I2149">
        <v>263.17250000000001</v>
      </c>
      <c r="J2149">
        <v>-359.00099999999998</v>
      </c>
      <c r="K2149">
        <v>1.1079479999999999</v>
      </c>
      <c r="L2149">
        <v>284.45269999999999</v>
      </c>
      <c r="M2149">
        <v>-0.99972220000000001</v>
      </c>
      <c r="N2149">
        <v>-1.4190599999999999E-2</v>
      </c>
      <c r="O2149">
        <v>1.8820409999999999E-2</v>
      </c>
      <c r="P2149">
        <v>-0.99600259999999996</v>
      </c>
      <c r="Q2149">
        <v>-8.4154099999999996E-2</v>
      </c>
      <c r="R2149">
        <v>-2.9951760000000001E-2</v>
      </c>
      <c r="S2149">
        <v>-3.001709</v>
      </c>
      <c r="T2149">
        <v>3.0489559999999999E-2</v>
      </c>
      <c r="U2149">
        <v>-0.41403200000000001</v>
      </c>
      <c r="V2149">
        <v>-4.883875E-2</v>
      </c>
      <c r="W2149">
        <v>-6.9920899999999994E-2</v>
      </c>
      <c r="X2149">
        <v>0.99635629999999997</v>
      </c>
      <c r="Y2149">
        <v>-0.1552577</v>
      </c>
      <c r="Z2149">
        <v>1.3398840000000001E-4</v>
      </c>
      <c r="AA2149">
        <v>0.98787400000000003</v>
      </c>
      <c r="AB2149">
        <v>41</v>
      </c>
      <c r="AC2149">
        <v>-153.82499999999999</v>
      </c>
      <c r="AD2149">
        <v>1.5664359999999999</v>
      </c>
      <c r="AE2149">
        <v>-21.280199999999901</v>
      </c>
      <c r="AF2149">
        <v>-24.169311870830001</v>
      </c>
      <c r="AG2149">
        <v>1.5664359999999999</v>
      </c>
      <c r="AH2149">
        <v>153.38159995954601</v>
      </c>
      <c r="AI2149">
        <v>89.422008685314395</v>
      </c>
      <c r="AJ2149">
        <v>98.954826955358698</v>
      </c>
      <c r="AK2149">
        <v>155.28208062813201</v>
      </c>
      <c r="AL2149">
        <v>94.009443925048402</v>
      </c>
      <c r="AM2149">
        <v>92.806241456197398</v>
      </c>
      <c r="AN2149">
        <v>1.0000000161540299</v>
      </c>
    </row>
    <row r="2150" spans="1:40" x14ac:dyDescent="0.25">
      <c r="A2150" t="str">
        <f>"20190305135235373"</f>
        <v>20190305135235373</v>
      </c>
      <c r="B2150" t="str">
        <f>"1551765155371031"</f>
        <v>1551765155371031</v>
      </c>
      <c r="C2150" t="s">
        <v>40</v>
      </c>
      <c r="D2150">
        <v>4.2743409999999997</v>
      </c>
      <c r="E2150">
        <v>0.46060699999999999</v>
      </c>
      <c r="F2150" t="s">
        <v>67</v>
      </c>
      <c r="G2150">
        <v>-512.82600000000002</v>
      </c>
      <c r="H2150">
        <v>2.5941010000000002</v>
      </c>
      <c r="I2150">
        <v>263.31150000000002</v>
      </c>
      <c r="J2150">
        <v>-359.41079999999999</v>
      </c>
      <c r="K2150">
        <v>1.107947</v>
      </c>
      <c r="L2150">
        <v>284.46109999999999</v>
      </c>
      <c r="M2150">
        <v>-0.99970789999999998</v>
      </c>
      <c r="N2150">
        <v>-1.418673E-2</v>
      </c>
      <c r="O2150">
        <v>1.9568430000000001E-2</v>
      </c>
      <c r="P2150">
        <v>-0.99594899999999997</v>
      </c>
      <c r="Q2150">
        <v>-8.5176539999999995E-2</v>
      </c>
      <c r="R2150">
        <v>-2.8823769999999999E-2</v>
      </c>
      <c r="S2150">
        <v>-3.0021059999999999</v>
      </c>
      <c r="T2150">
        <v>2.900577E-2</v>
      </c>
      <c r="U2150">
        <v>-0.41259770000000001</v>
      </c>
      <c r="V2150">
        <v>-4.8456569999999997E-2</v>
      </c>
      <c r="W2150">
        <v>-7.0949380000000006E-2</v>
      </c>
      <c r="X2150">
        <v>0.99630220000000003</v>
      </c>
      <c r="Y2150">
        <v>-0.15551619999999999</v>
      </c>
      <c r="Z2150">
        <v>1.038776E-4</v>
      </c>
      <c r="AA2150">
        <v>0.98783330000000003</v>
      </c>
      <c r="AB2150">
        <v>41</v>
      </c>
      <c r="AC2150">
        <v>-153.4152</v>
      </c>
      <c r="AD2150">
        <v>1.48615399999999</v>
      </c>
      <c r="AE2150">
        <v>-21.1495999999999</v>
      </c>
      <c r="AF2150">
        <v>-24.145722513430801</v>
      </c>
      <c r="AG2150">
        <v>1.48615399999999</v>
      </c>
      <c r="AH2150">
        <v>152.95782607697299</v>
      </c>
      <c r="AI2150">
        <v>89.450134386530493</v>
      </c>
      <c r="AJ2150">
        <v>98.970611679054898</v>
      </c>
      <c r="AK2150">
        <v>154.859036312386</v>
      </c>
      <c r="AL2150">
        <v>94.068518422955094</v>
      </c>
      <c r="AM2150">
        <v>92.784467297183298</v>
      </c>
      <c r="AN2150">
        <v>0.99999996371169397</v>
      </c>
    </row>
    <row r="2151" spans="1:40" x14ac:dyDescent="0.25">
      <c r="A2151" t="str">
        <f>"20190305135235397"</f>
        <v>20190305135235397</v>
      </c>
      <c r="B2151" t="str">
        <f>"1551765155391530"</f>
        <v>1551765155391530</v>
      </c>
      <c r="C2151" t="s">
        <v>40</v>
      </c>
      <c r="D2151">
        <v>4.2549669999999997</v>
      </c>
      <c r="E2151">
        <v>0.46046559999999997</v>
      </c>
      <c r="F2151" t="s">
        <v>67</v>
      </c>
      <c r="G2151">
        <v>-512.82600000000002</v>
      </c>
      <c r="H2151">
        <v>2.4250949999999998</v>
      </c>
      <c r="I2151">
        <v>263.49439999999998</v>
      </c>
      <c r="J2151">
        <v>-359.83519999999999</v>
      </c>
      <c r="K2151">
        <v>1.107958</v>
      </c>
      <c r="L2151">
        <v>284.4701</v>
      </c>
      <c r="M2151">
        <v>-0.9996929</v>
      </c>
      <c r="N2151">
        <v>-1.418349E-2</v>
      </c>
      <c r="O2151">
        <v>2.032192E-2</v>
      </c>
      <c r="P2151">
        <v>-0.99590730000000005</v>
      </c>
      <c r="Q2151">
        <v>-8.6138590000000001E-2</v>
      </c>
      <c r="R2151">
        <v>-2.7364880000000001E-2</v>
      </c>
      <c r="S2151">
        <v>-3.0025019999999998</v>
      </c>
      <c r="T2151">
        <v>2.5779489999999999E-2</v>
      </c>
      <c r="U2151">
        <v>-0.41033940000000002</v>
      </c>
      <c r="V2151">
        <v>-4.7746799999999999E-2</v>
      </c>
      <c r="W2151">
        <v>-7.191815E-2</v>
      </c>
      <c r="X2151">
        <v>0.99626700000000001</v>
      </c>
      <c r="Y2151">
        <v>-0.1555145</v>
      </c>
      <c r="Z2151" s="1">
        <v>1.705182E-5</v>
      </c>
      <c r="AA2151">
        <v>0.98783359999999998</v>
      </c>
      <c r="AB2151">
        <v>41</v>
      </c>
      <c r="AC2151">
        <v>-152.99080000000001</v>
      </c>
      <c r="AD2151">
        <v>1.317137</v>
      </c>
      <c r="AE2151">
        <v>-20.9757</v>
      </c>
      <c r="AF2151">
        <v>-24.078995117165999</v>
      </c>
      <c r="AG2151">
        <v>1.317137</v>
      </c>
      <c r="AH2151">
        <v>152.5217936825</v>
      </c>
      <c r="AI2151">
        <v>89.511274080429004</v>
      </c>
      <c r="AJ2151">
        <v>98.971382880900904</v>
      </c>
      <c r="AK2151">
        <v>154.416418828622</v>
      </c>
      <c r="AL2151">
        <v>94.124167053289398</v>
      </c>
      <c r="AM2151">
        <v>92.743841255173905</v>
      </c>
      <c r="AN2151">
        <v>0.99999995624933002</v>
      </c>
    </row>
    <row r="2152" spans="1:40" x14ac:dyDescent="0.25">
      <c r="A2152" t="str">
        <f>"20190305135235418"</f>
        <v>20190305135235418</v>
      </c>
      <c r="B2152" t="str">
        <f>"1551765155412023"</f>
        <v>1551765155412023</v>
      </c>
      <c r="C2152" t="s">
        <v>40</v>
      </c>
      <c r="D2152">
        <v>4.2472190000000003</v>
      </c>
      <c r="E2152">
        <v>0.46024399999999999</v>
      </c>
      <c r="F2152" t="s">
        <v>67</v>
      </c>
      <c r="G2152">
        <v>-512.82590000000005</v>
      </c>
      <c r="H2152">
        <v>2.2645110000000002</v>
      </c>
      <c r="I2152">
        <v>263.73509999999999</v>
      </c>
      <c r="J2152">
        <v>-360.23829999999998</v>
      </c>
      <c r="K2152">
        <v>1.1079779999999999</v>
      </c>
      <c r="L2152">
        <v>284.47890000000001</v>
      </c>
      <c r="M2152">
        <v>-0.99967879999999998</v>
      </c>
      <c r="N2152">
        <v>-1.4180720000000001E-2</v>
      </c>
      <c r="O2152">
        <v>2.1006259999999999E-2</v>
      </c>
      <c r="P2152">
        <v>-0.99588169999999998</v>
      </c>
      <c r="Q2152">
        <v>-8.6688119999999994E-2</v>
      </c>
      <c r="R2152">
        <v>-2.6552989999999999E-2</v>
      </c>
      <c r="S2152">
        <v>-3.0031129999999999</v>
      </c>
      <c r="T2152">
        <v>2.2703890000000001E-2</v>
      </c>
      <c r="U2152">
        <v>-0.40701290000000001</v>
      </c>
      <c r="V2152">
        <v>-4.7612809999999998E-2</v>
      </c>
      <c r="W2152">
        <v>-7.2473789999999996E-2</v>
      </c>
      <c r="X2152">
        <v>0.99623320000000004</v>
      </c>
      <c r="Y2152">
        <v>-0.155089899999999</v>
      </c>
      <c r="Z2152" s="1">
        <v>-6.654218E-5</v>
      </c>
      <c r="AA2152">
        <v>0.98790040000000001</v>
      </c>
      <c r="AB2152">
        <v>41</v>
      </c>
      <c r="AC2152">
        <v>-152.58760000000001</v>
      </c>
      <c r="AD2152">
        <v>1.156533</v>
      </c>
      <c r="AE2152">
        <v>-20.7438</v>
      </c>
      <c r="AF2152">
        <v>-23.9434883189898</v>
      </c>
      <c r="AG2152">
        <v>1.156533</v>
      </c>
      <c r="AH2152">
        <v>152.109550549863</v>
      </c>
      <c r="AI2152">
        <v>89.569670450974797</v>
      </c>
      <c r="AJ2152">
        <v>98.945498839338796</v>
      </c>
      <c r="AK2152">
        <v>153.98682920932899</v>
      </c>
      <c r="AL2152">
        <v>94.156085954999497</v>
      </c>
      <c r="AM2152">
        <v>92.736245727748795</v>
      </c>
      <c r="AN2152">
        <v>1.00000000934765</v>
      </c>
    </row>
    <row r="2153" spans="1:40" x14ac:dyDescent="0.25">
      <c r="A2153" t="str">
        <f>"20190305135235441"</f>
        <v>20190305135235441</v>
      </c>
      <c r="B2153" t="str">
        <f>"1551765155431543"</f>
        <v>1551765155431543</v>
      </c>
      <c r="C2153" t="s">
        <v>40</v>
      </c>
      <c r="D2153">
        <v>4.474672</v>
      </c>
      <c r="E2153">
        <v>0.46042909999999998</v>
      </c>
      <c r="F2153" t="s">
        <v>67</v>
      </c>
      <c r="G2153">
        <v>-512.82590000000005</v>
      </c>
      <c r="H2153">
        <v>2.1554410000000002</v>
      </c>
      <c r="I2153">
        <v>263.83580000000001</v>
      </c>
      <c r="J2153">
        <v>-360.63279999999997</v>
      </c>
      <c r="K2153">
        <v>1.1080139999999901</v>
      </c>
      <c r="L2153">
        <v>284.48779999999999</v>
      </c>
      <c r="M2153">
        <v>-0.99966540000000004</v>
      </c>
      <c r="N2153">
        <v>-1.417821E-2</v>
      </c>
      <c r="O2153">
        <v>2.163669E-2</v>
      </c>
      <c r="P2153">
        <v>-0.99588940000000004</v>
      </c>
      <c r="Q2153">
        <v>-8.6797630000000001E-2</v>
      </c>
      <c r="R2153">
        <v>-2.5897730000000001E-2</v>
      </c>
      <c r="S2153">
        <v>-3.0033259999999999</v>
      </c>
      <c r="T2153">
        <v>2.0618319999999999E-2</v>
      </c>
      <c r="U2153">
        <v>-0.40631099999999998</v>
      </c>
      <c r="V2153">
        <v>-4.75801E-2</v>
      </c>
      <c r="W2153">
        <v>-7.2589639999999997E-2</v>
      </c>
      <c r="X2153">
        <v>0.99622630000000001</v>
      </c>
      <c r="Y2153">
        <v>-0.155477</v>
      </c>
      <c r="Z2153">
        <v>-1.2277260000000001E-4</v>
      </c>
      <c r="AA2153">
        <v>0.98783949999999998</v>
      </c>
      <c r="AB2153">
        <v>41</v>
      </c>
      <c r="AC2153">
        <v>-152.19309999999999</v>
      </c>
      <c r="AD2153">
        <v>1.0474270000000001</v>
      </c>
      <c r="AE2153">
        <v>-20.651999999999902</v>
      </c>
      <c r="AF2153">
        <v>-23.939336818110299</v>
      </c>
      <c r="AG2153">
        <v>1.0474270000000001</v>
      </c>
      <c r="AH2153">
        <v>151.70352300043399</v>
      </c>
      <c r="AI2153">
        <v>89.609246530154394</v>
      </c>
      <c r="AJ2153">
        <v>98.967522500081998</v>
      </c>
      <c r="AK2153">
        <v>153.584334622234</v>
      </c>
      <c r="AL2153">
        <v>94.162741317242904</v>
      </c>
      <c r="AM2153">
        <v>92.734387690742807</v>
      </c>
      <c r="AN2153">
        <v>0.99999998128151402</v>
      </c>
    </row>
    <row r="2154" spans="1:40" x14ac:dyDescent="0.25">
      <c r="A2154" t="str">
        <f>"20190305135235463"</f>
        <v>20190305135235463</v>
      </c>
      <c r="B2154" t="str">
        <f>"1551765155452039"</f>
        <v>1551765155452039</v>
      </c>
      <c r="C2154" t="s">
        <v>40</v>
      </c>
      <c r="D2154">
        <v>4.3557420000000002</v>
      </c>
      <c r="E2154">
        <v>0.47707919999999998</v>
      </c>
      <c r="F2154" t="s">
        <v>67</v>
      </c>
      <c r="G2154">
        <v>-512.82590000000005</v>
      </c>
      <c r="H2154">
        <v>2.1217100000000002</v>
      </c>
      <c r="I2154">
        <v>264.07459999999998</v>
      </c>
      <c r="J2154">
        <v>-361.041</v>
      </c>
      <c r="K2154">
        <v>1.10806</v>
      </c>
      <c r="L2154">
        <v>284.49720000000002</v>
      </c>
      <c r="M2154">
        <v>-0.9996524</v>
      </c>
      <c r="N2154">
        <v>-1.417589E-2</v>
      </c>
      <c r="O2154">
        <v>2.2234919999999998E-2</v>
      </c>
      <c r="P2154">
        <v>-0.99593089999999995</v>
      </c>
      <c r="Q2154">
        <v>-8.6355979999999999E-2</v>
      </c>
      <c r="R2154">
        <v>-2.578283E-2</v>
      </c>
      <c r="S2154">
        <v>-3.0036010000000002</v>
      </c>
      <c r="T2154">
        <v>2.0007250000000001E-2</v>
      </c>
      <c r="U2154">
        <v>-0.40286250000000001</v>
      </c>
      <c r="V2154">
        <v>-4.8053329999999998E-2</v>
      </c>
      <c r="W2154">
        <v>-7.2154339999999997E-2</v>
      </c>
      <c r="X2154">
        <v>0.99623530000000005</v>
      </c>
      <c r="Y2154">
        <v>-0.1549421</v>
      </c>
      <c r="Z2154">
        <v>-1.2822800000000001E-4</v>
      </c>
      <c r="AA2154">
        <v>0.98792360000000001</v>
      </c>
      <c r="AB2154">
        <v>41</v>
      </c>
      <c r="AC2154">
        <v>-151.78489999999999</v>
      </c>
      <c r="AD2154">
        <v>1.0136499999999899</v>
      </c>
      <c r="AE2154">
        <v>-20.422599999999999</v>
      </c>
      <c r="AF2154">
        <v>-23.791771586619799</v>
      </c>
      <c r="AG2154">
        <v>1.0136499999999899</v>
      </c>
      <c r="AH2154">
        <v>151.28659962440599</v>
      </c>
      <c r="AI2154">
        <v>89.620773407288993</v>
      </c>
      <c r="AJ2154">
        <v>98.9373029882277</v>
      </c>
      <c r="AK2154">
        <v>153.14930984979199</v>
      </c>
      <c r="AL2154">
        <v>94.137734513043995</v>
      </c>
      <c r="AM2154">
        <v>92.761517013064704</v>
      </c>
      <c r="AN2154">
        <v>1.0000000721355</v>
      </c>
    </row>
    <row r="2155" spans="1:40" x14ac:dyDescent="0.25">
      <c r="A2155" t="str">
        <f>"20190305135235487"</f>
        <v>20190305135235487</v>
      </c>
      <c r="B2155" t="str">
        <f>"1551765155481319"</f>
        <v>1551765155481319</v>
      </c>
      <c r="C2155" t="s">
        <v>40</v>
      </c>
      <c r="D2155">
        <v>4.3309739999999897</v>
      </c>
      <c r="E2155">
        <v>0.48007830000000001</v>
      </c>
      <c r="F2155" t="s">
        <v>56</v>
      </c>
      <c r="G2155">
        <v>-385.72539999999998</v>
      </c>
      <c r="H2155" s="1">
        <v>1.50997899999999E-6</v>
      </c>
      <c r="I2155">
        <v>282.31810000000002</v>
      </c>
      <c r="J2155">
        <v>-361.45850000000002</v>
      </c>
      <c r="K2155">
        <v>1.1081190000000001</v>
      </c>
      <c r="L2155">
        <v>284.50700000000001</v>
      </c>
      <c r="M2155">
        <v>-0.99964030000000004</v>
      </c>
      <c r="N2155">
        <v>-1.417329E-2</v>
      </c>
      <c r="O2155">
        <v>2.2770240000000001E-2</v>
      </c>
      <c r="P2155">
        <v>-0.99597860000000005</v>
      </c>
      <c r="Q2155">
        <v>-8.5829340000000004E-2</v>
      </c>
      <c r="R2155">
        <v>-2.5691519999999999E-2</v>
      </c>
      <c r="S2155">
        <v>-2.9937740000000002</v>
      </c>
      <c r="T2155">
        <v>-0.1343877</v>
      </c>
      <c r="U2155">
        <v>-0.26428220000000002</v>
      </c>
      <c r="V2155">
        <v>-4.8484590000000001E-2</v>
      </c>
      <c r="W2155">
        <v>-7.163601E-2</v>
      </c>
      <c r="X2155">
        <v>0.99625180000000002</v>
      </c>
      <c r="Y2155">
        <v>-0.1104407</v>
      </c>
      <c r="Z2155">
        <v>-3.9553490000000004E-3</v>
      </c>
      <c r="AA2155">
        <v>0.99387479999999995</v>
      </c>
      <c r="AB2155">
        <v>41</v>
      </c>
      <c r="AC2155">
        <v>-24.2668999999999</v>
      </c>
      <c r="AD2155">
        <v>-1.108117490021</v>
      </c>
      <c r="AE2155">
        <v>-2.1888999999999799</v>
      </c>
      <c r="AF2155">
        <v>-2.7352934357934302</v>
      </c>
      <c r="AG2155">
        <v>-1.108117490021</v>
      </c>
      <c r="AH2155">
        <v>24.1607872029522</v>
      </c>
      <c r="AI2155">
        <v>92.609344862670099</v>
      </c>
      <c r="AJ2155">
        <v>96.459073886285395</v>
      </c>
      <c r="AK2155">
        <v>24.3403655029649</v>
      </c>
      <c r="AL2155">
        <v>94.107959386081404</v>
      </c>
      <c r="AM2155">
        <v>92.786215602953106</v>
      </c>
      <c r="AN2155">
        <v>1.00000006119971</v>
      </c>
    </row>
    <row r="2156" spans="1:40" x14ac:dyDescent="0.25">
      <c r="A2156" t="str">
        <f>"20190305135235509"</f>
        <v>20190305135235509</v>
      </c>
      <c r="B2156" t="str">
        <f>"1551765155501815"</f>
        <v>1551765155501815</v>
      </c>
      <c r="C2156" t="s">
        <v>40</v>
      </c>
      <c r="D2156">
        <v>4.3557259999999998</v>
      </c>
      <c r="E2156">
        <v>0.47982160000000001</v>
      </c>
      <c r="F2156" t="s">
        <v>56</v>
      </c>
      <c r="G2156">
        <v>-386.21140000000003</v>
      </c>
      <c r="H2156" s="1">
        <v>1.7686150000000001E-6</v>
      </c>
      <c r="I2156">
        <v>282.5231</v>
      </c>
      <c r="J2156">
        <v>-361.88170000000002</v>
      </c>
      <c r="K2156">
        <v>1.1081840000000001</v>
      </c>
      <c r="L2156">
        <v>284.517</v>
      </c>
      <c r="M2156">
        <v>-0.99963020000000002</v>
      </c>
      <c r="N2156">
        <v>-1.417062E-2</v>
      </c>
      <c r="O2156">
        <v>2.321202E-2</v>
      </c>
      <c r="P2156">
        <v>-0.99597100000000005</v>
      </c>
      <c r="Q2156">
        <v>-8.5910890000000004E-2</v>
      </c>
      <c r="R2156">
        <v>-2.5719990000000002E-2</v>
      </c>
      <c r="S2156">
        <v>-2.9943849999999999</v>
      </c>
      <c r="T2156">
        <v>-0.1340499</v>
      </c>
      <c r="U2156">
        <v>-0.23999019999999999</v>
      </c>
      <c r="V2156">
        <v>-4.8940299999999999E-2</v>
      </c>
      <c r="W2156">
        <v>-7.1728620000000007E-2</v>
      </c>
      <c r="X2156">
        <v>0.99622279999999996</v>
      </c>
      <c r="Y2156">
        <v>-0.10286339999999999</v>
      </c>
      <c r="Z2156">
        <v>-3.7369909999999998E-3</v>
      </c>
      <c r="AA2156">
        <v>0.99468849999999998</v>
      </c>
      <c r="AB2156">
        <v>41</v>
      </c>
      <c r="AC2156">
        <v>-24.329699999999999</v>
      </c>
      <c r="AD2156">
        <v>-1.108182231385</v>
      </c>
      <c r="AE2156">
        <v>-1.99389999999999</v>
      </c>
      <c r="AF2156">
        <v>-2.55289973168408</v>
      </c>
      <c r="AG2156">
        <v>-1.108182231385</v>
      </c>
      <c r="AH2156">
        <v>24.226928782759099</v>
      </c>
      <c r="AI2156">
        <v>92.604583514754594</v>
      </c>
      <c r="AJ2156">
        <v>96.015313591952506</v>
      </c>
      <c r="AK2156">
        <v>24.386255209500099</v>
      </c>
      <c r="AL2156">
        <v>94.113279454121795</v>
      </c>
      <c r="AM2156">
        <v>92.812443323553794</v>
      </c>
      <c r="AN2156">
        <v>1.00000000756551</v>
      </c>
    </row>
    <row r="2157" spans="1:40" x14ac:dyDescent="0.25">
      <c r="A2157" t="str">
        <f>"20190305135235531"</f>
        <v>20190305135235531</v>
      </c>
      <c r="B2157" t="str">
        <f>"1551765155521335"</f>
        <v>1551765155521335</v>
      </c>
      <c r="C2157" t="s">
        <v>40</v>
      </c>
      <c r="D2157">
        <v>4.3430879999999998</v>
      </c>
      <c r="E2157">
        <v>0.47975519999999999</v>
      </c>
      <c r="F2157" t="s">
        <v>56</v>
      </c>
      <c r="G2157">
        <v>-386.3759</v>
      </c>
      <c r="H2157" s="1">
        <v>1.8561229999999999E-6</v>
      </c>
      <c r="I2157">
        <v>282.53660000000002</v>
      </c>
      <c r="J2157">
        <v>-362.26639999999998</v>
      </c>
      <c r="K2157">
        <v>1.1082459999999901</v>
      </c>
      <c r="L2157">
        <v>284.52629999999999</v>
      </c>
      <c r="M2157">
        <v>-0.99962249999999997</v>
      </c>
      <c r="N2157">
        <v>-1.416827E-2</v>
      </c>
      <c r="O2157">
        <v>2.3537789999999999E-2</v>
      </c>
      <c r="P2157">
        <v>-0.99591540000000001</v>
      </c>
      <c r="Q2157">
        <v>-8.6599839999999997E-2</v>
      </c>
      <c r="R2157">
        <v>-2.5554839999999999E-2</v>
      </c>
      <c r="S2157">
        <v>-2.994202</v>
      </c>
      <c r="T2157">
        <v>-0.13546559999999999</v>
      </c>
      <c r="U2157">
        <v>-0.2420959</v>
      </c>
      <c r="V2157">
        <v>-4.9086499999999998E-2</v>
      </c>
      <c r="W2157">
        <v>-7.2429080000000007E-2</v>
      </c>
      <c r="X2157">
        <v>0.99616490000000002</v>
      </c>
      <c r="Y2157">
        <v>-0.103883</v>
      </c>
      <c r="Z2157">
        <v>-3.8126219999999999E-3</v>
      </c>
      <c r="AA2157">
        <v>0.99458219999999997</v>
      </c>
      <c r="AB2157">
        <v>41</v>
      </c>
      <c r="AC2157">
        <v>-24.109500000000001</v>
      </c>
      <c r="AD2157">
        <v>-1.1082441438770001</v>
      </c>
      <c r="AE2157">
        <v>-1.98969999999997</v>
      </c>
      <c r="AF2157">
        <v>-2.5513355374284501</v>
      </c>
      <c r="AG2157">
        <v>-1.1082441438770001</v>
      </c>
      <c r="AH2157">
        <v>24.005601104827601</v>
      </c>
      <c r="AI2157">
        <v>92.628461474876403</v>
      </c>
      <c r="AJ2157">
        <v>96.066669922553203</v>
      </c>
      <c r="AK2157">
        <v>24.166224415723001</v>
      </c>
      <c r="AL2157">
        <v>94.153517624271501</v>
      </c>
      <c r="AM2157">
        <v>92.820995112878293</v>
      </c>
      <c r="AN2157">
        <v>0.99999998205195295</v>
      </c>
    </row>
    <row r="2158" spans="1:40" x14ac:dyDescent="0.25">
      <c r="A2158" t="str">
        <f>"20190305135235553"</f>
        <v>20190305135235553</v>
      </c>
      <c r="B2158" t="str">
        <f>"1551765155541832"</f>
        <v>1551765155541832</v>
      </c>
      <c r="C2158" t="s">
        <v>40</v>
      </c>
      <c r="D2158">
        <v>4.539911</v>
      </c>
      <c r="E2158">
        <v>0.47964220000000002</v>
      </c>
      <c r="F2158" t="s">
        <v>56</v>
      </c>
      <c r="G2158">
        <v>-385.84210000000002</v>
      </c>
      <c r="H2158" s="1">
        <v>1.57209399999999E-6</v>
      </c>
      <c r="I2158">
        <v>282.62200000000001</v>
      </c>
      <c r="J2158">
        <v>-362.67619999999999</v>
      </c>
      <c r="K2158">
        <v>1.108328</v>
      </c>
      <c r="L2158">
        <v>284.53620000000001</v>
      </c>
      <c r="M2158">
        <v>-0.99961670000000002</v>
      </c>
      <c r="N2158">
        <v>-1.41659E-2</v>
      </c>
      <c r="O2158">
        <v>2.3791679999999999E-2</v>
      </c>
      <c r="P2158">
        <v>-0.99585809999999997</v>
      </c>
      <c r="Q2158">
        <v>-8.7465249999999994E-2</v>
      </c>
      <c r="R2158">
        <v>-2.4837370000000001E-2</v>
      </c>
      <c r="S2158">
        <v>-2.9938660000000001</v>
      </c>
      <c r="T2158">
        <v>-0.14073559999999999</v>
      </c>
      <c r="U2158">
        <v>-0.24182129999999999</v>
      </c>
      <c r="V2158">
        <v>-4.8607400000000002E-2</v>
      </c>
      <c r="W2158">
        <v>-7.330768E-2</v>
      </c>
      <c r="X2158">
        <v>0.99612409999999996</v>
      </c>
      <c r="Y2158">
        <v>-0.1040425</v>
      </c>
      <c r="Z2158">
        <v>-3.9586300000000003E-3</v>
      </c>
      <c r="AA2158">
        <v>0.99456500000000003</v>
      </c>
      <c r="AB2158">
        <v>41</v>
      </c>
      <c r="AC2158">
        <v>-23.165900000000001</v>
      </c>
      <c r="AD2158">
        <v>-1.1083264279059999</v>
      </c>
      <c r="AE2158">
        <v>-1.9141999999999899</v>
      </c>
      <c r="AF2158">
        <v>-2.4592779704651702</v>
      </c>
      <c r="AG2158">
        <v>-1.1083264279059999</v>
      </c>
      <c r="AH2158">
        <v>23.0613662650916</v>
      </c>
      <c r="AI2158">
        <v>92.736021425684896</v>
      </c>
      <c r="AJ2158">
        <v>96.087051528122601</v>
      </c>
      <c r="AK2158">
        <v>23.218592757088299</v>
      </c>
      <c r="AL2158">
        <v>94.203991978528293</v>
      </c>
      <c r="AM2158">
        <v>92.793619360118797</v>
      </c>
      <c r="AN2158">
        <v>0.99999995894127502</v>
      </c>
    </row>
    <row r="2159" spans="1:40" x14ac:dyDescent="0.25">
      <c r="A2159" t="str">
        <f>"20190305135235575"</f>
        <v>20190305135235575</v>
      </c>
      <c r="B2159" t="str">
        <f>"1551765155572087"</f>
        <v>1551765155572087</v>
      </c>
      <c r="C2159" t="s">
        <v>40</v>
      </c>
      <c r="D2159">
        <v>4.3509469999999997</v>
      </c>
      <c r="E2159">
        <v>0.47936220000000002</v>
      </c>
      <c r="F2159" t="s">
        <v>56</v>
      </c>
      <c r="G2159">
        <v>-385.6782</v>
      </c>
      <c r="H2159" s="1">
        <v>1.484856E-6</v>
      </c>
      <c r="I2159">
        <v>282.68669999999997</v>
      </c>
      <c r="J2159">
        <v>-363.07709999999997</v>
      </c>
      <c r="K2159">
        <v>1.108403</v>
      </c>
      <c r="L2159">
        <v>284.54599999999999</v>
      </c>
      <c r="M2159">
        <v>-0.99961290000000003</v>
      </c>
      <c r="N2159">
        <v>-1.4163780000000001E-2</v>
      </c>
      <c r="O2159">
        <v>2.394955E-2</v>
      </c>
      <c r="P2159">
        <v>-0.9958245</v>
      </c>
      <c r="Q2159">
        <v>-8.8211510000000007E-2</v>
      </c>
      <c r="R2159">
        <v>-2.3504400000000002E-2</v>
      </c>
      <c r="S2159">
        <v>-2.9938660000000001</v>
      </c>
      <c r="T2159">
        <v>-0.14425660000000001</v>
      </c>
      <c r="U2159">
        <v>-0.24072270000000001</v>
      </c>
      <c r="V2159">
        <v>-4.7417229999999998E-2</v>
      </c>
      <c r="W2159">
        <v>-7.4067060000000004E-2</v>
      </c>
      <c r="X2159">
        <v>0.99612529999999999</v>
      </c>
      <c r="Y2159">
        <v>-0.10382959999999999</v>
      </c>
      <c r="Z2159">
        <v>-4.0462400000000004E-3</v>
      </c>
      <c r="AA2159">
        <v>0.99458690000000005</v>
      </c>
      <c r="AB2159">
        <v>41</v>
      </c>
      <c r="AC2159">
        <v>-22.601099999999999</v>
      </c>
      <c r="AD2159">
        <v>-1.1084015151440001</v>
      </c>
      <c r="AE2159">
        <v>-1.8593000000000099</v>
      </c>
      <c r="AF2159">
        <v>-2.39438697111488</v>
      </c>
      <c r="AG2159">
        <v>-1.1084015151440001</v>
      </c>
      <c r="AH2159">
        <v>22.496339652686</v>
      </c>
      <c r="AI2159">
        <v>92.804882501324897</v>
      </c>
      <c r="AJ2159">
        <v>96.075376085255698</v>
      </c>
      <c r="AK2159">
        <v>22.650539522387302</v>
      </c>
      <c r="AL2159">
        <v>94.247619818260404</v>
      </c>
      <c r="AM2159">
        <v>92.725317707214799</v>
      </c>
      <c r="AN2159">
        <v>0.99999996818900205</v>
      </c>
    </row>
    <row r="2160" spans="1:40" x14ac:dyDescent="0.25">
      <c r="A2160" t="str">
        <f>"20190305135235598"</f>
        <v>20190305135235598</v>
      </c>
      <c r="B2160" t="str">
        <f>"1551765155591607"</f>
        <v>1551765155591607</v>
      </c>
      <c r="C2160" t="s">
        <v>40</v>
      </c>
      <c r="D2160">
        <v>4.3631690000000001</v>
      </c>
      <c r="E2160">
        <v>0.47930030000000001</v>
      </c>
      <c r="F2160" t="s">
        <v>56</v>
      </c>
      <c r="G2160">
        <v>-385.14190000000002</v>
      </c>
      <c r="H2160" s="1">
        <v>1.1994680000000001E-6</v>
      </c>
      <c r="I2160">
        <v>282.78609999999998</v>
      </c>
      <c r="J2160">
        <v>-363.50479999999999</v>
      </c>
      <c r="K2160">
        <v>1.1084969999999901</v>
      </c>
      <c r="L2160">
        <v>284.55630000000002</v>
      </c>
      <c r="M2160">
        <v>-0.99961160000000004</v>
      </c>
      <c r="N2160">
        <v>-1.416164E-2</v>
      </c>
      <c r="O2160">
        <v>2.4009320000000001E-2</v>
      </c>
      <c r="P2160">
        <v>-0.99579740000000005</v>
      </c>
      <c r="Q2160">
        <v>-8.883257E-2</v>
      </c>
      <c r="R2160">
        <v>-2.2287310000000001E-2</v>
      </c>
      <c r="S2160">
        <v>-2.9936219999999998</v>
      </c>
      <c r="T2160">
        <v>-0.1503814</v>
      </c>
      <c r="U2160">
        <v>-0.2387695</v>
      </c>
      <c r="V2160">
        <v>-4.6241780000000003E-2</v>
      </c>
      <c r="W2160">
        <v>-7.4702119999999997E-2</v>
      </c>
      <c r="X2160">
        <v>0.99613309999999999</v>
      </c>
      <c r="Y2160">
        <v>-0.1032381</v>
      </c>
      <c r="Z2160">
        <v>-4.1844229999999996E-3</v>
      </c>
      <c r="AA2160">
        <v>0.99464790000000003</v>
      </c>
      <c r="AB2160">
        <v>41</v>
      </c>
      <c r="AC2160">
        <v>-21.6371</v>
      </c>
      <c r="AD2160">
        <v>-1.10849580053199</v>
      </c>
      <c r="AE2160">
        <v>-1.77020000000004</v>
      </c>
      <c r="AF2160">
        <v>-2.2832807297664601</v>
      </c>
      <c r="AG2160">
        <v>-1.10849580053199</v>
      </c>
      <c r="AH2160">
        <v>21.532217378518201</v>
      </c>
      <c r="AI2160">
        <v>92.930629165714706</v>
      </c>
      <c r="AJ2160">
        <v>96.053035959550897</v>
      </c>
      <c r="AK2160">
        <v>21.6812942202831</v>
      </c>
      <c r="AL2160">
        <v>94.284107321174901</v>
      </c>
      <c r="AM2160">
        <v>92.657835735150798</v>
      </c>
      <c r="AN2160">
        <v>0.99999993093283401</v>
      </c>
    </row>
    <row r="2161" spans="1:40" x14ac:dyDescent="0.25">
      <c r="A2161" t="str">
        <f>"20190305135235620"</f>
        <v>20190305135235620</v>
      </c>
      <c r="B2161" t="str">
        <f>"1551765155612103"</f>
        <v>1551765155612103</v>
      </c>
      <c r="C2161" t="s">
        <v>40</v>
      </c>
      <c r="D2161">
        <v>4.3611199999999997</v>
      </c>
      <c r="E2161">
        <v>0.4787689</v>
      </c>
      <c r="F2161" t="s">
        <v>56</v>
      </c>
      <c r="G2161">
        <v>-385.1524</v>
      </c>
      <c r="H2161" s="1">
        <v>1.205048E-6</v>
      </c>
      <c r="I2161">
        <v>282.8519</v>
      </c>
      <c r="J2161">
        <v>-363.899</v>
      </c>
      <c r="K2161">
        <v>1.10859</v>
      </c>
      <c r="L2161">
        <v>284.56580000000002</v>
      </c>
      <c r="M2161">
        <v>-0.99961290000000003</v>
      </c>
      <c r="N2161">
        <v>-1.4159669999999999E-2</v>
      </c>
      <c r="O2161">
        <v>2.3952169999999998E-2</v>
      </c>
      <c r="P2161">
        <v>-0.99576500000000001</v>
      </c>
      <c r="Q2161">
        <v>-8.9292780000000002E-2</v>
      </c>
      <c r="R2161">
        <v>-2.1884190000000001E-2</v>
      </c>
      <c r="S2161">
        <v>-2.9937130000000001</v>
      </c>
      <c r="T2161">
        <v>-0.15329770000000001</v>
      </c>
      <c r="U2161">
        <v>-0.23571780000000001</v>
      </c>
      <c r="V2161">
        <v>-4.5763239999999997E-2</v>
      </c>
      <c r="W2161">
        <v>-7.5176090000000001E-2</v>
      </c>
      <c r="X2161">
        <v>0.99611959999999999</v>
      </c>
      <c r="Y2161">
        <v>-0.1021663</v>
      </c>
      <c r="Z2161">
        <v>-4.2207059999999899E-3</v>
      </c>
      <c r="AA2161">
        <v>0.99475840000000004</v>
      </c>
      <c r="AB2161">
        <v>41</v>
      </c>
      <c r="AC2161">
        <v>-21.253399999999999</v>
      </c>
      <c r="AD2161">
        <v>-1.1085887949519999</v>
      </c>
      <c r="AE2161">
        <v>-1.71390000000002</v>
      </c>
      <c r="AF2161">
        <v>-2.2165326394680198</v>
      </c>
      <c r="AG2161">
        <v>-1.1085887949519999</v>
      </c>
      <c r="AH2161">
        <v>21.1490765764147</v>
      </c>
      <c r="AI2161">
        <v>92.984259351845793</v>
      </c>
      <c r="AJ2161">
        <v>95.983051715470197</v>
      </c>
      <c r="AK2161">
        <v>21.2937884391945</v>
      </c>
      <c r="AL2161">
        <v>94.311340133431997</v>
      </c>
      <c r="AM2161">
        <v>92.6304051530376</v>
      </c>
      <c r="AN2161">
        <v>0.99999998807357204</v>
      </c>
    </row>
    <row r="2162" spans="1:40" x14ac:dyDescent="0.25">
      <c r="A2162" t="str">
        <f>"20190305135235643"</f>
        <v>20190305135235643</v>
      </c>
      <c r="B2162" t="str">
        <f>"1551765155631624"</f>
        <v>1551765155631624</v>
      </c>
      <c r="C2162" t="s">
        <v>40</v>
      </c>
      <c r="D2162">
        <v>4.478866</v>
      </c>
      <c r="E2162">
        <v>0.47858919999999999</v>
      </c>
      <c r="F2162" t="s">
        <v>56</v>
      </c>
      <c r="G2162">
        <v>-384.85599999999999</v>
      </c>
      <c r="H2162" s="1">
        <v>1.0473530000000001E-6</v>
      </c>
      <c r="I2162">
        <v>282.89409999999998</v>
      </c>
      <c r="J2162">
        <v>-364.29509999999999</v>
      </c>
      <c r="K2162">
        <v>1.108703</v>
      </c>
      <c r="L2162">
        <v>284.57530000000003</v>
      </c>
      <c r="M2162">
        <v>-0.99961690000000003</v>
      </c>
      <c r="N2162">
        <v>-1.415783E-2</v>
      </c>
      <c r="O2162">
        <v>2.3784079999999999E-2</v>
      </c>
      <c r="P2162">
        <v>-0.99572510000000003</v>
      </c>
      <c r="Q2162">
        <v>-8.9629429999999996E-2</v>
      </c>
      <c r="R2162">
        <v>-2.2318279999999999E-2</v>
      </c>
      <c r="S2162">
        <v>-2.9933169999999998</v>
      </c>
      <c r="T2162">
        <v>-0.15834139999999999</v>
      </c>
      <c r="U2162">
        <v>-0.2387695</v>
      </c>
      <c r="V2162">
        <v>-4.6008529999999999E-2</v>
      </c>
      <c r="W2162">
        <v>-7.5527469999999999E-2</v>
      </c>
      <c r="X2162">
        <v>0.99608169999999996</v>
      </c>
      <c r="Y2162">
        <v>-0.1030042</v>
      </c>
      <c r="Z2162">
        <v>-4.3686469999999998E-3</v>
      </c>
      <c r="AA2162">
        <v>0.99467130000000004</v>
      </c>
      <c r="AB2162">
        <v>41</v>
      </c>
      <c r="AC2162">
        <v>-20.5609</v>
      </c>
      <c r="AD2162">
        <v>-1.1087019526470001</v>
      </c>
      <c r="AE2162">
        <v>-1.68120000000004</v>
      </c>
      <c r="AF2162">
        <v>-2.1635463132088502</v>
      </c>
      <c r="AG2162">
        <v>-1.1087019526470001</v>
      </c>
      <c r="AH2162">
        <v>20.456008407834901</v>
      </c>
      <c r="AI2162">
        <v>93.085182905946297</v>
      </c>
      <c r="AJ2162">
        <v>96.037488734491006</v>
      </c>
      <c r="AK2162">
        <v>20.599961957504</v>
      </c>
      <c r="AL2162">
        <v>94.331530210403898</v>
      </c>
      <c r="AM2162">
        <v>92.644584585142098</v>
      </c>
      <c r="AN2162">
        <v>0.99999996831612503</v>
      </c>
    </row>
    <row r="2163" spans="1:40" x14ac:dyDescent="0.25">
      <c r="A2163" t="str">
        <f>"20190305135235664"</f>
        <v>20190305135235664</v>
      </c>
      <c r="B2163" t="str">
        <f>"1551765155652119"</f>
        <v>1551765155652119</v>
      </c>
      <c r="C2163" t="s">
        <v>40</v>
      </c>
      <c r="D2163">
        <v>4.3546769999999997</v>
      </c>
      <c r="E2163">
        <v>0.47844550000000002</v>
      </c>
      <c r="F2163" t="s">
        <v>56</v>
      </c>
      <c r="G2163">
        <v>-384.73590000000002</v>
      </c>
      <c r="H2163" s="1">
        <v>9.8341000000000004E-7</v>
      </c>
      <c r="I2163">
        <v>282.92570000000001</v>
      </c>
      <c r="J2163">
        <v>-364.69720000000001</v>
      </c>
      <c r="K2163">
        <v>1.1088279999999999</v>
      </c>
      <c r="L2163">
        <v>284.5847</v>
      </c>
      <c r="M2163">
        <v>-0.9996235</v>
      </c>
      <c r="N2163">
        <v>-1.415602E-2</v>
      </c>
      <c r="O2163">
        <v>2.3508640000000001E-2</v>
      </c>
      <c r="P2163">
        <v>-0.99576160000000002</v>
      </c>
      <c r="Q2163">
        <v>-8.8930980000000007E-2</v>
      </c>
      <c r="R2163">
        <v>-2.345218E-2</v>
      </c>
      <c r="S2163">
        <v>-2.9928590000000002</v>
      </c>
      <c r="T2163">
        <v>-0.16233159999999999</v>
      </c>
      <c r="U2163">
        <v>-0.24151610000000001</v>
      </c>
      <c r="V2163">
        <v>-4.6847840000000002E-2</v>
      </c>
      <c r="W2163">
        <v>-7.4843699999999999E-2</v>
      </c>
      <c r="X2163">
        <v>0.99609420000000004</v>
      </c>
      <c r="Y2163">
        <v>-0.1036386</v>
      </c>
      <c r="Z2163">
        <v>-4.4797919999999998E-3</v>
      </c>
      <c r="AA2163">
        <v>0.99460490000000001</v>
      </c>
      <c r="AB2163">
        <v>41</v>
      </c>
      <c r="AC2163">
        <v>-20.038699999999999</v>
      </c>
      <c r="AD2163">
        <v>-1.10882701659</v>
      </c>
      <c r="AE2163">
        <v>-1.65899999999999</v>
      </c>
      <c r="AF2163">
        <v>-2.12321438674722</v>
      </c>
      <c r="AG2163">
        <v>-1.10882701659</v>
      </c>
      <c r="AH2163">
        <v>19.9335374730789</v>
      </c>
      <c r="AI2163">
        <v>93.165993192445498</v>
      </c>
      <c r="AJ2163">
        <v>96.0799178481751</v>
      </c>
      <c r="AK2163">
        <v>20.076938334204499</v>
      </c>
      <c r="AL2163">
        <v>94.2922418307584</v>
      </c>
      <c r="AM2163">
        <v>92.692724269262101</v>
      </c>
      <c r="AN2163">
        <v>0.99999997740799695</v>
      </c>
    </row>
    <row r="2164" spans="1:40" x14ac:dyDescent="0.25">
      <c r="A2164" t="str">
        <f>"20190305135235688"</f>
        <v>20190305135235688</v>
      </c>
      <c r="B2164" t="str">
        <f>"1551765155681399"</f>
        <v>1551765155681399</v>
      </c>
      <c r="C2164" t="s">
        <v>40</v>
      </c>
      <c r="D2164">
        <v>4.5783849999999999</v>
      </c>
      <c r="E2164">
        <v>0.4782979</v>
      </c>
      <c r="F2164" t="s">
        <v>56</v>
      </c>
      <c r="G2164">
        <v>-385.07850000000002</v>
      </c>
      <c r="H2164" s="1">
        <v>1.1657079999999999E-6</v>
      </c>
      <c r="I2164">
        <v>282.90960000000001</v>
      </c>
      <c r="J2164">
        <v>-365.11149999999998</v>
      </c>
      <c r="K2164">
        <v>1.1089500000000001</v>
      </c>
      <c r="L2164">
        <v>284.59410000000003</v>
      </c>
      <c r="M2164">
        <v>-0.99963239999999998</v>
      </c>
      <c r="N2164">
        <v>-1.4154160000000001E-2</v>
      </c>
      <c r="O2164">
        <v>2.312527E-2</v>
      </c>
      <c r="P2164">
        <v>-0.99578880000000003</v>
      </c>
      <c r="Q2164">
        <v>-8.8165510000000002E-2</v>
      </c>
      <c r="R2164">
        <v>-2.5133389999999999E-2</v>
      </c>
      <c r="S2164">
        <v>-2.992432</v>
      </c>
      <c r="T2164">
        <v>-0.162801</v>
      </c>
      <c r="U2164">
        <v>-0.2459412</v>
      </c>
      <c r="V2164">
        <v>-4.8126759999999998E-2</v>
      </c>
      <c r="W2164">
        <v>-7.4093519999999996E-2</v>
      </c>
      <c r="X2164">
        <v>0.99608929999999996</v>
      </c>
      <c r="Y2164">
        <v>-0.10472670000000001</v>
      </c>
      <c r="Z2164">
        <v>-4.5137689999999999E-3</v>
      </c>
      <c r="AA2164">
        <v>0.99449080000000001</v>
      </c>
      <c r="AB2164">
        <v>41</v>
      </c>
      <c r="AC2164">
        <v>-19.966999999999999</v>
      </c>
      <c r="AD2164">
        <v>-1.108948834292</v>
      </c>
      <c r="AE2164">
        <v>-1.6845000000000101</v>
      </c>
      <c r="AF2164">
        <v>-2.1392857616125598</v>
      </c>
      <c r="AG2164">
        <v>-1.108948834292</v>
      </c>
      <c r="AH2164">
        <v>19.861868095404599</v>
      </c>
      <c r="AI2164">
        <v>93.1773415456028</v>
      </c>
      <c r="AJ2164">
        <v>96.147524926692398</v>
      </c>
      <c r="AK2164">
        <v>20.007501476350502</v>
      </c>
      <c r="AL2164">
        <v>94.249140058958503</v>
      </c>
      <c r="AM2164">
        <v>92.766135075647298</v>
      </c>
      <c r="AN2164">
        <v>0.99999996415428805</v>
      </c>
    </row>
    <row r="2165" spans="1:40" x14ac:dyDescent="0.25">
      <c r="A2165" t="str">
        <f>"20190305135235711"</f>
        <v>20190305135235711</v>
      </c>
      <c r="B2165" t="str">
        <f>"1551765155701895"</f>
        <v>1551765155701895</v>
      </c>
      <c r="C2165" t="s">
        <v>40</v>
      </c>
      <c r="D2165">
        <v>4.4487290000000002</v>
      </c>
      <c r="E2165">
        <v>0.47791650000000002</v>
      </c>
      <c r="F2165" t="s">
        <v>56</v>
      </c>
      <c r="G2165">
        <v>-385.52379999999999</v>
      </c>
      <c r="H2165" s="1">
        <v>1.4027119999999901E-6</v>
      </c>
      <c r="I2165">
        <v>282.8734</v>
      </c>
      <c r="J2165">
        <v>-365.53089999999997</v>
      </c>
      <c r="K2165">
        <v>1.1090610000000001</v>
      </c>
      <c r="L2165">
        <v>284.60340000000002</v>
      </c>
      <c r="M2165">
        <v>-0.99964310000000001</v>
      </c>
      <c r="N2165">
        <v>-1.4152079999999999E-2</v>
      </c>
      <c r="O2165">
        <v>2.2659950000000002E-2</v>
      </c>
      <c r="P2165">
        <v>-0.99581839999999999</v>
      </c>
      <c r="Q2165">
        <v>-8.7275399999999906E-2</v>
      </c>
      <c r="R2165">
        <v>-2.6997879999999998E-2</v>
      </c>
      <c r="S2165">
        <v>-2.9919129999999998</v>
      </c>
      <c r="T2165">
        <v>-0.1625431</v>
      </c>
      <c r="U2165">
        <v>-0.25219730000000001</v>
      </c>
      <c r="V2165">
        <v>-4.9511149999999997E-2</v>
      </c>
      <c r="W2165">
        <v>-7.3217909999999997E-2</v>
      </c>
      <c r="X2165">
        <v>0.99608620000000003</v>
      </c>
      <c r="Y2165">
        <v>-0.1063409</v>
      </c>
      <c r="Z2165">
        <v>-4.5442130000000001E-3</v>
      </c>
      <c r="AA2165">
        <v>0.99431930000000002</v>
      </c>
      <c r="AB2165">
        <v>40</v>
      </c>
      <c r="AC2165">
        <v>-19.992899999999999</v>
      </c>
      <c r="AD2165">
        <v>-1.109059597288</v>
      </c>
      <c r="AE2165">
        <v>-1.73000000000001</v>
      </c>
      <c r="AF2165">
        <v>-2.1759929305097598</v>
      </c>
      <c r="AG2165">
        <v>-1.109059597288</v>
      </c>
      <c r="AH2165">
        <v>19.8878154590974</v>
      </c>
      <c r="AI2165">
        <v>93.172941495752298</v>
      </c>
      <c r="AJ2165">
        <v>96.244086843316097</v>
      </c>
      <c r="AK2165">
        <v>20.037219421842899</v>
      </c>
      <c r="AL2165">
        <v>94.198834642606201</v>
      </c>
      <c r="AM2165">
        <v>92.845584203162105</v>
      </c>
      <c r="AN2165">
        <v>0.99999996707476402</v>
      </c>
    </row>
    <row r="2166" spans="1:40" x14ac:dyDescent="0.25">
      <c r="A2166" t="str">
        <f>"20190305135235731"</f>
        <v>20190305135235731</v>
      </c>
      <c r="B2166" t="str">
        <f>"1551765155721415"</f>
        <v>1551765155721415</v>
      </c>
      <c r="C2166" t="s">
        <v>40</v>
      </c>
      <c r="D2166">
        <v>4.4210929999999999</v>
      </c>
      <c r="E2166">
        <v>0.47774290000000003</v>
      </c>
      <c r="F2166" t="s">
        <v>56</v>
      </c>
      <c r="G2166">
        <v>-385.9203</v>
      </c>
      <c r="H2166" s="1">
        <v>1.613696E-6</v>
      </c>
      <c r="I2166">
        <v>282.82839999999999</v>
      </c>
      <c r="J2166">
        <v>-365.90519999999998</v>
      </c>
      <c r="K2166">
        <v>1.1091329999999999</v>
      </c>
      <c r="L2166">
        <v>284.61149999999998</v>
      </c>
      <c r="M2166">
        <v>-0.99965349999999997</v>
      </c>
      <c r="N2166">
        <v>-1.4150019999999999E-2</v>
      </c>
      <c r="O2166">
        <v>2.219689E-2</v>
      </c>
      <c r="P2166">
        <v>-0.99578920000000004</v>
      </c>
      <c r="Q2166">
        <v>-8.7199620000000005E-2</v>
      </c>
      <c r="R2166">
        <v>-2.8291960000000001E-2</v>
      </c>
      <c r="S2166">
        <v>-2.9912719999999999</v>
      </c>
      <c r="T2166">
        <v>-0.162707399999999</v>
      </c>
      <c r="U2166">
        <v>-0.26040649999999999</v>
      </c>
      <c r="V2166">
        <v>-5.033116E-2</v>
      </c>
      <c r="W2166">
        <v>-7.3153869999999996E-2</v>
      </c>
      <c r="X2166">
        <v>0.99604979999999999</v>
      </c>
      <c r="Y2166">
        <v>-0.1086025</v>
      </c>
      <c r="Z2166">
        <v>-4.6076370000000004E-3</v>
      </c>
      <c r="AA2166">
        <v>0.99407460000000003</v>
      </c>
      <c r="AB2166">
        <v>40</v>
      </c>
      <c r="AC2166">
        <v>-20.0151</v>
      </c>
      <c r="AD2166">
        <v>-1.109131386304</v>
      </c>
      <c r="AE2166">
        <v>-1.7830999999999899</v>
      </c>
      <c r="AF2166">
        <v>-2.2202139043831601</v>
      </c>
      <c r="AG2166">
        <v>-1.109131386304</v>
      </c>
      <c r="AH2166">
        <v>19.909926595830399</v>
      </c>
      <c r="AI2166">
        <v>93.168905003225802</v>
      </c>
      <c r="AJ2166">
        <v>96.362931521128502</v>
      </c>
      <c r="AK2166">
        <v>20.064015033503502</v>
      </c>
      <c r="AL2166">
        <v>94.195155587621301</v>
      </c>
      <c r="AM2166">
        <v>92.892739271197897</v>
      </c>
      <c r="AN2166">
        <v>0.99999995922147999</v>
      </c>
    </row>
    <row r="2167" spans="1:40" x14ac:dyDescent="0.25">
      <c r="A2167" t="str">
        <f>"20190305135235753"</f>
        <v>20190305135235753</v>
      </c>
      <c r="B2167" t="str">
        <f>"1551765155741912"</f>
        <v>1551765155741912</v>
      </c>
      <c r="C2167" t="s">
        <v>40</v>
      </c>
      <c r="D2167">
        <v>4.4664469999999996</v>
      </c>
      <c r="E2167">
        <v>0.47739039999999999</v>
      </c>
      <c r="F2167" t="s">
        <v>56</v>
      </c>
      <c r="G2167">
        <v>-385.98329999999999</v>
      </c>
      <c r="H2167" s="1">
        <v>1.6472049999999901E-6</v>
      </c>
      <c r="I2167">
        <v>282.82709999999997</v>
      </c>
      <c r="J2167">
        <v>-366.30630000000002</v>
      </c>
      <c r="K2167">
        <v>1.109191</v>
      </c>
      <c r="L2167">
        <v>284.61989999999997</v>
      </c>
      <c r="M2167">
        <v>-0.99966529999999998</v>
      </c>
      <c r="N2167">
        <v>-1.414786E-2</v>
      </c>
      <c r="O2167">
        <v>2.1664019999999999E-2</v>
      </c>
      <c r="P2167">
        <v>-0.99572830000000001</v>
      </c>
      <c r="Q2167">
        <v>-8.7491040000000006E-2</v>
      </c>
      <c r="R2167">
        <v>-2.9505429999999999E-2</v>
      </c>
      <c r="S2167">
        <v>-2.9906619999999999</v>
      </c>
      <c r="T2167">
        <v>-0.16520689999999999</v>
      </c>
      <c r="U2167">
        <v>-0.2657776</v>
      </c>
      <c r="V2167">
        <v>-5.1002069999999997E-2</v>
      </c>
      <c r="W2167">
        <v>-7.3456060000000004E-2</v>
      </c>
      <c r="X2167">
        <v>0.99599349999999998</v>
      </c>
      <c r="Y2167">
        <v>-0.1098533</v>
      </c>
      <c r="Z2167">
        <v>-4.6933549999999997E-3</v>
      </c>
      <c r="AA2167">
        <v>0.99393670000000001</v>
      </c>
      <c r="AB2167">
        <v>40</v>
      </c>
      <c r="AC2167">
        <v>-19.6769999999999</v>
      </c>
      <c r="AD2167">
        <v>-1.1091893527949901</v>
      </c>
      <c r="AE2167">
        <v>-1.79279999999999</v>
      </c>
      <c r="AF2167">
        <v>-2.2117346499129802</v>
      </c>
      <c r="AG2167">
        <v>-1.1091893527949901</v>
      </c>
      <c r="AH2167">
        <v>19.571859172312902</v>
      </c>
      <c r="AI2167">
        <v>93.223163208463802</v>
      </c>
      <c r="AJ2167">
        <v>96.447406153884202</v>
      </c>
      <c r="AK2167">
        <v>19.7276390539473</v>
      </c>
      <c r="AL2167">
        <v>94.212516218197806</v>
      </c>
      <c r="AM2167">
        <v>92.931397832212099</v>
      </c>
      <c r="AN2167">
        <v>1.0000000279686201</v>
      </c>
    </row>
    <row r="2168" spans="1:40" x14ac:dyDescent="0.25">
      <c r="A2168" t="str">
        <f>"20190305135235767"</f>
        <v>20190305135235767</v>
      </c>
      <c r="B2168" t="str">
        <f>"1551765155761432"</f>
        <v>1551765155761432</v>
      </c>
      <c r="C2168" t="s">
        <v>40</v>
      </c>
      <c r="D2168">
        <v>4.7481159999999996</v>
      </c>
      <c r="E2168">
        <v>0.47847840000000003</v>
      </c>
      <c r="F2168" t="s">
        <v>56</v>
      </c>
      <c r="G2168">
        <v>-386.07339999999999</v>
      </c>
      <c r="H2168" s="1">
        <v>1.6951549999999999E-6</v>
      </c>
      <c r="I2168">
        <v>282.82170000000002</v>
      </c>
      <c r="J2168">
        <v>-366.54250000000002</v>
      </c>
      <c r="K2168">
        <v>1.109218</v>
      </c>
      <c r="L2168">
        <v>284.62479999999999</v>
      </c>
      <c r="M2168">
        <v>-0.99967229999999996</v>
      </c>
      <c r="N2168">
        <v>-1.4146489999999999E-2</v>
      </c>
      <c r="O2168">
        <v>2.1339339999999998E-2</v>
      </c>
      <c r="P2168">
        <v>-0.99569989999999997</v>
      </c>
      <c r="Q2168">
        <v>-8.7656209999999998E-2</v>
      </c>
      <c r="R2168">
        <v>-2.997321E-2</v>
      </c>
      <c r="S2168">
        <v>-2.9900509999999998</v>
      </c>
      <c r="T2168">
        <v>-0.16778100000000001</v>
      </c>
      <c r="U2168">
        <v>-0.2720032</v>
      </c>
      <c r="V2168">
        <v>-5.1140579999999998E-2</v>
      </c>
      <c r="W2168">
        <v>-7.3626520000000001E-2</v>
      </c>
      <c r="X2168">
        <v>0.99597380000000002</v>
      </c>
      <c r="Y2168">
        <v>-0.1115913</v>
      </c>
      <c r="Z2168">
        <v>-4.8069250000000001E-3</v>
      </c>
      <c r="AA2168">
        <v>0.99374260000000003</v>
      </c>
      <c r="AB2168">
        <v>40</v>
      </c>
      <c r="AC2168">
        <v>-19.5308999999999</v>
      </c>
      <c r="AD2168">
        <v>-1.1092163048449999</v>
      </c>
      <c r="AE2168">
        <v>-1.8030999999999699</v>
      </c>
      <c r="AF2168">
        <v>-2.2124317757982399</v>
      </c>
      <c r="AG2168">
        <v>-1.1092163048449999</v>
      </c>
      <c r="AH2168">
        <v>19.425843688844601</v>
      </c>
      <c r="AI2168">
        <v>93.247096075084201</v>
      </c>
      <c r="AJ2168">
        <v>96.497485643981193</v>
      </c>
      <c r="AK2168">
        <v>19.582865423551201</v>
      </c>
      <c r="AL2168">
        <v>94.222309421806401</v>
      </c>
      <c r="AM2168">
        <v>92.939402936201503</v>
      </c>
      <c r="AN2168">
        <v>1.0000000168282399</v>
      </c>
    </row>
    <row r="2169" spans="1:40" x14ac:dyDescent="0.25">
      <c r="A2169" t="str">
        <f>"20190305135235779"</f>
        <v>20190305135235779</v>
      </c>
      <c r="B2169" t="str">
        <f>"1551765155772168"</f>
        <v>1551765155772168</v>
      </c>
      <c r="C2169" t="s">
        <v>40</v>
      </c>
      <c r="D2169">
        <v>4.4815800000000001</v>
      </c>
      <c r="E2169">
        <v>0.47847840000000003</v>
      </c>
      <c r="F2169" t="s">
        <v>56</v>
      </c>
      <c r="G2169">
        <v>-386.47829999999999</v>
      </c>
      <c r="H2169" s="1">
        <v>1.910632E-6</v>
      </c>
      <c r="I2169">
        <v>282.85989999999998</v>
      </c>
      <c r="J2169">
        <v>-366.79809999999998</v>
      </c>
      <c r="K2169">
        <v>1.109246</v>
      </c>
      <c r="L2169">
        <v>284.63</v>
      </c>
      <c r="M2169">
        <v>-0.99968000000000001</v>
      </c>
      <c r="N2169">
        <v>-1.4145E-2</v>
      </c>
      <c r="O2169">
        <v>2.09798E-2</v>
      </c>
      <c r="P2169">
        <v>-0.99567910000000004</v>
      </c>
      <c r="Q2169">
        <v>-8.7767789999999998E-2</v>
      </c>
      <c r="R2169">
        <v>-3.0335620000000001E-2</v>
      </c>
      <c r="S2169">
        <v>-2.990326</v>
      </c>
      <c r="T2169">
        <v>-0.16638039999999901</v>
      </c>
      <c r="U2169">
        <v>-0.26473999999999998</v>
      </c>
      <c r="V2169">
        <v>-5.1140140000000001E-2</v>
      </c>
      <c r="W2169">
        <v>-7.3742769999999999E-2</v>
      </c>
      <c r="X2169">
        <v>0.99596519999999999</v>
      </c>
      <c r="Y2169">
        <v>-0.1088401</v>
      </c>
      <c r="Z2169">
        <v>-4.6600959999999999E-3</v>
      </c>
      <c r="AA2169">
        <v>0.99404840000000005</v>
      </c>
      <c r="AB2169">
        <v>40</v>
      </c>
      <c r="AC2169">
        <v>-19.680199999999999</v>
      </c>
      <c r="AD2169">
        <v>-1.109244089368</v>
      </c>
      <c r="AE2169">
        <v>-1.77010000000001</v>
      </c>
      <c r="AF2169">
        <v>-2.1757815855147502</v>
      </c>
      <c r="AG2169">
        <v>-1.109244089368</v>
      </c>
      <c r="AH2169">
        <v>19.577033468222702</v>
      </c>
      <c r="AI2169">
        <v>93.223136129571301</v>
      </c>
      <c r="AJ2169">
        <v>96.341798105097297</v>
      </c>
      <c r="AK2169">
        <v>19.728778152069498</v>
      </c>
      <c r="AL2169">
        <v>94.228988304948999</v>
      </c>
      <c r="AM2169">
        <v>92.939403027252695</v>
      </c>
      <c r="AN2169">
        <v>0.999999994828766</v>
      </c>
    </row>
    <row r="2170" spans="1:40" x14ac:dyDescent="0.25">
      <c r="A2170" t="str">
        <f>"20190305135235794"</f>
        <v>20190305135235794</v>
      </c>
      <c r="B2170" t="str">
        <f>"1551765155791687"</f>
        <v>1551765155791687</v>
      </c>
      <c r="C2170" t="s">
        <v>40</v>
      </c>
      <c r="D2170">
        <v>4.4899620000000002</v>
      </c>
      <c r="E2170">
        <v>0.53425389999999995</v>
      </c>
      <c r="F2170" t="s">
        <v>56</v>
      </c>
      <c r="G2170">
        <v>-386.69540000000001</v>
      </c>
      <c r="H2170" s="1">
        <v>2.0261949999999998E-6</v>
      </c>
      <c r="I2170">
        <v>282.86009999999999</v>
      </c>
      <c r="J2170">
        <v>-367.04289999999997</v>
      </c>
      <c r="K2170">
        <v>1.1092679999999999</v>
      </c>
      <c r="L2170">
        <v>284.63490000000002</v>
      </c>
      <c r="M2170">
        <v>-0.9996872</v>
      </c>
      <c r="N2170">
        <v>-1.4143620000000001E-2</v>
      </c>
      <c r="O2170">
        <v>2.0633140000000001E-2</v>
      </c>
      <c r="P2170">
        <v>-0.99563449999999998</v>
      </c>
      <c r="Q2170">
        <v>-8.8090699999999994E-2</v>
      </c>
      <c r="R2170">
        <v>-3.0854880000000001E-2</v>
      </c>
      <c r="S2170">
        <v>-2.9902340000000001</v>
      </c>
      <c r="T2170">
        <v>-0.1667006</v>
      </c>
      <c r="U2170">
        <v>-0.26599119999999998</v>
      </c>
      <c r="V2170">
        <v>-5.1309380000000002E-2</v>
      </c>
      <c r="W2170">
        <v>-7.4070289999999997E-2</v>
      </c>
      <c r="X2170">
        <v>0.99593220000000005</v>
      </c>
      <c r="Y2170">
        <v>-0.108910199999999</v>
      </c>
      <c r="Z2170">
        <v>-4.6562189999999996E-3</v>
      </c>
      <c r="AA2170">
        <v>0.9940407</v>
      </c>
      <c r="AB2170">
        <v>40</v>
      </c>
      <c r="AC2170">
        <v>-19.6525</v>
      </c>
      <c r="AD2170">
        <v>-1.1092659738049999</v>
      </c>
      <c r="AE2170">
        <v>-1.7748000000000199</v>
      </c>
      <c r="AF2170">
        <v>-2.17308809687403</v>
      </c>
      <c r="AG2170">
        <v>-1.1092659738049999</v>
      </c>
      <c r="AH2170">
        <v>19.5499113523185</v>
      </c>
      <c r="AI2170">
        <v>93.227655965046196</v>
      </c>
      <c r="AJ2170">
        <v>96.342726958124302</v>
      </c>
      <c r="AK2170">
        <v>19.701568890850499</v>
      </c>
      <c r="AL2170">
        <v>94.247805242403203</v>
      </c>
      <c r="AM2170">
        <v>92.9492109070341</v>
      </c>
      <c r="AN2170">
        <v>1.00000000366675</v>
      </c>
    </row>
    <row r="2171" spans="1:40" x14ac:dyDescent="0.25">
      <c r="A2171" t="str">
        <f>"20190305135235810"</f>
        <v>20190305135235810</v>
      </c>
      <c r="B2171" t="str">
        <f>"1551765155801447"</f>
        <v>1551765155801447</v>
      </c>
      <c r="C2171" t="s">
        <v>40</v>
      </c>
      <c r="D2171">
        <v>4.4550850000000004</v>
      </c>
      <c r="E2171">
        <v>0.53569500000000003</v>
      </c>
      <c r="F2171" t="s">
        <v>56</v>
      </c>
      <c r="G2171">
        <v>-394.98590000000002</v>
      </c>
      <c r="H2171" s="1">
        <v>1.1164780000000001E-6</v>
      </c>
      <c r="I2171">
        <v>286.2681</v>
      </c>
      <c r="J2171">
        <v>-367.32139999999998</v>
      </c>
      <c r="K2171">
        <v>1.1092839999999999</v>
      </c>
      <c r="L2171">
        <v>284.64030000000002</v>
      </c>
      <c r="M2171">
        <v>-0.99969520000000001</v>
      </c>
      <c r="N2171">
        <v>-1.414204E-2</v>
      </c>
      <c r="O2171">
        <v>2.023821E-2</v>
      </c>
      <c r="P2171">
        <v>-0.99563100000000004</v>
      </c>
      <c r="Q2171">
        <v>-8.8034470000000004E-2</v>
      </c>
      <c r="R2171">
        <v>-3.1129210000000001E-2</v>
      </c>
      <c r="S2171">
        <v>-3.0080260000000001</v>
      </c>
      <c r="T2171">
        <v>-0.11941110000000001</v>
      </c>
      <c r="U2171">
        <v>0.17581179999999999</v>
      </c>
      <c r="V2171">
        <v>-5.1186589999999997E-2</v>
      </c>
      <c r="W2171">
        <v>-7.4017929999999996E-2</v>
      </c>
      <c r="X2171">
        <v>0.99594240000000001</v>
      </c>
      <c r="Y2171">
        <v>3.8096270000000002E-2</v>
      </c>
      <c r="Z2171">
        <v>5.0870639999999996E-4</v>
      </c>
      <c r="AA2171">
        <v>0.999274</v>
      </c>
      <c r="AB2171">
        <v>40</v>
      </c>
      <c r="AC2171">
        <v>-27.6645</v>
      </c>
      <c r="AD2171">
        <v>-1.1092828835220001</v>
      </c>
      <c r="AE2171">
        <v>1.6277999999999699</v>
      </c>
      <c r="AF2171">
        <v>1.06582285795391</v>
      </c>
      <c r="AG2171">
        <v>-1.1092828835220001</v>
      </c>
      <c r="AH2171">
        <v>27.647480896714502</v>
      </c>
      <c r="AI2171">
        <v>92.295907416577194</v>
      </c>
      <c r="AJ2171">
        <v>87.792315066483198</v>
      </c>
      <c r="AK2171">
        <v>27.690245336840299</v>
      </c>
      <c r="AL2171">
        <v>94.244797024941207</v>
      </c>
      <c r="AM2171">
        <v>92.942135398850795</v>
      </c>
      <c r="AN2171">
        <v>0.99999999253753602</v>
      </c>
    </row>
    <row r="2172" spans="1:40" x14ac:dyDescent="0.25">
      <c r="A2172" t="str">
        <f>"20190305135235831"</f>
        <v>20190305135235831</v>
      </c>
      <c r="B2172" t="str">
        <f>"1551765155821943"</f>
        <v>1551765155821943</v>
      </c>
      <c r="C2172" t="s">
        <v>40</v>
      </c>
      <c r="D2172">
        <v>4.4233789999999997</v>
      </c>
      <c r="E2172">
        <v>0.53581630000000002</v>
      </c>
      <c r="F2172" t="s">
        <v>56</v>
      </c>
      <c r="G2172">
        <v>-396.20859999999999</v>
      </c>
      <c r="H2172" s="1">
        <v>1.7671209999999999E-6</v>
      </c>
      <c r="I2172">
        <v>286.42880000000002</v>
      </c>
      <c r="J2172">
        <v>-367.71480000000003</v>
      </c>
      <c r="K2172">
        <v>1.109307</v>
      </c>
      <c r="L2172">
        <v>284.64780000000002</v>
      </c>
      <c r="M2172">
        <v>-0.9997064</v>
      </c>
      <c r="N2172">
        <v>-1.413966E-2</v>
      </c>
      <c r="O2172">
        <v>1.968E-2</v>
      </c>
      <c r="P2172">
        <v>-0.99558999999999997</v>
      </c>
      <c r="Q2172">
        <v>-8.8361460000000003E-2</v>
      </c>
      <c r="R2172">
        <v>-3.1511940000000002E-2</v>
      </c>
      <c r="S2172">
        <v>-3.008759</v>
      </c>
      <c r="T2172">
        <v>-0.1155379</v>
      </c>
      <c r="U2172">
        <v>0.18627930000000001</v>
      </c>
      <c r="V2172">
        <v>-5.100818E-2</v>
      </c>
      <c r="W2172">
        <v>-7.4350479999999997E-2</v>
      </c>
      <c r="X2172">
        <v>0.9959268</v>
      </c>
      <c r="Y2172">
        <v>4.2101140000000002E-2</v>
      </c>
      <c r="Z2172">
        <v>6.2881679999999998E-4</v>
      </c>
      <c r="AA2172">
        <v>0.99911309999999998</v>
      </c>
      <c r="AB2172">
        <v>40</v>
      </c>
      <c r="AC2172">
        <v>-28.493799999999901</v>
      </c>
      <c r="AD2172">
        <v>-1.1093052328790001</v>
      </c>
      <c r="AE2172">
        <v>1.7809999999999999</v>
      </c>
      <c r="AF2172">
        <v>1.21800209851167</v>
      </c>
      <c r="AG2172">
        <v>-1.1093052328790001</v>
      </c>
      <c r="AH2172">
        <v>28.480335610257999</v>
      </c>
      <c r="AI2172">
        <v>92.228500429437005</v>
      </c>
      <c r="AJ2172">
        <v>87.551156643537297</v>
      </c>
      <c r="AK2172">
        <v>28.527944259700899</v>
      </c>
      <c r="AL2172">
        <v>94.263903310139796</v>
      </c>
      <c r="AM2172">
        <v>92.931944403097106</v>
      </c>
      <c r="AN2172">
        <v>1.00000000963069</v>
      </c>
    </row>
    <row r="2173" spans="1:40" x14ac:dyDescent="0.25">
      <c r="A2173" t="str">
        <f>"20190305135235844"</f>
        <v>20190305135235844</v>
      </c>
      <c r="B2173" t="str">
        <f>"1551765155841463"</f>
        <v>1551765155841463</v>
      </c>
      <c r="C2173" t="s">
        <v>40</v>
      </c>
      <c r="D2173">
        <v>4.5014240000000001</v>
      </c>
      <c r="E2173">
        <v>0.53566559999999996</v>
      </c>
      <c r="F2173" t="s">
        <v>56</v>
      </c>
      <c r="G2173">
        <v>-397.7004</v>
      </c>
      <c r="H2173" s="1">
        <v>2.56101E-6</v>
      </c>
      <c r="I2173">
        <v>286.50310000000002</v>
      </c>
      <c r="J2173">
        <v>-367.94749999999999</v>
      </c>
      <c r="K2173">
        <v>1.109318</v>
      </c>
      <c r="L2173">
        <v>284.65219999999999</v>
      </c>
      <c r="M2173">
        <v>-0.99971279999999996</v>
      </c>
      <c r="N2173">
        <v>-1.413817E-2</v>
      </c>
      <c r="O2173">
        <v>1.9350280000000001E-2</v>
      </c>
      <c r="P2173">
        <v>-0.99555870000000002</v>
      </c>
      <c r="Q2173">
        <v>-8.8655899999999996E-2</v>
      </c>
      <c r="R2173">
        <v>-3.1675950000000001E-2</v>
      </c>
      <c r="S2173">
        <v>-3.009277</v>
      </c>
      <c r="T2173">
        <v>-0.11132690000000001</v>
      </c>
      <c r="U2173">
        <v>0.18618770000000001</v>
      </c>
      <c r="V2173">
        <v>-5.0840360000000001E-2</v>
      </c>
      <c r="W2173">
        <v>-7.4648060000000002E-2</v>
      </c>
      <c r="X2173">
        <v>0.9959131</v>
      </c>
      <c r="Y2173">
        <v>4.2391379999999999E-2</v>
      </c>
      <c r="Z2173">
        <v>6.4175899999999999E-4</v>
      </c>
      <c r="AA2173">
        <v>0.99910089999999996</v>
      </c>
      <c r="AB2173">
        <v>40</v>
      </c>
      <c r="AC2173">
        <v>-29.7529</v>
      </c>
      <c r="AD2173">
        <v>-1.10931543899</v>
      </c>
      <c r="AE2173">
        <v>1.85090000000002</v>
      </c>
      <c r="AF2173">
        <v>1.27300607911995</v>
      </c>
      <c r="AG2173">
        <v>-1.10931543899</v>
      </c>
      <c r="AH2173">
        <v>29.7419617040498</v>
      </c>
      <c r="AI2173">
        <v>92.134075275376503</v>
      </c>
      <c r="AJ2173">
        <v>87.549140002890198</v>
      </c>
      <c r="AK2173">
        <v>29.789854165904</v>
      </c>
      <c r="AL2173">
        <v>94.281000990021099</v>
      </c>
      <c r="AM2173">
        <v>92.922355006941601</v>
      </c>
      <c r="AN2173">
        <v>0.99999998890915098</v>
      </c>
    </row>
    <row r="2174" spans="1:40" x14ac:dyDescent="0.25">
      <c r="A2174" t="str">
        <f>"20190305135235858"</f>
        <v>20190305135235858</v>
      </c>
      <c r="B2174" t="str">
        <f>"1551765155852200"</f>
        <v>1551765155852200</v>
      </c>
      <c r="C2174" t="s">
        <v>40</v>
      </c>
      <c r="D2174">
        <v>4.5004780000000002</v>
      </c>
      <c r="E2174">
        <v>0.53573549999999903</v>
      </c>
      <c r="F2174" t="s">
        <v>56</v>
      </c>
      <c r="G2174">
        <v>-397.77530000000002</v>
      </c>
      <c r="H2174" s="1">
        <v>2.6008390000000002E-6</v>
      </c>
      <c r="I2174">
        <v>286.47919999999999</v>
      </c>
      <c r="J2174">
        <v>-368.1746</v>
      </c>
      <c r="K2174">
        <v>1.1093299999999999</v>
      </c>
      <c r="L2174">
        <v>284.65629999999999</v>
      </c>
      <c r="M2174">
        <v>-0.99971920000000003</v>
      </c>
      <c r="N2174">
        <v>-1.4136950000000001E-2</v>
      </c>
      <c r="O2174">
        <v>1.9027019999999999E-2</v>
      </c>
      <c r="P2174">
        <v>-0.99552739999999995</v>
      </c>
      <c r="Q2174">
        <v>-8.8935639999999996E-2</v>
      </c>
      <c r="R2174">
        <v>-3.1877450000000002E-2</v>
      </c>
      <c r="S2174">
        <v>-3.0093079999999999</v>
      </c>
      <c r="T2174">
        <v>-0.11191810000000001</v>
      </c>
      <c r="U2174">
        <v>0.1843262</v>
      </c>
      <c r="V2174">
        <v>-5.0717699999999998E-2</v>
      </c>
      <c r="W2174">
        <v>-7.4930650000000001E-2</v>
      </c>
      <c r="X2174">
        <v>0.99589810000000001</v>
      </c>
      <c r="Y2174">
        <v>4.2098030000000002E-2</v>
      </c>
      <c r="Z2174">
        <v>6.4198149999999997E-4</v>
      </c>
      <c r="AA2174">
        <v>0.99911329999999998</v>
      </c>
      <c r="AB2174">
        <v>40</v>
      </c>
      <c r="AC2174">
        <v>-29.6007</v>
      </c>
      <c r="AD2174">
        <v>-1.109327399161</v>
      </c>
      <c r="AE2174">
        <v>1.8229</v>
      </c>
      <c r="AF2174">
        <v>1.25754111801591</v>
      </c>
      <c r="AG2174">
        <v>-1.109327399161</v>
      </c>
      <c r="AH2174">
        <v>29.588628500813101</v>
      </c>
      <c r="AI2174">
        <v>92.145174661453396</v>
      </c>
      <c r="AJ2174">
        <v>87.566346723002695</v>
      </c>
      <c r="AK2174">
        <v>29.636108946708301</v>
      </c>
      <c r="AL2174">
        <v>94.297237817358806</v>
      </c>
      <c r="AM2174">
        <v>92.915360398506905</v>
      </c>
      <c r="AN2174">
        <v>0.99999995649315998</v>
      </c>
    </row>
    <row r="2175" spans="1:40" x14ac:dyDescent="0.25">
      <c r="A2175" t="str">
        <f>"20190305135235869"</f>
        <v>20190305135235869</v>
      </c>
      <c r="B2175" t="str">
        <f>"1551765155861960"</f>
        <v>1551765155861960</v>
      </c>
      <c r="C2175" t="s">
        <v>40</v>
      </c>
      <c r="D2175">
        <v>4.5068599999999996</v>
      </c>
      <c r="E2175">
        <v>0.53575779999999995</v>
      </c>
      <c r="F2175" t="s">
        <v>56</v>
      </c>
      <c r="G2175">
        <v>-398.0958</v>
      </c>
      <c r="H2175" s="1">
        <v>2.7713800000000001E-6</v>
      </c>
      <c r="I2175">
        <v>286.4905</v>
      </c>
      <c r="J2175">
        <v>-368.39569999999998</v>
      </c>
      <c r="K2175">
        <v>1.1093420000000001</v>
      </c>
      <c r="L2175">
        <v>284.66019999999997</v>
      </c>
      <c r="M2175">
        <v>-0.99972499999999997</v>
      </c>
      <c r="N2175">
        <v>-1.4135740000000001E-2</v>
      </c>
      <c r="O2175">
        <v>1.8710009999999999E-2</v>
      </c>
      <c r="P2175">
        <v>-0.99547730000000001</v>
      </c>
      <c r="Q2175">
        <v>-8.9498090000000002E-2</v>
      </c>
      <c r="R2175">
        <v>-3.1861840000000002E-2</v>
      </c>
      <c r="S2175">
        <v>-3.00943</v>
      </c>
      <c r="T2175">
        <v>-0.1115746</v>
      </c>
      <c r="U2175">
        <v>0.1844788</v>
      </c>
      <c r="V2175">
        <v>-5.038219E-2</v>
      </c>
      <c r="W2175">
        <v>-7.549583E-2</v>
      </c>
      <c r="X2175">
        <v>0.99587250000000005</v>
      </c>
      <c r="Y2175">
        <v>4.2462560000000003E-2</v>
      </c>
      <c r="Z2175">
        <v>6.5828289999999895E-4</v>
      </c>
      <c r="AA2175">
        <v>0.99909780000000004</v>
      </c>
      <c r="AB2175">
        <v>40</v>
      </c>
      <c r="AC2175">
        <v>-29.700099999999999</v>
      </c>
      <c r="AD2175">
        <v>-1.1093392286199999</v>
      </c>
      <c r="AE2175">
        <v>1.83030000000002</v>
      </c>
      <c r="AF2175">
        <v>1.2724663078367</v>
      </c>
      <c r="AG2175">
        <v>-1.1093392286199999</v>
      </c>
      <c r="AH2175">
        <v>29.687886792903299</v>
      </c>
      <c r="AI2175">
        <v>92.137999123919499</v>
      </c>
      <c r="AJ2175">
        <v>87.545721163766501</v>
      </c>
      <c r="AK2175">
        <v>29.735844132241802</v>
      </c>
      <c r="AL2175">
        <v>94.329711996811099</v>
      </c>
      <c r="AM2175">
        <v>92.8961818386571</v>
      </c>
      <c r="AN2175">
        <v>1.00000001083641</v>
      </c>
    </row>
    <row r="2176" spans="1:40" x14ac:dyDescent="0.25">
      <c r="A2176" t="str">
        <f>"20190305135235882"</f>
        <v>20190305135235882</v>
      </c>
      <c r="B2176" t="str">
        <f>"1551765155871720"</f>
        <v>1551765155871720</v>
      </c>
      <c r="C2176" t="s">
        <v>40</v>
      </c>
      <c r="D2176">
        <v>4.4850370000000002</v>
      </c>
      <c r="E2176">
        <v>0.53570490000000004</v>
      </c>
      <c r="F2176" t="s">
        <v>56</v>
      </c>
      <c r="G2176">
        <v>-398.06259999999997</v>
      </c>
      <c r="H2176" s="1">
        <v>2.7537029999999999E-6</v>
      </c>
      <c r="I2176">
        <v>286.47919999999999</v>
      </c>
      <c r="J2176">
        <v>-368.61860000000001</v>
      </c>
      <c r="K2176">
        <v>1.109351</v>
      </c>
      <c r="L2176">
        <v>284.66419999999999</v>
      </c>
      <c r="M2176">
        <v>-0.99973109999999998</v>
      </c>
      <c r="N2176">
        <v>-1.413446E-2</v>
      </c>
      <c r="O2176">
        <v>1.8385309999999998E-2</v>
      </c>
      <c r="P2176">
        <v>-0.99546429999999997</v>
      </c>
      <c r="Q2176">
        <v>-8.9694129999999997E-2</v>
      </c>
      <c r="R2176">
        <v>-3.1717429999999998E-2</v>
      </c>
      <c r="S2176">
        <v>-3.0093990000000002</v>
      </c>
      <c r="T2176">
        <v>-0.112531199999999</v>
      </c>
      <c r="U2176">
        <v>0.18450929999999999</v>
      </c>
      <c r="V2176">
        <v>-4.9911780000000003E-2</v>
      </c>
      <c r="W2176">
        <v>-7.5693969999999999E-2</v>
      </c>
      <c r="X2176">
        <v>0.99588109999999996</v>
      </c>
      <c r="Y2176">
        <v>4.2796910000000001E-2</v>
      </c>
      <c r="Z2176">
        <v>6.7517879999999997E-4</v>
      </c>
      <c r="AA2176">
        <v>0.99908359999999996</v>
      </c>
      <c r="AB2176">
        <v>40</v>
      </c>
      <c r="AC2176">
        <v>-29.4439999999999</v>
      </c>
      <c r="AD2176">
        <v>-1.1093482462969999</v>
      </c>
      <c r="AE2176">
        <v>1.81499999999999</v>
      </c>
      <c r="AF2176">
        <v>1.27150393389784</v>
      </c>
      <c r="AG2176">
        <v>-1.1093482462969999</v>
      </c>
      <c r="AH2176">
        <v>29.430775437241401</v>
      </c>
      <c r="AI2176">
        <v>92.156645308441497</v>
      </c>
      <c r="AJ2176">
        <v>87.526176858307394</v>
      </c>
      <c r="AK2176">
        <v>29.479109868223901</v>
      </c>
      <c r="AL2176">
        <v>94.341097363075804</v>
      </c>
      <c r="AM2176">
        <v>92.869161338995994</v>
      </c>
      <c r="AN2176">
        <v>0.99999996410716896</v>
      </c>
    </row>
    <row r="2177" spans="1:40" x14ac:dyDescent="0.25">
      <c r="A2177" t="str">
        <f>"20190305135235901"</f>
        <v>20190305135235901</v>
      </c>
      <c r="B2177" t="str">
        <f>"1551765155892215"</f>
        <v>1551765155892215</v>
      </c>
      <c r="C2177" t="s">
        <v>40</v>
      </c>
      <c r="D2177">
        <v>4.5040519999999997</v>
      </c>
      <c r="E2177">
        <v>0.53553409999999901</v>
      </c>
      <c r="F2177" t="s">
        <v>56</v>
      </c>
      <c r="G2177">
        <v>-398.14580000000001</v>
      </c>
      <c r="H2177" s="1">
        <v>2.7979719999999998E-6</v>
      </c>
      <c r="I2177">
        <v>286.47550000000001</v>
      </c>
      <c r="J2177">
        <v>-368.94569999999999</v>
      </c>
      <c r="K2177">
        <v>1.1093740000000001</v>
      </c>
      <c r="L2177">
        <v>284.66980000000001</v>
      </c>
      <c r="M2177">
        <v>-0.99973999999999996</v>
      </c>
      <c r="N2177">
        <v>-1.413244E-2</v>
      </c>
      <c r="O2177">
        <v>1.789632E-2</v>
      </c>
      <c r="P2177">
        <v>-0.99547370000000002</v>
      </c>
      <c r="Q2177">
        <v>-8.9525389999999996E-2</v>
      </c>
      <c r="R2177">
        <v>-3.1896290000000001E-2</v>
      </c>
      <c r="S2177">
        <v>-3.0093079999999999</v>
      </c>
      <c r="T2177">
        <v>-0.1130612</v>
      </c>
      <c r="U2177">
        <v>0.18460080000000001</v>
      </c>
      <c r="V2177">
        <v>-4.960088E-2</v>
      </c>
      <c r="W2177">
        <v>-7.5528899999999996E-2</v>
      </c>
      <c r="X2177">
        <v>0.99590919999999905</v>
      </c>
      <c r="Y2177">
        <v>4.3316819999999999E-2</v>
      </c>
      <c r="Z2177">
        <v>7.0050039999999998E-4</v>
      </c>
      <c r="AA2177">
        <v>0.99906119999999998</v>
      </c>
      <c r="AB2177">
        <v>40</v>
      </c>
      <c r="AC2177">
        <v>-29.200099999999999</v>
      </c>
      <c r="AD2177">
        <v>-1.109371202028</v>
      </c>
      <c r="AE2177">
        <v>1.8057000000000001</v>
      </c>
      <c r="AF2177">
        <v>1.2809423852867801</v>
      </c>
      <c r="AG2177">
        <v>-1.109371202028</v>
      </c>
      <c r="AH2177">
        <v>29.1857751120877</v>
      </c>
      <c r="AI2177">
        <v>92.174712153913106</v>
      </c>
      <c r="AJ2177">
        <v>87.486942800670505</v>
      </c>
      <c r="AK2177">
        <v>29.234927514048501</v>
      </c>
      <c r="AL2177">
        <v>94.331612247776604</v>
      </c>
      <c r="AM2177">
        <v>92.851238626808396</v>
      </c>
      <c r="AN2177">
        <v>0.99999999833831199</v>
      </c>
    </row>
    <row r="2178" spans="1:40" x14ac:dyDescent="0.25">
      <c r="A2178" t="str">
        <f>"20190305135235922"</f>
        <v>20190305135235922</v>
      </c>
      <c r="B2178" t="str">
        <f>"1551765155911735"</f>
        <v>1551765155911735</v>
      </c>
      <c r="C2178" t="s">
        <v>40</v>
      </c>
      <c r="D2178">
        <v>4.5637019999999904</v>
      </c>
      <c r="E2178">
        <v>0.53510849999999999</v>
      </c>
      <c r="F2178" t="s">
        <v>56</v>
      </c>
      <c r="G2178">
        <v>-398.44720000000001</v>
      </c>
      <c r="H2178" s="1">
        <v>2.9583889999999998E-6</v>
      </c>
      <c r="I2178">
        <v>286.45940000000002</v>
      </c>
      <c r="J2178">
        <v>-369.33800000000002</v>
      </c>
      <c r="K2178">
        <v>1.109399</v>
      </c>
      <c r="L2178">
        <v>284.67630000000003</v>
      </c>
      <c r="M2178">
        <v>-0.99975080000000005</v>
      </c>
      <c r="N2178">
        <v>-1.413027E-2</v>
      </c>
      <c r="O2178">
        <v>1.7287999999999901E-2</v>
      </c>
      <c r="P2178">
        <v>-0.99548080000000005</v>
      </c>
      <c r="Q2178">
        <v>-8.9222759999999998E-2</v>
      </c>
      <c r="R2178">
        <v>-3.251706E-2</v>
      </c>
      <c r="S2178">
        <v>-3.0093079999999999</v>
      </c>
      <c r="T2178">
        <v>-0.1131616</v>
      </c>
      <c r="U2178">
        <v>0.1825562</v>
      </c>
      <c r="V2178">
        <v>-4.961198E-2</v>
      </c>
      <c r="W2178">
        <v>-7.5231430000000002E-2</v>
      </c>
      <c r="X2178">
        <v>0.99593109999999996</v>
      </c>
      <c r="Y2178">
        <v>4.3248269999999998E-2</v>
      </c>
      <c r="Z2178">
        <v>7.1301579999999995E-4</v>
      </c>
      <c r="AA2178">
        <v>0.99906410000000001</v>
      </c>
      <c r="AB2178">
        <v>40</v>
      </c>
      <c r="AC2178">
        <v>-29.109199999999898</v>
      </c>
      <c r="AD2178">
        <v>-1.109396041611</v>
      </c>
      <c r="AE2178">
        <v>1.7830999999999899</v>
      </c>
      <c r="AF2178">
        <v>1.27769451999974</v>
      </c>
      <c r="AG2178">
        <v>-1.109396041611</v>
      </c>
      <c r="AH2178">
        <v>29.0935779934902</v>
      </c>
      <c r="AI2178">
        <v>92.1816433148242</v>
      </c>
      <c r="AJ2178">
        <v>87.485373095891902</v>
      </c>
      <c r="AK2178">
        <v>29.142744265543602</v>
      </c>
      <c r="AL2178">
        <v>94.314520110245894</v>
      </c>
      <c r="AM2178">
        <v>92.851813034139496</v>
      </c>
      <c r="AN2178">
        <v>0.99999993628328498</v>
      </c>
    </row>
    <row r="2179" spans="1:40" x14ac:dyDescent="0.25">
      <c r="A2179" t="str">
        <f>"20190305135235943"</f>
        <v>20190305135235943</v>
      </c>
      <c r="B2179" t="str">
        <f>"1551765155941991"</f>
        <v>1551765155941991</v>
      </c>
      <c r="C2179" t="s">
        <v>40</v>
      </c>
      <c r="D2179">
        <v>4.5427920000000004</v>
      </c>
      <c r="E2179">
        <v>0.53535919999999904</v>
      </c>
      <c r="F2179" t="s">
        <v>56</v>
      </c>
      <c r="G2179">
        <v>-398.16849999999999</v>
      </c>
      <c r="H2179" s="1">
        <v>2.8100920000000002E-6</v>
      </c>
      <c r="I2179">
        <v>286.37630000000001</v>
      </c>
      <c r="J2179">
        <v>-369.72089999999997</v>
      </c>
      <c r="K2179">
        <v>1.109432</v>
      </c>
      <c r="L2179">
        <v>284.6823</v>
      </c>
      <c r="M2179">
        <v>-0.99976140000000002</v>
      </c>
      <c r="N2179">
        <v>-1.412851E-2</v>
      </c>
      <c r="O2179">
        <v>1.6664200000000001E-2</v>
      </c>
      <c r="P2179">
        <v>-0.99549200000000004</v>
      </c>
      <c r="Q2179">
        <v>-8.8826130000000003E-2</v>
      </c>
      <c r="R2179">
        <v>-3.3254369999999998E-2</v>
      </c>
      <c r="S2179">
        <v>-3.0090330000000001</v>
      </c>
      <c r="T2179">
        <v>-0.1157874</v>
      </c>
      <c r="U2179">
        <v>0.17742920000000001</v>
      </c>
      <c r="V2179">
        <v>-4.9723620000000003E-2</v>
      </c>
      <c r="W2179">
        <v>-7.4839909999999996E-2</v>
      </c>
      <c r="X2179">
        <v>0.99595509999999998</v>
      </c>
      <c r="Y2179">
        <v>4.2180500000000003E-2</v>
      </c>
      <c r="Z2179">
        <v>7.0383199999999896E-4</v>
      </c>
      <c r="AA2179">
        <v>0.99910969999999999</v>
      </c>
      <c r="AB2179">
        <v>40</v>
      </c>
      <c r="AC2179">
        <v>-28.447600000000001</v>
      </c>
      <c r="AD2179">
        <v>-1.109429189908</v>
      </c>
      <c r="AE2179">
        <v>1.6940000000000099</v>
      </c>
      <c r="AF2179">
        <v>1.2178152893831</v>
      </c>
      <c r="AG2179">
        <v>-1.109429189908</v>
      </c>
      <c r="AH2179">
        <v>28.428795723901199</v>
      </c>
      <c r="AI2179">
        <v>92.232778952398206</v>
      </c>
      <c r="AJ2179">
        <v>87.547098248805497</v>
      </c>
      <c r="AK2179">
        <v>28.476487380254198</v>
      </c>
      <c r="AL2179">
        <v>94.292023946650104</v>
      </c>
      <c r="AM2179">
        <v>92.858150972319095</v>
      </c>
      <c r="AN2179">
        <v>1.00000000586536</v>
      </c>
    </row>
    <row r="2180" spans="1:40" x14ac:dyDescent="0.25">
      <c r="A2180" t="str">
        <f>"20190305135235967"</f>
        <v>20190305135235967</v>
      </c>
      <c r="B2180" t="str">
        <f>"1551765155961512"</f>
        <v>1551765155961512</v>
      </c>
      <c r="C2180" t="s">
        <v>40</v>
      </c>
      <c r="D2180">
        <v>4.583221</v>
      </c>
      <c r="E2180">
        <v>0.53552270000000002</v>
      </c>
      <c r="F2180" t="s">
        <v>66</v>
      </c>
      <c r="G2180">
        <v>-400.0034</v>
      </c>
      <c r="H2180" s="1">
        <v>8.0188819999999995E-6</v>
      </c>
      <c r="I2180">
        <v>286.46449999999999</v>
      </c>
      <c r="J2180">
        <v>-370.12439999999998</v>
      </c>
      <c r="K2180">
        <v>1.1094599999999999</v>
      </c>
      <c r="L2180">
        <v>284.6884</v>
      </c>
      <c r="M2180">
        <v>-0.99977280000000002</v>
      </c>
      <c r="N2180">
        <v>-1.412675E-2</v>
      </c>
      <c r="O2180">
        <v>1.5968199999999998E-2</v>
      </c>
      <c r="P2180">
        <v>-0.99548570000000003</v>
      </c>
      <c r="Q2180">
        <v>-8.8356130000000005E-2</v>
      </c>
      <c r="R2180">
        <v>-3.4666500000000003E-2</v>
      </c>
      <c r="S2180">
        <v>-3.0096440000000002</v>
      </c>
      <c r="T2180">
        <v>-0.110260999999999</v>
      </c>
      <c r="U2180">
        <v>0.177124</v>
      </c>
      <c r="V2180">
        <v>-5.043773E-2</v>
      </c>
      <c r="W2180">
        <v>-7.4376869999999998E-2</v>
      </c>
      <c r="X2180">
        <v>0.99595389999999995</v>
      </c>
      <c r="Y2180">
        <v>4.2765190000000002E-2</v>
      </c>
      <c r="Z2180">
        <v>7.2607599999999998E-4</v>
      </c>
      <c r="AA2180">
        <v>0.99908490000000005</v>
      </c>
      <c r="AB2180">
        <v>40</v>
      </c>
      <c r="AC2180">
        <v>-29.879000000000001</v>
      </c>
      <c r="AD2180">
        <v>-1.1094519811179999</v>
      </c>
      <c r="AE2180">
        <v>1.77609999999998</v>
      </c>
      <c r="AF2180">
        <v>1.2969302436788701</v>
      </c>
      <c r="AG2180">
        <v>-1.1094519811179999</v>
      </c>
      <c r="AH2180">
        <v>29.8625256933759</v>
      </c>
      <c r="AI2180">
        <v>92.125671238950105</v>
      </c>
      <c r="AJ2180">
        <v>87.513205568996099</v>
      </c>
      <c r="AK2180">
        <v>29.911257956543899</v>
      </c>
      <c r="AL2180">
        <v>94.265419468995304</v>
      </c>
      <c r="AM2180">
        <v>92.899132505544799</v>
      </c>
      <c r="AN2180">
        <v>1.0000000271618701</v>
      </c>
    </row>
    <row r="2181" spans="1:40" x14ac:dyDescent="0.25">
      <c r="A2181" t="str">
        <f>"20190305135235979"</f>
        <v>20190305135235979</v>
      </c>
      <c r="B2181" t="str">
        <f>"1551765155971272"</f>
        <v>1551765155971272</v>
      </c>
      <c r="C2181" t="s">
        <v>40</v>
      </c>
      <c r="D2181">
        <v>4.6065930000000002</v>
      </c>
      <c r="E2181">
        <v>0.53554799999999902</v>
      </c>
      <c r="F2181" t="s">
        <v>66</v>
      </c>
      <c r="G2181">
        <v>-401.62139999999999</v>
      </c>
      <c r="H2181" s="1">
        <v>7.2921229999999996E-6</v>
      </c>
      <c r="I2181">
        <v>286.50909999999999</v>
      </c>
      <c r="J2181">
        <v>-370.35570000000001</v>
      </c>
      <c r="K2181">
        <v>1.1094759999999999</v>
      </c>
      <c r="L2181">
        <v>284.69170000000003</v>
      </c>
      <c r="M2181">
        <v>-0.99977939999999998</v>
      </c>
      <c r="N2181">
        <v>-1.412566E-2</v>
      </c>
      <c r="O2181">
        <v>1.5547200000000001E-2</v>
      </c>
      <c r="P2181">
        <v>-0.99546069999999998</v>
      </c>
      <c r="Q2181">
        <v>-8.8510899999999906E-2</v>
      </c>
      <c r="R2181">
        <v>-3.498333E-2</v>
      </c>
      <c r="S2181">
        <v>-3.0102540000000002</v>
      </c>
      <c r="T2181">
        <v>-0.1060333</v>
      </c>
      <c r="U2181">
        <v>0.1740112</v>
      </c>
      <c r="V2181">
        <v>-5.0331220000000003E-2</v>
      </c>
      <c r="W2181">
        <v>-7.4535190000000001E-2</v>
      </c>
      <c r="X2181">
        <v>0.99594740000000004</v>
      </c>
      <c r="Y2181">
        <v>4.2146940000000001E-2</v>
      </c>
      <c r="Z2181">
        <v>7.1201469999999998E-4</v>
      </c>
      <c r="AA2181">
        <v>0.99911119999999998</v>
      </c>
      <c r="AB2181">
        <v>40</v>
      </c>
      <c r="AC2181">
        <v>-31.265699999999899</v>
      </c>
      <c r="AD2181">
        <v>-1.109468707877</v>
      </c>
      <c r="AE2181">
        <v>1.8173999999999599</v>
      </c>
      <c r="AF2181">
        <v>1.3293694239223799</v>
      </c>
      <c r="AG2181">
        <v>-1.109468707877</v>
      </c>
      <c r="AH2181">
        <v>31.250960002427998</v>
      </c>
      <c r="AI2181">
        <v>92.031419972274307</v>
      </c>
      <c r="AJ2181">
        <v>87.564191147319605</v>
      </c>
      <c r="AK2181">
        <v>31.2988920722822</v>
      </c>
      <c r="AL2181">
        <v>94.274516009000195</v>
      </c>
      <c r="AM2181">
        <v>92.8930396307303</v>
      </c>
      <c r="AN2181">
        <v>0.99999997491089199</v>
      </c>
    </row>
    <row r="2182" spans="1:40" x14ac:dyDescent="0.25">
      <c r="A2182" t="str">
        <f>"20190305135235990"</f>
        <v>20190305135235990</v>
      </c>
      <c r="B2182" t="str">
        <f>"1551765155982007"</f>
        <v>1551765155982007</v>
      </c>
      <c r="C2182" t="s">
        <v>40</v>
      </c>
      <c r="D2182">
        <v>4.6075569999999999</v>
      </c>
      <c r="E2182">
        <v>0.53557489999999996</v>
      </c>
      <c r="F2182" t="s">
        <v>66</v>
      </c>
      <c r="G2182">
        <v>-401.87009999999998</v>
      </c>
      <c r="H2182" s="1">
        <v>7.1825939999999999E-6</v>
      </c>
      <c r="I2182">
        <v>286.50540000000001</v>
      </c>
      <c r="J2182">
        <v>-370.56360000000001</v>
      </c>
      <c r="K2182">
        <v>1.1094930000000001</v>
      </c>
      <c r="L2182">
        <v>284.69470000000001</v>
      </c>
      <c r="M2182">
        <v>-0.99978529999999999</v>
      </c>
      <c r="N2182">
        <v>-1.412476E-2</v>
      </c>
      <c r="O2182">
        <v>1.5161289999999999E-2</v>
      </c>
      <c r="P2182">
        <v>-0.99544509999999997</v>
      </c>
      <c r="Q2182">
        <v>-8.8514699999999905E-2</v>
      </c>
      <c r="R2182">
        <v>-3.54183E-2</v>
      </c>
      <c r="S2182">
        <v>-3.010345</v>
      </c>
      <c r="T2182">
        <v>-0.1059798</v>
      </c>
      <c r="U2182">
        <v>0.17324829999999999</v>
      </c>
      <c r="V2182">
        <v>-5.037821E-2</v>
      </c>
      <c r="W2182">
        <v>-7.4542250000000004E-2</v>
      </c>
      <c r="X2182">
        <v>0.99594450000000001</v>
      </c>
      <c r="Y2182">
        <v>4.2278280000000001E-2</v>
      </c>
      <c r="Z2182">
        <v>7.2323549999999998E-4</v>
      </c>
      <c r="AA2182">
        <v>0.99910560000000004</v>
      </c>
      <c r="AB2182">
        <v>40</v>
      </c>
      <c r="AC2182">
        <v>-31.3064999999999</v>
      </c>
      <c r="AD2182">
        <v>-1.1094858174060001</v>
      </c>
      <c r="AE2182">
        <v>1.81069999999999</v>
      </c>
      <c r="AF2182">
        <v>1.3341275434405</v>
      </c>
      <c r="AG2182">
        <v>-1.1094858174060001</v>
      </c>
      <c r="AH2182">
        <v>31.291186903082</v>
      </c>
      <c r="AI2182">
        <v>92.028833500508696</v>
      </c>
      <c r="AJ2182">
        <v>87.558622167058601</v>
      </c>
      <c r="AK2182">
        <v>31.3392602478872</v>
      </c>
      <c r="AL2182">
        <v>94.274921627794399</v>
      </c>
      <c r="AM2182">
        <v>92.895744439500405</v>
      </c>
      <c r="AN2182">
        <v>0.99999997907905802</v>
      </c>
    </row>
    <row r="2183" spans="1:40" x14ac:dyDescent="0.25">
      <c r="A2183" t="str">
        <f>"20190305135236003"</f>
        <v>20190305135236003</v>
      </c>
      <c r="B2183" t="str">
        <f>"1551765155991768"</f>
        <v>1551765155991768</v>
      </c>
      <c r="C2183" t="s">
        <v>40</v>
      </c>
      <c r="D2183">
        <v>4.6748450000000004</v>
      </c>
      <c r="E2183">
        <v>0.53566759999999902</v>
      </c>
      <c r="F2183" t="s">
        <v>66</v>
      </c>
      <c r="G2183">
        <v>-402.23899999999998</v>
      </c>
      <c r="H2183" s="1">
        <v>7.0188609999999998E-6</v>
      </c>
      <c r="I2183">
        <v>286.50599999999997</v>
      </c>
      <c r="J2183">
        <v>-370.7903</v>
      </c>
      <c r="K2183">
        <v>1.1095109999999999</v>
      </c>
      <c r="L2183">
        <v>284.69779999999997</v>
      </c>
      <c r="M2183">
        <v>-0.99979180000000001</v>
      </c>
      <c r="N2183">
        <v>-1.41239E-2</v>
      </c>
      <c r="O2183">
        <v>1.473095E-2</v>
      </c>
      <c r="P2183">
        <v>-0.99542779999999997</v>
      </c>
      <c r="Q2183">
        <v>-8.852575E-2</v>
      </c>
      <c r="R2183">
        <v>-3.5872080000000001E-2</v>
      </c>
      <c r="S2183">
        <v>-3.0104679999999999</v>
      </c>
      <c r="T2183">
        <v>-0.1054467</v>
      </c>
      <c r="U2183">
        <v>0.17214969999999999</v>
      </c>
      <c r="V2183">
        <v>-5.04E-2</v>
      </c>
      <c r="W2183">
        <v>-7.4556629999999999E-2</v>
      </c>
      <c r="X2183">
        <v>0.99594240000000001</v>
      </c>
      <c r="Y2183">
        <v>4.2342699999999997E-2</v>
      </c>
      <c r="Z2183">
        <v>7.3269890000000003E-4</v>
      </c>
      <c r="AA2183">
        <v>0.99910290000000002</v>
      </c>
      <c r="AB2183">
        <v>40</v>
      </c>
      <c r="AC2183">
        <v>-31.448699999999999</v>
      </c>
      <c r="AD2183">
        <v>-1.109503981139</v>
      </c>
      <c r="AE2183">
        <v>1.8082</v>
      </c>
      <c r="AF2183">
        <v>1.3430222435783801</v>
      </c>
      <c r="AG2183">
        <v>-1.109503981139</v>
      </c>
      <c r="AH2183">
        <v>31.4329315503023</v>
      </c>
      <c r="AI2183">
        <v>92.019717447871699</v>
      </c>
      <c r="AJ2183">
        <v>87.553434299355899</v>
      </c>
      <c r="AK2183">
        <v>31.481167285805999</v>
      </c>
      <c r="AL2183">
        <v>94.275747503857801</v>
      </c>
      <c r="AM2183">
        <v>92.897000895768301</v>
      </c>
      <c r="AN2183">
        <v>1.00000005759735</v>
      </c>
    </row>
    <row r="2184" spans="1:40" x14ac:dyDescent="0.25">
      <c r="A2184" t="str">
        <f>"20190305135236022"</f>
        <v>20190305135236022</v>
      </c>
      <c r="B2184" t="str">
        <f>"1551765156011289"</f>
        <v>1551765156011289</v>
      </c>
      <c r="C2184" t="s">
        <v>40</v>
      </c>
      <c r="D2184">
        <v>4.5844279999999999</v>
      </c>
      <c r="E2184">
        <v>0.53571190000000002</v>
      </c>
      <c r="F2184" t="s">
        <v>66</v>
      </c>
      <c r="G2184">
        <v>-402.27589999999998</v>
      </c>
      <c r="H2184" s="1">
        <v>7.0052380000000001E-6</v>
      </c>
      <c r="I2184">
        <v>286.49279999999999</v>
      </c>
      <c r="J2184">
        <v>-371.1191</v>
      </c>
      <c r="K2184">
        <v>1.1095349999999999</v>
      </c>
      <c r="L2184">
        <v>284.702</v>
      </c>
      <c r="M2184">
        <v>-0.99980100000000005</v>
      </c>
      <c r="N2184">
        <v>-1.41225E-2</v>
      </c>
      <c r="O2184">
        <v>1.408683E-2</v>
      </c>
      <c r="P2184">
        <v>-0.99540229999999996</v>
      </c>
      <c r="Q2184">
        <v>-8.8839539999999995E-2</v>
      </c>
      <c r="R2184">
        <v>-3.5806039999999997E-2</v>
      </c>
      <c r="S2184">
        <v>-3.010529</v>
      </c>
      <c r="T2184">
        <v>-0.10608629999999999</v>
      </c>
      <c r="U2184">
        <v>0.1716309</v>
      </c>
      <c r="V2184">
        <v>-4.96874E-2</v>
      </c>
      <c r="W2184">
        <v>-7.4873529999999994E-2</v>
      </c>
      <c r="X2184">
        <v>0.99595440000000002</v>
      </c>
      <c r="Y2184">
        <v>4.2812740000000002E-2</v>
      </c>
      <c r="Z2184">
        <v>7.5918269999999998E-4</v>
      </c>
      <c r="AA2184">
        <v>0.99908280000000005</v>
      </c>
      <c r="AB2184">
        <v>40</v>
      </c>
      <c r="AC2184">
        <v>-31.156799999999901</v>
      </c>
      <c r="AD2184">
        <v>-1.109527994762</v>
      </c>
      <c r="AE2184">
        <v>1.79079999999999</v>
      </c>
      <c r="AF2184">
        <v>1.3499716067935501</v>
      </c>
      <c r="AG2184">
        <v>-1.109527994762</v>
      </c>
      <c r="AH2184">
        <v>31.139577437754099</v>
      </c>
      <c r="AI2184">
        <v>92.038717790971106</v>
      </c>
      <c r="AJ2184">
        <v>87.517651805028194</v>
      </c>
      <c r="AK2184">
        <v>31.1885677566667</v>
      </c>
      <c r="AL2184">
        <v>94.293955568011</v>
      </c>
      <c r="AM2184">
        <v>92.856074471978303</v>
      </c>
      <c r="AN2184">
        <v>1.0000000250463901</v>
      </c>
    </row>
    <row r="2185" spans="1:40" x14ac:dyDescent="0.25">
      <c r="A2185" t="str">
        <f>"20190305135236035"</f>
        <v>20190305135236035</v>
      </c>
      <c r="B2185" t="str">
        <f>"1551765156031785"</f>
        <v>1551765156031785</v>
      </c>
      <c r="C2185" t="s">
        <v>40</v>
      </c>
      <c r="D2185">
        <v>4.6113479999999996</v>
      </c>
      <c r="E2185">
        <v>0.53575709999999999</v>
      </c>
      <c r="F2185" t="s">
        <v>66</v>
      </c>
      <c r="G2185">
        <v>-402.13589999999999</v>
      </c>
      <c r="H2185" s="1">
        <v>7.0707330000000002E-6</v>
      </c>
      <c r="I2185">
        <v>286.47629999999998</v>
      </c>
      <c r="J2185">
        <v>-371.35570000000001</v>
      </c>
      <c r="K2185">
        <v>1.10955</v>
      </c>
      <c r="L2185">
        <v>284.70499999999998</v>
      </c>
      <c r="M2185">
        <v>-0.99980769999999997</v>
      </c>
      <c r="N2185">
        <v>-1.4119120000000001E-2</v>
      </c>
      <c r="O2185">
        <v>1.3611750000000001E-2</v>
      </c>
      <c r="P2185">
        <v>-0.9953938</v>
      </c>
      <c r="Q2185">
        <v>-8.9042220000000005E-2</v>
      </c>
      <c r="R2185">
        <v>-3.553684E-2</v>
      </c>
      <c r="S2185">
        <v>-3.0104679999999999</v>
      </c>
      <c r="T2185">
        <v>-0.10768990000000001</v>
      </c>
      <c r="U2185">
        <v>0.17221069999999999</v>
      </c>
      <c r="V2185">
        <v>-4.8942449999999998E-2</v>
      </c>
      <c r="W2185">
        <v>-7.5079870000000007E-2</v>
      </c>
      <c r="X2185">
        <v>0.99597570000000002</v>
      </c>
      <c r="Y2185">
        <v>4.3478910000000003E-2</v>
      </c>
      <c r="Z2185">
        <v>7.8984019999999995E-4</v>
      </c>
      <c r="AA2185">
        <v>0.999054</v>
      </c>
      <c r="AB2185">
        <v>40</v>
      </c>
      <c r="AC2185">
        <v>-30.780199999999901</v>
      </c>
      <c r="AD2185">
        <v>-1.109542929267</v>
      </c>
      <c r="AE2185">
        <v>1.7712999999999901</v>
      </c>
      <c r="AF2185">
        <v>1.3503728331892599</v>
      </c>
      <c r="AG2185">
        <v>-1.109542929267</v>
      </c>
      <c r="AH2185">
        <v>30.761620777780799</v>
      </c>
      <c r="AI2185">
        <v>92.063723994614605</v>
      </c>
      <c r="AJ2185">
        <v>87.486445091186198</v>
      </c>
      <c r="AK2185">
        <v>30.811230179538398</v>
      </c>
      <c r="AL2185">
        <v>94.305811575588706</v>
      </c>
      <c r="AM2185">
        <v>92.8132633513342</v>
      </c>
      <c r="AN2185">
        <v>0.99999997264085405</v>
      </c>
    </row>
    <row r="2186" spans="1:40" x14ac:dyDescent="0.25">
      <c r="A2186" t="str">
        <f>"20190305135236047"</f>
        <v>20190305135236047</v>
      </c>
      <c r="B2186" t="str">
        <f>"1551765156041543"</f>
        <v>1551765156041543</v>
      </c>
      <c r="C2186" t="s">
        <v>40</v>
      </c>
      <c r="D2186">
        <v>4.6390099999999999</v>
      </c>
      <c r="E2186">
        <v>0.53577459999999999</v>
      </c>
      <c r="F2186" t="s">
        <v>66</v>
      </c>
      <c r="G2186">
        <v>-402.09289999999999</v>
      </c>
      <c r="H2186" s="1">
        <v>7.0901739999999899E-6</v>
      </c>
      <c r="I2186">
        <v>286.47449999999998</v>
      </c>
      <c r="J2186">
        <v>-371.57339999999999</v>
      </c>
      <c r="K2186">
        <v>1.1095660000000001</v>
      </c>
      <c r="L2186">
        <v>284.70760000000001</v>
      </c>
      <c r="M2186">
        <v>-0.99981370000000003</v>
      </c>
      <c r="N2186">
        <v>-1.4114979999999999E-2</v>
      </c>
      <c r="O2186">
        <v>1.317017E-2</v>
      </c>
      <c r="P2186">
        <v>-0.99538789999999999</v>
      </c>
      <c r="Q2186">
        <v>-8.9094010000000001E-2</v>
      </c>
      <c r="R2186">
        <v>-3.5569259999999998E-2</v>
      </c>
      <c r="S2186">
        <v>-3.0103759999999999</v>
      </c>
      <c r="T2186">
        <v>-0.1086676</v>
      </c>
      <c r="U2186">
        <v>0.173309299999999</v>
      </c>
      <c r="V2186">
        <v>-4.8532850000000002E-2</v>
      </c>
      <c r="W2186">
        <v>-7.5136419999999995E-2</v>
      </c>
      <c r="X2186">
        <v>0.99599150000000003</v>
      </c>
      <c r="Y2186">
        <v>4.4283950000000002E-2</v>
      </c>
      <c r="Z2186">
        <v>8.2222969999999997E-4</v>
      </c>
      <c r="AA2186">
        <v>0.99901870000000004</v>
      </c>
      <c r="AB2186">
        <v>40</v>
      </c>
      <c r="AC2186">
        <v>-30.519499999999901</v>
      </c>
      <c r="AD2186">
        <v>-1.1095589098259999</v>
      </c>
      <c r="AE2186">
        <v>1.7668999999999599</v>
      </c>
      <c r="AF2186">
        <v>1.36296423405436</v>
      </c>
      <c r="AG2186">
        <v>-1.1095589098259999</v>
      </c>
      <c r="AH2186">
        <v>30.4999468726256</v>
      </c>
      <c r="AI2186">
        <v>92.081371558661502</v>
      </c>
      <c r="AJ2186">
        <v>87.441301182309303</v>
      </c>
      <c r="AK2186">
        <v>30.550540939739001</v>
      </c>
      <c r="AL2186">
        <v>94.309060739362295</v>
      </c>
      <c r="AM2186">
        <v>92.789712278866602</v>
      </c>
      <c r="AN2186">
        <v>0.99999999360589398</v>
      </c>
    </row>
    <row r="2187" spans="1:40" x14ac:dyDescent="0.25">
      <c r="A2187" t="str">
        <f>"20190305135236060"</f>
        <v>20190305135236060</v>
      </c>
      <c r="B2187" t="str">
        <f>"1551765156051304"</f>
        <v>1551765156051304</v>
      </c>
      <c r="C2187" t="s">
        <v>40</v>
      </c>
      <c r="D2187">
        <v>4.647786</v>
      </c>
      <c r="E2187">
        <v>0.53583729999999996</v>
      </c>
      <c r="F2187" t="s">
        <v>66</v>
      </c>
      <c r="G2187">
        <v>-402.1123</v>
      </c>
      <c r="H2187" s="1">
        <v>7.0831820000000001E-6</v>
      </c>
      <c r="I2187">
        <v>286.4667</v>
      </c>
      <c r="J2187">
        <v>-371.81130000000002</v>
      </c>
      <c r="K2187">
        <v>1.1095790000000001</v>
      </c>
      <c r="L2187">
        <v>284.71030000000002</v>
      </c>
      <c r="M2187">
        <v>-0.99982009999999999</v>
      </c>
      <c r="N2187">
        <v>-1.4108910000000001E-2</v>
      </c>
      <c r="O2187">
        <v>1.268004E-2</v>
      </c>
      <c r="P2187">
        <v>-0.99538230000000005</v>
      </c>
      <c r="Q2187">
        <v>-8.9110640000000005E-2</v>
      </c>
      <c r="R2187">
        <v>-3.5687789999999997E-2</v>
      </c>
      <c r="S2187">
        <v>-3.010345</v>
      </c>
      <c r="T2187">
        <v>-0.1093737</v>
      </c>
      <c r="U2187">
        <v>0.1734009</v>
      </c>
      <c r="V2187">
        <v>-4.81609E-2</v>
      </c>
      <c r="W2187">
        <v>-7.5159660000000003E-2</v>
      </c>
      <c r="X2187">
        <v>0.9960078</v>
      </c>
      <c r="Y2187">
        <v>4.4803580000000003E-2</v>
      </c>
      <c r="Z2187">
        <v>8.4809199999999897E-4</v>
      </c>
      <c r="AA2187">
        <v>0.99899550000000004</v>
      </c>
      <c r="AB2187">
        <v>40</v>
      </c>
      <c r="AC2187">
        <v>-30.300999999999899</v>
      </c>
      <c r="AD2187">
        <v>-1.1095719168179901</v>
      </c>
      <c r="AE2187">
        <v>1.75639999999998</v>
      </c>
      <c r="AF2187">
        <v>1.37017152874371</v>
      </c>
      <c r="AG2187">
        <v>-1.1095719168179901</v>
      </c>
      <c r="AH2187">
        <v>30.280369869812699</v>
      </c>
      <c r="AI2187">
        <v>92.096422849456104</v>
      </c>
      <c r="AJ2187">
        <v>87.409162050164696</v>
      </c>
      <c r="AK2187">
        <v>30.3316554000838</v>
      </c>
      <c r="AL2187">
        <v>94.310396075063593</v>
      </c>
      <c r="AM2187">
        <v>92.768320408054294</v>
      </c>
      <c r="AN2187">
        <v>0.99999999222048197</v>
      </c>
    </row>
    <row r="2188" spans="1:40" x14ac:dyDescent="0.25">
      <c r="A2188" t="str">
        <f>"20190305135236073"</f>
        <v>20190305135236073</v>
      </c>
      <c r="B2188" t="str">
        <f>"1551765156071800"</f>
        <v>1551765156071800</v>
      </c>
      <c r="C2188" t="s">
        <v>40</v>
      </c>
      <c r="D2188">
        <v>4.6493370000000001</v>
      </c>
      <c r="E2188">
        <v>0.53589249999999999</v>
      </c>
      <c r="F2188" t="s">
        <v>66</v>
      </c>
      <c r="G2188">
        <v>-402.2679</v>
      </c>
      <c r="H2188" s="1">
        <v>7.0146139999999997E-6</v>
      </c>
      <c r="I2188">
        <v>286.46460000000002</v>
      </c>
      <c r="J2188">
        <v>-372.04129999999998</v>
      </c>
      <c r="K2188">
        <v>1.1095900000000001</v>
      </c>
      <c r="L2188">
        <v>284.71280000000002</v>
      </c>
      <c r="M2188">
        <v>-0.99982610000000005</v>
      </c>
      <c r="N2188">
        <v>-1.410311E-2</v>
      </c>
      <c r="O2188">
        <v>1.220282E-2</v>
      </c>
      <c r="P2188">
        <v>-0.99535879999999999</v>
      </c>
      <c r="Q2188">
        <v>-8.9399229999999996E-2</v>
      </c>
      <c r="R2188">
        <v>-3.5623139999999998E-2</v>
      </c>
      <c r="S2188">
        <v>-3.0103149999999999</v>
      </c>
      <c r="T2188">
        <v>-0.10966969999999999</v>
      </c>
      <c r="U2188">
        <v>0.1734009</v>
      </c>
      <c r="V2188">
        <v>-4.761841E-2</v>
      </c>
      <c r="W2188">
        <v>-7.5454220000000002E-2</v>
      </c>
      <c r="X2188">
        <v>0.9960116</v>
      </c>
      <c r="Y2188">
        <v>4.5280260000000003E-2</v>
      </c>
      <c r="Z2188">
        <v>8.7152189999999997E-4</v>
      </c>
      <c r="AA2188">
        <v>0.99897400000000003</v>
      </c>
      <c r="AB2188">
        <v>40</v>
      </c>
      <c r="AC2188">
        <v>-30.226600000000001</v>
      </c>
      <c r="AD2188">
        <v>-1.10958298538599</v>
      </c>
      <c r="AE2188">
        <v>1.7518</v>
      </c>
      <c r="AF2188">
        <v>1.38092847656203</v>
      </c>
      <c r="AG2188">
        <v>-1.10958298538599</v>
      </c>
      <c r="AH2188">
        <v>30.205161647848101</v>
      </c>
      <c r="AI2188">
        <v>92.1016143509203</v>
      </c>
      <c r="AJ2188">
        <v>87.382357427519807</v>
      </c>
      <c r="AK2188">
        <v>30.257064101321401</v>
      </c>
      <c r="AL2188">
        <v>94.3273212343924</v>
      </c>
      <c r="AM2188">
        <v>92.737174988988997</v>
      </c>
      <c r="AN2188">
        <v>0.99999997981064803</v>
      </c>
    </row>
    <row r="2189" spans="1:40" x14ac:dyDescent="0.25">
      <c r="A2189" t="str">
        <f>"20190305135236090"</f>
        <v>20190305135236090</v>
      </c>
      <c r="B2189" t="str">
        <f>"1551765156081563"</f>
        <v>1551765156081563</v>
      </c>
      <c r="C2189" t="s">
        <v>40</v>
      </c>
      <c r="D2189">
        <v>4.7071969999999999</v>
      </c>
      <c r="E2189">
        <v>0.53584730000000003</v>
      </c>
      <c r="F2189" t="s">
        <v>66</v>
      </c>
      <c r="G2189">
        <v>-402.26319999999998</v>
      </c>
      <c r="H2189" s="1">
        <v>7.0178279999999999E-6</v>
      </c>
      <c r="I2189">
        <v>286.45920000000001</v>
      </c>
      <c r="J2189">
        <v>-372.33640000000003</v>
      </c>
      <c r="K2189">
        <v>1.109605</v>
      </c>
      <c r="L2189">
        <v>284.71589999999998</v>
      </c>
      <c r="M2189">
        <v>-0.99983359999999999</v>
      </c>
      <c r="N2189">
        <v>-1.409581E-2</v>
      </c>
      <c r="O2189">
        <v>1.1587979999999999E-2</v>
      </c>
      <c r="P2189">
        <v>-0.99534820000000002</v>
      </c>
      <c r="Q2189">
        <v>-8.9452069999999995E-2</v>
      </c>
      <c r="R2189">
        <v>-3.5784910000000003E-2</v>
      </c>
      <c r="S2189">
        <v>-3.0102540000000002</v>
      </c>
      <c r="T2189">
        <v>-0.1105199</v>
      </c>
      <c r="U2189">
        <v>0.1739502</v>
      </c>
      <c r="V2189">
        <v>-4.7166520000000003E-2</v>
      </c>
      <c r="W2189">
        <v>-7.5514529999999996E-2</v>
      </c>
      <c r="X2189">
        <v>0.99602849999999998</v>
      </c>
      <c r="Y2189">
        <v>4.607605E-2</v>
      </c>
      <c r="Z2189">
        <v>9.083076E-4</v>
      </c>
      <c r="AA2189">
        <v>0.99893750000000003</v>
      </c>
      <c r="AB2189">
        <v>40</v>
      </c>
      <c r="AC2189">
        <v>-29.926799999999901</v>
      </c>
      <c r="AD2189">
        <v>-1.1095979821719999</v>
      </c>
      <c r="AE2189">
        <v>1.74330000000003</v>
      </c>
      <c r="AF2189">
        <v>1.39444686837309</v>
      </c>
      <c r="AG2189">
        <v>-1.1095979821719999</v>
      </c>
      <c r="AH2189">
        <v>29.904023256972799</v>
      </c>
      <c r="AI2189">
        <v>92.122698186194498</v>
      </c>
      <c r="AJ2189">
        <v>87.330189125486697</v>
      </c>
      <c r="AK2189">
        <v>29.9570742347167</v>
      </c>
      <c r="AL2189">
        <v>94.330786764173197</v>
      </c>
      <c r="AM2189">
        <v>92.7111927085991</v>
      </c>
      <c r="AN2189">
        <v>0.99999994883113896</v>
      </c>
    </row>
    <row r="2190" spans="1:40" x14ac:dyDescent="0.25">
      <c r="A2190" t="str">
        <f>"20190305135236112"</f>
        <v>20190305135236112</v>
      </c>
      <c r="B2190" t="str">
        <f>"1551765156102057"</f>
        <v>1551765156102057</v>
      </c>
      <c r="C2190" t="s">
        <v>40</v>
      </c>
      <c r="D2190">
        <v>4.6667680000000002</v>
      </c>
      <c r="E2190">
        <v>0.53595509999999902</v>
      </c>
      <c r="F2190" t="s">
        <v>66</v>
      </c>
      <c r="G2190">
        <v>-402.68099999999998</v>
      </c>
      <c r="H2190" s="1">
        <v>6.832347E-6</v>
      </c>
      <c r="I2190">
        <v>286.46010000000001</v>
      </c>
      <c r="J2190">
        <v>-372.72489999999999</v>
      </c>
      <c r="K2190">
        <v>1.109613</v>
      </c>
      <c r="L2190">
        <v>284.71960000000001</v>
      </c>
      <c r="M2190">
        <v>-0.99984269999999997</v>
      </c>
      <c r="N2190">
        <v>-1.408508E-2</v>
      </c>
      <c r="O2190">
        <v>1.078281E-2</v>
      </c>
      <c r="P2190">
        <v>-0.99531670000000005</v>
      </c>
      <c r="Q2190">
        <v>-8.942261E-2</v>
      </c>
      <c r="R2190">
        <v>-3.6720530000000001E-2</v>
      </c>
      <c r="S2190">
        <v>-3.0103149999999999</v>
      </c>
      <c r="T2190">
        <v>-0.1100767</v>
      </c>
      <c r="U2190">
        <v>0.17303470000000001</v>
      </c>
      <c r="V2190">
        <v>-4.7299090000000002E-2</v>
      </c>
      <c r="W2190">
        <v>-7.549699E-2</v>
      </c>
      <c r="X2190">
        <v>0.99602360000000001</v>
      </c>
      <c r="Y2190">
        <v>4.6576119999999999E-2</v>
      </c>
      <c r="Z2190">
        <v>9.3697449999999999E-4</v>
      </c>
      <c r="AA2190">
        <v>0.99891430000000003</v>
      </c>
      <c r="AB2190">
        <v>40</v>
      </c>
      <c r="AC2190">
        <v>-29.9560999999999</v>
      </c>
      <c r="AD2190">
        <v>-1.109606167653</v>
      </c>
      <c r="AE2190">
        <v>1.7404999999999899</v>
      </c>
      <c r="AF2190">
        <v>1.4154203456021599</v>
      </c>
      <c r="AG2190">
        <v>-1.109606167653</v>
      </c>
      <c r="AH2190">
        <v>29.932197424262402</v>
      </c>
      <c r="AI2190">
        <v>92.120652412272406</v>
      </c>
      <c r="AJ2190">
        <v>87.292639625955502</v>
      </c>
      <c r="AK2190">
        <v>29.986181538286299</v>
      </c>
      <c r="AL2190">
        <v>94.3297786729173</v>
      </c>
      <c r="AM2190">
        <v>92.7188149413616</v>
      </c>
      <c r="AN2190">
        <v>1.0000000055854199</v>
      </c>
    </row>
    <row r="2191" spans="1:40" x14ac:dyDescent="0.25">
      <c r="A2191" t="str">
        <f>"20190305135236134"</f>
        <v>20190305135236134</v>
      </c>
      <c r="B2191" t="str">
        <f>"1551765156121576"</f>
        <v>1551765156121576</v>
      </c>
      <c r="C2191" t="s">
        <v>40</v>
      </c>
      <c r="D2191">
        <v>4.6864910000000002</v>
      </c>
      <c r="E2191">
        <v>0.53600709999999996</v>
      </c>
      <c r="F2191" t="s">
        <v>66</v>
      </c>
      <c r="G2191">
        <v>-403.10149999999999</v>
      </c>
      <c r="H2191" s="1">
        <v>6.6483140000000003E-6</v>
      </c>
      <c r="I2191">
        <v>286.44830000000002</v>
      </c>
      <c r="J2191">
        <v>-373.10890000000001</v>
      </c>
      <c r="K2191">
        <v>1.1096079999999999</v>
      </c>
      <c r="L2191">
        <v>284.72309999999999</v>
      </c>
      <c r="M2191">
        <v>-0.99985100000000005</v>
      </c>
      <c r="N2191">
        <v>-1.407023E-2</v>
      </c>
      <c r="O2191">
        <v>1.00074E-2</v>
      </c>
      <c r="P2191">
        <v>-0.9952067</v>
      </c>
      <c r="Q2191">
        <v>-8.9957170000000003E-2</v>
      </c>
      <c r="R2191">
        <v>-3.8365749999999997E-2</v>
      </c>
      <c r="S2191">
        <v>-3.0105590000000002</v>
      </c>
      <c r="T2191">
        <v>-0.1099706</v>
      </c>
      <c r="U2191">
        <v>0.1713257</v>
      </c>
      <c r="V2191">
        <v>-4.8170940000000002E-2</v>
      </c>
      <c r="W2191">
        <v>-7.6048899999999905E-2</v>
      </c>
      <c r="X2191">
        <v>0.99593989999999999</v>
      </c>
      <c r="Y2191">
        <v>4.6780660000000002E-2</v>
      </c>
      <c r="Z2191">
        <v>9.5855240000000002E-4</v>
      </c>
      <c r="AA2191">
        <v>0.99890469999999998</v>
      </c>
      <c r="AB2191">
        <v>40</v>
      </c>
      <c r="AC2191">
        <v>-29.9925999999999</v>
      </c>
      <c r="AD2191">
        <v>-1.1096013516859999</v>
      </c>
      <c r="AE2191">
        <v>1.7252000000000201</v>
      </c>
      <c r="AF2191">
        <v>1.4229947356147901</v>
      </c>
      <c r="AG2191">
        <v>-1.1096013516859999</v>
      </c>
      <c r="AH2191">
        <v>29.967483296148899</v>
      </c>
      <c r="AI2191">
        <v>92.118128776265195</v>
      </c>
      <c r="AJ2191">
        <v>87.281373423352093</v>
      </c>
      <c r="AK2191">
        <v>30.0217618450719</v>
      </c>
      <c r="AL2191">
        <v>94.361491636275105</v>
      </c>
      <c r="AM2191">
        <v>92.769085096599596</v>
      </c>
      <c r="AN2191">
        <v>1.00000007953184</v>
      </c>
    </row>
    <row r="2192" spans="1:40" x14ac:dyDescent="0.25">
      <c r="A2192" t="str">
        <f>"20190305135236156"</f>
        <v>20190305135236156</v>
      </c>
      <c r="B2192" t="str">
        <f>"1551765156151832"</f>
        <v>1551765156151832</v>
      </c>
      <c r="C2192" t="s">
        <v>40</v>
      </c>
      <c r="D2192">
        <v>4.6613449999999998</v>
      </c>
      <c r="E2192">
        <v>0.53599379999999996</v>
      </c>
      <c r="F2192" t="s">
        <v>66</v>
      </c>
      <c r="G2192">
        <v>-402.83870000000002</v>
      </c>
      <c r="H2192" s="1">
        <v>6.7804310000000001E-6</v>
      </c>
      <c r="I2192">
        <v>286.37290000000002</v>
      </c>
      <c r="J2192">
        <v>-373.5068</v>
      </c>
      <c r="K2192">
        <v>1.109585</v>
      </c>
      <c r="L2192">
        <v>284.72629999999998</v>
      </c>
      <c r="M2192">
        <v>-0.99985860000000004</v>
      </c>
      <c r="N2192">
        <v>-1.4053319999999999E-2</v>
      </c>
      <c r="O2192">
        <v>9.2498219999999996E-3</v>
      </c>
      <c r="P2192">
        <v>-0.99510639999999995</v>
      </c>
      <c r="Q2192">
        <v>-9.0110819999999994E-2</v>
      </c>
      <c r="R2192">
        <v>-4.05429E-2</v>
      </c>
      <c r="S2192">
        <v>-3.010742</v>
      </c>
      <c r="T2192">
        <v>-0.11236930000000001</v>
      </c>
      <c r="U2192">
        <v>0.1670837</v>
      </c>
      <c r="V2192">
        <v>-4.9596849999999998E-2</v>
      </c>
      <c r="W2192">
        <v>-7.6220860000000001E-2</v>
      </c>
      <c r="X2192">
        <v>0.99585670000000004</v>
      </c>
      <c r="Y2192">
        <v>4.61301E-2</v>
      </c>
      <c r="Z2192">
        <v>9.6951280000000001E-4</v>
      </c>
      <c r="AA2192">
        <v>0.99893500000000002</v>
      </c>
      <c r="AB2192">
        <v>40</v>
      </c>
      <c r="AC2192">
        <v>-29.331900000000001</v>
      </c>
      <c r="AD2192">
        <v>-1.109578219569</v>
      </c>
      <c r="AE2192">
        <v>1.64660000000003</v>
      </c>
      <c r="AF2192">
        <v>1.37322903268257</v>
      </c>
      <c r="AG2192">
        <v>-1.109578219569</v>
      </c>
      <c r="AH2192">
        <v>29.304075181990399</v>
      </c>
      <c r="AI2192">
        <v>92.166053797472301</v>
      </c>
      <c r="AJ2192">
        <v>87.317004220410894</v>
      </c>
      <c r="AK2192">
        <v>29.3572094054134</v>
      </c>
      <c r="AL2192">
        <v>94.371373171791504</v>
      </c>
      <c r="AM2192">
        <v>92.851157402631799</v>
      </c>
      <c r="AN2192">
        <v>1.0000000169819701</v>
      </c>
    </row>
    <row r="2193" spans="1:40" x14ac:dyDescent="0.25">
      <c r="A2193" t="str">
        <f>"20190305135236169"</f>
        <v>20190305135236169</v>
      </c>
      <c r="B2193" t="str">
        <f>"1551765156161593"</f>
        <v>1551765156161593</v>
      </c>
      <c r="C2193" t="s">
        <v>40</v>
      </c>
      <c r="D2193">
        <v>4.7190450000000004</v>
      </c>
      <c r="E2193">
        <v>0.53595909999999902</v>
      </c>
      <c r="F2193" t="s">
        <v>66</v>
      </c>
      <c r="G2193">
        <v>-402.94619999999998</v>
      </c>
      <c r="H2193" s="1">
        <v>6.7493870000000004E-6</v>
      </c>
      <c r="I2193">
        <v>286.29250000000002</v>
      </c>
      <c r="J2193">
        <v>-373.73950000000002</v>
      </c>
      <c r="K2193">
        <v>1.1095630000000001</v>
      </c>
      <c r="L2193">
        <v>284.72809999999998</v>
      </c>
      <c r="M2193">
        <v>-0.99986249999999999</v>
      </c>
      <c r="N2193">
        <v>-1.4042799999999999E-2</v>
      </c>
      <c r="O2193">
        <v>8.8380830000000001E-3</v>
      </c>
      <c r="P2193">
        <v>-0.99509449999999999</v>
      </c>
      <c r="Q2193">
        <v>-8.97395E-2</v>
      </c>
      <c r="R2193">
        <v>-4.1644550000000002E-2</v>
      </c>
      <c r="S2193">
        <v>-3.0110169999999998</v>
      </c>
      <c r="T2193">
        <v>-0.11348610000000001</v>
      </c>
      <c r="U2193">
        <v>0.16018679999999999</v>
      </c>
      <c r="V2193">
        <v>-5.0293900000000002E-2</v>
      </c>
      <c r="W2193">
        <v>-7.5858629999999996E-2</v>
      </c>
      <c r="X2193">
        <v>0.9958494</v>
      </c>
      <c r="Y2193">
        <v>4.425598E-2</v>
      </c>
      <c r="Z2193">
        <v>9.355276E-4</v>
      </c>
      <c r="AA2193">
        <v>0.99901980000000001</v>
      </c>
      <c r="AB2193">
        <v>40</v>
      </c>
      <c r="AC2193">
        <v>-29.206699999999898</v>
      </c>
      <c r="AD2193">
        <v>-1.1095562506129999</v>
      </c>
      <c r="AE2193">
        <v>1.56440000000003</v>
      </c>
      <c r="AF2193">
        <v>1.30430521711143</v>
      </c>
      <c r="AG2193">
        <v>-1.1095562506129999</v>
      </c>
      <c r="AH2193">
        <v>29.1773976718017</v>
      </c>
      <c r="AI2193">
        <v>92.175620314361197</v>
      </c>
      <c r="AJ2193">
        <v>87.440434352627193</v>
      </c>
      <c r="AK2193">
        <v>29.227604453172599</v>
      </c>
      <c r="AL2193">
        <v>94.350558655807205</v>
      </c>
      <c r="AM2193">
        <v>92.891182122686203</v>
      </c>
      <c r="AN2193">
        <v>1.00000001780152</v>
      </c>
    </row>
    <row r="2194" spans="1:40" x14ac:dyDescent="0.25">
      <c r="A2194" t="str">
        <f>"20190305135236189"</f>
        <v>20190305135236189</v>
      </c>
      <c r="B2194" t="str">
        <f>"1551765156182088"</f>
        <v>1551765156182088</v>
      </c>
      <c r="C2194" t="s">
        <v>40</v>
      </c>
      <c r="D2194">
        <v>4.7045589999999997</v>
      </c>
      <c r="E2194">
        <v>0.53596969999999899</v>
      </c>
      <c r="F2194" t="s">
        <v>66</v>
      </c>
      <c r="G2194">
        <v>-403.35449999999997</v>
      </c>
      <c r="H2194" s="1">
        <v>6.5732330000000003E-6</v>
      </c>
      <c r="I2194">
        <v>286.26870000000002</v>
      </c>
      <c r="J2194">
        <v>-374.1173</v>
      </c>
      <c r="K2194">
        <v>1.1095090000000001</v>
      </c>
      <c r="L2194">
        <v>284.73090000000002</v>
      </c>
      <c r="M2194">
        <v>-0.99986770000000003</v>
      </c>
      <c r="N2194">
        <v>-1.40191E-2</v>
      </c>
      <c r="O2194">
        <v>8.2504309999999904E-3</v>
      </c>
      <c r="P2194">
        <v>-0.99504349999999997</v>
      </c>
      <c r="Q2194">
        <v>-8.9272260000000006E-2</v>
      </c>
      <c r="R2194">
        <v>-4.3807649999999997E-2</v>
      </c>
      <c r="S2194">
        <v>-3.0112000000000001</v>
      </c>
      <c r="T2194">
        <v>-0.1128176</v>
      </c>
      <c r="U2194">
        <v>0.1566467</v>
      </c>
      <c r="V2194">
        <v>-5.1883520000000002E-2</v>
      </c>
      <c r="W2194">
        <v>-7.5411130000000007E-2</v>
      </c>
      <c r="X2194">
        <v>0.99580179999999996</v>
      </c>
      <c r="Y2194">
        <v>4.3669489999999998E-2</v>
      </c>
      <c r="Z2194">
        <v>9.3049319999999997E-4</v>
      </c>
      <c r="AA2194">
        <v>0.99904559999999998</v>
      </c>
      <c r="AB2194">
        <v>40</v>
      </c>
      <c r="AC2194">
        <v>-29.237199999999898</v>
      </c>
      <c r="AD2194">
        <v>-1.1095024267669999</v>
      </c>
      <c r="AE2194">
        <v>1.5378000000000001</v>
      </c>
      <c r="AF2194">
        <v>1.2946452020402901</v>
      </c>
      <c r="AG2194">
        <v>-1.1095024267669999</v>
      </c>
      <c r="AH2194">
        <v>29.206949319948201</v>
      </c>
      <c r="AI2194">
        <v>92.173352066395495</v>
      </c>
      <c r="AJ2194">
        <v>87.461933467721806</v>
      </c>
      <c r="AK2194">
        <v>29.256674288308801</v>
      </c>
      <c r="AL2194">
        <v>94.324845297577994</v>
      </c>
      <c r="AM2194">
        <v>92.982542457039301</v>
      </c>
      <c r="AN2194">
        <v>0.99999998152935299</v>
      </c>
    </row>
    <row r="2195" spans="1:40" x14ac:dyDescent="0.25">
      <c r="A2195" t="str">
        <f>"20190305135236202"</f>
        <v>20190305135236202</v>
      </c>
      <c r="B2195" t="str">
        <f>"1551765156191848"</f>
        <v>1551765156191848</v>
      </c>
      <c r="C2195" t="s">
        <v>40</v>
      </c>
      <c r="D2195">
        <v>4.6660389999999996</v>
      </c>
      <c r="E2195">
        <v>0.53598029999999997</v>
      </c>
      <c r="F2195" t="s">
        <v>66</v>
      </c>
      <c r="G2195">
        <v>-403.94420000000002</v>
      </c>
      <c r="H2195" s="1">
        <v>6.3225299999999996E-6</v>
      </c>
      <c r="I2195">
        <v>286.21640000000002</v>
      </c>
      <c r="J2195">
        <v>-374.34030000000001</v>
      </c>
      <c r="K2195">
        <v>1.1094599999999999</v>
      </c>
      <c r="L2195">
        <v>284.73250000000002</v>
      </c>
      <c r="M2195">
        <v>-0.9998705</v>
      </c>
      <c r="N2195">
        <v>-1.3997620000000001E-2</v>
      </c>
      <c r="O2195">
        <v>7.9511040000000005E-3</v>
      </c>
      <c r="P2195">
        <v>-0.99505239999999995</v>
      </c>
      <c r="Q2195">
        <v>-8.8891440000000002E-2</v>
      </c>
      <c r="R2195">
        <v>-4.4377220000000002E-2</v>
      </c>
      <c r="S2195">
        <v>-3.011536</v>
      </c>
      <c r="T2195">
        <v>-0.1120232</v>
      </c>
      <c r="U2195">
        <v>0.14999390000000001</v>
      </c>
      <c r="V2195">
        <v>-5.2164639999999998E-2</v>
      </c>
      <c r="W2195">
        <v>-7.5046000000000002E-2</v>
      </c>
      <c r="X2195">
        <v>0.99581470000000005</v>
      </c>
      <c r="Y2195">
        <v>4.1763630000000003E-2</v>
      </c>
      <c r="Z2195">
        <v>8.8439580000000001E-4</v>
      </c>
      <c r="AA2195">
        <v>0.99912710000000005</v>
      </c>
      <c r="AB2195">
        <v>40</v>
      </c>
      <c r="AC2195">
        <v>-29.603899999999999</v>
      </c>
      <c r="AD2195">
        <v>-1.1094536774699999</v>
      </c>
      <c r="AE2195">
        <v>1.4839</v>
      </c>
      <c r="AF2195">
        <v>1.24669975675531</v>
      </c>
      <c r="AG2195">
        <v>-1.1094536774699999</v>
      </c>
      <c r="AH2195">
        <v>29.573332292727699</v>
      </c>
      <c r="AI2195">
        <v>92.146558488050502</v>
      </c>
      <c r="AJ2195">
        <v>87.586056095939597</v>
      </c>
      <c r="AK2195">
        <v>29.620383701803</v>
      </c>
      <c r="AL2195">
        <v>94.303865427048706</v>
      </c>
      <c r="AM2195">
        <v>92.998634550177201</v>
      </c>
      <c r="AN2195">
        <v>0.999999984259209</v>
      </c>
    </row>
    <row r="2196" spans="1:40" x14ac:dyDescent="0.25">
      <c r="A2196" t="str">
        <f>"20190305135236216"</f>
        <v>20190305135236216</v>
      </c>
      <c r="B2196" t="str">
        <f>"1551765156211369"</f>
        <v>1551765156211369</v>
      </c>
      <c r="C2196" t="s">
        <v>40</v>
      </c>
      <c r="D2196">
        <v>4.7202909999999996</v>
      </c>
      <c r="E2196">
        <v>0.53596820000000001</v>
      </c>
      <c r="F2196" t="s">
        <v>66</v>
      </c>
      <c r="G2196">
        <v>-404.49579999999997</v>
      </c>
      <c r="H2196" s="1">
        <v>6.0775789999999899E-6</v>
      </c>
      <c r="I2196">
        <v>286.21820000000002</v>
      </c>
      <c r="J2196">
        <v>-374.57190000000003</v>
      </c>
      <c r="K2196">
        <v>1.109399</v>
      </c>
      <c r="L2196">
        <v>284.73410000000001</v>
      </c>
      <c r="M2196">
        <v>-0.99987280000000001</v>
      </c>
      <c r="N2196">
        <v>-1.396904E-2</v>
      </c>
      <c r="O2196">
        <v>7.7002719999999898E-3</v>
      </c>
      <c r="P2196">
        <v>-0.99504899999999996</v>
      </c>
      <c r="Q2196">
        <v>-8.8473659999999996E-2</v>
      </c>
      <c r="R2196">
        <v>-4.5275500000000003E-2</v>
      </c>
      <c r="S2196">
        <v>-3.0116269999999998</v>
      </c>
      <c r="T2196">
        <v>-0.1108011</v>
      </c>
      <c r="U2196">
        <v>0.14837649999999999</v>
      </c>
      <c r="V2196">
        <v>-5.2824320000000001E-2</v>
      </c>
      <c r="W2196">
        <v>-7.4650140000000004E-2</v>
      </c>
      <c r="X2196">
        <v>0.99580970000000002</v>
      </c>
      <c r="Y2196">
        <v>4.1478380000000002E-2</v>
      </c>
      <c r="Z2196">
        <v>8.767995E-4</v>
      </c>
      <c r="AA2196">
        <v>0.999139</v>
      </c>
      <c r="AB2196">
        <v>40</v>
      </c>
      <c r="AC2196">
        <v>-29.9238999999999</v>
      </c>
      <c r="AD2196">
        <v>-1.109392922421</v>
      </c>
      <c r="AE2196">
        <v>1.48410000000001</v>
      </c>
      <c r="AF2196">
        <v>1.2518948760073401</v>
      </c>
      <c r="AG2196">
        <v>-1.109392922421</v>
      </c>
      <c r="AH2196">
        <v>29.893454988059901</v>
      </c>
      <c r="AI2196">
        <v>92.123501129224707</v>
      </c>
      <c r="AJ2196">
        <v>87.601936470825706</v>
      </c>
      <c r="AK2196">
        <v>29.9402178442318</v>
      </c>
      <c r="AL2196">
        <v>94.281120427959195</v>
      </c>
      <c r="AM2196">
        <v>93.036500320315596</v>
      </c>
      <c r="AN2196">
        <v>1.00000000539978</v>
      </c>
    </row>
    <row r="2197" spans="1:40" x14ac:dyDescent="0.25">
      <c r="A2197" t="str">
        <f>"20190305135236233"</f>
        <v>20190305135236233</v>
      </c>
      <c r="B2197" t="str">
        <f>"1551765156231864"</f>
        <v>1551765156231864</v>
      </c>
      <c r="C2197" t="s">
        <v>40</v>
      </c>
      <c r="D2197">
        <v>4.7535429999999996</v>
      </c>
      <c r="E2197">
        <v>0.5360878</v>
      </c>
      <c r="F2197" t="s">
        <v>66</v>
      </c>
      <c r="G2197">
        <v>-404.95049999999998</v>
      </c>
      <c r="H2197" s="1">
        <v>5.8793310000000004E-6</v>
      </c>
      <c r="I2197">
        <v>286.20179999999999</v>
      </c>
      <c r="J2197">
        <v>-374.89589999999998</v>
      </c>
      <c r="K2197">
        <v>1.1093</v>
      </c>
      <c r="L2197">
        <v>284.73630000000003</v>
      </c>
      <c r="M2197">
        <v>-0.99987550000000003</v>
      </c>
      <c r="N2197">
        <v>-1.392055E-2</v>
      </c>
      <c r="O2197">
        <v>7.4226069999999899E-3</v>
      </c>
      <c r="P2197">
        <v>-0.99506019999999995</v>
      </c>
      <c r="Q2197">
        <v>-8.7896349999999998E-2</v>
      </c>
      <c r="R2197">
        <v>-4.6145779999999997E-2</v>
      </c>
      <c r="S2197">
        <v>-3.0117799999999999</v>
      </c>
      <c r="T2197">
        <v>-0.109987</v>
      </c>
      <c r="U2197">
        <v>0.14550779999999999</v>
      </c>
      <c r="V2197">
        <v>-5.3435700000000003E-2</v>
      </c>
      <c r="W2197">
        <v>-7.4109729999999999E-2</v>
      </c>
      <c r="X2197">
        <v>0.99581739999999996</v>
      </c>
      <c r="Y2197">
        <v>4.0804989999999999E-2</v>
      </c>
      <c r="Z2197">
        <v>8.6117159999999997E-4</v>
      </c>
      <c r="AA2197">
        <v>0.99916680000000002</v>
      </c>
      <c r="AB2197">
        <v>40</v>
      </c>
      <c r="AC2197">
        <v>-30.054599999999901</v>
      </c>
      <c r="AD2197">
        <v>-1.1092941206689999</v>
      </c>
      <c r="AE2197">
        <v>1.4654999999999601</v>
      </c>
      <c r="AF2197">
        <v>1.24066835783936</v>
      </c>
      <c r="AG2197">
        <v>-1.1092941206689999</v>
      </c>
      <c r="AH2197">
        <v>30.023846432315999</v>
      </c>
      <c r="AI2197">
        <v>92.114147928557699</v>
      </c>
      <c r="AJ2197">
        <v>87.633726201085906</v>
      </c>
      <c r="AK2197">
        <v>30.069937579110299</v>
      </c>
      <c r="AL2197">
        <v>94.250071401213802</v>
      </c>
      <c r="AM2197">
        <v>93.0715536591822</v>
      </c>
      <c r="AN2197">
        <v>0.99999996012895997</v>
      </c>
    </row>
    <row r="2198" spans="1:40" x14ac:dyDescent="0.25">
      <c r="A2198" t="str">
        <f>"20190305135236257"</f>
        <v>20190305135236257</v>
      </c>
      <c r="B2198" t="str">
        <f>"1551765156251387"</f>
        <v>1551765156251387</v>
      </c>
      <c r="C2198" t="s">
        <v>40</v>
      </c>
      <c r="D2198">
        <v>4.676024</v>
      </c>
      <c r="E2198">
        <v>0.56778439999999997</v>
      </c>
      <c r="F2198" t="s">
        <v>66</v>
      </c>
      <c r="G2198">
        <v>-405.94909999999999</v>
      </c>
      <c r="H2198" s="1">
        <v>5.4328330000000002E-6</v>
      </c>
      <c r="I2198">
        <v>286.21940000000001</v>
      </c>
      <c r="J2198">
        <v>-375.30149999999998</v>
      </c>
      <c r="K2198">
        <v>1.109159</v>
      </c>
      <c r="L2198">
        <v>284.73899999999998</v>
      </c>
      <c r="M2198">
        <v>-0.99987809999999999</v>
      </c>
      <c r="N2198">
        <v>-1.384581E-2</v>
      </c>
      <c r="O2198">
        <v>7.2188969999999898E-3</v>
      </c>
      <c r="P2198">
        <v>-0.99506280000000003</v>
      </c>
      <c r="Q2198">
        <v>-8.7679270000000004E-2</v>
      </c>
      <c r="R2198">
        <v>-4.6501170000000001E-2</v>
      </c>
      <c r="S2198">
        <v>-3.0120849999999999</v>
      </c>
      <c r="T2198">
        <v>-0.1075989</v>
      </c>
      <c r="U2198">
        <v>0.14385990000000001</v>
      </c>
      <c r="V2198">
        <v>-5.36125E-2</v>
      </c>
      <c r="W2198">
        <v>-7.3950269999999999E-2</v>
      </c>
      <c r="X2198">
        <v>0.99581980000000003</v>
      </c>
      <c r="Y2198">
        <v>4.0459870000000002E-2</v>
      </c>
      <c r="Z2198">
        <v>8.4466710000000004E-4</v>
      </c>
      <c r="AA2198">
        <v>0.99918079999999998</v>
      </c>
      <c r="AB2198">
        <v>40</v>
      </c>
      <c r="AC2198">
        <v>-30.647600000000001</v>
      </c>
      <c r="AD2198">
        <v>-1.1091535671670001</v>
      </c>
      <c r="AE2198">
        <v>1.48039999999997</v>
      </c>
      <c r="AF2198">
        <v>1.25745521894929</v>
      </c>
      <c r="AG2198">
        <v>-1.1091535671670001</v>
      </c>
      <c r="AH2198">
        <v>30.6174810729241</v>
      </c>
      <c r="AI2198">
        <v>92.072952456606799</v>
      </c>
      <c r="AJ2198">
        <v>87.6481928798176</v>
      </c>
      <c r="AK2198">
        <v>30.6633586306863</v>
      </c>
      <c r="AL2198">
        <v>94.240909671955905</v>
      </c>
      <c r="AM2198">
        <v>93.081689384450698</v>
      </c>
      <c r="AN2198">
        <v>1.0000000083306799</v>
      </c>
    </row>
    <row r="2199" spans="1:40" x14ac:dyDescent="0.25">
      <c r="A2199" t="str">
        <f>"20190305135236269"</f>
        <v>20190305135236269</v>
      </c>
      <c r="B2199" t="str">
        <f>"1551765156262120"</f>
        <v>1551765156262120</v>
      </c>
      <c r="C2199" t="s">
        <v>40</v>
      </c>
      <c r="D2199">
        <v>4.6606889999999996</v>
      </c>
      <c r="E2199">
        <v>0.57014940000000003</v>
      </c>
      <c r="F2199" t="s">
        <v>68</v>
      </c>
      <c r="G2199">
        <v>-511.82100000000003</v>
      </c>
      <c r="H2199">
        <v>2.4555739999999999</v>
      </c>
      <c r="I2199">
        <v>302.31909999999999</v>
      </c>
      <c r="J2199">
        <v>-375.53559999999999</v>
      </c>
      <c r="K2199">
        <v>1.1090739999999999</v>
      </c>
      <c r="L2199">
        <v>284.7407</v>
      </c>
      <c r="M2199">
        <v>-0.99987919999999997</v>
      </c>
      <c r="N2199">
        <v>-1.3798680000000001E-2</v>
      </c>
      <c r="O2199">
        <v>7.1723139999999999E-3</v>
      </c>
      <c r="P2199">
        <v>-0.99503509999999995</v>
      </c>
      <c r="Q2199">
        <v>-8.8042709999999996E-2</v>
      </c>
      <c r="R2199">
        <v>-4.6411420000000002E-2</v>
      </c>
      <c r="S2199">
        <v>-3.0357970000000001</v>
      </c>
      <c r="T2199">
        <v>2.994227E-2</v>
      </c>
      <c r="U2199">
        <v>0.39093020000000001</v>
      </c>
      <c r="V2199">
        <v>-5.3490299999999998E-2</v>
      </c>
      <c r="W2199">
        <v>-7.4350570000000005E-2</v>
      </c>
      <c r="X2199">
        <v>0.99579660000000003</v>
      </c>
      <c r="Y2199">
        <v>0.1206057</v>
      </c>
      <c r="Z2199">
        <v>4.1225380000000001E-4</v>
      </c>
      <c r="AA2199">
        <v>0.99270040000000004</v>
      </c>
      <c r="AB2199">
        <v>40</v>
      </c>
      <c r="AC2199">
        <v>-136.28539999999899</v>
      </c>
      <c r="AD2199">
        <v>1.3465</v>
      </c>
      <c r="AE2199">
        <v>17.578399999999899</v>
      </c>
      <c r="AF2199">
        <v>16.598779381000199</v>
      </c>
      <c r="AG2199">
        <v>1.3465</v>
      </c>
      <c r="AH2199">
        <v>136.39488744255999</v>
      </c>
      <c r="AI2199">
        <v>89.438532503895999</v>
      </c>
      <c r="AJ2199">
        <v>83.061423886638394</v>
      </c>
      <c r="AK2199">
        <v>137.407779472844</v>
      </c>
      <c r="AL2199">
        <v>94.263908334200096</v>
      </c>
      <c r="AM2199">
        <v>93.0747502196742</v>
      </c>
      <c r="AN2199">
        <v>1.0000000440124801</v>
      </c>
    </row>
    <row r="2200" spans="1:40" x14ac:dyDescent="0.25">
      <c r="A2200" t="str">
        <f>"20190305135236291"</f>
        <v>20190305135236291</v>
      </c>
      <c r="B2200" t="str">
        <f>"1551765156281644"</f>
        <v>1551765156281644</v>
      </c>
      <c r="C2200" t="s">
        <v>40</v>
      </c>
      <c r="D2200">
        <v>4.6303769999999904</v>
      </c>
      <c r="E2200">
        <v>0.57237609999999906</v>
      </c>
      <c r="F2200" t="s">
        <v>68</v>
      </c>
      <c r="G2200">
        <v>-511.8211</v>
      </c>
      <c r="H2200">
        <v>2.9669449999999999</v>
      </c>
      <c r="I2200">
        <v>303.12150000000003</v>
      </c>
      <c r="J2200">
        <v>-375.90469999999999</v>
      </c>
      <c r="K2200">
        <v>1.1089279999999999</v>
      </c>
      <c r="L2200">
        <v>284.74329999999998</v>
      </c>
      <c r="M2200">
        <v>-0.99987969999999904</v>
      </c>
      <c r="N2200">
        <v>-1.372218E-2</v>
      </c>
      <c r="O2200">
        <v>7.22215599999999E-3</v>
      </c>
      <c r="P2200">
        <v>-0.99499919999999997</v>
      </c>
      <c r="Q2200">
        <v>-8.8624339999999996E-2</v>
      </c>
      <c r="R2200">
        <v>-4.6065960000000003E-2</v>
      </c>
      <c r="S2200">
        <v>-3.0377200000000002</v>
      </c>
      <c r="T2200">
        <v>4.1412709999999998E-2</v>
      </c>
      <c r="U2200">
        <v>0.40969850000000002</v>
      </c>
      <c r="V2200">
        <v>-5.321708E-2</v>
      </c>
      <c r="W2200">
        <v>-7.4991849999999999E-2</v>
      </c>
      <c r="X2200">
        <v>0.99576310000000001</v>
      </c>
      <c r="Y2200">
        <v>0.12650159999999999</v>
      </c>
      <c r="Z2200">
        <v>2.101916E-4</v>
      </c>
      <c r="AA2200">
        <v>0.99196640000000003</v>
      </c>
      <c r="AB2200">
        <v>40</v>
      </c>
      <c r="AC2200">
        <v>-135.91640000000001</v>
      </c>
      <c r="AD2200">
        <v>1.858017</v>
      </c>
      <c r="AE2200">
        <v>18.3782</v>
      </c>
      <c r="AF2200">
        <v>17.3928267098707</v>
      </c>
      <c r="AG2200">
        <v>1.858017</v>
      </c>
      <c r="AH2200">
        <v>136.02063464454301</v>
      </c>
      <c r="AI2200">
        <v>89.223718576611802</v>
      </c>
      <c r="AJ2200">
        <v>82.713186836746104</v>
      </c>
      <c r="AK2200">
        <v>137.140714950871</v>
      </c>
      <c r="AL2200">
        <v>94.300754054420295</v>
      </c>
      <c r="AM2200">
        <v>93.059177506644204</v>
      </c>
      <c r="AN2200">
        <v>0.99999999324587896</v>
      </c>
    </row>
    <row r="2201" spans="1:40" x14ac:dyDescent="0.25">
      <c r="A2201" t="str">
        <f>"20190305135236313"</f>
        <v>20190305135236313</v>
      </c>
      <c r="B2201" t="str">
        <f>"1551765156301496"</f>
        <v>1551765156301496</v>
      </c>
      <c r="C2201" t="s">
        <v>40</v>
      </c>
      <c r="D2201">
        <v>4.6045280000000002</v>
      </c>
      <c r="E2201">
        <v>0.57339629999999997</v>
      </c>
      <c r="F2201" t="s">
        <v>68</v>
      </c>
      <c r="G2201">
        <v>-511.82130000000001</v>
      </c>
      <c r="H2201">
        <v>3.4836179999999999</v>
      </c>
      <c r="I2201">
        <v>303.87790000000001</v>
      </c>
      <c r="J2201">
        <v>-376.29059999999998</v>
      </c>
      <c r="K2201">
        <v>1.1087819999999999</v>
      </c>
      <c r="L2201">
        <v>284.74619999999999</v>
      </c>
      <c r="M2201">
        <v>-0.99987939999999997</v>
      </c>
      <c r="N2201">
        <v>-1.364362E-2</v>
      </c>
      <c r="O2201">
        <v>7.4310380000000001E-3</v>
      </c>
      <c r="P2201">
        <v>-0.99507599999999996</v>
      </c>
      <c r="Q2201">
        <v>-8.8570850000000007E-2</v>
      </c>
      <c r="R2201">
        <v>-4.4489599999999997E-2</v>
      </c>
      <c r="S2201">
        <v>-3.0395810000000001</v>
      </c>
      <c r="T2201">
        <v>5.3108450000000001E-2</v>
      </c>
      <c r="U2201">
        <v>0.42791750000000001</v>
      </c>
      <c r="V2201">
        <v>-5.1874700000000003E-2</v>
      </c>
      <c r="W2201">
        <v>-7.4997049999999996E-2</v>
      </c>
      <c r="X2201">
        <v>0.99583359999999999</v>
      </c>
      <c r="Y2201">
        <v>0.13204340000000001</v>
      </c>
      <c r="Z2201" s="1">
        <v>-1.2487169999999999E-5</v>
      </c>
      <c r="AA2201">
        <v>0.99124400000000001</v>
      </c>
      <c r="AB2201">
        <v>40</v>
      </c>
      <c r="AC2201">
        <v>-135.5307</v>
      </c>
      <c r="AD2201">
        <v>2.3748360000000002</v>
      </c>
      <c r="AE2201">
        <v>19.131699999999999</v>
      </c>
      <c r="AF2201">
        <v>18.118489849313299</v>
      </c>
      <c r="AG2201">
        <v>2.3748360000000002</v>
      </c>
      <c r="AH2201">
        <v>135.628309405914</v>
      </c>
      <c r="AI2201">
        <v>89.005691277767596</v>
      </c>
      <c r="AJ2201">
        <v>82.390947918314595</v>
      </c>
      <c r="AK2201">
        <v>136.85378267608399</v>
      </c>
      <c r="AL2201">
        <v>94.301052587357006</v>
      </c>
      <c r="AM2201">
        <v>92.981941297789206</v>
      </c>
      <c r="AN2201">
        <v>1.00000005044887</v>
      </c>
    </row>
    <row r="2202" spans="1:40" x14ac:dyDescent="0.25">
      <c r="A2202" t="str">
        <f>"20190305135236334"</f>
        <v>20190305135236334</v>
      </c>
      <c r="B2202" t="str">
        <f>"1551765156331752"</f>
        <v>1551765156331752</v>
      </c>
      <c r="C2202" t="s">
        <v>40</v>
      </c>
      <c r="D2202">
        <v>4.6441600000000003</v>
      </c>
      <c r="E2202">
        <v>0.56970180000000004</v>
      </c>
      <c r="F2202" t="s">
        <v>68</v>
      </c>
      <c r="G2202">
        <v>-511.82139999999998</v>
      </c>
      <c r="H2202">
        <v>3.721654</v>
      </c>
      <c r="I2202">
        <v>304.3965</v>
      </c>
      <c r="J2202">
        <v>-376.6782</v>
      </c>
      <c r="K2202">
        <v>1.1086290000000001</v>
      </c>
      <c r="L2202">
        <v>284.74930000000001</v>
      </c>
      <c r="M2202">
        <v>-0.99987760000000003</v>
      </c>
      <c r="N2202">
        <v>-1.3565860000000001E-2</v>
      </c>
      <c r="O2202">
        <v>7.7897729999999998E-3</v>
      </c>
      <c r="P2202">
        <v>-0.99520220000000004</v>
      </c>
      <c r="Q2202">
        <v>-8.81826E-2</v>
      </c>
      <c r="R2202">
        <v>-4.238227E-2</v>
      </c>
      <c r="S2202">
        <v>-3.0397949999999998</v>
      </c>
      <c r="T2202">
        <v>5.8605549999999999E-2</v>
      </c>
      <c r="U2202">
        <v>0.44073489999999999</v>
      </c>
      <c r="V2202">
        <v>-5.0152160000000001E-2</v>
      </c>
      <c r="W2202">
        <v>-7.4666780000000002E-2</v>
      </c>
      <c r="X2202">
        <v>0.99594660000000002</v>
      </c>
      <c r="Y2202">
        <v>0.1357708</v>
      </c>
      <c r="Z2202">
        <v>-1.215916E-4</v>
      </c>
      <c r="AA2202">
        <v>0.99074019999999996</v>
      </c>
      <c r="AB2202">
        <v>40</v>
      </c>
      <c r="AC2202">
        <v>-135.14319999999901</v>
      </c>
      <c r="AD2202">
        <v>2.6130249999999999</v>
      </c>
      <c r="AE2202">
        <v>19.647200000000002</v>
      </c>
      <c r="AF2202">
        <v>18.586967075732701</v>
      </c>
      <c r="AG2202">
        <v>2.6130249999999999</v>
      </c>
      <c r="AH2202">
        <v>135.24264610468501</v>
      </c>
      <c r="AI2202">
        <v>88.903430282087697</v>
      </c>
      <c r="AJ2202">
        <v>82.174622714156996</v>
      </c>
      <c r="AK2202">
        <v>136.53891961679699</v>
      </c>
      <c r="AL2202">
        <v>94.282076527046996</v>
      </c>
      <c r="AM2202">
        <v>92.882766961708498</v>
      </c>
      <c r="AN2202">
        <v>0.99999999861989697</v>
      </c>
    </row>
    <row r="2203" spans="1:40" x14ac:dyDescent="0.25">
      <c r="A2203" t="str">
        <f>"20190305135236358"</f>
        <v>20190305135236358</v>
      </c>
      <c r="B2203" t="str">
        <f>"1551765156352248"</f>
        <v>1551765156352248</v>
      </c>
      <c r="C2203" t="s">
        <v>40</v>
      </c>
      <c r="D2203">
        <v>4.6362439999999996</v>
      </c>
      <c r="E2203">
        <v>0.56778019999999996</v>
      </c>
      <c r="F2203" t="s">
        <v>68</v>
      </c>
      <c r="G2203">
        <v>-511.82089999999999</v>
      </c>
      <c r="H2203">
        <v>2.1059030000000001</v>
      </c>
      <c r="I2203">
        <v>303.40980000000002</v>
      </c>
      <c r="J2203">
        <v>-377.08819999999997</v>
      </c>
      <c r="K2203">
        <v>1.1084639999999999</v>
      </c>
      <c r="L2203">
        <v>284.75290000000001</v>
      </c>
      <c r="M2203">
        <v>-0.9998745</v>
      </c>
      <c r="N2203">
        <v>-1.348806E-2</v>
      </c>
      <c r="O2203">
        <v>8.3197789999999994E-3</v>
      </c>
      <c r="P2203">
        <v>-0.99532430000000005</v>
      </c>
      <c r="Q2203">
        <v>-8.7801199999999996E-2</v>
      </c>
      <c r="R2203">
        <v>-4.0259620000000003E-2</v>
      </c>
      <c r="S2203">
        <v>-3.0343019999999998</v>
      </c>
      <c r="T2203">
        <v>2.2393349999999999E-2</v>
      </c>
      <c r="U2203">
        <v>0.41897580000000001</v>
      </c>
      <c r="V2203">
        <v>-4.8585139999999999E-2</v>
      </c>
      <c r="W2203">
        <v>-7.4343720000000002E-2</v>
      </c>
      <c r="X2203">
        <v>0.9960485</v>
      </c>
      <c r="Y2203">
        <v>0.1285396</v>
      </c>
      <c r="Z2203">
        <v>5.7173450000000002E-4</v>
      </c>
      <c r="AA2203">
        <v>0.99170420000000004</v>
      </c>
      <c r="AB2203">
        <v>40</v>
      </c>
      <c r="AC2203">
        <v>-134.73269999999999</v>
      </c>
      <c r="AD2203">
        <v>0.99743899999999996</v>
      </c>
      <c r="AE2203">
        <v>18.6569</v>
      </c>
      <c r="AF2203">
        <v>17.534263091748102</v>
      </c>
      <c r="AG2203">
        <v>0.99743899999999996</v>
      </c>
      <c r="AH2203">
        <v>134.87601853590999</v>
      </c>
      <c r="AI2203">
        <v>89.579827935543904</v>
      </c>
      <c r="AJ2203">
        <v>82.592928844117296</v>
      </c>
      <c r="AK2203">
        <v>136.01465230933201</v>
      </c>
      <c r="AL2203">
        <v>94.263514702998194</v>
      </c>
      <c r="AM2203">
        <v>92.792553636608204</v>
      </c>
      <c r="AN2203">
        <v>1.00000005944225</v>
      </c>
    </row>
    <row r="2204" spans="1:40" x14ac:dyDescent="0.25">
      <c r="A2204" t="str">
        <f>"20190305135236379"</f>
        <v>20190305135236379</v>
      </c>
      <c r="B2204" t="str">
        <f>"1551765156371768"</f>
        <v>1551765156371768</v>
      </c>
      <c r="C2204" t="s">
        <v>40</v>
      </c>
      <c r="D2204">
        <v>4.7696139999999998</v>
      </c>
      <c r="E2204">
        <v>0.56575379999999997</v>
      </c>
      <c r="F2204" t="s">
        <v>68</v>
      </c>
      <c r="G2204">
        <v>-511.82060000000001</v>
      </c>
      <c r="H2204">
        <v>1.342387</v>
      </c>
      <c r="I2204">
        <v>303.0018</v>
      </c>
      <c r="J2204">
        <v>-377.4787</v>
      </c>
      <c r="K2204">
        <v>1.108322</v>
      </c>
      <c r="L2204">
        <v>284.75670000000002</v>
      </c>
      <c r="M2204">
        <v>-0.99986989999999998</v>
      </c>
      <c r="N2204">
        <v>-1.34205E-2</v>
      </c>
      <c r="O2204">
        <v>8.9527849999999996E-3</v>
      </c>
      <c r="P2204">
        <v>-0.99539359999999999</v>
      </c>
      <c r="Q2204">
        <v>-8.7787409999999996E-2</v>
      </c>
      <c r="R2204">
        <v>-3.853612E-2</v>
      </c>
      <c r="S2204">
        <v>-3.0311279999999998</v>
      </c>
      <c r="T2204">
        <v>5.2646400000000001E-3</v>
      </c>
      <c r="U2204">
        <v>0.410553</v>
      </c>
      <c r="V2204">
        <v>-4.7517289999999997E-2</v>
      </c>
      <c r="W2204">
        <v>-7.4380929999999998E-2</v>
      </c>
      <c r="X2204">
        <v>0.99609709999999996</v>
      </c>
      <c r="Y2204">
        <v>0.12534429999999999</v>
      </c>
      <c r="Z2204">
        <v>8.7169579999999997E-4</v>
      </c>
      <c r="AA2204">
        <v>0.99211289999999996</v>
      </c>
      <c r="AB2204">
        <v>40</v>
      </c>
      <c r="AC2204">
        <v>-134.34190000000001</v>
      </c>
      <c r="AD2204">
        <v>0.234065</v>
      </c>
      <c r="AE2204">
        <v>18.245099999999901</v>
      </c>
      <c r="AF2204">
        <v>17.0414754385611</v>
      </c>
      <c r="AG2204">
        <v>0.234065</v>
      </c>
      <c r="AH2204">
        <v>134.49947327829301</v>
      </c>
      <c r="AI2204">
        <v>89.901080985786294</v>
      </c>
      <c r="AJ2204">
        <v>82.778935058608397</v>
      </c>
      <c r="AK2204">
        <v>135.57497919485601</v>
      </c>
      <c r="AL2204">
        <v>94.265653176377796</v>
      </c>
      <c r="AM2204">
        <v>92.731137184613502</v>
      </c>
      <c r="AN2204">
        <v>0.99999992411250604</v>
      </c>
    </row>
    <row r="2205" spans="1:40" x14ac:dyDescent="0.25">
      <c r="A2205" t="str">
        <f>"20190305135236401"</f>
        <v>20190305135236401</v>
      </c>
      <c r="B2205" t="str">
        <f>"1551765156391288"</f>
        <v>1551765156391288</v>
      </c>
      <c r="C2205" t="s">
        <v>40</v>
      </c>
      <c r="D2205">
        <v>4.8190980000000003</v>
      </c>
      <c r="E2205">
        <v>0.56424359999999996</v>
      </c>
      <c r="F2205" t="s">
        <v>68</v>
      </c>
      <c r="G2205">
        <v>-511.82029999999997</v>
      </c>
      <c r="H2205">
        <v>0.48073880000000002</v>
      </c>
      <c r="I2205">
        <v>302.50760000000002</v>
      </c>
      <c r="J2205">
        <v>-377.8648</v>
      </c>
      <c r="K2205">
        <v>1.10819</v>
      </c>
      <c r="L2205">
        <v>284.76069999999999</v>
      </c>
      <c r="M2205">
        <v>-0.99986390000000003</v>
      </c>
      <c r="N2205">
        <v>-1.336002E-2</v>
      </c>
      <c r="O2205">
        <v>9.6827570000000002E-3</v>
      </c>
      <c r="P2205">
        <v>-0.99545660000000002</v>
      </c>
      <c r="Q2205">
        <v>-8.7707939999999998E-2</v>
      </c>
      <c r="R2205">
        <v>-3.7061080000000003E-2</v>
      </c>
      <c r="S2205">
        <v>-3.0281370000000001</v>
      </c>
      <c r="T2205">
        <v>-1.414406E-2</v>
      </c>
      <c r="U2205">
        <v>0.40011600000000003</v>
      </c>
      <c r="V2205">
        <v>-4.679258E-2</v>
      </c>
      <c r="W2205">
        <v>-7.4347300000000005E-2</v>
      </c>
      <c r="X2205">
        <v>0.99613399999999996</v>
      </c>
      <c r="Y2205">
        <v>0.12138309999999999</v>
      </c>
      <c r="Z2205">
        <v>1.1804649999999999E-3</v>
      </c>
      <c r="AA2205">
        <v>0.99260499999999996</v>
      </c>
      <c r="AB2205">
        <v>40</v>
      </c>
      <c r="AC2205">
        <v>-133.95549999999901</v>
      </c>
      <c r="AD2205">
        <v>-0.62745119999999999</v>
      </c>
      <c r="AE2205">
        <v>17.7469</v>
      </c>
      <c r="AF2205">
        <v>16.448538951841201</v>
      </c>
      <c r="AG2205">
        <v>-0.62745119999999999</v>
      </c>
      <c r="AH2205">
        <v>134.11818162224799</v>
      </c>
      <c r="AI2205">
        <v>90.266054124914902</v>
      </c>
      <c r="AJ2205">
        <v>83.008039840733105</v>
      </c>
      <c r="AK2205">
        <v>135.12451580049</v>
      </c>
      <c r="AL2205">
        <v>94.263720618291103</v>
      </c>
      <c r="AM2205">
        <v>92.689445394870006</v>
      </c>
      <c r="AN2205">
        <v>1.00000000625817</v>
      </c>
    </row>
    <row r="2206" spans="1:40" x14ac:dyDescent="0.25">
      <c r="A2206" t="str">
        <f>"20190305135236424"</f>
        <v>20190305135236424</v>
      </c>
      <c r="B2206" t="str">
        <f>"1551765156421544"</f>
        <v>1551765156421544</v>
      </c>
      <c r="C2206" t="s">
        <v>40</v>
      </c>
      <c r="D2206">
        <v>4.6277869999999997</v>
      </c>
      <c r="E2206">
        <v>0.56429240000000003</v>
      </c>
      <c r="F2206" t="s">
        <v>69</v>
      </c>
      <c r="G2206">
        <v>-492.50259999999997</v>
      </c>
      <c r="H2206" s="1">
        <v>-6.8003899999999997E-7</v>
      </c>
      <c r="I2206">
        <v>299.64830000000001</v>
      </c>
      <c r="J2206">
        <v>-378.26459999999997</v>
      </c>
      <c r="K2206">
        <v>1.1080730000000001</v>
      </c>
      <c r="L2206">
        <v>284.76530000000002</v>
      </c>
      <c r="M2206">
        <v>-0.99985619999999997</v>
      </c>
      <c r="N2206">
        <v>-1.330785E-2</v>
      </c>
      <c r="O2206">
        <v>1.0522409999999999E-2</v>
      </c>
      <c r="P2206">
        <v>-0.99550190000000005</v>
      </c>
      <c r="Q2206">
        <v>-8.7574990000000005E-2</v>
      </c>
      <c r="R2206">
        <v>-3.6149580000000001E-2</v>
      </c>
      <c r="S2206">
        <v>-3.025757</v>
      </c>
      <c r="T2206">
        <v>-2.9249669999999998E-2</v>
      </c>
      <c r="U2206">
        <v>0.39294430000000002</v>
      </c>
      <c r="V2206">
        <v>-4.6738290000000002E-2</v>
      </c>
      <c r="W2206">
        <v>-7.4253020000000003E-2</v>
      </c>
      <c r="X2206">
        <v>0.99614360000000002</v>
      </c>
      <c r="Y2206">
        <v>0.1183292</v>
      </c>
      <c r="Z2206">
        <v>1.398463E-3</v>
      </c>
      <c r="AA2206">
        <v>0.99297340000000001</v>
      </c>
      <c r="AB2206">
        <v>40</v>
      </c>
      <c r="AC2206">
        <v>-114.238</v>
      </c>
      <c r="AD2206">
        <v>-1.1080736800390001</v>
      </c>
      <c r="AE2206">
        <v>14.8829999999999</v>
      </c>
      <c r="AF2206">
        <v>13.6787450425202</v>
      </c>
      <c r="AG2206">
        <v>-1.1080736800390001</v>
      </c>
      <c r="AH2206">
        <v>114.377711785259</v>
      </c>
      <c r="AI2206">
        <v>90.551128336460195</v>
      </c>
      <c r="AJ2206">
        <v>83.180230188984495</v>
      </c>
      <c r="AK2206">
        <v>115.19807657443999</v>
      </c>
      <c r="AL2206">
        <v>94.258303718593694</v>
      </c>
      <c r="AM2206">
        <v>92.686303751370602</v>
      </c>
      <c r="AN2206">
        <v>1.0000000252761001</v>
      </c>
    </row>
    <row r="2207" spans="1:40" x14ac:dyDescent="0.25">
      <c r="A2207" t="str">
        <f>"20190305135236446"</f>
        <v>20190305135236446</v>
      </c>
      <c r="B2207" t="str">
        <f>"1551765156442040"</f>
        <v>1551765156442040</v>
      </c>
      <c r="C2207" t="s">
        <v>40</v>
      </c>
      <c r="D2207">
        <v>4.6237629999999896</v>
      </c>
      <c r="E2207">
        <v>0.56439810000000001</v>
      </c>
      <c r="F2207" t="s">
        <v>69</v>
      </c>
      <c r="G2207">
        <v>-500.60570000000001</v>
      </c>
      <c r="H2207">
        <v>7.9986509999999997E-2</v>
      </c>
      <c r="I2207">
        <v>300.7722</v>
      </c>
      <c r="J2207">
        <v>-378.66419999999999</v>
      </c>
      <c r="K2207">
        <v>1.1079749999999999</v>
      </c>
      <c r="L2207">
        <v>284.77019999999999</v>
      </c>
      <c r="M2207">
        <v>-0.99984669999999998</v>
      </c>
      <c r="N2207">
        <v>-1.3276720000000001E-2</v>
      </c>
      <c r="O2207">
        <v>1.142434E-2</v>
      </c>
      <c r="P2207">
        <v>-0.99551420000000002</v>
      </c>
      <c r="Q2207">
        <v>-8.749374E-2</v>
      </c>
      <c r="R2207">
        <v>-3.6006980000000001E-2</v>
      </c>
      <c r="S2207">
        <v>-3.025665</v>
      </c>
      <c r="T2207">
        <v>-2.5426029999999999E-2</v>
      </c>
      <c r="U2207">
        <v>0.395874</v>
      </c>
      <c r="V2207">
        <v>-4.7510829999999997E-2</v>
      </c>
      <c r="W2207">
        <v>-7.4191030000000005E-2</v>
      </c>
      <c r="X2207">
        <v>0.99611159999999999</v>
      </c>
      <c r="Y2207">
        <v>0.11838509999999999</v>
      </c>
      <c r="Z2207">
        <v>1.3400879999999999E-3</v>
      </c>
      <c r="AA2207">
        <v>0.99296680000000004</v>
      </c>
      <c r="AB2207">
        <v>40</v>
      </c>
      <c r="AC2207">
        <v>-121.9415</v>
      </c>
      <c r="AD2207">
        <v>-1.02798849</v>
      </c>
      <c r="AE2207">
        <v>16.001999999999999</v>
      </c>
      <c r="AF2207">
        <v>14.606711224723201</v>
      </c>
      <c r="AG2207">
        <v>-1.02798849</v>
      </c>
      <c r="AH2207">
        <v>122.10783805410099</v>
      </c>
      <c r="AI2207">
        <v>90.478929984366403</v>
      </c>
      <c r="AJ2207">
        <v>83.178611475880103</v>
      </c>
      <c r="AK2207">
        <v>122.982669052939</v>
      </c>
      <c r="AL2207">
        <v>94.254742434298095</v>
      </c>
      <c r="AM2207">
        <v>92.7307267566664</v>
      </c>
      <c r="AN2207">
        <v>0.99999995377715301</v>
      </c>
    </row>
    <row r="2208" spans="1:40" x14ac:dyDescent="0.25">
      <c r="A2208" t="str">
        <f>"20190305135236469"</f>
        <v>20190305135236469</v>
      </c>
      <c r="B2208" t="str">
        <f>"1551765156461560"</f>
        <v>1551765156461560</v>
      </c>
      <c r="C2208" t="s">
        <v>40</v>
      </c>
      <c r="D2208">
        <v>4.6931399999999996</v>
      </c>
      <c r="E2208">
        <v>0.56355080000000002</v>
      </c>
      <c r="F2208" t="s">
        <v>68</v>
      </c>
      <c r="G2208">
        <v>-511.8202</v>
      </c>
      <c r="H2208">
        <v>5.128431E-2</v>
      </c>
      <c r="I2208">
        <v>302.2559</v>
      </c>
      <c r="J2208">
        <v>-379.0634</v>
      </c>
      <c r="K2208">
        <v>1.1079209999999999</v>
      </c>
      <c r="L2208">
        <v>284.7756</v>
      </c>
      <c r="M2208">
        <v>-0.99983529999999998</v>
      </c>
      <c r="N2208">
        <v>-1.3289789999999999E-2</v>
      </c>
      <c r="O2208">
        <v>1.2362160000000001E-2</v>
      </c>
      <c r="P2208">
        <v>-0.99553320000000001</v>
      </c>
      <c r="Q2208">
        <v>-8.7057060000000006E-2</v>
      </c>
      <c r="R2208">
        <v>-3.6541240000000003E-2</v>
      </c>
      <c r="S2208">
        <v>-3.0257869999999998</v>
      </c>
      <c r="T2208">
        <v>-2.4009820000000001E-2</v>
      </c>
      <c r="U2208">
        <v>0.39733889999999999</v>
      </c>
      <c r="V2208">
        <v>-4.8990609999999997E-2</v>
      </c>
      <c r="W2208">
        <v>-7.3730569999999995E-2</v>
      </c>
      <c r="X2208">
        <v>0.99607409999999996</v>
      </c>
      <c r="Y2208">
        <v>0.1179221</v>
      </c>
      <c r="Z2208">
        <v>1.3188309999999999E-3</v>
      </c>
      <c r="AA2208">
        <v>0.99302199999999996</v>
      </c>
      <c r="AB2208">
        <v>40</v>
      </c>
      <c r="AC2208">
        <v>-132.7568</v>
      </c>
      <c r="AD2208">
        <v>-1.0566366899999999</v>
      </c>
      <c r="AE2208">
        <v>17.4803</v>
      </c>
      <c r="AF2208">
        <v>15.836672186084201</v>
      </c>
      <c r="AG2208">
        <v>-1.0566366899999999</v>
      </c>
      <c r="AH2208">
        <v>132.95448805798401</v>
      </c>
      <c r="AI2208">
        <v>90.452144303220294</v>
      </c>
      <c r="AJ2208">
        <v>83.207304448950495</v>
      </c>
      <c r="AK2208">
        <v>133.89851590583399</v>
      </c>
      <c r="AL2208">
        <v>94.228287600470907</v>
      </c>
      <c r="AM2208">
        <v>92.8157494433908</v>
      </c>
      <c r="AN2208">
        <v>0.99999994475575205</v>
      </c>
    </row>
    <row r="2209" spans="1:40" x14ac:dyDescent="0.25">
      <c r="A2209" t="str">
        <f>"20190305135236491"</f>
        <v>20190305135236491</v>
      </c>
      <c r="B2209" t="str">
        <f>"1551765156482056"</f>
        <v>1551765156482056</v>
      </c>
      <c r="C2209" t="s">
        <v>40</v>
      </c>
      <c r="D2209">
        <v>4.6817919999999997</v>
      </c>
      <c r="E2209">
        <v>0.5283776</v>
      </c>
      <c r="F2209" t="s">
        <v>69</v>
      </c>
      <c r="G2209">
        <v>-496.59829999999999</v>
      </c>
      <c r="H2209" s="1">
        <v>-1.876163E-6</v>
      </c>
      <c r="I2209">
        <v>299.89620000000002</v>
      </c>
      <c r="J2209">
        <v>-379.45769999999999</v>
      </c>
      <c r="K2209">
        <v>1.1078939999999999</v>
      </c>
      <c r="L2209">
        <v>284.78129999999999</v>
      </c>
      <c r="M2209">
        <v>-0.99982260000000001</v>
      </c>
      <c r="N2209">
        <v>-1.332945E-2</v>
      </c>
      <c r="O2209">
        <v>1.3311180000000001E-2</v>
      </c>
      <c r="P2209">
        <v>-0.99553780000000003</v>
      </c>
      <c r="Q2209">
        <v>-8.6578189999999999E-2</v>
      </c>
      <c r="R2209">
        <v>-3.7533839999999999E-2</v>
      </c>
      <c r="S2209">
        <v>-3.0252379999999999</v>
      </c>
      <c r="T2209">
        <v>-2.851689E-2</v>
      </c>
      <c r="U2209">
        <v>0.3891907</v>
      </c>
      <c r="V2209">
        <v>-5.0936059999999998E-2</v>
      </c>
      <c r="W2209">
        <v>-7.3202539999999997E-2</v>
      </c>
      <c r="X2209">
        <v>0.99601550000000005</v>
      </c>
      <c r="Y2209">
        <v>0.1143695</v>
      </c>
      <c r="Z2209">
        <v>1.3540869999999999E-3</v>
      </c>
      <c r="AA2209">
        <v>0.99343729999999997</v>
      </c>
      <c r="AB2209">
        <v>40</v>
      </c>
      <c r="AC2209">
        <v>-117.14060000000001</v>
      </c>
      <c r="AD2209">
        <v>-1.107895876163</v>
      </c>
      <c r="AE2209">
        <v>15.1149</v>
      </c>
      <c r="AF2209">
        <v>13.5529500723589</v>
      </c>
      <c r="AG2209">
        <v>-1.107895876163</v>
      </c>
      <c r="AH2209">
        <v>117.32111221818801</v>
      </c>
      <c r="AI2209">
        <v>90.5374697480664</v>
      </c>
      <c r="AJ2209">
        <v>83.410393092078394</v>
      </c>
      <c r="AK2209">
        <v>118.106533523971</v>
      </c>
      <c r="AL2209">
        <v>94.197951560889294</v>
      </c>
      <c r="AM2209">
        <v>92.927545889666504</v>
      </c>
      <c r="AN2209">
        <v>0.99999998515551203</v>
      </c>
    </row>
    <row r="2210" spans="1:40" x14ac:dyDescent="0.25">
      <c r="A2210" t="str">
        <f>"20190305135236513"</f>
        <v>20190305135236513</v>
      </c>
      <c r="B2210" t="str">
        <f>"1551765156501576"</f>
        <v>1551765156501576</v>
      </c>
      <c r="C2210" t="s">
        <v>40</v>
      </c>
      <c r="D2210">
        <v>4.6969900000000004</v>
      </c>
      <c r="E2210">
        <v>0.52356369999999997</v>
      </c>
      <c r="F2210" t="s">
        <v>66</v>
      </c>
      <c r="G2210">
        <v>-435.26209999999998</v>
      </c>
      <c r="H2210" s="1">
        <v>4.3632370000000004E-6</v>
      </c>
      <c r="I2210">
        <v>286.75839999999999</v>
      </c>
      <c r="J2210">
        <v>-379.84739999999999</v>
      </c>
      <c r="K2210">
        <v>1.1078859999999999</v>
      </c>
      <c r="L2210">
        <v>284.78730000000002</v>
      </c>
      <c r="M2210">
        <v>-0.99980869999999999</v>
      </c>
      <c r="N2210">
        <v>-1.3395779999999999E-2</v>
      </c>
      <c r="O2210">
        <v>1.425805E-2</v>
      </c>
      <c r="P2210">
        <v>-0.99552989999999997</v>
      </c>
      <c r="Q2210">
        <v>-8.6138889999999996E-2</v>
      </c>
      <c r="R2210">
        <v>-3.8733249999999997E-2</v>
      </c>
      <c r="S2210">
        <v>-3.012238</v>
      </c>
      <c r="T2210">
        <v>-5.9802290000000001E-2</v>
      </c>
      <c r="U2210">
        <v>0.10672</v>
      </c>
      <c r="V2210">
        <v>-5.308276E-2</v>
      </c>
      <c r="W2210">
        <v>-7.2688729999999993E-2</v>
      </c>
      <c r="X2210">
        <v>0.99594099999999997</v>
      </c>
      <c r="Y2210">
        <v>2.114593E-2</v>
      </c>
      <c r="Z2210">
        <v>2.5955930000000002E-4</v>
      </c>
      <c r="AA2210">
        <v>0.99977640000000001</v>
      </c>
      <c r="AB2210">
        <v>40</v>
      </c>
      <c r="AC2210">
        <v>-55.414699999999897</v>
      </c>
      <c r="AD2210">
        <v>-1.107881636763</v>
      </c>
      <c r="AE2210">
        <v>1.9710999999999701</v>
      </c>
      <c r="AF2210">
        <v>1.1802520514762</v>
      </c>
      <c r="AG2210">
        <v>-1.107881636763</v>
      </c>
      <c r="AH2210">
        <v>55.415051042990797</v>
      </c>
      <c r="AI2210">
        <v>91.145069778159495</v>
      </c>
      <c r="AJ2210">
        <v>88.779875906295302</v>
      </c>
      <c r="AK2210">
        <v>55.438689366933701</v>
      </c>
      <c r="AL2210">
        <v>94.168433911392995</v>
      </c>
      <c r="AM2210">
        <v>93.050926709111707</v>
      </c>
      <c r="AN2210">
        <v>0.99999995317961399</v>
      </c>
    </row>
    <row r="2211" spans="1:40" x14ac:dyDescent="0.25">
      <c r="A2211" t="str">
        <f>"20190305135236535"</f>
        <v>20190305135236535</v>
      </c>
      <c r="B2211" t="str">
        <f>"1551765156531832"</f>
        <v>1551765156531832</v>
      </c>
      <c r="C2211" t="s">
        <v>40</v>
      </c>
      <c r="D2211">
        <v>4.5968249999999999</v>
      </c>
      <c r="E2211">
        <v>0.52354579999999995</v>
      </c>
      <c r="F2211" t="s">
        <v>66</v>
      </c>
      <c r="G2211">
        <v>-438.04399999999998</v>
      </c>
      <c r="H2211" s="1">
        <v>5.6596E-6</v>
      </c>
      <c r="I2211">
        <v>286.04129999999998</v>
      </c>
      <c r="J2211">
        <v>-380.24349999999998</v>
      </c>
      <c r="K2211">
        <v>1.1078859999999999</v>
      </c>
      <c r="L2211">
        <v>284.79379999999998</v>
      </c>
      <c r="M2211">
        <v>-0.99979359999999995</v>
      </c>
      <c r="N2211">
        <v>-1.347289E-2</v>
      </c>
      <c r="O2211">
        <v>1.521409E-2</v>
      </c>
      <c r="P2211">
        <v>-0.99554690000000001</v>
      </c>
      <c r="Q2211">
        <v>-8.5687490000000005E-2</v>
      </c>
      <c r="R2211">
        <v>-3.9302780000000002E-2</v>
      </c>
      <c r="S2211">
        <v>-3.011047</v>
      </c>
      <c r="T2211">
        <v>-5.7320830000000003E-2</v>
      </c>
      <c r="U2211">
        <v>6.4880370000000007E-2</v>
      </c>
      <c r="V2211">
        <v>-5.4607349999999999E-2</v>
      </c>
      <c r="W2211">
        <v>-7.2154510000000005E-2</v>
      </c>
      <c r="X2211">
        <v>0.99589749999999999</v>
      </c>
      <c r="Y2211">
        <v>6.3262919999999999E-3</v>
      </c>
      <c r="Z2211" s="1">
        <v>1.8258E-5</v>
      </c>
      <c r="AA2211">
        <v>0.99997999999999998</v>
      </c>
      <c r="AB2211">
        <v>40</v>
      </c>
      <c r="AC2211">
        <v>-57.8005</v>
      </c>
      <c r="AD2211">
        <v>-1.1078803403999999</v>
      </c>
      <c r="AE2211">
        <v>1.2475000000000001</v>
      </c>
      <c r="AF2211">
        <v>0.36775880949096101</v>
      </c>
      <c r="AG2211">
        <v>-1.1078803403999999</v>
      </c>
      <c r="AH2211">
        <v>57.791568275626197</v>
      </c>
      <c r="AI2211">
        <v>91.098219181245696</v>
      </c>
      <c r="AJ2211">
        <v>89.635401082247895</v>
      </c>
      <c r="AK2211">
        <v>57.803356383059302</v>
      </c>
      <c r="AL2211">
        <v>94.137744439972295</v>
      </c>
      <c r="AM2211">
        <v>93.138516459334099</v>
      </c>
      <c r="AN2211">
        <v>1.0000000332468</v>
      </c>
    </row>
    <row r="2212" spans="1:40" x14ac:dyDescent="0.25">
      <c r="A2212" t="str">
        <f>"20190305135236558"</f>
        <v>20190305135236558</v>
      </c>
      <c r="B2212" t="str">
        <f>"1551765156551352"</f>
        <v>1551765156551352</v>
      </c>
      <c r="C2212" t="s">
        <v>40</v>
      </c>
      <c r="D2212">
        <v>4.5986070000000003</v>
      </c>
      <c r="E2212">
        <v>0.52367790000000003</v>
      </c>
      <c r="F2212" t="s">
        <v>66</v>
      </c>
      <c r="G2212">
        <v>-437.99829999999997</v>
      </c>
      <c r="H2212" s="1">
        <v>5.642356E-6</v>
      </c>
      <c r="I2212">
        <v>286.00670000000002</v>
      </c>
      <c r="J2212">
        <v>-380.64699999999999</v>
      </c>
      <c r="K2212">
        <v>1.1078920000000001</v>
      </c>
      <c r="L2212">
        <v>284.80079999999998</v>
      </c>
      <c r="M2212">
        <v>-0.99977760000000004</v>
      </c>
      <c r="N2212">
        <v>-1.3548960000000001E-2</v>
      </c>
      <c r="O2212">
        <v>1.6159799999999998E-2</v>
      </c>
      <c r="P2212">
        <v>-0.99563849999999998</v>
      </c>
      <c r="Q2212">
        <v>-8.4752380000000002E-2</v>
      </c>
      <c r="R2212">
        <v>-3.9002299999999997E-2</v>
      </c>
      <c r="S2212">
        <v>-3.0109859999999999</v>
      </c>
      <c r="T2212">
        <v>-5.7758209999999997E-2</v>
      </c>
      <c r="U2212">
        <v>6.3232419999999998E-2</v>
      </c>
      <c r="V2212">
        <v>-5.5249140000000002E-2</v>
      </c>
      <c r="W2212">
        <v>-7.1140309999999998E-2</v>
      </c>
      <c r="X2212">
        <v>0.99593500000000001</v>
      </c>
      <c r="Y2212">
        <v>4.8342200000000002E-3</v>
      </c>
      <c r="Z2212" s="1">
        <v>-1.183796E-5</v>
      </c>
      <c r="AA2212">
        <v>0.99998830000000005</v>
      </c>
      <c r="AB2212">
        <v>40</v>
      </c>
      <c r="AC2212">
        <v>-57.351299999999902</v>
      </c>
      <c r="AD2212">
        <v>-1.1078863576439999</v>
      </c>
      <c r="AE2212">
        <v>1.2059000000000399</v>
      </c>
      <c r="AF2212">
        <v>0.27876789213769498</v>
      </c>
      <c r="AG2212">
        <v>-1.1078863576439999</v>
      </c>
      <c r="AH2212">
        <v>57.341910008306002</v>
      </c>
      <c r="AI2212">
        <v>91.106844294921203</v>
      </c>
      <c r="AJ2212">
        <v>89.721458565778605</v>
      </c>
      <c r="AK2212">
        <v>57.3532890697631</v>
      </c>
      <c r="AL2212">
        <v>94.079485603012699</v>
      </c>
      <c r="AM2212">
        <v>93.175208497334296</v>
      </c>
      <c r="AN2212">
        <v>0.99999996770131705</v>
      </c>
    </row>
    <row r="2213" spans="1:40" x14ac:dyDescent="0.25">
      <c r="A2213" t="str">
        <f>"20190305135236580"</f>
        <v>20190305135236580</v>
      </c>
      <c r="B2213" t="str">
        <f>"1551765156571848"</f>
        <v>1551765156571848</v>
      </c>
      <c r="C2213" t="s">
        <v>40</v>
      </c>
      <c r="D2213">
        <v>4.5880219999999996</v>
      </c>
      <c r="E2213">
        <v>0.52372459999999998</v>
      </c>
      <c r="F2213" t="s">
        <v>66</v>
      </c>
      <c r="G2213">
        <v>-439.06950000000001</v>
      </c>
      <c r="H2213" s="1">
        <v>6.1118009999999999E-6</v>
      </c>
      <c r="I2213">
        <v>286.07040000000001</v>
      </c>
      <c r="J2213">
        <v>-381.03320000000002</v>
      </c>
      <c r="K2213">
        <v>1.10791</v>
      </c>
      <c r="L2213">
        <v>284.80779999999999</v>
      </c>
      <c r="M2213">
        <v>-0.9997627</v>
      </c>
      <c r="N2213">
        <v>-1.361747E-2</v>
      </c>
      <c r="O2213">
        <v>1.7013179999999999E-2</v>
      </c>
      <c r="P2213">
        <v>-0.99574790000000002</v>
      </c>
      <c r="Q2213">
        <v>-8.4132180000000001E-2</v>
      </c>
      <c r="R2213">
        <v>-3.7522420000000001E-2</v>
      </c>
      <c r="S2213">
        <v>-3.010834</v>
      </c>
      <c r="T2213">
        <v>-5.7095529999999999E-2</v>
      </c>
      <c r="U2213">
        <v>6.5429689999999999E-2</v>
      </c>
      <c r="V2213">
        <v>-5.4617329999999999E-2</v>
      </c>
      <c r="W2213">
        <v>-7.0453429999999997E-2</v>
      </c>
      <c r="X2213">
        <v>0.99601870000000003</v>
      </c>
      <c r="Y2213">
        <v>4.7111870000000004E-3</v>
      </c>
      <c r="Z2213" s="1">
        <v>-1.4112189999999999E-5</v>
      </c>
      <c r="AA2213">
        <v>0.99998889999999996</v>
      </c>
      <c r="AB2213">
        <v>39</v>
      </c>
      <c r="AC2213">
        <v>-58.036299999999898</v>
      </c>
      <c r="AD2213">
        <v>-1.107903888199</v>
      </c>
      <c r="AE2213">
        <v>1.2626000000000199</v>
      </c>
      <c r="AF2213">
        <v>0.27484370143646802</v>
      </c>
      <c r="AG2213">
        <v>-1.107903888199</v>
      </c>
      <c r="AH2213">
        <v>58.028244639862997</v>
      </c>
      <c r="AI2213">
        <v>91.093774146417701</v>
      </c>
      <c r="AJ2213">
        <v>89.728627559523105</v>
      </c>
      <c r="AK2213">
        <v>58.039470759729497</v>
      </c>
      <c r="AL2213">
        <v>94.040031166254195</v>
      </c>
      <c r="AM2213">
        <v>93.138707690752298</v>
      </c>
      <c r="AN2213">
        <v>0.99999999464239098</v>
      </c>
    </row>
    <row r="2214" spans="1:40" x14ac:dyDescent="0.25">
      <c r="A2214" t="str">
        <f>"20190305135236603"</f>
        <v>20190305135236603</v>
      </c>
      <c r="B2214" t="str">
        <f>"1551765156591368"</f>
        <v>1551765156591368</v>
      </c>
      <c r="C2214" t="s">
        <v>40</v>
      </c>
      <c r="D2214">
        <v>4.622992</v>
      </c>
      <c r="E2214">
        <v>0.52400000000000002</v>
      </c>
      <c r="F2214" t="s">
        <v>56</v>
      </c>
      <c r="G2214">
        <v>-440.19670000000002</v>
      </c>
      <c r="H2214" s="1">
        <v>-1.5009249999999999E-6</v>
      </c>
      <c r="I2214">
        <v>286.19009999999997</v>
      </c>
      <c r="J2214">
        <v>-381.42540000000002</v>
      </c>
      <c r="K2214">
        <v>1.1079410000000001</v>
      </c>
      <c r="L2214">
        <v>284.8152</v>
      </c>
      <c r="M2214">
        <v>-0.99974810000000003</v>
      </c>
      <c r="N2214">
        <v>-1.368261E-2</v>
      </c>
      <c r="O2214">
        <v>1.7801020000000001E-2</v>
      </c>
      <c r="P2214">
        <v>-0.99580250000000003</v>
      </c>
      <c r="Q2214">
        <v>-8.4709809999999996E-2</v>
      </c>
      <c r="R2214">
        <v>-3.466967E-2</v>
      </c>
      <c r="S2214">
        <v>-3.0106809999999999</v>
      </c>
      <c r="T2214">
        <v>-5.637884E-2</v>
      </c>
      <c r="U2214">
        <v>7.0343020000000006E-2</v>
      </c>
      <c r="V2214">
        <v>-5.2544540000000001E-2</v>
      </c>
      <c r="W2214">
        <v>-7.0974389999999998E-2</v>
      </c>
      <c r="X2214">
        <v>0.99609320000000001</v>
      </c>
      <c r="Y2214">
        <v>5.5551200000000002E-3</v>
      </c>
      <c r="Z2214" s="1">
        <v>3.3622199999999998E-7</v>
      </c>
      <c r="AA2214">
        <v>0.9999846</v>
      </c>
      <c r="AB2214">
        <v>39</v>
      </c>
      <c r="AC2214">
        <v>-58.771299999999997</v>
      </c>
      <c r="AD2214">
        <v>-1.1079425009249999</v>
      </c>
      <c r="AE2214">
        <v>1.37489999999996</v>
      </c>
      <c r="AF2214">
        <v>0.328278656631243</v>
      </c>
      <c r="AG2214">
        <v>-1.1079425009249999</v>
      </c>
      <c r="AH2214">
        <v>58.765589600346999</v>
      </c>
      <c r="AI2214">
        <v>91.080086486460999</v>
      </c>
      <c r="AJ2214">
        <v>89.679935383796902</v>
      </c>
      <c r="AK2214">
        <v>58.776949772322901</v>
      </c>
      <c r="AL2214">
        <v>94.069954954199105</v>
      </c>
      <c r="AM2214">
        <v>93.0195895214367</v>
      </c>
      <c r="AN2214">
        <v>0.99999997790296102</v>
      </c>
    </row>
    <row r="2215" spans="1:40" x14ac:dyDescent="0.25">
      <c r="A2215" t="str">
        <f>"20190305135236627"</f>
        <v>20190305135236627</v>
      </c>
      <c r="B2215" t="str">
        <f>"1551765156621624"</f>
        <v>1551765156621624</v>
      </c>
      <c r="C2215" t="s">
        <v>40</v>
      </c>
      <c r="D2215">
        <v>4.5967560000000001</v>
      </c>
      <c r="E2215">
        <v>0.52422360000000001</v>
      </c>
      <c r="F2215" t="s">
        <v>66</v>
      </c>
      <c r="G2215">
        <v>-438.96839999999997</v>
      </c>
      <c r="H2215" s="1">
        <v>6.0405179999999899E-6</v>
      </c>
      <c r="I2215">
        <v>286.3732</v>
      </c>
      <c r="J2215">
        <v>-381.84269999999998</v>
      </c>
      <c r="K2215">
        <v>1.1080019999999999</v>
      </c>
      <c r="L2215">
        <v>284.82330000000002</v>
      </c>
      <c r="M2215">
        <v>-0.99973409999999996</v>
      </c>
      <c r="N2215">
        <v>-1.3746039999999999E-2</v>
      </c>
      <c r="O2215">
        <v>1.8517559999999999E-2</v>
      </c>
      <c r="P2215">
        <v>-0.99576149999999997</v>
      </c>
      <c r="Q2215">
        <v>-8.6294990000000002E-2</v>
      </c>
      <c r="R2215">
        <v>-3.1819430000000003E-2</v>
      </c>
      <c r="S2215">
        <v>-3.0105590000000002</v>
      </c>
      <c r="T2215">
        <v>-5.79654E-2</v>
      </c>
      <c r="U2215">
        <v>8.151245E-2</v>
      </c>
      <c r="V2215">
        <v>-5.0398610000000003E-2</v>
      </c>
      <c r="W2215">
        <v>-7.2509749999999998E-2</v>
      </c>
      <c r="X2215">
        <v>0.99609349999999997</v>
      </c>
      <c r="Y2215">
        <v>8.5460060000000001E-3</v>
      </c>
      <c r="Z2215" s="1">
        <v>3.91365E-5</v>
      </c>
      <c r="AA2215">
        <v>0.99996350000000001</v>
      </c>
      <c r="AB2215">
        <v>39</v>
      </c>
      <c r="AC2215">
        <v>-57.125700000000002</v>
      </c>
      <c r="AD2215">
        <v>-1.1079959594819999</v>
      </c>
      <c r="AE2215">
        <v>1.5498999999999701</v>
      </c>
      <c r="AF2215">
        <v>0.49152095887963898</v>
      </c>
      <c r="AG2215">
        <v>-1.1079959594819999</v>
      </c>
      <c r="AH2215">
        <v>57.123132541516597</v>
      </c>
      <c r="AI2215">
        <v>91.111164262422903</v>
      </c>
      <c r="AJ2215">
        <v>89.507005651929802</v>
      </c>
      <c r="AK2215">
        <v>57.135991452454199</v>
      </c>
      <c r="AL2215">
        <v>94.158151900863004</v>
      </c>
      <c r="AM2215">
        <v>92.8964824413315</v>
      </c>
      <c r="AN2215">
        <v>0.99999997223862103</v>
      </c>
    </row>
    <row r="2216" spans="1:40" x14ac:dyDescent="0.25">
      <c r="A2216" t="str">
        <f>"20190305135236648"</f>
        <v>20190305135236648</v>
      </c>
      <c r="B2216" t="str">
        <f>"1551765156642121"</f>
        <v>1551765156642121</v>
      </c>
      <c r="C2216" t="s">
        <v>40</v>
      </c>
      <c r="D2216">
        <v>4.5484200000000001</v>
      </c>
      <c r="E2216">
        <v>0.52404719999999905</v>
      </c>
      <c r="F2216" t="s">
        <v>66</v>
      </c>
      <c r="G2216">
        <v>-434.41129999999998</v>
      </c>
      <c r="H2216" s="1">
        <v>4.0146599999999996E-6</v>
      </c>
      <c r="I2216">
        <v>286.43020000000001</v>
      </c>
      <c r="J2216">
        <v>-382.22879999999998</v>
      </c>
      <c r="K2216">
        <v>1.10808</v>
      </c>
      <c r="L2216">
        <v>284.83100000000002</v>
      </c>
      <c r="M2216">
        <v>-0.99972340000000004</v>
      </c>
      <c r="N2216">
        <v>-1.379872E-2</v>
      </c>
      <c r="O2216">
        <v>1.903821E-2</v>
      </c>
      <c r="P2216">
        <v>-0.99568900000000005</v>
      </c>
      <c r="Q2216">
        <v>-8.8168200000000002E-2</v>
      </c>
      <c r="R2216">
        <v>-2.8804110000000001E-2</v>
      </c>
      <c r="S2216">
        <v>-3.0101930000000001</v>
      </c>
      <c r="T2216">
        <v>-6.34464E-2</v>
      </c>
      <c r="U2216">
        <v>9.2010499999999995E-2</v>
      </c>
      <c r="V2216">
        <v>-4.788742E-2</v>
      </c>
      <c r="W2216">
        <v>-7.4346960000000004E-2</v>
      </c>
      <c r="X2216">
        <v>0.99608200000000002</v>
      </c>
      <c r="Y2216">
        <v>1.151165E-2</v>
      </c>
      <c r="Z2216" s="1">
        <v>6.2323500000000001E-5</v>
      </c>
      <c r="AA2216">
        <v>0.99993370000000004</v>
      </c>
      <c r="AB2216">
        <v>39</v>
      </c>
      <c r="AC2216">
        <v>-52.182499999999997</v>
      </c>
      <c r="AD2216">
        <v>-1.10807598534</v>
      </c>
      <c r="AE2216">
        <v>1.5992000000000499</v>
      </c>
      <c r="AF2216">
        <v>0.60508140123838605</v>
      </c>
      <c r="AG2216">
        <v>-1.10807598534</v>
      </c>
      <c r="AH2216">
        <v>52.179982914699401</v>
      </c>
      <c r="AI2216">
        <v>91.216448660696202</v>
      </c>
      <c r="AJ2216">
        <v>89.335625372042998</v>
      </c>
      <c r="AK2216">
        <v>52.195254313680003</v>
      </c>
      <c r="AL2216">
        <v>94.263701054480904</v>
      </c>
      <c r="AM2216">
        <v>92.752420109809904</v>
      </c>
      <c r="AN2216">
        <v>1.00000001308974</v>
      </c>
    </row>
    <row r="2217" spans="1:40" x14ac:dyDescent="0.25">
      <c r="A2217" t="str">
        <f>"20190305135236670"</f>
        <v>20190305135236670</v>
      </c>
      <c r="B2217" t="str">
        <f>"1551765156661658"</f>
        <v>1551765156661658</v>
      </c>
      <c r="C2217" t="s">
        <v>40</v>
      </c>
      <c r="D2217">
        <v>4.5494779999999997</v>
      </c>
      <c r="E2217">
        <v>0.52405500000000005</v>
      </c>
      <c r="F2217" t="s">
        <v>66</v>
      </c>
      <c r="G2217">
        <v>-429.42829999999998</v>
      </c>
      <c r="H2217" s="1">
        <v>2.1364730000000001E-6</v>
      </c>
      <c r="I2217">
        <v>286.39749999999998</v>
      </c>
      <c r="J2217">
        <v>-382.6123</v>
      </c>
      <c r="K2217">
        <v>1.108182</v>
      </c>
      <c r="L2217">
        <v>284.83870000000002</v>
      </c>
      <c r="M2217">
        <v>-0.99971509999999997</v>
      </c>
      <c r="N2217">
        <v>-1.384581E-2</v>
      </c>
      <c r="O2217">
        <v>1.943551E-2</v>
      </c>
      <c r="P2217">
        <v>-0.99558999999999997</v>
      </c>
      <c r="Q2217">
        <v>-8.9850490000000005E-2</v>
      </c>
      <c r="R2217">
        <v>-2.6961740000000001E-2</v>
      </c>
      <c r="S2217">
        <v>-3.0095830000000001</v>
      </c>
      <c r="T2217">
        <v>-7.0654510000000004E-2</v>
      </c>
      <c r="U2217">
        <v>9.9884029999999999E-2</v>
      </c>
      <c r="V2217">
        <v>-4.6421990000000003E-2</v>
      </c>
      <c r="W2217">
        <v>-7.5997670000000003E-2</v>
      </c>
      <c r="X2217">
        <v>0.99602679999999999</v>
      </c>
      <c r="Y2217">
        <v>1.3732350000000001E-2</v>
      </c>
      <c r="Z2217" s="1">
        <v>6.9273569999999998E-5</v>
      </c>
      <c r="AA2217">
        <v>0.99990570000000001</v>
      </c>
      <c r="AB2217">
        <v>39</v>
      </c>
      <c r="AC2217">
        <v>-46.815999999999903</v>
      </c>
      <c r="AD2217">
        <v>-1.1081798635269999</v>
      </c>
      <c r="AE2217">
        <v>1.55879999999996</v>
      </c>
      <c r="AF2217">
        <v>0.64816254386475203</v>
      </c>
      <c r="AG2217">
        <v>-1.1081798635269999</v>
      </c>
      <c r="AH2217">
        <v>46.811254352101599</v>
      </c>
      <c r="AI2217">
        <v>91.356000612535595</v>
      </c>
      <c r="AJ2217">
        <v>89.206716297415994</v>
      </c>
      <c r="AK2217">
        <v>46.828855541325602</v>
      </c>
      <c r="AL2217">
        <v>94.358548129107604</v>
      </c>
      <c r="AM2217">
        <v>92.6684630611595</v>
      </c>
      <c r="AN2217">
        <v>1.0000000166596099</v>
      </c>
    </row>
    <row r="2218" spans="1:40" x14ac:dyDescent="0.25">
      <c r="A2218" t="str">
        <f>"20190305135236692"</f>
        <v>20190305135236692</v>
      </c>
      <c r="B2218" t="str">
        <f>"1551765156682136"</f>
        <v>1551765156682136</v>
      </c>
      <c r="C2218" t="s">
        <v>40</v>
      </c>
      <c r="D2218">
        <v>4.5099039999999997</v>
      </c>
      <c r="E2218">
        <v>0.52389529999999995</v>
      </c>
      <c r="F2218" t="s">
        <v>66</v>
      </c>
      <c r="G2218">
        <v>-426.22719999999998</v>
      </c>
      <c r="H2218" s="1">
        <v>2.7071459999999999E-6</v>
      </c>
      <c r="I2218">
        <v>286.36470000000003</v>
      </c>
      <c r="J2218">
        <v>-383.0025</v>
      </c>
      <c r="K2218">
        <v>1.1082970000000001</v>
      </c>
      <c r="L2218">
        <v>284.84660000000002</v>
      </c>
      <c r="M2218">
        <v>-0.99970939999999997</v>
      </c>
      <c r="N2218">
        <v>-1.3888360000000001E-2</v>
      </c>
      <c r="O2218">
        <v>1.9710459999999999E-2</v>
      </c>
      <c r="P2218">
        <v>-0.99562810000000002</v>
      </c>
      <c r="Q2218">
        <v>-8.9665090000000003E-2</v>
      </c>
      <c r="R2218">
        <v>-2.6172250000000001E-2</v>
      </c>
      <c r="S2218">
        <v>-3.0092159999999999</v>
      </c>
      <c r="T2218">
        <v>-7.6458929999999994E-2</v>
      </c>
      <c r="U2218">
        <v>0.10528559999999999</v>
      </c>
      <c r="V2218">
        <v>-4.5886530000000002E-2</v>
      </c>
      <c r="W2218">
        <v>-7.5782479999999999E-2</v>
      </c>
      <c r="X2218">
        <v>0.99606799999999995</v>
      </c>
      <c r="Y2218">
        <v>1.525294E-2</v>
      </c>
      <c r="Z2218" s="1">
        <v>7.2853040000000005E-5</v>
      </c>
      <c r="AA2218">
        <v>0.99988370000000004</v>
      </c>
      <c r="AB2218">
        <v>39</v>
      </c>
      <c r="AC2218">
        <v>-43.224699999999899</v>
      </c>
      <c r="AD2218">
        <v>-1.1082942928539901</v>
      </c>
      <c r="AE2218">
        <v>1.5181</v>
      </c>
      <c r="AF2218">
        <v>0.66530738760922603</v>
      </c>
      <c r="AG2218">
        <v>-1.1082942928539901</v>
      </c>
      <c r="AH2218">
        <v>43.217848960552601</v>
      </c>
      <c r="AI2218">
        <v>91.4688179629334</v>
      </c>
      <c r="AJ2218">
        <v>89.118042764360993</v>
      </c>
      <c r="AK2218">
        <v>43.2371763524946</v>
      </c>
      <c r="AL2218">
        <v>94.346183023981297</v>
      </c>
      <c r="AM2218">
        <v>92.637618129771994</v>
      </c>
      <c r="AN2218">
        <v>1.0000000092671899</v>
      </c>
    </row>
    <row r="2219" spans="1:40" x14ac:dyDescent="0.25">
      <c r="A2219" t="str">
        <f>"20190305135236715"</f>
        <v>20190305135236715</v>
      </c>
      <c r="B2219" t="str">
        <f>"1551765156711416"</f>
        <v>1551765156711416</v>
      </c>
      <c r="C2219" t="s">
        <v>40</v>
      </c>
      <c r="D2219">
        <v>4.5628440000000001</v>
      </c>
      <c r="E2219">
        <v>0.52376990000000001</v>
      </c>
      <c r="F2219" t="s">
        <v>66</v>
      </c>
      <c r="G2219">
        <v>-427.30189999999999</v>
      </c>
      <c r="H2219" s="1">
        <v>2.512429E-6</v>
      </c>
      <c r="I2219">
        <v>286.41140000000001</v>
      </c>
      <c r="J2219">
        <v>-383.39299999999997</v>
      </c>
      <c r="K2219">
        <v>1.108409</v>
      </c>
      <c r="L2219">
        <v>284.85449999999997</v>
      </c>
      <c r="M2219">
        <v>-0.99970579999999998</v>
      </c>
      <c r="N2219">
        <v>-1.3925770000000001E-2</v>
      </c>
      <c r="O2219">
        <v>1.986462E-2</v>
      </c>
      <c r="P2219">
        <v>-0.99567340000000004</v>
      </c>
      <c r="Q2219">
        <v>-8.90653E-2</v>
      </c>
      <c r="R2219">
        <v>-2.6500099999999999E-2</v>
      </c>
      <c r="S2219">
        <v>-3.0091549999999998</v>
      </c>
      <c r="T2219">
        <v>-7.528377E-2</v>
      </c>
      <c r="U2219">
        <v>0.1062927</v>
      </c>
      <c r="V2219">
        <v>-4.6348010000000002E-2</v>
      </c>
      <c r="W2219">
        <v>-7.5156609999999999E-2</v>
      </c>
      <c r="X2219">
        <v>0.99609400000000003</v>
      </c>
      <c r="Y2219">
        <v>1.543367E-2</v>
      </c>
      <c r="Z2219" s="1">
        <v>8.0397809999999999E-5</v>
      </c>
      <c r="AA2219">
        <v>0.99988089999999996</v>
      </c>
      <c r="AB2219">
        <v>39</v>
      </c>
      <c r="AC2219">
        <v>-43.908899999999903</v>
      </c>
      <c r="AD2219">
        <v>-1.108406487571</v>
      </c>
      <c r="AE2219">
        <v>1.5569000000000399</v>
      </c>
      <c r="AF2219">
        <v>0.68383941303603002</v>
      </c>
      <c r="AG2219">
        <v>-1.108406487571</v>
      </c>
      <c r="AH2219">
        <v>43.903223278864303</v>
      </c>
      <c r="AI2219">
        <v>91.446040260709395</v>
      </c>
      <c r="AJ2219">
        <v>89.107629437177494</v>
      </c>
      <c r="AK2219">
        <v>43.922536533746801</v>
      </c>
      <c r="AL2219">
        <v>94.310220986070902</v>
      </c>
      <c r="AM2219">
        <v>92.664037141922506</v>
      </c>
      <c r="AN2219">
        <v>0.99999995544682496</v>
      </c>
    </row>
    <row r="2220" spans="1:40" x14ac:dyDescent="0.25">
      <c r="A2220" t="str">
        <f>"20190305135236736"</f>
        <v>20190305135236736</v>
      </c>
      <c r="B2220" t="str">
        <f>"1551765156731912"</f>
        <v>1551765156731912</v>
      </c>
      <c r="C2220" t="s">
        <v>40</v>
      </c>
      <c r="D2220">
        <v>4.4630710000000002</v>
      </c>
      <c r="E2220">
        <v>0.52361800000000003</v>
      </c>
      <c r="F2220" t="s">
        <v>66</v>
      </c>
      <c r="G2220">
        <v>-429.0942</v>
      </c>
      <c r="H2220" s="1">
        <v>2.1920919999999999E-6</v>
      </c>
      <c r="I2220">
        <v>286.4391</v>
      </c>
      <c r="J2220">
        <v>-383.77870000000001</v>
      </c>
      <c r="K2220">
        <v>1.1085290000000001</v>
      </c>
      <c r="L2220">
        <v>284.86219999999997</v>
      </c>
      <c r="M2220">
        <v>-0.9997047</v>
      </c>
      <c r="N2220">
        <v>-1.3958150000000001E-2</v>
      </c>
      <c r="O2220">
        <v>1.989788E-2</v>
      </c>
      <c r="P2220">
        <v>-0.99577890000000002</v>
      </c>
      <c r="Q2220">
        <v>-8.7656330000000005E-2</v>
      </c>
      <c r="R2220">
        <v>-2.7221519999999999E-2</v>
      </c>
      <c r="S2220">
        <v>-3.009277</v>
      </c>
      <c r="T2220">
        <v>-7.2985049999999996E-2</v>
      </c>
      <c r="U2220">
        <v>0.1043396</v>
      </c>
      <c r="V2220">
        <v>-4.7084029999999999E-2</v>
      </c>
      <c r="W2220">
        <v>-7.3725689999999997E-2</v>
      </c>
      <c r="X2220">
        <v>0.99616649999999995</v>
      </c>
      <c r="Y2220">
        <v>1.475132E-2</v>
      </c>
      <c r="Z2220" s="1">
        <v>7.7193859999999997E-5</v>
      </c>
      <c r="AA2220">
        <v>0.99989119999999998</v>
      </c>
      <c r="AB2220">
        <v>39</v>
      </c>
      <c r="AC2220">
        <v>-45.315499999999901</v>
      </c>
      <c r="AD2220">
        <v>-1.108526807908</v>
      </c>
      <c r="AE2220">
        <v>1.57690000000002</v>
      </c>
      <c r="AF2220">
        <v>0.67441453061179901</v>
      </c>
      <c r="AG2220">
        <v>-1.108526807908</v>
      </c>
      <c r="AH2220">
        <v>45.310824944443901</v>
      </c>
      <c r="AI2220">
        <v>91.401303340646805</v>
      </c>
      <c r="AJ2220">
        <v>89.147262201231797</v>
      </c>
      <c r="AK2220">
        <v>45.329400214308997</v>
      </c>
      <c r="AL2220">
        <v>94.228006832756805</v>
      </c>
      <c r="AM2220">
        <v>92.706083761655407</v>
      </c>
      <c r="AN2220">
        <v>1.00000003948463</v>
      </c>
    </row>
    <row r="2221" spans="1:40" x14ac:dyDescent="0.25">
      <c r="A2221" t="str">
        <f>"20190305135236759"</f>
        <v>20190305135236759</v>
      </c>
      <c r="B2221" t="str">
        <f>"1551765156751436"</f>
        <v>1551765156751436</v>
      </c>
      <c r="C2221" t="s">
        <v>40</v>
      </c>
      <c r="D2221">
        <v>4.5177909999999999</v>
      </c>
      <c r="E2221">
        <v>0.52352149999999997</v>
      </c>
      <c r="F2221" t="s">
        <v>66</v>
      </c>
      <c r="G2221">
        <v>-432.79250000000002</v>
      </c>
      <c r="H2221" s="1">
        <v>3.290275E-6</v>
      </c>
      <c r="I2221">
        <v>286.50439999999998</v>
      </c>
      <c r="J2221">
        <v>-384.17259999999999</v>
      </c>
      <c r="K2221">
        <v>1.1086480000000001</v>
      </c>
      <c r="L2221">
        <v>284.87009999999998</v>
      </c>
      <c r="M2221">
        <v>-0.99970590000000004</v>
      </c>
      <c r="N2221">
        <v>-1.398691E-2</v>
      </c>
      <c r="O2221">
        <v>1.982035E-2</v>
      </c>
      <c r="P2221">
        <v>-0.99585000000000001</v>
      </c>
      <c r="Q2221">
        <v>-8.6561020000000002E-2</v>
      </c>
      <c r="R2221">
        <v>-2.8114E-2</v>
      </c>
      <c r="S2221">
        <v>-3.0094910000000001</v>
      </c>
      <c r="T2221">
        <v>-6.8064570000000005E-2</v>
      </c>
      <c r="U2221">
        <v>0.10083010000000001</v>
      </c>
      <c r="V2221">
        <v>-4.7880720000000002E-2</v>
      </c>
      <c r="W2221">
        <v>-7.2613029999999995E-2</v>
      </c>
      <c r="X2221">
        <v>0.99621020000000005</v>
      </c>
      <c r="Y2221">
        <v>1.3662580000000001E-2</v>
      </c>
      <c r="Z2221" s="1">
        <v>7.9194390000000001E-5</v>
      </c>
      <c r="AA2221">
        <v>0.99990670000000004</v>
      </c>
      <c r="AB2221">
        <v>39</v>
      </c>
      <c r="AC2221">
        <v>-48.619900000000001</v>
      </c>
      <c r="AD2221">
        <v>-1.1086447097249901</v>
      </c>
      <c r="AE2221">
        <v>1.6342999999999901</v>
      </c>
      <c r="AF2221">
        <v>0.66987345307575596</v>
      </c>
      <c r="AG2221">
        <v>-1.1086447097249901</v>
      </c>
      <c r="AH2221">
        <v>48.617492835009202</v>
      </c>
      <c r="AI2221">
        <v>91.306188922063697</v>
      </c>
      <c r="AJ2221">
        <v>89.210603202837603</v>
      </c>
      <c r="AK2221">
        <v>48.634745122162499</v>
      </c>
      <c r="AL2221">
        <v>94.164084979187805</v>
      </c>
      <c r="AM2221">
        <v>92.751681997909003</v>
      </c>
      <c r="AN2221">
        <v>0.99999998902876897</v>
      </c>
    </row>
    <row r="2222" spans="1:40" x14ac:dyDescent="0.25">
      <c r="A2222" t="str">
        <f>"20190305135236780"</f>
        <v>20190305135236780</v>
      </c>
      <c r="B2222" t="str">
        <f>"1551765156771939"</f>
        <v>1551765156771939</v>
      </c>
      <c r="C2222" t="s">
        <v>40</v>
      </c>
      <c r="D2222">
        <v>4.5122030000000004</v>
      </c>
      <c r="E2222">
        <v>0.52340390000000003</v>
      </c>
      <c r="F2222" t="s">
        <v>66</v>
      </c>
      <c r="G2222">
        <v>-436.01569999999998</v>
      </c>
      <c r="H2222" s="1">
        <v>4.7156140000000002E-6</v>
      </c>
      <c r="I2222">
        <v>286.55020000000002</v>
      </c>
      <c r="J2222">
        <v>-384.55790000000002</v>
      </c>
      <c r="K2222">
        <v>1.1087610000000001</v>
      </c>
      <c r="L2222">
        <v>284.8777</v>
      </c>
      <c r="M2222">
        <v>-0.99970870000000001</v>
      </c>
      <c r="N2222">
        <v>-1.4011259999999999E-2</v>
      </c>
      <c r="O2222">
        <v>1.9655769999999999E-2</v>
      </c>
      <c r="P2222">
        <v>-0.99590350000000005</v>
      </c>
      <c r="Q2222">
        <v>-8.5572239999999994E-2</v>
      </c>
      <c r="R2222">
        <v>-2.9223969999999998E-2</v>
      </c>
      <c r="S2222">
        <v>-3.009674</v>
      </c>
      <c r="T2222">
        <v>-6.436074E-2</v>
      </c>
      <c r="U2222">
        <v>9.7534179999999998E-2</v>
      </c>
      <c r="V2222">
        <v>-4.8809129999999999E-2</v>
      </c>
      <c r="W2222">
        <v>-7.16112E-2</v>
      </c>
      <c r="X2222">
        <v>0.9962377</v>
      </c>
      <c r="Y2222">
        <v>1.273196E-2</v>
      </c>
      <c r="Z2222" s="1">
        <v>8.0571470000000004E-5</v>
      </c>
      <c r="AA2222">
        <v>0.99991890000000005</v>
      </c>
      <c r="AB2222">
        <v>39</v>
      </c>
      <c r="AC2222">
        <v>-51.457799999999899</v>
      </c>
      <c r="AD2222">
        <v>-1.1087562843859999</v>
      </c>
      <c r="AE2222">
        <v>1.6725000000000101</v>
      </c>
      <c r="AF2222">
        <v>0.66032867276298202</v>
      </c>
      <c r="AG2222">
        <v>-1.1087562843859999</v>
      </c>
      <c r="AH2222">
        <v>51.456869624064403</v>
      </c>
      <c r="AI2222">
        <v>91.234276386751702</v>
      </c>
      <c r="AJ2222">
        <v>89.264782919749294</v>
      </c>
      <c r="AK2222">
        <v>51.4730493167269</v>
      </c>
      <c r="AL2222">
        <v>94.106534366496206</v>
      </c>
      <c r="AM2222">
        <v>92.804875570833005</v>
      </c>
      <c r="AN2222">
        <v>1.00000002501904</v>
      </c>
    </row>
    <row r="2223" spans="1:40" x14ac:dyDescent="0.25">
      <c r="A2223" t="str">
        <f>"20190305135236804"</f>
        <v>20190305135236804</v>
      </c>
      <c r="B2223" t="str">
        <f>"1551765156791452"</f>
        <v>1551765156791452</v>
      </c>
      <c r="C2223" t="s">
        <v>40</v>
      </c>
      <c r="D2223">
        <v>4.5019629999999999</v>
      </c>
      <c r="E2223">
        <v>0.52322440000000003</v>
      </c>
      <c r="F2223" t="s">
        <v>66</v>
      </c>
      <c r="G2223">
        <v>-439.29480000000001</v>
      </c>
      <c r="H2223" s="1">
        <v>6.1679809999999998E-6</v>
      </c>
      <c r="I2223">
        <v>286.57100000000003</v>
      </c>
      <c r="J2223">
        <v>-384.94439999999997</v>
      </c>
      <c r="K2223">
        <v>1.108868</v>
      </c>
      <c r="L2223">
        <v>284.88510000000002</v>
      </c>
      <c r="M2223">
        <v>-0.99971290000000002</v>
      </c>
      <c r="N2223">
        <v>-1.4032269999999999E-2</v>
      </c>
      <c r="O2223">
        <v>1.9427380000000001E-2</v>
      </c>
      <c r="P2223">
        <v>-0.99590730000000005</v>
      </c>
      <c r="Q2223">
        <v>-8.5086629999999996E-2</v>
      </c>
      <c r="R2223">
        <v>-3.0483E-2</v>
      </c>
      <c r="S2223">
        <v>-3.0097960000000001</v>
      </c>
      <c r="T2223">
        <v>-6.0966609999999997E-2</v>
      </c>
      <c r="U2223">
        <v>9.3109129999999998E-2</v>
      </c>
      <c r="V2223">
        <v>-4.9825090000000002E-2</v>
      </c>
      <c r="W2223">
        <v>-7.1115899999999996E-2</v>
      </c>
      <c r="X2223">
        <v>0.99622290000000002</v>
      </c>
      <c r="Y2223">
        <v>1.1491120000000001E-2</v>
      </c>
      <c r="Z2223" s="1">
        <v>7.6246780000000002E-5</v>
      </c>
      <c r="AA2223">
        <v>0.99993399999999999</v>
      </c>
      <c r="AB2223">
        <v>39</v>
      </c>
      <c r="AC2223">
        <v>-54.3504</v>
      </c>
      <c r="AD2223">
        <v>-1.108861832019</v>
      </c>
      <c r="AE2223">
        <v>1.68589999999994</v>
      </c>
      <c r="AF2223">
        <v>0.62933032183707105</v>
      </c>
      <c r="AG2223">
        <v>-1.108861832019</v>
      </c>
      <c r="AH2223">
        <v>54.3502949971666</v>
      </c>
      <c r="AI2223">
        <v>91.168715517229799</v>
      </c>
      <c r="AJ2223">
        <v>89.336593113608501</v>
      </c>
      <c r="AK2223">
        <v>54.365248068003197</v>
      </c>
      <c r="AL2223">
        <v>94.078083171783703</v>
      </c>
      <c r="AM2223">
        <v>92.863205244456907</v>
      </c>
      <c r="AN2223">
        <v>1.00000003865536</v>
      </c>
    </row>
    <row r="2224" spans="1:40" x14ac:dyDescent="0.25">
      <c r="A2224" t="str">
        <f>"20190305135236827"</f>
        <v>20190305135236827</v>
      </c>
      <c r="B2224" t="str">
        <f>"1551765156821707"</f>
        <v>1551765156821707</v>
      </c>
      <c r="C2224" t="s">
        <v>40</v>
      </c>
      <c r="D2224">
        <v>4.5302009999999999</v>
      </c>
      <c r="E2224">
        <v>0.52305970000000002</v>
      </c>
      <c r="F2224" t="s">
        <v>56</v>
      </c>
      <c r="G2224">
        <v>-441.66489999999999</v>
      </c>
      <c r="H2224" s="1">
        <v>-7.3489830000000002E-7</v>
      </c>
      <c r="I2224">
        <v>286.54020000000003</v>
      </c>
      <c r="J2224">
        <v>-385.34559999999999</v>
      </c>
      <c r="K2224">
        <v>1.108951</v>
      </c>
      <c r="L2224">
        <v>284.89280000000002</v>
      </c>
      <c r="M2224">
        <v>-0.9997182</v>
      </c>
      <c r="N2224">
        <v>-1.405089E-2</v>
      </c>
      <c r="O2224">
        <v>1.9142869999999999E-2</v>
      </c>
      <c r="P2224">
        <v>-0.99593589999999999</v>
      </c>
      <c r="Q2224">
        <v>-8.4481920000000002E-2</v>
      </c>
      <c r="R2224">
        <v>-3.1223540000000001E-2</v>
      </c>
      <c r="S2224">
        <v>-3.009979</v>
      </c>
      <c r="T2224">
        <v>-5.8844210000000001E-2</v>
      </c>
      <c r="U2224">
        <v>8.7829589999999999E-2</v>
      </c>
      <c r="V2224">
        <v>-5.0269069999999999E-2</v>
      </c>
      <c r="W2224">
        <v>-7.0502179999999998E-2</v>
      </c>
      <c r="X2224">
        <v>0.99624420000000002</v>
      </c>
      <c r="Y2224">
        <v>1.0022090000000001E-2</v>
      </c>
      <c r="Z2224" s="1">
        <v>6.3249289999999997E-5</v>
      </c>
      <c r="AA2224">
        <v>0.9999498</v>
      </c>
      <c r="AB2224">
        <v>39</v>
      </c>
      <c r="AC2224">
        <v>-56.319299999999998</v>
      </c>
      <c r="AD2224">
        <v>-1.1089517348983</v>
      </c>
      <c r="AE2224">
        <v>1.6474</v>
      </c>
      <c r="AF2224">
        <v>0.56865849381468403</v>
      </c>
      <c r="AG2224">
        <v>-1.1089517348983</v>
      </c>
      <c r="AH2224">
        <v>56.3187001563915</v>
      </c>
      <c r="AI2224">
        <v>91.127987802796696</v>
      </c>
      <c r="AJ2224">
        <v>89.421495446552001</v>
      </c>
      <c r="AK2224">
        <v>56.332487373969698</v>
      </c>
      <c r="AL2224">
        <v>94.042831190084797</v>
      </c>
      <c r="AM2224">
        <v>92.888613934411396</v>
      </c>
      <c r="AN2224">
        <v>1.0000000214085201</v>
      </c>
    </row>
    <row r="2225" spans="1:40" x14ac:dyDescent="0.25">
      <c r="A2225" t="str">
        <f>"20190305135236849"</f>
        <v>20190305135236849</v>
      </c>
      <c r="B2225" t="str">
        <f>"1551765156842203"</f>
        <v>1551765156842203</v>
      </c>
      <c r="C2225" t="s">
        <v>40</v>
      </c>
      <c r="D2225">
        <v>4.514157</v>
      </c>
      <c r="E2225">
        <v>0.52294049999999903</v>
      </c>
      <c r="F2225" t="s">
        <v>56</v>
      </c>
      <c r="G2225">
        <v>-443.81319999999999</v>
      </c>
      <c r="H2225" s="1">
        <v>4.0850959999999997E-7</v>
      </c>
      <c r="I2225">
        <v>286.53530000000001</v>
      </c>
      <c r="J2225">
        <v>-385.74380000000002</v>
      </c>
      <c r="K2225">
        <v>1.1090150000000001</v>
      </c>
      <c r="L2225">
        <v>284.90010000000001</v>
      </c>
      <c r="M2225">
        <v>-0.9997239</v>
      </c>
      <c r="N2225">
        <v>-1.4066189999999999E-2</v>
      </c>
      <c r="O2225">
        <v>1.8828600000000001E-2</v>
      </c>
      <c r="P2225">
        <v>-0.99594740000000004</v>
      </c>
      <c r="Q2225">
        <v>-8.413437E-2</v>
      </c>
      <c r="R2225">
        <v>-3.1790199999999998E-2</v>
      </c>
      <c r="S2225">
        <v>-3.01004</v>
      </c>
      <c r="T2225">
        <v>-5.7091240000000001E-2</v>
      </c>
      <c r="U2225">
        <v>8.4564210000000001E-2</v>
      </c>
      <c r="V2225">
        <v>-5.0512139999999997E-2</v>
      </c>
      <c r="W2225">
        <v>-7.0146799999999995E-2</v>
      </c>
      <c r="X2225">
        <v>0.9962569</v>
      </c>
      <c r="Y2225">
        <v>9.2522799999999999E-3</v>
      </c>
      <c r="Z2225" s="1">
        <v>6.0668650000000001E-5</v>
      </c>
      <c r="AA2225">
        <v>0.99995719999999999</v>
      </c>
      <c r="AB2225">
        <v>39</v>
      </c>
      <c r="AC2225">
        <v>-58.069399999999902</v>
      </c>
      <c r="AD2225">
        <v>-1.1090145914903999</v>
      </c>
      <c r="AE2225">
        <v>1.63519999999999</v>
      </c>
      <c r="AF2225">
        <v>0.54123926148415702</v>
      </c>
      <c r="AG2225">
        <v>-1.1090145914903999</v>
      </c>
      <c r="AH2225">
        <v>58.068732316100203</v>
      </c>
      <c r="AI2225">
        <v>91.094071976886994</v>
      </c>
      <c r="AJ2225">
        <v>89.465980637379701</v>
      </c>
      <c r="AK2225">
        <v>58.081843342831398</v>
      </c>
      <c r="AL2225">
        <v>94.022419245849605</v>
      </c>
      <c r="AM2225">
        <v>92.902520712022607</v>
      </c>
      <c r="AN2225">
        <v>0.99999993031761203</v>
      </c>
    </row>
    <row r="2226" spans="1:40" x14ac:dyDescent="0.25">
      <c r="A2226" t="str">
        <f>"20190305135236860"</f>
        <v>20190305135236860</v>
      </c>
      <c r="B2226" t="str">
        <f>"1551765156851964"</f>
        <v>1551765156851964</v>
      </c>
      <c r="C2226" t="s">
        <v>40</v>
      </c>
      <c r="D2226">
        <v>4.5359299999999996</v>
      </c>
      <c r="E2226">
        <v>0.52292550000000004</v>
      </c>
      <c r="F2226" t="s">
        <v>56</v>
      </c>
      <c r="G2226">
        <v>-444.8263</v>
      </c>
      <c r="H2226" s="1">
        <v>9.4876220000000002E-7</v>
      </c>
      <c r="I2226">
        <v>286.50970000000001</v>
      </c>
      <c r="J2226">
        <v>-385.95310000000001</v>
      </c>
      <c r="K2226">
        <v>1.1090359999999999</v>
      </c>
      <c r="L2226">
        <v>284.90390000000002</v>
      </c>
      <c r="M2226">
        <v>-0.99972700000000003</v>
      </c>
      <c r="N2226">
        <v>-1.4073169999999999E-2</v>
      </c>
      <c r="O2226">
        <v>1.865495E-2</v>
      </c>
      <c r="P2226">
        <v>-0.99597789999999997</v>
      </c>
      <c r="Q2226">
        <v>-8.3634940000000005E-2</v>
      </c>
      <c r="R2226">
        <v>-3.2145470000000002E-2</v>
      </c>
      <c r="S2226">
        <v>-3.009979</v>
      </c>
      <c r="T2226">
        <v>-5.649912E-2</v>
      </c>
      <c r="U2226">
        <v>8.2000729999999994E-2</v>
      </c>
      <c r="V2226">
        <v>-5.0691109999999998E-2</v>
      </c>
      <c r="W2226">
        <v>-6.9643239999999995E-2</v>
      </c>
      <c r="X2226">
        <v>0.99628320000000004</v>
      </c>
      <c r="Y2226">
        <v>8.575793E-3</v>
      </c>
      <c r="Z2226" s="1">
        <v>5.3321630000000003E-5</v>
      </c>
      <c r="AA2226">
        <v>0.99996320000000005</v>
      </c>
      <c r="AB2226">
        <v>39</v>
      </c>
      <c r="AC2226">
        <v>-58.873199999999997</v>
      </c>
      <c r="AD2226">
        <v>-1.1090350512378</v>
      </c>
      <c r="AE2226">
        <v>1.6057999999999799</v>
      </c>
      <c r="AF2226">
        <v>0.50695543868491599</v>
      </c>
      <c r="AG2226">
        <v>-1.1090350512378</v>
      </c>
      <c r="AH2226">
        <v>58.872036302185002</v>
      </c>
      <c r="AI2226">
        <v>91.079173778461396</v>
      </c>
      <c r="AJ2226">
        <v>89.506630126172098</v>
      </c>
      <c r="AK2226">
        <v>58.884663715839302</v>
      </c>
      <c r="AL2226">
        <v>93.993496399349397</v>
      </c>
      <c r="AM2226">
        <v>92.912710219847099</v>
      </c>
      <c r="AN2226">
        <v>0.99999999205648404</v>
      </c>
    </row>
    <row r="2227" spans="1:40" x14ac:dyDescent="0.25">
      <c r="A2227" t="str">
        <f>"20190305135236881"</f>
        <v>20190305135236881</v>
      </c>
      <c r="B2227" t="str">
        <f>"1551765156871483"</f>
        <v>1551765156871483</v>
      </c>
      <c r="C2227" t="s">
        <v>40</v>
      </c>
      <c r="D2227">
        <v>4.5163840000000004</v>
      </c>
      <c r="E2227">
        <v>0.52285519999999996</v>
      </c>
      <c r="F2227" t="s">
        <v>56</v>
      </c>
      <c r="G2227">
        <v>-446.48660000000001</v>
      </c>
      <c r="H2227" s="1">
        <v>1.831523E-6</v>
      </c>
      <c r="I2227">
        <v>286.52780000000001</v>
      </c>
      <c r="J2227">
        <v>-386.3082</v>
      </c>
      <c r="K2227">
        <v>1.1090679999999999</v>
      </c>
      <c r="L2227">
        <v>284.91030000000001</v>
      </c>
      <c r="M2227">
        <v>-0.99973239999999997</v>
      </c>
      <c r="N2227">
        <v>-1.4083740000000001E-2</v>
      </c>
      <c r="O2227">
        <v>1.835148E-2</v>
      </c>
      <c r="P2227">
        <v>-0.99591260000000004</v>
      </c>
      <c r="Q2227">
        <v>-8.4253410000000001E-2</v>
      </c>
      <c r="R2227">
        <v>-3.2550910000000002E-2</v>
      </c>
      <c r="S2227">
        <v>-3.0101010000000001</v>
      </c>
      <c r="T2227">
        <v>-5.5148009999999997E-2</v>
      </c>
      <c r="U2227">
        <v>8.0749509999999997E-2</v>
      </c>
      <c r="V2227">
        <v>-5.0786789999999998E-2</v>
      </c>
      <c r="W2227">
        <v>-7.0256280000000004E-2</v>
      </c>
      <c r="X2227">
        <v>0.99623530000000005</v>
      </c>
      <c r="Y2227">
        <v>8.4629690000000007E-3</v>
      </c>
      <c r="Z2227" s="1">
        <v>5.9473979999999999E-5</v>
      </c>
      <c r="AA2227">
        <v>0.99996419999999997</v>
      </c>
      <c r="AB2227">
        <v>39</v>
      </c>
      <c r="AC2227">
        <v>-60.178400000000003</v>
      </c>
      <c r="AD2227">
        <v>-1.109066168477</v>
      </c>
      <c r="AE2227">
        <v>1.6174999999999999</v>
      </c>
      <c r="AF2227">
        <v>0.512581335026292</v>
      </c>
      <c r="AG2227">
        <v>-1.109066168477</v>
      </c>
      <c r="AH2227">
        <v>60.177525618158498</v>
      </c>
      <c r="AI2227">
        <v>91.055798034399302</v>
      </c>
      <c r="AJ2227">
        <v>89.511976662095506</v>
      </c>
      <c r="AK2227">
        <v>60.189927370908201</v>
      </c>
      <c r="AL2227">
        <v>94.028707189198698</v>
      </c>
      <c r="AM2227">
        <v>92.918338564288106</v>
      </c>
      <c r="AN2227">
        <v>1.0000000079420099</v>
      </c>
    </row>
    <row r="2228" spans="1:40" x14ac:dyDescent="0.25">
      <c r="A2228" t="str">
        <f>"20190305135236905"</f>
        <v>20190305135236905</v>
      </c>
      <c r="B2228" t="str">
        <f>"1551765156902245"</f>
        <v>1551765156902245</v>
      </c>
      <c r="C2228" t="s">
        <v>40</v>
      </c>
      <c r="D2228">
        <v>4.5316900000000002</v>
      </c>
      <c r="E2228">
        <v>0.52275020000000005</v>
      </c>
      <c r="F2228" t="s">
        <v>56</v>
      </c>
      <c r="G2228">
        <v>-444.61360000000002</v>
      </c>
      <c r="H2228" s="1">
        <v>8.3862529999999998E-7</v>
      </c>
      <c r="I2228">
        <v>286.43959999999998</v>
      </c>
      <c r="J2228">
        <v>-386.71199999999999</v>
      </c>
      <c r="K2228">
        <v>1.1090899999999999</v>
      </c>
      <c r="L2228">
        <v>284.91739999999999</v>
      </c>
      <c r="M2228">
        <v>-0.99973880000000004</v>
      </c>
      <c r="N2228">
        <v>-1.4093960000000001E-2</v>
      </c>
      <c r="O2228">
        <v>1.799941E-2</v>
      </c>
      <c r="P2228">
        <v>-0.99579139999999999</v>
      </c>
      <c r="Q2228">
        <v>-8.5609270000000001E-2</v>
      </c>
      <c r="R2228">
        <v>-3.272137E-2</v>
      </c>
      <c r="S2228">
        <v>-3.01004</v>
      </c>
      <c r="T2228">
        <v>-5.7256099999999997E-2</v>
      </c>
      <c r="U2228">
        <v>7.8948969999999993E-2</v>
      </c>
      <c r="V2228">
        <v>-5.0599030000000003E-2</v>
      </c>
      <c r="W2228">
        <v>-7.1606870000000003E-2</v>
      </c>
      <c r="X2228">
        <v>0.9961487</v>
      </c>
      <c r="Y2228">
        <v>8.2179079999999995E-3</v>
      </c>
      <c r="Z2228" s="1">
        <v>4.7487819999999998E-5</v>
      </c>
      <c r="AA2228">
        <v>0.99996620000000003</v>
      </c>
      <c r="AB2228">
        <v>39</v>
      </c>
      <c r="AC2228">
        <v>-57.901600000000002</v>
      </c>
      <c r="AD2228">
        <v>-1.10908916137469</v>
      </c>
      <c r="AE2228">
        <v>1.52219999999999</v>
      </c>
      <c r="AF2228">
        <v>0.47947953501173302</v>
      </c>
      <c r="AG2228">
        <v>-1.10908916137469</v>
      </c>
      <c r="AH2228">
        <v>57.8983909068629</v>
      </c>
      <c r="AI2228">
        <v>91.097373830361903</v>
      </c>
      <c r="AJ2228">
        <v>89.525521775524496</v>
      </c>
      <c r="AK2228">
        <v>57.910997651536597</v>
      </c>
      <c r="AL2228">
        <v>94.106285661622294</v>
      </c>
      <c r="AM2228">
        <v>92.907820278307895</v>
      </c>
      <c r="AN2228">
        <v>1.0000000190899101</v>
      </c>
    </row>
    <row r="2229" spans="1:40" x14ac:dyDescent="0.25">
      <c r="A2229" t="str">
        <f>"20190305135236928"</f>
        <v>20190305135236928</v>
      </c>
      <c r="B2229" t="str">
        <f>"1551765156921765"</f>
        <v>1551765156921765</v>
      </c>
      <c r="C2229" t="s">
        <v>40</v>
      </c>
      <c r="D2229">
        <v>4.5654029999999999</v>
      </c>
      <c r="E2229">
        <v>0.52270499999999998</v>
      </c>
      <c r="F2229" t="s">
        <v>56</v>
      </c>
      <c r="G2229">
        <v>-440.43619999999999</v>
      </c>
      <c r="H2229" s="1">
        <v>-1.378637E-6</v>
      </c>
      <c r="I2229">
        <v>286.30919999999998</v>
      </c>
      <c r="J2229">
        <v>-387.10129999999998</v>
      </c>
      <c r="K2229">
        <v>1.109111</v>
      </c>
      <c r="L2229">
        <v>284.92419999999998</v>
      </c>
      <c r="M2229">
        <v>-0.99974450000000004</v>
      </c>
      <c r="N2229">
        <v>-1.410206E-2</v>
      </c>
      <c r="O2229">
        <v>1.7659830000000001E-2</v>
      </c>
      <c r="P2229">
        <v>-0.99569819999999998</v>
      </c>
      <c r="Q2229">
        <v>-8.6421919999999999E-2</v>
      </c>
      <c r="R2229">
        <v>-3.3406940000000003E-2</v>
      </c>
      <c r="S2229">
        <v>-3.0098880000000001</v>
      </c>
      <c r="T2229">
        <v>-6.2136530000000002E-2</v>
      </c>
      <c r="U2229">
        <v>7.7972410000000006E-2</v>
      </c>
      <c r="V2229">
        <v>-5.0940890000000003E-2</v>
      </c>
      <c r="W2229">
        <v>-7.2415469999999996E-2</v>
      </c>
      <c r="X2229">
        <v>0.99607279999999998</v>
      </c>
      <c r="Y2229">
        <v>8.2344580000000001E-3</v>
      </c>
      <c r="Z2229" s="1">
        <v>2.7647040000000001E-5</v>
      </c>
      <c r="AA2229">
        <v>0.99996609999999997</v>
      </c>
      <c r="AB2229">
        <v>39</v>
      </c>
      <c r="AC2229">
        <v>-53.334899999999998</v>
      </c>
      <c r="AD2229">
        <v>-1.1091123786370001</v>
      </c>
      <c r="AE2229">
        <v>1.38499999999999</v>
      </c>
      <c r="AF2229">
        <v>0.44261366526471002</v>
      </c>
      <c r="AG2229">
        <v>-1.1091123786370001</v>
      </c>
      <c r="AH2229">
        <v>53.327996488744297</v>
      </c>
      <c r="AI2229">
        <v>91.191421289780706</v>
      </c>
      <c r="AJ2229">
        <v>89.524465302590301</v>
      </c>
      <c r="AK2229">
        <v>53.3413652490133</v>
      </c>
      <c r="AL2229">
        <v>94.152735706209896</v>
      </c>
      <c r="AM2229">
        <v>92.927654877859894</v>
      </c>
      <c r="AN2229">
        <v>0.99999999873457601</v>
      </c>
    </row>
    <row r="2230" spans="1:40" x14ac:dyDescent="0.25">
      <c r="A2230" t="str">
        <f>"20190305135236940"</f>
        <v>20190305135236940</v>
      </c>
      <c r="B2230" t="str">
        <f>"1551765156931526"</f>
        <v>1551765156931526</v>
      </c>
      <c r="C2230" t="s">
        <v>40</v>
      </c>
      <c r="D2230">
        <v>4.5717910000000002</v>
      </c>
      <c r="E2230">
        <v>0.5226942</v>
      </c>
      <c r="F2230" t="s">
        <v>66</v>
      </c>
      <c r="G2230">
        <v>-438.7679</v>
      </c>
      <c r="H2230" s="1">
        <v>5.9652169999999999E-6</v>
      </c>
      <c r="I2230">
        <v>286.2176</v>
      </c>
      <c r="J2230">
        <v>-387.34050000000002</v>
      </c>
      <c r="K2230">
        <v>1.1091200000000001</v>
      </c>
      <c r="L2230">
        <v>284.9282</v>
      </c>
      <c r="M2230">
        <v>-0.99974839999999998</v>
      </c>
      <c r="N2230">
        <v>-1.410633E-2</v>
      </c>
      <c r="O2230">
        <v>1.7452249999999999E-2</v>
      </c>
      <c r="P2230">
        <v>-0.99571010000000004</v>
      </c>
      <c r="Q2230">
        <v>-8.6278850000000004E-2</v>
      </c>
      <c r="R2230">
        <v>-3.3430729999999999E-2</v>
      </c>
      <c r="S2230">
        <v>-3.0098880000000001</v>
      </c>
      <c r="T2230">
        <v>-6.4611909999999995E-2</v>
      </c>
      <c r="U2230">
        <v>7.5347899999999995E-2</v>
      </c>
      <c r="V2230">
        <v>-5.075619E-2</v>
      </c>
      <c r="W2230">
        <v>-7.2269020000000003E-2</v>
      </c>
      <c r="X2230">
        <v>0.99609289999999995</v>
      </c>
      <c r="Y2230">
        <v>7.5708719999999898E-3</v>
      </c>
      <c r="Z2230" s="1">
        <v>6.3289100000000004E-6</v>
      </c>
      <c r="AA2230">
        <v>0.99997130000000001</v>
      </c>
      <c r="AB2230">
        <v>39</v>
      </c>
      <c r="AC2230">
        <v>-51.427399999999899</v>
      </c>
      <c r="AD2230">
        <v>-1.109114034783</v>
      </c>
      <c r="AE2230">
        <v>1.2894000000000001</v>
      </c>
      <c r="AF2230">
        <v>0.39140868660241401</v>
      </c>
      <c r="AG2230">
        <v>-1.109114034783</v>
      </c>
      <c r="AH2230">
        <v>51.418170609305697</v>
      </c>
      <c r="AI2230">
        <v>91.235669395358499</v>
      </c>
      <c r="AJ2230">
        <v>89.563857827198902</v>
      </c>
      <c r="AK2230">
        <v>51.431620658013202</v>
      </c>
      <c r="AL2230">
        <v>94.144322550698206</v>
      </c>
      <c r="AM2230">
        <v>92.916999477518502</v>
      </c>
      <c r="AN2230">
        <v>1.0000000337527399</v>
      </c>
    </row>
    <row r="2231" spans="1:40" x14ac:dyDescent="0.25">
      <c r="A2231" t="str">
        <f>"20190305135236959"</f>
        <v>20190305135236959</v>
      </c>
      <c r="B2231" t="str">
        <f>"1551765156952022"</f>
        <v>1551765156952022</v>
      </c>
      <c r="C2231" t="s">
        <v>40</v>
      </c>
      <c r="D2231">
        <v>4.5553100000000004</v>
      </c>
      <c r="E2231">
        <v>0.52266480000000004</v>
      </c>
      <c r="F2231" t="s">
        <v>66</v>
      </c>
      <c r="G2231">
        <v>-439.39019999999999</v>
      </c>
      <c r="H2231" s="1">
        <v>6.240055E-6</v>
      </c>
      <c r="I2231">
        <v>286.23009999999999</v>
      </c>
      <c r="J2231">
        <v>-387.6694</v>
      </c>
      <c r="K2231">
        <v>1.1091439999999999</v>
      </c>
      <c r="L2231">
        <v>284.93369999999999</v>
      </c>
      <c r="M2231">
        <v>-0.99975290000000006</v>
      </c>
      <c r="N2231">
        <v>-1.4111449999999999E-2</v>
      </c>
      <c r="O2231">
        <v>1.716989E-2</v>
      </c>
      <c r="P2231">
        <v>-0.99576509999999996</v>
      </c>
      <c r="Q2231">
        <v>-8.5623909999999998E-2</v>
      </c>
      <c r="R2231">
        <v>-3.3469819999999997E-2</v>
      </c>
      <c r="S2231">
        <v>-3.0099179999999999</v>
      </c>
      <c r="T2231">
        <v>-6.413758E-2</v>
      </c>
      <c r="U2231">
        <v>7.5286870000000006E-2</v>
      </c>
      <c r="V2231">
        <v>-5.0513509999999998E-2</v>
      </c>
      <c r="W2231">
        <v>-7.1609500000000006E-2</v>
      </c>
      <c r="X2231">
        <v>0.99615279999999995</v>
      </c>
      <c r="Y2231">
        <v>7.8326779999999992E-3</v>
      </c>
      <c r="Z2231" s="1">
        <v>1.52585999999999E-5</v>
      </c>
      <c r="AA2231">
        <v>0.99996929999999995</v>
      </c>
      <c r="AB2231">
        <v>39</v>
      </c>
      <c r="AC2231">
        <v>-51.720799999999997</v>
      </c>
      <c r="AD2231">
        <v>-1.1091377599449901</v>
      </c>
      <c r="AE2231">
        <v>1.2964</v>
      </c>
      <c r="AF2231">
        <v>0.40789242487634803</v>
      </c>
      <c r="AG2231">
        <v>-1.1091377599449901</v>
      </c>
      <c r="AH2231">
        <v>51.711669392151599</v>
      </c>
      <c r="AI2231">
        <v>91.228681941055399</v>
      </c>
      <c r="AJ2231">
        <v>89.548070482991903</v>
      </c>
      <c r="AK2231">
        <v>51.725170991732803</v>
      </c>
      <c r="AL2231">
        <v>94.106436947244106</v>
      </c>
      <c r="AM2231">
        <v>92.902902108884604</v>
      </c>
      <c r="AN2231">
        <v>0.999999968065304</v>
      </c>
    </row>
    <row r="2232" spans="1:40" x14ac:dyDescent="0.25">
      <c r="A2232" t="str">
        <f>"20190305135236982"</f>
        <v>20190305135236982</v>
      </c>
      <c r="B2232" t="str">
        <f>"1551765156971541"</f>
        <v>1551765156971541</v>
      </c>
      <c r="C2232" t="s">
        <v>40</v>
      </c>
      <c r="D2232">
        <v>4.5771829999999998</v>
      </c>
      <c r="E2232">
        <v>0.5225997</v>
      </c>
      <c r="F2232" t="s">
        <v>56</v>
      </c>
      <c r="G2232">
        <v>-440.85550000000001</v>
      </c>
      <c r="H2232" s="1">
        <v>-1.1532700000000001E-6</v>
      </c>
      <c r="I2232">
        <v>286.25700000000001</v>
      </c>
      <c r="J2232">
        <v>-388.05930000000001</v>
      </c>
      <c r="K2232">
        <v>1.1091500000000001</v>
      </c>
      <c r="L2232">
        <v>284.94009999999997</v>
      </c>
      <c r="M2232">
        <v>-0.99975939999999996</v>
      </c>
      <c r="N2232">
        <v>-1.406723E-2</v>
      </c>
      <c r="O2232">
        <v>1.6830370000000001E-2</v>
      </c>
      <c r="P2232">
        <v>-0.99584079999999997</v>
      </c>
      <c r="Q2232">
        <v>-8.4634920000000002E-2</v>
      </c>
      <c r="R2232">
        <v>-3.3737459999999997E-2</v>
      </c>
      <c r="S2232">
        <v>-3.0098880000000001</v>
      </c>
      <c r="T2232">
        <v>-6.2768340000000006E-2</v>
      </c>
      <c r="U2232">
        <v>7.4890139999999994E-2</v>
      </c>
      <c r="V2232">
        <v>-5.0442349999999997E-2</v>
      </c>
      <c r="W2232">
        <v>-7.0665030000000004E-2</v>
      </c>
      <c r="X2232">
        <v>0.99622390000000005</v>
      </c>
      <c r="Y2232">
        <v>8.0407859999999994E-3</v>
      </c>
      <c r="Z2232" s="1">
        <v>2.6283199999999999E-5</v>
      </c>
      <c r="AA2232">
        <v>0.99996770000000001</v>
      </c>
      <c r="AB2232">
        <v>39</v>
      </c>
      <c r="AC2232">
        <v>-52.796199999999999</v>
      </c>
      <c r="AD2232">
        <v>-1.10915115327</v>
      </c>
      <c r="AE2232">
        <v>1.3169000000000299</v>
      </c>
      <c r="AF2232">
        <v>0.42785721205677302</v>
      </c>
      <c r="AG2232">
        <v>-1.10915115327</v>
      </c>
      <c r="AH2232">
        <v>52.787603588026101</v>
      </c>
      <c r="AI2232">
        <v>91.203658426202594</v>
      </c>
      <c r="AJ2232">
        <v>89.535613022501906</v>
      </c>
      <c r="AK2232">
        <v>52.800988349095199</v>
      </c>
      <c r="AL2232">
        <v>94.052185151271203</v>
      </c>
      <c r="AM2232">
        <v>92.898613143110595</v>
      </c>
      <c r="AN2232">
        <v>1.0000000180348101</v>
      </c>
    </row>
    <row r="2233" spans="1:40" x14ac:dyDescent="0.25">
      <c r="A2233" t="str">
        <f>"20190305135237004"</f>
        <v>20190305135237004</v>
      </c>
      <c r="B2233" t="str">
        <f>"1551765157001798"</f>
        <v>1551765157001798</v>
      </c>
      <c r="C2233" t="s">
        <v>40</v>
      </c>
      <c r="D2233">
        <v>4.6089469999999997</v>
      </c>
      <c r="E2233">
        <v>0.52256899999999995</v>
      </c>
      <c r="F2233" t="s">
        <v>56</v>
      </c>
      <c r="G2233">
        <v>-443.21690000000001</v>
      </c>
      <c r="H2233" s="1">
        <v>1.021983E-7</v>
      </c>
      <c r="I2233">
        <v>286.28399999999999</v>
      </c>
      <c r="J2233">
        <v>-388.44400000000002</v>
      </c>
      <c r="K2233">
        <v>1.109146</v>
      </c>
      <c r="L2233">
        <v>284.94619999999998</v>
      </c>
      <c r="M2233">
        <v>-0.9997665</v>
      </c>
      <c r="N2233">
        <v>-1.3962550000000001E-2</v>
      </c>
      <c r="O2233">
        <v>1.6496210000000001E-2</v>
      </c>
      <c r="P2233">
        <v>-0.99594289999999996</v>
      </c>
      <c r="Q2233">
        <v>-8.3468700000000007E-2</v>
      </c>
      <c r="R2233">
        <v>-3.3627160000000003E-2</v>
      </c>
      <c r="S2233">
        <v>-3.009827</v>
      </c>
      <c r="T2233">
        <v>-6.0523750000000001E-2</v>
      </c>
      <c r="U2233">
        <v>7.3333739999999994E-2</v>
      </c>
      <c r="V2233">
        <v>-4.9999549999999997E-2</v>
      </c>
      <c r="W2233">
        <v>-6.9603090000000006E-2</v>
      </c>
      <c r="X2233">
        <v>0.99632100000000001</v>
      </c>
      <c r="Y2233">
        <v>7.8589260000000005E-3</v>
      </c>
      <c r="Z2233" s="1">
        <v>3.2593930000000002E-5</v>
      </c>
      <c r="AA2233">
        <v>0.99996910000000006</v>
      </c>
      <c r="AB2233">
        <v>39</v>
      </c>
      <c r="AC2233">
        <v>-54.7728999999999</v>
      </c>
      <c r="AD2233">
        <v>-1.1091458978016999</v>
      </c>
      <c r="AE2233">
        <v>1.3378000000000101</v>
      </c>
      <c r="AF2233">
        <v>0.43380685944890301</v>
      </c>
      <c r="AG2233">
        <v>-1.1091458978016999</v>
      </c>
      <c r="AH2233">
        <v>54.7650727859737</v>
      </c>
      <c r="AI2233">
        <v>91.160204781759404</v>
      </c>
      <c r="AJ2233">
        <v>89.546156316988998</v>
      </c>
      <c r="AK2233">
        <v>54.778021051028396</v>
      </c>
      <c r="AL2233">
        <v>93.991190185887703</v>
      </c>
      <c r="AM2233">
        <v>92.872931412144297</v>
      </c>
      <c r="AN2233">
        <v>1.00000004008937</v>
      </c>
    </row>
    <row r="2234" spans="1:40" x14ac:dyDescent="0.25">
      <c r="A2234" t="str">
        <f>"20190305135237017"</f>
        <v>20190305135237017</v>
      </c>
      <c r="B2234" t="str">
        <f>"1551765157011558"</f>
        <v>1551765157011558</v>
      </c>
      <c r="C2234" t="s">
        <v>40</v>
      </c>
      <c r="D2234">
        <v>4.6164160000000001</v>
      </c>
      <c r="E2234">
        <v>0.52254279999999997</v>
      </c>
      <c r="F2234" t="s">
        <v>56</v>
      </c>
      <c r="G2234">
        <v>-446.99590000000001</v>
      </c>
      <c r="H2234" s="1">
        <v>2.1092230000000001E-6</v>
      </c>
      <c r="I2234">
        <v>286.37520000000001</v>
      </c>
      <c r="J2234">
        <v>-388.6592</v>
      </c>
      <c r="K2234">
        <v>1.10914</v>
      </c>
      <c r="L2234">
        <v>284.94959999999998</v>
      </c>
      <c r="M2234">
        <v>-0.99977039999999995</v>
      </c>
      <c r="N2234">
        <v>-1.389584E-2</v>
      </c>
      <c r="O2234">
        <v>1.63102E-2</v>
      </c>
      <c r="P2234">
        <v>-0.99594559999999999</v>
      </c>
      <c r="Q2234">
        <v>-8.3359989999999995E-2</v>
      </c>
      <c r="R2234">
        <v>-3.3820950000000002E-2</v>
      </c>
      <c r="S2234">
        <v>-3.0099490000000002</v>
      </c>
      <c r="T2234">
        <v>-5.7017209999999999E-2</v>
      </c>
      <c r="U2234">
        <v>7.3455809999999996E-2</v>
      </c>
      <c r="V2234">
        <v>-5.0006340000000003E-2</v>
      </c>
      <c r="W2234">
        <v>-6.9561650000000003E-2</v>
      </c>
      <c r="X2234">
        <v>0.99632350000000003</v>
      </c>
      <c r="Y2234">
        <v>8.0845989999999996E-3</v>
      </c>
      <c r="Z2234" s="1">
        <v>5.0516690000000003E-5</v>
      </c>
      <c r="AA2234">
        <v>0.9999673</v>
      </c>
      <c r="AB2234">
        <v>39</v>
      </c>
      <c r="AC2234">
        <v>-58.3367</v>
      </c>
      <c r="AD2234">
        <v>-1.109137890777</v>
      </c>
      <c r="AE2234">
        <v>1.42560000000003</v>
      </c>
      <c r="AF2234">
        <v>0.47366407562025598</v>
      </c>
      <c r="AG2234">
        <v>-1.109137890777</v>
      </c>
      <c r="AH2234">
        <v>58.331119511862099</v>
      </c>
      <c r="AI2234">
        <v>91.089284230887998</v>
      </c>
      <c r="AJ2234">
        <v>89.534753383983599</v>
      </c>
      <c r="AK2234">
        <v>58.343586177269103</v>
      </c>
      <c r="AL2234">
        <v>93.988810292421704</v>
      </c>
      <c r="AM2234">
        <v>92.873313708262401</v>
      </c>
      <c r="AN2234">
        <v>0.99999998692158398</v>
      </c>
    </row>
    <row r="2235" spans="1:40" x14ac:dyDescent="0.25">
      <c r="A2235" t="str">
        <f>"20190305135237030"</f>
        <v>20190305135237030</v>
      </c>
      <c r="B2235" t="str">
        <f>"1551765157021318"</f>
        <v>1551765157021318</v>
      </c>
      <c r="C2235" t="s">
        <v>40</v>
      </c>
      <c r="D2235">
        <v>4.65123</v>
      </c>
      <c r="E2235">
        <v>0.5225244</v>
      </c>
      <c r="F2235" t="s">
        <v>56</v>
      </c>
      <c r="G2235">
        <v>-447.22980000000001</v>
      </c>
      <c r="H2235" s="1">
        <v>2.23418E-6</v>
      </c>
      <c r="I2235">
        <v>286.36360000000002</v>
      </c>
      <c r="J2235">
        <v>-388.88170000000002</v>
      </c>
      <c r="K2235">
        <v>1.1091299999999999</v>
      </c>
      <c r="L2235">
        <v>284.95310000000001</v>
      </c>
      <c r="M2235">
        <v>-0.99977450000000001</v>
      </c>
      <c r="N2235">
        <v>-1.382921E-2</v>
      </c>
      <c r="O2235">
        <v>1.6117599999999999E-2</v>
      </c>
      <c r="P2235">
        <v>-0.99594990000000005</v>
      </c>
      <c r="Q2235">
        <v>-8.3227430000000005E-2</v>
      </c>
      <c r="R2235">
        <v>-3.4013880000000003E-2</v>
      </c>
      <c r="S2235">
        <v>-3.0099179999999999</v>
      </c>
      <c r="T2235">
        <v>-5.6998130000000001E-2</v>
      </c>
      <c r="U2235">
        <v>7.2662350000000001E-2</v>
      </c>
      <c r="V2235">
        <v>-5.0007049999999997E-2</v>
      </c>
      <c r="W2235">
        <v>-6.949611E-2</v>
      </c>
      <c r="X2235">
        <v>0.99632810000000005</v>
      </c>
      <c r="Y2235">
        <v>8.0140899999999998E-3</v>
      </c>
      <c r="Z2235" s="1">
        <v>4.906201E-5</v>
      </c>
      <c r="AA2235">
        <v>0.99996790000000002</v>
      </c>
      <c r="AB2235">
        <v>39</v>
      </c>
      <c r="AC2235">
        <v>-58.348099999999903</v>
      </c>
      <c r="AD2235">
        <v>-1.1091277658200001</v>
      </c>
      <c r="AE2235">
        <v>1.4105000000000101</v>
      </c>
      <c r="AF2235">
        <v>0.46962591068760101</v>
      </c>
      <c r="AG2235">
        <v>-1.1091277658200001</v>
      </c>
      <c r="AH2235">
        <v>58.342186611793601</v>
      </c>
      <c r="AI2235">
        <v>91.089068334521698</v>
      </c>
      <c r="AJ2235">
        <v>89.538807112615999</v>
      </c>
      <c r="AK2235">
        <v>58.354618082395604</v>
      </c>
      <c r="AL2235">
        <v>93.985045771009695</v>
      </c>
      <c r="AM2235">
        <v>92.873341191867695</v>
      </c>
      <c r="AN2235">
        <v>1.00000004860222</v>
      </c>
    </row>
    <row r="2236" spans="1:40" x14ac:dyDescent="0.25">
      <c r="A2236" t="str">
        <f>"20190305135237041"</f>
        <v>20190305135237041</v>
      </c>
      <c r="B2236" t="str">
        <f>"1551765157032054"</f>
        <v>1551765157032054</v>
      </c>
      <c r="C2236" t="s">
        <v>40</v>
      </c>
      <c r="D2236">
        <v>4.6566919999999996</v>
      </c>
      <c r="E2236">
        <v>0.52251029999999998</v>
      </c>
      <c r="F2236" t="s">
        <v>56</v>
      </c>
      <c r="G2236">
        <v>-447.37169999999998</v>
      </c>
      <c r="H2236" s="1">
        <v>2.3103160000000002E-6</v>
      </c>
      <c r="I2236">
        <v>286.34910000000002</v>
      </c>
      <c r="J2236">
        <v>-389.0985</v>
      </c>
      <c r="K2236">
        <v>1.109121</v>
      </c>
      <c r="L2236">
        <v>284.95639999999997</v>
      </c>
      <c r="M2236">
        <v>-0.99977839999999996</v>
      </c>
      <c r="N2236">
        <v>-1.3769160000000001E-2</v>
      </c>
      <c r="O2236">
        <v>1.5929209999999999E-2</v>
      </c>
      <c r="P2236">
        <v>-0.99592879999999995</v>
      </c>
      <c r="Q2236">
        <v>-8.3361309999999994E-2</v>
      </c>
      <c r="R2236">
        <v>-3.4308650000000003E-2</v>
      </c>
      <c r="S2236">
        <v>-3.0098880000000001</v>
      </c>
      <c r="T2236">
        <v>-5.7075620000000001E-2</v>
      </c>
      <c r="U2236">
        <v>7.1838379999999993E-2</v>
      </c>
      <c r="V2236">
        <v>-5.011326E-2</v>
      </c>
      <c r="W2236">
        <v>-6.9690600000000005E-2</v>
      </c>
      <c r="X2236">
        <v>0.99630909999999995</v>
      </c>
      <c r="Y2236">
        <v>7.9292059999999994E-3</v>
      </c>
      <c r="Z2236" s="1">
        <v>4.7126409999999997E-5</v>
      </c>
      <c r="AA2236">
        <v>0.99996859999999999</v>
      </c>
      <c r="AB2236">
        <v>39</v>
      </c>
      <c r="AC2236">
        <v>-58.273199999999903</v>
      </c>
      <c r="AD2236">
        <v>-1.109118689684</v>
      </c>
      <c r="AE2236">
        <v>1.39270000000004</v>
      </c>
      <c r="AF2236">
        <v>0.46402130131119801</v>
      </c>
      <c r="AG2236">
        <v>-1.109118689684</v>
      </c>
      <c r="AH2236">
        <v>58.266896113558701</v>
      </c>
      <c r="AI2236">
        <v>91.090467079361602</v>
      </c>
      <c r="AJ2236">
        <v>89.543722045987806</v>
      </c>
      <c r="AK2236">
        <v>58.279298578003797</v>
      </c>
      <c r="AL2236">
        <v>93.9962166222695</v>
      </c>
      <c r="AM2236">
        <v>92.879488442884593</v>
      </c>
      <c r="AN2236">
        <v>0.99999997064949797</v>
      </c>
    </row>
    <row r="2237" spans="1:40" x14ac:dyDescent="0.25">
      <c r="A2237" t="str">
        <f>"20190305135237061"</f>
        <v>20190305135237061</v>
      </c>
      <c r="B2237" t="str">
        <f>"1551765157051577"</f>
        <v>1551765157051577</v>
      </c>
      <c r="C2237" t="s">
        <v>40</v>
      </c>
      <c r="D2237">
        <v>4.6401659999999998</v>
      </c>
      <c r="E2237">
        <v>0.52246919999999997</v>
      </c>
      <c r="F2237" t="s">
        <v>56</v>
      </c>
      <c r="G2237">
        <v>-446.94760000000002</v>
      </c>
      <c r="H2237" s="1">
        <v>2.0859129999999999E-6</v>
      </c>
      <c r="I2237">
        <v>286.32010000000002</v>
      </c>
      <c r="J2237">
        <v>-389.42250000000001</v>
      </c>
      <c r="K2237">
        <v>1.10911</v>
      </c>
      <c r="L2237">
        <v>284.96120000000002</v>
      </c>
      <c r="M2237">
        <v>-0.99978389999999995</v>
      </c>
      <c r="N2237">
        <v>-1.368927E-2</v>
      </c>
      <c r="O2237">
        <v>1.564712E-2</v>
      </c>
      <c r="P2237">
        <v>-0.99587999999999999</v>
      </c>
      <c r="Q2237">
        <v>-8.3667889999999995E-2</v>
      </c>
      <c r="R2237">
        <v>-3.4972179999999999E-2</v>
      </c>
      <c r="S2237">
        <v>-3.0099490000000002</v>
      </c>
      <c r="T2237">
        <v>-5.7708620000000002E-2</v>
      </c>
      <c r="U2237">
        <v>7.0953370000000002E-2</v>
      </c>
      <c r="V2237">
        <v>-5.0493839999999998E-2</v>
      </c>
      <c r="W2237">
        <v>-7.0078009999999996E-2</v>
      </c>
      <c r="X2237">
        <v>0.99626269999999995</v>
      </c>
      <c r="Y2237">
        <v>7.917014E-3</v>
      </c>
      <c r="Z2237" s="1">
        <v>4.436966E-5</v>
      </c>
      <c r="AA2237">
        <v>0.99996859999999999</v>
      </c>
      <c r="AB2237">
        <v>39</v>
      </c>
      <c r="AC2237">
        <v>-57.525100000000002</v>
      </c>
      <c r="AD2237">
        <v>-1.1091079140869999</v>
      </c>
      <c r="AE2237">
        <v>1.3589</v>
      </c>
      <c r="AF2237">
        <v>0.45837684930389699</v>
      </c>
      <c r="AG2237">
        <v>-1.1091079140869999</v>
      </c>
      <c r="AH2237">
        <v>57.517951628550897</v>
      </c>
      <c r="AI2237">
        <v>91.104651838159995</v>
      </c>
      <c r="AJ2237">
        <v>89.543403369124803</v>
      </c>
      <c r="AK2237">
        <v>57.530470094076101</v>
      </c>
      <c r="AL2237">
        <v>94.018468020568903</v>
      </c>
      <c r="AM2237">
        <v>92.901454094637003</v>
      </c>
      <c r="AN2237">
        <v>0.999999961387397</v>
      </c>
    </row>
    <row r="2238" spans="1:40" x14ac:dyDescent="0.25">
      <c r="A2238" t="str">
        <f>"20190305135237074"</f>
        <v>20190305135237074</v>
      </c>
      <c r="B2238" t="str">
        <f>"1551765157061335"</f>
        <v>1551765157061335</v>
      </c>
      <c r="C2238" t="s">
        <v>40</v>
      </c>
      <c r="D2238">
        <v>4.6495389999999999</v>
      </c>
      <c r="E2238">
        <v>0.52246899999999996</v>
      </c>
      <c r="F2238" t="s">
        <v>56</v>
      </c>
      <c r="G2238">
        <v>-446.06689999999998</v>
      </c>
      <c r="H2238" s="1">
        <v>1.6203969999999999E-6</v>
      </c>
      <c r="I2238">
        <v>286.24829999999997</v>
      </c>
      <c r="J2238">
        <v>-389.63850000000002</v>
      </c>
      <c r="K2238">
        <v>1.1091040000000001</v>
      </c>
      <c r="L2238">
        <v>284.96440000000001</v>
      </c>
      <c r="M2238">
        <v>-0.99978739999999999</v>
      </c>
      <c r="N2238">
        <v>-1.364013E-2</v>
      </c>
      <c r="O2238">
        <v>1.5459779999999999E-2</v>
      </c>
      <c r="P2238">
        <v>-0.99585290000000004</v>
      </c>
      <c r="Q2238">
        <v>-8.3756380000000005E-2</v>
      </c>
      <c r="R2238">
        <v>-3.5525340000000002E-2</v>
      </c>
      <c r="S2238">
        <v>-3.0098880000000001</v>
      </c>
      <c r="T2238">
        <v>-5.8934210000000001E-2</v>
      </c>
      <c r="U2238">
        <v>6.8389889999999995E-2</v>
      </c>
      <c r="V2238">
        <v>-5.0860089999999997E-2</v>
      </c>
      <c r="W2238">
        <v>-7.0216219999999996E-2</v>
      </c>
      <c r="X2238">
        <v>0.99623439999999996</v>
      </c>
      <c r="Y2238">
        <v>7.2538450000000001E-3</v>
      </c>
      <c r="Z2238" s="1">
        <v>2.8738570000000001E-5</v>
      </c>
      <c r="AA2238">
        <v>0.99997369999999997</v>
      </c>
      <c r="AB2238">
        <v>39</v>
      </c>
      <c r="AC2238">
        <v>-56.428399999999897</v>
      </c>
      <c r="AD2238">
        <v>-1.109102379603</v>
      </c>
      <c r="AE2238">
        <v>1.2838999999999501</v>
      </c>
      <c r="AF2238">
        <v>0.41113592806954502</v>
      </c>
      <c r="AG2238">
        <v>-1.109102379603</v>
      </c>
      <c r="AH2238">
        <v>56.419720852011899</v>
      </c>
      <c r="AI2238">
        <v>91.126149051367094</v>
      </c>
      <c r="AJ2238">
        <v>89.582487538385706</v>
      </c>
      <c r="AK2238">
        <v>56.432118885070501</v>
      </c>
      <c r="AL2238">
        <v>94.0264061769969</v>
      </c>
      <c r="AM2238">
        <v>92.922545908147001</v>
      </c>
      <c r="AN2238">
        <v>1.00000002302462</v>
      </c>
    </row>
    <row r="2239" spans="1:40" x14ac:dyDescent="0.25">
      <c r="A2239" t="str">
        <f>"20190305135237094"</f>
        <v>20190305135237094</v>
      </c>
      <c r="B2239" t="str">
        <f>"1551765157091589"</f>
        <v>1551765157091589</v>
      </c>
      <c r="C2239" t="s">
        <v>40</v>
      </c>
      <c r="D2239">
        <v>4.7326819999999996</v>
      </c>
      <c r="E2239">
        <v>0.4898612</v>
      </c>
      <c r="F2239" t="s">
        <v>56</v>
      </c>
      <c r="G2239">
        <v>-445.97239999999999</v>
      </c>
      <c r="H2239" s="1">
        <v>1.5715520000000001E-6</v>
      </c>
      <c r="I2239">
        <v>286.21530000000001</v>
      </c>
      <c r="J2239">
        <v>-389.99630000000002</v>
      </c>
      <c r="K2239">
        <v>1.1090990000000001</v>
      </c>
      <c r="L2239">
        <v>284.96969999999999</v>
      </c>
      <c r="M2239">
        <v>-0.9997933</v>
      </c>
      <c r="N2239">
        <v>-1.3563499999999999E-2</v>
      </c>
      <c r="O2239">
        <v>1.515004E-2</v>
      </c>
      <c r="P2239">
        <v>-0.99586799999999998</v>
      </c>
      <c r="Q2239">
        <v>-8.3251220000000001E-2</v>
      </c>
      <c r="R2239">
        <v>-3.6282109999999999E-2</v>
      </c>
      <c r="S2239">
        <v>-3.0098569999999998</v>
      </c>
      <c r="T2239">
        <v>-5.9258100000000001E-2</v>
      </c>
      <c r="U2239">
        <v>6.6833500000000004E-2</v>
      </c>
      <c r="V2239">
        <v>-5.1309130000000001E-2</v>
      </c>
      <c r="W2239">
        <v>-6.9787719999999998E-2</v>
      </c>
      <c r="X2239">
        <v>0.9962415</v>
      </c>
      <c r="Y2239">
        <v>7.0471359999999999E-3</v>
      </c>
      <c r="Z2239" s="1">
        <v>2.4457229999999999E-5</v>
      </c>
      <c r="AA2239">
        <v>0.99997510000000001</v>
      </c>
      <c r="AB2239">
        <v>39</v>
      </c>
      <c r="AC2239">
        <v>-55.976099999999903</v>
      </c>
      <c r="AD2239">
        <v>-1.109097428448</v>
      </c>
      <c r="AE2239">
        <v>1.24560000000002</v>
      </c>
      <c r="AF2239">
        <v>0.39718305314014402</v>
      </c>
      <c r="AG2239">
        <v>-1.109097428448</v>
      </c>
      <c r="AH2239">
        <v>55.966586364194903</v>
      </c>
      <c r="AI2239">
        <v>91.135261047730296</v>
      </c>
      <c r="AJ2239">
        <v>89.593390769693798</v>
      </c>
      <c r="AK2239">
        <v>55.978983920256901</v>
      </c>
      <c r="AL2239">
        <v>94.001794493889406</v>
      </c>
      <c r="AM2239">
        <v>92.948282550462395</v>
      </c>
      <c r="AN2239">
        <v>1.0000000395032</v>
      </c>
    </row>
    <row r="2240" spans="1:40" x14ac:dyDescent="0.25">
      <c r="A2240" t="str">
        <f>"20190305135237117"</f>
        <v>20190305135237117</v>
      </c>
      <c r="B2240" t="str">
        <f>"1551765157111615"</f>
        <v>1551765157111615</v>
      </c>
      <c r="C2240" t="s">
        <v>40</v>
      </c>
      <c r="D2240">
        <v>4.640161</v>
      </c>
      <c r="E2240">
        <v>0.48384280000000002</v>
      </c>
      <c r="F2240" t="s">
        <v>66</v>
      </c>
      <c r="G2240">
        <v>-414.64260000000002</v>
      </c>
      <c r="H2240" s="1">
        <v>3.1373960000000001E-6</v>
      </c>
      <c r="I2240">
        <v>283.37950000000001</v>
      </c>
      <c r="J2240">
        <v>-390.39789999999999</v>
      </c>
      <c r="K2240">
        <v>1.1091</v>
      </c>
      <c r="L2240">
        <v>284.97539999999998</v>
      </c>
      <c r="M2240">
        <v>-0.99979949999999995</v>
      </c>
      <c r="N2240">
        <v>-1.348418E-2</v>
      </c>
      <c r="O2240">
        <v>1.480426E-2</v>
      </c>
      <c r="P2240">
        <v>-0.99586269999999999</v>
      </c>
      <c r="Q2240">
        <v>-8.2912379999999994E-2</v>
      </c>
      <c r="R2240">
        <v>-3.7193049999999998E-2</v>
      </c>
      <c r="S2240">
        <v>-2.9941710000000001</v>
      </c>
      <c r="T2240">
        <v>-0.13473940000000001</v>
      </c>
      <c r="U2240">
        <v>-0.1931763</v>
      </c>
      <c r="V2240">
        <v>-5.1875360000000002E-2</v>
      </c>
      <c r="W2240">
        <v>-6.9528450000000006E-2</v>
      </c>
      <c r="X2240">
        <v>0.99623019999999995</v>
      </c>
      <c r="Y2240">
        <v>-7.9040449999999998E-2</v>
      </c>
      <c r="Z2240">
        <v>-2.7754120000000001E-3</v>
      </c>
      <c r="AA2240">
        <v>0.99686750000000002</v>
      </c>
      <c r="AB2240">
        <v>39</v>
      </c>
      <c r="AC2240">
        <v>-24.244700000000002</v>
      </c>
      <c r="AD2240">
        <v>-1.1090968626040001</v>
      </c>
      <c r="AE2240">
        <v>-1.5958999999999699</v>
      </c>
      <c r="AF2240">
        <v>-1.95061811473992</v>
      </c>
      <c r="AG2240">
        <v>-1.1090968626040001</v>
      </c>
      <c r="AH2240">
        <v>24.168056193672498</v>
      </c>
      <c r="AI2240">
        <v>92.619013932396001</v>
      </c>
      <c r="AJ2240">
        <v>94.614373959486898</v>
      </c>
      <c r="AK2240">
        <v>24.271999239055301</v>
      </c>
      <c r="AL2240">
        <v>93.986903663593495</v>
      </c>
      <c r="AM2240">
        <v>92.980794181570502</v>
      </c>
      <c r="AN2240">
        <v>0.99999993486328298</v>
      </c>
    </row>
    <row r="2241" spans="1:40" x14ac:dyDescent="0.25">
      <c r="A2241" t="str">
        <f>"20190305135237139"</f>
        <v>20190305135237139</v>
      </c>
      <c r="B2241" t="str">
        <f>"1551765157132111"</f>
        <v>1551765157132111</v>
      </c>
      <c r="C2241" t="s">
        <v>40</v>
      </c>
      <c r="D2241">
        <v>4.9206079999999996</v>
      </c>
      <c r="E2241">
        <v>0.48396689999999998</v>
      </c>
      <c r="F2241" t="s">
        <v>66</v>
      </c>
      <c r="G2241">
        <v>-421.41059999999999</v>
      </c>
      <c r="H2241" s="1">
        <v>3.9045399999999999E-6</v>
      </c>
      <c r="I2241">
        <v>282.44110000000001</v>
      </c>
      <c r="J2241">
        <v>-390.7919</v>
      </c>
      <c r="K2241">
        <v>1.109094</v>
      </c>
      <c r="L2241">
        <v>284.98079999999999</v>
      </c>
      <c r="M2241">
        <v>-0.99980550000000001</v>
      </c>
      <c r="N2241">
        <v>-1.3413949999999999E-2</v>
      </c>
      <c r="O2241">
        <v>1.4466420000000001E-2</v>
      </c>
      <c r="P2241">
        <v>-0.99583350000000004</v>
      </c>
      <c r="Q2241">
        <v>-8.2859559999999999E-2</v>
      </c>
      <c r="R2241">
        <v>-3.8080660000000002E-2</v>
      </c>
      <c r="S2241">
        <v>-2.9943849999999999</v>
      </c>
      <c r="T2241">
        <v>-0.107086899999999</v>
      </c>
      <c r="U2241">
        <v>-0.24468989999999999</v>
      </c>
      <c r="V2241">
        <v>-5.2426800000000003E-2</v>
      </c>
      <c r="W2241">
        <v>-6.9546300000000005E-2</v>
      </c>
      <c r="X2241">
        <v>0.99620010000000003</v>
      </c>
      <c r="Y2241">
        <v>-9.5768530000000004E-2</v>
      </c>
      <c r="Z2241">
        <v>-2.6754859999999999E-3</v>
      </c>
      <c r="AA2241">
        <v>0.99539999999999995</v>
      </c>
      <c r="AB2241">
        <v>39</v>
      </c>
      <c r="AC2241">
        <v>-30.618699999999901</v>
      </c>
      <c r="AD2241">
        <v>-1.10909009546</v>
      </c>
      <c r="AE2241">
        <v>-2.5396999999999799</v>
      </c>
      <c r="AF2241">
        <v>-2.9785355904817701</v>
      </c>
      <c r="AG2241">
        <v>-1.10909009546</v>
      </c>
      <c r="AH2241">
        <v>30.538955946491299</v>
      </c>
      <c r="AI2241">
        <v>92.070095500355706</v>
      </c>
      <c r="AJ2241">
        <v>95.570572115339203</v>
      </c>
      <c r="AK2241">
        <v>30.703901794484501</v>
      </c>
      <c r="AL2241">
        <v>93.9879288216502</v>
      </c>
      <c r="AM2241">
        <v>93.012513103572005</v>
      </c>
      <c r="AN2241">
        <v>0.99999994822096805</v>
      </c>
    </row>
    <row r="2242" spans="1:40" x14ac:dyDescent="0.25">
      <c r="A2242" t="str">
        <f>"20190305135237161"</f>
        <v>20190305135237161</v>
      </c>
      <c r="B2242" t="str">
        <f>"1551765157151637"</f>
        <v>1551765157151637</v>
      </c>
      <c r="C2242" t="s">
        <v>40</v>
      </c>
      <c r="D2242">
        <v>4.6158700000000001</v>
      </c>
      <c r="E2242">
        <v>0.4818692</v>
      </c>
      <c r="F2242" t="s">
        <v>66</v>
      </c>
      <c r="G2242">
        <v>-421.63580000000002</v>
      </c>
      <c r="H2242" s="1">
        <v>3.8645470000000003E-6</v>
      </c>
      <c r="I2242">
        <v>282.44159999999999</v>
      </c>
      <c r="J2242">
        <v>-391.15649999999999</v>
      </c>
      <c r="K2242">
        <v>1.109086</v>
      </c>
      <c r="L2242">
        <v>284.98579999999998</v>
      </c>
      <c r="M2242">
        <v>-0.9998108</v>
      </c>
      <c r="N2242">
        <v>-1.335604E-2</v>
      </c>
      <c r="O2242">
        <v>1.4154720000000001E-2</v>
      </c>
      <c r="P2242">
        <v>-0.99585040000000002</v>
      </c>
      <c r="Q2242">
        <v>-8.2472680000000007E-2</v>
      </c>
      <c r="R2242">
        <v>-3.847892E-2</v>
      </c>
      <c r="S2242">
        <v>-2.9941409999999999</v>
      </c>
      <c r="T2242">
        <v>-0.1076636</v>
      </c>
      <c r="U2242">
        <v>-0.2464905</v>
      </c>
      <c r="V2242">
        <v>-5.2514940000000003E-2</v>
      </c>
      <c r="W2242">
        <v>-6.9216739999999999E-2</v>
      </c>
      <c r="X2242">
        <v>0.99621839999999995</v>
      </c>
      <c r="Y2242">
        <v>-9.6058439999999995E-2</v>
      </c>
      <c r="Z2242">
        <v>-2.68578E-3</v>
      </c>
      <c r="AA2242">
        <v>0.99537209999999998</v>
      </c>
      <c r="AB2242">
        <v>39</v>
      </c>
      <c r="AC2242">
        <v>-30.479299999999999</v>
      </c>
      <c r="AD2242">
        <v>-1.1090821354530001</v>
      </c>
      <c r="AE2242">
        <v>-2.54419999999998</v>
      </c>
      <c r="AF2242">
        <v>-2.9715021194285098</v>
      </c>
      <c r="AG2242">
        <v>-1.1090821354530001</v>
      </c>
      <c r="AH2242">
        <v>30.4002561626884</v>
      </c>
      <c r="AI2242">
        <v>92.0794741045096</v>
      </c>
      <c r="AJ2242">
        <v>95.582696317895397</v>
      </c>
      <c r="AK2242">
        <v>30.565265625968699</v>
      </c>
      <c r="AL2242">
        <v>93.969000850342795</v>
      </c>
      <c r="AM2242">
        <v>93.017513063217606</v>
      </c>
      <c r="AN2242">
        <v>0.99999993825899303</v>
      </c>
    </row>
    <row r="2243" spans="1:40" x14ac:dyDescent="0.25">
      <c r="A2243" t="str">
        <f>"20190305135237174"</f>
        <v>20190305135237174</v>
      </c>
      <c r="B2243" t="str">
        <f>"1551765157161392"</f>
        <v>1551765157161392</v>
      </c>
      <c r="C2243" t="s">
        <v>40</v>
      </c>
      <c r="D2243">
        <v>4.6567069999999999</v>
      </c>
      <c r="E2243">
        <v>0.48139100000000001</v>
      </c>
      <c r="F2243" t="s">
        <v>66</v>
      </c>
      <c r="G2243">
        <v>-426.38229999999999</v>
      </c>
      <c r="H2243" s="1">
        <v>3.0726789999999999E-6</v>
      </c>
      <c r="I2243">
        <v>281.86900000000003</v>
      </c>
      <c r="J2243">
        <v>-391.38380000000001</v>
      </c>
      <c r="K2243">
        <v>1.1090799999999901</v>
      </c>
      <c r="L2243">
        <v>284.98880000000003</v>
      </c>
      <c r="M2243">
        <v>-0.99981390000000003</v>
      </c>
      <c r="N2243">
        <v>-1.3323339999999999E-2</v>
      </c>
      <c r="O2243">
        <v>1.3960490000000001E-2</v>
      </c>
      <c r="P2243">
        <v>-0.99585089999999998</v>
      </c>
      <c r="Q2243">
        <v>-8.2510570000000005E-2</v>
      </c>
      <c r="R2243">
        <v>-3.8386370000000003E-2</v>
      </c>
      <c r="S2243">
        <v>-2.9944459999999999</v>
      </c>
      <c r="T2243">
        <v>-9.4280119999999995E-2</v>
      </c>
      <c r="U2243">
        <v>-0.26495360000000001</v>
      </c>
      <c r="V2243">
        <v>-5.2229199999999899E-2</v>
      </c>
      <c r="W2243">
        <v>-6.9286689999999998E-2</v>
      </c>
      <c r="X2243">
        <v>0.99622860000000002</v>
      </c>
      <c r="Y2243">
        <v>-0.10196230000000001</v>
      </c>
      <c r="Z2243">
        <v>-2.5354930000000002E-3</v>
      </c>
      <c r="AA2243">
        <v>0.99478500000000003</v>
      </c>
      <c r="AB2243">
        <v>39</v>
      </c>
      <c r="AC2243">
        <v>-34.9984999999999</v>
      </c>
      <c r="AD2243">
        <v>-1.1090769273209999</v>
      </c>
      <c r="AE2243">
        <v>-3.1197999999999899</v>
      </c>
      <c r="AF2243">
        <v>-3.6045442529815102</v>
      </c>
      <c r="AG2243">
        <v>-1.1090769273209999</v>
      </c>
      <c r="AH2243">
        <v>34.916743596093802</v>
      </c>
      <c r="AI2243">
        <v>91.809690184130602</v>
      </c>
      <c r="AJ2243">
        <v>95.893911167840699</v>
      </c>
      <c r="AK2243">
        <v>35.119820248084601</v>
      </c>
      <c r="AL2243">
        <v>93.973018172948699</v>
      </c>
      <c r="AM2243">
        <v>93.001093842865799</v>
      </c>
      <c r="AN2243">
        <v>0.99999997910087701</v>
      </c>
    </row>
    <row r="2244" spans="1:40" x14ac:dyDescent="0.25">
      <c r="A2244" t="str">
        <f>"20190305135237187"</f>
        <v>20190305135237187</v>
      </c>
      <c r="B2244" t="str">
        <f>"1551765157181887"</f>
        <v>1551765157181887</v>
      </c>
      <c r="C2244" t="s">
        <v>40</v>
      </c>
      <c r="D2244">
        <v>4.6286909999999999</v>
      </c>
      <c r="E2244">
        <v>0.48075970000000001</v>
      </c>
      <c r="F2244" t="s">
        <v>66</v>
      </c>
      <c r="G2244">
        <v>-427.30459999999999</v>
      </c>
      <c r="H2244" s="1">
        <v>2.9181769999999999E-6</v>
      </c>
      <c r="I2244">
        <v>281.76479999999998</v>
      </c>
      <c r="J2244">
        <v>-391.61880000000002</v>
      </c>
      <c r="K2244">
        <v>1.109075</v>
      </c>
      <c r="L2244">
        <v>284.99189999999999</v>
      </c>
      <c r="M2244">
        <v>-0.99981710000000001</v>
      </c>
      <c r="N2244">
        <v>-1.3291870000000001E-2</v>
      </c>
      <c r="O2244">
        <v>1.3759820000000001E-2</v>
      </c>
      <c r="P2244">
        <v>-0.99580849999999999</v>
      </c>
      <c r="Q2244">
        <v>-8.2996500000000001E-2</v>
      </c>
      <c r="R2244">
        <v>-3.8437190000000003E-2</v>
      </c>
      <c r="S2244">
        <v>-2.994507</v>
      </c>
      <c r="T2244">
        <v>-9.2457410000000004E-2</v>
      </c>
      <c r="U2244">
        <v>-0.26876830000000002</v>
      </c>
      <c r="V2244">
        <v>-5.2079569999999999E-2</v>
      </c>
      <c r="W2244">
        <v>-6.9804089999999999E-2</v>
      </c>
      <c r="X2244">
        <v>0.99620030000000004</v>
      </c>
      <c r="Y2244">
        <v>-0.10302</v>
      </c>
      <c r="Z2244">
        <v>-2.5145990000000002E-3</v>
      </c>
      <c r="AA2244">
        <v>0.99467609999999995</v>
      </c>
      <c r="AB2244">
        <v>39</v>
      </c>
      <c r="AC2244">
        <v>-35.685799999999901</v>
      </c>
      <c r="AD2244">
        <v>-1.109072081823</v>
      </c>
      <c r="AE2244">
        <v>-3.2271000000000001</v>
      </c>
      <c r="AF2244">
        <v>-3.7143094195145299</v>
      </c>
      <c r="AG2244">
        <v>-1.109072081823</v>
      </c>
      <c r="AH2244">
        <v>35.603902183042102</v>
      </c>
      <c r="AI2244">
        <v>91.774579222344798</v>
      </c>
      <c r="AJ2244">
        <v>95.955729625171401</v>
      </c>
      <c r="AK2244">
        <v>35.8142986250771</v>
      </c>
      <c r="AL2244">
        <v>94.0027350167733</v>
      </c>
      <c r="AM2244">
        <v>92.992596597806099</v>
      </c>
      <c r="AN2244">
        <v>0.99999996515610101</v>
      </c>
    </row>
    <row r="2245" spans="1:40" x14ac:dyDescent="0.25">
      <c r="A2245" t="str">
        <f>"20190305135237200"</f>
        <v>20190305135237200</v>
      </c>
      <c r="B2245" t="str">
        <f>"1551765157191649"</f>
        <v>1551765157191649</v>
      </c>
      <c r="C2245" t="s">
        <v>40</v>
      </c>
      <c r="D2245">
        <v>4.630986</v>
      </c>
      <c r="E2245">
        <v>0.48056769999999999</v>
      </c>
      <c r="F2245" t="s">
        <v>66</v>
      </c>
      <c r="G2245">
        <v>-430.35480000000001</v>
      </c>
      <c r="H2245" s="1">
        <v>2.651327E-6</v>
      </c>
      <c r="I2245">
        <v>281.44779999999997</v>
      </c>
      <c r="J2245">
        <v>-391.85289999999998</v>
      </c>
      <c r="K2245">
        <v>1.10907</v>
      </c>
      <c r="L2245">
        <v>284.99489999999997</v>
      </c>
      <c r="M2245">
        <v>-0.99982020000000005</v>
      </c>
      <c r="N2245">
        <v>-1.326577E-2</v>
      </c>
      <c r="O2245">
        <v>1.356168E-2</v>
      </c>
      <c r="P2245">
        <v>-0.99577709999999997</v>
      </c>
      <c r="Q2245">
        <v>-8.3425570000000004E-2</v>
      </c>
      <c r="R2245">
        <v>-3.8319840000000001E-2</v>
      </c>
      <c r="S2245">
        <v>-2.994904</v>
      </c>
      <c r="T2245">
        <v>-8.5748790000000005E-2</v>
      </c>
      <c r="U2245">
        <v>-0.27401730000000002</v>
      </c>
      <c r="V2245">
        <v>-5.1764869999999998E-2</v>
      </c>
      <c r="W2245">
        <v>-7.0258879999999996E-2</v>
      </c>
      <c r="X2245">
        <v>0.99618479999999998</v>
      </c>
      <c r="Y2245">
        <v>-0.1045481</v>
      </c>
      <c r="Z2245">
        <v>-2.3963629999999999E-3</v>
      </c>
      <c r="AA2245">
        <v>0.99451699999999998</v>
      </c>
      <c r="AB2245">
        <v>39</v>
      </c>
      <c r="AC2245">
        <v>-38.501899999999999</v>
      </c>
      <c r="AD2245">
        <v>-1.1090673486730001</v>
      </c>
      <c r="AE2245">
        <v>-3.5470999999999999</v>
      </c>
      <c r="AF2245">
        <v>-4.0656249548691097</v>
      </c>
      <c r="AG2245">
        <v>-1.1090673486730001</v>
      </c>
      <c r="AH2245">
        <v>38.418639847933399</v>
      </c>
      <c r="AI2245">
        <v>91.644375647034195</v>
      </c>
      <c r="AJ2245">
        <v>96.040801777426097</v>
      </c>
      <c r="AK2245">
        <v>38.649077924612399</v>
      </c>
      <c r="AL2245">
        <v>94.028856422631506</v>
      </c>
      <c r="AM2245">
        <v>92.974592076591605</v>
      </c>
      <c r="AN2245">
        <v>1.000000033868</v>
      </c>
    </row>
    <row r="2246" spans="1:40" x14ac:dyDescent="0.25">
      <c r="A2246" t="str">
        <f>"20190305135237213"</f>
        <v>20190305135237213</v>
      </c>
      <c r="B2246" t="str">
        <f>"1551765157201916"</f>
        <v>1551765157201916</v>
      </c>
      <c r="C2246" t="s">
        <v>40</v>
      </c>
      <c r="D2246">
        <v>4.6452059999999999</v>
      </c>
      <c r="E2246">
        <v>0.48038350000000002</v>
      </c>
      <c r="F2246" t="s">
        <v>66</v>
      </c>
      <c r="G2246">
        <v>-430.9984</v>
      </c>
      <c r="H2246" s="1">
        <v>2.9412809999999998E-6</v>
      </c>
      <c r="I2246">
        <v>281.39580000000001</v>
      </c>
      <c r="J2246">
        <v>-392.06580000000002</v>
      </c>
      <c r="K2246">
        <v>1.1090739999999999</v>
      </c>
      <c r="L2246">
        <v>284.99759999999998</v>
      </c>
      <c r="M2246">
        <v>-0.99982269999999895</v>
      </c>
      <c r="N2246">
        <v>-1.3245160000000001E-2</v>
      </c>
      <c r="O2246">
        <v>1.338456E-2</v>
      </c>
      <c r="P2246">
        <v>-0.99576290000000001</v>
      </c>
      <c r="Q2246">
        <v>-8.3650360000000007E-2</v>
      </c>
      <c r="R2246">
        <v>-3.8196460000000002E-2</v>
      </c>
      <c r="S2246">
        <v>-2.9949949999999999</v>
      </c>
      <c r="T2246">
        <v>-8.4854009999999994E-2</v>
      </c>
      <c r="U2246">
        <v>-0.275360099999999</v>
      </c>
      <c r="V2246">
        <v>-5.1465190000000001E-2</v>
      </c>
      <c r="W2246">
        <v>-7.0503609999999994E-2</v>
      </c>
      <c r="X2246">
        <v>0.99618300000000004</v>
      </c>
      <c r="Y2246">
        <v>-0.1048124</v>
      </c>
      <c r="Z2246">
        <v>-2.3786860000000001E-3</v>
      </c>
      <c r="AA2246">
        <v>0.99448919999999996</v>
      </c>
      <c r="AB2246">
        <v>39</v>
      </c>
      <c r="AC2246">
        <v>-38.932599999999901</v>
      </c>
      <c r="AD2246">
        <v>-1.10907105871899</v>
      </c>
      <c r="AE2246">
        <v>-3.6017999999999599</v>
      </c>
      <c r="AF2246">
        <v>-4.1193042628958203</v>
      </c>
      <c r="AG2246">
        <v>-1.10907105871899</v>
      </c>
      <c r="AH2246">
        <v>38.849639987021398</v>
      </c>
      <c r="AI2246">
        <v>91.626112775007797</v>
      </c>
      <c r="AJ2246">
        <v>96.052570000035999</v>
      </c>
      <c r="AK2246">
        <v>39.083157924415097</v>
      </c>
      <c r="AL2246">
        <v>94.042913425691296</v>
      </c>
      <c r="AM2246">
        <v>92.957407399912796</v>
      </c>
      <c r="AN2246">
        <v>0.99999999714688403</v>
      </c>
    </row>
    <row r="2247" spans="1:40" x14ac:dyDescent="0.25">
      <c r="A2247" t="str">
        <f>"20190305135237229"</f>
        <v>20190305135237229</v>
      </c>
      <c r="B2247" t="str">
        <f>"1551765157221435"</f>
        <v>1551765157221435</v>
      </c>
      <c r="C2247" t="s">
        <v>40</v>
      </c>
      <c r="D2247">
        <v>4.6232350000000002</v>
      </c>
      <c r="E2247">
        <v>0.48002099999999998</v>
      </c>
      <c r="F2247" t="s">
        <v>66</v>
      </c>
      <c r="G2247">
        <v>-431.5197</v>
      </c>
      <c r="H2247" s="1">
        <v>3.1761130000000001E-6</v>
      </c>
      <c r="I2247">
        <v>281.35379999999998</v>
      </c>
      <c r="J2247">
        <v>-392.33260000000001</v>
      </c>
      <c r="K2247">
        <v>1.1090739999999999</v>
      </c>
      <c r="L2247">
        <v>285.0009</v>
      </c>
      <c r="M2247">
        <v>-0.99982590000000005</v>
      </c>
      <c r="N2247">
        <v>-1.3222859999999999E-2</v>
      </c>
      <c r="O2247">
        <v>1.316811E-2</v>
      </c>
      <c r="P2247">
        <v>-0.99571770000000004</v>
      </c>
      <c r="Q2247">
        <v>-8.4194000000000005E-2</v>
      </c>
      <c r="R2247">
        <v>-3.8182550000000003E-2</v>
      </c>
      <c r="S2247">
        <v>-2.9950869999999998</v>
      </c>
      <c r="T2247">
        <v>-8.4193589999999999E-2</v>
      </c>
      <c r="U2247">
        <v>-0.2766113</v>
      </c>
      <c r="V2247">
        <v>-5.1235589999999998E-2</v>
      </c>
      <c r="W2247">
        <v>-7.1068919999999994E-2</v>
      </c>
      <c r="X2247">
        <v>0.99615469999999895</v>
      </c>
      <c r="Y2247">
        <v>-0.10500710000000001</v>
      </c>
      <c r="Z2247">
        <v>-2.364068E-3</v>
      </c>
      <c r="AA2247">
        <v>0.99446869999999998</v>
      </c>
      <c r="AB2247">
        <v>39</v>
      </c>
      <c r="AC2247">
        <v>-39.187100000000001</v>
      </c>
      <c r="AD2247">
        <v>-1.109070823887</v>
      </c>
      <c r="AE2247">
        <v>-3.64710000000002</v>
      </c>
      <c r="AF2247">
        <v>-4.1595456879490502</v>
      </c>
      <c r="AG2247">
        <v>-1.109070823887</v>
      </c>
      <c r="AH2247">
        <v>39.104618341097797</v>
      </c>
      <c r="AI2247">
        <v>91.615457878589098</v>
      </c>
      <c r="AJ2247">
        <v>96.071702897659605</v>
      </c>
      <c r="AK2247">
        <v>39.340857057586497</v>
      </c>
      <c r="AL2247">
        <v>94.075384616414496</v>
      </c>
      <c r="AM2247">
        <v>92.944320375401503</v>
      </c>
      <c r="AN2247">
        <v>1.0000000317023501</v>
      </c>
    </row>
    <row r="2248" spans="1:40" x14ac:dyDescent="0.25">
      <c r="A2248" t="str">
        <f>"20190305135237250"</f>
        <v>20190305135237250</v>
      </c>
      <c r="B2248" t="str">
        <f>"1551765157241931"</f>
        <v>1551765157241931</v>
      </c>
      <c r="C2248" t="s">
        <v>40</v>
      </c>
      <c r="D2248">
        <v>4.6287289999999999</v>
      </c>
      <c r="E2248">
        <v>0.48043710000000001</v>
      </c>
      <c r="F2248" t="s">
        <v>66</v>
      </c>
      <c r="G2248">
        <v>-431.71190000000001</v>
      </c>
      <c r="H2248" s="1">
        <v>3.2640329999999999E-6</v>
      </c>
      <c r="I2248">
        <v>281.32299999999998</v>
      </c>
      <c r="J2248">
        <v>-392.71170000000001</v>
      </c>
      <c r="K2248">
        <v>1.109067</v>
      </c>
      <c r="L2248">
        <v>285.00560000000002</v>
      </c>
      <c r="M2248">
        <v>-0.99982990000000005</v>
      </c>
      <c r="N2248">
        <v>-1.3200109999999999E-2</v>
      </c>
      <c r="O2248">
        <v>1.2886069999999999E-2</v>
      </c>
      <c r="P2248">
        <v>-0.99575190000000002</v>
      </c>
      <c r="Q2248">
        <v>-8.3836809999999998E-2</v>
      </c>
      <c r="R2248">
        <v>-3.8075999999999999E-2</v>
      </c>
      <c r="S2248">
        <v>-2.9950559999999999</v>
      </c>
      <c r="T2248">
        <v>-8.4352140000000006E-2</v>
      </c>
      <c r="U2248">
        <v>-0.27972409999999998</v>
      </c>
      <c r="V2248">
        <v>-5.0852540000000002E-2</v>
      </c>
      <c r="W2248">
        <v>-7.0731219999999997E-2</v>
      </c>
      <c r="X2248">
        <v>0.99619840000000004</v>
      </c>
      <c r="Y2248">
        <v>-0.1057516</v>
      </c>
      <c r="Z2248">
        <v>-2.3777830000000001E-3</v>
      </c>
      <c r="AA2248">
        <v>0.99438970000000004</v>
      </c>
      <c r="AB2248">
        <v>39</v>
      </c>
      <c r="AC2248">
        <v>-39.0002</v>
      </c>
      <c r="AD2248">
        <v>-1.1090637359669999</v>
      </c>
      <c r="AE2248">
        <v>-3.6826000000000301</v>
      </c>
      <c r="AF2248">
        <v>-4.1815455815452802</v>
      </c>
      <c r="AG2248">
        <v>-1.1090637359669999</v>
      </c>
      <c r="AH2248">
        <v>38.918308405953702</v>
      </c>
      <c r="AI2248">
        <v>91.622992671591902</v>
      </c>
      <c r="AJ2248">
        <v>96.132571387170699</v>
      </c>
      <c r="AK2248">
        <v>39.158014186139503</v>
      </c>
      <c r="AL2248">
        <v>94.055986864165007</v>
      </c>
      <c r="AM2248">
        <v>92.922218233007698</v>
      </c>
      <c r="AN2248">
        <v>1.0000000692348401</v>
      </c>
    </row>
    <row r="2249" spans="1:40" x14ac:dyDescent="0.25">
      <c r="A2249" t="str">
        <f>"20190305135237283"</f>
        <v>20190305135237283</v>
      </c>
      <c r="B2249" t="str">
        <f>"1551765157272187"</f>
        <v>1551765157272187</v>
      </c>
      <c r="C2249" t="s">
        <v>40</v>
      </c>
      <c r="D2249">
        <v>4.6313329999999997</v>
      </c>
      <c r="E2249">
        <v>0.47996709999999898</v>
      </c>
      <c r="F2249" t="s">
        <v>66</v>
      </c>
      <c r="G2249">
        <v>-432.66180000000003</v>
      </c>
      <c r="H2249" s="1">
        <v>3.6853959999999998E-6</v>
      </c>
      <c r="I2249">
        <v>281.32190000000003</v>
      </c>
      <c r="J2249">
        <v>-393.28410000000002</v>
      </c>
      <c r="K2249">
        <v>1.10903</v>
      </c>
      <c r="L2249">
        <v>285.01249999999999</v>
      </c>
      <c r="M2249">
        <v>-0.99983480000000002</v>
      </c>
      <c r="N2249">
        <v>-1.317606E-2</v>
      </c>
      <c r="O2249">
        <v>1.2526260000000001E-2</v>
      </c>
      <c r="P2249">
        <v>-0.99579309999999999</v>
      </c>
      <c r="Q2249">
        <v>-8.2821560000000002E-2</v>
      </c>
      <c r="R2249">
        <v>-3.92044E-2</v>
      </c>
      <c r="S2249">
        <v>-2.9952700000000001</v>
      </c>
      <c r="T2249">
        <v>-8.3152409999999996E-2</v>
      </c>
      <c r="U2249">
        <v>-0.27618409999999999</v>
      </c>
      <c r="V2249">
        <v>-5.1631870000000003E-2</v>
      </c>
      <c r="W2249">
        <v>-6.9734039999999997E-2</v>
      </c>
      <c r="X2249">
        <v>0.99622849999999996</v>
      </c>
      <c r="Y2249">
        <v>-0.10422430000000001</v>
      </c>
      <c r="Z2249">
        <v>-2.313987E-3</v>
      </c>
      <c r="AA2249">
        <v>0.99455110000000002</v>
      </c>
      <c r="AB2249">
        <v>39</v>
      </c>
      <c r="AC2249">
        <v>-39.377699999999997</v>
      </c>
      <c r="AD2249">
        <v>-1.109026314604</v>
      </c>
      <c r="AE2249">
        <v>-3.6905999999999599</v>
      </c>
      <c r="AF2249">
        <v>-4.1803215322881204</v>
      </c>
      <c r="AG2249">
        <v>-1.109026314604</v>
      </c>
      <c r="AH2249">
        <v>39.297477235134203</v>
      </c>
      <c r="AI2249">
        <v>91.607468316695005</v>
      </c>
      <c r="AJ2249">
        <v>96.072079907478496</v>
      </c>
      <c r="AK2249">
        <v>39.5347536292524</v>
      </c>
      <c r="AL2249">
        <v>93.998711682580605</v>
      </c>
      <c r="AM2249">
        <v>92.966833185458896</v>
      </c>
      <c r="AN2249">
        <v>0.99999995527333296</v>
      </c>
    </row>
    <row r="2250" spans="1:40" x14ac:dyDescent="0.25">
      <c r="A2250" t="str">
        <f>"20190305135237308"</f>
        <v>20190305135237308</v>
      </c>
      <c r="B2250" t="str">
        <f>"1551765157301467"</f>
        <v>1551765157301467</v>
      </c>
      <c r="C2250" t="s">
        <v>40</v>
      </c>
      <c r="D2250">
        <v>4.6297649999999999</v>
      </c>
      <c r="E2250">
        <v>0.47931309999999999</v>
      </c>
      <c r="F2250" t="s">
        <v>66</v>
      </c>
      <c r="G2250">
        <v>-438.07</v>
      </c>
      <c r="H2250" s="1">
        <v>6.1314329999999997E-6</v>
      </c>
      <c r="I2250">
        <v>280.7758</v>
      </c>
      <c r="J2250">
        <v>-393.68459999999999</v>
      </c>
      <c r="K2250">
        <v>1.108986</v>
      </c>
      <c r="L2250">
        <v>285.01729999999998</v>
      </c>
      <c r="M2250">
        <v>-0.99983719999999998</v>
      </c>
      <c r="N2250">
        <v>-1.317626E-2</v>
      </c>
      <c r="O2250">
        <v>1.234387E-2</v>
      </c>
      <c r="P2250">
        <v>-0.99574660000000004</v>
      </c>
      <c r="Q2250">
        <v>-8.2879060000000004E-2</v>
      </c>
      <c r="R2250">
        <v>-4.025393E-2</v>
      </c>
      <c r="S2250">
        <v>-2.9953609999999999</v>
      </c>
      <c r="T2250">
        <v>-7.4173450000000002E-2</v>
      </c>
      <c r="U2250">
        <v>-0.28335569999999999</v>
      </c>
      <c r="V2250">
        <v>-5.250668E-2</v>
      </c>
      <c r="W2250">
        <v>-6.9786699999999993E-2</v>
      </c>
      <c r="X2250">
        <v>0.99617909999999998</v>
      </c>
      <c r="Y2250">
        <v>-0.10641009999999999</v>
      </c>
      <c r="Z2250">
        <v>-2.1598910000000002E-3</v>
      </c>
      <c r="AA2250">
        <v>0.99431999999999998</v>
      </c>
      <c r="AB2250">
        <v>39</v>
      </c>
      <c r="AC2250">
        <v>-44.385399999999997</v>
      </c>
      <c r="AD2250">
        <v>-1.108979868567</v>
      </c>
      <c r="AE2250">
        <v>-4.2414999999999701</v>
      </c>
      <c r="AF2250">
        <v>-4.7861510761037804</v>
      </c>
      <c r="AG2250">
        <v>-1.108979868567</v>
      </c>
      <c r="AH2250">
        <v>44.302250745155099</v>
      </c>
      <c r="AI2250">
        <v>91.425644153749204</v>
      </c>
      <c r="AJ2250">
        <v>96.165980229838695</v>
      </c>
      <c r="AK2250">
        <v>44.573832004425697</v>
      </c>
      <c r="AL2250">
        <v>94.0017361995356</v>
      </c>
      <c r="AM2250">
        <v>93.017158124337399</v>
      </c>
      <c r="AN2250">
        <v>0.99999996710915995</v>
      </c>
    </row>
    <row r="2251" spans="1:40" x14ac:dyDescent="0.25">
      <c r="A2251" t="str">
        <f>"20190305135237329"</f>
        <v>20190305135237329</v>
      </c>
      <c r="B2251" t="str">
        <f>"1551765157321963"</f>
        <v>1551765157321963</v>
      </c>
      <c r="C2251" t="s">
        <v>40</v>
      </c>
      <c r="D2251">
        <v>4.6405529999999997</v>
      </c>
      <c r="E2251">
        <v>0.47927049999999999</v>
      </c>
      <c r="F2251" t="s">
        <v>66</v>
      </c>
      <c r="G2251">
        <v>-437.10649999999998</v>
      </c>
      <c r="H2251" s="1">
        <v>5.7029430000000002E-6</v>
      </c>
      <c r="I2251">
        <v>280.79000000000002</v>
      </c>
      <c r="J2251">
        <v>-394.07600000000002</v>
      </c>
      <c r="K2251">
        <v>1.1089450000000001</v>
      </c>
      <c r="L2251">
        <v>285.02199999999999</v>
      </c>
      <c r="M2251">
        <v>-0.99983809999999995</v>
      </c>
      <c r="N2251">
        <v>-1.3217960000000001E-2</v>
      </c>
      <c r="O2251">
        <v>1.222383E-2</v>
      </c>
      <c r="P2251">
        <v>-0.99573460000000003</v>
      </c>
      <c r="Q2251">
        <v>-8.2854120000000003E-2</v>
      </c>
      <c r="R2251">
        <v>-4.0598879999999997E-2</v>
      </c>
      <c r="S2251">
        <v>-2.9946290000000002</v>
      </c>
      <c r="T2251">
        <v>-7.64817E-2</v>
      </c>
      <c r="U2251">
        <v>-0.29153440000000003</v>
      </c>
      <c r="V2251">
        <v>-5.2740179999999998E-2</v>
      </c>
      <c r="W2251">
        <v>-6.9714159999999997E-2</v>
      </c>
      <c r="X2251">
        <v>0.9961719</v>
      </c>
      <c r="Y2251">
        <v>-0.109</v>
      </c>
      <c r="Z2251">
        <v>-2.2609679999999999E-3</v>
      </c>
      <c r="AA2251">
        <v>0.99403920000000001</v>
      </c>
      <c r="AB2251">
        <v>39</v>
      </c>
      <c r="AC2251">
        <v>-43.030500000000004</v>
      </c>
      <c r="AD2251">
        <v>-1.108939297057</v>
      </c>
      <c r="AE2251">
        <v>-4.23199999999997</v>
      </c>
      <c r="AF2251">
        <v>-4.7545996412913603</v>
      </c>
      <c r="AG2251">
        <v>-1.108939297057</v>
      </c>
      <c r="AH2251">
        <v>42.947298731838799</v>
      </c>
      <c r="AI2251">
        <v>91.470124130812493</v>
      </c>
      <c r="AJ2251">
        <v>96.317362781266695</v>
      </c>
      <c r="AK2251">
        <v>43.223910425542599</v>
      </c>
      <c r="AL2251">
        <v>93.997569594341797</v>
      </c>
      <c r="AM2251">
        <v>93.030572494087707</v>
      </c>
      <c r="AN2251">
        <v>1.0000000225202701</v>
      </c>
    </row>
    <row r="2252" spans="1:40" x14ac:dyDescent="0.25">
      <c r="A2252" t="str">
        <f>"20190305135237350"</f>
        <v>20190305135237350</v>
      </c>
      <c r="B2252" t="str">
        <f>"1551765157341483"</f>
        <v>1551765157341483</v>
      </c>
      <c r="C2252" t="s">
        <v>40</v>
      </c>
      <c r="D2252">
        <v>4.6409250000000002</v>
      </c>
      <c r="E2252">
        <v>0.47927910000000001</v>
      </c>
      <c r="F2252" t="s">
        <v>66</v>
      </c>
      <c r="G2252">
        <v>-438.22719999999998</v>
      </c>
      <c r="H2252" s="1">
        <v>6.2074330000000003E-6</v>
      </c>
      <c r="I2252">
        <v>280.70400000000001</v>
      </c>
      <c r="J2252">
        <v>-394.43860000000001</v>
      </c>
      <c r="K2252">
        <v>1.108916</v>
      </c>
      <c r="L2252">
        <v>285.02629999999999</v>
      </c>
      <c r="M2252">
        <v>-0.99983820000000001</v>
      </c>
      <c r="N2252">
        <v>-1.3275449999999999E-2</v>
      </c>
      <c r="O2252">
        <v>1.215107E-2</v>
      </c>
      <c r="P2252">
        <v>-0.99567220000000001</v>
      </c>
      <c r="Q2252">
        <v>-8.3473829999999999E-2</v>
      </c>
      <c r="R2252">
        <v>-4.0858419999999999E-2</v>
      </c>
      <c r="S2252">
        <v>-2.994659</v>
      </c>
      <c r="T2252">
        <v>-7.5216409999999997E-2</v>
      </c>
      <c r="U2252">
        <v>-0.2928772</v>
      </c>
      <c r="V2252">
        <v>-5.293428E-2</v>
      </c>
      <c r="W2252">
        <v>-7.0271860000000005E-2</v>
      </c>
      <c r="X2252">
        <v>0.99612239999999996</v>
      </c>
      <c r="Y2252">
        <v>-0.10936949999999999</v>
      </c>
      <c r="Z2252">
        <v>-2.2414840000000002E-3</v>
      </c>
      <c r="AA2252">
        <v>0.99399859999999896</v>
      </c>
      <c r="AB2252">
        <v>39</v>
      </c>
      <c r="AC2252">
        <v>-43.788599999999903</v>
      </c>
      <c r="AD2252">
        <v>-1.108909792567</v>
      </c>
      <c r="AE2252">
        <v>-4.3222999999999798</v>
      </c>
      <c r="AF2252">
        <v>-4.8510249864673796</v>
      </c>
      <c r="AG2252">
        <v>-1.108909792567</v>
      </c>
      <c r="AH2252">
        <v>43.705083262658498</v>
      </c>
      <c r="AI2252">
        <v>91.444561385207294</v>
      </c>
      <c r="AJ2252">
        <v>96.333593269874797</v>
      </c>
      <c r="AK2252">
        <v>43.987457613998203</v>
      </c>
      <c r="AL2252">
        <v>94.029602084930502</v>
      </c>
      <c r="AM2252">
        <v>93.041855889010904</v>
      </c>
      <c r="AN2252">
        <v>1.00000000404436</v>
      </c>
    </row>
    <row r="2253" spans="1:40" x14ac:dyDescent="0.25">
      <c r="A2253" t="str">
        <f>"20190305135237372"</f>
        <v>20190305135237372</v>
      </c>
      <c r="B2253" t="str">
        <f>"1551765157361979"</f>
        <v>1551765157361979</v>
      </c>
      <c r="C2253" t="s">
        <v>40</v>
      </c>
      <c r="D2253">
        <v>4.6316920000000001</v>
      </c>
      <c r="E2253">
        <v>0.47920780000000002</v>
      </c>
      <c r="F2253" t="s">
        <v>66</v>
      </c>
      <c r="G2253">
        <v>-438.39400000000001</v>
      </c>
      <c r="H2253" s="1">
        <v>6.2802509999999898E-6</v>
      </c>
      <c r="I2253">
        <v>280.71719999999999</v>
      </c>
      <c r="J2253">
        <v>-394.82350000000002</v>
      </c>
      <c r="K2253">
        <v>1.1088819999999999</v>
      </c>
      <c r="L2253">
        <v>285.03089999999997</v>
      </c>
      <c r="M2253">
        <v>-0.99983759999999999</v>
      </c>
      <c r="N2253">
        <v>-1.33513E-2</v>
      </c>
      <c r="O2253">
        <v>1.210547E-2</v>
      </c>
      <c r="P2253">
        <v>-0.99557770000000001</v>
      </c>
      <c r="Q2253">
        <v>-8.4692219999999999E-2</v>
      </c>
      <c r="R2253">
        <v>-4.0648259999999999E-2</v>
      </c>
      <c r="S2253">
        <v>-2.9946899999999999</v>
      </c>
      <c r="T2253">
        <v>-7.5550199999999998E-2</v>
      </c>
      <c r="U2253">
        <v>-0.29357909999999998</v>
      </c>
      <c r="V2253">
        <v>-5.2683479999999998E-2</v>
      </c>
      <c r="W2253">
        <v>-7.1410790000000002E-2</v>
      </c>
      <c r="X2253">
        <v>0.99605469999999896</v>
      </c>
      <c r="Y2253">
        <v>-0.10955330000000001</v>
      </c>
      <c r="Z2253">
        <v>-2.2551310000000001E-3</v>
      </c>
      <c r="AA2253">
        <v>0.99397840000000004</v>
      </c>
      <c r="AB2253">
        <v>39</v>
      </c>
      <c r="AC2253">
        <v>-43.570499999999903</v>
      </c>
      <c r="AD2253">
        <v>-1.108875719749</v>
      </c>
      <c r="AE2253">
        <v>-4.3136999999999803</v>
      </c>
      <c r="AF2253">
        <v>-4.8377691965181997</v>
      </c>
      <c r="AG2253">
        <v>-1.108875719749</v>
      </c>
      <c r="AH2253">
        <v>43.487189153663898</v>
      </c>
      <c r="AI2253">
        <v>91.451711701349296</v>
      </c>
      <c r="AJ2253">
        <v>96.347817294122905</v>
      </c>
      <c r="AK2253">
        <v>43.769501215425997</v>
      </c>
      <c r="AL2253">
        <v>94.095022317468604</v>
      </c>
      <c r="AM2253">
        <v>93.027675989483797</v>
      </c>
      <c r="AN2253">
        <v>1.00000000769271</v>
      </c>
    </row>
    <row r="2254" spans="1:40" x14ac:dyDescent="0.25">
      <c r="A2254" t="str">
        <f>"20190305135237395"</f>
        <v>20190305135237395</v>
      </c>
      <c r="B2254" t="str">
        <f>"1551765157392235"</f>
        <v>1551765157392235</v>
      </c>
      <c r="C2254" t="s">
        <v>40</v>
      </c>
      <c r="D2254">
        <v>4.6266439999999998</v>
      </c>
      <c r="E2254">
        <v>0.47934870000000002</v>
      </c>
      <c r="F2254" t="s">
        <v>66</v>
      </c>
      <c r="G2254">
        <v>-437.4855</v>
      </c>
      <c r="H2254" s="1">
        <v>5.8658309999999996E-6</v>
      </c>
      <c r="I2254">
        <v>280.84910000000002</v>
      </c>
      <c r="J2254">
        <v>-395.20159999999998</v>
      </c>
      <c r="K2254">
        <v>1.108859</v>
      </c>
      <c r="L2254">
        <v>285.03550000000001</v>
      </c>
      <c r="M2254">
        <v>-0.99983679999999997</v>
      </c>
      <c r="N2254">
        <v>-1.342874E-2</v>
      </c>
      <c r="O2254">
        <v>1.208644E-2</v>
      </c>
      <c r="P2254">
        <v>-0.99545539999999999</v>
      </c>
      <c r="Q2254">
        <v>-8.6326769999999997E-2</v>
      </c>
      <c r="R2254">
        <v>-4.0201380000000002E-2</v>
      </c>
      <c r="S2254">
        <v>-2.99472</v>
      </c>
      <c r="T2254">
        <v>-7.7839259999999993E-2</v>
      </c>
      <c r="U2254">
        <v>-0.29354859999999999</v>
      </c>
      <c r="V2254">
        <v>-5.2220679999999998E-2</v>
      </c>
      <c r="W2254">
        <v>-7.2966030000000001E-2</v>
      </c>
      <c r="X2254">
        <v>0.99596629999999997</v>
      </c>
      <c r="Y2254">
        <v>-0.10952050000000001</v>
      </c>
      <c r="Z2254">
        <v>-2.3085359999999999E-3</v>
      </c>
      <c r="AA2254">
        <v>0.99398180000000003</v>
      </c>
      <c r="AB2254">
        <v>39</v>
      </c>
      <c r="AC2254">
        <v>-42.283900000000003</v>
      </c>
      <c r="AD2254">
        <v>-1.108853134169</v>
      </c>
      <c r="AE2254">
        <v>-4.1863999999999901</v>
      </c>
      <c r="AF2254">
        <v>-4.6940053271083801</v>
      </c>
      <c r="AG2254">
        <v>-1.108853134169</v>
      </c>
      <c r="AH2254">
        <v>42.2014674792105</v>
      </c>
      <c r="AI2254">
        <v>91.495892552382799</v>
      </c>
      <c r="AJ2254">
        <v>96.346834722645696</v>
      </c>
      <c r="AK2254">
        <v>42.476194493892002</v>
      </c>
      <c r="AL2254">
        <v>94.184364322951396</v>
      </c>
      <c r="AM2254">
        <v>93.001393979383494</v>
      </c>
      <c r="AN2254">
        <v>0.99999995584465495</v>
      </c>
    </row>
    <row r="2255" spans="1:40" x14ac:dyDescent="0.25">
      <c r="A2255" t="str">
        <f>"20190305135237418"</f>
        <v>20190305135237418</v>
      </c>
      <c r="B2255" t="str">
        <f>"1551765157411755"</f>
        <v>1551765157411755</v>
      </c>
      <c r="C2255" t="s">
        <v>40</v>
      </c>
      <c r="D2255">
        <v>4.5993740000000001</v>
      </c>
      <c r="E2255">
        <v>0.47939880000000001</v>
      </c>
      <c r="F2255" t="s">
        <v>66</v>
      </c>
      <c r="G2255">
        <v>-436.435</v>
      </c>
      <c r="H2255" s="1">
        <v>5.3846059999999998E-6</v>
      </c>
      <c r="I2255">
        <v>281.02510000000001</v>
      </c>
      <c r="J2255">
        <v>-395.60520000000002</v>
      </c>
      <c r="K2255">
        <v>1.108835</v>
      </c>
      <c r="L2255">
        <v>285.0403</v>
      </c>
      <c r="M2255">
        <v>-0.99983580000000005</v>
      </c>
      <c r="N2255">
        <v>-1.350734E-2</v>
      </c>
      <c r="O2255">
        <v>1.2088089999999999E-2</v>
      </c>
      <c r="P2255">
        <v>-0.99539509999999998</v>
      </c>
      <c r="Q2255">
        <v>-8.7151129999999993E-2</v>
      </c>
      <c r="R2255">
        <v>-3.9917510000000003E-2</v>
      </c>
      <c r="S2255">
        <v>-2.9949949999999999</v>
      </c>
      <c r="T2255">
        <v>-8.0541730000000006E-2</v>
      </c>
      <c r="U2255">
        <v>-0.2912903</v>
      </c>
      <c r="V2255">
        <v>-5.1941899999999999E-2</v>
      </c>
      <c r="W2255">
        <v>-7.3710139999999993E-2</v>
      </c>
      <c r="X2255">
        <v>0.99592610000000004</v>
      </c>
      <c r="Y2255">
        <v>-0.1087678</v>
      </c>
      <c r="Z2255">
        <v>-2.356763E-3</v>
      </c>
      <c r="AA2255">
        <v>0.99406439999999996</v>
      </c>
      <c r="AB2255">
        <v>39</v>
      </c>
      <c r="AC2255">
        <v>-40.829799999999899</v>
      </c>
      <c r="AD2255">
        <v>-1.108829615394</v>
      </c>
      <c r="AE2255">
        <v>-4.0151999999999903</v>
      </c>
      <c r="AF2255">
        <v>-4.5052149889429396</v>
      </c>
      <c r="AG2255">
        <v>-1.108829615394</v>
      </c>
      <c r="AH2255">
        <v>40.748510677466101</v>
      </c>
      <c r="AI2255">
        <v>91.549285881160301</v>
      </c>
      <c r="AJ2255">
        <v>96.309081456623801</v>
      </c>
      <c r="AK2255">
        <v>41.011798151801798</v>
      </c>
      <c r="AL2255">
        <v>94.227113741875499</v>
      </c>
      <c r="AM2255">
        <v>92.985520392046098</v>
      </c>
      <c r="AN2255">
        <v>0.99999997118781903</v>
      </c>
    </row>
    <row r="2256" spans="1:40" x14ac:dyDescent="0.25">
      <c r="A2256" t="str">
        <f>"20190305135237440"</f>
        <v>20190305135237440</v>
      </c>
      <c r="B2256" t="str">
        <f>"1551765157432251"</f>
        <v>1551765157432251</v>
      </c>
      <c r="C2256" t="s">
        <v>40</v>
      </c>
      <c r="D2256">
        <v>4.586239</v>
      </c>
      <c r="E2256">
        <v>0.47935129999999998</v>
      </c>
      <c r="F2256" t="s">
        <v>66</v>
      </c>
      <c r="G2256">
        <v>-436.0335</v>
      </c>
      <c r="H2256" s="1">
        <v>5.1981250000000003E-6</v>
      </c>
      <c r="I2256">
        <v>281.1216</v>
      </c>
      <c r="J2256">
        <v>-395.983</v>
      </c>
      <c r="K2256">
        <v>1.1088260000000001</v>
      </c>
      <c r="L2256">
        <v>285.04489999999998</v>
      </c>
      <c r="M2256">
        <v>-0.99983469999999997</v>
      </c>
      <c r="N2256">
        <v>-1.35758999999999E-2</v>
      </c>
      <c r="O2256">
        <v>1.210228E-2</v>
      </c>
      <c r="P2256">
        <v>-0.99528190000000005</v>
      </c>
      <c r="Q2256">
        <v>-8.8234199999999999E-2</v>
      </c>
      <c r="R2256">
        <v>-4.036087E-2</v>
      </c>
      <c r="S2256">
        <v>-2.9950559999999999</v>
      </c>
      <c r="T2256">
        <v>-8.2145449999999995E-2</v>
      </c>
      <c r="U2256">
        <v>-0.29031370000000001</v>
      </c>
      <c r="V2256">
        <v>-5.2400479999999999E-2</v>
      </c>
      <c r="W2256">
        <v>-7.4724620000000005E-2</v>
      </c>
      <c r="X2256">
        <v>0.99582649999999995</v>
      </c>
      <c r="Y2256">
        <v>-0.10845689999999999</v>
      </c>
      <c r="Z2256">
        <v>-2.3889800000000002E-3</v>
      </c>
      <c r="AA2256">
        <v>0.99409829999999999</v>
      </c>
      <c r="AB2256">
        <v>39</v>
      </c>
      <c r="AC2256">
        <v>-40.0505</v>
      </c>
      <c r="AD2256">
        <v>-1.1088208018750001</v>
      </c>
      <c r="AE2256">
        <v>-3.9232999999999798</v>
      </c>
      <c r="AF2256">
        <v>-4.4044157571611597</v>
      </c>
      <c r="AG2256">
        <v>-1.1088208018750001</v>
      </c>
      <c r="AH2256">
        <v>39.969735867231101</v>
      </c>
      <c r="AI2256">
        <v>91.579507948396198</v>
      </c>
      <c r="AJ2256">
        <v>96.288267555478001</v>
      </c>
      <c r="AK2256">
        <v>40.226957963893099</v>
      </c>
      <c r="AL2256">
        <v>94.285399798916004</v>
      </c>
      <c r="AM2256">
        <v>93.012131050892194</v>
      </c>
      <c r="AN2256">
        <v>0.99999999862031197</v>
      </c>
    </row>
    <row r="2257" spans="1:40" x14ac:dyDescent="0.25">
      <c r="A2257" t="str">
        <f>"20190305135237462"</f>
        <v>20190305135237462</v>
      </c>
      <c r="B2257" t="str">
        <f>"1551765157451771"</f>
        <v>1551765157451771</v>
      </c>
      <c r="C2257" t="s">
        <v>40</v>
      </c>
      <c r="D2257">
        <v>4.5804600000000004</v>
      </c>
      <c r="E2257">
        <v>0.4792826</v>
      </c>
      <c r="F2257" t="s">
        <v>66</v>
      </c>
      <c r="G2257">
        <v>-435.44589999999999</v>
      </c>
      <c r="H2257" s="1">
        <v>4.930919E-6</v>
      </c>
      <c r="I2257">
        <v>281.19709999999998</v>
      </c>
      <c r="J2257">
        <v>-396.36500000000001</v>
      </c>
      <c r="K2257">
        <v>1.108822</v>
      </c>
      <c r="L2257">
        <v>285.04950000000002</v>
      </c>
      <c r="M2257">
        <v>-0.99983359999999999</v>
      </c>
      <c r="N2257">
        <v>-1.3640050000000001E-2</v>
      </c>
      <c r="O2257">
        <v>1.212064E-2</v>
      </c>
      <c r="P2257">
        <v>-0.99524809999999997</v>
      </c>
      <c r="Q2257">
        <v>-8.7975349999999994E-2</v>
      </c>
      <c r="R2257">
        <v>-4.1734470000000003E-2</v>
      </c>
      <c r="S2257">
        <v>-2.994904</v>
      </c>
      <c r="T2257">
        <v>-8.4150429999999998E-2</v>
      </c>
      <c r="U2257">
        <v>-0.29202270000000002</v>
      </c>
      <c r="V2257">
        <v>-5.3793979999999998E-2</v>
      </c>
      <c r="W2257">
        <v>-7.440107E-2</v>
      </c>
      <c r="X2257">
        <v>0.99577640000000001</v>
      </c>
      <c r="Y2257">
        <v>-0.109039</v>
      </c>
      <c r="Z2257">
        <v>-2.4484480000000002E-3</v>
      </c>
      <c r="AA2257">
        <v>0.99403450000000004</v>
      </c>
      <c r="AB2257">
        <v>38</v>
      </c>
      <c r="AC2257">
        <v>-39.0808999999999</v>
      </c>
      <c r="AD2257">
        <v>-1.108817069081</v>
      </c>
      <c r="AE2257">
        <v>-3.8524000000000398</v>
      </c>
      <c r="AF2257">
        <v>-4.32240049931006</v>
      </c>
      <c r="AG2257">
        <v>-1.108817069081</v>
      </c>
      <c r="AH2257">
        <v>39.000238093622102</v>
      </c>
      <c r="AI2257">
        <v>91.618634083967606</v>
      </c>
      <c r="AJ2257">
        <v>96.324287162482506</v>
      </c>
      <c r="AK2257">
        <v>39.254696441678597</v>
      </c>
      <c r="AL2257">
        <v>94.266810101567799</v>
      </c>
      <c r="AM2257">
        <v>93.092235296153106</v>
      </c>
      <c r="AN2257">
        <v>0.99999997514917205</v>
      </c>
    </row>
    <row r="2258" spans="1:40" x14ac:dyDescent="0.25">
      <c r="A2258" t="str">
        <f>"20190305135237484"</f>
        <v>20190305135237484</v>
      </c>
      <c r="B2258" t="str">
        <f>"1551765157482028"</f>
        <v>1551765157482028</v>
      </c>
      <c r="C2258" t="s">
        <v>40</v>
      </c>
      <c r="D2258">
        <v>4.5637220000000003</v>
      </c>
      <c r="E2258">
        <v>0.47925279999999998</v>
      </c>
      <c r="F2258" t="s">
        <v>66</v>
      </c>
      <c r="G2258">
        <v>-437.17110000000002</v>
      </c>
      <c r="H2258" s="1">
        <v>5.7131700000000002E-6</v>
      </c>
      <c r="I2258">
        <v>281.0009</v>
      </c>
      <c r="J2258">
        <v>-396.74470000000002</v>
      </c>
      <c r="K2258">
        <v>1.10883</v>
      </c>
      <c r="L2258">
        <v>285.05410000000001</v>
      </c>
      <c r="M2258">
        <v>-0.99983259999999996</v>
      </c>
      <c r="N2258">
        <v>-1.369808E-2</v>
      </c>
      <c r="O2258">
        <v>1.2137999999999999E-2</v>
      </c>
      <c r="P2258">
        <v>-0.99526720000000002</v>
      </c>
      <c r="Q2258">
        <v>-8.7250250000000001E-2</v>
      </c>
      <c r="R2258">
        <v>-4.2789679999999997E-2</v>
      </c>
      <c r="S2258">
        <v>-2.994659</v>
      </c>
      <c r="T2258">
        <v>-8.1373100000000004E-2</v>
      </c>
      <c r="U2258">
        <v>-0.29711910000000002</v>
      </c>
      <c r="V2258">
        <v>-5.4868359999999998E-2</v>
      </c>
      <c r="W2258">
        <v>-7.361674E-2</v>
      </c>
      <c r="X2258">
        <v>0.99577610000000005</v>
      </c>
      <c r="Y2258">
        <v>-0.11074199999999999</v>
      </c>
      <c r="Z2258">
        <v>-2.4243680000000001E-3</v>
      </c>
      <c r="AA2258">
        <v>0.99384620000000001</v>
      </c>
      <c r="AB2258">
        <v>38</v>
      </c>
      <c r="AC2258">
        <v>-40.426400000000001</v>
      </c>
      <c r="AD2258">
        <v>-1.10882428683</v>
      </c>
      <c r="AE2258">
        <v>-4.0532000000000004</v>
      </c>
      <c r="AF2258">
        <v>-4.54026131141151</v>
      </c>
      <c r="AG2258">
        <v>-1.10882428683</v>
      </c>
      <c r="AH2258">
        <v>40.344169793789902</v>
      </c>
      <c r="AI2258">
        <v>91.564457470291998</v>
      </c>
      <c r="AJ2258">
        <v>96.420949555147203</v>
      </c>
      <c r="AK2258">
        <v>40.613981587934902</v>
      </c>
      <c r="AL2258">
        <v>94.221747609825002</v>
      </c>
      <c r="AM2258">
        <v>93.1538712891861</v>
      </c>
      <c r="AN2258">
        <v>1.00000000133426</v>
      </c>
    </row>
    <row r="2259" spans="1:40" x14ac:dyDescent="0.25">
      <c r="A2259" t="str">
        <f>"20190305135237508"</f>
        <v>20190305135237508</v>
      </c>
      <c r="B2259" t="str">
        <f>"1551765157501547"</f>
        <v>1551765157501547</v>
      </c>
      <c r="C2259" t="s">
        <v>40</v>
      </c>
      <c r="D2259">
        <v>4.9073859999999998</v>
      </c>
      <c r="E2259">
        <v>0.47917779999999999</v>
      </c>
      <c r="F2259" t="s">
        <v>66</v>
      </c>
      <c r="G2259">
        <v>-439.5985</v>
      </c>
      <c r="H2259" s="1">
        <v>6.8112930000000003E-6</v>
      </c>
      <c r="I2259">
        <v>280.75279999999998</v>
      </c>
      <c r="J2259">
        <v>-397.1456</v>
      </c>
      <c r="K2259">
        <v>1.10884</v>
      </c>
      <c r="L2259">
        <v>285.05900000000003</v>
      </c>
      <c r="M2259">
        <v>-0.99983160000000004</v>
      </c>
      <c r="N2259">
        <v>-1.3752510000000001E-2</v>
      </c>
      <c r="O2259">
        <v>1.215452E-2</v>
      </c>
      <c r="P2259">
        <v>-0.99529279999999998</v>
      </c>
      <c r="Q2259">
        <v>-8.6603050000000001E-2</v>
      </c>
      <c r="R2259">
        <v>-4.3497439999999998E-2</v>
      </c>
      <c r="S2259">
        <v>-2.9945369999999998</v>
      </c>
      <c r="T2259">
        <v>-7.7482220000000004E-2</v>
      </c>
      <c r="U2259">
        <v>-0.30056759999999999</v>
      </c>
      <c r="V2259">
        <v>-5.5594850000000001E-2</v>
      </c>
      <c r="W2259">
        <v>-7.2913969999999995E-2</v>
      </c>
      <c r="X2259">
        <v>0.99578750000000005</v>
      </c>
      <c r="Y2259">
        <v>-0.11189979999999999</v>
      </c>
      <c r="Z2259">
        <v>-2.3624079999999999E-3</v>
      </c>
      <c r="AA2259">
        <v>0.99371670000000001</v>
      </c>
      <c r="AB2259">
        <v>38</v>
      </c>
      <c r="AC2259">
        <v>-42.4529</v>
      </c>
      <c r="AD2259">
        <v>-1.108833188707</v>
      </c>
      <c r="AE2259">
        <v>-4.3062000000000404</v>
      </c>
      <c r="AF2259">
        <v>-4.8186713822891196</v>
      </c>
      <c r="AG2259">
        <v>-1.108833188707</v>
      </c>
      <c r="AH2259">
        <v>42.368808684727398</v>
      </c>
      <c r="AI2259">
        <v>91.489546197867298</v>
      </c>
      <c r="AJ2259">
        <v>96.488459351387405</v>
      </c>
      <c r="AK2259">
        <v>42.656360068504497</v>
      </c>
      <c r="AL2259">
        <v>94.181373396001803</v>
      </c>
      <c r="AM2259">
        <v>93.195507949523005</v>
      </c>
      <c r="AN2259">
        <v>0.99999998976196602</v>
      </c>
    </row>
    <row r="2260" spans="1:40" x14ac:dyDescent="0.25">
      <c r="A2260" t="str">
        <f>"20190305135237530"</f>
        <v>20190305135237530</v>
      </c>
      <c r="B2260" t="str">
        <f>"1551765157522044"</f>
        <v>1551765157522044</v>
      </c>
      <c r="C2260" t="s">
        <v>40</v>
      </c>
      <c r="D2260">
        <v>4.6692330000000002</v>
      </c>
      <c r="E2260">
        <v>0.51271739999999999</v>
      </c>
      <c r="F2260" t="s">
        <v>66</v>
      </c>
      <c r="G2260">
        <v>-439.57369999999997</v>
      </c>
      <c r="H2260" s="1">
        <v>6.7990529999999996E-6</v>
      </c>
      <c r="I2260">
        <v>280.767</v>
      </c>
      <c r="J2260">
        <v>-397.53140000000002</v>
      </c>
      <c r="K2260">
        <v>1.1088450000000001</v>
      </c>
      <c r="L2260">
        <v>285.06369999999998</v>
      </c>
      <c r="M2260">
        <v>-0.99983069999999996</v>
      </c>
      <c r="N2260">
        <v>-1.3798929999999999E-2</v>
      </c>
      <c r="O2260">
        <v>1.21692E-2</v>
      </c>
      <c r="P2260">
        <v>-0.99539889999999998</v>
      </c>
      <c r="Q2260">
        <v>-8.5160459999999993E-2</v>
      </c>
      <c r="R2260">
        <v>-4.3919479999999997E-2</v>
      </c>
      <c r="S2260">
        <v>-2.9941710000000001</v>
      </c>
      <c r="T2260">
        <v>-7.8250769999999997E-2</v>
      </c>
      <c r="U2260">
        <v>-0.30288700000000002</v>
      </c>
      <c r="V2260">
        <v>-5.6033479999999997E-2</v>
      </c>
      <c r="W2260">
        <v>-7.1423020000000004E-2</v>
      </c>
      <c r="X2260">
        <v>0.9958709</v>
      </c>
      <c r="Y2260">
        <v>-0.112687</v>
      </c>
      <c r="Z2260">
        <v>-2.3979510000000002E-3</v>
      </c>
      <c r="AA2260">
        <v>0.9936277</v>
      </c>
      <c r="AB2260">
        <v>38</v>
      </c>
      <c r="AC2260">
        <v>-42.042299999999898</v>
      </c>
      <c r="AD2260">
        <v>-1.1088382009469999</v>
      </c>
      <c r="AE2260">
        <v>-4.29669999999998</v>
      </c>
      <c r="AF2260">
        <v>-4.8047440091410003</v>
      </c>
      <c r="AG2260">
        <v>-1.1088382009469999</v>
      </c>
      <c r="AH2260">
        <v>41.958009340455298</v>
      </c>
      <c r="AI2260">
        <v>91.503997694216807</v>
      </c>
      <c r="AJ2260">
        <v>96.532664778704103</v>
      </c>
      <c r="AK2260">
        <v>42.246770704551899</v>
      </c>
      <c r="AL2260">
        <v>94.095725181790698</v>
      </c>
      <c r="AM2260">
        <v>93.220397722107805</v>
      </c>
      <c r="AN2260">
        <v>0.99999992406681704</v>
      </c>
    </row>
    <row r="2261" spans="1:40" x14ac:dyDescent="0.25">
      <c r="A2261" t="str">
        <f>"20190305135237552"</f>
        <v>20190305135237552</v>
      </c>
      <c r="B2261" t="str">
        <f>"1551765157541563"</f>
        <v>1551765157541563</v>
      </c>
      <c r="C2261" t="s">
        <v>40</v>
      </c>
      <c r="D2261">
        <v>4.6733779999999996</v>
      </c>
      <c r="E2261">
        <v>0.52709319999999904</v>
      </c>
      <c r="F2261" t="s">
        <v>66</v>
      </c>
      <c r="G2261">
        <v>-420.94589999999999</v>
      </c>
      <c r="H2261" s="1">
        <v>3.781211E-6</v>
      </c>
      <c r="I2261">
        <v>284.79480000000001</v>
      </c>
      <c r="J2261">
        <v>-397.89749999999998</v>
      </c>
      <c r="K2261">
        <v>1.108835</v>
      </c>
      <c r="L2261">
        <v>285.06810000000002</v>
      </c>
      <c r="M2261">
        <v>-0.99983</v>
      </c>
      <c r="N2261">
        <v>-1.38378999999999E-2</v>
      </c>
      <c r="O2261">
        <v>1.218324E-2</v>
      </c>
      <c r="P2261">
        <v>-0.99548499999999995</v>
      </c>
      <c r="Q2261">
        <v>-8.4480899999999998E-2</v>
      </c>
      <c r="R2261">
        <v>-4.3274130000000001E-2</v>
      </c>
      <c r="S2261">
        <v>-3.0001530000000001</v>
      </c>
      <c r="T2261">
        <v>-0.14207800000000001</v>
      </c>
      <c r="U2261">
        <v>-3.4454350000000002E-2</v>
      </c>
      <c r="V2261">
        <v>-5.5404259999999997E-2</v>
      </c>
      <c r="W2261">
        <v>-7.0702909999999994E-2</v>
      </c>
      <c r="X2261">
        <v>0.9959576</v>
      </c>
      <c r="Y2261">
        <v>-2.3625130000000001E-2</v>
      </c>
      <c r="Z2261">
        <v>-1.13076E-3</v>
      </c>
      <c r="AA2261">
        <v>0.99972030000000001</v>
      </c>
      <c r="AB2261">
        <v>38</v>
      </c>
      <c r="AC2261">
        <v>-23.048400000000001</v>
      </c>
      <c r="AD2261">
        <v>-1.1088312187889999</v>
      </c>
      <c r="AE2261">
        <v>-0.27330000000000598</v>
      </c>
      <c r="AF2261">
        <v>-0.55283147207678396</v>
      </c>
      <c r="AG2261">
        <v>-1.1088312187889999</v>
      </c>
      <c r="AH2261">
        <v>22.990156783583998</v>
      </c>
      <c r="AI2261">
        <v>92.760478700228205</v>
      </c>
      <c r="AJ2261">
        <v>91.377494177403193</v>
      </c>
      <c r="AK2261">
        <v>23.023519241029401</v>
      </c>
      <c r="AL2261">
        <v>94.054360879524907</v>
      </c>
      <c r="AM2261">
        <v>93.184032935037607</v>
      </c>
      <c r="AN2261">
        <v>1.0000000372531801</v>
      </c>
    </row>
    <row r="2262" spans="1:40" x14ac:dyDescent="0.25">
      <c r="A2262" t="str">
        <f>"20190305135237573"</f>
        <v>20190305135237573</v>
      </c>
      <c r="B2262" t="str">
        <f>"1551765157571819"</f>
        <v>1551765157571819</v>
      </c>
      <c r="C2262" t="s">
        <v>40</v>
      </c>
      <c r="D2262">
        <v>4.6167600000000002</v>
      </c>
      <c r="E2262">
        <v>0.53336219999999901</v>
      </c>
      <c r="F2262" t="s">
        <v>66</v>
      </c>
      <c r="G2262">
        <v>-421.6474</v>
      </c>
      <c r="H2262" s="1">
        <v>3.5761840000000001E-6</v>
      </c>
      <c r="I2262">
        <v>285.71660000000003</v>
      </c>
      <c r="J2262">
        <v>-398.27409999999998</v>
      </c>
      <c r="K2262">
        <v>1.108833</v>
      </c>
      <c r="L2262">
        <v>285.07279999999997</v>
      </c>
      <c r="M2262">
        <v>-0.99982950000000004</v>
      </c>
      <c r="N2262">
        <v>-1.3873170000000001E-2</v>
      </c>
      <c r="O2262">
        <v>1.2197940000000001E-2</v>
      </c>
      <c r="P2262">
        <v>-0.99546679999999999</v>
      </c>
      <c r="Q2262">
        <v>-8.5079440000000006E-2</v>
      </c>
      <c r="R2262">
        <v>-4.2517590000000001E-2</v>
      </c>
      <c r="S2262">
        <v>-3.00528</v>
      </c>
      <c r="T2262">
        <v>-0.14030970000000001</v>
      </c>
      <c r="U2262">
        <v>8.2061770000000006E-2</v>
      </c>
      <c r="V2262">
        <v>-5.4662620000000002E-2</v>
      </c>
      <c r="W2262">
        <v>-7.1266060000000006E-2</v>
      </c>
      <c r="X2262">
        <v>0.99595840000000002</v>
      </c>
      <c r="Y2262">
        <v>1.508435E-2</v>
      </c>
      <c r="Z2262" s="1">
        <v>5.6704009999999999E-5</v>
      </c>
      <c r="AA2262">
        <v>0.99988619999999995</v>
      </c>
      <c r="AB2262">
        <v>38</v>
      </c>
      <c r="AC2262">
        <v>-23.3733</v>
      </c>
      <c r="AD2262">
        <v>-1.1088294238159999</v>
      </c>
      <c r="AE2262">
        <v>0.64380000000005499</v>
      </c>
      <c r="AF2262">
        <v>0.35781391362183801</v>
      </c>
      <c r="AG2262">
        <v>-1.1088294238159999</v>
      </c>
      <c r="AH2262">
        <v>23.326955764560299</v>
      </c>
      <c r="AI2262">
        <v>92.721143983872494</v>
      </c>
      <c r="AJ2262">
        <v>89.121204685116993</v>
      </c>
      <c r="AK2262">
        <v>23.356035595315699</v>
      </c>
      <c r="AL2262">
        <v>94.086708774039906</v>
      </c>
      <c r="AM2262">
        <v>93.141494980548899</v>
      </c>
      <c r="AN2262">
        <v>0.999999993931874</v>
      </c>
    </row>
    <row r="2263" spans="1:40" x14ac:dyDescent="0.25">
      <c r="A2263" t="str">
        <f>"20190305135237598"</f>
        <v>20190305135237598</v>
      </c>
      <c r="B2263" t="str">
        <f>"1551765157591339"</f>
        <v>1551765157591339</v>
      </c>
      <c r="C2263" t="s">
        <v>40</v>
      </c>
      <c r="D2263">
        <v>4.6213069999999998</v>
      </c>
      <c r="E2263">
        <v>0.53438940000000001</v>
      </c>
      <c r="F2263" t="s">
        <v>66</v>
      </c>
      <c r="G2263">
        <v>-422.21409999999997</v>
      </c>
      <c r="H2263" s="1">
        <v>3.438533E-6</v>
      </c>
      <c r="I2263">
        <v>286.14139999999998</v>
      </c>
      <c r="J2263">
        <v>-398.69060000000002</v>
      </c>
      <c r="K2263">
        <v>1.1088249999999999</v>
      </c>
      <c r="L2263">
        <v>285.0779</v>
      </c>
      <c r="M2263">
        <v>-0.99982870000000001</v>
      </c>
      <c r="N2263">
        <v>-1.3906989999999999E-2</v>
      </c>
      <c r="O2263">
        <v>1.22142E-2</v>
      </c>
      <c r="P2263">
        <v>-0.99547819999999998</v>
      </c>
      <c r="Q2263">
        <v>-8.5422280000000003E-2</v>
      </c>
      <c r="R2263">
        <v>-4.1546050000000001E-2</v>
      </c>
      <c r="S2263">
        <v>-3.0075069999999999</v>
      </c>
      <c r="T2263">
        <v>-0.1392987</v>
      </c>
      <c r="U2263">
        <v>0.134246799999999</v>
      </c>
      <c r="V2263">
        <v>-5.3707299999999999E-2</v>
      </c>
      <c r="W2263">
        <v>-7.1574600000000002E-2</v>
      </c>
      <c r="X2263">
        <v>0.99598819999999999</v>
      </c>
      <c r="Y2263">
        <v>3.234766E-2</v>
      </c>
      <c r="Z2263">
        <v>5.7820409999999995E-4</v>
      </c>
      <c r="AA2263">
        <v>0.99947649999999999</v>
      </c>
      <c r="AB2263">
        <v>38</v>
      </c>
      <c r="AC2263">
        <v>-23.523499999999899</v>
      </c>
      <c r="AD2263">
        <v>-1.1088215614669901</v>
      </c>
      <c r="AE2263">
        <v>1.0634999999999699</v>
      </c>
      <c r="AF2263">
        <v>0.77435512223920899</v>
      </c>
      <c r="AG2263">
        <v>-1.1088215614669901</v>
      </c>
      <c r="AH2263">
        <v>23.4826668542836</v>
      </c>
      <c r="AI2263">
        <v>92.701959125878702</v>
      </c>
      <c r="AJ2263">
        <v>88.111321444503503</v>
      </c>
      <c r="AK2263">
        <v>23.521580595269999</v>
      </c>
      <c r="AL2263">
        <v>94.104432271003304</v>
      </c>
      <c r="AM2263">
        <v>93.086607076275698</v>
      </c>
      <c r="AN2263">
        <v>0.99999994598884301</v>
      </c>
    </row>
    <row r="2264" spans="1:40" x14ac:dyDescent="0.25">
      <c r="A2264" t="str">
        <f>"20190305135237620"</f>
        <v>20190305135237620</v>
      </c>
      <c r="B2264" t="str">
        <f>"1551765157611835"</f>
        <v>1551765157611835</v>
      </c>
      <c r="C2264" t="s">
        <v>40</v>
      </c>
      <c r="D2264">
        <v>4.6489129999999896</v>
      </c>
      <c r="E2264">
        <v>0.53487859999999998</v>
      </c>
      <c r="F2264" t="s">
        <v>66</v>
      </c>
      <c r="G2264">
        <v>-422.53859999999997</v>
      </c>
      <c r="H2264" s="1">
        <v>3.3730580000000001E-6</v>
      </c>
      <c r="I2264">
        <v>286.23180000000002</v>
      </c>
      <c r="J2264">
        <v>-399.06130000000002</v>
      </c>
      <c r="K2264">
        <v>1.1088279999999999</v>
      </c>
      <c r="L2264">
        <v>285.08240000000001</v>
      </c>
      <c r="M2264">
        <v>-0.9998283</v>
      </c>
      <c r="N2264">
        <v>-1.3932969999999999E-2</v>
      </c>
      <c r="O2264">
        <v>1.22284E-2</v>
      </c>
      <c r="P2264">
        <v>-0.99549620000000005</v>
      </c>
      <c r="Q2264">
        <v>-8.5750469999999995E-2</v>
      </c>
      <c r="R2264">
        <v>-4.0430180000000003E-2</v>
      </c>
      <c r="S2264">
        <v>-3.0076900000000002</v>
      </c>
      <c r="T2264">
        <v>-0.1398433</v>
      </c>
      <c r="U2264">
        <v>0.14553829999999901</v>
      </c>
      <c r="V2264">
        <v>-5.2606680000000003E-2</v>
      </c>
      <c r="W2264">
        <v>-7.1876350000000006E-2</v>
      </c>
      <c r="X2264">
        <v>0.9960253</v>
      </c>
      <c r="Y2264">
        <v>3.6069190000000001E-2</v>
      </c>
      <c r="Z2264">
        <v>6.9155839999999905E-4</v>
      </c>
      <c r="AA2264">
        <v>0.99934909999999999</v>
      </c>
      <c r="AB2264">
        <v>38</v>
      </c>
      <c r="AC2264">
        <v>-23.4772999999999</v>
      </c>
      <c r="AD2264">
        <v>-1.1088246269419999</v>
      </c>
      <c r="AE2264">
        <v>1.14940000000001</v>
      </c>
      <c r="AF2264">
        <v>0.86028200878678995</v>
      </c>
      <c r="AG2264">
        <v>-1.1088246269419999</v>
      </c>
      <c r="AH2264">
        <v>23.4374454689579</v>
      </c>
      <c r="AI2264">
        <v>92.706821323228496</v>
      </c>
      <c r="AJ2264">
        <v>87.897876284229</v>
      </c>
      <c r="AK2264">
        <v>23.479425616874199</v>
      </c>
      <c r="AL2264">
        <v>94.121765548838894</v>
      </c>
      <c r="AM2264">
        <v>93.023359624191201</v>
      </c>
      <c r="AN2264">
        <v>1.00000003535501</v>
      </c>
    </row>
    <row r="2265" spans="1:40" x14ac:dyDescent="0.25">
      <c r="A2265" t="str">
        <f>"20190305135237641"</f>
        <v>20190305135237641</v>
      </c>
      <c r="B2265" t="str">
        <f>"1551765157631356"</f>
        <v>1551765157631356</v>
      </c>
      <c r="C2265" t="s">
        <v>40</v>
      </c>
      <c r="D2265">
        <v>4.6498400000000002</v>
      </c>
      <c r="E2265">
        <v>0.53537849999999998</v>
      </c>
      <c r="F2265" t="s">
        <v>66</v>
      </c>
      <c r="G2265">
        <v>-422.49160000000001</v>
      </c>
      <c r="H2265" s="1">
        <v>3.3777420000000002E-6</v>
      </c>
      <c r="I2265">
        <v>286.27370000000002</v>
      </c>
      <c r="J2265">
        <v>-399.41980000000001</v>
      </c>
      <c r="K2265">
        <v>1.108822</v>
      </c>
      <c r="L2265">
        <v>285.08679999999998</v>
      </c>
      <c r="M2265">
        <v>-0.99982780000000004</v>
      </c>
      <c r="N2265">
        <v>-1.395473E-2</v>
      </c>
      <c r="O2265">
        <v>1.224221E-2</v>
      </c>
      <c r="P2265">
        <v>-0.99555340000000003</v>
      </c>
      <c r="Q2265">
        <v>-8.5580349999999999E-2</v>
      </c>
      <c r="R2265">
        <v>-3.9364059999999999E-2</v>
      </c>
      <c r="S2265">
        <v>-3.007568</v>
      </c>
      <c r="T2265">
        <v>-0.1423314</v>
      </c>
      <c r="U2265">
        <v>0.15292359999999999</v>
      </c>
      <c r="V2265">
        <v>-5.1555370000000003E-2</v>
      </c>
      <c r="W2265">
        <v>-7.1683540000000004E-2</v>
      </c>
      <c r="X2265">
        <v>0.99609409999999998</v>
      </c>
      <c r="Y2265">
        <v>3.8500340000000001E-2</v>
      </c>
      <c r="Z2265">
        <v>7.7100009999999904E-4</v>
      </c>
      <c r="AA2265">
        <v>0.99925830000000004</v>
      </c>
      <c r="AB2265">
        <v>38</v>
      </c>
      <c r="AC2265">
        <v>-23.0718</v>
      </c>
      <c r="AD2265">
        <v>-1.1088186222580001</v>
      </c>
      <c r="AE2265">
        <v>1.18690000000003</v>
      </c>
      <c r="AF2265">
        <v>0.90225529478802002</v>
      </c>
      <c r="AG2265">
        <v>-1.1088186222580001</v>
      </c>
      <c r="AH2265">
        <v>23.031546528183402</v>
      </c>
      <c r="AI2265">
        <v>92.754180283755801</v>
      </c>
      <c r="AJ2265">
        <v>87.756598772036199</v>
      </c>
      <c r="AK2265">
        <v>23.0758678890722</v>
      </c>
      <c r="AL2265">
        <v>94.110690044655797</v>
      </c>
      <c r="AM2265">
        <v>92.962844235419297</v>
      </c>
      <c r="AN2265">
        <v>0.99999997106878802</v>
      </c>
    </row>
    <row r="2266" spans="1:40" x14ac:dyDescent="0.25">
      <c r="A2266" t="str">
        <f>"20190305135237663"</f>
        <v>20190305135237663</v>
      </c>
      <c r="B2266" t="str">
        <f>"1551765157651851"</f>
        <v>1551765157651851</v>
      </c>
      <c r="C2266" t="s">
        <v>40</v>
      </c>
      <c r="D2266">
        <v>4.6376249999999999</v>
      </c>
      <c r="E2266">
        <v>0.53570810000000002</v>
      </c>
      <c r="F2266" t="s">
        <v>66</v>
      </c>
      <c r="G2266">
        <v>-422.6628</v>
      </c>
      <c r="H2266" s="1">
        <v>3.3428980000000002E-6</v>
      </c>
      <c r="I2266">
        <v>286.32479999999998</v>
      </c>
      <c r="J2266">
        <v>-399.80270000000002</v>
      </c>
      <c r="K2266">
        <v>1.1088249999999999</v>
      </c>
      <c r="L2266">
        <v>285.09140000000002</v>
      </c>
      <c r="M2266">
        <v>-0.99982729999999997</v>
      </c>
      <c r="N2266">
        <v>-1.397466E-2</v>
      </c>
      <c r="O2266">
        <v>1.2256990000000001E-2</v>
      </c>
      <c r="P2266">
        <v>-0.99558190000000002</v>
      </c>
      <c r="Q2266">
        <v>-8.5596080000000005E-2</v>
      </c>
      <c r="R2266">
        <v>-3.8603190000000003E-2</v>
      </c>
      <c r="S2266">
        <v>-3.0073850000000002</v>
      </c>
      <c r="T2266">
        <v>-0.1434684</v>
      </c>
      <c r="U2266">
        <v>0.16018679999999999</v>
      </c>
      <c r="V2266">
        <v>-5.0809189999999997E-2</v>
      </c>
      <c r="W2266">
        <v>-7.1678870000000006E-2</v>
      </c>
      <c r="X2266">
        <v>0.99613280000000004</v>
      </c>
      <c r="Y2266">
        <v>4.0891200000000003E-2</v>
      </c>
      <c r="Z2266">
        <v>8.4747000000000002E-4</v>
      </c>
      <c r="AA2266">
        <v>0.99916329999999998</v>
      </c>
      <c r="AB2266">
        <v>38</v>
      </c>
      <c r="AC2266">
        <v>-22.8600999999999</v>
      </c>
      <c r="AD2266">
        <v>-1.108821657102</v>
      </c>
      <c r="AE2266">
        <v>1.2333999999999601</v>
      </c>
      <c r="AF2266">
        <v>0.95085338746594805</v>
      </c>
      <c r="AG2266">
        <v>-1.108821657102</v>
      </c>
      <c r="AH2266">
        <v>22.8199688900086</v>
      </c>
      <c r="AI2266">
        <v>92.779404492527405</v>
      </c>
      <c r="AJ2266">
        <v>87.614002456537904</v>
      </c>
      <c r="AK2266">
        <v>22.866669800665601</v>
      </c>
      <c r="AL2266">
        <v>94.110421685920002</v>
      </c>
      <c r="AM2266">
        <v>92.919923402260096</v>
      </c>
      <c r="AN2266">
        <v>0.99999999471438605</v>
      </c>
    </row>
    <row r="2267" spans="1:40" x14ac:dyDescent="0.25">
      <c r="A2267" t="str">
        <f>"20190305135237694"</f>
        <v>20190305135237694</v>
      </c>
      <c r="B2267" t="str">
        <f>"1551765157691867"</f>
        <v>1551765157691867</v>
      </c>
      <c r="C2267" t="s">
        <v>40</v>
      </c>
      <c r="D2267">
        <v>4.64764</v>
      </c>
      <c r="E2267">
        <v>0.53623869999999996</v>
      </c>
      <c r="F2267" t="s">
        <v>66</v>
      </c>
      <c r="G2267">
        <v>-422.9803</v>
      </c>
      <c r="H2267" s="1">
        <v>3.2831660000000001E-6</v>
      </c>
      <c r="I2267">
        <v>286.3639</v>
      </c>
      <c r="J2267">
        <v>-400.18759999999997</v>
      </c>
      <c r="K2267">
        <v>1.108833</v>
      </c>
      <c r="L2267">
        <v>285.09620000000001</v>
      </c>
      <c r="M2267">
        <v>-0.99982680000000002</v>
      </c>
      <c r="N2267">
        <v>-1.399166E-2</v>
      </c>
      <c r="O2267">
        <v>1.227196E-2</v>
      </c>
      <c r="P2267">
        <v>-0.99559679999999995</v>
      </c>
      <c r="Q2267">
        <v>-8.5442690000000002E-2</v>
      </c>
      <c r="R2267">
        <v>-3.8555039999999999E-2</v>
      </c>
      <c r="S2267">
        <v>-3.007355</v>
      </c>
      <c r="T2267">
        <v>-0.1438721</v>
      </c>
      <c r="U2267">
        <v>0.1651001</v>
      </c>
      <c r="V2267">
        <v>-5.0776559999999998E-2</v>
      </c>
      <c r="W2267">
        <v>-7.1508260000000004E-2</v>
      </c>
      <c r="X2267">
        <v>0.99614669999999905</v>
      </c>
      <c r="Y2267">
        <v>4.250172E-2</v>
      </c>
      <c r="Z2267">
        <v>8.9836940000000002E-4</v>
      </c>
      <c r="AA2267">
        <v>0.99909599999999998</v>
      </c>
      <c r="AB2267">
        <v>38</v>
      </c>
      <c r="AC2267">
        <v>-22.7927</v>
      </c>
      <c r="AD2267">
        <v>-1.108829716834</v>
      </c>
      <c r="AE2267">
        <v>1.2676999999999901</v>
      </c>
      <c r="AF2267">
        <v>0.98554077397087703</v>
      </c>
      <c r="AG2267">
        <v>-1.108829716834</v>
      </c>
      <c r="AH2267">
        <v>22.752859480931399</v>
      </c>
      <c r="AI2267">
        <v>92.787415175943494</v>
      </c>
      <c r="AJ2267">
        <v>87.519781980649896</v>
      </c>
      <c r="AK2267">
        <v>22.801171209328398</v>
      </c>
      <c r="AL2267">
        <v>94.100621409222995</v>
      </c>
      <c r="AM2267">
        <v>92.918010802548693</v>
      </c>
      <c r="AN2267">
        <v>0.99999996910727496</v>
      </c>
    </row>
    <row r="2268" spans="1:40" x14ac:dyDescent="0.25">
      <c r="A2268" t="str">
        <f>"20190305135237708"</f>
        <v>20190305135237708</v>
      </c>
      <c r="B2268" t="str">
        <f>"1551765157701631"</f>
        <v>1551765157701631</v>
      </c>
      <c r="C2268" t="s">
        <v>40</v>
      </c>
      <c r="D2268">
        <v>4.6602379999999997</v>
      </c>
      <c r="E2268">
        <v>0.53605530000000001</v>
      </c>
      <c r="F2268" t="s">
        <v>66</v>
      </c>
      <c r="G2268">
        <v>-423.4984</v>
      </c>
      <c r="H2268" s="1">
        <v>3.187332E-6</v>
      </c>
      <c r="I2268">
        <v>286.40899999999999</v>
      </c>
      <c r="J2268">
        <v>-400.57470000000001</v>
      </c>
      <c r="K2268">
        <v>1.1088439999999999</v>
      </c>
      <c r="L2268">
        <v>285.101</v>
      </c>
      <c r="M2268">
        <v>-0.99982660000000001</v>
      </c>
      <c r="N2268">
        <v>-1.4006040000000001E-2</v>
      </c>
      <c r="O2268">
        <v>1.228629E-2</v>
      </c>
      <c r="P2268">
        <v>-0.99562360000000005</v>
      </c>
      <c r="Q2268">
        <v>-8.497296E-2</v>
      </c>
      <c r="R2268">
        <v>-3.8907190000000001E-2</v>
      </c>
      <c r="S2268">
        <v>-3.0075379999999998</v>
      </c>
      <c r="T2268">
        <v>-0.1430601</v>
      </c>
      <c r="U2268">
        <v>0.16937260000000001</v>
      </c>
      <c r="V2268">
        <v>-5.1143139999999997E-2</v>
      </c>
      <c r="W2268">
        <v>-7.1023849999999999E-2</v>
      </c>
      <c r="X2268">
        <v>0.99616269999999996</v>
      </c>
      <c r="Y2268">
        <v>4.3897430000000001E-2</v>
      </c>
      <c r="Z2268">
        <v>9.3885469999999995E-4</v>
      </c>
      <c r="AA2268">
        <v>0.99903560000000002</v>
      </c>
      <c r="AB2268">
        <v>38</v>
      </c>
      <c r="AC2268">
        <v>-22.9237</v>
      </c>
      <c r="AD2268">
        <v>-1.1088408126679901</v>
      </c>
      <c r="AE2268">
        <v>1.3079999999999901</v>
      </c>
      <c r="AF2268">
        <v>1.02383869784556</v>
      </c>
      <c r="AG2268">
        <v>-1.1088408126679901</v>
      </c>
      <c r="AH2268">
        <v>22.884670847342498</v>
      </c>
      <c r="AI2268">
        <v>92.771239840498495</v>
      </c>
      <c r="AJ2268">
        <v>87.438348801574904</v>
      </c>
      <c r="AK2268">
        <v>22.934383214253899</v>
      </c>
      <c r="AL2268">
        <v>94.072795611913193</v>
      </c>
      <c r="AM2268">
        <v>92.938993376467394</v>
      </c>
      <c r="AN2268">
        <v>1.0000000664545801</v>
      </c>
    </row>
    <row r="2269" spans="1:40" x14ac:dyDescent="0.25">
      <c r="A2269" t="str">
        <f>"20190305135237730"</f>
        <v>20190305135237730</v>
      </c>
      <c r="B2269" t="str">
        <f>"1551765157722123"</f>
        <v>1551765157722123</v>
      </c>
      <c r="C2269" t="s">
        <v>40</v>
      </c>
      <c r="D2269">
        <v>4.6470560000000001</v>
      </c>
      <c r="E2269">
        <v>0.53624839999999996</v>
      </c>
      <c r="F2269" t="s">
        <v>66</v>
      </c>
      <c r="G2269">
        <v>-424.0727</v>
      </c>
      <c r="H2269" s="1">
        <v>3.08581E-6</v>
      </c>
      <c r="I2269">
        <v>286.4049</v>
      </c>
      <c r="J2269">
        <v>-400.95339999999999</v>
      </c>
      <c r="K2269">
        <v>1.108854</v>
      </c>
      <c r="L2269">
        <v>285.10559999999998</v>
      </c>
      <c r="M2269">
        <v>-0.99982610000000005</v>
      </c>
      <c r="N2269">
        <v>-1.4017989999999999E-2</v>
      </c>
      <c r="O2269">
        <v>1.230128E-2</v>
      </c>
      <c r="P2269">
        <v>-0.99566100000000002</v>
      </c>
      <c r="Q2269">
        <v>-8.4054950000000003E-2</v>
      </c>
      <c r="R2269">
        <v>-3.992681E-2</v>
      </c>
      <c r="S2269">
        <v>-3.007568</v>
      </c>
      <c r="T2269">
        <v>-0.14192370000000001</v>
      </c>
      <c r="U2269">
        <v>0.16690060000000001</v>
      </c>
      <c r="V2269">
        <v>-5.2178259999999997E-2</v>
      </c>
      <c r="W2269">
        <v>-7.0093610000000001E-2</v>
      </c>
      <c r="X2269">
        <v>0.99617480000000003</v>
      </c>
      <c r="Y2269">
        <v>4.3065239999999998E-2</v>
      </c>
      <c r="Z2269">
        <v>9.0967429999999996E-4</v>
      </c>
      <c r="AA2269">
        <v>0.99907179999999995</v>
      </c>
      <c r="AB2269">
        <v>38</v>
      </c>
      <c r="AC2269">
        <v>-23.119299999999999</v>
      </c>
      <c r="AD2269">
        <v>-1.10885091419</v>
      </c>
      <c r="AE2269">
        <v>1.2993000000000099</v>
      </c>
      <c r="AF2269">
        <v>1.01245506504022</v>
      </c>
      <c r="AG2269">
        <v>-1.10885091419</v>
      </c>
      <c r="AH2269">
        <v>23.080608305797899</v>
      </c>
      <c r="AI2269">
        <v>92.747881152726293</v>
      </c>
      <c r="AJ2269">
        <v>87.488270824976993</v>
      </c>
      <c r="AK2269">
        <v>23.129398941051001</v>
      </c>
      <c r="AL2269">
        <v>94.019364049455206</v>
      </c>
      <c r="AM2269">
        <v>92.998333795029495</v>
      </c>
      <c r="AN2269">
        <v>0.99999995856724899</v>
      </c>
    </row>
    <row r="2270" spans="1:40" x14ac:dyDescent="0.25">
      <c r="A2270" t="str">
        <f>"20190305135237753"</f>
        <v>20190305135237753</v>
      </c>
      <c r="B2270" t="str">
        <f>"1551765157741643"</f>
        <v>1551765157741643</v>
      </c>
      <c r="C2270" t="s">
        <v>40</v>
      </c>
      <c r="D2270">
        <v>4.660183</v>
      </c>
      <c r="E2270">
        <v>0.53635319999999997</v>
      </c>
      <c r="F2270" t="s">
        <v>66</v>
      </c>
      <c r="G2270">
        <v>-424.84199999999998</v>
      </c>
      <c r="H2270" s="1">
        <v>2.9481109999999999E-6</v>
      </c>
      <c r="I2270">
        <v>286.41899999999998</v>
      </c>
      <c r="J2270">
        <v>-401.32549999999998</v>
      </c>
      <c r="K2270">
        <v>1.108859</v>
      </c>
      <c r="L2270">
        <v>285.11020000000002</v>
      </c>
      <c r="M2270">
        <v>-0.99982599999999999</v>
      </c>
      <c r="N2270">
        <v>-1.4027939999999999E-2</v>
      </c>
      <c r="O2270">
        <v>1.231576E-2</v>
      </c>
      <c r="P2270">
        <v>-0.99564339999999996</v>
      </c>
      <c r="Q2270">
        <v>-8.4174360000000004E-2</v>
      </c>
      <c r="R2270">
        <v>-4.0118199999999903E-2</v>
      </c>
      <c r="S2270">
        <v>-3.0079039999999999</v>
      </c>
      <c r="T2270">
        <v>-0.13961970000000001</v>
      </c>
      <c r="U2270">
        <v>0.16537479999999999</v>
      </c>
      <c r="V2270">
        <v>-5.2383529999999998E-2</v>
      </c>
      <c r="W2270">
        <v>-7.0203360000000006E-2</v>
      </c>
      <c r="X2270">
        <v>0.99615629999999999</v>
      </c>
      <c r="Y2270">
        <v>4.2541519999999999E-2</v>
      </c>
      <c r="Z2270">
        <v>8.86622E-4</v>
      </c>
      <c r="AA2270">
        <v>0.99909429999999999</v>
      </c>
      <c r="AB2270">
        <v>38</v>
      </c>
      <c r="AC2270">
        <v>-23.516500000000001</v>
      </c>
      <c r="AD2270">
        <v>-1.108856051889</v>
      </c>
      <c r="AE2270">
        <v>1.30880000000001</v>
      </c>
      <c r="AF2270">
        <v>1.0167950234615599</v>
      </c>
      <c r="AG2270">
        <v>-1.108856051889</v>
      </c>
      <c r="AH2270">
        <v>23.478796516164099</v>
      </c>
      <c r="AI2270">
        <v>92.701426244772193</v>
      </c>
      <c r="AJ2270">
        <v>87.520244126472406</v>
      </c>
      <c r="AK2270">
        <v>23.526948797304499</v>
      </c>
      <c r="AL2270">
        <v>94.025667784626904</v>
      </c>
      <c r="AM2270">
        <v>93.010163431076705</v>
      </c>
      <c r="AN2270">
        <v>0.99999996000011904</v>
      </c>
    </row>
    <row r="2271" spans="1:40" x14ac:dyDescent="0.25">
      <c r="A2271" t="str">
        <f>"20190305135237775"</f>
        <v>20190305135237775</v>
      </c>
      <c r="B2271" t="str">
        <f>"1551765157771900"</f>
        <v>1551765157771900</v>
      </c>
      <c r="C2271" t="s">
        <v>40</v>
      </c>
      <c r="D2271">
        <v>4.6379950000000001</v>
      </c>
      <c r="E2271">
        <v>0.5364409</v>
      </c>
      <c r="F2271" t="s">
        <v>66</v>
      </c>
      <c r="G2271">
        <v>-425.0324</v>
      </c>
      <c r="H2271" s="1">
        <v>2.9144469999999998E-6</v>
      </c>
      <c r="I2271">
        <v>286.4178</v>
      </c>
      <c r="J2271">
        <v>-401.70780000000002</v>
      </c>
      <c r="K2271">
        <v>1.1088549999999999</v>
      </c>
      <c r="L2271">
        <v>285.11500000000001</v>
      </c>
      <c r="M2271">
        <v>-0.99982550000000003</v>
      </c>
      <c r="N2271">
        <v>-1.403656E-2</v>
      </c>
      <c r="O2271">
        <v>1.2331430000000001E-2</v>
      </c>
      <c r="P2271">
        <v>-0.99561630000000001</v>
      </c>
      <c r="Q2271">
        <v>-8.4398840000000003E-2</v>
      </c>
      <c r="R2271">
        <v>-4.0313370000000001E-2</v>
      </c>
      <c r="S2271">
        <v>-3.0078740000000002</v>
      </c>
      <c r="T2271">
        <v>-0.14068849999999999</v>
      </c>
      <c r="U2271">
        <v>0.1658936</v>
      </c>
      <c r="V2271">
        <v>-5.2594109999999999E-2</v>
      </c>
      <c r="W2271">
        <v>-7.041965E-2</v>
      </c>
      <c r="X2271">
        <v>0.99612999999999996</v>
      </c>
      <c r="Y2271">
        <v>4.2697329999999999E-2</v>
      </c>
      <c r="Z2271">
        <v>8.9431359999999998E-4</v>
      </c>
      <c r="AA2271">
        <v>0.99908759999999996</v>
      </c>
      <c r="AB2271">
        <v>38</v>
      </c>
      <c r="AC2271">
        <v>-23.324599999999901</v>
      </c>
      <c r="AD2271">
        <v>-1.108852085553</v>
      </c>
      <c r="AE2271">
        <v>1.30279999999999</v>
      </c>
      <c r="AF2271">
        <v>1.0127651429982201</v>
      </c>
      <c r="AG2271">
        <v>-1.108852085553</v>
      </c>
      <c r="AH2271">
        <v>23.286428227947301</v>
      </c>
      <c r="AI2271">
        <v>92.723677668043507</v>
      </c>
      <c r="AJ2271">
        <v>87.509681491410305</v>
      </c>
      <c r="AK2271">
        <v>23.334802030397601</v>
      </c>
      <c r="AL2271">
        <v>94.038090784198204</v>
      </c>
      <c r="AM2271">
        <v>93.022321442506296</v>
      </c>
      <c r="AN2271">
        <v>1.0000000222064001</v>
      </c>
    </row>
    <row r="2272" spans="1:40" x14ac:dyDescent="0.25">
      <c r="A2272" t="str">
        <f>"20190305135237798"</f>
        <v>20190305135237798</v>
      </c>
      <c r="B2272" t="str">
        <f>"1551765157791423"</f>
        <v>1551765157791423</v>
      </c>
      <c r="C2272" t="s">
        <v>40</v>
      </c>
      <c r="D2272">
        <v>4.6802080000000004</v>
      </c>
      <c r="E2272">
        <v>0.53651150000000003</v>
      </c>
      <c r="F2272" t="s">
        <v>66</v>
      </c>
      <c r="G2272">
        <v>-425.12970000000001</v>
      </c>
      <c r="H2272" s="1">
        <v>2.898152E-6</v>
      </c>
      <c r="I2272">
        <v>286.4067</v>
      </c>
      <c r="J2272">
        <v>-402.09660000000002</v>
      </c>
      <c r="K2272">
        <v>1.108859</v>
      </c>
      <c r="L2272">
        <v>285.1198</v>
      </c>
      <c r="M2272">
        <v>-0.99982519999999997</v>
      </c>
      <c r="N2272">
        <v>-1.404385E-2</v>
      </c>
      <c r="O2272">
        <v>1.234699E-2</v>
      </c>
      <c r="P2272">
        <v>-0.99555640000000001</v>
      </c>
      <c r="Q2272">
        <v>-8.4953699999999993E-2</v>
      </c>
      <c r="R2272">
        <v>-4.0631460000000001E-2</v>
      </c>
      <c r="S2272">
        <v>-3.0078740000000002</v>
      </c>
      <c r="T2272">
        <v>-0.14240050000000001</v>
      </c>
      <c r="U2272">
        <v>0.1658936</v>
      </c>
      <c r="V2272">
        <v>-5.2926439999999998E-2</v>
      </c>
      <c r="W2272">
        <v>-7.0968080000000003E-2</v>
      </c>
      <c r="X2272">
        <v>0.9960734</v>
      </c>
      <c r="Y2272">
        <v>4.2680719999999998E-2</v>
      </c>
      <c r="Z2272">
        <v>8.9865539999999997E-4</v>
      </c>
      <c r="AA2272">
        <v>0.99908830000000004</v>
      </c>
      <c r="AB2272">
        <v>38</v>
      </c>
      <c r="AC2272">
        <v>-23.033099999999902</v>
      </c>
      <c r="AD2272">
        <v>-1.1088561018480001</v>
      </c>
      <c r="AE2272">
        <v>1.2868999999999999</v>
      </c>
      <c r="AF2272">
        <v>1.00007379891432</v>
      </c>
      <c r="AG2272">
        <v>-1.1088561018480001</v>
      </c>
      <c r="AH2272">
        <v>22.9941086403187</v>
      </c>
      <c r="AI2272">
        <v>92.758259970209593</v>
      </c>
      <c r="AJ2272">
        <v>87.509626486299993</v>
      </c>
      <c r="AK2272">
        <v>23.042541995636199</v>
      </c>
      <c r="AL2272">
        <v>94.069592628569694</v>
      </c>
      <c r="AM2272">
        <v>93.041555546631201</v>
      </c>
      <c r="AN2272">
        <v>0.99999994730875796</v>
      </c>
    </row>
    <row r="2273" spans="1:40" x14ac:dyDescent="0.25">
      <c r="A2273" t="str">
        <f>"20190305135237809"</f>
        <v>20190305135237809</v>
      </c>
      <c r="B2273" t="str">
        <f>"1551765157802156"</f>
        <v>1551765157802156</v>
      </c>
      <c r="C2273" t="s">
        <v>40</v>
      </c>
      <c r="D2273">
        <v>4.6373660000000001</v>
      </c>
      <c r="E2273">
        <v>0.53648030000000002</v>
      </c>
      <c r="F2273" t="s">
        <v>66</v>
      </c>
      <c r="G2273">
        <v>-425.19670000000002</v>
      </c>
      <c r="H2273" s="1">
        <v>2.8875150000000001E-6</v>
      </c>
      <c r="I2273">
        <v>286.39249999999998</v>
      </c>
      <c r="J2273">
        <v>-402.29840000000002</v>
      </c>
      <c r="K2273">
        <v>1.1088610000000001</v>
      </c>
      <c r="L2273">
        <v>285.1223</v>
      </c>
      <c r="M2273">
        <v>-0.99982510000000002</v>
      </c>
      <c r="N2273">
        <v>-1.404709E-2</v>
      </c>
      <c r="O2273">
        <v>1.2354840000000001E-2</v>
      </c>
      <c r="P2273">
        <v>-0.99556199999999995</v>
      </c>
      <c r="Q2273">
        <v>-8.4923899999999997E-2</v>
      </c>
      <c r="R2273">
        <v>-4.0554939999999998E-2</v>
      </c>
      <c r="S2273">
        <v>-3.0078130000000001</v>
      </c>
      <c r="T2273">
        <v>-0.1443816</v>
      </c>
      <c r="U2273">
        <v>0.16571040000000001</v>
      </c>
      <c r="V2273">
        <v>-5.2858170000000003E-2</v>
      </c>
      <c r="W2273">
        <v>-7.0934960000000005E-2</v>
      </c>
      <c r="X2273">
        <v>0.99607939999999995</v>
      </c>
      <c r="Y2273">
        <v>4.2612190000000001E-2</v>
      </c>
      <c r="Z2273">
        <v>9.0229619999999998E-4</v>
      </c>
      <c r="AA2273">
        <v>0.99909130000000002</v>
      </c>
      <c r="AB2273">
        <v>38</v>
      </c>
      <c r="AC2273">
        <v>-22.898299999999999</v>
      </c>
      <c r="AD2273">
        <v>-1.1088581124850001</v>
      </c>
      <c r="AE2273">
        <v>1.27019999999998</v>
      </c>
      <c r="AF2273">
        <v>0.98486786883560795</v>
      </c>
      <c r="AG2273">
        <v>-1.1088581124850001</v>
      </c>
      <c r="AH2273">
        <v>22.858806843268699</v>
      </c>
      <c r="AI2273">
        <v>92.774614569778095</v>
      </c>
      <c r="AJ2273">
        <v>87.532946702316394</v>
      </c>
      <c r="AK2273">
        <v>22.906867558235799</v>
      </c>
      <c r="AL2273">
        <v>94.067690134171599</v>
      </c>
      <c r="AM2273">
        <v>93.037621322508699</v>
      </c>
      <c r="AN2273">
        <v>0.99999996289515403</v>
      </c>
    </row>
    <row r="2274" spans="1:40" x14ac:dyDescent="0.25">
      <c r="A2274" t="str">
        <f>"20190305135237821"</f>
        <v>20190305135237821</v>
      </c>
      <c r="B2274" t="str">
        <f>"1551765157811916"</f>
        <v>1551765157811916</v>
      </c>
      <c r="C2274" t="s">
        <v>40</v>
      </c>
      <c r="D2274">
        <v>4.6793459999999998</v>
      </c>
      <c r="E2274">
        <v>0.53654329999999995</v>
      </c>
      <c r="F2274" t="s">
        <v>66</v>
      </c>
      <c r="G2274">
        <v>-425.37240000000003</v>
      </c>
      <c r="H2274" s="1">
        <v>2.8563570000000002E-6</v>
      </c>
      <c r="I2274">
        <v>286.39229999999998</v>
      </c>
      <c r="J2274">
        <v>-402.49919999999997</v>
      </c>
      <c r="K2274">
        <v>1.108868</v>
      </c>
      <c r="L2274">
        <v>285.12479999999999</v>
      </c>
      <c r="M2274">
        <v>-0.99982499999999996</v>
      </c>
      <c r="N2274">
        <v>-1.404993E-2</v>
      </c>
      <c r="O2274">
        <v>1.236304E-2</v>
      </c>
      <c r="P2274">
        <v>-0.99558329999999995</v>
      </c>
      <c r="Q2274">
        <v>-8.4831069999999995E-2</v>
      </c>
      <c r="R2274">
        <v>-4.0223080000000001E-2</v>
      </c>
      <c r="S2274">
        <v>-3.0077820000000002</v>
      </c>
      <c r="T2274">
        <v>-0.14454359999999999</v>
      </c>
      <c r="U2274">
        <v>0.16555790000000001</v>
      </c>
      <c r="V2274">
        <v>-5.2535070000000003E-2</v>
      </c>
      <c r="W2274">
        <v>-7.0839029999999997E-2</v>
      </c>
      <c r="X2274">
        <v>0.99610330000000002</v>
      </c>
      <c r="Y2274">
        <v>4.2554000000000002E-2</v>
      </c>
      <c r="Z2274">
        <v>9.0079370000000001E-4</v>
      </c>
      <c r="AA2274">
        <v>0.99909380000000003</v>
      </c>
      <c r="AB2274">
        <v>38</v>
      </c>
      <c r="AC2274">
        <v>-22.873200000000001</v>
      </c>
      <c r="AD2274">
        <v>-1.1088651436429999</v>
      </c>
      <c r="AE2274">
        <v>1.2674999999999801</v>
      </c>
      <c r="AF2274">
        <v>0.98229144192471396</v>
      </c>
      <c r="AG2274">
        <v>-1.1088651436429999</v>
      </c>
      <c r="AH2274">
        <v>22.833624110180502</v>
      </c>
      <c r="AI2274">
        <v>92.777695214918595</v>
      </c>
      <c r="AJ2274">
        <v>87.536682190249294</v>
      </c>
      <c r="AK2274">
        <v>22.881627310763601</v>
      </c>
      <c r="AL2274">
        <v>94.062179968908396</v>
      </c>
      <c r="AM2274">
        <v>93.019015758546502</v>
      </c>
      <c r="AN2274">
        <v>0.99999994301106598</v>
      </c>
    </row>
    <row r="2275" spans="1:40" x14ac:dyDescent="0.25">
      <c r="A2275" t="str">
        <f>"20190305135237842"</f>
        <v>20190305135237842</v>
      </c>
      <c r="B2275" t="str">
        <f>"1551765157831436"</f>
        <v>1551765157831436</v>
      </c>
      <c r="C2275" t="s">
        <v>40</v>
      </c>
      <c r="D2275">
        <v>4.6500159999999999</v>
      </c>
      <c r="E2275">
        <v>0.53666700000000001</v>
      </c>
      <c r="F2275" t="s">
        <v>66</v>
      </c>
      <c r="G2275">
        <v>-425.58030000000002</v>
      </c>
      <c r="H2275" s="1">
        <v>2.8181280000000001E-6</v>
      </c>
      <c r="I2275">
        <v>286.40789999999998</v>
      </c>
      <c r="J2275">
        <v>-402.84120000000001</v>
      </c>
      <c r="K2275">
        <v>1.108881</v>
      </c>
      <c r="L2275">
        <v>285.12909999999999</v>
      </c>
      <c r="M2275">
        <v>-0.99982470000000001</v>
      </c>
      <c r="N2275">
        <v>-1.405406E-2</v>
      </c>
      <c r="O2275">
        <v>1.2376720000000001E-2</v>
      </c>
      <c r="P2275">
        <v>-0.99573500000000004</v>
      </c>
      <c r="Q2275">
        <v>-8.3462149999999999E-2</v>
      </c>
      <c r="R2275">
        <v>-3.9318850000000002E-2</v>
      </c>
      <c r="S2275">
        <v>-3.0077210000000001</v>
      </c>
      <c r="T2275">
        <v>-0.14449779999999901</v>
      </c>
      <c r="U2275">
        <v>0.16720579999999999</v>
      </c>
      <c r="V2275">
        <v>-5.1646150000000002E-2</v>
      </c>
      <c r="W2275">
        <v>-6.9463929999999993E-2</v>
      </c>
      <c r="X2275">
        <v>0.99624669999999904</v>
      </c>
      <c r="Y2275">
        <v>4.3086409999999999E-2</v>
      </c>
      <c r="Z2275">
        <v>9.1685689999999995E-4</v>
      </c>
      <c r="AA2275">
        <v>0.99907089999999998</v>
      </c>
      <c r="AB2275">
        <v>38</v>
      </c>
      <c r="AC2275">
        <v>-22.739100000000001</v>
      </c>
      <c r="AD2275">
        <v>-1.1088781818719999</v>
      </c>
      <c r="AE2275">
        <v>1.27879999999998</v>
      </c>
      <c r="AF2275">
        <v>0.99488036089527898</v>
      </c>
      <c r="AG2275">
        <v>-1.1088781818719999</v>
      </c>
      <c r="AH2275">
        <v>22.699376790784498</v>
      </c>
      <c r="AI2275">
        <v>92.794031923688394</v>
      </c>
      <c r="AJ2275">
        <v>87.490416194903801</v>
      </c>
      <c r="AK2275">
        <v>22.748211016357601</v>
      </c>
      <c r="AL2275">
        <v>93.983197621220796</v>
      </c>
      <c r="AM2275">
        <v>92.967598148087106</v>
      </c>
      <c r="AN2275">
        <v>1.00000002482087</v>
      </c>
    </row>
    <row r="2276" spans="1:40" x14ac:dyDescent="0.25">
      <c r="A2276" t="str">
        <f>"20190305135237865"</f>
        <v>20190305135237865</v>
      </c>
      <c r="B2276" t="str">
        <f>"1551765157861691"</f>
        <v>1551765157861691</v>
      </c>
      <c r="C2276" t="s">
        <v>40</v>
      </c>
      <c r="D2276">
        <v>4.6666809999999996</v>
      </c>
      <c r="E2276">
        <v>0.53678599999999999</v>
      </c>
      <c r="F2276" t="s">
        <v>66</v>
      </c>
      <c r="G2276">
        <v>-426.5299</v>
      </c>
      <c r="H2276" s="1">
        <v>2.643768E-6</v>
      </c>
      <c r="I2276">
        <v>286.47550000000001</v>
      </c>
      <c r="J2276">
        <v>-403.2278</v>
      </c>
      <c r="K2276">
        <v>1.108889</v>
      </c>
      <c r="L2276">
        <v>285.13389999999998</v>
      </c>
      <c r="M2276">
        <v>-0.9998245</v>
      </c>
      <c r="N2276">
        <v>-1.405789E-2</v>
      </c>
      <c r="O2276">
        <v>1.239177E-2</v>
      </c>
      <c r="P2276">
        <v>-0.99582550000000003</v>
      </c>
      <c r="Q2276">
        <v>-8.2985299999999998E-2</v>
      </c>
      <c r="R2276">
        <v>-3.801972E-2</v>
      </c>
      <c r="S2276">
        <v>-3.0078429999999998</v>
      </c>
      <c r="T2276">
        <v>-0.14079820000000001</v>
      </c>
      <c r="U2276">
        <v>0.17095949999999999</v>
      </c>
      <c r="V2276">
        <v>-5.0363270000000002E-2</v>
      </c>
      <c r="W2276">
        <v>-6.8981879999999995E-2</v>
      </c>
      <c r="X2276">
        <v>0.99634579999999995</v>
      </c>
      <c r="Y2276">
        <v>4.4312600000000001E-2</v>
      </c>
      <c r="Z2276">
        <v>9.4250650000000003E-4</v>
      </c>
      <c r="AA2276">
        <v>0.9990173</v>
      </c>
      <c r="AB2276">
        <v>38</v>
      </c>
      <c r="AC2276">
        <v>-23.302099999999999</v>
      </c>
      <c r="AD2276">
        <v>-1.1088863562319999</v>
      </c>
      <c r="AE2276">
        <v>1.3416000000000201</v>
      </c>
      <c r="AF2276">
        <v>1.05034349232768</v>
      </c>
      <c r="AG2276">
        <v>-1.1088863562319999</v>
      </c>
      <c r="AH2276">
        <v>23.264427281546102</v>
      </c>
      <c r="AI2276">
        <v>92.7261342285029</v>
      </c>
      <c r="AJ2276">
        <v>87.414962811628996</v>
      </c>
      <c r="AK2276">
        <v>23.314511085185998</v>
      </c>
      <c r="AL2276">
        <v>93.955512051643495</v>
      </c>
      <c r="AM2276">
        <v>92.8937231510006</v>
      </c>
      <c r="AN2276">
        <v>0.99999995595553204</v>
      </c>
    </row>
    <row r="2277" spans="1:40" x14ac:dyDescent="0.25">
      <c r="A2277" t="str">
        <f>"20190305135237878"</f>
        <v>20190305135237878</v>
      </c>
      <c r="B2277" t="str">
        <f>"1551765157871451"</f>
        <v>1551765157871451</v>
      </c>
      <c r="C2277" t="s">
        <v>40</v>
      </c>
      <c r="D2277">
        <v>4.6531039999999999</v>
      </c>
      <c r="E2277">
        <v>0.53681489999999998</v>
      </c>
      <c r="F2277" t="s">
        <v>66</v>
      </c>
      <c r="G2277">
        <v>-427.50940000000003</v>
      </c>
      <c r="H2277" s="1">
        <v>2.463276E-6</v>
      </c>
      <c r="I2277">
        <v>286.55270000000002</v>
      </c>
      <c r="J2277">
        <v>-403.44459999999998</v>
      </c>
      <c r="K2277">
        <v>1.1088910000000001</v>
      </c>
      <c r="L2277">
        <v>285.13659999999999</v>
      </c>
      <c r="M2277">
        <v>-0.9998243</v>
      </c>
      <c r="N2277">
        <v>-1.405958E-2</v>
      </c>
      <c r="O2277">
        <v>1.2399810000000001E-2</v>
      </c>
      <c r="P2277">
        <v>-0.99580709999999995</v>
      </c>
      <c r="Q2277">
        <v>-8.3276349999999999E-2</v>
      </c>
      <c r="R2277">
        <v>-3.7859150000000001E-2</v>
      </c>
      <c r="S2277">
        <v>-3.0078429999999998</v>
      </c>
      <c r="T2277">
        <v>-0.13736129999999999</v>
      </c>
      <c r="U2277">
        <v>0.17575070000000001</v>
      </c>
      <c r="V2277">
        <v>-5.0210699999999997E-2</v>
      </c>
      <c r="W2277">
        <v>-6.9271449999999998E-2</v>
      </c>
      <c r="X2277">
        <v>0.99633349999999998</v>
      </c>
      <c r="Y2277">
        <v>4.58907E-2</v>
      </c>
      <c r="Z2277">
        <v>9.7825699999999995E-4</v>
      </c>
      <c r="AA2277">
        <v>0.998946</v>
      </c>
      <c r="AB2277">
        <v>38</v>
      </c>
      <c r="AC2277">
        <v>-24.064800000000002</v>
      </c>
      <c r="AD2277">
        <v>-1.108888536724</v>
      </c>
      <c r="AE2277">
        <v>1.4161000000000199</v>
      </c>
      <c r="AF2277">
        <v>1.1152029332271201</v>
      </c>
      <c r="AG2277">
        <v>-1.108888536724</v>
      </c>
      <c r="AH2277">
        <v>24.029664515839801</v>
      </c>
      <c r="AI2277">
        <v>92.639297152762893</v>
      </c>
      <c r="AJ2277">
        <v>87.342842368339404</v>
      </c>
      <c r="AK2277">
        <v>24.081073234242801</v>
      </c>
      <c r="AL2277">
        <v>93.9721426172364</v>
      </c>
      <c r="AM2277">
        <v>92.885007321694701</v>
      </c>
      <c r="AN2277">
        <v>1.0000000457009199</v>
      </c>
    </row>
    <row r="2278" spans="1:40" x14ac:dyDescent="0.25">
      <c r="A2278" t="str">
        <f>"20190305135237897"</f>
        <v>20190305135237897</v>
      </c>
      <c r="B2278" t="str">
        <f>"1551765157891947"</f>
        <v>1551765157891947</v>
      </c>
      <c r="C2278" t="s">
        <v>40</v>
      </c>
      <c r="D2278">
        <v>4.674671</v>
      </c>
      <c r="E2278">
        <v>0.53689609999999999</v>
      </c>
      <c r="F2278" t="s">
        <v>66</v>
      </c>
      <c r="G2278">
        <v>-427.70909999999998</v>
      </c>
      <c r="H2278" s="1">
        <v>2.4271489999999999E-6</v>
      </c>
      <c r="I2278">
        <v>286.56079999999997</v>
      </c>
      <c r="J2278">
        <v>-403.78440000000001</v>
      </c>
      <c r="K2278">
        <v>1.1088979999999999</v>
      </c>
      <c r="L2278">
        <v>285.14080000000001</v>
      </c>
      <c r="M2278">
        <v>-0.99982420000000005</v>
      </c>
      <c r="N2278">
        <v>-1.4061880000000001E-2</v>
      </c>
      <c r="O2278">
        <v>1.241255E-2</v>
      </c>
      <c r="P2278">
        <v>-0.9958072</v>
      </c>
      <c r="Q2278">
        <v>-8.3288870000000001E-2</v>
      </c>
      <c r="R2278">
        <v>-3.783284E-2</v>
      </c>
      <c r="S2278">
        <v>-3.0078740000000002</v>
      </c>
      <c r="T2278">
        <v>-0.1374599</v>
      </c>
      <c r="U2278">
        <v>0.17654420000000001</v>
      </c>
      <c r="V2278">
        <v>-5.0196890000000001E-2</v>
      </c>
      <c r="W2278">
        <v>-6.9281640000000005E-2</v>
      </c>
      <c r="X2278">
        <v>0.99633340000000004</v>
      </c>
      <c r="Y2278">
        <v>4.6139579999999999E-2</v>
      </c>
      <c r="Z2278">
        <v>9.8570579999999997E-4</v>
      </c>
      <c r="AA2278">
        <v>0.99893449999999995</v>
      </c>
      <c r="AB2278">
        <v>38</v>
      </c>
      <c r="AC2278">
        <v>-23.924699999999898</v>
      </c>
      <c r="AD2278">
        <v>-1.1088955728509999</v>
      </c>
      <c r="AE2278">
        <v>1.41999999999995</v>
      </c>
      <c r="AF2278">
        <v>1.1204960441190801</v>
      </c>
      <c r="AG2278">
        <v>-1.1088955728509999</v>
      </c>
      <c r="AH2278">
        <v>23.8893435336511</v>
      </c>
      <c r="AI2278">
        <v>92.654733547957207</v>
      </c>
      <c r="AJ2278">
        <v>87.314590181125496</v>
      </c>
      <c r="AK2278">
        <v>23.941301034930699</v>
      </c>
      <c r="AL2278">
        <v>93.972728213530402</v>
      </c>
      <c r="AM2278">
        <v>92.884215455448697</v>
      </c>
      <c r="AN2278">
        <v>0.99999995868115998</v>
      </c>
    </row>
    <row r="2279" spans="1:40" x14ac:dyDescent="0.25">
      <c r="A2279" t="str">
        <f>"20190305135237921"</f>
        <v>20190305135237921</v>
      </c>
      <c r="B2279" t="str">
        <f>"1551765157911467"</f>
        <v>1551765157911467</v>
      </c>
      <c r="C2279" t="s">
        <v>40</v>
      </c>
      <c r="D2279">
        <v>4.616339</v>
      </c>
      <c r="E2279">
        <v>0.53699719999999995</v>
      </c>
      <c r="F2279" t="s">
        <v>66</v>
      </c>
      <c r="G2279">
        <v>-428.30939999999998</v>
      </c>
      <c r="H2279" s="1">
        <v>2.318357E-6</v>
      </c>
      <c r="I2279">
        <v>286.5872</v>
      </c>
      <c r="J2279">
        <v>-404.17160000000001</v>
      </c>
      <c r="K2279">
        <v>1.1089089999999999</v>
      </c>
      <c r="L2279">
        <v>285.1456</v>
      </c>
      <c r="M2279">
        <v>-0.99982389999999999</v>
      </c>
      <c r="N2279">
        <v>-1.4063849999999999E-2</v>
      </c>
      <c r="O2279">
        <v>1.242744E-2</v>
      </c>
      <c r="P2279">
        <v>-0.99592800000000004</v>
      </c>
      <c r="Q2279">
        <v>-8.1797320000000007E-2</v>
      </c>
      <c r="R2279">
        <v>-3.7903930000000002E-2</v>
      </c>
      <c r="S2279">
        <v>-3.0080260000000001</v>
      </c>
      <c r="T2279">
        <v>-0.136007399999999</v>
      </c>
      <c r="U2279">
        <v>0.17739869999999999</v>
      </c>
      <c r="V2279">
        <v>-5.0284250000000003E-2</v>
      </c>
      <c r="W2279">
        <v>-6.7786570000000004E-2</v>
      </c>
      <c r="X2279">
        <v>0.99643190000000004</v>
      </c>
      <c r="Y2279">
        <v>4.6405170000000003E-2</v>
      </c>
      <c r="Z2279">
        <v>9.8801579999999991E-4</v>
      </c>
      <c r="AA2279">
        <v>0.99892219999999998</v>
      </c>
      <c r="AB2279">
        <v>38</v>
      </c>
      <c r="AC2279">
        <v>-24.137799999999899</v>
      </c>
      <c r="AD2279">
        <v>-1.108906681643</v>
      </c>
      <c r="AE2279">
        <v>1.44159999999999</v>
      </c>
      <c r="AF2279">
        <v>1.1390923694935999</v>
      </c>
      <c r="AG2279">
        <v>-1.108906681643</v>
      </c>
      <c r="AH2279">
        <v>24.103162788186001</v>
      </c>
      <c r="AI2279">
        <v>92.631199088475498</v>
      </c>
      <c r="AJ2279">
        <v>87.294269523765394</v>
      </c>
      <c r="AK2279">
        <v>24.155530667915901</v>
      </c>
      <c r="AL2279">
        <v>93.886864846980103</v>
      </c>
      <c r="AM2279">
        <v>92.888941369196502</v>
      </c>
      <c r="AN2279">
        <v>1.00000002810401</v>
      </c>
    </row>
    <row r="2280" spans="1:40" x14ac:dyDescent="0.25">
      <c r="A2280" t="str">
        <f>"20190305135237943"</f>
        <v>20190305135237943</v>
      </c>
      <c r="B2280" t="str">
        <f>"1551765157931963"</f>
        <v>1551765157931963</v>
      </c>
      <c r="C2280" t="s">
        <v>40</v>
      </c>
      <c r="D2280">
        <v>4.6552369999999996</v>
      </c>
      <c r="E2280">
        <v>0.53703210000000001</v>
      </c>
      <c r="F2280" t="s">
        <v>66</v>
      </c>
      <c r="G2280">
        <v>-429.85610000000003</v>
      </c>
      <c r="H2280" s="1">
        <v>2.037201E-6</v>
      </c>
      <c r="I2280">
        <v>286.66489999999999</v>
      </c>
      <c r="J2280">
        <v>-404.54930000000002</v>
      </c>
      <c r="K2280">
        <v>1.1089150000000001</v>
      </c>
      <c r="L2280">
        <v>285.15039999999999</v>
      </c>
      <c r="M2280">
        <v>-0.99982369999999998</v>
      </c>
      <c r="N2280">
        <v>-1.40652E-2</v>
      </c>
      <c r="O2280">
        <v>1.244198E-2</v>
      </c>
      <c r="P2280">
        <v>-0.99598739999999997</v>
      </c>
      <c r="Q2280">
        <v>-8.0796759999999995E-2</v>
      </c>
      <c r="R2280">
        <v>-3.8489629999999997E-2</v>
      </c>
      <c r="S2280">
        <v>-3.0083920000000002</v>
      </c>
      <c r="T2280">
        <v>-0.129885</v>
      </c>
      <c r="U2280">
        <v>0.177948</v>
      </c>
      <c r="V2280">
        <v>-5.0884939999999997E-2</v>
      </c>
      <c r="W2280">
        <v>-6.6784019999999999E-2</v>
      </c>
      <c r="X2280">
        <v>0.9964691</v>
      </c>
      <c r="Y2280">
        <v>4.6569140000000002E-2</v>
      </c>
      <c r="Z2280">
        <v>9.7037969999999997E-4</v>
      </c>
      <c r="AA2280">
        <v>0.99891459999999999</v>
      </c>
      <c r="AB2280">
        <v>38</v>
      </c>
      <c r="AC2280">
        <v>-25.306799999999999</v>
      </c>
      <c r="AD2280">
        <v>-1.108912962799</v>
      </c>
      <c r="AE2280">
        <v>1.51449999999999</v>
      </c>
      <c r="AF2280">
        <v>1.1971943971952199</v>
      </c>
      <c r="AG2280">
        <v>-1.108912962799</v>
      </c>
      <c r="AH2280">
        <v>25.275328409798401</v>
      </c>
      <c r="AI2280">
        <v>92.509336200595101</v>
      </c>
      <c r="AJ2280">
        <v>87.288147719075994</v>
      </c>
      <c r="AK2280">
        <v>25.327952712505301</v>
      </c>
      <c r="AL2280">
        <v>93.8292925030606</v>
      </c>
      <c r="AM2280">
        <v>92.923283879846906</v>
      </c>
      <c r="AN2280">
        <v>1.0000000248504799</v>
      </c>
    </row>
    <row r="2281" spans="1:40" x14ac:dyDescent="0.25">
      <c r="A2281" t="str">
        <f>"20190305135237965"</f>
        <v>20190305135237965</v>
      </c>
      <c r="B2281" t="str">
        <f>"1551765157962220"</f>
        <v>1551765157962220</v>
      </c>
      <c r="C2281" t="s">
        <v>40</v>
      </c>
      <c r="D2281">
        <v>4.8458509999999997</v>
      </c>
      <c r="E2281">
        <v>0.53706100000000001</v>
      </c>
      <c r="F2281" t="s">
        <v>66</v>
      </c>
      <c r="G2281">
        <v>-430.8682</v>
      </c>
      <c r="H2281" s="1">
        <v>2.420362E-6</v>
      </c>
      <c r="I2281">
        <v>286.69420000000002</v>
      </c>
      <c r="J2281">
        <v>-404.90989999999999</v>
      </c>
      <c r="K2281">
        <v>1.108919</v>
      </c>
      <c r="L2281">
        <v>285.15480000000002</v>
      </c>
      <c r="M2281">
        <v>-0.99982349999999998</v>
      </c>
      <c r="N2281">
        <v>-1.406604E-2</v>
      </c>
      <c r="O2281">
        <v>1.2456210000000001E-2</v>
      </c>
      <c r="P2281">
        <v>-0.9960099</v>
      </c>
      <c r="Q2281">
        <v>-8.0061869999999993E-2</v>
      </c>
      <c r="R2281">
        <v>-3.9428669999999999E-2</v>
      </c>
      <c r="S2281">
        <v>-3.0086360000000001</v>
      </c>
      <c r="T2281">
        <v>-0.1267645</v>
      </c>
      <c r="U2281">
        <v>0.17648320000000001</v>
      </c>
      <c r="V2281">
        <v>-5.1838719999999998E-2</v>
      </c>
      <c r="W2281">
        <v>-6.604815E-2</v>
      </c>
      <c r="X2281">
        <v>0.99646900000000005</v>
      </c>
      <c r="Y2281">
        <v>4.6068089999999999E-2</v>
      </c>
      <c r="Z2281">
        <v>9.4467870000000003E-4</v>
      </c>
      <c r="AA2281">
        <v>0.99893779999999999</v>
      </c>
      <c r="AB2281">
        <v>38</v>
      </c>
      <c r="AC2281">
        <v>-25.958300000000001</v>
      </c>
      <c r="AD2281">
        <v>-1.1089165796380001</v>
      </c>
      <c r="AE2281">
        <v>1.5394000000000001</v>
      </c>
      <c r="AF2281">
        <v>1.2136993766641899</v>
      </c>
      <c r="AG2281">
        <v>-1.1089165796380001</v>
      </c>
      <c r="AH2281">
        <v>25.928311275538899</v>
      </c>
      <c r="AI2281">
        <v>92.446290252944706</v>
      </c>
      <c r="AJ2281">
        <v>87.319951659540394</v>
      </c>
      <c r="AK2281">
        <v>25.980378899445402</v>
      </c>
      <c r="AL2281">
        <v>93.787036902729099</v>
      </c>
      <c r="AM2281">
        <v>92.977980067254904</v>
      </c>
      <c r="AN2281">
        <v>1.0000000394853199</v>
      </c>
    </row>
    <row r="2282" spans="1:40" x14ac:dyDescent="0.25">
      <c r="A2282" t="str">
        <f>"20190305135237977"</f>
        <v>20190305135237977</v>
      </c>
      <c r="B2282" t="str">
        <f>"1551765157971979"</f>
        <v>1551765157971979</v>
      </c>
      <c r="C2282" t="s">
        <v>40</v>
      </c>
      <c r="D2282">
        <v>4.9023669999999999</v>
      </c>
      <c r="E2282">
        <v>0.51108779999999998</v>
      </c>
      <c r="F2282" t="s">
        <v>66</v>
      </c>
      <c r="G2282">
        <v>-431.57</v>
      </c>
      <c r="H2282" s="1">
        <v>2.7316420000000001E-6</v>
      </c>
      <c r="I2282">
        <v>286.69349999999997</v>
      </c>
      <c r="J2282">
        <v>-405.1157</v>
      </c>
      <c r="K2282">
        <v>1.1089209999999901</v>
      </c>
      <c r="L2282">
        <v>285.1574</v>
      </c>
      <c r="M2282">
        <v>-0.99982349999999998</v>
      </c>
      <c r="N2282">
        <v>-1.406628E-2</v>
      </c>
      <c r="O2282">
        <v>1.246396E-2</v>
      </c>
      <c r="P2282">
        <v>-0.99600849999999996</v>
      </c>
      <c r="Q2282">
        <v>-7.9761860000000004E-2</v>
      </c>
      <c r="R2282">
        <v>-4.0067129999999999E-2</v>
      </c>
      <c r="S2282">
        <v>-3.0088499999999998</v>
      </c>
      <c r="T2282">
        <v>-0.1251516</v>
      </c>
      <c r="U2282">
        <v>0.17364499999999999</v>
      </c>
      <c r="V2282">
        <v>-5.2484530000000001E-2</v>
      </c>
      <c r="W2282">
        <v>-6.5747979999999998E-2</v>
      </c>
      <c r="X2282">
        <v>0.99645499999999998</v>
      </c>
      <c r="Y2282">
        <v>4.5119220000000002E-2</v>
      </c>
      <c r="Z2282">
        <v>9.1239640000000002E-4</v>
      </c>
      <c r="AA2282">
        <v>0.99898120000000001</v>
      </c>
      <c r="AB2282">
        <v>38</v>
      </c>
      <c r="AC2282">
        <v>-26.4542999999999</v>
      </c>
      <c r="AD2282">
        <v>-1.1089182683579999</v>
      </c>
      <c r="AE2282">
        <v>1.53609999999997</v>
      </c>
      <c r="AF2282">
        <v>1.2041140452813099</v>
      </c>
      <c r="AG2282">
        <v>-1.1089182683579999</v>
      </c>
      <c r="AH2282">
        <v>26.425115837881702</v>
      </c>
      <c r="AI2282">
        <v>92.400494145051596</v>
      </c>
      <c r="AJ2282">
        <v>87.391006230915096</v>
      </c>
      <c r="AK2282">
        <v>26.475768872790301</v>
      </c>
      <c r="AL2282">
        <v>93.769801132829599</v>
      </c>
      <c r="AM2282">
        <v>93.015054180374705</v>
      </c>
      <c r="AN2282">
        <v>0.99999999489419999</v>
      </c>
    </row>
    <row r="2283" spans="1:40" x14ac:dyDescent="0.25">
      <c r="A2283" t="str">
        <f>"20190305135237990"</f>
        <v>20190305135237990</v>
      </c>
      <c r="B2283" t="str">
        <f>"1551765157981740"</f>
        <v>1551765157981740</v>
      </c>
      <c r="C2283" t="s">
        <v>40</v>
      </c>
      <c r="D2283">
        <v>4.6692030000000004</v>
      </c>
      <c r="E2283">
        <v>0.50044040000000001</v>
      </c>
      <c r="F2283" t="s">
        <v>66</v>
      </c>
      <c r="G2283">
        <v>-420.95530000000002</v>
      </c>
      <c r="H2283" s="1">
        <v>3.7629649999999999E-6</v>
      </c>
      <c r="I2283">
        <v>284.98450000000003</v>
      </c>
      <c r="J2283">
        <v>-405.34160000000003</v>
      </c>
      <c r="K2283">
        <v>1.1089209999999901</v>
      </c>
      <c r="L2283">
        <v>285.16019999999997</v>
      </c>
      <c r="M2283">
        <v>-0.99982329999999997</v>
      </c>
      <c r="N2283">
        <v>-1.4066479999999999E-2</v>
      </c>
      <c r="O2283">
        <v>1.247266E-2</v>
      </c>
      <c r="P2283">
        <v>-0.99598719999999996</v>
      </c>
      <c r="Q2283">
        <v>-7.9657729999999996E-2</v>
      </c>
      <c r="R2283">
        <v>-4.080048E-2</v>
      </c>
      <c r="S2283">
        <v>-2.9938959999999999</v>
      </c>
      <c r="T2283">
        <v>-0.20960039999999999</v>
      </c>
      <c r="U2283">
        <v>-3.2684329999999998E-2</v>
      </c>
      <c r="V2283">
        <v>-5.322611E-2</v>
      </c>
      <c r="W2283">
        <v>-6.5644060000000004E-2</v>
      </c>
      <c r="X2283">
        <v>0.99642249999999999</v>
      </c>
      <c r="Y2283">
        <v>-2.3300640000000001E-2</v>
      </c>
      <c r="Z2283">
        <v>-1.675569E-3</v>
      </c>
      <c r="AA2283">
        <v>0.99972709999999998</v>
      </c>
      <c r="AB2283">
        <v>38</v>
      </c>
      <c r="AC2283">
        <v>-15.6136999999999</v>
      </c>
      <c r="AD2283">
        <v>-1.10891723703499</v>
      </c>
      <c r="AE2283">
        <v>-0.17569999999994901</v>
      </c>
      <c r="AF2283">
        <v>-0.36859097800023899</v>
      </c>
      <c r="AG2283">
        <v>-1.10891723703499</v>
      </c>
      <c r="AH2283">
        <v>15.5319582016852</v>
      </c>
      <c r="AI2283">
        <v>94.082605505144997</v>
      </c>
      <c r="AJ2283">
        <v>91.3594386502905</v>
      </c>
      <c r="AK2283">
        <v>15.5758557494139</v>
      </c>
      <c r="AL2283">
        <v>93.763834120949099</v>
      </c>
      <c r="AM2283">
        <v>93.057674645349095</v>
      </c>
      <c r="AN2283">
        <v>0.99999997995263201</v>
      </c>
    </row>
    <row r="2284" spans="1:40" x14ac:dyDescent="0.25">
      <c r="A2284" t="str">
        <f>"20190305135238004"</f>
        <v>20190305135238004</v>
      </c>
      <c r="B2284" t="str">
        <f>"1551765157991500"</f>
        <v>1551765157991500</v>
      </c>
      <c r="C2284" t="s">
        <v>40</v>
      </c>
      <c r="D2284">
        <v>4.6724800000000002</v>
      </c>
      <c r="E2284">
        <v>0.50044040000000001</v>
      </c>
      <c r="F2284" t="s">
        <v>66</v>
      </c>
      <c r="G2284">
        <v>-427.78210000000001</v>
      </c>
      <c r="H2284" s="1">
        <v>2.6164079999999999E-6</v>
      </c>
      <c r="I2284">
        <v>284.24770000000001</v>
      </c>
      <c r="J2284">
        <v>-405.56939999999997</v>
      </c>
      <c r="K2284">
        <v>1.108922</v>
      </c>
      <c r="L2284">
        <v>285.16309999999999</v>
      </c>
      <c r="M2284">
        <v>-0.99982329999999997</v>
      </c>
      <c r="N2284">
        <v>-1.4066560000000001E-2</v>
      </c>
      <c r="O2284">
        <v>1.248136E-2</v>
      </c>
      <c r="P2284">
        <v>-0.99597380000000002</v>
      </c>
      <c r="Q2284">
        <v>-7.9596500000000001E-2</v>
      </c>
      <c r="R2284">
        <v>-4.124133E-2</v>
      </c>
      <c r="S2284">
        <v>-2.9953310000000002</v>
      </c>
      <c r="T2284">
        <v>-0.1480167</v>
      </c>
      <c r="U2284">
        <v>-0.12179570000000001</v>
      </c>
      <c r="V2284">
        <v>-5.3675319999999999E-2</v>
      </c>
      <c r="W2284">
        <v>-6.5582979999999999E-2</v>
      </c>
      <c r="X2284">
        <v>0.99640240000000002</v>
      </c>
      <c r="Y2284">
        <v>-5.3006600000000001E-2</v>
      </c>
      <c r="Z2284">
        <v>-2.1223700000000002E-3</v>
      </c>
      <c r="AA2284">
        <v>0.99859189999999998</v>
      </c>
      <c r="AB2284">
        <v>38</v>
      </c>
      <c r="AC2284">
        <v>-22.212700000000002</v>
      </c>
      <c r="AD2284">
        <v>-1.1089193835919999</v>
      </c>
      <c r="AE2284">
        <v>-0.91539999999997601</v>
      </c>
      <c r="AF2284">
        <v>-1.1896408854079501</v>
      </c>
      <c r="AG2284">
        <v>-1.1089193835919999</v>
      </c>
      <c r="AH2284">
        <v>22.144446187860702</v>
      </c>
      <c r="AI2284">
        <v>92.862664188576503</v>
      </c>
      <c r="AJ2284">
        <v>93.0750799754653</v>
      </c>
      <c r="AK2284">
        <v>22.2040862140868</v>
      </c>
      <c r="AL2284">
        <v>93.760327031098498</v>
      </c>
      <c r="AM2284">
        <v>93.083492856376694</v>
      </c>
      <c r="AN2284">
        <v>0.99999995498426997</v>
      </c>
    </row>
    <row r="2285" spans="1:40" x14ac:dyDescent="0.25">
      <c r="A2285" t="str">
        <f>"20190305135238017"</f>
        <v>20190305135238017</v>
      </c>
      <c r="B2285" t="str">
        <f>"1551765158011996"</f>
        <v>1551765158011996</v>
      </c>
      <c r="C2285" t="s">
        <v>40</v>
      </c>
      <c r="D2285">
        <v>4.7340369999999998</v>
      </c>
      <c r="E2285">
        <v>0.44702789999999998</v>
      </c>
      <c r="F2285" t="s">
        <v>66</v>
      </c>
      <c r="G2285">
        <v>-428.0394</v>
      </c>
      <c r="H2285" s="1">
        <v>2.571292E-6</v>
      </c>
      <c r="I2285">
        <v>284.24180000000001</v>
      </c>
      <c r="J2285">
        <v>-405.79</v>
      </c>
      <c r="K2285">
        <v>1.108922</v>
      </c>
      <c r="L2285">
        <v>285.16579999999999</v>
      </c>
      <c r="M2285">
        <v>-0.99982309999999996</v>
      </c>
      <c r="N2285">
        <v>-1.4066489999999999E-2</v>
      </c>
      <c r="O2285">
        <v>1.2490070000000001E-2</v>
      </c>
      <c r="P2285">
        <v>-0.99593169999999998</v>
      </c>
      <c r="Q2285">
        <v>-7.9795409999999997E-2</v>
      </c>
      <c r="R2285">
        <v>-4.1867050000000003E-2</v>
      </c>
      <c r="S2285">
        <v>-2.9952390000000002</v>
      </c>
      <c r="T2285">
        <v>-0.14781830000000001</v>
      </c>
      <c r="U2285">
        <v>-0.1228027</v>
      </c>
      <c r="V2285">
        <v>-5.4309349999999999E-2</v>
      </c>
      <c r="W2285">
        <v>-6.5782599999999997E-2</v>
      </c>
      <c r="X2285">
        <v>0.99635490000000004</v>
      </c>
      <c r="Y2285">
        <v>-5.3351410000000002E-2</v>
      </c>
      <c r="Z2285">
        <v>-2.131076E-3</v>
      </c>
      <c r="AA2285">
        <v>0.9985735</v>
      </c>
      <c r="AB2285">
        <v>38</v>
      </c>
      <c r="AC2285">
        <v>-22.249399999999898</v>
      </c>
      <c r="AD2285">
        <v>-1.108919428708</v>
      </c>
      <c r="AE2285">
        <v>-0.92399999999997795</v>
      </c>
      <c r="AF2285">
        <v>-1.19887898815746</v>
      </c>
      <c r="AG2285">
        <v>-1.108919428708</v>
      </c>
      <c r="AH2285">
        <v>22.181117622687399</v>
      </c>
      <c r="AI2285">
        <v>92.857889161520603</v>
      </c>
      <c r="AJ2285">
        <v>93.093799619689705</v>
      </c>
      <c r="AK2285">
        <v>22.241155368350501</v>
      </c>
      <c r="AL2285">
        <v>93.771789105161304</v>
      </c>
      <c r="AM2285">
        <v>93.119992963945805</v>
      </c>
      <c r="AN2285">
        <v>0.99999997135709495</v>
      </c>
    </row>
    <row r="2286" spans="1:40" x14ac:dyDescent="0.25">
      <c r="A2286" t="str">
        <f>"20190305135238031"</f>
        <v>20190305135238031</v>
      </c>
      <c r="B2286" t="str">
        <f>"1551765158021756"</f>
        <v>1551765158021756</v>
      </c>
      <c r="C2286" t="s">
        <v>40</v>
      </c>
      <c r="D2286">
        <v>4.6958900000000003</v>
      </c>
      <c r="E2286">
        <v>0.44718819999999998</v>
      </c>
      <c r="F2286" t="s">
        <v>66</v>
      </c>
      <c r="G2286">
        <v>-438.84350000000001</v>
      </c>
      <c r="H2286">
        <v>8.0000559999999998E-2</v>
      </c>
      <c r="I2286">
        <v>279.04239999999999</v>
      </c>
      <c r="J2286">
        <v>-406.03660000000002</v>
      </c>
      <c r="K2286">
        <v>1.1089249999999999</v>
      </c>
      <c r="L2286">
        <v>285.16890000000001</v>
      </c>
      <c r="M2286">
        <v>-0.99982300000000002</v>
      </c>
      <c r="N2286">
        <v>-1.406633E-2</v>
      </c>
      <c r="O2286">
        <v>1.24996E-2</v>
      </c>
      <c r="P2286">
        <v>-0.99587309999999996</v>
      </c>
      <c r="Q2286">
        <v>-7.9876660000000002E-2</v>
      </c>
      <c r="R2286">
        <v>-4.3087019999999997E-2</v>
      </c>
      <c r="S2286">
        <v>-2.9816280000000002</v>
      </c>
      <c r="T2286">
        <v>-9.2815040000000001E-2</v>
      </c>
      <c r="U2286">
        <v>-0.55236819999999998</v>
      </c>
      <c r="V2286">
        <v>-5.55381E-2</v>
      </c>
      <c r="W2286">
        <v>-6.5864980000000004E-2</v>
      </c>
      <c r="X2286">
        <v>0.99628170000000005</v>
      </c>
      <c r="Y2286">
        <v>-0.1943</v>
      </c>
      <c r="Z2286">
        <v>-4.5881209999999997E-3</v>
      </c>
      <c r="AA2286">
        <v>0.98093140000000001</v>
      </c>
      <c r="AB2286">
        <v>38</v>
      </c>
      <c r="AC2286">
        <v>-32.806899999999899</v>
      </c>
      <c r="AD2286">
        <v>-1.0289244399999999</v>
      </c>
      <c r="AE2286">
        <v>-6.1265000000000196</v>
      </c>
      <c r="AF2286">
        <v>-6.5299283021369297</v>
      </c>
      <c r="AG2286">
        <v>-1.0289244399999999</v>
      </c>
      <c r="AH2286">
        <v>32.696672158242997</v>
      </c>
      <c r="AI2286">
        <v>91.767551598566101</v>
      </c>
      <c r="AJ2286">
        <v>101.294082786278</v>
      </c>
      <c r="AK2286">
        <v>33.358222664852804</v>
      </c>
      <c r="AL2286">
        <v>93.776519467546507</v>
      </c>
      <c r="AM2286">
        <v>93.190672568213898</v>
      </c>
      <c r="AN2286">
        <v>0.99999995094844896</v>
      </c>
    </row>
    <row r="2287" spans="1:40" x14ac:dyDescent="0.25">
      <c r="A2287" t="str">
        <f>"20190305135238054"</f>
        <v>20190305135238054</v>
      </c>
      <c r="B2287" t="str">
        <f>"1551765158052011"</f>
        <v>1551765158052011</v>
      </c>
      <c r="C2287" t="s">
        <v>40</v>
      </c>
      <c r="D2287">
        <v>4.6689239999999996</v>
      </c>
      <c r="E2287">
        <v>0.44832539999999999</v>
      </c>
      <c r="F2287" t="s">
        <v>66</v>
      </c>
      <c r="G2287">
        <v>-438.92309999999998</v>
      </c>
      <c r="H2287">
        <v>8.0000539999999995E-2</v>
      </c>
      <c r="I2287">
        <v>279.04750000000001</v>
      </c>
      <c r="J2287">
        <v>-406.41379999999998</v>
      </c>
      <c r="K2287">
        <v>1.108927</v>
      </c>
      <c r="L2287">
        <v>285.17360000000002</v>
      </c>
      <c r="M2287">
        <v>-0.99982289999999996</v>
      </c>
      <c r="N2287">
        <v>-1.4065869999999999E-2</v>
      </c>
      <c r="O2287">
        <v>1.251421E-2</v>
      </c>
      <c r="P2287">
        <v>-0.99589340000000004</v>
      </c>
      <c r="Q2287">
        <v>-7.9013589999999995E-2</v>
      </c>
      <c r="R2287">
        <v>-4.4197779999999999E-2</v>
      </c>
      <c r="S2287">
        <v>-2.9809570000000001</v>
      </c>
      <c r="T2287">
        <v>-9.3265650000000005E-2</v>
      </c>
      <c r="U2287">
        <v>-0.55487059999999999</v>
      </c>
      <c r="V2287">
        <v>-5.6663369999999998E-2</v>
      </c>
      <c r="W2287">
        <v>-6.5002260000000006E-2</v>
      </c>
      <c r="X2287">
        <v>0.99627509999999997</v>
      </c>
      <c r="Y2287">
        <v>-0.19514809999999999</v>
      </c>
      <c r="Z2287">
        <v>-4.6245419999999997E-3</v>
      </c>
      <c r="AA2287">
        <v>0.98076289999999999</v>
      </c>
      <c r="AB2287">
        <v>38</v>
      </c>
      <c r="AC2287">
        <v>-32.509300000000003</v>
      </c>
      <c r="AD2287">
        <v>-1.0289264600000001</v>
      </c>
      <c r="AE2287">
        <v>-6.1261000000000001</v>
      </c>
      <c r="AF2287">
        <v>-6.5261752764659002</v>
      </c>
      <c r="AG2287">
        <v>-1.0289264600000001</v>
      </c>
      <c r="AH2287">
        <v>32.398740919391898</v>
      </c>
      <c r="AI2287">
        <v>91.783207301805206</v>
      </c>
      <c r="AJ2287">
        <v>101.388857132043</v>
      </c>
      <c r="AK2287">
        <v>33.065511738987503</v>
      </c>
      <c r="AL2287">
        <v>93.726982707213494</v>
      </c>
      <c r="AM2287">
        <v>93.255203378981705</v>
      </c>
      <c r="AN2287">
        <v>1.00000005309243</v>
      </c>
    </row>
    <row r="2288" spans="1:40" x14ac:dyDescent="0.25">
      <c r="A2288" t="str">
        <f>"20190305135238067"</f>
        <v>20190305135238067</v>
      </c>
      <c r="B2288" t="str">
        <f>"1551765158061773"</f>
        <v>1551765158061773</v>
      </c>
      <c r="C2288" t="s">
        <v>40</v>
      </c>
      <c r="D2288">
        <v>4.6372260000000001</v>
      </c>
      <c r="E2288">
        <v>0.44875209999999999</v>
      </c>
      <c r="F2288" t="s">
        <v>66</v>
      </c>
      <c r="G2288">
        <v>-439.92919999999998</v>
      </c>
      <c r="H2288">
        <v>8.0000340000000003E-2</v>
      </c>
      <c r="I2288">
        <v>278.9975</v>
      </c>
      <c r="J2288">
        <v>-406.6379</v>
      </c>
      <c r="K2288">
        <v>1.1089329999999999</v>
      </c>
      <c r="L2288">
        <v>285.1764</v>
      </c>
      <c r="M2288">
        <v>-0.99982280000000001</v>
      </c>
      <c r="N2288">
        <v>-1.406552E-2</v>
      </c>
      <c r="O2288">
        <v>1.252291E-2</v>
      </c>
      <c r="P2288">
        <v>-0.99595420000000001</v>
      </c>
      <c r="Q2288">
        <v>-7.8077240000000006E-2</v>
      </c>
      <c r="R2288">
        <v>-4.4491139999999998E-2</v>
      </c>
      <c r="S2288">
        <v>-2.9807429999999999</v>
      </c>
      <c r="T2288">
        <v>-9.1509220000000002E-2</v>
      </c>
      <c r="U2288">
        <v>-0.54928589999999999</v>
      </c>
      <c r="V2288">
        <v>-5.696611E-2</v>
      </c>
      <c r="W2288">
        <v>-6.4065549999999999E-2</v>
      </c>
      <c r="X2288">
        <v>0.9963185</v>
      </c>
      <c r="Y2288">
        <v>-0.19339790000000001</v>
      </c>
      <c r="Z2288">
        <v>-4.5218599999999999E-3</v>
      </c>
      <c r="AA2288">
        <v>0.98111000000000004</v>
      </c>
      <c r="AB2288">
        <v>38</v>
      </c>
      <c r="AC2288">
        <v>-33.2912999999999</v>
      </c>
      <c r="AD2288">
        <v>-1.0289326599999999</v>
      </c>
      <c r="AE2288">
        <v>-6.1788999999999898</v>
      </c>
      <c r="AF2288">
        <v>-6.5892757931305503</v>
      </c>
      <c r="AG2288">
        <v>-1.0289326599999999</v>
      </c>
      <c r="AH2288">
        <v>33.180663493806897</v>
      </c>
      <c r="AI2288">
        <v>91.742174021837002</v>
      </c>
      <c r="AJ2288">
        <v>101.232111704095</v>
      </c>
      <c r="AK2288">
        <v>33.844256348544498</v>
      </c>
      <c r="AL2288">
        <v>93.673201108879297</v>
      </c>
      <c r="AM2288">
        <v>93.272415274461096</v>
      </c>
      <c r="AN2288">
        <v>1.0000000429137901</v>
      </c>
    </row>
    <row r="2289" spans="1:40" x14ac:dyDescent="0.25">
      <c r="A2289" t="str">
        <f>"20190305135238080"</f>
        <v>20190305135238080</v>
      </c>
      <c r="B2289" t="str">
        <f>"1551765158071532"</f>
        <v>1551765158071532</v>
      </c>
      <c r="C2289" t="s">
        <v>40</v>
      </c>
      <c r="D2289">
        <v>4.7259699999999896</v>
      </c>
      <c r="E2289">
        <v>0.44884950000000001</v>
      </c>
      <c r="F2289" t="s">
        <v>56</v>
      </c>
      <c r="G2289">
        <v>-441.12729999999999</v>
      </c>
      <c r="H2289">
        <v>8.0001379999999997E-2</v>
      </c>
      <c r="I2289">
        <v>278.85050000000001</v>
      </c>
      <c r="J2289">
        <v>-406.8537</v>
      </c>
      <c r="K2289">
        <v>1.1089420000000001</v>
      </c>
      <c r="L2289">
        <v>285.17910000000001</v>
      </c>
      <c r="M2289">
        <v>-0.99982260000000001</v>
      </c>
      <c r="N2289">
        <v>-1.4065080000000001E-2</v>
      </c>
      <c r="O2289">
        <v>1.253115E-2</v>
      </c>
      <c r="P2289">
        <v>-0.99598679999999995</v>
      </c>
      <c r="Q2289">
        <v>-7.7260419999999996E-2</v>
      </c>
      <c r="R2289">
        <v>-4.517856E-2</v>
      </c>
      <c r="S2289">
        <v>-2.980804</v>
      </c>
      <c r="T2289">
        <v>-8.8927149999999996E-2</v>
      </c>
      <c r="U2289">
        <v>-0.54672240000000005</v>
      </c>
      <c r="V2289">
        <v>-5.7661780000000003E-2</v>
      </c>
      <c r="W2289">
        <v>-6.3248840000000001E-2</v>
      </c>
      <c r="X2289">
        <v>0.99633059999999996</v>
      </c>
      <c r="Y2289">
        <v>-0.19259290000000001</v>
      </c>
      <c r="Z2289">
        <v>-4.410616E-3</v>
      </c>
      <c r="AA2289">
        <v>0.98126880000000005</v>
      </c>
      <c r="AB2289">
        <v>38</v>
      </c>
      <c r="AC2289">
        <v>-34.273599999999902</v>
      </c>
      <c r="AD2289">
        <v>-1.02894062</v>
      </c>
      <c r="AE2289">
        <v>-6.32859999999999</v>
      </c>
      <c r="AF2289">
        <v>-6.7517484868522901</v>
      </c>
      <c r="AG2289">
        <v>-1.02894062</v>
      </c>
      <c r="AH2289">
        <v>34.161821595307998</v>
      </c>
      <c r="AI2289">
        <v>91.692485373512895</v>
      </c>
      <c r="AJ2289">
        <v>101.179866109584</v>
      </c>
      <c r="AK2289">
        <v>34.837836918196402</v>
      </c>
      <c r="AL2289">
        <v>93.626312200468107</v>
      </c>
      <c r="AM2289">
        <v>93.312249421669605</v>
      </c>
      <c r="AN2289">
        <v>0.99999998056523598</v>
      </c>
    </row>
    <row r="2290" spans="1:40" x14ac:dyDescent="0.25">
      <c r="A2290" t="str">
        <f>"20190305135238099"</f>
        <v>20190305135238099</v>
      </c>
      <c r="B2290" t="str">
        <f>"1551765158092027"</f>
        <v>1551765158092027</v>
      </c>
      <c r="C2290" t="s">
        <v>40</v>
      </c>
      <c r="D2290">
        <v>4.6616330000000001</v>
      </c>
      <c r="E2290">
        <v>0.44946160000000002</v>
      </c>
      <c r="F2290" t="s">
        <v>56</v>
      </c>
      <c r="G2290">
        <v>-442.72120000000001</v>
      </c>
      <c r="H2290">
        <v>8.0000920000000003E-2</v>
      </c>
      <c r="I2290">
        <v>278.5838</v>
      </c>
      <c r="J2290">
        <v>-407.18079999999998</v>
      </c>
      <c r="K2290">
        <v>1.1089500000000001</v>
      </c>
      <c r="L2290">
        <v>285.1832</v>
      </c>
      <c r="M2290">
        <v>-0.99982249999999995</v>
      </c>
      <c r="N2290">
        <v>-1.40643E-2</v>
      </c>
      <c r="O2290">
        <v>1.254367E-2</v>
      </c>
      <c r="P2290">
        <v>-0.99611510000000003</v>
      </c>
      <c r="Q2290">
        <v>-7.5336319999999998E-2</v>
      </c>
      <c r="R2290">
        <v>-4.5600979999999999E-2</v>
      </c>
      <c r="S2290">
        <v>-2.9805600000000001</v>
      </c>
      <c r="T2290">
        <v>-8.5504170000000004E-2</v>
      </c>
      <c r="U2290">
        <v>-0.54806519999999903</v>
      </c>
      <c r="V2290">
        <v>-5.8098249999999997E-2</v>
      </c>
      <c r="W2290">
        <v>-6.1323959999999997E-2</v>
      </c>
      <c r="X2290">
        <v>0.99642560000000002</v>
      </c>
      <c r="Y2290">
        <v>-0.1930548</v>
      </c>
      <c r="Z2290">
        <v>-4.2968709999999999E-3</v>
      </c>
      <c r="AA2290">
        <v>0.98117860000000001</v>
      </c>
      <c r="AB2290">
        <v>38</v>
      </c>
      <c r="AC2290">
        <v>-35.540399999999998</v>
      </c>
      <c r="AD2290">
        <v>-1.0289490800000001</v>
      </c>
      <c r="AE2290">
        <v>-6.5994000000000002</v>
      </c>
      <c r="AF2290">
        <v>-7.0390283967547802</v>
      </c>
      <c r="AG2290">
        <v>-1.0289490800000001</v>
      </c>
      <c r="AH2290">
        <v>35.426110287318402</v>
      </c>
      <c r="AI2290">
        <v>91.631802167417504</v>
      </c>
      <c r="AJ2290">
        <v>101.238077490865</v>
      </c>
      <c r="AK2290">
        <v>36.133308000635701</v>
      </c>
      <c r="AL2290">
        <v>93.515810033079902</v>
      </c>
      <c r="AM2290">
        <v>93.336947530662897</v>
      </c>
      <c r="AN2290">
        <v>1.0000000055292499</v>
      </c>
    </row>
    <row r="2291" spans="1:40" x14ac:dyDescent="0.25">
      <c r="A2291" t="str">
        <f>"20190305135238113"</f>
        <v>20190305135238113</v>
      </c>
      <c r="B2291" t="str">
        <f>"1551765158101788"</f>
        <v>1551765158101788</v>
      </c>
      <c r="C2291" t="s">
        <v>40</v>
      </c>
      <c r="D2291">
        <v>4.6642140000000003</v>
      </c>
      <c r="E2291">
        <v>0.4496619</v>
      </c>
      <c r="F2291" t="s">
        <v>56</v>
      </c>
      <c r="G2291">
        <v>-444.29379999999998</v>
      </c>
      <c r="H2291">
        <v>8.0000470000000004E-2</v>
      </c>
      <c r="I2291">
        <v>278.40370000000001</v>
      </c>
      <c r="J2291">
        <v>-407.40019999999998</v>
      </c>
      <c r="K2291">
        <v>1.1089549999999999</v>
      </c>
      <c r="L2291">
        <v>285.18599999999998</v>
      </c>
      <c r="M2291">
        <v>-0.99982230000000005</v>
      </c>
      <c r="N2291">
        <v>-1.406367E-2</v>
      </c>
      <c r="O2291">
        <v>1.2552249999999999E-2</v>
      </c>
      <c r="P2291">
        <v>-0.99615419999999999</v>
      </c>
      <c r="Q2291">
        <v>-7.4628159999999999E-2</v>
      </c>
      <c r="R2291">
        <v>-4.5909360000000003E-2</v>
      </c>
      <c r="S2291">
        <v>-2.9805299999999999</v>
      </c>
      <c r="T2291">
        <v>-8.2634570000000004E-2</v>
      </c>
      <c r="U2291">
        <v>-0.54446410000000001</v>
      </c>
      <c r="V2291">
        <v>-5.841532E-2</v>
      </c>
      <c r="W2291">
        <v>-6.0615990000000002E-2</v>
      </c>
      <c r="X2291">
        <v>0.99645039999999996</v>
      </c>
      <c r="Y2291">
        <v>-0.19192509999999999</v>
      </c>
      <c r="Z2291">
        <v>-4.1694770000000004E-3</v>
      </c>
      <c r="AA2291">
        <v>0.98140070000000001</v>
      </c>
      <c r="AB2291">
        <v>38</v>
      </c>
      <c r="AC2291">
        <v>-36.8935999999999</v>
      </c>
      <c r="AD2291">
        <v>-1.02895452999999</v>
      </c>
      <c r="AE2291">
        <v>-6.7822999999999602</v>
      </c>
      <c r="AF2291">
        <v>-7.23946200677271</v>
      </c>
      <c r="AG2291">
        <v>-1.02895452999999</v>
      </c>
      <c r="AH2291">
        <v>36.777879176229803</v>
      </c>
      <c r="AI2291">
        <v>91.5724185929962</v>
      </c>
      <c r="AJ2291">
        <v>101.135892511489</v>
      </c>
      <c r="AK2291">
        <v>37.497745989241402</v>
      </c>
      <c r="AL2291">
        <v>93.475170670669797</v>
      </c>
      <c r="AM2291">
        <v>93.355034050060198</v>
      </c>
      <c r="AN2291">
        <v>1.0000000237572699</v>
      </c>
    </row>
    <row r="2292" spans="1:40" x14ac:dyDescent="0.25">
      <c r="A2292" t="str">
        <f>"20190305135238133"</f>
        <v>20190305135238133</v>
      </c>
      <c r="B2292" t="str">
        <f>"1551765158122283"</f>
        <v>1551765158122283</v>
      </c>
      <c r="C2292" t="s">
        <v>40</v>
      </c>
      <c r="D2292">
        <v>4.6454139999999997</v>
      </c>
      <c r="E2292">
        <v>0.44975120000000002</v>
      </c>
      <c r="F2292" t="s">
        <v>56</v>
      </c>
      <c r="G2292">
        <v>-445.3168</v>
      </c>
      <c r="H2292">
        <v>8.0001639999999999E-2</v>
      </c>
      <c r="I2292">
        <v>278.2681</v>
      </c>
      <c r="J2292">
        <v>-407.73509999999999</v>
      </c>
      <c r="K2292">
        <v>1.108959</v>
      </c>
      <c r="L2292">
        <v>285.1902</v>
      </c>
      <c r="M2292">
        <v>-0.99982210000000005</v>
      </c>
      <c r="N2292">
        <v>-1.406262E-2</v>
      </c>
      <c r="O2292">
        <v>1.256531E-2</v>
      </c>
      <c r="P2292">
        <v>-0.99616479999999996</v>
      </c>
      <c r="Q2292">
        <v>-7.4328950000000005E-2</v>
      </c>
      <c r="R2292">
        <v>-4.6162059999999998E-2</v>
      </c>
      <c r="S2292">
        <v>-2.980499</v>
      </c>
      <c r="T2292">
        <v>-8.0882670000000004E-2</v>
      </c>
      <c r="U2292">
        <v>-0.54379270000000002</v>
      </c>
      <c r="V2292">
        <v>-5.8681509999999999E-2</v>
      </c>
      <c r="W2292">
        <v>-6.0317750000000003E-2</v>
      </c>
      <c r="X2292">
        <v>0.99645280000000003</v>
      </c>
      <c r="Y2292">
        <v>-0.1917297</v>
      </c>
      <c r="Z2292">
        <v>-4.1023609999999997E-3</v>
      </c>
      <c r="AA2292">
        <v>0.98143919999999996</v>
      </c>
      <c r="AB2292">
        <v>37</v>
      </c>
      <c r="AC2292">
        <v>-37.581699999999998</v>
      </c>
      <c r="AD2292">
        <v>-1.0289573599999999</v>
      </c>
      <c r="AE2292">
        <v>-6.9221000000000004</v>
      </c>
      <c r="AF2292">
        <v>-7.3884690332704102</v>
      </c>
      <c r="AG2292">
        <v>-1.0289573599999999</v>
      </c>
      <c r="AH2292">
        <v>37.464582778798899</v>
      </c>
      <c r="AI2292">
        <v>91.543507356353501</v>
      </c>
      <c r="AJ2292">
        <v>101.15625918129</v>
      </c>
      <c r="AK2292">
        <v>38.200041762984597</v>
      </c>
      <c r="AL2292">
        <v>93.458051650945805</v>
      </c>
      <c r="AM2292">
        <v>93.37027918455</v>
      </c>
      <c r="AN2292">
        <v>0.99999996660438994</v>
      </c>
    </row>
    <row r="2293" spans="1:40" x14ac:dyDescent="0.25">
      <c r="A2293" t="str">
        <f>"20190305135238155"</f>
        <v>20190305135238155</v>
      </c>
      <c r="B2293" t="str">
        <f>"1551765158151564"</f>
        <v>1551765158151564</v>
      </c>
      <c r="C2293" t="s">
        <v>40</v>
      </c>
      <c r="D2293">
        <v>4.6231090000000004</v>
      </c>
      <c r="E2293">
        <v>0.44993349999999999</v>
      </c>
      <c r="F2293" t="s">
        <v>56</v>
      </c>
      <c r="G2293">
        <v>-444.98829999999998</v>
      </c>
      <c r="H2293">
        <v>8.0001740000000002E-2</v>
      </c>
      <c r="I2293">
        <v>278.38959999999997</v>
      </c>
      <c r="J2293">
        <v>-408.10820000000001</v>
      </c>
      <c r="K2293">
        <v>1.108957</v>
      </c>
      <c r="L2293">
        <v>285.19479999999999</v>
      </c>
      <c r="M2293">
        <v>-0.99982210000000005</v>
      </c>
      <c r="N2293">
        <v>-1.406132E-2</v>
      </c>
      <c r="O2293">
        <v>1.2579740000000001E-2</v>
      </c>
      <c r="P2293">
        <v>-0.99615189999999998</v>
      </c>
      <c r="Q2293">
        <v>-7.4320150000000001E-2</v>
      </c>
      <c r="R2293">
        <v>-4.6456339999999999E-2</v>
      </c>
      <c r="S2293">
        <v>-2.980194</v>
      </c>
      <c r="T2293">
        <v>-8.2314849999999995E-2</v>
      </c>
      <c r="U2293">
        <v>-0.54403690000000005</v>
      </c>
      <c r="V2293">
        <v>-5.8989899999999998E-2</v>
      </c>
      <c r="W2293">
        <v>-6.0310490000000001E-2</v>
      </c>
      <c r="X2293">
        <v>0.99643499999999996</v>
      </c>
      <c r="Y2293">
        <v>-0.19183629999999999</v>
      </c>
      <c r="Z2293">
        <v>-4.1566119999999996E-3</v>
      </c>
      <c r="AA2293">
        <v>0.98141809999999996</v>
      </c>
      <c r="AB2293">
        <v>37</v>
      </c>
      <c r="AC2293">
        <v>-36.880099999999899</v>
      </c>
      <c r="AD2293">
        <v>-1.02895526</v>
      </c>
      <c r="AE2293">
        <v>-6.8052000000000099</v>
      </c>
      <c r="AF2293">
        <v>-7.2631817300130397</v>
      </c>
      <c r="AG2293">
        <v>-1.02895526</v>
      </c>
      <c r="AH2293">
        <v>36.7638899597031</v>
      </c>
      <c r="AI2293">
        <v>91.572802846022498</v>
      </c>
      <c r="AJ2293">
        <v>101.175606339238</v>
      </c>
      <c r="AK2293">
        <v>37.488613774577402</v>
      </c>
      <c r="AL2293">
        <v>93.457635029582505</v>
      </c>
      <c r="AM2293">
        <v>93.388010304295193</v>
      </c>
      <c r="AN2293">
        <v>0.99999993636552198</v>
      </c>
    </row>
    <row r="2294" spans="1:40" x14ac:dyDescent="0.25">
      <c r="A2294" t="str">
        <f>"20190305135238178"</f>
        <v>20190305135238178</v>
      </c>
      <c r="B2294" t="str">
        <f>"1551765158172059"</f>
        <v>1551765158172059</v>
      </c>
      <c r="C2294" t="s">
        <v>40</v>
      </c>
      <c r="D2294">
        <v>4.6181109999999999</v>
      </c>
      <c r="E2294">
        <v>0.45027899999999998</v>
      </c>
      <c r="F2294" t="s">
        <v>56</v>
      </c>
      <c r="G2294">
        <v>-444.42849999999999</v>
      </c>
      <c r="H2294">
        <v>8.0000420000000003E-2</v>
      </c>
      <c r="I2294">
        <v>278.5718</v>
      </c>
      <c r="J2294">
        <v>-408.48860000000002</v>
      </c>
      <c r="K2294">
        <v>1.1089580000000001</v>
      </c>
      <c r="L2294">
        <v>285.19959999999998</v>
      </c>
      <c r="M2294">
        <v>-0.99982190000000004</v>
      </c>
      <c r="N2294">
        <v>-1.405986E-2</v>
      </c>
      <c r="O2294">
        <v>1.2594660000000001E-2</v>
      </c>
      <c r="P2294">
        <v>-0.99608560000000002</v>
      </c>
      <c r="Q2294">
        <v>-7.4916170000000004E-2</v>
      </c>
      <c r="R2294">
        <v>-4.6915430000000001E-2</v>
      </c>
      <c r="S2294">
        <v>-2.9799500000000001</v>
      </c>
      <c r="T2294">
        <v>-8.4421990000000002E-2</v>
      </c>
      <c r="U2294">
        <v>-0.54339599999999999</v>
      </c>
      <c r="V2294">
        <v>-5.9463340000000003E-2</v>
      </c>
      <c r="W2294">
        <v>-6.0908869999999997E-2</v>
      </c>
      <c r="X2294">
        <v>0.99637050000000005</v>
      </c>
      <c r="Y2294">
        <v>-0.1916562</v>
      </c>
      <c r="Z2294">
        <v>-4.229231E-3</v>
      </c>
      <c r="AA2294">
        <v>0.98145300000000002</v>
      </c>
      <c r="AB2294">
        <v>37</v>
      </c>
      <c r="AC2294">
        <v>-35.939899999999902</v>
      </c>
      <c r="AD2294">
        <v>-1.0289575799999999</v>
      </c>
      <c r="AE2294">
        <v>-6.6277999999999704</v>
      </c>
      <c r="AF2294">
        <v>-7.0743617887947003</v>
      </c>
      <c r="AG2294">
        <v>-1.0289575799999999</v>
      </c>
      <c r="AH2294">
        <v>35.825166544486002</v>
      </c>
      <c r="AI2294">
        <v>91.614025752659202</v>
      </c>
      <c r="AJ2294">
        <v>101.17042979595401</v>
      </c>
      <c r="AK2294">
        <v>36.531464607381402</v>
      </c>
      <c r="AL2294">
        <v>93.4919826882915</v>
      </c>
      <c r="AM2294">
        <v>93.415358184554904</v>
      </c>
      <c r="AN2294">
        <v>0.99999997625944104</v>
      </c>
    </row>
    <row r="2295" spans="1:40" x14ac:dyDescent="0.25">
      <c r="A2295" t="str">
        <f>"20190305135238200"</f>
        <v>20190305135238200</v>
      </c>
      <c r="B2295" t="str">
        <f>"1551765158191580"</f>
        <v>1551765158191580</v>
      </c>
      <c r="C2295" t="s">
        <v>40</v>
      </c>
      <c r="D2295">
        <v>4.600962</v>
      </c>
      <c r="E2295">
        <v>0.45111810000000002</v>
      </c>
      <c r="F2295" t="s">
        <v>56</v>
      </c>
      <c r="G2295">
        <v>-443.72519999999997</v>
      </c>
      <c r="H2295">
        <v>8.0000619999999995E-2</v>
      </c>
      <c r="I2295">
        <v>278.78809999999999</v>
      </c>
      <c r="J2295">
        <v>-408.85270000000003</v>
      </c>
      <c r="K2295">
        <v>1.1089580000000001</v>
      </c>
      <c r="L2295">
        <v>285.20420000000001</v>
      </c>
      <c r="M2295">
        <v>-0.99982179999999998</v>
      </c>
      <c r="N2295">
        <v>-1.405826E-2</v>
      </c>
      <c r="O2295">
        <v>1.261228E-2</v>
      </c>
      <c r="P2295">
        <v>-0.99602219999999997</v>
      </c>
      <c r="Q2295">
        <v>-7.5029869999999999E-2</v>
      </c>
      <c r="R2295">
        <v>-4.8070019999999998E-2</v>
      </c>
      <c r="S2295">
        <v>-2.9797060000000002</v>
      </c>
      <c r="T2295">
        <v>-8.7011580000000005E-2</v>
      </c>
      <c r="U2295">
        <v>-0.54217530000000003</v>
      </c>
      <c r="V2295">
        <v>-6.0634479999999998E-2</v>
      </c>
      <c r="W2295">
        <v>-6.10249E-2</v>
      </c>
      <c r="X2295">
        <v>0.99629279999999998</v>
      </c>
      <c r="Y2295">
        <v>-0.19129270000000001</v>
      </c>
      <c r="Z2295">
        <v>-4.3152540000000001E-3</v>
      </c>
      <c r="AA2295">
        <v>0.98152360000000005</v>
      </c>
      <c r="AB2295">
        <v>37</v>
      </c>
      <c r="AC2295">
        <v>-34.872499999999903</v>
      </c>
      <c r="AD2295">
        <v>-1.02895737999999</v>
      </c>
      <c r="AE2295">
        <v>-6.4161000000000197</v>
      </c>
      <c r="AF2295">
        <v>-6.8496864927701004</v>
      </c>
      <c r="AG2295">
        <v>-1.02895737999999</v>
      </c>
      <c r="AH2295">
        <v>34.759524674561803</v>
      </c>
      <c r="AI2295">
        <v>91.663609481434307</v>
      </c>
      <c r="AJ2295">
        <v>101.14783015151799</v>
      </c>
      <c r="AK2295">
        <v>35.4429332017056</v>
      </c>
      <c r="AL2295">
        <v>93.4986431611336</v>
      </c>
      <c r="AM2295">
        <v>93.482731185844401</v>
      </c>
      <c r="AN2295">
        <v>0.99999996095835897</v>
      </c>
    </row>
    <row r="2296" spans="1:40" x14ac:dyDescent="0.25">
      <c r="A2296" t="str">
        <f>"20190305135238213"</f>
        <v>20190305135238213</v>
      </c>
      <c r="B2296" t="str">
        <f>"1551765158202316"</f>
        <v>1551765158202316</v>
      </c>
      <c r="C2296" t="s">
        <v>40</v>
      </c>
      <c r="D2296">
        <v>4.601763</v>
      </c>
      <c r="E2296">
        <v>0.45139760000000001</v>
      </c>
      <c r="F2296" t="s">
        <v>56</v>
      </c>
      <c r="G2296">
        <v>-442.53160000000003</v>
      </c>
      <c r="H2296">
        <v>8.0000959999999996E-2</v>
      </c>
      <c r="I2296">
        <v>279.11040000000003</v>
      </c>
      <c r="J2296">
        <v>-409.072</v>
      </c>
      <c r="K2296">
        <v>1.1089629999999999</v>
      </c>
      <c r="L2296">
        <v>285.20699999999999</v>
      </c>
      <c r="M2296">
        <v>-0.99982139999999997</v>
      </c>
      <c r="N2296">
        <v>-1.405727E-2</v>
      </c>
      <c r="O2296">
        <v>1.262945E-2</v>
      </c>
      <c r="P2296">
        <v>-0.99598679999999995</v>
      </c>
      <c r="Q2296">
        <v>-7.5253E-2</v>
      </c>
      <c r="R2296">
        <v>-4.8449150000000003E-2</v>
      </c>
      <c r="S2296">
        <v>-2.9791259999999999</v>
      </c>
      <c r="T2296">
        <v>-9.1018080000000001E-2</v>
      </c>
      <c r="U2296">
        <v>-0.53903199999999996</v>
      </c>
      <c r="V2296">
        <v>-6.1030309999999997E-2</v>
      </c>
      <c r="W2296">
        <v>-6.1249070000000003E-2</v>
      </c>
      <c r="X2296">
        <v>0.99625490000000005</v>
      </c>
      <c r="Y2296">
        <v>-0.19033159999999999</v>
      </c>
      <c r="Z2296">
        <v>-4.4392009999999898E-3</v>
      </c>
      <c r="AA2296">
        <v>0.98170979999999997</v>
      </c>
      <c r="AB2296">
        <v>37</v>
      </c>
      <c r="AC2296">
        <v>-33.459600000000002</v>
      </c>
      <c r="AD2296">
        <v>-1.0289620399999999</v>
      </c>
      <c r="AE2296">
        <v>-6.0965999999999596</v>
      </c>
      <c r="AF2296">
        <v>-6.5127705180370299</v>
      </c>
      <c r="AG2296">
        <v>-1.0289620399999999</v>
      </c>
      <c r="AH2296">
        <v>33.3494012227548</v>
      </c>
      <c r="AI2296">
        <v>91.734497785230303</v>
      </c>
      <c r="AJ2296">
        <v>101.050158891717</v>
      </c>
      <c r="AK2296">
        <v>33.994962930067302</v>
      </c>
      <c r="AL2296">
        <v>93.511511137799104</v>
      </c>
      <c r="AM2296">
        <v>93.505543433734104</v>
      </c>
      <c r="AN2296">
        <v>0.99999998654428501</v>
      </c>
    </row>
    <row r="2297" spans="1:40" x14ac:dyDescent="0.25">
      <c r="A2297" t="str">
        <f>"20190305135238233"</f>
        <v>20190305135238233</v>
      </c>
      <c r="B2297" t="str">
        <f>"1551765158221836"</f>
        <v>1551765158221836</v>
      </c>
      <c r="C2297" t="s">
        <v>40</v>
      </c>
      <c r="D2297">
        <v>4.6140140000000001</v>
      </c>
      <c r="E2297">
        <v>0.45181329999999997</v>
      </c>
      <c r="F2297" t="s">
        <v>56</v>
      </c>
      <c r="G2297">
        <v>-442.4941</v>
      </c>
      <c r="H2297">
        <v>8.0000970000000005E-2</v>
      </c>
      <c r="I2297">
        <v>279.17360000000002</v>
      </c>
      <c r="J2297">
        <v>-409.40230000000003</v>
      </c>
      <c r="K2297">
        <v>1.108951</v>
      </c>
      <c r="L2297">
        <v>285.21109999999999</v>
      </c>
      <c r="M2297">
        <v>-0.99982110000000002</v>
      </c>
      <c r="N2297">
        <v>-1.405579E-2</v>
      </c>
      <c r="O2297">
        <v>1.266831E-2</v>
      </c>
      <c r="P2297">
        <v>-0.99586889999999995</v>
      </c>
      <c r="Q2297">
        <v>-7.5743469999999993E-2</v>
      </c>
      <c r="R2297">
        <v>-5.008613E-2</v>
      </c>
      <c r="S2297">
        <v>-2.979034</v>
      </c>
      <c r="T2297">
        <v>-9.1715099999999994E-2</v>
      </c>
      <c r="U2297">
        <v>-0.53778079999999995</v>
      </c>
      <c r="V2297">
        <v>-6.2705730000000001E-2</v>
      </c>
      <c r="W2297">
        <v>-6.1741289999999997E-2</v>
      </c>
      <c r="X2297">
        <v>0.99612049999999996</v>
      </c>
      <c r="Y2297">
        <v>-0.18997430000000001</v>
      </c>
      <c r="Z2297">
        <v>-4.4569099999999997E-3</v>
      </c>
      <c r="AA2297">
        <v>0.98177890000000001</v>
      </c>
      <c r="AB2297">
        <v>37</v>
      </c>
      <c r="AC2297">
        <v>-33.0917999999999</v>
      </c>
      <c r="AD2297">
        <v>-1.0289500300000001</v>
      </c>
      <c r="AE2297">
        <v>-6.0374999999999597</v>
      </c>
      <c r="AF2297">
        <v>-6.4502386041016502</v>
      </c>
      <c r="AG2297">
        <v>-1.0289500300000001</v>
      </c>
      <c r="AH2297">
        <v>32.9817911479253</v>
      </c>
      <c r="AI2297">
        <v>91.753705159883097</v>
      </c>
      <c r="AJ2297">
        <v>101.06565065569301</v>
      </c>
      <c r="AK2297">
        <v>33.622356603002203</v>
      </c>
      <c r="AL2297">
        <v>93.539766614990697</v>
      </c>
      <c r="AM2297">
        <v>93.602013252943706</v>
      </c>
      <c r="AN2297">
        <v>1.00000002299297</v>
      </c>
    </row>
    <row r="2298" spans="1:40" x14ac:dyDescent="0.25">
      <c r="A2298" t="str">
        <f>"20190305135238255"</f>
        <v>20190305135238255</v>
      </c>
      <c r="B2298" t="str">
        <f>"1551765158252092"</f>
        <v>1551765158252092</v>
      </c>
      <c r="C2298" t="s">
        <v>40</v>
      </c>
      <c r="D2298">
        <v>4.5948320000000002</v>
      </c>
      <c r="E2298">
        <v>0.45237240000000001</v>
      </c>
      <c r="F2298" t="s">
        <v>56</v>
      </c>
      <c r="G2298">
        <v>-442.05900000000003</v>
      </c>
      <c r="H2298">
        <v>8.0001089999999997E-2</v>
      </c>
      <c r="I2298">
        <v>279.2944</v>
      </c>
      <c r="J2298">
        <v>-409.78100000000001</v>
      </c>
      <c r="K2298">
        <v>1.10893</v>
      </c>
      <c r="L2298">
        <v>285.21600000000001</v>
      </c>
      <c r="M2298">
        <v>-0.99982009999999999</v>
      </c>
      <c r="N2298">
        <v>-1.405406E-2</v>
      </c>
      <c r="O2298">
        <v>1.274084E-2</v>
      </c>
      <c r="P2298">
        <v>-0.99573060000000002</v>
      </c>
      <c r="Q2298">
        <v>-7.6186870000000004E-2</v>
      </c>
      <c r="R2298">
        <v>-5.211669E-2</v>
      </c>
      <c r="S2298">
        <v>-2.97818</v>
      </c>
      <c r="T2298">
        <v>-9.3836779999999995E-2</v>
      </c>
      <c r="U2298">
        <v>-0.53958130000000004</v>
      </c>
      <c r="V2298">
        <v>-6.4810370000000006E-2</v>
      </c>
      <c r="W2298">
        <v>-6.218535E-2</v>
      </c>
      <c r="X2298">
        <v>0.99595809999999996</v>
      </c>
      <c r="Y2298">
        <v>-0.19066369999999999</v>
      </c>
      <c r="Z2298">
        <v>-4.5505620000000002E-3</v>
      </c>
      <c r="AA2298">
        <v>0.98164490000000004</v>
      </c>
      <c r="AB2298">
        <v>37</v>
      </c>
      <c r="AC2298">
        <v>-32.277999999999999</v>
      </c>
      <c r="AD2298">
        <v>-1.0289289100000001</v>
      </c>
      <c r="AE2298">
        <v>-5.9216000000000104</v>
      </c>
      <c r="AF2298">
        <v>-6.3261896559488404</v>
      </c>
      <c r="AG2298">
        <v>-1.0289289100000001</v>
      </c>
      <c r="AH2298">
        <v>32.1683024699296</v>
      </c>
      <c r="AI2298">
        <v>91.797618496279298</v>
      </c>
      <c r="AJ2298">
        <v>101.125758014537</v>
      </c>
      <c r="AK2298">
        <v>32.8005953309044</v>
      </c>
      <c r="AL2298">
        <v>93.565258554087393</v>
      </c>
      <c r="AM2298">
        <v>93.723181207139504</v>
      </c>
      <c r="AN2298">
        <v>0.999999969384884</v>
      </c>
    </row>
    <row r="2299" spans="1:40" x14ac:dyDescent="0.25">
      <c r="A2299" t="str">
        <f>"20190305135238278"</f>
        <v>20190305135238278</v>
      </c>
      <c r="B2299" t="str">
        <f>"1551765158271615"</f>
        <v>1551765158271615</v>
      </c>
      <c r="C2299" t="s">
        <v>40</v>
      </c>
      <c r="D2299">
        <v>4.6265580000000002</v>
      </c>
      <c r="E2299">
        <v>0.45259250000000001</v>
      </c>
      <c r="F2299" t="s">
        <v>56</v>
      </c>
      <c r="G2299">
        <v>-442.1157</v>
      </c>
      <c r="H2299">
        <v>8.0001059999999999E-2</v>
      </c>
      <c r="I2299">
        <v>279.3383</v>
      </c>
      <c r="J2299">
        <v>-410.15839999999997</v>
      </c>
      <c r="K2299">
        <v>1.1088979999999999</v>
      </c>
      <c r="L2299">
        <v>285.22089999999997</v>
      </c>
      <c r="M2299">
        <v>-0.99981880000000001</v>
      </c>
      <c r="N2299">
        <v>-1.40523E-2</v>
      </c>
      <c r="O2299">
        <v>1.2847519999999999E-2</v>
      </c>
      <c r="P2299">
        <v>-0.99566469999999896</v>
      </c>
      <c r="Q2299">
        <v>-7.6041449999999997E-2</v>
      </c>
      <c r="R2299">
        <v>-5.3570909999999999E-2</v>
      </c>
      <c r="S2299">
        <v>-2.9772639999999999</v>
      </c>
      <c r="T2299">
        <v>-9.4740030000000003E-2</v>
      </c>
      <c r="U2299">
        <v>-0.54119869999999903</v>
      </c>
      <c r="V2299">
        <v>-6.6373829999999995E-2</v>
      </c>
      <c r="W2299">
        <v>-6.2038360000000001E-2</v>
      </c>
      <c r="X2299">
        <v>0.99586430000000004</v>
      </c>
      <c r="Y2299">
        <v>-0.1913349</v>
      </c>
      <c r="Z2299">
        <v>-4.6010879999999997E-3</v>
      </c>
      <c r="AA2299">
        <v>0.981514</v>
      </c>
      <c r="AB2299">
        <v>37</v>
      </c>
      <c r="AC2299">
        <v>-31.9573</v>
      </c>
      <c r="AD2299">
        <v>-1.0288969400000001</v>
      </c>
      <c r="AE2299">
        <v>-5.8825999999999601</v>
      </c>
      <c r="AF2299">
        <v>-6.2864241321365801</v>
      </c>
      <c r="AG2299">
        <v>-1.0288969400000001</v>
      </c>
      <c r="AH2299">
        <v>31.847147435466201</v>
      </c>
      <c r="AI2299">
        <v>91.815424941844995</v>
      </c>
      <c r="AJ2299">
        <v>101.166270546463</v>
      </c>
      <c r="AK2299">
        <v>32.477970334652497</v>
      </c>
      <c r="AL2299">
        <v>93.556820339240502</v>
      </c>
      <c r="AM2299">
        <v>93.813094023231301</v>
      </c>
      <c r="AN2299">
        <v>0.999999973717423</v>
      </c>
    </row>
    <row r="2300" spans="1:40" x14ac:dyDescent="0.25">
      <c r="A2300" t="str">
        <f>"20190305135238299"</f>
        <v>20190305135238299</v>
      </c>
      <c r="B2300" t="str">
        <f>"1551765158292107"</f>
        <v>1551765158292107</v>
      </c>
      <c r="C2300" t="s">
        <v>40</v>
      </c>
      <c r="D2300">
        <v>4.4960889999999996</v>
      </c>
      <c r="E2300">
        <v>0.45261249999999997</v>
      </c>
      <c r="F2300" t="s">
        <v>56</v>
      </c>
      <c r="G2300">
        <v>-442.4196</v>
      </c>
      <c r="H2300">
        <v>8.0000979999999999E-2</v>
      </c>
      <c r="I2300">
        <v>279.32499999999999</v>
      </c>
      <c r="J2300">
        <v>-410.51729999999998</v>
      </c>
      <c r="K2300">
        <v>1.108867</v>
      </c>
      <c r="L2300">
        <v>285.22559999999999</v>
      </c>
      <c r="M2300">
        <v>-0.99981710000000001</v>
      </c>
      <c r="N2300">
        <v>-1.405058E-2</v>
      </c>
      <c r="O2300">
        <v>1.2985190000000001E-2</v>
      </c>
      <c r="P2300">
        <v>-0.99560190000000004</v>
      </c>
      <c r="Q2300">
        <v>-7.634879E-2</v>
      </c>
      <c r="R2300">
        <v>-5.4297989999999997E-2</v>
      </c>
      <c r="S2300">
        <v>-2.9765630000000001</v>
      </c>
      <c r="T2300">
        <v>-9.4930650000000005E-2</v>
      </c>
      <c r="U2300">
        <v>-0.54397580000000001</v>
      </c>
      <c r="V2300">
        <v>-6.7241529999999994E-2</v>
      </c>
      <c r="W2300">
        <v>-6.2343280000000001E-2</v>
      </c>
      <c r="X2300">
        <v>0.99578710000000004</v>
      </c>
      <c r="Y2300">
        <v>-0.1923957</v>
      </c>
      <c r="Z2300">
        <v>-4.6352040000000004E-3</v>
      </c>
      <c r="AA2300">
        <v>0.98130649999999997</v>
      </c>
      <c r="AB2300">
        <v>37</v>
      </c>
      <c r="AC2300">
        <v>-31.9023</v>
      </c>
      <c r="AD2300">
        <v>-1.0288660199999999</v>
      </c>
      <c r="AE2300">
        <v>-5.9005999999999901</v>
      </c>
      <c r="AF2300">
        <v>-6.3080567208638101</v>
      </c>
      <c r="AG2300">
        <v>-1.0288660199999999</v>
      </c>
      <c r="AH2300">
        <v>31.791009813742601</v>
      </c>
      <c r="AI2300">
        <v>91.818217788600094</v>
      </c>
      <c r="AJ2300">
        <v>101.223007188894</v>
      </c>
      <c r="AK2300">
        <v>32.4271252172964</v>
      </c>
      <c r="AL2300">
        <v>93.574324657670203</v>
      </c>
      <c r="AM2300">
        <v>93.863090929851893</v>
      </c>
      <c r="AN2300">
        <v>1.00000002822215</v>
      </c>
    </row>
    <row r="2301" spans="1:40" x14ac:dyDescent="0.25">
      <c r="A2301" t="str">
        <f>"20190305135238323"</f>
        <v>20190305135238323</v>
      </c>
      <c r="B2301" t="str">
        <f>"1551765158311628"</f>
        <v>1551765158311628</v>
      </c>
      <c r="C2301" t="s">
        <v>40</v>
      </c>
      <c r="D2301">
        <v>4.4700059999999997</v>
      </c>
      <c r="E2301">
        <v>0.45238279999999997</v>
      </c>
      <c r="F2301" t="s">
        <v>56</v>
      </c>
      <c r="G2301">
        <v>-443.19729999999998</v>
      </c>
      <c r="H2301">
        <v>8.0000760000000004E-2</v>
      </c>
      <c r="I2301">
        <v>279.23289999999997</v>
      </c>
      <c r="J2301">
        <v>-410.89769999999999</v>
      </c>
      <c r="K2301">
        <v>1.108832</v>
      </c>
      <c r="L2301">
        <v>285.23070000000001</v>
      </c>
      <c r="M2301">
        <v>-0.9998146</v>
      </c>
      <c r="N2301">
        <v>-1.4048720000000001E-2</v>
      </c>
      <c r="O2301">
        <v>1.3172329999999999E-2</v>
      </c>
      <c r="P2301">
        <v>-0.9955117</v>
      </c>
      <c r="Q2301">
        <v>-7.7074429999999999E-2</v>
      </c>
      <c r="R2301">
        <v>-5.4922390000000001E-2</v>
      </c>
      <c r="S2301">
        <v>-2.9762879999999998</v>
      </c>
      <c r="T2301">
        <v>-9.3702670000000002E-2</v>
      </c>
      <c r="U2301">
        <v>-0.54577640000000005</v>
      </c>
      <c r="V2301">
        <v>-6.8056539999999999E-2</v>
      </c>
      <c r="W2301">
        <v>-6.306631E-2</v>
      </c>
      <c r="X2301">
        <v>0.99568619999999997</v>
      </c>
      <c r="Y2301">
        <v>-0.19317219999999999</v>
      </c>
      <c r="Z2301">
        <v>-4.611464E-3</v>
      </c>
      <c r="AA2301">
        <v>0.98115399999999997</v>
      </c>
      <c r="AB2301">
        <v>37</v>
      </c>
      <c r="AC2301">
        <v>-32.299599999999998</v>
      </c>
      <c r="AD2301">
        <v>-1.0288312399999999</v>
      </c>
      <c r="AE2301">
        <v>-5.9978000000000398</v>
      </c>
      <c r="AF2301">
        <v>-6.41648933538987</v>
      </c>
      <c r="AG2301">
        <v>-1.0288312399999999</v>
      </c>
      <c r="AH2301">
        <v>32.186216810079301</v>
      </c>
      <c r="AI2301">
        <v>91.795526197952796</v>
      </c>
      <c r="AJ2301">
        <v>101.274404083703</v>
      </c>
      <c r="AK2301">
        <v>32.835687622722297</v>
      </c>
      <c r="AL2301">
        <v>93.615832900028494</v>
      </c>
      <c r="AM2301">
        <v>93.910164665368796</v>
      </c>
      <c r="AN2301">
        <v>1.0000000304821099</v>
      </c>
    </row>
    <row r="2302" spans="1:40" x14ac:dyDescent="0.25">
      <c r="A2302" t="str">
        <f>"20190305135238346"</f>
        <v>20190305135238346</v>
      </c>
      <c r="B2302" t="str">
        <f>"1551765158341884"</f>
        <v>1551765158341884</v>
      </c>
      <c r="C2302" t="s">
        <v>40</v>
      </c>
      <c r="D2302">
        <v>4.4939210000000003</v>
      </c>
      <c r="E2302">
        <v>0.45216289999999998</v>
      </c>
      <c r="F2302" t="s">
        <v>56</v>
      </c>
      <c r="G2302">
        <v>-443.42009999999999</v>
      </c>
      <c r="H2302">
        <v>8.0000689999999999E-2</v>
      </c>
      <c r="I2302">
        <v>279.22250000000003</v>
      </c>
      <c r="J2302">
        <v>-411.27699999999999</v>
      </c>
      <c r="K2302">
        <v>1.1087929999999999</v>
      </c>
      <c r="L2302">
        <v>285.23590000000002</v>
      </c>
      <c r="M2302">
        <v>-0.99981169999999997</v>
      </c>
      <c r="N2302">
        <v>-1.404682E-2</v>
      </c>
      <c r="O2302">
        <v>1.3400459999999999E-2</v>
      </c>
      <c r="P2302">
        <v>-0.99545439999999996</v>
      </c>
      <c r="Q2302">
        <v>-7.7641630000000003E-2</v>
      </c>
      <c r="R2302">
        <v>-5.516136E-2</v>
      </c>
      <c r="S2302">
        <v>-2.9759220000000002</v>
      </c>
      <c r="T2302">
        <v>-9.4141840000000004E-2</v>
      </c>
      <c r="U2302">
        <v>-0.54977419999999899</v>
      </c>
      <c r="V2302">
        <v>-6.8526950000000003E-2</v>
      </c>
      <c r="W2302">
        <v>-6.3630640000000002E-2</v>
      </c>
      <c r="X2302">
        <v>0.995618</v>
      </c>
      <c r="Y2302">
        <v>-0.1946899</v>
      </c>
      <c r="Z2302">
        <v>-4.6660829999999997E-3</v>
      </c>
      <c r="AA2302">
        <v>0.98085370000000005</v>
      </c>
      <c r="AB2302">
        <v>37</v>
      </c>
      <c r="AC2302">
        <v>-32.143099999999997</v>
      </c>
      <c r="AD2302">
        <v>-1.02879231</v>
      </c>
      <c r="AE2302">
        <v>-6.0133999999999901</v>
      </c>
      <c r="AF2302">
        <v>-6.4372632178864997</v>
      </c>
      <c r="AG2302">
        <v>-1.02879231</v>
      </c>
      <c r="AH2302">
        <v>32.027922362432697</v>
      </c>
      <c r="AI2302">
        <v>91.803759374079107</v>
      </c>
      <c r="AJ2302">
        <v>101.364413561635</v>
      </c>
      <c r="AK2302">
        <v>32.684623023793399</v>
      </c>
      <c r="AL2302">
        <v>93.648231806355</v>
      </c>
      <c r="AM2302">
        <v>93.937376043511193</v>
      </c>
      <c r="AN2302">
        <v>1.00000000157355</v>
      </c>
    </row>
    <row r="2303" spans="1:40" x14ac:dyDescent="0.25">
      <c r="A2303" t="str">
        <f>"20190305135238368"</f>
        <v>20190305135238368</v>
      </c>
      <c r="B2303" t="str">
        <f>"1551765158362380"</f>
        <v>1551765158362380</v>
      </c>
      <c r="C2303" t="s">
        <v>40</v>
      </c>
      <c r="D2303">
        <v>4.4978239999999996</v>
      </c>
      <c r="E2303">
        <v>0.45196710000000001</v>
      </c>
      <c r="F2303" t="s">
        <v>56</v>
      </c>
      <c r="G2303">
        <v>-444.04919999999998</v>
      </c>
      <c r="H2303">
        <v>8.0000509999999997E-2</v>
      </c>
      <c r="I2303">
        <v>279.15249999999997</v>
      </c>
      <c r="J2303">
        <v>-411.65379999999999</v>
      </c>
      <c r="K2303">
        <v>1.1087610000000001</v>
      </c>
      <c r="L2303">
        <v>285.24119999999999</v>
      </c>
      <c r="M2303">
        <v>-0.99980809999999998</v>
      </c>
      <c r="N2303">
        <v>-1.4044849999999999E-2</v>
      </c>
      <c r="O2303">
        <v>1.366183E-2</v>
      </c>
      <c r="P2303">
        <v>-0.9954189</v>
      </c>
      <c r="Q2303">
        <v>-7.8149999999999997E-2</v>
      </c>
      <c r="R2303">
        <v>-5.5080009999999999E-2</v>
      </c>
      <c r="S2303">
        <v>-2.9758300000000002</v>
      </c>
      <c r="T2303">
        <v>-9.3418000000000001E-2</v>
      </c>
      <c r="U2303">
        <v>-0.55239869999999902</v>
      </c>
      <c r="V2303">
        <v>-6.8709870000000006E-2</v>
      </c>
      <c r="W2303">
        <v>-6.4136680000000001E-2</v>
      </c>
      <c r="X2303">
        <v>0.99557289999999998</v>
      </c>
      <c r="Y2303">
        <v>-0.19578899999999999</v>
      </c>
      <c r="Z2303">
        <v>-4.6685600000000004E-3</v>
      </c>
      <c r="AA2303">
        <v>0.98063489999999998</v>
      </c>
      <c r="AB2303">
        <v>37</v>
      </c>
      <c r="AC2303">
        <v>-32.395399999999903</v>
      </c>
      <c r="AD2303">
        <v>-1.02876049</v>
      </c>
      <c r="AE2303">
        <v>-6.08870000000001</v>
      </c>
      <c r="AF2303">
        <v>-6.5244005717210198</v>
      </c>
      <c r="AG2303">
        <v>-1.02876049</v>
      </c>
      <c r="AH2303">
        <v>32.277744630104301</v>
      </c>
      <c r="AI2303">
        <v>91.789356209439106</v>
      </c>
      <c r="AJ2303">
        <v>101.427401052306</v>
      </c>
      <c r="AK2303">
        <v>32.946607554834699</v>
      </c>
      <c r="AL2303">
        <v>93.6772851895022</v>
      </c>
      <c r="AM2303">
        <v>93.948031224154306</v>
      </c>
      <c r="AN2303">
        <v>0.99999997958562403</v>
      </c>
    </row>
    <row r="2304" spans="1:40" x14ac:dyDescent="0.25">
      <c r="A2304" t="str">
        <f>"20190305135238389"</f>
        <v>20190305135238389</v>
      </c>
      <c r="B2304" t="str">
        <f>"1551765158381900"</f>
        <v>1551765158381900</v>
      </c>
      <c r="C2304" t="s">
        <v>40</v>
      </c>
      <c r="D2304">
        <v>4.4739649999999997</v>
      </c>
      <c r="E2304">
        <v>0.45186520000000002</v>
      </c>
      <c r="F2304" t="s">
        <v>56</v>
      </c>
      <c r="G2304">
        <v>-444.75940000000003</v>
      </c>
      <c r="H2304">
        <v>8.0000299999999996E-2</v>
      </c>
      <c r="I2304">
        <v>279.07830000000001</v>
      </c>
      <c r="J2304">
        <v>-412.00540000000001</v>
      </c>
      <c r="K2304">
        <v>1.108743</v>
      </c>
      <c r="L2304">
        <v>285.24630000000002</v>
      </c>
      <c r="M2304">
        <v>-0.99980440000000004</v>
      </c>
      <c r="N2304">
        <v>-1.404299E-2</v>
      </c>
      <c r="O2304">
        <v>1.392523E-2</v>
      </c>
      <c r="P2304">
        <v>-0.99543099999999995</v>
      </c>
      <c r="Q2304">
        <v>-7.8072699999999995E-2</v>
      </c>
      <c r="R2304">
        <v>-5.4973950000000001E-2</v>
      </c>
      <c r="S2304">
        <v>-2.9758610000000001</v>
      </c>
      <c r="T2304">
        <v>-9.2475180000000004E-2</v>
      </c>
      <c r="U2304">
        <v>-0.55398559999999997</v>
      </c>
      <c r="V2304">
        <v>-6.8869250000000007E-2</v>
      </c>
      <c r="W2304">
        <v>-6.4057489999999995E-2</v>
      </c>
      <c r="X2304">
        <v>0.99556699999999998</v>
      </c>
      <c r="Y2304">
        <v>-0.1965528</v>
      </c>
      <c r="Z2304">
        <v>-4.6548739999999998E-3</v>
      </c>
      <c r="AA2304">
        <v>0.98048219999999997</v>
      </c>
      <c r="AB2304">
        <v>37</v>
      </c>
      <c r="AC2304">
        <v>-32.753999999999998</v>
      </c>
      <c r="AD2304">
        <v>-1.0287427</v>
      </c>
      <c r="AE2304">
        <v>-6.1680000000000001</v>
      </c>
      <c r="AF2304">
        <v>-6.6172496262199703</v>
      </c>
      <c r="AG2304">
        <v>-1.0287427</v>
      </c>
      <c r="AH2304">
        <v>32.633834362266697</v>
      </c>
      <c r="AI2304">
        <v>91.769593256727703</v>
      </c>
      <c r="AJ2304">
        <v>101.462602740465</v>
      </c>
      <c r="AK2304">
        <v>33.313862720230603</v>
      </c>
      <c r="AL2304">
        <v>93.672738535927294</v>
      </c>
      <c r="AM2304">
        <v>93.957183426670298</v>
      </c>
      <c r="AN2304">
        <v>0.99999999355483105</v>
      </c>
    </row>
    <row r="2305" spans="1:40" x14ac:dyDescent="0.25">
      <c r="A2305" t="str">
        <f>"20190305135238412"</f>
        <v>20190305135238412</v>
      </c>
      <c r="B2305" t="str">
        <f>"1551765158401419"</f>
        <v>1551765158401419</v>
      </c>
      <c r="C2305" t="s">
        <v>40</v>
      </c>
      <c r="D2305">
        <v>4.4869680000000001</v>
      </c>
      <c r="E2305">
        <v>0.45179219999999998</v>
      </c>
      <c r="F2305" t="s">
        <v>56</v>
      </c>
      <c r="G2305">
        <v>-446.03219999999999</v>
      </c>
      <c r="H2305">
        <v>8.0001409999999995E-2</v>
      </c>
      <c r="I2305">
        <v>278.90600000000001</v>
      </c>
      <c r="J2305">
        <v>-412.3734</v>
      </c>
      <c r="K2305">
        <v>1.1087320000000001</v>
      </c>
      <c r="L2305">
        <v>285.2516</v>
      </c>
      <c r="M2305">
        <v>-0.99980040000000003</v>
      </c>
      <c r="N2305">
        <v>-1.4041029999999999E-2</v>
      </c>
      <c r="O2305">
        <v>1.421442E-2</v>
      </c>
      <c r="P2305">
        <v>-0.99542980000000003</v>
      </c>
      <c r="Q2305">
        <v>-7.8154879999999996E-2</v>
      </c>
      <c r="R2305">
        <v>-5.487533E-2</v>
      </c>
      <c r="S2305">
        <v>-2.9760740000000001</v>
      </c>
      <c r="T2305">
        <v>-8.9976550000000002E-2</v>
      </c>
      <c r="U2305">
        <v>-0.55453490000000005</v>
      </c>
      <c r="V2305">
        <v>-6.9061629999999999E-2</v>
      </c>
      <c r="W2305">
        <v>-6.4138870000000001E-2</v>
      </c>
      <c r="X2305">
        <v>0.9955484</v>
      </c>
      <c r="Y2305">
        <v>-0.1970046</v>
      </c>
      <c r="Z2305">
        <v>-4.5756870000000002E-3</v>
      </c>
      <c r="AA2305">
        <v>0.98039189999999998</v>
      </c>
      <c r="AB2305">
        <v>37</v>
      </c>
      <c r="AC2305">
        <v>-33.6587999999999</v>
      </c>
      <c r="AD2305">
        <v>-1.0287305899999999</v>
      </c>
      <c r="AE2305">
        <v>-6.3455999999999904</v>
      </c>
      <c r="AF2305">
        <v>-6.8172966087602598</v>
      </c>
      <c r="AG2305">
        <v>-1.0287305899999999</v>
      </c>
      <c r="AH2305">
        <v>33.534940151813501</v>
      </c>
      <c r="AI2305">
        <v>91.721878507311501</v>
      </c>
      <c r="AJ2305">
        <v>101.49103519028699</v>
      </c>
      <c r="AK2305">
        <v>34.2363261852718</v>
      </c>
      <c r="AL2305">
        <v>93.677410998038994</v>
      </c>
      <c r="AM2305">
        <v>93.968276095460695</v>
      </c>
      <c r="AN2305">
        <v>0.99999996006284597</v>
      </c>
    </row>
    <row r="2306" spans="1:40" x14ac:dyDescent="0.25">
      <c r="A2306" t="str">
        <f>"20190305135238433"</f>
        <v>20190305135238433</v>
      </c>
      <c r="B2306" t="str">
        <f>"1551765158421916"</f>
        <v>1551765158421916</v>
      </c>
      <c r="C2306" t="s">
        <v>40</v>
      </c>
      <c r="D2306">
        <v>4.4757699999999998</v>
      </c>
      <c r="E2306">
        <v>0.45183479999999998</v>
      </c>
      <c r="F2306" t="s">
        <v>56</v>
      </c>
      <c r="G2306">
        <v>-447.02629999999999</v>
      </c>
      <c r="H2306">
        <v>8.0001119999999995E-2</v>
      </c>
      <c r="I2306">
        <v>278.7894</v>
      </c>
      <c r="J2306">
        <v>-412.73970000000003</v>
      </c>
      <c r="K2306">
        <v>1.108725</v>
      </c>
      <c r="L2306">
        <v>285.25709999999998</v>
      </c>
      <c r="M2306">
        <v>-0.99979620000000002</v>
      </c>
      <c r="N2306">
        <v>-1.4039060000000001E-2</v>
      </c>
      <c r="O2306">
        <v>1.4509019999999999E-2</v>
      </c>
      <c r="P2306">
        <v>-0.99542779999999997</v>
      </c>
      <c r="Q2306">
        <v>-7.7893950000000003E-2</v>
      </c>
      <c r="R2306">
        <v>-5.5280620000000003E-2</v>
      </c>
      <c r="S2306">
        <v>-2.9762270000000002</v>
      </c>
      <c r="T2306">
        <v>-8.8354349999999998E-2</v>
      </c>
      <c r="U2306">
        <v>-0.55502320000000005</v>
      </c>
      <c r="V2306">
        <v>-6.976156E-2</v>
      </c>
      <c r="W2306">
        <v>-6.3877660000000003E-2</v>
      </c>
      <c r="X2306">
        <v>0.99551639999999997</v>
      </c>
      <c r="Y2306">
        <v>-0.19744349999999999</v>
      </c>
      <c r="Z2306">
        <v>-4.5285730000000001E-3</v>
      </c>
      <c r="AA2306">
        <v>0.98030379999999995</v>
      </c>
      <c r="AB2306">
        <v>37</v>
      </c>
      <c r="AC2306">
        <v>-34.2865999999999</v>
      </c>
      <c r="AD2306">
        <v>-1.02872388</v>
      </c>
      <c r="AE2306">
        <v>-6.4676999999999696</v>
      </c>
      <c r="AF2306">
        <v>-6.9584841255649801</v>
      </c>
      <c r="AG2306">
        <v>-1.02872388</v>
      </c>
      <c r="AH2306">
        <v>34.159446607306897</v>
      </c>
      <c r="AI2306">
        <v>91.690268830021196</v>
      </c>
      <c r="AJ2306">
        <v>101.51395734144999</v>
      </c>
      <c r="AK2306">
        <v>34.876160434664698</v>
      </c>
      <c r="AL2306">
        <v>93.662413989254006</v>
      </c>
      <c r="AM2306">
        <v>94.008492003656599</v>
      </c>
      <c r="AN2306">
        <v>0.99999996668483404</v>
      </c>
    </row>
    <row r="2307" spans="1:40" x14ac:dyDescent="0.25">
      <c r="A2307" t="str">
        <f>"20190305135238457"</f>
        <v>20190305135238457</v>
      </c>
      <c r="B2307" t="str">
        <f>"1551765158452172"</f>
        <v>1551765158452172</v>
      </c>
      <c r="C2307" t="s">
        <v>40</v>
      </c>
      <c r="D2307">
        <v>4.4631189999999998</v>
      </c>
      <c r="E2307">
        <v>0.4517486</v>
      </c>
      <c r="F2307" t="s">
        <v>56</v>
      </c>
      <c r="G2307">
        <v>-447.51769999999999</v>
      </c>
      <c r="H2307">
        <v>8.0000970000000005E-2</v>
      </c>
      <c r="I2307">
        <v>278.76069999999999</v>
      </c>
      <c r="J2307">
        <v>-413.11369999999999</v>
      </c>
      <c r="K2307">
        <v>1.108724</v>
      </c>
      <c r="L2307">
        <v>285.26280000000003</v>
      </c>
      <c r="M2307">
        <v>-0.99979169999999995</v>
      </c>
      <c r="N2307">
        <v>-1.4037010000000001E-2</v>
      </c>
      <c r="O2307">
        <v>1.4812570000000001E-2</v>
      </c>
      <c r="P2307">
        <v>-0.99547200000000002</v>
      </c>
      <c r="Q2307">
        <v>-7.6667810000000003E-2</v>
      </c>
      <c r="R2307">
        <v>-5.6192859999999997E-2</v>
      </c>
      <c r="S2307">
        <v>-2.976013</v>
      </c>
      <c r="T2307">
        <v>-8.8029620000000003E-2</v>
      </c>
      <c r="U2307">
        <v>-0.55590819999999996</v>
      </c>
      <c r="V2307">
        <v>-7.097705E-2</v>
      </c>
      <c r="W2307">
        <v>-6.2651020000000002E-2</v>
      </c>
      <c r="X2307">
        <v>0.99550850000000002</v>
      </c>
      <c r="Y2307">
        <v>-0.19803580000000001</v>
      </c>
      <c r="Z2307">
        <v>-4.5339059999999999E-3</v>
      </c>
      <c r="AA2307">
        <v>0.98018430000000001</v>
      </c>
      <c r="AB2307">
        <v>37</v>
      </c>
      <c r="AC2307">
        <v>-34.404000000000003</v>
      </c>
      <c r="AD2307">
        <v>-1.0287230300000001</v>
      </c>
      <c r="AE2307">
        <v>-6.5021000000000404</v>
      </c>
      <c r="AF2307">
        <v>-7.0050013199860803</v>
      </c>
      <c r="AG2307">
        <v>-1.0287230300000001</v>
      </c>
      <c r="AH2307">
        <v>34.274315052002102</v>
      </c>
      <c r="AI2307">
        <v>91.684383431753901</v>
      </c>
      <c r="AJ2307">
        <v>101.55105832311899</v>
      </c>
      <c r="AK2307">
        <v>34.9979568953583</v>
      </c>
      <c r="AL2307">
        <v>93.591991380091301</v>
      </c>
      <c r="AM2307">
        <v>94.078132549685293</v>
      </c>
      <c r="AN2307">
        <v>1.0000000327529901</v>
      </c>
    </row>
    <row r="2308" spans="1:40" x14ac:dyDescent="0.25">
      <c r="A2308" t="str">
        <f>"20190305135238479"</f>
        <v>20190305135238479</v>
      </c>
      <c r="B2308" t="str">
        <f>"1551765158471695"</f>
        <v>1551765158471695</v>
      </c>
      <c r="C2308" t="s">
        <v>40</v>
      </c>
      <c r="D2308">
        <v>4.4541620000000002</v>
      </c>
      <c r="E2308">
        <v>0.45167160000000001</v>
      </c>
      <c r="F2308" t="s">
        <v>56</v>
      </c>
      <c r="G2308">
        <v>-450.62720000000002</v>
      </c>
      <c r="H2308">
        <v>8.0001559999999999E-2</v>
      </c>
      <c r="I2308">
        <v>278.20740000000001</v>
      </c>
      <c r="J2308">
        <v>-413.48680000000002</v>
      </c>
      <c r="K2308">
        <v>1.108724</v>
      </c>
      <c r="L2308">
        <v>285.26859999999999</v>
      </c>
      <c r="M2308">
        <v>-0.99978730000000005</v>
      </c>
      <c r="N2308">
        <v>-1.4034949999999999E-2</v>
      </c>
      <c r="O2308">
        <v>1.5115180000000001E-2</v>
      </c>
      <c r="P2308">
        <v>-0.99556690000000003</v>
      </c>
      <c r="Q2308">
        <v>-7.5064549999999994E-2</v>
      </c>
      <c r="R2308">
        <v>-5.6674420000000003E-2</v>
      </c>
      <c r="S2308">
        <v>-2.975708</v>
      </c>
      <c r="T2308">
        <v>-8.1601980000000005E-2</v>
      </c>
      <c r="U2308">
        <v>-0.55966190000000005</v>
      </c>
      <c r="V2308">
        <v>-7.1760770000000002E-2</v>
      </c>
      <c r="W2308">
        <v>-6.1047240000000003E-2</v>
      </c>
      <c r="X2308">
        <v>0.99555190000000005</v>
      </c>
      <c r="Y2308">
        <v>-0.19955919999999999</v>
      </c>
      <c r="Z2308">
        <v>-4.3257169999999998E-3</v>
      </c>
      <c r="AA2308">
        <v>0.97987619999999997</v>
      </c>
      <c r="AB2308">
        <v>37</v>
      </c>
      <c r="AC2308">
        <v>-37.1404</v>
      </c>
      <c r="AD2308">
        <v>-1.0287224399999999</v>
      </c>
      <c r="AE2308">
        <v>-7.0611999999999799</v>
      </c>
      <c r="AF2308">
        <v>-7.61619303310958</v>
      </c>
      <c r="AG2308">
        <v>-1.0287224399999999</v>
      </c>
      <c r="AH2308">
        <v>37.002017106654598</v>
      </c>
      <c r="AI2308">
        <v>91.5598321256915</v>
      </c>
      <c r="AJ2308">
        <v>101.63085713734</v>
      </c>
      <c r="AK2308">
        <v>37.791717824641204</v>
      </c>
      <c r="AL2308">
        <v>93.499925474460895</v>
      </c>
      <c r="AM2308">
        <v>94.122829230025602</v>
      </c>
      <c r="AN2308">
        <v>0.99999997960811005</v>
      </c>
    </row>
    <row r="2309" spans="1:40" x14ac:dyDescent="0.25">
      <c r="A2309" t="str">
        <f>"20190305135238500"</f>
        <v>20190305135238500</v>
      </c>
      <c r="B2309" t="str">
        <f>"1551765158492187"</f>
        <v>1551765158492187</v>
      </c>
      <c r="C2309" t="s">
        <v>40</v>
      </c>
      <c r="D2309">
        <v>4.4528919999999896</v>
      </c>
      <c r="E2309">
        <v>0.45158130000000002</v>
      </c>
      <c r="F2309" t="s">
        <v>56</v>
      </c>
      <c r="G2309">
        <v>-454.27300000000002</v>
      </c>
      <c r="H2309">
        <v>8.0000509999999997E-2</v>
      </c>
      <c r="I2309">
        <v>277.57139999999998</v>
      </c>
      <c r="J2309">
        <v>-413.84910000000002</v>
      </c>
      <c r="K2309">
        <v>1.1087229999999999</v>
      </c>
      <c r="L2309">
        <v>285.27440000000001</v>
      </c>
      <c r="M2309">
        <v>-0.99978299999999998</v>
      </c>
      <c r="N2309">
        <v>-1.4032899999999999E-2</v>
      </c>
      <c r="O2309">
        <v>1.540774E-2</v>
      </c>
      <c r="P2309">
        <v>-0.99563769999999996</v>
      </c>
      <c r="Q2309">
        <v>-7.3832209999999995E-2</v>
      </c>
      <c r="R2309">
        <v>-5.7049809999999999E-2</v>
      </c>
      <c r="S2309">
        <v>-2.975708</v>
      </c>
      <c r="T2309">
        <v>-7.5054410000000002E-2</v>
      </c>
      <c r="U2309">
        <v>-0.56158450000000004</v>
      </c>
      <c r="V2309">
        <v>-7.2428400000000004E-2</v>
      </c>
      <c r="W2309">
        <v>-5.9815029999999998E-2</v>
      </c>
      <c r="X2309">
        <v>0.99557830000000003</v>
      </c>
      <c r="Y2309">
        <v>-0.20047139999999999</v>
      </c>
      <c r="Z2309">
        <v>-4.0960299999999996E-3</v>
      </c>
      <c r="AA2309">
        <v>0.97969099999999998</v>
      </c>
      <c r="AB2309">
        <v>37</v>
      </c>
      <c r="AC2309">
        <v>-40.423900000000003</v>
      </c>
      <c r="AD2309">
        <v>-1.0287224899999901</v>
      </c>
      <c r="AE2309">
        <v>-7.7030000000000296</v>
      </c>
      <c r="AF2309">
        <v>-8.3197883209324406</v>
      </c>
      <c r="AG2309">
        <v>-1.0287224899999901</v>
      </c>
      <c r="AH2309">
        <v>40.275233890775802</v>
      </c>
      <c r="AI2309">
        <v>91.432907887641804</v>
      </c>
      <c r="AJ2309">
        <v>101.67160781938</v>
      </c>
      <c r="AK2309">
        <v>41.138444460422299</v>
      </c>
      <c r="AL2309">
        <v>93.429195934443698</v>
      </c>
      <c r="AM2309">
        <v>94.160942121009796</v>
      </c>
      <c r="AN2309">
        <v>0.99999993118567299</v>
      </c>
    </row>
    <row r="2310" spans="1:40" x14ac:dyDescent="0.25">
      <c r="A2310" t="str">
        <f>"20190305135238523"</f>
        <v>20190305135238523</v>
      </c>
      <c r="B2310" t="str">
        <f>"1551765158511709"</f>
        <v>1551765158511709</v>
      </c>
      <c r="C2310" t="s">
        <v>40</v>
      </c>
      <c r="D2310">
        <v>4.4677540000000002</v>
      </c>
      <c r="E2310">
        <v>0.45150299999999999</v>
      </c>
      <c r="F2310" t="s">
        <v>50</v>
      </c>
      <c r="G2310">
        <v>-454.8227</v>
      </c>
      <c r="H2310">
        <v>0.15083170000000001</v>
      </c>
      <c r="I2310">
        <v>277.51560000000001</v>
      </c>
      <c r="J2310">
        <v>-414.2122</v>
      </c>
      <c r="K2310">
        <v>1.1087209999999901</v>
      </c>
      <c r="L2310">
        <v>285.28030000000001</v>
      </c>
      <c r="M2310">
        <v>-0.99977830000000001</v>
      </c>
      <c r="N2310">
        <v>-1.403098E-2</v>
      </c>
      <c r="O2310">
        <v>1.5699810000000002E-2</v>
      </c>
      <c r="P2310">
        <v>-0.99563500000000005</v>
      </c>
      <c r="Q2310">
        <v>-7.3517089999999993E-2</v>
      </c>
      <c r="R2310">
        <v>-5.7501650000000001E-2</v>
      </c>
      <c r="S2310">
        <v>-2.9756770000000001</v>
      </c>
      <c r="T2310">
        <v>-6.9561120000000004E-2</v>
      </c>
      <c r="U2310">
        <v>-0.56347659999999999</v>
      </c>
      <c r="V2310">
        <v>-7.3170799999999994E-2</v>
      </c>
      <c r="W2310">
        <v>-5.9501060000000001E-2</v>
      </c>
      <c r="X2310">
        <v>0.99554290000000001</v>
      </c>
      <c r="Y2310">
        <v>-0.201372</v>
      </c>
      <c r="Z2310">
        <v>-3.9037719999999998E-3</v>
      </c>
      <c r="AA2310">
        <v>0.97950709999999996</v>
      </c>
      <c r="AB2310">
        <v>37</v>
      </c>
      <c r="AC2310">
        <v>-40.610500000000002</v>
      </c>
      <c r="AD2310">
        <v>-0.95788929999999906</v>
      </c>
      <c r="AE2310">
        <v>-7.7647000000000004</v>
      </c>
      <c r="AF2310">
        <v>-8.3968758121069893</v>
      </c>
      <c r="AG2310">
        <v>-0.95788929999999906</v>
      </c>
      <c r="AH2310">
        <v>40.461860134040798</v>
      </c>
      <c r="AI2310">
        <v>91.327878254305006</v>
      </c>
      <c r="AJ2310">
        <v>101.723932632914</v>
      </c>
      <c r="AK2310">
        <v>41.335060188920501</v>
      </c>
      <c r="AL2310">
        <v>93.411174430654199</v>
      </c>
      <c r="AM2310">
        <v>94.203589120906798</v>
      </c>
      <c r="AN2310">
        <v>1.00000000392708</v>
      </c>
    </row>
    <row r="2311" spans="1:40" x14ac:dyDescent="0.25">
      <c r="A2311" t="str">
        <f>"20190305135238546"</f>
        <v>20190305135238546</v>
      </c>
      <c r="B2311" t="str">
        <f>"1551765158541964"</f>
        <v>1551765158541964</v>
      </c>
      <c r="C2311" t="s">
        <v>40</v>
      </c>
      <c r="D2311">
        <v>4.4929180000000004</v>
      </c>
      <c r="E2311">
        <v>0.45139269999999998</v>
      </c>
      <c r="F2311" t="s">
        <v>50</v>
      </c>
      <c r="G2311">
        <v>-454.96429999999998</v>
      </c>
      <c r="H2311">
        <v>0.19259580000000001</v>
      </c>
      <c r="I2311">
        <v>277.5376</v>
      </c>
      <c r="J2311">
        <v>-414.58839999999998</v>
      </c>
      <c r="K2311">
        <v>1.1087129999999901</v>
      </c>
      <c r="L2311">
        <v>285.28649999999999</v>
      </c>
      <c r="M2311">
        <v>-0.99977369999999999</v>
      </c>
      <c r="N2311">
        <v>-1.402889E-2</v>
      </c>
      <c r="O2311">
        <v>1.6001270000000001E-2</v>
      </c>
      <c r="P2311">
        <v>-0.99554030000000004</v>
      </c>
      <c r="Q2311">
        <v>-7.4680700000000003E-2</v>
      </c>
      <c r="R2311">
        <v>-5.7642400000000003E-2</v>
      </c>
      <c r="S2311">
        <v>-2.9755549999999999</v>
      </c>
      <c r="T2311">
        <v>-6.6886899999999902E-2</v>
      </c>
      <c r="U2311">
        <v>-0.56533809999999995</v>
      </c>
      <c r="V2311">
        <v>-7.3611369999999995E-2</v>
      </c>
      <c r="W2311">
        <v>-6.0667459999999999E-2</v>
      </c>
      <c r="X2311">
        <v>0.99543999999999999</v>
      </c>
      <c r="Y2311">
        <v>-0.20227110000000001</v>
      </c>
      <c r="Z2311">
        <v>-3.8188950000000001E-3</v>
      </c>
      <c r="AA2311">
        <v>0.97932209999999997</v>
      </c>
      <c r="AB2311">
        <v>37</v>
      </c>
      <c r="AC2311">
        <v>-40.375900000000001</v>
      </c>
      <c r="AD2311">
        <v>-0.91611719999999996</v>
      </c>
      <c r="AE2311">
        <v>-7.7488999999999901</v>
      </c>
      <c r="AF2311">
        <v>-8.3898710350035994</v>
      </c>
      <c r="AG2311">
        <v>-0.91611719999999996</v>
      </c>
      <c r="AH2311">
        <v>40.226751347077503</v>
      </c>
      <c r="AI2311">
        <v>91.277146520865699</v>
      </c>
      <c r="AJ2311">
        <v>101.78098056762001</v>
      </c>
      <c r="AK2311">
        <v>41.1025635532351</v>
      </c>
      <c r="AL2311">
        <v>93.478125260035398</v>
      </c>
      <c r="AM2311">
        <v>94.229243433549598</v>
      </c>
      <c r="AN2311">
        <v>0.99999998404806401</v>
      </c>
    </row>
    <row r="2312" spans="1:40" x14ac:dyDescent="0.25">
      <c r="A2312" t="str">
        <f>"20190305135238568"</f>
        <v>20190305135238568</v>
      </c>
      <c r="B2312" t="str">
        <f>"1551765158561484"</f>
        <v>1551765158561484</v>
      </c>
      <c r="C2312" t="s">
        <v>40</v>
      </c>
      <c r="D2312">
        <v>4.4711730000000003</v>
      </c>
      <c r="E2312">
        <v>0.45129419999999998</v>
      </c>
      <c r="F2312" t="s">
        <v>50</v>
      </c>
      <c r="G2312">
        <v>-455.28739999999999</v>
      </c>
      <c r="H2312">
        <v>0.1800185</v>
      </c>
      <c r="I2312">
        <v>277.5376</v>
      </c>
      <c r="J2312">
        <v>-414.96660000000003</v>
      </c>
      <c r="K2312">
        <v>1.1087089999999999</v>
      </c>
      <c r="L2312">
        <v>285.29289999999997</v>
      </c>
      <c r="M2312">
        <v>-0.99976880000000001</v>
      </c>
      <c r="N2312">
        <v>-1.4026759999999999E-2</v>
      </c>
      <c r="O2312">
        <v>1.6303439999999999E-2</v>
      </c>
      <c r="P2312">
        <v>-0.99548419999999904</v>
      </c>
      <c r="Q2312">
        <v>-7.5624699999999906E-2</v>
      </c>
      <c r="R2312">
        <v>-5.7376719999999999E-2</v>
      </c>
      <c r="S2312">
        <v>-2.9755549999999999</v>
      </c>
      <c r="T2312">
        <v>-6.7893029999999993E-2</v>
      </c>
      <c r="U2312">
        <v>-0.56652829999999998</v>
      </c>
      <c r="V2312">
        <v>-7.3646489999999995E-2</v>
      </c>
      <c r="W2312">
        <v>-6.1614170000000003E-2</v>
      </c>
      <c r="X2312">
        <v>0.99537929999999997</v>
      </c>
      <c r="Y2312">
        <v>-0.20294280000000001</v>
      </c>
      <c r="Z2312">
        <v>-3.8729110000000001E-3</v>
      </c>
      <c r="AA2312">
        <v>0.97918300000000003</v>
      </c>
      <c r="AB2312">
        <v>37</v>
      </c>
      <c r="AC2312">
        <v>-40.320799999999899</v>
      </c>
      <c r="AD2312">
        <v>-0.92869049999999997</v>
      </c>
      <c r="AE2312">
        <v>-7.7552999999999699</v>
      </c>
      <c r="AF2312">
        <v>-8.4074004001480702</v>
      </c>
      <c r="AG2312">
        <v>-0.92869049999999997</v>
      </c>
      <c r="AH2312">
        <v>40.168440346763703</v>
      </c>
      <c r="AI2312">
        <v>91.296355863637501</v>
      </c>
      <c r="AJ2312">
        <v>101.821559974587</v>
      </c>
      <c r="AK2312">
        <v>41.049365980788501</v>
      </c>
      <c r="AL2312">
        <v>93.532469253534899</v>
      </c>
      <c r="AM2312">
        <v>94.231510972140597</v>
      </c>
      <c r="AN2312">
        <v>1.00000003115129</v>
      </c>
    </row>
    <row r="2313" spans="1:40" x14ac:dyDescent="0.25">
      <c r="A2313" t="str">
        <f>"20190305135238590"</f>
        <v>20190305135238590</v>
      </c>
      <c r="B2313" t="str">
        <f>"1551765158581980"</f>
        <v>1551765158581980</v>
      </c>
      <c r="C2313" t="s">
        <v>40</v>
      </c>
      <c r="D2313">
        <v>4.4510870000000002</v>
      </c>
      <c r="E2313">
        <v>0.45123829999999998</v>
      </c>
      <c r="F2313" t="s">
        <v>50</v>
      </c>
      <c r="G2313">
        <v>-455.7158</v>
      </c>
      <c r="H2313">
        <v>0.15466269999999999</v>
      </c>
      <c r="I2313">
        <v>277.5376</v>
      </c>
      <c r="J2313">
        <v>-415.32260000000002</v>
      </c>
      <c r="K2313">
        <v>1.108714</v>
      </c>
      <c r="L2313">
        <v>285.29899999999998</v>
      </c>
      <c r="M2313">
        <v>-0.99976410000000004</v>
      </c>
      <c r="N2313">
        <v>-1.4024740000000001E-2</v>
      </c>
      <c r="O2313">
        <v>1.6588660000000002E-2</v>
      </c>
      <c r="P2313">
        <v>-0.99556020000000001</v>
      </c>
      <c r="Q2313">
        <v>-7.5121960000000002E-2</v>
      </c>
      <c r="R2313">
        <v>-5.6716990000000002E-2</v>
      </c>
      <c r="S2313">
        <v>-2.9756469999999999</v>
      </c>
      <c r="T2313">
        <v>-6.9662810000000006E-2</v>
      </c>
      <c r="U2313">
        <v>-0.56631469999999995</v>
      </c>
      <c r="V2313">
        <v>-7.3271409999999995E-2</v>
      </c>
      <c r="W2313">
        <v>-6.1112729999999997E-2</v>
      </c>
      <c r="X2313">
        <v>0.99543789999999999</v>
      </c>
      <c r="Y2313">
        <v>-0.2031451</v>
      </c>
      <c r="Z2313">
        <v>-3.9485140000000002E-3</v>
      </c>
      <c r="AA2313">
        <v>0.97914069999999997</v>
      </c>
      <c r="AB2313">
        <v>37</v>
      </c>
      <c r="AC2313">
        <v>-40.393199999999901</v>
      </c>
      <c r="AD2313">
        <v>-0.95405130000000005</v>
      </c>
      <c r="AE2313">
        <v>-7.7614000000000303</v>
      </c>
      <c r="AF2313">
        <v>-8.4259335914511002</v>
      </c>
      <c r="AG2313">
        <v>-0.95405130000000005</v>
      </c>
      <c r="AH2313">
        <v>40.237229273102898</v>
      </c>
      <c r="AI2313">
        <v>91.329441031662398</v>
      </c>
      <c r="AJ2313">
        <v>101.827201343951</v>
      </c>
      <c r="AK2313">
        <v>41.121055316550702</v>
      </c>
      <c r="AL2313">
        <v>93.503684585825795</v>
      </c>
      <c r="AM2313">
        <v>94.2097907144082</v>
      </c>
      <c r="AN2313">
        <v>1.0000000390239201</v>
      </c>
    </row>
    <row r="2314" spans="1:40" x14ac:dyDescent="0.25">
      <c r="A2314" t="str">
        <f>"20190305135238613"</f>
        <v>20190305135238613</v>
      </c>
      <c r="B2314" t="str">
        <f>"1551765158601500"</f>
        <v>1551765158601500</v>
      </c>
      <c r="C2314" t="s">
        <v>40</v>
      </c>
      <c r="D2314">
        <v>4.4771450000000002</v>
      </c>
      <c r="E2314">
        <v>0.45118180000000002</v>
      </c>
      <c r="F2314" t="s">
        <v>56</v>
      </c>
      <c r="G2314">
        <v>-460.78500000000003</v>
      </c>
      <c r="H2314">
        <v>8.0001580000000003E-2</v>
      </c>
      <c r="I2314">
        <v>276.6696</v>
      </c>
      <c r="J2314">
        <v>-415.69869999999997</v>
      </c>
      <c r="K2314">
        <v>1.1087229999999999</v>
      </c>
      <c r="L2314">
        <v>285.30549999999999</v>
      </c>
      <c r="M2314">
        <v>-0.99975899999999995</v>
      </c>
      <c r="N2314">
        <v>-1.402254E-2</v>
      </c>
      <c r="O2314">
        <v>1.6889729999999999E-2</v>
      </c>
      <c r="P2314">
        <v>-0.99568679999999998</v>
      </c>
      <c r="Q2314">
        <v>-7.3991029999999999E-2</v>
      </c>
      <c r="R2314">
        <v>-5.5971359999999998E-2</v>
      </c>
      <c r="S2314">
        <v>-2.9761350000000002</v>
      </c>
      <c r="T2314">
        <v>-6.7343349999999996E-2</v>
      </c>
      <c r="U2314">
        <v>-0.56491089999999999</v>
      </c>
      <c r="V2314">
        <v>-7.2826420000000003E-2</v>
      </c>
      <c r="W2314">
        <v>-5.9982710000000002E-2</v>
      </c>
      <c r="X2314">
        <v>0.99553919999999996</v>
      </c>
      <c r="Y2314">
        <v>-0.2029695</v>
      </c>
      <c r="Z2314">
        <v>-3.8560270000000002E-3</v>
      </c>
      <c r="AA2314">
        <v>0.97917750000000003</v>
      </c>
      <c r="AB2314">
        <v>37</v>
      </c>
      <c r="AC2314">
        <v>-45.086300000000001</v>
      </c>
      <c r="AD2314">
        <v>-1.0287214200000001</v>
      </c>
      <c r="AE2314">
        <v>-8.6358999999999906</v>
      </c>
      <c r="AF2314">
        <v>-9.3915220266203807</v>
      </c>
      <c r="AG2314">
        <v>-1.0287214200000001</v>
      </c>
      <c r="AH2314">
        <v>44.911441618535299</v>
      </c>
      <c r="AI2314">
        <v>91.284390343311998</v>
      </c>
      <c r="AJ2314">
        <v>101.81104154494101</v>
      </c>
      <c r="AK2314">
        <v>45.894406434679702</v>
      </c>
      <c r="AL2314">
        <v>93.438820488047</v>
      </c>
      <c r="AM2314">
        <v>94.183890749872603</v>
      </c>
      <c r="AN2314">
        <v>0.99999995584279899</v>
      </c>
    </row>
    <row r="2315" spans="1:40" x14ac:dyDescent="0.25">
      <c r="A2315" t="str">
        <f>"20190305135238635"</f>
        <v>20190305135238635</v>
      </c>
      <c r="B2315" t="str">
        <f>"1551765158631757"</f>
        <v>1551765158631757</v>
      </c>
      <c r="C2315" t="s">
        <v>40</v>
      </c>
      <c r="D2315">
        <v>4.7598449999999897</v>
      </c>
      <c r="E2315">
        <v>0.46881679999999998</v>
      </c>
      <c r="F2315" t="s">
        <v>56</v>
      </c>
      <c r="G2315">
        <v>-463.8818</v>
      </c>
      <c r="H2315">
        <v>8.0000689999999999E-2</v>
      </c>
      <c r="I2315">
        <v>276.19040000000001</v>
      </c>
      <c r="J2315">
        <v>-416.05959999999999</v>
      </c>
      <c r="K2315">
        <v>1.1087309999999999</v>
      </c>
      <c r="L2315">
        <v>285.31189999999998</v>
      </c>
      <c r="M2315">
        <v>-0.99975420000000004</v>
      </c>
      <c r="N2315">
        <v>-1.4020360000000001E-2</v>
      </c>
      <c r="O2315">
        <v>1.71784E-2</v>
      </c>
      <c r="P2315">
        <v>-0.99579799999999996</v>
      </c>
      <c r="Q2315">
        <v>-7.3060310000000003E-2</v>
      </c>
      <c r="R2315">
        <v>-5.5215399999999998E-2</v>
      </c>
      <c r="S2315">
        <v>-2.9766240000000002</v>
      </c>
      <c r="T2315">
        <v>-6.3551659999999996E-2</v>
      </c>
      <c r="U2315">
        <v>-0.56311040000000001</v>
      </c>
      <c r="V2315">
        <v>-7.2359049999999994E-2</v>
      </c>
      <c r="W2315">
        <v>-5.9053130000000002E-2</v>
      </c>
      <c r="X2315">
        <v>0.99562890000000004</v>
      </c>
      <c r="Y2315">
        <v>-0.20265859999999999</v>
      </c>
      <c r="Z2315">
        <v>-3.7026329999999999E-3</v>
      </c>
      <c r="AA2315">
        <v>0.97924239999999996</v>
      </c>
      <c r="AB2315">
        <v>37</v>
      </c>
      <c r="AC2315">
        <v>-47.822200000000002</v>
      </c>
      <c r="AD2315">
        <v>-1.02873030999999</v>
      </c>
      <c r="AE2315">
        <v>-9.1214999999999602</v>
      </c>
      <c r="AF2315">
        <v>-9.9373063134900601</v>
      </c>
      <c r="AG2315">
        <v>-1.02873030999999</v>
      </c>
      <c r="AH2315">
        <v>47.637163674606697</v>
      </c>
      <c r="AI2315">
        <v>91.211055661581199</v>
      </c>
      <c r="AJ2315">
        <v>101.78315503677899</v>
      </c>
      <c r="AK2315">
        <v>48.673480518451903</v>
      </c>
      <c r="AL2315">
        <v>93.385464718237799</v>
      </c>
      <c r="AM2315">
        <v>94.156761477545999</v>
      </c>
      <c r="AN2315">
        <v>1.00000000539745</v>
      </c>
    </row>
    <row r="2316" spans="1:40" x14ac:dyDescent="0.25">
      <c r="A2316" t="str">
        <f>"20190305135238658"</f>
        <v>20190305135238658</v>
      </c>
      <c r="B2316" t="str">
        <f>"1551765158652252"</f>
        <v>1551765158652252</v>
      </c>
      <c r="C2316" t="s">
        <v>40</v>
      </c>
      <c r="D2316">
        <v>4.665006</v>
      </c>
      <c r="E2316">
        <v>0.53245500000000001</v>
      </c>
      <c r="F2316" t="s">
        <v>66</v>
      </c>
      <c r="G2316">
        <v>-436.45519999999999</v>
      </c>
      <c r="H2316" s="1">
        <v>5.268038E-6</v>
      </c>
      <c r="I2316">
        <v>282.46089999999998</v>
      </c>
      <c r="J2316">
        <v>-416.4248</v>
      </c>
      <c r="K2316">
        <v>1.108724</v>
      </c>
      <c r="L2316">
        <v>285.31849999999997</v>
      </c>
      <c r="M2316">
        <v>-0.99974909999999995</v>
      </c>
      <c r="N2316">
        <v>-1.401823E-2</v>
      </c>
      <c r="O2316">
        <v>1.7470880000000001E-2</v>
      </c>
      <c r="P2316">
        <v>-0.99584139999999999</v>
      </c>
      <c r="Q2316">
        <v>-7.2695540000000003E-2</v>
      </c>
      <c r="R2316">
        <v>-5.4909399999999997E-2</v>
      </c>
      <c r="S2316">
        <v>-2.9776919999999998</v>
      </c>
      <c r="T2316">
        <v>-0.1618705</v>
      </c>
      <c r="U2316">
        <v>-0.41622920000000002</v>
      </c>
      <c r="V2316">
        <v>-7.2344939999999996E-2</v>
      </c>
      <c r="W2316">
        <v>-5.8690140000000002E-2</v>
      </c>
      <c r="X2316">
        <v>0.99565139999999996</v>
      </c>
      <c r="Y2316">
        <v>-0.15542159999999999</v>
      </c>
      <c r="Z2316">
        <v>-5.9978000000000002E-3</v>
      </c>
      <c r="AA2316">
        <v>0.98782999999999999</v>
      </c>
      <c r="AB2316">
        <v>37</v>
      </c>
      <c r="AC2316">
        <v>-20.030399999999901</v>
      </c>
      <c r="AD2316">
        <v>-1.108718731962</v>
      </c>
      <c r="AE2316">
        <v>-2.8575999999999899</v>
      </c>
      <c r="AF2316">
        <v>-3.1975455719082202</v>
      </c>
      <c r="AG2316">
        <v>-1.108718731962</v>
      </c>
      <c r="AH2316">
        <v>19.917605752659998</v>
      </c>
      <c r="AI2316">
        <v>93.145897705185206</v>
      </c>
      <c r="AJ2316">
        <v>99.120366498525598</v>
      </c>
      <c r="AK2316">
        <v>20.203083275317901</v>
      </c>
      <c r="AL2316">
        <v>93.364630750317602</v>
      </c>
      <c r="AM2316">
        <v>94.155860161998206</v>
      </c>
      <c r="AN2316">
        <v>1.0000000165993901</v>
      </c>
    </row>
    <row r="2317" spans="1:40" x14ac:dyDescent="0.25">
      <c r="A2317" t="str">
        <f>"20190305135238679"</f>
        <v>20190305135238679</v>
      </c>
      <c r="B2317" t="str">
        <f>"1551765158671777"</f>
        <v>1551765158671777</v>
      </c>
      <c r="C2317" t="s">
        <v>40</v>
      </c>
      <c r="D2317">
        <v>4.6010519999999904</v>
      </c>
      <c r="E2317">
        <v>0.53832950000000002</v>
      </c>
      <c r="F2317" t="s">
        <v>66</v>
      </c>
      <c r="G2317">
        <v>-434.81290000000001</v>
      </c>
      <c r="H2317" s="1">
        <v>4.2404769999999999E-6</v>
      </c>
      <c r="I2317">
        <v>285.88420000000002</v>
      </c>
      <c r="J2317">
        <v>-416.79520000000002</v>
      </c>
      <c r="K2317">
        <v>1.10873</v>
      </c>
      <c r="L2317">
        <v>285.32530000000003</v>
      </c>
      <c r="M2317">
        <v>-0.99974399999999997</v>
      </c>
      <c r="N2317">
        <v>-1.401609E-2</v>
      </c>
      <c r="O2317">
        <v>1.776747E-2</v>
      </c>
      <c r="P2317">
        <v>-0.99586770000000002</v>
      </c>
      <c r="Q2317">
        <v>-7.2730169999999997E-2</v>
      </c>
      <c r="R2317">
        <v>-5.438954E-2</v>
      </c>
      <c r="S2317">
        <v>-3.0043950000000001</v>
      </c>
      <c r="T2317">
        <v>-0.18115139999999999</v>
      </c>
      <c r="U2317">
        <v>9.2437740000000004E-2</v>
      </c>
      <c r="V2317">
        <v>-7.2120199999999995E-2</v>
      </c>
      <c r="W2317">
        <v>-5.8726849999999997E-2</v>
      </c>
      <c r="X2317">
        <v>0.99566560000000004</v>
      </c>
      <c r="Y2317">
        <v>1.2977249999999999E-2</v>
      </c>
      <c r="Z2317">
        <v>-3.3926079999999998E-4</v>
      </c>
      <c r="AA2317">
        <v>0.99991569999999996</v>
      </c>
      <c r="AB2317">
        <v>37</v>
      </c>
      <c r="AC2317">
        <v>-18.017699999999898</v>
      </c>
      <c r="AD2317">
        <v>-1.108725759523</v>
      </c>
      <c r="AE2317">
        <v>0.55889999999999396</v>
      </c>
      <c r="AF2317">
        <v>0.237751989812438</v>
      </c>
      <c r="AG2317">
        <v>-1.108725759523</v>
      </c>
      <c r="AH2317">
        <v>17.956856398312201</v>
      </c>
      <c r="AI2317">
        <v>93.532868852765205</v>
      </c>
      <c r="AJ2317">
        <v>89.241437957271302</v>
      </c>
      <c r="AK2317">
        <v>17.992623225313601</v>
      </c>
      <c r="AL2317">
        <v>93.366737510293504</v>
      </c>
      <c r="AM2317">
        <v>94.142936099966903</v>
      </c>
      <c r="AN2317">
        <v>1.0000000765911501</v>
      </c>
    </row>
    <row r="2318" spans="1:40" x14ac:dyDescent="0.25">
      <c r="A2318" t="str">
        <f>"20190305135238702"</f>
        <v>20190305135238702</v>
      </c>
      <c r="B2318" t="str">
        <f>"1551765158692268"</f>
        <v>1551765158692268</v>
      </c>
      <c r="C2318" t="s">
        <v>40</v>
      </c>
      <c r="D2318">
        <v>4.5952109999999999</v>
      </c>
      <c r="E2318">
        <v>0.53956700000000002</v>
      </c>
      <c r="F2318" t="s">
        <v>66</v>
      </c>
      <c r="G2318">
        <v>-435.51190000000003</v>
      </c>
      <c r="H2318" s="1">
        <v>4.5227290000000001E-6</v>
      </c>
      <c r="I2318">
        <v>286.2011</v>
      </c>
      <c r="J2318">
        <v>-417.15230000000003</v>
      </c>
      <c r="K2318">
        <v>1.1087389999999999</v>
      </c>
      <c r="L2318">
        <v>285.33190000000002</v>
      </c>
      <c r="M2318">
        <v>-0.99973889999999999</v>
      </c>
      <c r="N2318">
        <v>-1.401404E-2</v>
      </c>
      <c r="O2318">
        <v>1.8053449999999999E-2</v>
      </c>
      <c r="P2318">
        <v>-0.99582959999999998</v>
      </c>
      <c r="Q2318">
        <v>-7.3145020000000005E-2</v>
      </c>
      <c r="R2318">
        <v>-5.4529420000000002E-2</v>
      </c>
      <c r="S2318">
        <v>-3.0071110000000001</v>
      </c>
      <c r="T2318">
        <v>-0.17813289999999901</v>
      </c>
      <c r="U2318">
        <v>0.1407166</v>
      </c>
      <c r="V2318">
        <v>-7.2544289999999997E-2</v>
      </c>
      <c r="W2318">
        <v>-5.9144290000000002E-2</v>
      </c>
      <c r="X2318">
        <v>0.99560999999999999</v>
      </c>
      <c r="Y2318">
        <v>2.8656729999999998E-2</v>
      </c>
      <c r="Z2318">
        <v>2.3368520000000001E-4</v>
      </c>
      <c r="AA2318">
        <v>0.99958930000000001</v>
      </c>
      <c r="AB2318">
        <v>37</v>
      </c>
      <c r="AC2318">
        <v>-18.3596</v>
      </c>
      <c r="AD2318">
        <v>-1.1087344772709999</v>
      </c>
      <c r="AE2318">
        <v>0.86919999999997799</v>
      </c>
      <c r="AF2318">
        <v>0.53562265542663401</v>
      </c>
      <c r="AG2318">
        <v>-1.1087344772709999</v>
      </c>
      <c r="AH2318">
        <v>18.3056903575002</v>
      </c>
      <c r="AI2318">
        <v>93.464563104113793</v>
      </c>
      <c r="AJ2318">
        <v>88.324009450407999</v>
      </c>
      <c r="AK2318">
        <v>18.347056527813098</v>
      </c>
      <c r="AL2318">
        <v>93.390696976602101</v>
      </c>
      <c r="AM2318">
        <v>94.167444223347402</v>
      </c>
      <c r="AN2318">
        <v>0.99999999657560401</v>
      </c>
    </row>
    <row r="2319" spans="1:40" x14ac:dyDescent="0.25">
      <c r="A2319" t="str">
        <f>"20190305135238725"</f>
        <v>20190305135238725</v>
      </c>
      <c r="B2319" t="str">
        <f>"1551765158721548"</f>
        <v>1551765158721548</v>
      </c>
      <c r="C2319" t="s">
        <v>40</v>
      </c>
      <c r="D2319">
        <v>4.585655</v>
      </c>
      <c r="E2319">
        <v>0.53975240000000002</v>
      </c>
      <c r="F2319" t="s">
        <v>66</v>
      </c>
      <c r="G2319">
        <v>-435.4144</v>
      </c>
      <c r="H2319" s="1">
        <v>4.4757390000000002E-6</v>
      </c>
      <c r="I2319">
        <v>286.24419999999998</v>
      </c>
      <c r="J2319">
        <v>-417.52449999999999</v>
      </c>
      <c r="K2319">
        <v>1.1087480000000001</v>
      </c>
      <c r="L2319">
        <v>285.33890000000002</v>
      </c>
      <c r="M2319">
        <v>-0.99973339999999999</v>
      </c>
      <c r="N2319">
        <v>-1.4011880000000001E-2</v>
      </c>
      <c r="O2319">
        <v>1.834997E-2</v>
      </c>
      <c r="P2319">
        <v>-0.99584649999999997</v>
      </c>
      <c r="Q2319">
        <v>-7.2656120000000005E-2</v>
      </c>
      <c r="R2319">
        <v>-5.4871610000000001E-2</v>
      </c>
      <c r="S2319">
        <v>-3.0074160000000001</v>
      </c>
      <c r="T2319">
        <v>-0.182587</v>
      </c>
      <c r="U2319">
        <v>0.15023800000000001</v>
      </c>
      <c r="V2319">
        <v>-7.3181099999999999E-2</v>
      </c>
      <c r="W2319">
        <v>-5.865745E-2</v>
      </c>
      <c r="X2319">
        <v>0.99559219999999904</v>
      </c>
      <c r="Y2319">
        <v>3.1504999999999998E-2</v>
      </c>
      <c r="Z2319">
        <v>3.2066750000000002E-4</v>
      </c>
      <c r="AA2319">
        <v>0.99950360000000005</v>
      </c>
      <c r="AB2319">
        <v>37</v>
      </c>
      <c r="AC2319">
        <v>-17.889900000000001</v>
      </c>
      <c r="AD2319">
        <v>-1.108743524261</v>
      </c>
      <c r="AE2319">
        <v>0.90529999999995403</v>
      </c>
      <c r="AF2319">
        <v>0.57463462455264602</v>
      </c>
      <c r="AG2319">
        <v>-1.108743524261</v>
      </c>
      <c r="AH2319">
        <v>17.835170819509301</v>
      </c>
      <c r="AI2319">
        <v>93.5554388033583</v>
      </c>
      <c r="AJ2319">
        <v>88.154615193231095</v>
      </c>
      <c r="AK2319">
        <v>17.8788376388232</v>
      </c>
      <c r="AL2319">
        <v>93.362754577305694</v>
      </c>
      <c r="AM2319">
        <v>94.203971286820405</v>
      </c>
      <c r="AN2319">
        <v>0.99999999926927596</v>
      </c>
    </row>
    <row r="2320" spans="1:40" x14ac:dyDescent="0.25">
      <c r="A2320" t="str">
        <f>"20190305135238748"</f>
        <v>20190305135238748</v>
      </c>
      <c r="B2320" t="str">
        <f>"1551765158742044"</f>
        <v>1551765158742044</v>
      </c>
      <c r="C2320" t="s">
        <v>40</v>
      </c>
      <c r="D2320">
        <v>4.6119139999999996</v>
      </c>
      <c r="E2320">
        <v>0.54030199999999995</v>
      </c>
      <c r="F2320" t="s">
        <v>66</v>
      </c>
      <c r="G2320">
        <v>-435.76369999999997</v>
      </c>
      <c r="H2320" s="1">
        <v>4.6298239999999999E-6</v>
      </c>
      <c r="I2320">
        <v>286.25369999999998</v>
      </c>
      <c r="J2320">
        <v>-417.90120000000002</v>
      </c>
      <c r="K2320">
        <v>1.10877</v>
      </c>
      <c r="L2320">
        <v>285.34609999999998</v>
      </c>
      <c r="M2320">
        <v>-0.99972819999999996</v>
      </c>
      <c r="N2320">
        <v>-1.40097E-2</v>
      </c>
      <c r="O2320">
        <v>1.8636920000000001E-2</v>
      </c>
      <c r="P2320">
        <v>-0.99596200000000001</v>
      </c>
      <c r="Q2320">
        <v>-7.0761550000000006E-2</v>
      </c>
      <c r="R2320">
        <v>-5.5251809999999998E-2</v>
      </c>
      <c r="S2320">
        <v>-3.0074770000000002</v>
      </c>
      <c r="T2320">
        <v>-0.1828215</v>
      </c>
      <c r="U2320">
        <v>0.15084839999999999</v>
      </c>
      <c r="V2320">
        <v>-7.3846679999999998E-2</v>
      </c>
      <c r="W2320">
        <v>-5.676465E-2</v>
      </c>
      <c r="X2320">
        <v>0.9956528</v>
      </c>
      <c r="Y2320">
        <v>3.1419849999999999E-2</v>
      </c>
      <c r="Z2320">
        <v>3.0382070000000002E-4</v>
      </c>
      <c r="AA2320">
        <v>0.99950620000000001</v>
      </c>
      <c r="AB2320">
        <v>37</v>
      </c>
      <c r="AC2320">
        <v>-17.862499999999901</v>
      </c>
      <c r="AD2320">
        <v>-1.1087653701760001</v>
      </c>
      <c r="AE2320">
        <v>0.90760000000000196</v>
      </c>
      <c r="AF2320">
        <v>0.57230828591502703</v>
      </c>
      <c r="AG2320">
        <v>-1.1087653701760001</v>
      </c>
      <c r="AH2320">
        <v>17.807877108646299</v>
      </c>
      <c r="AI2320">
        <v>93.560953387044705</v>
      </c>
      <c r="AJ2320">
        <v>88.159265877120603</v>
      </c>
      <c r="AK2320">
        <v>17.851537315785301</v>
      </c>
      <c r="AL2320">
        <v>93.254123964719398</v>
      </c>
      <c r="AM2320">
        <v>94.241810087182103</v>
      </c>
      <c r="AN2320">
        <v>1.0000000278922401</v>
      </c>
    </row>
    <row r="2321" spans="1:40" x14ac:dyDescent="0.25">
      <c r="A2321" t="str">
        <f>"20190305135238770"</f>
        <v>20190305135238770</v>
      </c>
      <c r="B2321" t="str">
        <f>"1551765158761564"</f>
        <v>1551765158761564</v>
      </c>
      <c r="C2321" t="s">
        <v>40</v>
      </c>
      <c r="D2321">
        <v>4.6264669999999999</v>
      </c>
      <c r="E2321">
        <v>0.54077209999999998</v>
      </c>
      <c r="F2321" t="s">
        <v>41</v>
      </c>
      <c r="G2321">
        <v>-418.92430000000002</v>
      </c>
      <c r="H2321">
        <v>1.0482670000000001</v>
      </c>
      <c r="I2321">
        <v>285.39890000000003</v>
      </c>
      <c r="J2321">
        <v>-418.27109999999999</v>
      </c>
      <c r="K2321">
        <v>1.1087940000000001</v>
      </c>
      <c r="L2321">
        <v>285.35329999999999</v>
      </c>
      <c r="M2321">
        <v>-0.99972360000000005</v>
      </c>
      <c r="N2321">
        <v>-1.400766E-2</v>
      </c>
      <c r="O2321">
        <v>1.8891359999999999E-2</v>
      </c>
      <c r="P2321">
        <v>-0.9961373</v>
      </c>
      <c r="Q2321">
        <v>-6.8468909999999994E-2</v>
      </c>
      <c r="R2321">
        <v>-5.4978930000000002E-2</v>
      </c>
      <c r="S2321">
        <v>-3.008057</v>
      </c>
      <c r="T2321">
        <v>-0.17808599999999999</v>
      </c>
      <c r="U2321">
        <v>0.1541138</v>
      </c>
      <c r="V2321">
        <v>-7.382669E-2</v>
      </c>
      <c r="W2321">
        <v>-5.4474870000000002E-2</v>
      </c>
      <c r="X2321">
        <v>0.9957821</v>
      </c>
      <c r="Y2321">
        <v>3.223852E-2</v>
      </c>
      <c r="Z2321">
        <v>3.2684579999999998E-4</v>
      </c>
      <c r="AA2321">
        <v>0.99948009999999998</v>
      </c>
      <c r="AB2321">
        <v>37</v>
      </c>
      <c r="AC2321">
        <v>-0.65320000000002598</v>
      </c>
      <c r="AD2321">
        <v>-6.0526999999999997E-2</v>
      </c>
      <c r="AE2321">
        <v>4.5600000000035799E-2</v>
      </c>
      <c r="AF2321">
        <v>3.2969106226719398E-2</v>
      </c>
      <c r="AG2321">
        <v>-6.0526999999999997E-2</v>
      </c>
      <c r="AH2321">
        <v>0.64840454538122905</v>
      </c>
      <c r="AI2321">
        <v>95.326127620007895</v>
      </c>
      <c r="AJ2321">
        <v>87.089216502839193</v>
      </c>
      <c r="AK2321">
        <v>0.65205746231864203</v>
      </c>
      <c r="AL2321">
        <v>93.1227260791823</v>
      </c>
      <c r="AM2321">
        <v>94.240117403252398</v>
      </c>
      <c r="AN2321">
        <v>0.99999994114913904</v>
      </c>
    </row>
    <row r="2322" spans="1:40" x14ac:dyDescent="0.25">
      <c r="A2322" t="str">
        <f>"20190305135238790"</f>
        <v>20190305135238790</v>
      </c>
      <c r="B2322" t="str">
        <f>"1551765158782060"</f>
        <v>1551765158782060</v>
      </c>
      <c r="C2322" t="s">
        <v>40</v>
      </c>
      <c r="D2322">
        <v>4.5774929999999996</v>
      </c>
      <c r="E2322">
        <v>0.54103049999999997</v>
      </c>
      <c r="F2322" t="s">
        <v>66</v>
      </c>
      <c r="G2322">
        <v>-437.71469999999999</v>
      </c>
      <c r="H2322" s="1">
        <v>5.4840380000000001E-6</v>
      </c>
      <c r="I2322">
        <v>286.37909999999999</v>
      </c>
      <c r="J2322">
        <v>-418.61500000000001</v>
      </c>
      <c r="K2322">
        <v>1.108824</v>
      </c>
      <c r="L2322">
        <v>285.36</v>
      </c>
      <c r="M2322">
        <v>-0.99971960000000004</v>
      </c>
      <c r="N2322">
        <v>-1.400564E-2</v>
      </c>
      <c r="O2322">
        <v>1.9099370000000001E-2</v>
      </c>
      <c r="P2322">
        <v>-0.99628079999999997</v>
      </c>
      <c r="Q2322">
        <v>-6.7259369999999999E-2</v>
      </c>
      <c r="R2322">
        <v>-5.3862340000000002E-2</v>
      </c>
      <c r="S2322">
        <v>-3.0086059999999999</v>
      </c>
      <c r="T2322">
        <v>-0.17156849999999901</v>
      </c>
      <c r="U2322">
        <v>0.1587219</v>
      </c>
      <c r="V2322">
        <v>-7.2916419999999996E-2</v>
      </c>
      <c r="W2322">
        <v>-5.3270030000000003E-2</v>
      </c>
      <c r="X2322">
        <v>0.99591439999999998</v>
      </c>
      <c r="Y2322">
        <v>3.354824E-2</v>
      </c>
      <c r="Z2322">
        <v>3.7033930000000001E-4</v>
      </c>
      <c r="AA2322">
        <v>0.99943700000000002</v>
      </c>
      <c r="AB2322">
        <v>37</v>
      </c>
      <c r="AC2322">
        <v>-19.099699999999899</v>
      </c>
      <c r="AD2322">
        <v>-1.1088185159620001</v>
      </c>
      <c r="AE2322">
        <v>1.0190999999999799</v>
      </c>
      <c r="AF2322">
        <v>0.65189524791268905</v>
      </c>
      <c r="AG2322">
        <v>-1.1088185159620001</v>
      </c>
      <c r="AH2322">
        <v>19.0516540225147</v>
      </c>
      <c r="AI2322">
        <v>93.328949830768593</v>
      </c>
      <c r="AJ2322">
        <v>88.040260465885495</v>
      </c>
      <c r="AK2322">
        <v>19.0950246637492</v>
      </c>
      <c r="AL2322">
        <v>93.053593262743405</v>
      </c>
      <c r="AM2322">
        <v>94.187470309187404</v>
      </c>
      <c r="AN2322">
        <v>0.99999999626458802</v>
      </c>
    </row>
    <row r="2323" spans="1:40" x14ac:dyDescent="0.25">
      <c r="A2323" t="str">
        <f>"20190305135238804"</f>
        <v>20190305135238804</v>
      </c>
      <c r="B2323" t="str">
        <f>"1551765158801580"</f>
        <v>1551765158801580</v>
      </c>
      <c r="C2323" t="s">
        <v>40</v>
      </c>
      <c r="D2323">
        <v>4.6046209999999999</v>
      </c>
      <c r="E2323">
        <v>0.54140889999999997</v>
      </c>
      <c r="F2323" t="s">
        <v>66</v>
      </c>
      <c r="G2323">
        <v>-438.46129999999999</v>
      </c>
      <c r="H2323" s="1">
        <v>5.8095989999999898E-6</v>
      </c>
      <c r="I2323">
        <v>286.44229999999999</v>
      </c>
      <c r="J2323">
        <v>-418.83690000000001</v>
      </c>
      <c r="K2323">
        <v>1.1088420000000001</v>
      </c>
      <c r="L2323">
        <v>285.36439999999999</v>
      </c>
      <c r="M2323">
        <v>-0.99971739999999998</v>
      </c>
      <c r="N2323">
        <v>-1.4004320000000001E-2</v>
      </c>
      <c r="O2323">
        <v>1.9215280000000001E-2</v>
      </c>
      <c r="P2323">
        <v>-0.99634920000000005</v>
      </c>
      <c r="Q2323">
        <v>-6.6865789999999994E-2</v>
      </c>
      <c r="R2323">
        <v>-5.3079620000000001E-2</v>
      </c>
      <c r="S2323">
        <v>-3.0086979999999999</v>
      </c>
      <c r="T2323">
        <v>-0.1680963</v>
      </c>
      <c r="U2323">
        <v>0.1640625</v>
      </c>
      <c r="V2323">
        <v>-7.2247820000000004E-2</v>
      </c>
      <c r="W2323">
        <v>-5.2880660000000003E-2</v>
      </c>
      <c r="X2323">
        <v>0.99598390000000003</v>
      </c>
      <c r="Y2323">
        <v>3.5198090000000001E-2</v>
      </c>
      <c r="Z2323">
        <v>4.257264E-4</v>
      </c>
      <c r="AA2323">
        <v>0.9993803</v>
      </c>
      <c r="AB2323">
        <v>37</v>
      </c>
      <c r="AC2323">
        <v>-19.624399999999898</v>
      </c>
      <c r="AD2323">
        <v>-1.108836190401</v>
      </c>
      <c r="AE2323">
        <v>1.0778999999999901</v>
      </c>
      <c r="AF2323">
        <v>0.69835282472563898</v>
      </c>
      <c r="AG2323">
        <v>-1.108836190401</v>
      </c>
      <c r="AH2323">
        <v>19.5791701219703</v>
      </c>
      <c r="AI2323">
        <v>93.239340364989701</v>
      </c>
      <c r="AJ2323">
        <v>87.957231389692694</v>
      </c>
      <c r="AK2323">
        <v>19.622974214680099</v>
      </c>
      <c r="AL2323">
        <v>93.031252442639001</v>
      </c>
      <c r="AM2323">
        <v>94.148919904763204</v>
      </c>
      <c r="AN2323">
        <v>1.00000002037799</v>
      </c>
    </row>
    <row r="2324" spans="1:40" x14ac:dyDescent="0.25">
      <c r="A2324" t="str">
        <f>"20190305135238818"</f>
        <v>20190305135238818</v>
      </c>
      <c r="B2324" t="str">
        <f>"1551765158812317"</f>
        <v>1551765158812317</v>
      </c>
      <c r="C2324" t="s">
        <v>40</v>
      </c>
      <c r="D2324">
        <v>4.5462119999999997</v>
      </c>
      <c r="E2324">
        <v>0.54142849999999998</v>
      </c>
      <c r="F2324" t="s">
        <v>66</v>
      </c>
      <c r="G2324">
        <v>-438.8125</v>
      </c>
      <c r="H2324" s="1">
        <v>5.9611559999999901E-6</v>
      </c>
      <c r="I2324">
        <v>286.49029999999999</v>
      </c>
      <c r="J2324">
        <v>-419.04140000000001</v>
      </c>
      <c r="K2324">
        <v>1.108857</v>
      </c>
      <c r="L2324">
        <v>285.36849999999998</v>
      </c>
      <c r="M2324">
        <v>-0.99971569999999998</v>
      </c>
      <c r="N2324">
        <v>-1.4003079999999999E-2</v>
      </c>
      <c r="O2324">
        <v>1.929399E-2</v>
      </c>
      <c r="P2324">
        <v>-0.99638409999999999</v>
      </c>
      <c r="Q2324">
        <v>-6.7026240000000001E-2</v>
      </c>
      <c r="R2324">
        <v>-5.2210220000000002E-2</v>
      </c>
      <c r="S2324">
        <v>-3.0088499999999998</v>
      </c>
      <c r="T2324">
        <v>-0.16701959999999999</v>
      </c>
      <c r="U2324">
        <v>0.16958619999999999</v>
      </c>
      <c r="V2324">
        <v>-7.1454530000000002E-2</v>
      </c>
      <c r="W2324">
        <v>-5.304627E-2</v>
      </c>
      <c r="X2324">
        <v>0.99603229999999998</v>
      </c>
      <c r="Y2324">
        <v>3.6942870000000003E-2</v>
      </c>
      <c r="Z2324">
        <v>4.8359830000000001E-4</v>
      </c>
      <c r="AA2324">
        <v>0.99931729999999996</v>
      </c>
      <c r="AB2324">
        <v>37</v>
      </c>
      <c r="AC2324">
        <v>-19.771099999999901</v>
      </c>
      <c r="AD2324">
        <v>-1.108851038844</v>
      </c>
      <c r="AE2324">
        <v>1.1217999999999999</v>
      </c>
      <c r="AF2324">
        <v>0.73777709119762702</v>
      </c>
      <c r="AG2324">
        <v>-1.108851038844</v>
      </c>
      <c r="AH2324">
        <v>19.727212963084401</v>
      </c>
      <c r="AI2324">
        <v>93.214922296681706</v>
      </c>
      <c r="AJ2324">
        <v>87.858196085818903</v>
      </c>
      <c r="AK2324">
        <v>19.7721217109729</v>
      </c>
      <c r="AL2324">
        <v>93.040754596299806</v>
      </c>
      <c r="AM2324">
        <v>94.103322012568498</v>
      </c>
      <c r="AN2324">
        <v>0.99999999963086095</v>
      </c>
    </row>
    <row r="2325" spans="1:40" x14ac:dyDescent="0.25">
      <c r="A2325" t="str">
        <f>"20190305135238830"</f>
        <v>20190305135238830</v>
      </c>
      <c r="B2325" t="str">
        <f>"1551765158822076"</f>
        <v>1551765158822076</v>
      </c>
      <c r="C2325" t="s">
        <v>40</v>
      </c>
      <c r="D2325">
        <v>4.5349250000000003</v>
      </c>
      <c r="E2325">
        <v>0.54168179999999999</v>
      </c>
      <c r="F2325" t="s">
        <v>66</v>
      </c>
      <c r="G2325">
        <v>-438.74650000000003</v>
      </c>
      <c r="H2325" s="1">
        <v>5.9311730000000004E-6</v>
      </c>
      <c r="I2325">
        <v>286.49799999999999</v>
      </c>
      <c r="J2325">
        <v>-419.25540000000001</v>
      </c>
      <c r="K2325">
        <v>1.108884</v>
      </c>
      <c r="L2325">
        <v>285.37270000000001</v>
      </c>
      <c r="M2325">
        <v>-0.99971460000000001</v>
      </c>
      <c r="N2325">
        <v>-1.40018E-2</v>
      </c>
      <c r="O2325">
        <v>1.9356640000000001E-2</v>
      </c>
      <c r="P2325">
        <v>-0.99641259999999998</v>
      </c>
      <c r="Q2325">
        <v>-6.7248500000000003E-2</v>
      </c>
      <c r="R2325">
        <v>-5.1375820000000003E-2</v>
      </c>
      <c r="S2325">
        <v>-3.0085139999999999</v>
      </c>
      <c r="T2325">
        <v>-0.1692969</v>
      </c>
      <c r="U2325">
        <v>0.17245479999999899</v>
      </c>
      <c r="V2325">
        <v>-7.0679969999999995E-2</v>
      </c>
      <c r="W2325">
        <v>-5.3274589999999997E-2</v>
      </c>
      <c r="X2325">
        <v>0.99607540000000006</v>
      </c>
      <c r="Y2325">
        <v>3.7833430000000001E-2</v>
      </c>
      <c r="Z2325">
        <v>5.1155379999999896E-4</v>
      </c>
      <c r="AA2325">
        <v>0.9992839</v>
      </c>
      <c r="AB2325">
        <v>36</v>
      </c>
      <c r="AC2325">
        <v>-19.491099999999999</v>
      </c>
      <c r="AD2325">
        <v>-1.1088780688269999</v>
      </c>
      <c r="AE2325">
        <v>1.12529999999998</v>
      </c>
      <c r="AF2325">
        <v>0.74536546532336501</v>
      </c>
      <c r="AG2325">
        <v>-1.1088780688269999</v>
      </c>
      <c r="AH2325">
        <v>19.4464993577703</v>
      </c>
      <c r="AI2325">
        <v>93.2611956884341</v>
      </c>
      <c r="AJ2325">
        <v>87.804982814258906</v>
      </c>
      <c r="AK2325">
        <v>19.492345100582</v>
      </c>
      <c r="AL2325">
        <v>93.053854826519697</v>
      </c>
      <c r="AM2325">
        <v>94.058816845859496</v>
      </c>
      <c r="AN2325">
        <v>1.0000000212920099</v>
      </c>
    </row>
    <row r="2326" spans="1:40" x14ac:dyDescent="0.25">
      <c r="A2326" t="str">
        <f>"20190305135238843"</f>
        <v>20190305135238843</v>
      </c>
      <c r="B2326" t="str">
        <f>"1551765158831837"</f>
        <v>1551765158831837</v>
      </c>
      <c r="C2326" t="s">
        <v>40</v>
      </c>
      <c r="D2326">
        <v>4.5545019999999896</v>
      </c>
      <c r="E2326">
        <v>0.54176309999999905</v>
      </c>
      <c r="F2326" t="s">
        <v>66</v>
      </c>
      <c r="G2326">
        <v>-438.8845</v>
      </c>
      <c r="H2326" s="1">
        <v>5.9898959999999999E-6</v>
      </c>
      <c r="I2326">
        <v>286.52670000000001</v>
      </c>
      <c r="J2326">
        <v>-419.4699</v>
      </c>
      <c r="K2326">
        <v>1.1089169999999999</v>
      </c>
      <c r="L2326">
        <v>285.37689999999998</v>
      </c>
      <c r="M2326">
        <v>-0.99971399999999999</v>
      </c>
      <c r="N2326">
        <v>-1.4000540000000001E-2</v>
      </c>
      <c r="O2326">
        <v>1.939213E-2</v>
      </c>
      <c r="P2326">
        <v>-0.99644429999999995</v>
      </c>
      <c r="Q2326">
        <v>-6.7388649999999994E-2</v>
      </c>
      <c r="R2326">
        <v>-5.057582E-2</v>
      </c>
      <c r="S2326">
        <v>-3.0084529999999998</v>
      </c>
      <c r="T2326">
        <v>-0.1699522</v>
      </c>
      <c r="U2326">
        <v>0.17687990000000001</v>
      </c>
      <c r="V2326">
        <v>-6.9911379999999995E-2</v>
      </c>
      <c r="W2326">
        <v>-5.3421650000000001E-2</v>
      </c>
      <c r="X2326">
        <v>0.99612179999999995</v>
      </c>
      <c r="Y2326">
        <v>3.9260820000000002E-2</v>
      </c>
      <c r="Z2326">
        <v>5.6017350000000003E-4</v>
      </c>
      <c r="AA2326">
        <v>0.99922880000000003</v>
      </c>
      <c r="AB2326">
        <v>36</v>
      </c>
      <c r="AC2326">
        <v>-19.4146</v>
      </c>
      <c r="AD2326">
        <v>-1.1089110101039901</v>
      </c>
      <c r="AE2326">
        <v>1.1498000000000199</v>
      </c>
      <c r="AF2326">
        <v>0.77055136420995396</v>
      </c>
      <c r="AG2326">
        <v>-1.1089110101039901</v>
      </c>
      <c r="AH2326">
        <v>19.370275110028</v>
      </c>
      <c r="AI2326">
        <v>93.273913198065898</v>
      </c>
      <c r="AJ2326">
        <v>87.721969627428805</v>
      </c>
      <c r="AK2326">
        <v>19.4172858780877</v>
      </c>
      <c r="AL2326">
        <v>93.062292649784695</v>
      </c>
      <c r="AM2326">
        <v>94.014639073690802</v>
      </c>
      <c r="AN2326">
        <v>1.00000005708873</v>
      </c>
    </row>
    <row r="2327" spans="1:40" x14ac:dyDescent="0.25">
      <c r="A2327" t="str">
        <f>"20190305135238859"</f>
        <v>20190305135238859</v>
      </c>
      <c r="B2327" t="str">
        <f>"1551765158852332"</f>
        <v>1551765158852332</v>
      </c>
      <c r="C2327" t="s">
        <v>40</v>
      </c>
      <c r="D2327">
        <v>4.5512730000000001</v>
      </c>
      <c r="E2327">
        <v>0.5419718</v>
      </c>
      <c r="F2327" t="s">
        <v>66</v>
      </c>
      <c r="G2327">
        <v>-439.01089999999999</v>
      </c>
      <c r="H2327" s="1">
        <v>6.0441679999999996E-6</v>
      </c>
      <c r="I2327">
        <v>286.54680000000002</v>
      </c>
      <c r="J2327">
        <v>-419.71839999999997</v>
      </c>
      <c r="K2327">
        <v>1.108962</v>
      </c>
      <c r="L2327">
        <v>285.38170000000002</v>
      </c>
      <c r="M2327">
        <v>-0.99971429999999994</v>
      </c>
      <c r="N2327">
        <v>-1.399916E-2</v>
      </c>
      <c r="O2327">
        <v>1.938132E-2</v>
      </c>
      <c r="P2327">
        <v>-0.99642010000000003</v>
      </c>
      <c r="Q2327">
        <v>-6.8623390000000006E-2</v>
      </c>
      <c r="R2327">
        <v>-4.9380140000000003E-2</v>
      </c>
      <c r="S2327">
        <v>-3.0083009999999999</v>
      </c>
      <c r="T2327">
        <v>-0.17071500000000001</v>
      </c>
      <c r="U2327">
        <v>0.18011469999999999</v>
      </c>
      <c r="V2327">
        <v>-6.8698309999999999E-2</v>
      </c>
      <c r="W2327">
        <v>-5.4666180000000002E-2</v>
      </c>
      <c r="X2327">
        <v>0.99613859999999999</v>
      </c>
      <c r="Y2327">
        <v>4.0342700000000002E-2</v>
      </c>
      <c r="Z2327">
        <v>5.9887929999999996E-4</v>
      </c>
      <c r="AA2327">
        <v>0.99918569999999995</v>
      </c>
      <c r="AB2327">
        <v>36</v>
      </c>
      <c r="AC2327">
        <v>-19.2925</v>
      </c>
      <c r="AD2327">
        <v>-1.1089559558319999</v>
      </c>
      <c r="AE2327">
        <v>1.16509999999999</v>
      </c>
      <c r="AF2327">
        <v>0.78833514106934699</v>
      </c>
      <c r="AG2327">
        <v>-1.1089559558319999</v>
      </c>
      <c r="AH2327">
        <v>19.248092577886201</v>
      </c>
      <c r="AI2327">
        <v>93.294626993601398</v>
      </c>
      <c r="AJ2327">
        <v>87.654674302101796</v>
      </c>
      <c r="AK2327">
        <v>19.296121980685601</v>
      </c>
      <c r="AL2327">
        <v>93.133703571967104</v>
      </c>
      <c r="AM2327">
        <v>93.945134490851203</v>
      </c>
      <c r="AN2327">
        <v>0.99999997972130406</v>
      </c>
    </row>
    <row r="2328" spans="1:40" x14ac:dyDescent="0.25">
      <c r="A2328" t="str">
        <f>"20190305135238881"</f>
        <v>20190305135238881</v>
      </c>
      <c r="B2328" t="str">
        <f>"1551765158871852"</f>
        <v>1551765158871852</v>
      </c>
      <c r="C2328" t="s">
        <v>40</v>
      </c>
      <c r="D2328">
        <v>4.5413699999999997</v>
      </c>
      <c r="E2328">
        <v>0.54225840000000003</v>
      </c>
      <c r="F2328" t="s">
        <v>66</v>
      </c>
      <c r="G2328">
        <v>-438.74079999999998</v>
      </c>
      <c r="H2328" s="1">
        <v>5.9237940000000002E-6</v>
      </c>
      <c r="I2328">
        <v>286.55380000000002</v>
      </c>
      <c r="J2328">
        <v>-420.07600000000002</v>
      </c>
      <c r="K2328">
        <v>1.109049</v>
      </c>
      <c r="L2328">
        <v>285.3886</v>
      </c>
      <c r="M2328">
        <v>-0.99971600000000005</v>
      </c>
      <c r="N2328">
        <v>-1.3997259999999999E-2</v>
      </c>
      <c r="O2328">
        <v>1.9291019999999999E-2</v>
      </c>
      <c r="P2328">
        <v>-0.99642359999999996</v>
      </c>
      <c r="Q2328">
        <v>-6.8659280000000003E-2</v>
      </c>
      <c r="R2328">
        <v>-4.9255430000000003E-2</v>
      </c>
      <c r="S2328">
        <v>-3.0078429999999998</v>
      </c>
      <c r="T2328">
        <v>-0.17534949999999999</v>
      </c>
      <c r="U2328">
        <v>0.18533330000000001</v>
      </c>
      <c r="V2328">
        <v>-6.847346E-2</v>
      </c>
      <c r="W2328">
        <v>-5.4717000000000002E-2</v>
      </c>
      <c r="X2328">
        <v>0.99615129999999996</v>
      </c>
      <c r="Y2328">
        <v>4.2162520000000002E-2</v>
      </c>
      <c r="Z2328">
        <v>6.6973969999999995E-4</v>
      </c>
      <c r="AA2328">
        <v>0.99911050000000001</v>
      </c>
      <c r="AB2328">
        <v>36</v>
      </c>
      <c r="AC2328">
        <v>-18.6648</v>
      </c>
      <c r="AD2328">
        <v>-1.109043076206</v>
      </c>
      <c r="AE2328">
        <v>1.16520000000002</v>
      </c>
      <c r="AF2328">
        <v>0.80206406067645097</v>
      </c>
      <c r="AG2328">
        <v>-1.109043076206</v>
      </c>
      <c r="AH2328">
        <v>18.6183271747622</v>
      </c>
      <c r="AI2328">
        <v>93.405774184409296</v>
      </c>
      <c r="AJ2328">
        <v>87.533264471248899</v>
      </c>
      <c r="AK2328">
        <v>18.668566899706001</v>
      </c>
      <c r="AL2328">
        <v>93.136619680095393</v>
      </c>
      <c r="AM2328">
        <v>93.932212640331102</v>
      </c>
      <c r="AN2328">
        <v>0.99999998865253004</v>
      </c>
    </row>
    <row r="2329" spans="1:40" x14ac:dyDescent="0.25">
      <c r="A2329" t="str">
        <f>"20190305135238896"</f>
        <v>20190305135238896</v>
      </c>
      <c r="B2329" t="str">
        <f>"1551765158892348"</f>
        <v>1551765158892348</v>
      </c>
      <c r="C2329" t="s">
        <v>40</v>
      </c>
      <c r="D2329">
        <v>4.5254339999999997</v>
      </c>
      <c r="E2329">
        <v>0.54261090000000001</v>
      </c>
      <c r="F2329" t="s">
        <v>66</v>
      </c>
      <c r="G2329">
        <v>-439.08609999999999</v>
      </c>
      <c r="H2329" s="1">
        <v>6.0749780000000001E-6</v>
      </c>
      <c r="I2329">
        <v>286.57589999999999</v>
      </c>
      <c r="J2329">
        <v>-420.3091</v>
      </c>
      <c r="K2329">
        <v>1.1091089999999999</v>
      </c>
      <c r="L2329">
        <v>285.39299999999997</v>
      </c>
      <c r="M2329">
        <v>-0.9997182</v>
      </c>
      <c r="N2329">
        <v>-1.3996099999999999E-2</v>
      </c>
      <c r="O2329">
        <v>1.9172910000000001E-2</v>
      </c>
      <c r="P2329">
        <v>-0.99643720000000002</v>
      </c>
      <c r="Q2329">
        <v>-6.8203879999999995E-2</v>
      </c>
      <c r="R2329">
        <v>-4.9614650000000003E-2</v>
      </c>
      <c r="S2329">
        <v>-3.0079959999999999</v>
      </c>
      <c r="T2329">
        <v>-0.17548529999999901</v>
      </c>
      <c r="U2329">
        <v>0.18786620000000001</v>
      </c>
      <c r="V2329">
        <v>-6.8707859999999996E-2</v>
      </c>
      <c r="W2329">
        <v>-5.4271850000000003E-2</v>
      </c>
      <c r="X2329">
        <v>0.99615960000000003</v>
      </c>
      <c r="Y2329">
        <v>4.3113350000000002E-2</v>
      </c>
      <c r="Z2329">
        <v>7.0934570000000003E-4</v>
      </c>
      <c r="AA2329">
        <v>0.99906989999999996</v>
      </c>
      <c r="AB2329">
        <v>36</v>
      </c>
      <c r="AC2329">
        <v>-18.776999999999902</v>
      </c>
      <c r="AD2329">
        <v>-1.1091029250219999</v>
      </c>
      <c r="AE2329">
        <v>1.1829000000000101</v>
      </c>
      <c r="AF2329">
        <v>0.819788644649453</v>
      </c>
      <c r="AG2329">
        <v>-1.1091029250219999</v>
      </c>
      <c r="AH2329">
        <v>18.731136500443</v>
      </c>
      <c r="AI2329">
        <v>93.385392285572905</v>
      </c>
      <c r="AJ2329">
        <v>87.493986887133801</v>
      </c>
      <c r="AK2329">
        <v>18.781843288623701</v>
      </c>
      <c r="AL2329">
        <v>93.111076235464395</v>
      </c>
      <c r="AM2329">
        <v>93.945598270064096</v>
      </c>
      <c r="AN2329">
        <v>1.00000007620017</v>
      </c>
    </row>
    <row r="2330" spans="1:40" x14ac:dyDescent="0.25">
      <c r="A2330" t="str">
        <f>"20190305135238910"</f>
        <v>20190305135238910</v>
      </c>
      <c r="B2330" t="str">
        <f>"1551765158902109"</f>
        <v>1551765158902109</v>
      </c>
      <c r="C2330" t="s">
        <v>40</v>
      </c>
      <c r="D2330">
        <v>4.4494819999999997</v>
      </c>
      <c r="E2330">
        <v>0.54261090000000001</v>
      </c>
      <c r="F2330" t="s">
        <v>66</v>
      </c>
      <c r="G2330">
        <v>-439.42840000000001</v>
      </c>
      <c r="H2330" s="1">
        <v>6.2247949999999998E-6</v>
      </c>
      <c r="I2330">
        <v>286.59870000000001</v>
      </c>
      <c r="J2330">
        <v>-420.54590000000002</v>
      </c>
      <c r="K2330">
        <v>1.1091690000000001</v>
      </c>
      <c r="L2330">
        <v>285.39749999999998</v>
      </c>
      <c r="M2330">
        <v>-0.99972130000000003</v>
      </c>
      <c r="N2330">
        <v>-1.3994950000000001E-2</v>
      </c>
      <c r="O2330">
        <v>1.9015830000000001E-2</v>
      </c>
      <c r="P2330">
        <v>-0.99644089999999996</v>
      </c>
      <c r="Q2330">
        <v>-6.7548220000000006E-2</v>
      </c>
      <c r="R2330">
        <v>-5.0425980000000002E-2</v>
      </c>
      <c r="S2330">
        <v>-3.00827</v>
      </c>
      <c r="T2330">
        <v>-0.17450829999999901</v>
      </c>
      <c r="U2330">
        <v>0.18969730000000001</v>
      </c>
      <c r="V2330">
        <v>-6.9355340000000001E-2</v>
      </c>
      <c r="W2330">
        <v>-5.3627139999999997E-2</v>
      </c>
      <c r="X2330">
        <v>0.99614959999999997</v>
      </c>
      <c r="Y2330">
        <v>4.3869279999999997E-2</v>
      </c>
      <c r="Z2330">
        <v>7.4259420000000003E-4</v>
      </c>
      <c r="AA2330">
        <v>0.99903699999999995</v>
      </c>
      <c r="AB2330">
        <v>36</v>
      </c>
      <c r="AC2330">
        <v>-18.8825</v>
      </c>
      <c r="AD2330">
        <v>-1.109162775205</v>
      </c>
      <c r="AE2330">
        <v>1.20120000000002</v>
      </c>
      <c r="AF2330">
        <v>0.838997981273642</v>
      </c>
      <c r="AG2330">
        <v>-1.109162775205</v>
      </c>
      <c r="AH2330">
        <v>18.837194889512801</v>
      </c>
      <c r="AI2330">
        <v>93.366442369696699</v>
      </c>
      <c r="AJ2330">
        <v>87.449763924256104</v>
      </c>
      <c r="AK2330">
        <v>18.888463965605201</v>
      </c>
      <c r="AL2330">
        <v>93.074083345234598</v>
      </c>
      <c r="AM2330">
        <v>93.9827010293277</v>
      </c>
      <c r="AN2330">
        <v>1.0000000294556199</v>
      </c>
    </row>
    <row r="2331" spans="1:40" x14ac:dyDescent="0.25">
      <c r="A2331" t="str">
        <f>"20190305135239104"</f>
        <v>20190305135239104</v>
      </c>
      <c r="B2331" t="str">
        <f>"1551765159102226"</f>
        <v>1551765159102226</v>
      </c>
      <c r="C2331" t="s">
        <v>40</v>
      </c>
      <c r="D2331">
        <v>4.4844520000000001</v>
      </c>
      <c r="E2331">
        <v>0.5155978</v>
      </c>
      <c r="F2331" t="s">
        <v>66</v>
      </c>
      <c r="G2331">
        <v>-439.89319999999998</v>
      </c>
      <c r="H2331" s="1">
        <v>6.4306669999999998E-6</v>
      </c>
      <c r="I2331">
        <v>286.60129999999998</v>
      </c>
      <c r="J2331">
        <v>-423.68520000000001</v>
      </c>
      <c r="K2331">
        <v>1.1096159999999999</v>
      </c>
      <c r="L2331">
        <v>285.44810000000001</v>
      </c>
      <c r="M2331">
        <v>-0.9997914</v>
      </c>
      <c r="N2331">
        <v>-1.3977359999999999E-2</v>
      </c>
      <c r="O2331">
        <v>1.488128E-2</v>
      </c>
      <c r="P2331">
        <v>-0.99717060000000002</v>
      </c>
      <c r="Q2331">
        <v>-5.3000319999999997E-2</v>
      </c>
      <c r="R2331">
        <v>-5.3309170000000003E-2</v>
      </c>
      <c r="S2331">
        <v>-3.0084840000000002</v>
      </c>
      <c r="T2331">
        <v>-0.17247409999999999</v>
      </c>
      <c r="U2331">
        <v>0.18719479999999999</v>
      </c>
      <c r="V2331">
        <v>-6.8102930000000006E-2</v>
      </c>
      <c r="W2331">
        <v>-3.9141660000000002E-2</v>
      </c>
      <c r="X2331">
        <v>0.99691019999999997</v>
      </c>
      <c r="Y2331">
        <v>4.7159220000000002E-2</v>
      </c>
      <c r="Z2331">
        <v>1.0358639999999901E-3</v>
      </c>
      <c r="AA2331">
        <v>0.99888679999999996</v>
      </c>
      <c r="AB2331">
        <v>36</v>
      </c>
      <c r="AC2331">
        <v>-16.207999999999899</v>
      </c>
      <c r="AD2331">
        <v>-1.1096095693329999</v>
      </c>
      <c r="AE2331">
        <v>1.15319999999996</v>
      </c>
      <c r="AF2331">
        <v>0.90762042786520403</v>
      </c>
      <c r="AG2331">
        <v>-1.1096095693329999</v>
      </c>
      <c r="AH2331">
        <v>16.1480652330516</v>
      </c>
      <c r="AI2331">
        <v>93.9247085937794</v>
      </c>
      <c r="AJ2331">
        <v>86.783010131275404</v>
      </c>
      <c r="AK2331">
        <v>16.211570528740399</v>
      </c>
      <c r="AL2331">
        <v>92.243224937484598</v>
      </c>
      <c r="AM2331">
        <v>93.908032468136994</v>
      </c>
      <c r="AN2331">
        <v>1.0000000127430899</v>
      </c>
    </row>
    <row r="2332" spans="1:40" x14ac:dyDescent="0.25">
      <c r="A2332" t="str">
        <f>"20190305135239118"</f>
        <v>20190305135239118</v>
      </c>
      <c r="B2332" t="str">
        <f>"1551765159111518"</f>
        <v>1551765159111518</v>
      </c>
      <c r="C2332" t="s">
        <v>40</v>
      </c>
      <c r="D2332">
        <v>4.4750880000000004</v>
      </c>
      <c r="E2332">
        <v>0.51941990000000005</v>
      </c>
      <c r="F2332" t="s">
        <v>55</v>
      </c>
      <c r="G2332">
        <v>-480.59070000000003</v>
      </c>
      <c r="H2332" s="1">
        <v>2.319293E-6</v>
      </c>
      <c r="I2332">
        <v>284.71660000000003</v>
      </c>
      <c r="J2332">
        <v>-423.89890000000003</v>
      </c>
      <c r="K2332">
        <v>1.109591</v>
      </c>
      <c r="L2332">
        <v>285.45100000000002</v>
      </c>
      <c r="M2332">
        <v>-0.9997952</v>
      </c>
      <c r="N2332">
        <v>-1.3975939999999999E-2</v>
      </c>
      <c r="O2332">
        <v>1.464208E-2</v>
      </c>
      <c r="P2332">
        <v>-0.99720310000000001</v>
      </c>
      <c r="Q2332">
        <v>-5.3179610000000002E-2</v>
      </c>
      <c r="R2332">
        <v>-5.2519129999999997E-2</v>
      </c>
      <c r="S2332">
        <v>-3.0033259999999999</v>
      </c>
      <c r="T2332">
        <v>-5.8562639999999999E-2</v>
      </c>
      <c r="U2332">
        <v>-3.8604739999999999E-2</v>
      </c>
      <c r="V2332">
        <v>-6.7077079999999997E-2</v>
      </c>
      <c r="W2332">
        <v>-3.9316919999999998E-2</v>
      </c>
      <c r="X2332">
        <v>0.99697290000000005</v>
      </c>
      <c r="Y2332">
        <v>-2.7484660000000001E-2</v>
      </c>
      <c r="Z2332">
        <v>-5.4087570000000004E-4</v>
      </c>
      <c r="AA2332">
        <v>0.99962209999999996</v>
      </c>
      <c r="AB2332">
        <v>36</v>
      </c>
      <c r="AC2332">
        <v>-56.691800000000001</v>
      </c>
      <c r="AD2332">
        <v>-1.1095886807069999</v>
      </c>
      <c r="AE2332">
        <v>-0.73439999999993599</v>
      </c>
      <c r="AF2332">
        <v>-1.56388915598071</v>
      </c>
      <c r="AG2332">
        <v>-1.1095886807069999</v>
      </c>
      <c r="AH2332">
        <v>56.653268406841697</v>
      </c>
      <c r="AI2332">
        <v>91.121602050388603</v>
      </c>
      <c r="AJ2332">
        <v>91.581223843499203</v>
      </c>
      <c r="AK2332">
        <v>56.685710346702002</v>
      </c>
      <c r="AL2332">
        <v>92.253274226855098</v>
      </c>
      <c r="AM2332">
        <v>93.849101848339899</v>
      </c>
      <c r="AN2332">
        <v>1.000000059097</v>
      </c>
    </row>
    <row r="2333" spans="1:40" x14ac:dyDescent="0.25">
      <c r="A2333" t="str">
        <f>"20190305135239131"</f>
        <v>20190305135239131</v>
      </c>
      <c r="B2333" t="str">
        <f>"1551765159122254"</f>
        <v>1551765159122254</v>
      </c>
      <c r="C2333" t="s">
        <v>40</v>
      </c>
      <c r="D2333">
        <v>4.5252819999999998</v>
      </c>
      <c r="E2333">
        <v>0.51949650000000003</v>
      </c>
      <c r="F2333" t="s">
        <v>56</v>
      </c>
      <c r="G2333">
        <v>-469.53489999999999</v>
      </c>
      <c r="H2333" s="1">
        <v>3.5043239999999999E-6</v>
      </c>
      <c r="I2333">
        <v>285.36799999999999</v>
      </c>
      <c r="J2333">
        <v>-424.11079999999998</v>
      </c>
      <c r="K2333">
        <v>1.109558</v>
      </c>
      <c r="L2333">
        <v>285.45389999999998</v>
      </c>
      <c r="M2333">
        <v>-0.99979839999999998</v>
      </c>
      <c r="N2333">
        <v>-1.3974540000000001E-2</v>
      </c>
      <c r="O2333">
        <v>1.4422010000000001E-2</v>
      </c>
      <c r="P2333">
        <v>-0.99722440000000001</v>
      </c>
      <c r="Q2333">
        <v>-5.3699709999999998E-2</v>
      </c>
      <c r="R2333">
        <v>-5.1578270000000002E-2</v>
      </c>
      <c r="S2333">
        <v>-3.0042420000000001</v>
      </c>
      <c r="T2333">
        <v>-7.3044780000000004E-2</v>
      </c>
      <c r="U2333">
        <v>-5.4626459999999998E-3</v>
      </c>
      <c r="V2333">
        <v>-6.5919060000000002E-2</v>
      </c>
      <c r="W2333">
        <v>-3.9832560000000003E-2</v>
      </c>
      <c r="X2333">
        <v>0.99702959999999996</v>
      </c>
      <c r="Y2333">
        <v>-1.6233190000000002E-2</v>
      </c>
      <c r="Z2333">
        <v>-4.5982670000000001E-4</v>
      </c>
      <c r="AA2333">
        <v>0.99986819999999998</v>
      </c>
      <c r="AB2333">
        <v>36</v>
      </c>
      <c r="AC2333">
        <v>-45.424100000000003</v>
      </c>
      <c r="AD2333">
        <v>-1.109554495676</v>
      </c>
      <c r="AE2333">
        <v>-8.5899999999980894E-2</v>
      </c>
      <c r="AF2333">
        <v>-0.74061993083391697</v>
      </c>
      <c r="AG2333">
        <v>-1.109554495676</v>
      </c>
      <c r="AH2333">
        <v>45.391053097205102</v>
      </c>
      <c r="AI2333">
        <v>91.400092577572707</v>
      </c>
      <c r="AJ2333">
        <v>90.9347796152489</v>
      </c>
      <c r="AK2333">
        <v>45.410652168121501</v>
      </c>
      <c r="AL2333">
        <v>92.282841543144997</v>
      </c>
      <c r="AM2333">
        <v>93.782631005373702</v>
      </c>
      <c r="AN2333">
        <v>0.99999998929179801</v>
      </c>
    </row>
    <row r="2334" spans="1:40" x14ac:dyDescent="0.25">
      <c r="A2334" t="str">
        <f>"20190305135239143"</f>
        <v>20190305135239143</v>
      </c>
      <c r="B2334" t="str">
        <f>"1551765159132014"</f>
        <v>1551765159132014</v>
      </c>
      <c r="C2334" t="s">
        <v>40</v>
      </c>
      <c r="D2334">
        <v>4.5225580000000001</v>
      </c>
      <c r="E2334">
        <v>0.51927079999999903</v>
      </c>
      <c r="F2334" t="s">
        <v>56</v>
      </c>
      <c r="G2334">
        <v>-457.64100000000002</v>
      </c>
      <c r="H2334" s="1">
        <v>2.4933910000000001E-6</v>
      </c>
      <c r="I2334">
        <v>285.43920000000003</v>
      </c>
      <c r="J2334">
        <v>-424.3272</v>
      </c>
      <c r="K2334">
        <v>1.109521</v>
      </c>
      <c r="L2334">
        <v>285.45679999999999</v>
      </c>
      <c r="M2334">
        <v>-0.9998013</v>
      </c>
      <c r="N2334">
        <v>-1.397313E-2</v>
      </c>
      <c r="O2334">
        <v>1.421882E-2</v>
      </c>
      <c r="P2334">
        <v>-0.99713099999999999</v>
      </c>
      <c r="Q2334">
        <v>-5.5266879999999997E-2</v>
      </c>
      <c r="R2334">
        <v>-5.1725710000000001E-2</v>
      </c>
      <c r="S2334">
        <v>-3.0028990000000002</v>
      </c>
      <c r="T2334">
        <v>-9.9369650000000004E-2</v>
      </c>
      <c r="U2334">
        <v>-1.3122559999999999E-3</v>
      </c>
      <c r="V2334">
        <v>-6.5863999999999895E-2</v>
      </c>
      <c r="W2334">
        <v>-4.139748E-2</v>
      </c>
      <c r="X2334">
        <v>0.99696949999999995</v>
      </c>
      <c r="Y2334">
        <v>-1.4643160000000001E-2</v>
      </c>
      <c r="Z2334">
        <v>-6.1627749999999999E-4</v>
      </c>
      <c r="AA2334">
        <v>0.99989260000000002</v>
      </c>
      <c r="AB2334">
        <v>36</v>
      </c>
      <c r="AC2334">
        <v>-33.313799999999901</v>
      </c>
      <c r="AD2334">
        <v>-1.1095185066089901</v>
      </c>
      <c r="AE2334">
        <v>-1.7599999999958899E-2</v>
      </c>
      <c r="AF2334">
        <v>-0.490782990974787</v>
      </c>
      <c r="AG2334">
        <v>-1.1095185066089901</v>
      </c>
      <c r="AH2334">
        <v>33.273273660010801</v>
      </c>
      <c r="AI2334">
        <v>91.909649030029996</v>
      </c>
      <c r="AJ2334">
        <v>90.845055262789003</v>
      </c>
      <c r="AK2334">
        <v>33.295384654854303</v>
      </c>
      <c r="AL2334">
        <v>92.372578882086998</v>
      </c>
      <c r="AM2334">
        <v>93.779707837390703</v>
      </c>
      <c r="AN2334">
        <v>1.0000000008883001</v>
      </c>
    </row>
    <row r="2335" spans="1:40" x14ac:dyDescent="0.25">
      <c r="A2335" t="str">
        <f>"20190305135239160"</f>
        <v>20190305135239160</v>
      </c>
      <c r="B2335" t="str">
        <f>"1551765159151533"</f>
        <v>1551765159151533</v>
      </c>
      <c r="C2335" t="s">
        <v>40</v>
      </c>
      <c r="D2335">
        <v>4.550548</v>
      </c>
      <c r="E2335">
        <v>0.51786560000000004</v>
      </c>
      <c r="F2335" t="s">
        <v>56</v>
      </c>
      <c r="G2335">
        <v>-451.74059999999997</v>
      </c>
      <c r="H2335" s="1">
        <v>-6.4605630000000003E-7</v>
      </c>
      <c r="I2335">
        <v>285.42919999999998</v>
      </c>
      <c r="J2335">
        <v>-424.59219999999999</v>
      </c>
      <c r="K2335">
        <v>1.1094679999999999</v>
      </c>
      <c r="L2335">
        <v>285.46030000000002</v>
      </c>
      <c r="M2335">
        <v>-0.99980440000000004</v>
      </c>
      <c r="N2335">
        <v>-1.397148E-2</v>
      </c>
      <c r="O2335">
        <v>1.400389E-2</v>
      </c>
      <c r="P2335">
        <v>-0.99691580000000002</v>
      </c>
      <c r="Q2335">
        <v>-5.8467650000000003E-2</v>
      </c>
      <c r="R2335">
        <v>-5.2349970000000003E-2</v>
      </c>
      <c r="S2335">
        <v>-3.001709</v>
      </c>
      <c r="T2335">
        <v>-0.1214901</v>
      </c>
      <c r="U2335">
        <v>-3.0212400000000001E-3</v>
      </c>
      <c r="V2335">
        <v>-6.6272239999999996E-2</v>
      </c>
      <c r="W2335">
        <v>-4.4597209999999998E-2</v>
      </c>
      <c r="X2335">
        <v>0.99680440000000003</v>
      </c>
      <c r="Y2335">
        <v>-1.499023E-2</v>
      </c>
      <c r="Z2335">
        <v>-7.7893799999999996E-4</v>
      </c>
      <c r="AA2335">
        <v>0.99988730000000003</v>
      </c>
      <c r="AB2335">
        <v>36</v>
      </c>
      <c r="AC2335">
        <v>-27.148399999999899</v>
      </c>
      <c r="AD2335">
        <v>-1.1094686460562999</v>
      </c>
      <c r="AE2335">
        <v>-3.1100000000037601E-2</v>
      </c>
      <c r="AF2335">
        <v>-0.41063144708548699</v>
      </c>
      <c r="AG2335">
        <v>-1.1094686460562999</v>
      </c>
      <c r="AH2335">
        <v>27.1000421362784</v>
      </c>
      <c r="AI2335">
        <v>92.344096282257297</v>
      </c>
      <c r="AJ2335">
        <v>90.868103760859995</v>
      </c>
      <c r="AK2335">
        <v>27.125851556218102</v>
      </c>
      <c r="AL2335">
        <v>92.556079777534805</v>
      </c>
      <c r="AM2335">
        <v>93.803694834006507</v>
      </c>
      <c r="AN2335">
        <v>0.99999996639688005</v>
      </c>
    </row>
    <row r="2336" spans="1:40" x14ac:dyDescent="0.25">
      <c r="A2336" t="str">
        <f>"20190305135239182"</f>
        <v>20190305135239182</v>
      </c>
      <c r="B2336" t="str">
        <f>"1551765159172029"</f>
        <v>1551765159172029</v>
      </c>
      <c r="C2336" t="s">
        <v>40</v>
      </c>
      <c r="D2336">
        <v>4.6150760000000002</v>
      </c>
      <c r="E2336">
        <v>0.5166577</v>
      </c>
      <c r="F2336" t="s">
        <v>56</v>
      </c>
      <c r="G2336">
        <v>-446.1814</v>
      </c>
      <c r="H2336" s="1">
        <v>1.7205939999999999E-6</v>
      </c>
      <c r="I2336">
        <v>285.3492</v>
      </c>
      <c r="J2336">
        <v>-424.94600000000003</v>
      </c>
      <c r="K2336">
        <v>1.109405</v>
      </c>
      <c r="L2336">
        <v>285.46499999999997</v>
      </c>
      <c r="M2336">
        <v>-0.99980789999999997</v>
      </c>
      <c r="N2336">
        <v>-1.39693E-2</v>
      </c>
      <c r="O2336">
        <v>1.375354E-2</v>
      </c>
      <c r="P2336">
        <v>-0.99672110000000003</v>
      </c>
      <c r="Q2336">
        <v>-6.0355399999999997E-2</v>
      </c>
      <c r="R2336">
        <v>-5.3894200000000003E-2</v>
      </c>
      <c r="S2336">
        <v>-2.9994200000000002</v>
      </c>
      <c r="T2336">
        <v>-0.15413979999999999</v>
      </c>
      <c r="U2336">
        <v>-1.544189E-2</v>
      </c>
      <c r="V2336">
        <v>-6.7566829999999994E-2</v>
      </c>
      <c r="W2336">
        <v>-4.6483910000000003E-2</v>
      </c>
      <c r="X2336">
        <v>0.9966313</v>
      </c>
      <c r="Y2336">
        <v>-1.8861159999999998E-2</v>
      </c>
      <c r="Z2336">
        <v>-1.1304349999999999E-3</v>
      </c>
      <c r="AA2336">
        <v>0.99982150000000003</v>
      </c>
      <c r="AB2336">
        <v>36</v>
      </c>
      <c r="AC2336">
        <v>-21.235399999999998</v>
      </c>
      <c r="AD2336">
        <v>-1.109403279406</v>
      </c>
      <c r="AE2336">
        <v>-0.115799999999978</v>
      </c>
      <c r="AF2336">
        <v>-0.40676926943971498</v>
      </c>
      <c r="AG2336">
        <v>-1.109403279406</v>
      </c>
      <c r="AH2336">
        <v>21.1740088567581</v>
      </c>
      <c r="AI2336">
        <v>92.998693470539195</v>
      </c>
      <c r="AJ2336">
        <v>91.100561357475101</v>
      </c>
      <c r="AK2336">
        <v>21.206953763824501</v>
      </c>
      <c r="AL2336">
        <v>92.664291954784602</v>
      </c>
      <c r="AM2336">
        <v>93.878444744743803</v>
      </c>
      <c r="AN2336">
        <v>0.99999998927241296</v>
      </c>
    </row>
    <row r="2337" spans="1:40" x14ac:dyDescent="0.25">
      <c r="A2337" t="str">
        <f>"20190305135239205"</f>
        <v>20190305135239205</v>
      </c>
      <c r="B2337" t="str">
        <f>"1551765159202286"</f>
        <v>1551765159202286</v>
      </c>
      <c r="C2337" t="s">
        <v>40</v>
      </c>
      <c r="D2337">
        <v>4.5734120000000003</v>
      </c>
      <c r="E2337">
        <v>0.51526890000000003</v>
      </c>
      <c r="F2337" t="s">
        <v>56</v>
      </c>
      <c r="G2337">
        <v>-444.05439999999999</v>
      </c>
      <c r="H2337" s="1">
        <v>5.9185699999999998E-7</v>
      </c>
      <c r="I2337">
        <v>285.2783</v>
      </c>
      <c r="J2337">
        <v>-425.30399999999997</v>
      </c>
      <c r="K2337">
        <v>1.1093740000000001</v>
      </c>
      <c r="L2337">
        <v>285.46969999999999</v>
      </c>
      <c r="M2337">
        <v>-0.9998108</v>
      </c>
      <c r="N2337">
        <v>-1.39671E-2</v>
      </c>
      <c r="O2337">
        <v>1.353849E-2</v>
      </c>
      <c r="P2337">
        <v>-0.99650519999999998</v>
      </c>
      <c r="Q2337">
        <v>-6.2087749999999997E-2</v>
      </c>
      <c r="R2337">
        <v>-5.5879959999999999E-2</v>
      </c>
      <c r="S2337">
        <v>-2.9977420000000001</v>
      </c>
      <c r="T2337">
        <v>-0.17404349999999999</v>
      </c>
      <c r="U2337">
        <v>-2.9296880000000001E-2</v>
      </c>
      <c r="V2337">
        <v>-6.9338380000000005E-2</v>
      </c>
      <c r="W2337">
        <v>-4.821727E-2</v>
      </c>
      <c r="X2337">
        <v>0.99642719999999996</v>
      </c>
      <c r="Y2337">
        <v>-2.324905E-2</v>
      </c>
      <c r="Z2337">
        <v>-1.4332150000000001E-3</v>
      </c>
      <c r="AA2337">
        <v>0.99972870000000003</v>
      </c>
      <c r="AB2337">
        <v>36</v>
      </c>
      <c r="AC2337">
        <v>-18.7503999999999</v>
      </c>
      <c r="AD2337">
        <v>-1.109373408143</v>
      </c>
      <c r="AE2337">
        <v>-0.191399999999987</v>
      </c>
      <c r="AF2337">
        <v>-0.44370627374632199</v>
      </c>
      <c r="AG2337">
        <v>-1.109373408143</v>
      </c>
      <c r="AH2337">
        <v>18.680704033160001</v>
      </c>
      <c r="AI2337">
        <v>93.397623056256194</v>
      </c>
      <c r="AJ2337">
        <v>91.360640240877302</v>
      </c>
      <c r="AK2337">
        <v>18.718875174288002</v>
      </c>
      <c r="AL2337">
        <v>92.763717838423702</v>
      </c>
      <c r="AM2337">
        <v>93.980624516529602</v>
      </c>
      <c r="AN2337">
        <v>0.999999940483556</v>
      </c>
    </row>
    <row r="2338" spans="1:40" x14ac:dyDescent="0.25">
      <c r="A2338" t="str">
        <f>"20190305135239227"</f>
        <v>20190305135239227</v>
      </c>
      <c r="B2338" t="str">
        <f>"1551765159222315"</f>
        <v>1551765159222315</v>
      </c>
      <c r="C2338" t="s">
        <v>40</v>
      </c>
      <c r="D2338">
        <v>4.5695410000000001</v>
      </c>
      <c r="E2338">
        <v>0.51460189999999995</v>
      </c>
      <c r="F2338" t="s">
        <v>56</v>
      </c>
      <c r="G2338">
        <v>-442.85849999999999</v>
      </c>
      <c r="H2338" s="1">
        <v>-4.1157299999999999E-8</v>
      </c>
      <c r="I2338">
        <v>285.19990000000001</v>
      </c>
      <c r="J2338">
        <v>-425.66199999999998</v>
      </c>
      <c r="K2338">
        <v>1.1093519999999999</v>
      </c>
      <c r="L2338">
        <v>285.47430000000003</v>
      </c>
      <c r="M2338">
        <v>-0.99981339999999996</v>
      </c>
      <c r="N2338">
        <v>-1.3964799999999999E-2</v>
      </c>
      <c r="O2338">
        <v>1.3350549999999999E-2</v>
      </c>
      <c r="P2338">
        <v>-0.99629060000000003</v>
      </c>
      <c r="Q2338">
        <v>-6.3020039999999999E-2</v>
      </c>
      <c r="R2338">
        <v>-5.8597290000000003E-2</v>
      </c>
      <c r="S2338">
        <v>-2.996124</v>
      </c>
      <c r="T2338">
        <v>-0.1893435</v>
      </c>
      <c r="U2338">
        <v>-4.605103E-2</v>
      </c>
      <c r="V2338">
        <v>-7.1866860000000005E-2</v>
      </c>
      <c r="W2338">
        <v>-4.915278E-2</v>
      </c>
      <c r="X2338">
        <v>0.99620229999999999</v>
      </c>
      <c r="Y2338">
        <v>-2.8631380000000001E-2</v>
      </c>
      <c r="Z2338">
        <v>-1.7604470000000001E-3</v>
      </c>
      <c r="AA2338">
        <v>0.99958849999999999</v>
      </c>
      <c r="AB2338">
        <v>36</v>
      </c>
      <c r="AC2338">
        <v>-17.1965</v>
      </c>
      <c r="AD2338">
        <v>-1.1093520411572999</v>
      </c>
      <c r="AE2338">
        <v>-0.27440000000001402</v>
      </c>
      <c r="AF2338">
        <v>-0.50189251630264298</v>
      </c>
      <c r="AG2338">
        <v>-1.1093520411572999</v>
      </c>
      <c r="AH2338">
        <v>17.1200748665776</v>
      </c>
      <c r="AI2338">
        <v>93.705899167564894</v>
      </c>
      <c r="AJ2338">
        <v>91.679203473968101</v>
      </c>
      <c r="AK2338">
        <v>17.1633190696427</v>
      </c>
      <c r="AL2338">
        <v>92.817382278665903</v>
      </c>
      <c r="AM2338">
        <v>94.126216929752005</v>
      </c>
      <c r="AN2338">
        <v>0.99999993193663606</v>
      </c>
    </row>
    <row r="2339" spans="1:40" x14ac:dyDescent="0.25">
      <c r="A2339" t="str">
        <f>"20190305135239249"</f>
        <v>20190305135239249</v>
      </c>
      <c r="B2339" t="str">
        <f>"1551765159241831"</f>
        <v>1551765159241831</v>
      </c>
      <c r="C2339" t="s">
        <v>40</v>
      </c>
      <c r="D2339">
        <v>4.5680050000000003</v>
      </c>
      <c r="E2339">
        <v>0.51406450000000004</v>
      </c>
      <c r="F2339" t="s">
        <v>56</v>
      </c>
      <c r="G2339">
        <v>-442.62950000000001</v>
      </c>
      <c r="H2339" s="1">
        <v>-1.602746E-7</v>
      </c>
      <c r="I2339">
        <v>285.13810000000001</v>
      </c>
      <c r="J2339">
        <v>-426.01670000000001</v>
      </c>
      <c r="K2339">
        <v>1.1093360000000001</v>
      </c>
      <c r="L2339">
        <v>285.47879999999998</v>
      </c>
      <c r="M2339">
        <v>-0.99981580000000003</v>
      </c>
      <c r="N2339">
        <v>-1.396266E-2</v>
      </c>
      <c r="O2339">
        <v>1.317633E-2</v>
      </c>
      <c r="P2339">
        <v>-0.99610779999999999</v>
      </c>
      <c r="Q2339">
        <v>-6.34107E-2</v>
      </c>
      <c r="R2339">
        <v>-6.1227070000000001E-2</v>
      </c>
      <c r="S2339">
        <v>-2.9952700000000001</v>
      </c>
      <c r="T2339">
        <v>-0.1958328</v>
      </c>
      <c r="U2339">
        <v>-5.9356689999999997E-2</v>
      </c>
      <c r="V2339">
        <v>-7.4322509999999994E-2</v>
      </c>
      <c r="W2339">
        <v>-4.954691E-2</v>
      </c>
      <c r="X2339">
        <v>0.99600270000000002</v>
      </c>
      <c r="Y2339">
        <v>-3.2883629999999997E-2</v>
      </c>
      <c r="Z2339">
        <v>-1.9803009999999998E-3</v>
      </c>
      <c r="AA2339">
        <v>0.99945720000000005</v>
      </c>
      <c r="AB2339">
        <v>36</v>
      </c>
      <c r="AC2339">
        <v>-16.612799999999901</v>
      </c>
      <c r="AD2339">
        <v>-1.1093361602745999</v>
      </c>
      <c r="AE2339">
        <v>-0.34069999999996903</v>
      </c>
      <c r="AF2339">
        <v>-0.55710436840008204</v>
      </c>
      <c r="AG2339">
        <v>-1.1093361602745999</v>
      </c>
      <c r="AH2339">
        <v>16.533176938011099</v>
      </c>
      <c r="AI2339">
        <v>93.836483488691798</v>
      </c>
      <c r="AJ2339">
        <v>91.929916828710802</v>
      </c>
      <c r="AK2339">
        <v>16.579714462479899</v>
      </c>
      <c r="AL2339">
        <v>92.839991464373796</v>
      </c>
      <c r="AM2339">
        <v>94.267547214069495</v>
      </c>
      <c r="AN2339">
        <v>1.0000000550952599</v>
      </c>
    </row>
    <row r="2340" spans="1:40" x14ac:dyDescent="0.25">
      <c r="A2340" t="str">
        <f>"20190305135239271"</f>
        <v>20190305135239271</v>
      </c>
      <c r="B2340" t="str">
        <f>"1551765159261352"</f>
        <v>1551765159261352</v>
      </c>
      <c r="C2340" t="s">
        <v>40</v>
      </c>
      <c r="D2340">
        <v>4.5933799999999998</v>
      </c>
      <c r="E2340">
        <v>0.51392879999999996</v>
      </c>
      <c r="F2340" t="s">
        <v>56</v>
      </c>
      <c r="G2340">
        <v>-442.5829</v>
      </c>
      <c r="H2340" s="1">
        <v>-1.8271770000000001E-7</v>
      </c>
      <c r="I2340">
        <v>285.0838</v>
      </c>
      <c r="J2340">
        <v>-426.36939999999998</v>
      </c>
      <c r="K2340">
        <v>1.10934</v>
      </c>
      <c r="L2340">
        <v>285.48329999999999</v>
      </c>
      <c r="M2340">
        <v>-0.99981810000000004</v>
      </c>
      <c r="N2340">
        <v>-1.396065E-2</v>
      </c>
      <c r="O2340">
        <v>1.300508E-2</v>
      </c>
      <c r="P2340">
        <v>-0.996027</v>
      </c>
      <c r="Q2340">
        <v>-6.2799880000000002E-2</v>
      </c>
      <c r="R2340">
        <v>-6.3140269999999998E-2</v>
      </c>
      <c r="S2340">
        <v>-2.9945369999999998</v>
      </c>
      <c r="T2340">
        <v>-0.20052529999999999</v>
      </c>
      <c r="U2340">
        <v>-7.1411130000000003E-2</v>
      </c>
      <c r="V2340">
        <v>-7.6065759999999996E-2</v>
      </c>
      <c r="W2340">
        <v>-4.8938120000000002E-2</v>
      </c>
      <c r="X2340">
        <v>0.99590109999999998</v>
      </c>
      <c r="Y2340">
        <v>-3.6723359999999997E-2</v>
      </c>
      <c r="Z2340">
        <v>-2.1731609999999998E-3</v>
      </c>
      <c r="AA2340">
        <v>0.99932310000000002</v>
      </c>
      <c r="AB2340">
        <v>36</v>
      </c>
      <c r="AC2340">
        <v>-16.2135</v>
      </c>
      <c r="AD2340">
        <v>-1.1093401827177001</v>
      </c>
      <c r="AE2340">
        <v>-0.39949999999998898</v>
      </c>
      <c r="AF2340">
        <v>-0.60750235841280498</v>
      </c>
      <c r="AG2340">
        <v>-1.1093401827177001</v>
      </c>
      <c r="AH2340">
        <v>16.1314604978472</v>
      </c>
      <c r="AI2340">
        <v>93.931186895076706</v>
      </c>
      <c r="AJ2340">
        <v>92.156709875918494</v>
      </c>
      <c r="AK2340">
        <v>16.180967602404799</v>
      </c>
      <c r="AL2340">
        <v>92.805068239105694</v>
      </c>
      <c r="AM2340">
        <v>94.367704399265307</v>
      </c>
      <c r="AN2340">
        <v>0.99999997020735998</v>
      </c>
    </row>
    <row r="2341" spans="1:40" x14ac:dyDescent="0.25">
      <c r="A2341" t="str">
        <f>"20190305135239293"</f>
        <v>20190305135239293</v>
      </c>
      <c r="B2341" t="str">
        <f>"1551765159281847"</f>
        <v>1551765159281847</v>
      </c>
      <c r="C2341" t="s">
        <v>40</v>
      </c>
      <c r="D2341">
        <v>4.5637650000000001</v>
      </c>
      <c r="E2341">
        <v>0.51374849999999905</v>
      </c>
      <c r="F2341" t="s">
        <v>56</v>
      </c>
      <c r="G2341">
        <v>-442.83319999999998</v>
      </c>
      <c r="H2341" s="1">
        <v>-4.820884E-8</v>
      </c>
      <c r="I2341">
        <v>285.05360000000002</v>
      </c>
      <c r="J2341">
        <v>-426.72620000000001</v>
      </c>
      <c r="K2341">
        <v>1.109335</v>
      </c>
      <c r="L2341">
        <v>285.48770000000002</v>
      </c>
      <c r="M2341">
        <v>-0.9998203</v>
      </c>
      <c r="N2341">
        <v>-1.395854E-2</v>
      </c>
      <c r="O2341">
        <v>1.282909E-2</v>
      </c>
      <c r="P2341">
        <v>-0.99602950000000001</v>
      </c>
      <c r="Q2341">
        <v>-6.1894980000000002E-2</v>
      </c>
      <c r="R2341">
        <v>-6.3987929999999998E-2</v>
      </c>
      <c r="S2341">
        <v>-2.9942929999999999</v>
      </c>
      <c r="T2341">
        <v>-0.20175679999999999</v>
      </c>
      <c r="U2341">
        <v>-7.8155520000000006E-2</v>
      </c>
      <c r="V2341">
        <v>-7.6739650000000006E-2</v>
      </c>
      <c r="W2341">
        <v>-4.803383E-2</v>
      </c>
      <c r="X2341">
        <v>0.99589349999999999</v>
      </c>
      <c r="Y2341">
        <v>-3.8791979999999997E-2</v>
      </c>
      <c r="Z2341">
        <v>-2.2608120000000001E-3</v>
      </c>
      <c r="AA2341">
        <v>0.99924469999999999</v>
      </c>
      <c r="AB2341">
        <v>36</v>
      </c>
      <c r="AC2341">
        <v>-16.1069999999999</v>
      </c>
      <c r="AD2341">
        <v>-1.10933504820884</v>
      </c>
      <c r="AE2341">
        <v>-0.43409999999999999</v>
      </c>
      <c r="AF2341">
        <v>-0.63769983414667797</v>
      </c>
      <c r="AG2341">
        <v>-1.10933504820884</v>
      </c>
      <c r="AH2341">
        <v>16.024149645556498</v>
      </c>
      <c r="AI2341">
        <v>93.957085784432607</v>
      </c>
      <c r="AJ2341">
        <v>92.278950186217401</v>
      </c>
      <c r="AK2341">
        <v>16.0751565215037</v>
      </c>
      <c r="AL2341">
        <v>92.753195024940197</v>
      </c>
      <c r="AM2341">
        <v>94.406281011638598</v>
      </c>
      <c r="AN2341">
        <v>1.00000004302441</v>
      </c>
    </row>
    <row r="2342" spans="1:40" x14ac:dyDescent="0.25">
      <c r="A2342" t="str">
        <f>"20190305135239316"</f>
        <v>20190305135239316</v>
      </c>
      <c r="B2342" t="str">
        <f>"1551765159312104"</f>
        <v>1551765159312104</v>
      </c>
      <c r="C2342" t="s">
        <v>40</v>
      </c>
      <c r="D2342">
        <v>4.5869839999999904</v>
      </c>
      <c r="E2342">
        <v>0.51366219999999996</v>
      </c>
      <c r="F2342" t="s">
        <v>56</v>
      </c>
      <c r="G2342">
        <v>-443.1961</v>
      </c>
      <c r="H2342" s="1">
        <v>1.456299E-7</v>
      </c>
      <c r="I2342">
        <v>285.03680000000003</v>
      </c>
      <c r="J2342">
        <v>-427.09100000000001</v>
      </c>
      <c r="K2342">
        <v>1.109334</v>
      </c>
      <c r="L2342">
        <v>285.49220000000003</v>
      </c>
      <c r="M2342">
        <v>-0.99982280000000001</v>
      </c>
      <c r="N2342">
        <v>-1.3956349999999999E-2</v>
      </c>
      <c r="O2342">
        <v>1.264413E-2</v>
      </c>
      <c r="P2342">
        <v>-0.9961219</v>
      </c>
      <c r="Q2342">
        <v>-6.0685089999999997E-2</v>
      </c>
      <c r="R2342">
        <v>-6.3709329999999995E-2</v>
      </c>
      <c r="S2342">
        <v>-2.994202</v>
      </c>
      <c r="T2342">
        <v>-0.2016751</v>
      </c>
      <c r="U2342">
        <v>-8.1970210000000002E-2</v>
      </c>
      <c r="V2342">
        <v>-7.6280089999999995E-2</v>
      </c>
      <c r="W2342">
        <v>-4.6822969999999998E-2</v>
      </c>
      <c r="X2342">
        <v>0.99598640000000005</v>
      </c>
      <c r="Y2342">
        <v>-3.9877450000000002E-2</v>
      </c>
      <c r="Z2342">
        <v>-2.2941900000000002E-3</v>
      </c>
      <c r="AA2342">
        <v>0.99920200000000003</v>
      </c>
      <c r="AB2342">
        <v>36</v>
      </c>
      <c r="AC2342">
        <v>-16.105099999999901</v>
      </c>
      <c r="AD2342">
        <v>-1.1093338543700999</v>
      </c>
      <c r="AE2342">
        <v>-0.45539999999999697</v>
      </c>
      <c r="AF2342">
        <v>-0.65590884700694496</v>
      </c>
      <c r="AG2342">
        <v>-1.1093338543700999</v>
      </c>
      <c r="AH2342">
        <v>16.0220962399409</v>
      </c>
      <c r="AI2342">
        <v>93.957405574182204</v>
      </c>
      <c r="AJ2342">
        <v>92.344252293768804</v>
      </c>
      <c r="AK2342">
        <v>16.073842289196499</v>
      </c>
      <c r="AL2342">
        <v>92.6837398743357</v>
      </c>
      <c r="AM2342">
        <v>94.379589771739404</v>
      </c>
      <c r="AN2342">
        <v>0.999999975817494</v>
      </c>
    </row>
    <row r="2343" spans="1:40" x14ac:dyDescent="0.25">
      <c r="A2343" t="str">
        <f>"20190305135239338"</f>
        <v>20190305135239338</v>
      </c>
      <c r="B2343" t="str">
        <f>"1551765159331627"</f>
        <v>1551765159331627</v>
      </c>
      <c r="C2343" t="s">
        <v>40</v>
      </c>
      <c r="D2343">
        <v>4.6100519999999996</v>
      </c>
      <c r="E2343">
        <v>0.51359579999999905</v>
      </c>
      <c r="F2343" t="s">
        <v>56</v>
      </c>
      <c r="G2343">
        <v>-443.64980000000003</v>
      </c>
      <c r="H2343" s="1">
        <v>3.8691810000000002E-7</v>
      </c>
      <c r="I2343">
        <v>285.04070000000002</v>
      </c>
      <c r="J2343">
        <v>-427.4513</v>
      </c>
      <c r="K2343">
        <v>1.109326</v>
      </c>
      <c r="L2343">
        <v>285.49650000000003</v>
      </c>
      <c r="M2343">
        <v>-0.99982510000000002</v>
      </c>
      <c r="N2343">
        <v>-1.395419E-2</v>
      </c>
      <c r="O2343">
        <v>1.245799E-2</v>
      </c>
      <c r="P2343">
        <v>-0.9961875</v>
      </c>
      <c r="Q2343">
        <v>-6.0013230000000001E-2</v>
      </c>
      <c r="R2343">
        <v>-6.3316830000000004E-2</v>
      </c>
      <c r="S2343">
        <v>-2.9942319999999998</v>
      </c>
      <c r="T2343">
        <v>-0.2005941</v>
      </c>
      <c r="U2343">
        <v>-8.1634520000000002E-2</v>
      </c>
      <c r="V2343">
        <v>-7.5703989999999999E-2</v>
      </c>
      <c r="W2343">
        <v>-4.6150749999999997E-2</v>
      </c>
      <c r="X2343">
        <v>0.99606170000000005</v>
      </c>
      <c r="Y2343">
        <v>-3.9581579999999998E-2</v>
      </c>
      <c r="Z2343">
        <v>-2.2606029999999999E-3</v>
      </c>
      <c r="AA2343">
        <v>0.99921380000000004</v>
      </c>
      <c r="AB2343">
        <v>36</v>
      </c>
      <c r="AC2343">
        <v>-16.198499999999999</v>
      </c>
      <c r="AD2343">
        <v>-1.10932561308189</v>
      </c>
      <c r="AE2343">
        <v>-0.45580000000000997</v>
      </c>
      <c r="AF2343">
        <v>-0.654517778165702</v>
      </c>
      <c r="AG2343">
        <v>-1.10932561308189</v>
      </c>
      <c r="AH2343">
        <v>16.116040114809699</v>
      </c>
      <c r="AI2343">
        <v>93.934432407503294</v>
      </c>
      <c r="AJ2343">
        <v>92.325664884161498</v>
      </c>
      <c r="AK2343">
        <v>16.167428546925201</v>
      </c>
      <c r="AL2343">
        <v>92.645182893383307</v>
      </c>
      <c r="AM2343">
        <v>94.346313133838706</v>
      </c>
      <c r="AN2343">
        <v>0.99999994801718495</v>
      </c>
    </row>
    <row r="2344" spans="1:40" x14ac:dyDescent="0.25">
      <c r="A2344" t="str">
        <f>"20190305135239361"</f>
        <v>20190305135239361</v>
      </c>
      <c r="B2344" t="str">
        <f>"1551765159352120"</f>
        <v>1551765159352120</v>
      </c>
      <c r="C2344" t="s">
        <v>40</v>
      </c>
      <c r="D2344">
        <v>4.6008250000000004</v>
      </c>
      <c r="E2344">
        <v>0.51362969999999997</v>
      </c>
      <c r="F2344" t="s">
        <v>56</v>
      </c>
      <c r="G2344">
        <v>-444.0102</v>
      </c>
      <c r="H2344" s="1">
        <v>5.7829349999999996E-7</v>
      </c>
      <c r="I2344">
        <v>285.0496</v>
      </c>
      <c r="J2344">
        <v>-427.81299999999999</v>
      </c>
      <c r="K2344">
        <v>1.109327</v>
      </c>
      <c r="L2344">
        <v>285.50080000000003</v>
      </c>
      <c r="M2344">
        <v>-0.99982740000000003</v>
      </c>
      <c r="N2344">
        <v>-1.3952040000000001E-2</v>
      </c>
      <c r="O2344">
        <v>1.226962E-2</v>
      </c>
      <c r="P2344">
        <v>-0.99621550000000003</v>
      </c>
      <c r="Q2344">
        <v>-5.9518429999999997E-2</v>
      </c>
      <c r="R2344">
        <v>-6.3346059999999996E-2</v>
      </c>
      <c r="S2344">
        <v>-2.9942630000000001</v>
      </c>
      <c r="T2344">
        <v>-0.2005941</v>
      </c>
      <c r="U2344">
        <v>-8.0810549999999995E-2</v>
      </c>
      <c r="V2344">
        <v>-7.5546589999999997E-2</v>
      </c>
      <c r="W2344">
        <v>-4.5656710000000003E-2</v>
      </c>
      <c r="X2344">
        <v>0.99609650000000005</v>
      </c>
      <c r="Y2344">
        <v>-3.9119790000000002E-2</v>
      </c>
      <c r="Z2344">
        <v>-2.2319179999999998E-3</v>
      </c>
      <c r="AA2344">
        <v>0.99923209999999996</v>
      </c>
      <c r="AB2344">
        <v>36</v>
      </c>
      <c r="AC2344">
        <v>-16.197199999999899</v>
      </c>
      <c r="AD2344">
        <v>-1.1093264217065</v>
      </c>
      <c r="AE2344">
        <v>-0.45120000000002802</v>
      </c>
      <c r="AF2344">
        <v>-0.64688685328805395</v>
      </c>
      <c r="AG2344">
        <v>-1.1093264217065</v>
      </c>
      <c r="AH2344">
        <v>16.1149121240929</v>
      </c>
      <c r="AI2344">
        <v>93.934784223477905</v>
      </c>
      <c r="AJ2344">
        <v>92.298740280201898</v>
      </c>
      <c r="AK2344">
        <v>16.165997045592</v>
      </c>
      <c r="AL2344">
        <v>92.616846400188393</v>
      </c>
      <c r="AM2344">
        <v>94.337160061747994</v>
      </c>
      <c r="AN2344">
        <v>1.0000000298704499</v>
      </c>
    </row>
    <row r="2345" spans="1:40" x14ac:dyDescent="0.25">
      <c r="A2345" t="str">
        <f>"20190305135239384"</f>
        <v>20190305135239384</v>
      </c>
      <c r="B2345" t="str">
        <f>"1551765159371640"</f>
        <v>1551765159371640</v>
      </c>
      <c r="C2345" t="s">
        <v>40</v>
      </c>
      <c r="D2345">
        <v>4.6140749999999997</v>
      </c>
      <c r="E2345">
        <v>0.51364929999999998</v>
      </c>
      <c r="F2345" t="s">
        <v>56</v>
      </c>
      <c r="G2345">
        <v>-444.35640000000001</v>
      </c>
      <c r="H2345" s="1">
        <v>7.6228849999999999E-7</v>
      </c>
      <c r="I2345">
        <v>285.0548</v>
      </c>
      <c r="J2345">
        <v>-428.16379999999998</v>
      </c>
      <c r="K2345">
        <v>1.1093329999999999</v>
      </c>
      <c r="L2345">
        <v>285.50490000000002</v>
      </c>
      <c r="M2345">
        <v>-0.99982959999999999</v>
      </c>
      <c r="N2345">
        <v>-1.3949960000000001E-2</v>
      </c>
      <c r="O2345">
        <v>1.208705E-2</v>
      </c>
      <c r="P2345">
        <v>-0.99634239999999996</v>
      </c>
      <c r="Q2345">
        <v>-5.8778589999999999E-2</v>
      </c>
      <c r="R2345">
        <v>-6.2023399999999999E-2</v>
      </c>
      <c r="S2345">
        <v>-2.9942929999999999</v>
      </c>
      <c r="T2345">
        <v>-0.20078409999999999</v>
      </c>
      <c r="U2345">
        <v>-8.0718990000000004E-2</v>
      </c>
      <c r="V2345">
        <v>-7.4044269999999995E-2</v>
      </c>
      <c r="W2345">
        <v>-4.4915829999999997E-2</v>
      </c>
      <c r="X2345">
        <v>0.99624290000000004</v>
      </c>
      <c r="Y2345">
        <v>-3.890714E-2</v>
      </c>
      <c r="Z2345">
        <v>-2.2156070000000001E-3</v>
      </c>
      <c r="AA2345">
        <v>0.99924040000000003</v>
      </c>
      <c r="AB2345">
        <v>36</v>
      </c>
      <c r="AC2345">
        <v>-16.192599999999999</v>
      </c>
      <c r="AD2345">
        <v>-1.10933223771149</v>
      </c>
      <c r="AE2345">
        <v>-0.45010000000001998</v>
      </c>
      <c r="AF2345">
        <v>-0.64279236283298102</v>
      </c>
      <c r="AG2345">
        <v>-1.10933223771149</v>
      </c>
      <c r="AH2345">
        <v>16.110421259442301</v>
      </c>
      <c r="AI2345">
        <v>93.935936278261295</v>
      </c>
      <c r="AJ2345">
        <v>92.284841852692693</v>
      </c>
      <c r="AK2345">
        <v>16.161357405615199</v>
      </c>
      <c r="AL2345">
        <v>92.574353711611494</v>
      </c>
      <c r="AM2345">
        <v>94.250608222780897</v>
      </c>
      <c r="AN2345">
        <v>0.99999995075241399</v>
      </c>
    </row>
    <row r="2346" spans="1:40" x14ac:dyDescent="0.25">
      <c r="A2346" t="str">
        <f>"20190305135239406"</f>
        <v>20190305135239406</v>
      </c>
      <c r="B2346" t="str">
        <f>"1551765159401896"</f>
        <v>1551765159401896</v>
      </c>
      <c r="C2346" t="s">
        <v>40</v>
      </c>
      <c r="D2346">
        <v>4.6638320000000002</v>
      </c>
      <c r="E2346">
        <v>0.51363149999999902</v>
      </c>
      <c r="F2346" t="s">
        <v>56</v>
      </c>
      <c r="G2346">
        <v>-444.779</v>
      </c>
      <c r="H2346" s="1">
        <v>9.8604550000000005E-7</v>
      </c>
      <c r="I2346">
        <v>285.08080000000001</v>
      </c>
      <c r="J2346">
        <v>-428.51920000000001</v>
      </c>
      <c r="K2346">
        <v>1.1093390000000001</v>
      </c>
      <c r="L2346">
        <v>285.50900000000001</v>
      </c>
      <c r="M2346">
        <v>-0.9998319</v>
      </c>
      <c r="N2346">
        <v>-1.394783E-2</v>
      </c>
      <c r="O2346">
        <v>1.1901439999999999E-2</v>
      </c>
      <c r="P2346">
        <v>-0.99647070000000004</v>
      </c>
      <c r="Q2346">
        <v>-5.802711E-2</v>
      </c>
      <c r="R2346">
        <v>-6.0655580000000001E-2</v>
      </c>
      <c r="S2346">
        <v>-2.9944459999999999</v>
      </c>
      <c r="T2346">
        <v>-0.19992789999999999</v>
      </c>
      <c r="U2346">
        <v>-7.6446529999999999E-2</v>
      </c>
      <c r="V2346">
        <v>-7.2494160000000002E-2</v>
      </c>
      <c r="W2346">
        <v>-4.4163380000000002E-2</v>
      </c>
      <c r="X2346">
        <v>0.99639060000000002</v>
      </c>
      <c r="Y2346">
        <v>-3.730108E-2</v>
      </c>
      <c r="Z2346">
        <v>-2.1319669999999998E-3</v>
      </c>
      <c r="AA2346">
        <v>0.99930180000000002</v>
      </c>
      <c r="AB2346">
        <v>36</v>
      </c>
      <c r="AC2346">
        <v>-16.259799999999899</v>
      </c>
      <c r="AD2346">
        <v>-1.1093380139544999</v>
      </c>
      <c r="AE2346">
        <v>-0.42820000000000302</v>
      </c>
      <c r="AF2346">
        <v>-0.61882503945270695</v>
      </c>
      <c r="AG2346">
        <v>-1.1093380139544999</v>
      </c>
      <c r="AH2346">
        <v>16.178297570136699</v>
      </c>
      <c r="AI2346">
        <v>93.919746278613502</v>
      </c>
      <c r="AJ2346">
        <v>92.190513943808497</v>
      </c>
      <c r="AK2346">
        <v>16.228089460147402</v>
      </c>
      <c r="AL2346">
        <v>92.5311985037075</v>
      </c>
      <c r="AM2346">
        <v>94.161323369120396</v>
      </c>
      <c r="AN2346">
        <v>1.0000000175677399</v>
      </c>
    </row>
    <row r="2347" spans="1:40" x14ac:dyDescent="0.25">
      <c r="A2347" t="str">
        <f>"20190305135239428"</f>
        <v>20190305135239428</v>
      </c>
      <c r="B2347" t="str">
        <f>"1551765159421419"</f>
        <v>1551765159421419</v>
      </c>
      <c r="C2347" t="s">
        <v>40</v>
      </c>
      <c r="D2347">
        <v>4.6415110000000004</v>
      </c>
      <c r="E2347">
        <v>0.51362419999999998</v>
      </c>
      <c r="F2347" t="s">
        <v>56</v>
      </c>
      <c r="G2347">
        <v>-445.13189999999997</v>
      </c>
      <c r="H2347" s="1">
        <v>1.172663E-6</v>
      </c>
      <c r="I2347">
        <v>285.10809999999998</v>
      </c>
      <c r="J2347">
        <v>-428.87970000000001</v>
      </c>
      <c r="K2347">
        <v>1.109351</v>
      </c>
      <c r="L2347">
        <v>285.51319999999998</v>
      </c>
      <c r="M2347">
        <v>-0.99983420000000001</v>
      </c>
      <c r="N2347">
        <v>-1.394572E-2</v>
      </c>
      <c r="O2347">
        <v>1.171325E-2</v>
      </c>
      <c r="P2347">
        <v>-0.99653210000000003</v>
      </c>
      <c r="Q2347">
        <v>-5.7647549999999999E-2</v>
      </c>
      <c r="R2347">
        <v>-6.0005019999999999E-2</v>
      </c>
      <c r="S2347">
        <v>-2.9945979999999999</v>
      </c>
      <c r="T2347">
        <v>-0.1999686</v>
      </c>
      <c r="U2347">
        <v>-7.2265629999999997E-2</v>
      </c>
      <c r="V2347">
        <v>-7.1657230000000002E-2</v>
      </c>
      <c r="W2347">
        <v>-4.3784289999999997E-2</v>
      </c>
      <c r="X2347">
        <v>0.99646780000000001</v>
      </c>
      <c r="Y2347">
        <v>-3.5721820000000001E-2</v>
      </c>
      <c r="Z2347">
        <v>-2.0586670000000001E-3</v>
      </c>
      <c r="AA2347">
        <v>0.99935969999999996</v>
      </c>
      <c r="AB2347">
        <v>36</v>
      </c>
      <c r="AC2347">
        <v>-16.252199999999899</v>
      </c>
      <c r="AD2347">
        <v>-1.1093498273369999</v>
      </c>
      <c r="AE2347">
        <v>-0.40510000000000401</v>
      </c>
      <c r="AF2347">
        <v>-0.59269700109915902</v>
      </c>
      <c r="AG2347">
        <v>-1.1093498273369999</v>
      </c>
      <c r="AH2347">
        <v>16.171041770092</v>
      </c>
      <c r="AI2347">
        <v>93.921774898314595</v>
      </c>
      <c r="AJ2347">
        <v>92.099051076596893</v>
      </c>
      <c r="AK2347">
        <v>16.219880970727999</v>
      </c>
      <c r="AL2347">
        <v>92.509457386985801</v>
      </c>
      <c r="AM2347">
        <v>94.113130033324893</v>
      </c>
      <c r="AN2347">
        <v>0.99999994954945703</v>
      </c>
    </row>
    <row r="2348" spans="1:40" x14ac:dyDescent="0.25">
      <c r="A2348" t="str">
        <f>"20190305135239450"</f>
        <v>20190305135239450</v>
      </c>
      <c r="B2348" t="str">
        <f>"1551765159441912"</f>
        <v>1551765159441912</v>
      </c>
      <c r="C2348" t="s">
        <v>40</v>
      </c>
      <c r="D2348">
        <v>4.6499470000000001</v>
      </c>
      <c r="E2348">
        <v>0.51355699999999904</v>
      </c>
      <c r="F2348" t="s">
        <v>56</v>
      </c>
      <c r="G2348">
        <v>-445.45769999999999</v>
      </c>
      <c r="H2348" s="1">
        <v>1.3454069999999901E-6</v>
      </c>
      <c r="I2348">
        <v>285.12270000000001</v>
      </c>
      <c r="J2348">
        <v>-429.22269999999997</v>
      </c>
      <c r="K2348">
        <v>1.1093459999999999</v>
      </c>
      <c r="L2348">
        <v>285.517</v>
      </c>
      <c r="M2348">
        <v>-0.99983639999999996</v>
      </c>
      <c r="N2348">
        <v>-1.394373E-2</v>
      </c>
      <c r="O2348">
        <v>1.153382E-2</v>
      </c>
      <c r="P2348">
        <v>-0.99661670000000002</v>
      </c>
      <c r="Q2348">
        <v>-5.7117309999999998E-2</v>
      </c>
      <c r="R2348">
        <v>-5.9101699999999903E-2</v>
      </c>
      <c r="S2348">
        <v>-2.9945979999999999</v>
      </c>
      <c r="T2348">
        <v>-0.2003895</v>
      </c>
      <c r="U2348">
        <v>-7.0526119999999998E-2</v>
      </c>
      <c r="V2348">
        <v>-7.0575949999999998E-2</v>
      </c>
      <c r="W2348">
        <v>-4.3254010000000002E-2</v>
      </c>
      <c r="X2348">
        <v>0.99656820000000002</v>
      </c>
      <c r="Y2348">
        <v>-3.4964120000000001E-2</v>
      </c>
      <c r="Z2348">
        <v>-2.022706E-3</v>
      </c>
      <c r="AA2348">
        <v>0.99938649999999996</v>
      </c>
      <c r="AB2348">
        <v>36</v>
      </c>
      <c r="AC2348">
        <v>-16.234999999999999</v>
      </c>
      <c r="AD2348">
        <v>-1.1093446545929999</v>
      </c>
      <c r="AE2348">
        <v>-0.39429999999998699</v>
      </c>
      <c r="AF2348">
        <v>-0.57884246420389296</v>
      </c>
      <c r="AG2348">
        <v>-1.1093446545929999</v>
      </c>
      <c r="AH2348">
        <v>16.1539923508839</v>
      </c>
      <c r="AI2348">
        <v>93.925998885072701</v>
      </c>
      <c r="AJ2348">
        <v>92.052189070009803</v>
      </c>
      <c r="AK2348">
        <v>16.202381708670298</v>
      </c>
      <c r="AL2348">
        <v>92.479045578112107</v>
      </c>
      <c r="AM2348">
        <v>94.050865933346898</v>
      </c>
      <c r="AN2348">
        <v>1.0000000256753601</v>
      </c>
    </row>
    <row r="2349" spans="1:40" x14ac:dyDescent="0.25">
      <c r="A2349" t="str">
        <f>"20190305135239473"</f>
        <v>20190305135239473</v>
      </c>
      <c r="B2349" t="str">
        <f>"1551765159461432"</f>
        <v>1551765159461432</v>
      </c>
      <c r="C2349" t="s">
        <v>40</v>
      </c>
      <c r="D2349">
        <v>4.6618269999999997</v>
      </c>
      <c r="E2349">
        <v>0.51344999999999996</v>
      </c>
      <c r="F2349" t="s">
        <v>56</v>
      </c>
      <c r="G2349">
        <v>-445.74930000000001</v>
      </c>
      <c r="H2349" s="1">
        <v>1.4997640000000001E-6</v>
      </c>
      <c r="I2349">
        <v>285.14089999999999</v>
      </c>
      <c r="J2349">
        <v>-429.5761</v>
      </c>
      <c r="K2349">
        <v>1.1093440000000001</v>
      </c>
      <c r="L2349">
        <v>285.52080000000001</v>
      </c>
      <c r="M2349">
        <v>-0.99983849999999996</v>
      </c>
      <c r="N2349">
        <v>-1.394163E-2</v>
      </c>
      <c r="O2349">
        <v>1.134867E-2</v>
      </c>
      <c r="P2349">
        <v>-0.99662490000000004</v>
      </c>
      <c r="Q2349">
        <v>-5.7678710000000001E-2</v>
      </c>
      <c r="R2349">
        <v>-5.841524E-2</v>
      </c>
      <c r="S2349">
        <v>-2.9945979999999999</v>
      </c>
      <c r="T2349">
        <v>-0.2010123</v>
      </c>
      <c r="U2349">
        <v>-6.8145750000000005E-2</v>
      </c>
      <c r="V2349">
        <v>-6.9705550000000005E-2</v>
      </c>
      <c r="W2349">
        <v>-4.3816559999999997E-2</v>
      </c>
      <c r="X2349">
        <v>0.99660490000000002</v>
      </c>
      <c r="Y2349">
        <v>-3.3987299999999998E-2</v>
      </c>
      <c r="Z2349">
        <v>-1.979326E-3</v>
      </c>
      <c r="AA2349">
        <v>0.99942030000000004</v>
      </c>
      <c r="AB2349">
        <v>36</v>
      </c>
      <c r="AC2349">
        <v>-16.173200000000001</v>
      </c>
      <c r="AD2349">
        <v>-1.109342500236</v>
      </c>
      <c r="AE2349">
        <v>-0.37990000000002</v>
      </c>
      <c r="AF2349">
        <v>-0.56080067382632304</v>
      </c>
      <c r="AG2349">
        <v>-1.109342500236</v>
      </c>
      <c r="AH2349">
        <v>16.092178074790201</v>
      </c>
      <c r="AI2349">
        <v>93.941160998625307</v>
      </c>
      <c r="AJ2349">
        <v>91.995908414356606</v>
      </c>
      <c r="AK2349">
        <v>16.1401156553896</v>
      </c>
      <c r="AL2349">
        <v>92.511307869037793</v>
      </c>
      <c r="AM2349">
        <v>94.000923764222193</v>
      </c>
      <c r="AN2349">
        <v>1.00000004066752</v>
      </c>
    </row>
    <row r="2350" spans="1:40" x14ac:dyDescent="0.25">
      <c r="A2350" t="str">
        <f>"20190305135239495"</f>
        <v>20190305135239495</v>
      </c>
      <c r="B2350" t="str">
        <f>"1551765159491687"</f>
        <v>1551765159491687</v>
      </c>
      <c r="C2350" t="s">
        <v>40</v>
      </c>
      <c r="D2350">
        <v>4.669905</v>
      </c>
      <c r="E2350">
        <v>0.5132951</v>
      </c>
      <c r="F2350" t="s">
        <v>56</v>
      </c>
      <c r="G2350">
        <v>-445.77730000000003</v>
      </c>
      <c r="H2350" s="1">
        <v>1.5138940000000001E-6</v>
      </c>
      <c r="I2350">
        <v>285.15910000000002</v>
      </c>
      <c r="J2350">
        <v>-429.92619999999999</v>
      </c>
      <c r="K2350">
        <v>1.10934</v>
      </c>
      <c r="L2350">
        <v>285.52460000000002</v>
      </c>
      <c r="M2350">
        <v>-0.99984050000000002</v>
      </c>
      <c r="N2350">
        <v>-1.3939500000000001E-2</v>
      </c>
      <c r="O2350">
        <v>1.11653E-2</v>
      </c>
      <c r="P2350">
        <v>-0.99654860000000001</v>
      </c>
      <c r="Q2350">
        <v>-5.8428760000000003E-2</v>
      </c>
      <c r="R2350">
        <v>-5.896655E-2</v>
      </c>
      <c r="S2350">
        <v>-2.9943849999999999</v>
      </c>
      <c r="T2350">
        <v>-0.20503389999999999</v>
      </c>
      <c r="U2350">
        <v>-6.6864010000000001E-2</v>
      </c>
      <c r="V2350">
        <v>-7.0072930000000005E-2</v>
      </c>
      <c r="W2350">
        <v>-4.4569659999999997E-2</v>
      </c>
      <c r="X2350">
        <v>0.99654569999999998</v>
      </c>
      <c r="Y2350">
        <v>-3.3375809999999999E-2</v>
      </c>
      <c r="Z2350">
        <v>-1.982241E-3</v>
      </c>
      <c r="AA2350">
        <v>0.99944089999999997</v>
      </c>
      <c r="AB2350">
        <v>36</v>
      </c>
      <c r="AC2350">
        <v>-15.851100000000001</v>
      </c>
      <c r="AD2350">
        <v>-1.1093384861060001</v>
      </c>
      <c r="AE2350">
        <v>-0.36549999999999699</v>
      </c>
      <c r="AF2350">
        <v>-0.53983405193424205</v>
      </c>
      <c r="AG2350">
        <v>-1.1093384861060001</v>
      </c>
      <c r="AH2350">
        <v>15.768837387727601</v>
      </c>
      <c r="AI2350">
        <v>94.021782696694501</v>
      </c>
      <c r="AJ2350">
        <v>91.960711326899897</v>
      </c>
      <c r="AK2350">
        <v>15.8170251703972</v>
      </c>
      <c r="AL2350">
        <v>92.554499618800705</v>
      </c>
      <c r="AM2350">
        <v>94.0221795739822</v>
      </c>
      <c r="AN2350">
        <v>1.00000000114989</v>
      </c>
    </row>
    <row r="2351" spans="1:40" x14ac:dyDescent="0.25">
      <c r="A2351" t="str">
        <f>"20190305135239518"</f>
        <v>20190305135239518</v>
      </c>
      <c r="B2351" t="str">
        <f>"1551765159512184"</f>
        <v>1551765159512184</v>
      </c>
      <c r="C2351" t="s">
        <v>40</v>
      </c>
      <c r="D2351">
        <v>4.669136</v>
      </c>
      <c r="E2351">
        <v>0.51307820000000004</v>
      </c>
      <c r="F2351" t="s">
        <v>56</v>
      </c>
      <c r="G2351">
        <v>-445.75060000000002</v>
      </c>
      <c r="H2351" s="1">
        <v>1.499792E-6</v>
      </c>
      <c r="I2351">
        <v>285.1567</v>
      </c>
      <c r="J2351">
        <v>-430.30180000000001</v>
      </c>
      <c r="K2351">
        <v>1.10934</v>
      </c>
      <c r="L2351">
        <v>285.52859999999998</v>
      </c>
      <c r="M2351">
        <v>-0.99984269999999997</v>
      </c>
      <c r="N2351">
        <v>-1.393722E-2</v>
      </c>
      <c r="O2351">
        <v>1.0968820000000001E-2</v>
      </c>
      <c r="P2351">
        <v>-0.99639319999999998</v>
      </c>
      <c r="Q2351">
        <v>-5.9075269999999999E-2</v>
      </c>
      <c r="R2351">
        <v>-6.0918170000000001E-2</v>
      </c>
      <c r="S2351">
        <v>-2.9939580000000001</v>
      </c>
      <c r="T2351">
        <v>-0.20988519999999999</v>
      </c>
      <c r="U2351">
        <v>-6.9610599999999995E-2</v>
      </c>
      <c r="V2351">
        <v>-7.1826550000000003E-2</v>
      </c>
      <c r="W2351">
        <v>-4.5221270000000001E-2</v>
      </c>
      <c r="X2351">
        <v>0.99639149999999999</v>
      </c>
      <c r="Y2351">
        <v>-3.4092020000000001E-2</v>
      </c>
      <c r="Z2351">
        <v>-2.0465209999999999E-3</v>
      </c>
      <c r="AA2351">
        <v>0.99941659999999999</v>
      </c>
      <c r="AB2351">
        <v>36</v>
      </c>
      <c r="AC2351">
        <v>-15.4488</v>
      </c>
      <c r="AD2351">
        <v>-1.1093385002079901</v>
      </c>
      <c r="AE2351">
        <v>-0.37189999999998202</v>
      </c>
      <c r="AF2351">
        <v>-0.53857374785164602</v>
      </c>
      <c r="AG2351">
        <v>-1.1093385002079901</v>
      </c>
      <c r="AH2351">
        <v>15.3646119762537</v>
      </c>
      <c r="AI2351">
        <v>94.127113782581503</v>
      </c>
      <c r="AJ2351">
        <v>92.007559554246697</v>
      </c>
      <c r="AK2351">
        <v>15.4140194229395</v>
      </c>
      <c r="AL2351">
        <v>92.591871758991005</v>
      </c>
      <c r="AM2351">
        <v>94.123130160096593</v>
      </c>
      <c r="AN2351">
        <v>1.0000000189087801</v>
      </c>
    </row>
    <row r="2352" spans="1:40" x14ac:dyDescent="0.25">
      <c r="A2352" t="str">
        <f>"20190305135239539"</f>
        <v>20190305135239539</v>
      </c>
      <c r="B2352" t="str">
        <f>"1551765159531704"</f>
        <v>1551765159531704</v>
      </c>
      <c r="C2352" t="s">
        <v>40</v>
      </c>
      <c r="D2352">
        <v>4.6789100000000001</v>
      </c>
      <c r="E2352">
        <v>0.51279659999999905</v>
      </c>
      <c r="F2352" t="s">
        <v>56</v>
      </c>
      <c r="G2352">
        <v>-445.93619999999999</v>
      </c>
      <c r="H2352" s="1">
        <v>1.599826E-6</v>
      </c>
      <c r="I2352">
        <v>285.12700000000001</v>
      </c>
      <c r="J2352">
        <v>-430.6395</v>
      </c>
      <c r="K2352">
        <v>1.1093409999999999</v>
      </c>
      <c r="L2352">
        <v>285.53210000000001</v>
      </c>
      <c r="M2352">
        <v>-0.99984470000000003</v>
      </c>
      <c r="N2352">
        <v>-1.393515E-2</v>
      </c>
      <c r="O2352">
        <v>1.0792299999999999E-2</v>
      </c>
      <c r="P2352">
        <v>-0.99627770000000004</v>
      </c>
      <c r="Q2352">
        <v>-5.8993749999999998E-2</v>
      </c>
      <c r="R2352">
        <v>-6.2852889999999995E-2</v>
      </c>
      <c r="S2352">
        <v>-2.9935610000000001</v>
      </c>
      <c r="T2352">
        <v>-0.21240829999999999</v>
      </c>
      <c r="U2352">
        <v>-7.6904299999999995E-2</v>
      </c>
      <c r="V2352">
        <v>-7.3584620000000003E-2</v>
      </c>
      <c r="W2352">
        <v>-4.5144179999999999E-2</v>
      </c>
      <c r="X2352">
        <v>0.99626669999999995</v>
      </c>
      <c r="Y2352">
        <v>-3.6342899999999997E-2</v>
      </c>
      <c r="Z2352">
        <v>-2.1556589999999999E-3</v>
      </c>
      <c r="AA2352">
        <v>0.99933709999999998</v>
      </c>
      <c r="AB2352">
        <v>35</v>
      </c>
      <c r="AC2352">
        <v>-15.2966999999999</v>
      </c>
      <c r="AD2352">
        <v>-1.109339400174</v>
      </c>
      <c r="AE2352">
        <v>-0.40510000000000401</v>
      </c>
      <c r="AF2352">
        <v>-0.56719799153859796</v>
      </c>
      <c r="AG2352">
        <v>-1.109339400174</v>
      </c>
      <c r="AH2352">
        <v>15.2114898645252</v>
      </c>
      <c r="AI2352">
        <v>94.168180558227405</v>
      </c>
      <c r="AJ2352">
        <v>92.135425433215701</v>
      </c>
      <c r="AK2352">
        <v>15.262430060935101</v>
      </c>
      <c r="AL2352">
        <v>92.587450321042894</v>
      </c>
      <c r="AM2352">
        <v>94.224216678697701</v>
      </c>
      <c r="AN2352">
        <v>1.0000000154086499</v>
      </c>
    </row>
    <row r="2353" spans="1:40" x14ac:dyDescent="0.25">
      <c r="A2353" t="str">
        <f>"20190305135239562"</f>
        <v>20190305135239562</v>
      </c>
      <c r="B2353" t="str">
        <f>"1551765159552201"</f>
        <v>1551765159552201</v>
      </c>
      <c r="C2353" t="s">
        <v>40</v>
      </c>
      <c r="D2353">
        <v>4.6882449999999896</v>
      </c>
      <c r="E2353">
        <v>0.51253570000000004</v>
      </c>
      <c r="F2353" t="s">
        <v>56</v>
      </c>
      <c r="G2353">
        <v>-446.34609999999998</v>
      </c>
      <c r="H2353" s="1">
        <v>1.819773E-6</v>
      </c>
      <c r="I2353">
        <v>285.08530000000002</v>
      </c>
      <c r="J2353">
        <v>-431.00220000000002</v>
      </c>
      <c r="K2353">
        <v>1.109337</v>
      </c>
      <c r="L2353">
        <v>285.53579999999999</v>
      </c>
      <c r="M2353">
        <v>-0.99984669999999998</v>
      </c>
      <c r="N2353">
        <v>-1.3933050000000001E-2</v>
      </c>
      <c r="O2353">
        <v>1.0602189999999999E-2</v>
      </c>
      <c r="P2353">
        <v>-0.99618790000000002</v>
      </c>
      <c r="Q2353">
        <v>-5.8594130000000001E-2</v>
      </c>
      <c r="R2353">
        <v>-6.4625929999999998E-2</v>
      </c>
      <c r="S2353">
        <v>-2.9932859999999999</v>
      </c>
      <c r="T2353">
        <v>-0.2114123</v>
      </c>
      <c r="U2353">
        <v>-8.5144040000000004E-2</v>
      </c>
      <c r="V2353">
        <v>-7.5167330000000004E-2</v>
      </c>
      <c r="W2353">
        <v>-4.4748499999999997E-2</v>
      </c>
      <c r="X2353">
        <v>0.99616629999999995</v>
      </c>
      <c r="Y2353">
        <v>-3.8897849999999998E-2</v>
      </c>
      <c r="Z2353">
        <v>-2.2433330000000001E-3</v>
      </c>
      <c r="AA2353">
        <v>0.99924069999999998</v>
      </c>
      <c r="AB2353">
        <v>35</v>
      </c>
      <c r="AC2353">
        <v>-15.3438999999999</v>
      </c>
      <c r="AD2353">
        <v>-1.109335180227</v>
      </c>
      <c r="AE2353">
        <v>-0.45049999999997598</v>
      </c>
      <c r="AF2353">
        <v>-0.60998376352008798</v>
      </c>
      <c r="AG2353">
        <v>-1.109335180227</v>
      </c>
      <c r="AH2353">
        <v>15.258572530463701</v>
      </c>
      <c r="AI2353">
        <v>94.154918881792199</v>
      </c>
      <c r="AJ2353">
        <v>92.289263637335793</v>
      </c>
      <c r="AK2353">
        <v>15.3110006335728</v>
      </c>
      <c r="AL2353">
        <v>92.564756821155896</v>
      </c>
      <c r="AM2353">
        <v>94.315167815832098</v>
      </c>
      <c r="AN2353">
        <v>0.99999992650363101</v>
      </c>
    </row>
    <row r="2354" spans="1:40" x14ac:dyDescent="0.25">
      <c r="A2354" t="str">
        <f>"20190305135239585"</f>
        <v>20190305135239585</v>
      </c>
      <c r="B2354" t="str">
        <f>"1551765159581481"</f>
        <v>1551765159581481</v>
      </c>
      <c r="C2354" t="s">
        <v>40</v>
      </c>
      <c r="D2354">
        <v>4.7018129999999996</v>
      </c>
      <c r="E2354">
        <v>0.51218850000000005</v>
      </c>
      <c r="F2354" t="s">
        <v>56</v>
      </c>
      <c r="G2354">
        <v>-446.88409999999999</v>
      </c>
      <c r="H2354" s="1">
        <v>2.1078500000000001E-6</v>
      </c>
      <c r="I2354">
        <v>285.0444</v>
      </c>
      <c r="J2354">
        <v>-431.35680000000002</v>
      </c>
      <c r="K2354">
        <v>1.1093329999999999</v>
      </c>
      <c r="L2354">
        <v>285.5394</v>
      </c>
      <c r="M2354">
        <v>-0.99984879999999998</v>
      </c>
      <c r="N2354">
        <v>-1.39309E-2</v>
      </c>
      <c r="O2354">
        <v>1.041626E-2</v>
      </c>
      <c r="P2354">
        <v>-0.99602290000000004</v>
      </c>
      <c r="Q2354">
        <v>-5.9026490000000001E-2</v>
      </c>
      <c r="R2354">
        <v>-6.6740939999999999E-2</v>
      </c>
      <c r="S2354">
        <v>-2.9931640000000002</v>
      </c>
      <c r="T2354">
        <v>-0.20907010000000001</v>
      </c>
      <c r="U2354">
        <v>-9.2620850000000005E-2</v>
      </c>
      <c r="V2354">
        <v>-7.7095629999999998E-2</v>
      </c>
      <c r="W2354">
        <v>-4.5186030000000002E-2</v>
      </c>
      <c r="X2354">
        <v>0.99599919999999997</v>
      </c>
      <c r="Y2354">
        <v>-4.120331E-2</v>
      </c>
      <c r="Z2354">
        <v>-2.3060089999999999E-3</v>
      </c>
      <c r="AA2354">
        <v>0.99914809999999998</v>
      </c>
      <c r="AB2354">
        <v>35</v>
      </c>
      <c r="AC2354">
        <v>-15.527299999999901</v>
      </c>
      <c r="AD2354">
        <v>-1.10933089214999</v>
      </c>
      <c r="AE2354">
        <v>-0.49500000000000399</v>
      </c>
      <c r="AF2354">
        <v>-0.65339352990077604</v>
      </c>
      <c r="AG2354">
        <v>-1.10933089214999</v>
      </c>
      <c r="AH2354">
        <v>15.442558559146001</v>
      </c>
      <c r="AI2354">
        <v>94.105178389594698</v>
      </c>
      <c r="AJ2354">
        <v>92.422809357134696</v>
      </c>
      <c r="AK2354">
        <v>15.496133485029301</v>
      </c>
      <c r="AL2354">
        <v>92.589850742538502</v>
      </c>
      <c r="AM2354">
        <v>94.426171912073599</v>
      </c>
      <c r="AN2354">
        <v>0.99999995993644797</v>
      </c>
    </row>
    <row r="2355" spans="1:40" x14ac:dyDescent="0.25">
      <c r="A2355" t="str">
        <f>"20190305135239608"</f>
        <v>20190305135239608</v>
      </c>
      <c r="B2355" t="str">
        <f>"1551765159601976"</f>
        <v>1551765159601976</v>
      </c>
      <c r="C2355" t="s">
        <v>40</v>
      </c>
      <c r="D2355">
        <v>4.7023780000000004</v>
      </c>
      <c r="E2355">
        <v>0.51196079999999999</v>
      </c>
      <c r="F2355" t="s">
        <v>56</v>
      </c>
      <c r="G2355">
        <v>-447.15050000000002</v>
      </c>
      <c r="H2355" s="1">
        <v>2.2515220000000001E-6</v>
      </c>
      <c r="I2355">
        <v>285.00150000000002</v>
      </c>
      <c r="J2355">
        <v>-431.72050000000002</v>
      </c>
      <c r="K2355">
        <v>1.1093329999999999</v>
      </c>
      <c r="L2355">
        <v>285.54300000000001</v>
      </c>
      <c r="M2355">
        <v>-0.99985069999999998</v>
      </c>
      <c r="N2355">
        <v>-1.392874E-2</v>
      </c>
      <c r="O2355">
        <v>1.022663E-2</v>
      </c>
      <c r="P2355">
        <v>-0.99570780000000003</v>
      </c>
      <c r="Q2355">
        <v>-6.1041379999999999E-2</v>
      </c>
      <c r="R2355">
        <v>-6.9572430000000005E-2</v>
      </c>
      <c r="S2355">
        <v>-2.9927060000000001</v>
      </c>
      <c r="T2355">
        <v>-0.21020459999999999</v>
      </c>
      <c r="U2355">
        <v>-0.1019287</v>
      </c>
      <c r="V2355">
        <v>-7.9733700000000005E-2</v>
      </c>
      <c r="W2355">
        <v>-4.7208470000000002E-2</v>
      </c>
      <c r="X2355">
        <v>0.99569770000000002</v>
      </c>
      <c r="Y2355">
        <v>-4.411288E-2</v>
      </c>
      <c r="Z2355">
        <v>-2.4296169999999998E-3</v>
      </c>
      <c r="AA2355">
        <v>0.99902360000000001</v>
      </c>
      <c r="AB2355">
        <v>35</v>
      </c>
      <c r="AC2355">
        <v>-15.43</v>
      </c>
      <c r="AD2355">
        <v>-1.109330748478</v>
      </c>
      <c r="AE2355">
        <v>-0.54149999999998499</v>
      </c>
      <c r="AF2355">
        <v>-0.69569241055435804</v>
      </c>
      <c r="AG2355">
        <v>-1.109330748478</v>
      </c>
      <c r="AH2355">
        <v>15.3444398238739</v>
      </c>
      <c r="AI2355">
        <v>94.130792365913706</v>
      </c>
      <c r="AJ2355">
        <v>92.595921467844605</v>
      </c>
      <c r="AK2355">
        <v>15.40020896443</v>
      </c>
      <c r="AL2355">
        <v>92.705851768358002</v>
      </c>
      <c r="AM2355">
        <v>94.578374437822603</v>
      </c>
      <c r="AN2355">
        <v>1.00000000617036</v>
      </c>
    </row>
    <row r="2356" spans="1:40" x14ac:dyDescent="0.25">
      <c r="A2356" t="str">
        <f>"20190305135239631"</f>
        <v>20190305135239631</v>
      </c>
      <c r="B2356" t="str">
        <f>"1551765159621496"</f>
        <v>1551765159621496</v>
      </c>
      <c r="C2356" t="s">
        <v>40</v>
      </c>
      <c r="D2356">
        <v>4.669257</v>
      </c>
      <c r="E2356">
        <v>0.51178140000000005</v>
      </c>
      <c r="F2356" t="s">
        <v>56</v>
      </c>
      <c r="G2356">
        <v>-447.12090000000001</v>
      </c>
      <c r="H2356" s="1">
        <v>2.237347E-6</v>
      </c>
      <c r="I2356">
        <v>284.96510000000001</v>
      </c>
      <c r="J2356">
        <v>-432.07420000000002</v>
      </c>
      <c r="K2356">
        <v>1.1093299999999999</v>
      </c>
      <c r="L2356">
        <v>285.54640000000001</v>
      </c>
      <c r="M2356">
        <v>-0.99985270000000004</v>
      </c>
      <c r="N2356">
        <v>-1.3926630000000001E-2</v>
      </c>
      <c r="O2356">
        <v>1.0041649999999999E-2</v>
      </c>
      <c r="P2356">
        <v>-0.99539080000000002</v>
      </c>
      <c r="Q2356">
        <v>-6.2669130000000003E-2</v>
      </c>
      <c r="R2356">
        <v>-7.2596450000000007E-2</v>
      </c>
      <c r="S2356">
        <v>-2.9919129999999998</v>
      </c>
      <c r="T2356">
        <v>-0.21551529999999999</v>
      </c>
      <c r="U2356">
        <v>-0.1122742</v>
      </c>
      <c r="V2356">
        <v>-8.2569439999999994E-2</v>
      </c>
      <c r="W2356">
        <v>-4.8843839999999999E-2</v>
      </c>
      <c r="X2356">
        <v>0.99538769999999999</v>
      </c>
      <c r="Y2356">
        <v>-4.7369889999999998E-2</v>
      </c>
      <c r="Z2356">
        <v>-2.616284E-3</v>
      </c>
      <c r="AA2356">
        <v>0.99887400000000004</v>
      </c>
      <c r="AB2356">
        <v>35</v>
      </c>
      <c r="AC2356">
        <v>-15.0466999999999</v>
      </c>
      <c r="AD2356">
        <v>-1.109327762653</v>
      </c>
      <c r="AE2356">
        <v>-0.58129999999999804</v>
      </c>
      <c r="AF2356">
        <v>-0.72842558376460798</v>
      </c>
      <c r="AG2356">
        <v>-1.109327762653</v>
      </c>
      <c r="AH2356">
        <v>14.9589158517683</v>
      </c>
      <c r="AI2356">
        <v>94.236193024749198</v>
      </c>
      <c r="AJ2356">
        <v>92.787820377548101</v>
      </c>
      <c r="AK2356">
        <v>15.0176687730273</v>
      </c>
      <c r="AL2356">
        <v>92.799659692569605</v>
      </c>
      <c r="AM2356">
        <v>94.741945156386905</v>
      </c>
      <c r="AN2356">
        <v>1.0000000532195701</v>
      </c>
    </row>
    <row r="2357" spans="1:40" x14ac:dyDescent="0.25">
      <c r="A2357" t="str">
        <f>"20190305135239651"</f>
        <v>20190305135239651</v>
      </c>
      <c r="B2357" t="str">
        <f>"1551765159641992"</f>
        <v>1551765159641992</v>
      </c>
      <c r="C2357" t="s">
        <v>40</v>
      </c>
      <c r="D2357">
        <v>4.699605</v>
      </c>
      <c r="E2357">
        <v>0.51164520000000002</v>
      </c>
      <c r="F2357" t="s">
        <v>56</v>
      </c>
      <c r="G2357">
        <v>-447.15159999999997</v>
      </c>
      <c r="H2357" s="1">
        <v>2.2553470000000001E-6</v>
      </c>
      <c r="I2357">
        <v>284.92779999999999</v>
      </c>
      <c r="J2357">
        <v>-432.41199999999998</v>
      </c>
      <c r="K2357">
        <v>1.109337</v>
      </c>
      <c r="L2357">
        <v>285.54950000000002</v>
      </c>
      <c r="M2357">
        <v>-0.99985440000000003</v>
      </c>
      <c r="N2357">
        <v>-1.392463E-2</v>
      </c>
      <c r="O2357">
        <v>9.8648869999999993E-3</v>
      </c>
      <c r="P2357">
        <v>-0.99534959999999995</v>
      </c>
      <c r="Q2357">
        <v>-6.2298109999999997E-2</v>
      </c>
      <c r="R2357">
        <v>-7.3473449999999996E-2</v>
      </c>
      <c r="S2357">
        <v>-2.9910890000000001</v>
      </c>
      <c r="T2357">
        <v>-0.2200695</v>
      </c>
      <c r="U2357">
        <v>-0.12271120000000001</v>
      </c>
      <c r="V2357">
        <v>-8.3270999999999998E-2</v>
      </c>
      <c r="W2357">
        <v>-4.8475560000000001E-2</v>
      </c>
      <c r="X2357">
        <v>0.99534719999999999</v>
      </c>
      <c r="Y2357">
        <v>-5.0666450000000002E-2</v>
      </c>
      <c r="Z2357">
        <v>-2.8014810000000002E-3</v>
      </c>
      <c r="AA2357">
        <v>0.99871169999999998</v>
      </c>
      <c r="AB2357">
        <v>35</v>
      </c>
      <c r="AC2357">
        <v>-14.7395999999999</v>
      </c>
      <c r="AD2357">
        <v>-1.109334744653</v>
      </c>
      <c r="AE2357">
        <v>-0.621700000000032</v>
      </c>
      <c r="AF2357">
        <v>-0.76277533669100395</v>
      </c>
      <c r="AG2357">
        <v>-1.109334744653</v>
      </c>
      <c r="AH2357">
        <v>14.649913463912201</v>
      </c>
      <c r="AI2357">
        <v>94.324506151862096</v>
      </c>
      <c r="AJ2357">
        <v>92.980521259363002</v>
      </c>
      <c r="AK2357">
        <v>14.7116421343803</v>
      </c>
      <c r="AL2357">
        <v>92.778533943261706</v>
      </c>
      <c r="AM2357">
        <v>94.782243205291707</v>
      </c>
      <c r="AN2357">
        <v>0.99999999395307604</v>
      </c>
    </row>
    <row r="2358" spans="1:40" x14ac:dyDescent="0.25">
      <c r="A2358" t="str">
        <f>"20190305135239674"</f>
        <v>20190305135239674</v>
      </c>
      <c r="B2358" t="str">
        <f>"1551765159661513"</f>
        <v>1551765159661513</v>
      </c>
      <c r="C2358" t="s">
        <v>40</v>
      </c>
      <c r="D2358">
        <v>4.6940939999999998</v>
      </c>
      <c r="E2358">
        <v>0.51155280000000003</v>
      </c>
      <c r="F2358" t="s">
        <v>56</v>
      </c>
      <c r="G2358">
        <v>-447.56700000000001</v>
      </c>
      <c r="H2358" s="1">
        <v>2.4771879999999999E-6</v>
      </c>
      <c r="I2358">
        <v>284.90940000000001</v>
      </c>
      <c r="J2358">
        <v>-432.76459999999997</v>
      </c>
      <c r="K2358">
        <v>1.1093459999999999</v>
      </c>
      <c r="L2358">
        <v>285.55279999999999</v>
      </c>
      <c r="M2358">
        <v>-0.99985630000000003</v>
      </c>
      <c r="N2358">
        <v>-1.3922550000000001E-2</v>
      </c>
      <c r="O2358">
        <v>9.6803810000000001E-3</v>
      </c>
      <c r="P2358">
        <v>-0.9953784</v>
      </c>
      <c r="Q2358">
        <v>-6.064717E-2</v>
      </c>
      <c r="R2358">
        <v>-7.4458869999999996E-2</v>
      </c>
      <c r="S2358">
        <v>-2.991028</v>
      </c>
      <c r="T2358">
        <v>-0.2189401</v>
      </c>
      <c r="U2358">
        <v>-0.12634280000000001</v>
      </c>
      <c r="V2358">
        <v>-8.4073519999999999E-2</v>
      </c>
      <c r="W2358">
        <v>-4.6826590000000001E-2</v>
      </c>
      <c r="X2358">
        <v>0.99535870000000004</v>
      </c>
      <c r="Y2358">
        <v>-5.169228E-2</v>
      </c>
      <c r="Z2358">
        <v>-2.821928E-3</v>
      </c>
      <c r="AA2358">
        <v>0.99865910000000002</v>
      </c>
      <c r="AB2358">
        <v>35</v>
      </c>
      <c r="AC2358">
        <v>-14.802399999999899</v>
      </c>
      <c r="AD2358">
        <v>-1.1093435228120001</v>
      </c>
      <c r="AE2358">
        <v>-0.64339999999998498</v>
      </c>
      <c r="AF2358">
        <v>-0.782291122875588</v>
      </c>
      <c r="AG2358">
        <v>-1.1093435228120001</v>
      </c>
      <c r="AH2358">
        <v>14.7129972102979</v>
      </c>
      <c r="AI2358">
        <v>94.305819821530207</v>
      </c>
      <c r="AJ2358">
        <v>93.043554787775093</v>
      </c>
      <c r="AK2358">
        <v>14.775483388463799</v>
      </c>
      <c r="AL2358">
        <v>92.683947410313706</v>
      </c>
      <c r="AM2358">
        <v>94.828059473801204</v>
      </c>
      <c r="AN2358">
        <v>1.00000001398095</v>
      </c>
    </row>
    <row r="2359" spans="1:40" x14ac:dyDescent="0.25">
      <c r="A2359" t="str">
        <f>"20190305135239688"</f>
        <v>20190305135239688</v>
      </c>
      <c r="B2359" t="str">
        <f>"1551765159682009"</f>
        <v>1551765159682009</v>
      </c>
      <c r="C2359" t="s">
        <v>40</v>
      </c>
      <c r="D2359">
        <v>4.8308160000000004</v>
      </c>
      <c r="E2359">
        <v>0.51148930000000004</v>
      </c>
      <c r="F2359" t="s">
        <v>56</v>
      </c>
      <c r="G2359">
        <v>-448.29500000000002</v>
      </c>
      <c r="H2359" s="1">
        <v>2.8659520000000001E-6</v>
      </c>
      <c r="I2359">
        <v>284.87810000000002</v>
      </c>
      <c r="J2359">
        <v>-432.98779999999999</v>
      </c>
      <c r="K2359">
        <v>1.109351</v>
      </c>
      <c r="L2359">
        <v>285.55489999999998</v>
      </c>
      <c r="M2359">
        <v>-0.99985749999999995</v>
      </c>
      <c r="N2359">
        <v>-1.392124E-2</v>
      </c>
      <c r="O2359">
        <v>9.5634550000000002E-3</v>
      </c>
      <c r="P2359">
        <v>-0.99539549999999999</v>
      </c>
      <c r="Q2359">
        <v>-5.9785999999999999E-2</v>
      </c>
      <c r="R2359">
        <v>-7.4925329999999998E-2</v>
      </c>
      <c r="S2359">
        <v>-2.9912109999999998</v>
      </c>
      <c r="T2359">
        <v>-0.21366379999999999</v>
      </c>
      <c r="U2359">
        <v>-0.1299438</v>
      </c>
      <c r="V2359">
        <v>-8.4424319999999997E-2</v>
      </c>
      <c r="W2359">
        <v>-4.5966609999999998E-2</v>
      </c>
      <c r="X2359">
        <v>0.99536910000000001</v>
      </c>
      <c r="Y2359">
        <v>-5.2778070000000003E-2</v>
      </c>
      <c r="Z2359">
        <v>-2.7988409999999998E-3</v>
      </c>
      <c r="AA2359">
        <v>0.99860230000000005</v>
      </c>
      <c r="AB2359">
        <v>35</v>
      </c>
      <c r="AC2359">
        <v>-15.3072</v>
      </c>
      <c r="AD2359">
        <v>-1.109348134048</v>
      </c>
      <c r="AE2359">
        <v>-0.67679999999995699</v>
      </c>
      <c r="AF2359">
        <v>-0.81888036742947701</v>
      </c>
      <c r="AG2359">
        <v>-1.109348134048</v>
      </c>
      <c r="AH2359">
        <v>15.220242352962799</v>
      </c>
      <c r="AI2359">
        <v>94.162710269318396</v>
      </c>
      <c r="AJ2359">
        <v>93.079661637830895</v>
      </c>
      <c r="AK2359">
        <v>15.2825716298534</v>
      </c>
      <c r="AL2359">
        <v>92.634621049127801</v>
      </c>
      <c r="AM2359">
        <v>94.848058502931906</v>
      </c>
      <c r="AN2359">
        <v>1.0000000201385799</v>
      </c>
    </row>
    <row r="2360" spans="1:40" x14ac:dyDescent="0.25">
      <c r="A2360" t="str">
        <f>"20190305135239700"</f>
        <v>20190305135239700</v>
      </c>
      <c r="B2360" t="str">
        <f>"1551765159691768"</f>
        <v>1551765159691768</v>
      </c>
      <c r="C2360" t="s">
        <v>40</v>
      </c>
      <c r="D2360">
        <v>4.7241770000000001</v>
      </c>
      <c r="E2360">
        <v>0.51146689999999995</v>
      </c>
      <c r="F2360" t="s">
        <v>56</v>
      </c>
      <c r="G2360">
        <v>-448.79329999999999</v>
      </c>
      <c r="H2360" s="1">
        <v>3.1319890000000002E-6</v>
      </c>
      <c r="I2360">
        <v>284.85809999999998</v>
      </c>
      <c r="J2360">
        <v>-433.18180000000001</v>
      </c>
      <c r="K2360">
        <v>1.109356</v>
      </c>
      <c r="L2360">
        <v>285.5566</v>
      </c>
      <c r="M2360">
        <v>-0.99985840000000004</v>
      </c>
      <c r="N2360">
        <v>-1.392009E-2</v>
      </c>
      <c r="O2360">
        <v>9.4619649999999993E-3</v>
      </c>
      <c r="P2360">
        <v>-0.99540470000000003</v>
      </c>
      <c r="Q2360">
        <v>-5.9424449999999997E-2</v>
      </c>
      <c r="R2360">
        <v>-7.5089119999999995E-2</v>
      </c>
      <c r="S2360">
        <v>-2.991333</v>
      </c>
      <c r="T2360">
        <v>-0.20995459999999999</v>
      </c>
      <c r="U2360">
        <v>-0.1318665</v>
      </c>
      <c r="V2360">
        <v>-8.4487889999999996E-2</v>
      </c>
      <c r="W2360">
        <v>-4.5606000000000001E-2</v>
      </c>
      <c r="X2360">
        <v>0.9953803</v>
      </c>
      <c r="Y2360">
        <v>-5.3319859999999997E-2</v>
      </c>
      <c r="Z2360">
        <v>-2.771332E-3</v>
      </c>
      <c r="AA2360">
        <v>0.99857370000000001</v>
      </c>
      <c r="AB2360">
        <v>35</v>
      </c>
      <c r="AC2360">
        <v>-15.6114999999999</v>
      </c>
      <c r="AD2360">
        <v>-1.1093528680110001</v>
      </c>
      <c r="AE2360">
        <v>-0.69850000000002399</v>
      </c>
      <c r="AF2360">
        <v>-0.84195551887347897</v>
      </c>
      <c r="AG2360">
        <v>-1.1093528680110001</v>
      </c>
      <c r="AH2360">
        <v>15.525949218661999</v>
      </c>
      <c r="AI2360">
        <v>94.080949811312394</v>
      </c>
      <c r="AJ2360">
        <v>93.104048080081</v>
      </c>
      <c r="AK2360">
        <v>15.588285730701701</v>
      </c>
      <c r="AL2360">
        <v>92.613937911224198</v>
      </c>
      <c r="AM2360">
        <v>94.851637254778893</v>
      </c>
      <c r="AN2360">
        <v>1.0000000262103701</v>
      </c>
    </row>
    <row r="2361" spans="1:40" x14ac:dyDescent="0.25">
      <c r="A2361" t="str">
        <f>"20190305135239719"</f>
        <v>20190305135239719</v>
      </c>
      <c r="B2361" t="str">
        <f>"1551765159712264"</f>
        <v>1551765159712264</v>
      </c>
      <c r="C2361" t="s">
        <v>40</v>
      </c>
      <c r="D2361">
        <v>4.7080880000000001</v>
      </c>
      <c r="E2361">
        <v>0.51146159999999996</v>
      </c>
      <c r="F2361" t="s">
        <v>56</v>
      </c>
      <c r="G2361">
        <v>-449.11070000000001</v>
      </c>
      <c r="H2361" s="1">
        <v>3.3012470000000001E-6</v>
      </c>
      <c r="I2361">
        <v>284.85070000000002</v>
      </c>
      <c r="J2361">
        <v>-433.4742</v>
      </c>
      <c r="K2361">
        <v>1.109361</v>
      </c>
      <c r="L2361">
        <v>285.55930000000001</v>
      </c>
      <c r="M2361">
        <v>-0.99985999999999997</v>
      </c>
      <c r="N2361">
        <v>-1.3918359999999999E-2</v>
      </c>
      <c r="O2361">
        <v>9.3088070000000005E-3</v>
      </c>
      <c r="P2361">
        <v>-0.99528779999999994</v>
      </c>
      <c r="Q2361">
        <v>-5.9332570000000001E-2</v>
      </c>
      <c r="R2361">
        <v>-7.6697479999999998E-2</v>
      </c>
      <c r="S2361">
        <v>-2.9913940000000001</v>
      </c>
      <c r="T2361">
        <v>-0.2083324</v>
      </c>
      <c r="U2361">
        <v>-0.1325684</v>
      </c>
      <c r="V2361">
        <v>-8.5942420000000005E-2</v>
      </c>
      <c r="W2361">
        <v>-4.5518000000000003E-2</v>
      </c>
      <c r="X2361">
        <v>0.99525980000000003</v>
      </c>
      <c r="Y2361">
        <v>-5.3402360000000003E-2</v>
      </c>
      <c r="Z2361">
        <v>-2.7466449999999998E-3</v>
      </c>
      <c r="AA2361">
        <v>0.99856929999999999</v>
      </c>
      <c r="AB2361">
        <v>35</v>
      </c>
      <c r="AC2361">
        <v>-15.6365</v>
      </c>
      <c r="AD2361">
        <v>-1.1093576987530001</v>
      </c>
      <c r="AE2361">
        <v>-0.70859999999998902</v>
      </c>
      <c r="AF2361">
        <v>-0.84987152210097305</v>
      </c>
      <c r="AG2361">
        <v>-1.1093576987530001</v>
      </c>
      <c r="AH2361">
        <v>15.5511104949122</v>
      </c>
      <c r="AI2361">
        <v>94.074294027610705</v>
      </c>
      <c r="AJ2361">
        <v>93.128114918206506</v>
      </c>
      <c r="AK2361">
        <v>15.6137757679823</v>
      </c>
      <c r="AL2361">
        <v>92.608890634765103</v>
      </c>
      <c r="AM2361">
        <v>94.935347802414597</v>
      </c>
      <c r="AN2361">
        <v>1.00000002868774</v>
      </c>
    </row>
    <row r="2362" spans="1:40" x14ac:dyDescent="0.25">
      <c r="A2362" t="str">
        <f>"20190305135239740"</f>
        <v>20190305135239740</v>
      </c>
      <c r="B2362" t="str">
        <f>"1551765159731784"</f>
        <v>1551765159731784</v>
      </c>
      <c r="C2362" t="s">
        <v>40</v>
      </c>
      <c r="D2362">
        <v>4.694852</v>
      </c>
      <c r="E2362">
        <v>0.51144129999999999</v>
      </c>
      <c r="F2362" t="s">
        <v>56</v>
      </c>
      <c r="G2362">
        <v>-449.53530000000001</v>
      </c>
      <c r="H2362" s="1">
        <v>3.5284789999999998E-6</v>
      </c>
      <c r="I2362">
        <v>284.82130000000001</v>
      </c>
      <c r="J2362">
        <v>-433.81150000000002</v>
      </c>
      <c r="K2362">
        <v>1.109362</v>
      </c>
      <c r="L2362">
        <v>285.56220000000002</v>
      </c>
      <c r="M2362">
        <v>-0.99986149999999996</v>
      </c>
      <c r="N2362">
        <v>-1.3916380000000001E-2</v>
      </c>
      <c r="O2362">
        <v>9.1322859999999999E-3</v>
      </c>
      <c r="P2362">
        <v>-0.99515160000000003</v>
      </c>
      <c r="Q2362">
        <v>-5.9476759999999997E-2</v>
      </c>
      <c r="R2362">
        <v>-7.8332959999999993E-2</v>
      </c>
      <c r="S2362">
        <v>-2.9913020000000001</v>
      </c>
      <c r="T2362">
        <v>-0.2066123</v>
      </c>
      <c r="U2362">
        <v>-0.1374512</v>
      </c>
      <c r="V2362">
        <v>-8.7401049999999994E-2</v>
      </c>
      <c r="W2362">
        <v>-4.566655E-2</v>
      </c>
      <c r="X2362">
        <v>0.99512590000000001</v>
      </c>
      <c r="Y2362">
        <v>-5.4852810000000002E-2</v>
      </c>
      <c r="Z2362">
        <v>-2.776382E-3</v>
      </c>
      <c r="AA2362">
        <v>0.99849060000000001</v>
      </c>
      <c r="AB2362">
        <v>35</v>
      </c>
      <c r="AC2362">
        <v>-15.723799999999899</v>
      </c>
      <c r="AD2362">
        <v>-1.1093584715209901</v>
      </c>
      <c r="AE2362">
        <v>-0.74090000000001</v>
      </c>
      <c r="AF2362">
        <v>-0.88010603831145096</v>
      </c>
      <c r="AG2362">
        <v>-1.1093584715209901</v>
      </c>
      <c r="AH2362">
        <v>15.6387050804178</v>
      </c>
      <c r="AI2362">
        <v>94.051189051536994</v>
      </c>
      <c r="AJ2362">
        <v>93.221061224127197</v>
      </c>
      <c r="AK2362">
        <v>15.7026863768367</v>
      </c>
      <c r="AL2362">
        <v>92.617410943745398</v>
      </c>
      <c r="AM2362">
        <v>95.019358994187101</v>
      </c>
      <c r="AN2362">
        <v>0.99999996709040695</v>
      </c>
    </row>
    <row r="2363" spans="1:40" x14ac:dyDescent="0.25">
      <c r="A2363" t="str">
        <f>"20190305135239755"</f>
        <v>20190305135239755</v>
      </c>
      <c r="B2363" t="str">
        <f>"1551765159752280"</f>
        <v>1551765159752280</v>
      </c>
      <c r="C2363" t="s">
        <v>40</v>
      </c>
      <c r="D2363">
        <v>4.7198180000000001</v>
      </c>
      <c r="E2363">
        <v>0.51142759999999998</v>
      </c>
      <c r="F2363" t="s">
        <v>56</v>
      </c>
      <c r="G2363">
        <v>-449.93939999999998</v>
      </c>
      <c r="H2363" s="1">
        <v>3.7447310000000001E-6</v>
      </c>
      <c r="I2363">
        <v>284.79320000000001</v>
      </c>
      <c r="J2363">
        <v>-434.0394</v>
      </c>
      <c r="K2363">
        <v>1.1093649999999999</v>
      </c>
      <c r="L2363">
        <v>285.5641</v>
      </c>
      <c r="M2363">
        <v>-0.99986260000000005</v>
      </c>
      <c r="N2363">
        <v>-1.391504E-2</v>
      </c>
      <c r="O2363">
        <v>9.0126809999999998E-3</v>
      </c>
      <c r="P2363">
        <v>-0.99510600000000005</v>
      </c>
      <c r="Q2363">
        <v>-5.927292E-2</v>
      </c>
      <c r="R2363">
        <v>-7.9063040000000001E-2</v>
      </c>
      <c r="S2363">
        <v>-2.9911189999999999</v>
      </c>
      <c r="T2363">
        <v>-0.20574390000000001</v>
      </c>
      <c r="U2363">
        <v>-0.1426086</v>
      </c>
      <c r="V2363">
        <v>-8.8011610000000004E-2</v>
      </c>
      <c r="W2363">
        <v>-4.5464789999999998E-2</v>
      </c>
      <c r="X2363">
        <v>0.9950814</v>
      </c>
      <c r="Y2363">
        <v>-5.645099E-2</v>
      </c>
      <c r="Z2363">
        <v>-2.825316E-3</v>
      </c>
      <c r="AA2363">
        <v>0.99840139999999999</v>
      </c>
      <c r="AB2363">
        <v>35</v>
      </c>
      <c r="AC2363">
        <v>-15.899999999999901</v>
      </c>
      <c r="AD2363">
        <v>-1.109361255269</v>
      </c>
      <c r="AE2363">
        <v>-0.77089999999998304</v>
      </c>
      <c r="AF2363">
        <v>-0.90976581637121701</v>
      </c>
      <c r="AG2363">
        <v>-1.109361255269</v>
      </c>
      <c r="AH2363">
        <v>15.815595580135801</v>
      </c>
      <c r="AI2363">
        <v>94.005754503170095</v>
      </c>
      <c r="AJ2363">
        <v>93.292216324492998</v>
      </c>
      <c r="AK2363">
        <v>15.880535878544601</v>
      </c>
      <c r="AL2363">
        <v>92.605838733182793</v>
      </c>
      <c r="AM2363">
        <v>95.054466734219702</v>
      </c>
      <c r="AN2363">
        <v>1.0000000416252399</v>
      </c>
    </row>
    <row r="2364" spans="1:40" x14ac:dyDescent="0.25">
      <c r="A2364" t="str">
        <f>"20190305135239769"</f>
        <v>20190305135239769</v>
      </c>
      <c r="B2364" t="str">
        <f>"1551765159762040"</f>
        <v>1551765159762040</v>
      </c>
      <c r="C2364" t="s">
        <v>40</v>
      </c>
      <c r="D2364">
        <v>4.7153409999999996</v>
      </c>
      <c r="E2364">
        <v>0.51140039999999998</v>
      </c>
      <c r="F2364" t="s">
        <v>56</v>
      </c>
      <c r="G2364">
        <v>-450.28919999999999</v>
      </c>
      <c r="H2364" s="1">
        <v>-1.3899349999999999E-6</v>
      </c>
      <c r="I2364">
        <v>284.77679999999998</v>
      </c>
      <c r="J2364">
        <v>-434.26769999999999</v>
      </c>
      <c r="K2364">
        <v>1.1093679999999999</v>
      </c>
      <c r="L2364">
        <v>285.56610000000001</v>
      </c>
      <c r="M2364">
        <v>-0.99986359999999996</v>
      </c>
      <c r="N2364">
        <v>-1.3913689999999999E-2</v>
      </c>
      <c r="O2364">
        <v>8.8930160000000001E-3</v>
      </c>
      <c r="P2364">
        <v>-0.99504680000000001</v>
      </c>
      <c r="Q2364">
        <v>-5.9019229999999999E-2</v>
      </c>
      <c r="R2364">
        <v>-7.9992919999999995E-2</v>
      </c>
      <c r="S2364">
        <v>-2.9910580000000002</v>
      </c>
      <c r="T2364">
        <v>-0.20419880000000001</v>
      </c>
      <c r="U2364">
        <v>-0.144928</v>
      </c>
      <c r="V2364">
        <v>-8.8822070000000003E-2</v>
      </c>
      <c r="W2364">
        <v>-4.521352E-2</v>
      </c>
      <c r="X2364">
        <v>0.99502080000000004</v>
      </c>
      <c r="Y2364">
        <v>-5.7105639999999999E-2</v>
      </c>
      <c r="Z2364">
        <v>-2.8265149999999999E-3</v>
      </c>
      <c r="AA2364">
        <v>0.99836420000000003</v>
      </c>
      <c r="AB2364">
        <v>35</v>
      </c>
      <c r="AC2364">
        <v>-16.0215</v>
      </c>
      <c r="AD2364">
        <v>-1.1093693899349999</v>
      </c>
      <c r="AE2364">
        <v>-0.78930000000002498</v>
      </c>
      <c r="AF2364">
        <v>-0.92732670817568497</v>
      </c>
      <c r="AG2364">
        <v>-1.1093693899349999</v>
      </c>
      <c r="AH2364">
        <v>15.9376180188092</v>
      </c>
      <c r="AI2364">
        <v>93.975062066949704</v>
      </c>
      <c r="AJ2364">
        <v>93.329987533626706</v>
      </c>
      <c r="AK2364">
        <v>16.003071685788701</v>
      </c>
      <c r="AL2364">
        <v>92.591427291723306</v>
      </c>
      <c r="AM2364">
        <v>95.101075673859498</v>
      </c>
      <c r="AN2364">
        <v>1.0000000074712501</v>
      </c>
    </row>
    <row r="2365" spans="1:40" x14ac:dyDescent="0.25">
      <c r="A2365" t="str">
        <f>"20190305135239786"</f>
        <v>20190305135239786</v>
      </c>
      <c r="B2365" t="str">
        <f>"1551765159781560"</f>
        <v>1551765159781560</v>
      </c>
      <c r="C2365" t="s">
        <v>40</v>
      </c>
      <c r="D2365">
        <v>4.6949630000000004</v>
      </c>
      <c r="E2365">
        <v>0.51143909999999904</v>
      </c>
      <c r="F2365" t="s">
        <v>56</v>
      </c>
      <c r="G2365">
        <v>-450.58</v>
      </c>
      <c r="H2365" s="1">
        <v>-1.23437E-6</v>
      </c>
      <c r="I2365">
        <v>284.75869999999998</v>
      </c>
      <c r="J2365">
        <v>-434.52379999999999</v>
      </c>
      <c r="K2365">
        <v>1.109369</v>
      </c>
      <c r="L2365">
        <v>285.56819999999999</v>
      </c>
      <c r="M2365">
        <v>-0.99986489999999995</v>
      </c>
      <c r="N2365">
        <v>-1.391218E-2</v>
      </c>
      <c r="O2365">
        <v>8.759101E-3</v>
      </c>
      <c r="P2365">
        <v>-0.99488310000000002</v>
      </c>
      <c r="Q2365">
        <v>-5.8795600000000003E-2</v>
      </c>
      <c r="R2365">
        <v>-8.2162520000000003E-2</v>
      </c>
      <c r="S2365">
        <v>-2.990936</v>
      </c>
      <c r="T2365">
        <v>-0.2034078</v>
      </c>
      <c r="U2365">
        <v>-0.1480408</v>
      </c>
      <c r="V2365">
        <v>-9.0857279999999999E-2</v>
      </c>
      <c r="W2365">
        <v>-4.4994590000000001E-2</v>
      </c>
      <c r="X2365">
        <v>0.99484689999999998</v>
      </c>
      <c r="Y2365">
        <v>-5.8009369999999998E-2</v>
      </c>
      <c r="Z2365">
        <v>-2.8464129999999999E-3</v>
      </c>
      <c r="AA2365">
        <v>0.99831199999999998</v>
      </c>
      <c r="AB2365">
        <v>35</v>
      </c>
      <c r="AC2365">
        <v>-16.056199999999901</v>
      </c>
      <c r="AD2365">
        <v>-1.10937023437</v>
      </c>
      <c r="AE2365">
        <v>-0.80950000000001399</v>
      </c>
      <c r="AF2365">
        <v>-0.94561764551351102</v>
      </c>
      <c r="AG2365">
        <v>-1.10937023437</v>
      </c>
      <c r="AH2365">
        <v>15.972436294750301</v>
      </c>
      <c r="AI2365">
        <v>93.966192041388297</v>
      </c>
      <c r="AJ2365">
        <v>93.388132631316694</v>
      </c>
      <c r="AK2365">
        <v>16.038815923822799</v>
      </c>
      <c r="AL2365">
        <v>92.578870879585196</v>
      </c>
      <c r="AM2365">
        <v>95.218227415458301</v>
      </c>
      <c r="AN2365">
        <v>0.99999995644893702</v>
      </c>
    </row>
    <row r="2366" spans="1:40" x14ac:dyDescent="0.25">
      <c r="A2366" t="str">
        <f>"20190305135239807"</f>
        <v>20190305135239807</v>
      </c>
      <c r="B2366" t="str">
        <f>"1551765159802056"</f>
        <v>1551765159802056</v>
      </c>
      <c r="C2366" t="s">
        <v>40</v>
      </c>
      <c r="D2366">
        <v>4.726566</v>
      </c>
      <c r="E2366">
        <v>0.51150180000000001</v>
      </c>
      <c r="F2366" t="s">
        <v>56</v>
      </c>
      <c r="G2366">
        <v>-450.96879999999999</v>
      </c>
      <c r="H2366" s="1">
        <v>-1.025794E-6</v>
      </c>
      <c r="I2366">
        <v>284.71980000000002</v>
      </c>
      <c r="J2366">
        <v>-434.87270000000001</v>
      </c>
      <c r="K2366">
        <v>1.109367</v>
      </c>
      <c r="L2366">
        <v>285.5711</v>
      </c>
      <c r="M2366">
        <v>-0.99986649999999999</v>
      </c>
      <c r="N2366">
        <v>-1.391013E-2</v>
      </c>
      <c r="O2366">
        <v>8.5768530000000006E-3</v>
      </c>
      <c r="P2366">
        <v>-0.99461440000000001</v>
      </c>
      <c r="Q2366">
        <v>-5.8873090000000003E-2</v>
      </c>
      <c r="R2366">
        <v>-8.5301950000000001E-2</v>
      </c>
      <c r="S2366">
        <v>-2.990723</v>
      </c>
      <c r="T2366">
        <v>-0.2017535</v>
      </c>
      <c r="U2366">
        <v>-0.15429689999999999</v>
      </c>
      <c r="V2366">
        <v>-9.3812850000000003E-2</v>
      </c>
      <c r="W2366">
        <v>-4.5079130000000002E-2</v>
      </c>
      <c r="X2366">
        <v>0.99456880000000003</v>
      </c>
      <c r="Y2366">
        <v>-5.9911499999999999E-2</v>
      </c>
      <c r="Z2366">
        <v>-2.8931930000000001E-3</v>
      </c>
      <c r="AA2366">
        <v>0.99819950000000002</v>
      </c>
      <c r="AB2366">
        <v>35</v>
      </c>
      <c r="AC2366">
        <v>-16.0960999999999</v>
      </c>
      <c r="AD2366">
        <v>-1.109368025794</v>
      </c>
      <c r="AE2366">
        <v>-0.85129999999997996</v>
      </c>
      <c r="AF2366">
        <v>-0.98467159900972701</v>
      </c>
      <c r="AG2366">
        <v>-1.109368025794</v>
      </c>
      <c r="AH2366">
        <v>16.0123562687406</v>
      </c>
      <c r="AI2366">
        <v>93.955784286144393</v>
      </c>
      <c r="AJ2366">
        <v>93.518943194027898</v>
      </c>
      <c r="AK2366">
        <v>16.0809150501962</v>
      </c>
      <c r="AL2366">
        <v>92.583719373075098</v>
      </c>
      <c r="AM2366">
        <v>95.3884897814129</v>
      </c>
      <c r="AN2366">
        <v>1.00000003836005</v>
      </c>
    </row>
    <row r="2367" spans="1:40" x14ac:dyDescent="0.25">
      <c r="A2367" t="str">
        <f>"20190305135239830"</f>
        <v>20190305135239830</v>
      </c>
      <c r="B2367" t="str">
        <f>"1551765159821581"</f>
        <v>1551765159821581</v>
      </c>
      <c r="C2367" t="s">
        <v>40</v>
      </c>
      <c r="D2367">
        <v>4.7732799999999997</v>
      </c>
      <c r="E2367">
        <v>0.51153369999999998</v>
      </c>
      <c r="F2367" t="s">
        <v>56</v>
      </c>
      <c r="G2367">
        <v>-451.33890000000002</v>
      </c>
      <c r="H2367" s="1">
        <v>-8.2674529999999996E-7</v>
      </c>
      <c r="I2367">
        <v>284.67219999999998</v>
      </c>
      <c r="J2367">
        <v>-435.22059999999999</v>
      </c>
      <c r="K2367">
        <v>1.1093679999999999</v>
      </c>
      <c r="L2367">
        <v>285.57389999999998</v>
      </c>
      <c r="M2367">
        <v>-0.99986819999999998</v>
      </c>
      <c r="N2367">
        <v>-1.390809E-2</v>
      </c>
      <c r="O2367">
        <v>8.3945510000000001E-3</v>
      </c>
      <c r="P2367">
        <v>-0.99423079999999997</v>
      </c>
      <c r="Q2367">
        <v>-5.9654560000000002E-2</v>
      </c>
      <c r="R2367">
        <v>-8.9144440000000005E-2</v>
      </c>
      <c r="S2367">
        <v>-2.9902950000000001</v>
      </c>
      <c r="T2367">
        <v>-0.20146310000000001</v>
      </c>
      <c r="U2367">
        <v>-0.16323850000000001</v>
      </c>
      <c r="V2367">
        <v>-9.7470829999999994E-2</v>
      </c>
      <c r="W2367">
        <v>-4.5869420000000001E-2</v>
      </c>
      <c r="X2367">
        <v>0.99418079999999998</v>
      </c>
      <c r="Y2367">
        <v>-6.2706139999999994E-2</v>
      </c>
      <c r="Z2367">
        <v>-2.993342E-3</v>
      </c>
      <c r="AA2367">
        <v>0.99802760000000001</v>
      </c>
      <c r="AB2367">
        <v>35</v>
      </c>
      <c r="AC2367">
        <v>-16.118300000000001</v>
      </c>
      <c r="AD2367">
        <v>-1.1093688267452999</v>
      </c>
      <c r="AE2367">
        <v>-0.90170000000000505</v>
      </c>
      <c r="AF2367">
        <v>-1.0321132005948499</v>
      </c>
      <c r="AG2367">
        <v>-1.1093688267452999</v>
      </c>
      <c r="AH2367">
        <v>16.034441926800898</v>
      </c>
      <c r="AI2367">
        <v>93.949646387192203</v>
      </c>
      <c r="AJ2367">
        <v>93.682963249560103</v>
      </c>
      <c r="AK2367">
        <v>16.1058773358221</v>
      </c>
      <c r="AL2367">
        <v>92.629046606757498</v>
      </c>
      <c r="AM2367">
        <v>95.599460586414693</v>
      </c>
      <c r="AN2367">
        <v>1.0000000147403301</v>
      </c>
    </row>
    <row r="2368" spans="1:40" x14ac:dyDescent="0.25">
      <c r="A2368" t="str">
        <f>"20190305135239852"</f>
        <v>20190305135239852</v>
      </c>
      <c r="B2368" t="str">
        <f>"1551765159842072"</f>
        <v>1551765159842072</v>
      </c>
      <c r="C2368" t="s">
        <v>40</v>
      </c>
      <c r="D2368">
        <v>4.6938219999999999</v>
      </c>
      <c r="E2368">
        <v>0.51130779999999998</v>
      </c>
      <c r="F2368" t="s">
        <v>56</v>
      </c>
      <c r="G2368">
        <v>-451.50569999999999</v>
      </c>
      <c r="H2368" s="1">
        <v>-7.3585859999999998E-7</v>
      </c>
      <c r="I2368">
        <v>284.62380000000002</v>
      </c>
      <c r="J2368">
        <v>-435.56319999999999</v>
      </c>
      <c r="K2368">
        <v>1.109362</v>
      </c>
      <c r="L2368">
        <v>285.57650000000001</v>
      </c>
      <c r="M2368">
        <v>-0.99986960000000003</v>
      </c>
      <c r="N2368">
        <v>-1.3906099999999999E-2</v>
      </c>
      <c r="O2368">
        <v>8.2149930000000003E-3</v>
      </c>
      <c r="P2368">
        <v>-0.99382939999999997</v>
      </c>
      <c r="Q2368">
        <v>-6.0120430000000002E-2</v>
      </c>
      <c r="R2368">
        <v>-9.3214089999999999E-2</v>
      </c>
      <c r="S2368">
        <v>-2.9895939999999999</v>
      </c>
      <c r="T2368">
        <v>-0.2036558</v>
      </c>
      <c r="U2368">
        <v>-0.17440799999999901</v>
      </c>
      <c r="V2368">
        <v>-0.1013585</v>
      </c>
      <c r="W2368">
        <v>-4.6344440000000001E-2</v>
      </c>
      <c r="X2368">
        <v>0.99376989999999998</v>
      </c>
      <c r="Y2368">
        <v>-6.6242780000000001E-2</v>
      </c>
      <c r="Z2368">
        <v>-3.1578959999999999E-3</v>
      </c>
      <c r="AA2368">
        <v>0.99779859999999998</v>
      </c>
      <c r="AB2368">
        <v>35</v>
      </c>
      <c r="AC2368">
        <v>-15.9424999999999</v>
      </c>
      <c r="AD2368">
        <v>-1.1093627358586</v>
      </c>
      <c r="AE2368">
        <v>-0.952699999999992</v>
      </c>
      <c r="AF2368">
        <v>-1.0784446699486401</v>
      </c>
      <c r="AG2368">
        <v>-1.1093627358586</v>
      </c>
      <c r="AH2368">
        <v>15.857623689584001</v>
      </c>
      <c r="AI2368">
        <v>93.9925682189875</v>
      </c>
      <c r="AJ2368">
        <v>93.890578495468006</v>
      </c>
      <c r="AK2368">
        <v>15.932920562982501</v>
      </c>
      <c r="AL2368">
        <v>92.656292306564396</v>
      </c>
      <c r="AM2368">
        <v>95.823683447647795</v>
      </c>
      <c r="AN2368">
        <v>0.99999998339358598</v>
      </c>
    </row>
    <row r="2369" spans="1:40" x14ac:dyDescent="0.25">
      <c r="A2369" t="str">
        <f>"20190305135239868"</f>
        <v>20190305135239868</v>
      </c>
      <c r="B2369" t="str">
        <f>"1551765159861592"</f>
        <v>1551765159861592</v>
      </c>
      <c r="C2369" t="s">
        <v>40</v>
      </c>
      <c r="D2369">
        <v>4.6290469999999999</v>
      </c>
      <c r="E2369">
        <v>0.44929330000000001</v>
      </c>
      <c r="F2369" t="s">
        <v>56</v>
      </c>
      <c r="G2369">
        <v>-451.90030000000002</v>
      </c>
      <c r="H2369" s="1">
        <v>-5.2246459999999999E-7</v>
      </c>
      <c r="I2369">
        <v>284.54559999999998</v>
      </c>
      <c r="J2369">
        <v>-435.79079999999999</v>
      </c>
      <c r="K2369">
        <v>1.1093599999999999</v>
      </c>
      <c r="L2369">
        <v>285.57830000000001</v>
      </c>
      <c r="M2369">
        <v>-0.9998705</v>
      </c>
      <c r="N2369">
        <v>-1.390478E-2</v>
      </c>
      <c r="O2369">
        <v>8.095919E-3</v>
      </c>
      <c r="P2369">
        <v>-0.99361310000000003</v>
      </c>
      <c r="Q2369">
        <v>-6.036735E-2</v>
      </c>
      <c r="R2369">
        <v>-9.5333390000000004E-2</v>
      </c>
      <c r="S2369">
        <v>-2.9886170000000001</v>
      </c>
      <c r="T2369">
        <v>-0.20294129999999999</v>
      </c>
      <c r="U2369">
        <v>-0.18859860000000001</v>
      </c>
      <c r="V2369">
        <v>-0.1033577</v>
      </c>
      <c r="W2369">
        <v>-4.6596470000000001E-2</v>
      </c>
      <c r="X2369">
        <v>0.9935522</v>
      </c>
      <c r="Y2369">
        <v>-7.0851199999999906E-2</v>
      </c>
      <c r="Z2369">
        <v>-3.3304490000000001E-3</v>
      </c>
      <c r="AA2369">
        <v>0.99748130000000002</v>
      </c>
      <c r="AB2369">
        <v>35</v>
      </c>
      <c r="AC2369">
        <v>-16.109500000000001</v>
      </c>
      <c r="AD2369">
        <v>-1.1093605224645999</v>
      </c>
      <c r="AE2369">
        <v>-1.0327000000000299</v>
      </c>
      <c r="AF2369">
        <v>-1.1576326962911601</v>
      </c>
      <c r="AG2369">
        <v>-1.1093605224645999</v>
      </c>
      <c r="AH2369">
        <v>16.0249278373186</v>
      </c>
      <c r="AI2369">
        <v>93.949846907422398</v>
      </c>
      <c r="AJ2369">
        <v>94.131840760806597</v>
      </c>
      <c r="AK2369">
        <v>16.104940435145799</v>
      </c>
      <c r="AL2369">
        <v>92.670748109179002</v>
      </c>
      <c r="AM2369">
        <v>95.939028982267502</v>
      </c>
      <c r="AN2369">
        <v>1.0000000096452899</v>
      </c>
    </row>
    <row r="2370" spans="1:40" x14ac:dyDescent="0.25">
      <c r="A2370" t="str">
        <f>"20190305135239881"</f>
        <v>20190305135239881</v>
      </c>
      <c r="B2370" t="str">
        <f>"1551765159872329"</f>
        <v>1551765159872329</v>
      </c>
      <c r="C2370" t="s">
        <v>40</v>
      </c>
      <c r="D2370">
        <v>4.6494249999999999</v>
      </c>
      <c r="E2370">
        <v>0.45000869999999998</v>
      </c>
      <c r="F2370" t="s">
        <v>56</v>
      </c>
      <c r="G2370">
        <v>-463.28629999999998</v>
      </c>
      <c r="H2370">
        <v>8.0000740000000001E-2</v>
      </c>
      <c r="I2370">
        <v>279.11349999999999</v>
      </c>
      <c r="J2370">
        <v>-436.02190000000002</v>
      </c>
      <c r="K2370">
        <v>1.109359</v>
      </c>
      <c r="L2370">
        <v>285.58010000000002</v>
      </c>
      <c r="M2370">
        <v>-0.99987159999999997</v>
      </c>
      <c r="N2370">
        <v>-1.390344E-2</v>
      </c>
      <c r="O2370">
        <v>7.9748790000000007E-3</v>
      </c>
      <c r="P2370">
        <v>-0.99336760000000002</v>
      </c>
      <c r="Q2370">
        <v>-6.0910869999999999E-2</v>
      </c>
      <c r="R2370">
        <v>-9.7522139999999993E-2</v>
      </c>
      <c r="S2370">
        <v>-2.946075</v>
      </c>
      <c r="T2370">
        <v>-0.1102935</v>
      </c>
      <c r="U2370">
        <v>-0.69268799999999997</v>
      </c>
      <c r="V2370">
        <v>-0.1054237</v>
      </c>
      <c r="W2370">
        <v>-4.7145560000000003E-2</v>
      </c>
      <c r="X2370">
        <v>0.9933092</v>
      </c>
      <c r="Y2370">
        <v>-0.2364174</v>
      </c>
      <c r="Z2370">
        <v>-6.2160540000000004E-3</v>
      </c>
      <c r="AA2370">
        <v>0.97163169999999999</v>
      </c>
      <c r="AB2370">
        <v>35</v>
      </c>
      <c r="AC2370">
        <v>-27.264399999999899</v>
      </c>
      <c r="AD2370">
        <v>-1.02935826</v>
      </c>
      <c r="AE2370">
        <v>-6.4666000000000201</v>
      </c>
      <c r="AF2370">
        <v>-6.6748379338825403</v>
      </c>
      <c r="AG2370">
        <v>-1.02935826</v>
      </c>
      <c r="AH2370">
        <v>27.175284480853499</v>
      </c>
      <c r="AI2370">
        <v>92.106681064960298</v>
      </c>
      <c r="AJ2370">
        <v>103.79989631881099</v>
      </c>
      <c r="AK2370">
        <v>28.001948619450499</v>
      </c>
      <c r="AL2370">
        <v>92.702243252962901</v>
      </c>
      <c r="AM2370">
        <v>96.058340058926305</v>
      </c>
      <c r="AN2370">
        <v>1.00000001357702</v>
      </c>
    </row>
    <row r="2371" spans="1:40" x14ac:dyDescent="0.25">
      <c r="A2371" t="str">
        <f>"20190305135239894"</f>
        <v>20190305135239894</v>
      </c>
      <c r="B2371" t="str">
        <f>"1551765159882089"</f>
        <v>1551765159882089</v>
      </c>
      <c r="C2371" t="s">
        <v>40</v>
      </c>
      <c r="D2371">
        <v>4.6138909999999997</v>
      </c>
      <c r="E2371">
        <v>0.45174330000000001</v>
      </c>
      <c r="F2371" t="s">
        <v>56</v>
      </c>
      <c r="G2371">
        <v>-464.87630000000001</v>
      </c>
      <c r="H2371">
        <v>8.0000290000000002E-2</v>
      </c>
      <c r="I2371">
        <v>278.78210000000001</v>
      </c>
      <c r="J2371">
        <v>-436.22089999999997</v>
      </c>
      <c r="K2371">
        <v>1.109359</v>
      </c>
      <c r="L2371">
        <v>285.58150000000001</v>
      </c>
      <c r="M2371">
        <v>-0.99987239999999999</v>
      </c>
      <c r="N2371">
        <v>-1.3902289999999999E-2</v>
      </c>
      <c r="O2371">
        <v>7.8704699999999992E-3</v>
      </c>
      <c r="P2371">
        <v>-0.99315880000000001</v>
      </c>
      <c r="Q2371">
        <v>-6.119571E-2</v>
      </c>
      <c r="R2371">
        <v>-9.9452949999999998E-2</v>
      </c>
      <c r="S2371">
        <v>-2.945465</v>
      </c>
      <c r="T2371">
        <v>-0.105077</v>
      </c>
      <c r="U2371">
        <v>-0.69393919999999998</v>
      </c>
      <c r="V2371">
        <v>-0.10724889999999999</v>
      </c>
      <c r="W2371">
        <v>-4.7435079999999998E-2</v>
      </c>
      <c r="X2371">
        <v>0.99309999999999998</v>
      </c>
      <c r="Y2371">
        <v>-0.23676920000000001</v>
      </c>
      <c r="Z2371">
        <v>-6.0028490000000002E-3</v>
      </c>
      <c r="AA2371">
        <v>0.97154739999999995</v>
      </c>
      <c r="AB2371">
        <v>35</v>
      </c>
      <c r="AC2371">
        <v>-28.6554</v>
      </c>
      <c r="AD2371">
        <v>-1.0293587099999999</v>
      </c>
      <c r="AE2371">
        <v>-6.7993999999999897</v>
      </c>
      <c r="AF2371">
        <v>-7.0161716060735699</v>
      </c>
      <c r="AG2371">
        <v>-1.0293587099999999</v>
      </c>
      <c r="AH2371">
        <v>28.566096052241999</v>
      </c>
      <c r="AI2371">
        <v>92.004203251172001</v>
      </c>
      <c r="AJ2371">
        <v>103.799367147425</v>
      </c>
      <c r="AK2371">
        <v>29.433112085296798</v>
      </c>
      <c r="AL2371">
        <v>92.718850111998805</v>
      </c>
      <c r="AM2371">
        <v>96.1637159733761</v>
      </c>
      <c r="AN2371">
        <v>1.0000000116829</v>
      </c>
    </row>
    <row r="2372" spans="1:40" x14ac:dyDescent="0.25">
      <c r="A2372" t="str">
        <f>"20190305135239909"</f>
        <v>20190305135239909</v>
      </c>
      <c r="B2372" t="str">
        <f>"1551765159901608"</f>
        <v>1551765159901608</v>
      </c>
      <c r="C2372" t="s">
        <v>40</v>
      </c>
      <c r="D2372">
        <v>4.5872469999999996</v>
      </c>
      <c r="E2372">
        <v>0.45314850000000001</v>
      </c>
      <c r="F2372" t="s">
        <v>56</v>
      </c>
      <c r="G2372">
        <v>-469.90679999999998</v>
      </c>
      <c r="H2372">
        <v>8.000032E-2</v>
      </c>
      <c r="I2372">
        <v>277.73140000000001</v>
      </c>
      <c r="J2372">
        <v>-436.45460000000003</v>
      </c>
      <c r="K2372">
        <v>1.109353</v>
      </c>
      <c r="L2372">
        <v>285.58319999999998</v>
      </c>
      <c r="M2372">
        <v>-0.99987329999999996</v>
      </c>
      <c r="N2372">
        <v>-1.3900930000000001E-2</v>
      </c>
      <c r="O2372">
        <v>7.7477669999999896E-3</v>
      </c>
      <c r="P2372">
        <v>-0.99274620000000002</v>
      </c>
      <c r="Q2372">
        <v>-6.1869109999999998E-2</v>
      </c>
      <c r="R2372">
        <v>-0.10308870000000001</v>
      </c>
      <c r="S2372">
        <v>-2.9463810000000001</v>
      </c>
      <c r="T2372">
        <v>-9.0034009999999998E-2</v>
      </c>
      <c r="U2372">
        <v>-0.68661499999999998</v>
      </c>
      <c r="V2372">
        <v>-0.11075980000000001</v>
      </c>
      <c r="W2372">
        <v>-4.811696E-2</v>
      </c>
      <c r="X2372">
        <v>0.9926817</v>
      </c>
      <c r="Y2372">
        <v>-0.23434099999999999</v>
      </c>
      <c r="Z2372">
        <v>-5.3106100000000003E-3</v>
      </c>
      <c r="AA2372">
        <v>0.97214</v>
      </c>
      <c r="AB2372">
        <v>35</v>
      </c>
      <c r="AC2372">
        <v>-33.452199999999898</v>
      </c>
      <c r="AD2372">
        <v>-1.0293526799999999</v>
      </c>
      <c r="AE2372">
        <v>-7.8517999999999599</v>
      </c>
      <c r="AF2372">
        <v>-8.1034970773352697</v>
      </c>
      <c r="AG2372">
        <v>-1.0293526799999999</v>
      </c>
      <c r="AH2372">
        <v>33.360418140241997</v>
      </c>
      <c r="AI2372">
        <v>91.717419683419905</v>
      </c>
      <c r="AJ2372">
        <v>103.653145782891</v>
      </c>
      <c r="AK2372">
        <v>34.345941977386403</v>
      </c>
      <c r="AL2372">
        <v>92.757963748367899</v>
      </c>
      <c r="AM2372">
        <v>96.366521502988206</v>
      </c>
      <c r="AN2372">
        <v>0.99999996632528498</v>
      </c>
    </row>
    <row r="2373" spans="1:40" x14ac:dyDescent="0.25">
      <c r="A2373" t="str">
        <f>"20190305135239930"</f>
        <v>20190305135239930</v>
      </c>
      <c r="B2373" t="str">
        <f>"1551765159922104"</f>
        <v>1551765159922104</v>
      </c>
      <c r="C2373" t="s">
        <v>40</v>
      </c>
      <c r="D2373">
        <v>4.5451550000000003</v>
      </c>
      <c r="E2373">
        <v>0.4542909</v>
      </c>
      <c r="F2373" t="s">
        <v>56</v>
      </c>
      <c r="G2373">
        <v>-466.8193</v>
      </c>
      <c r="H2373">
        <v>8.0001199999999995E-2</v>
      </c>
      <c r="I2373">
        <v>278.51080000000002</v>
      </c>
      <c r="J2373">
        <v>-436.78800000000001</v>
      </c>
      <c r="K2373">
        <v>1.109353</v>
      </c>
      <c r="L2373">
        <v>285.5856</v>
      </c>
      <c r="M2373">
        <v>-0.99987479999999995</v>
      </c>
      <c r="N2373">
        <v>-1.389899E-2</v>
      </c>
      <c r="O2373">
        <v>7.5727939999999999E-3</v>
      </c>
      <c r="P2373">
        <v>-0.99235150000000005</v>
      </c>
      <c r="Q2373">
        <v>-6.2170759999999999E-2</v>
      </c>
      <c r="R2373">
        <v>-0.1066468</v>
      </c>
      <c r="S2373">
        <v>-2.9445190000000001</v>
      </c>
      <c r="T2373">
        <v>-9.9818110000000002E-2</v>
      </c>
      <c r="U2373">
        <v>-0.68582149999999997</v>
      </c>
      <c r="V2373">
        <v>-0.1141409</v>
      </c>
      <c r="W2373">
        <v>-4.8427320000000003E-2</v>
      </c>
      <c r="X2373">
        <v>0.99228360000000004</v>
      </c>
      <c r="Y2373">
        <v>-0.23402870000000001</v>
      </c>
      <c r="Z2373">
        <v>-5.7113290000000002E-3</v>
      </c>
      <c r="AA2373">
        <v>0.97221290000000005</v>
      </c>
      <c r="AB2373">
        <v>35</v>
      </c>
      <c r="AC2373">
        <v>-30.031299999999899</v>
      </c>
      <c r="AD2373">
        <v>-1.0293517999999999</v>
      </c>
      <c r="AE2373">
        <v>-7.0747999999999802</v>
      </c>
      <c r="AF2373">
        <v>-7.2939212669722897</v>
      </c>
      <c r="AG2373">
        <v>-1.0293517999999999</v>
      </c>
      <c r="AH2373">
        <v>29.9435283473162</v>
      </c>
      <c r="AI2373">
        <v>91.912957253739805</v>
      </c>
      <c r="AJ2373">
        <v>103.690022296839</v>
      </c>
      <c r="AK2373">
        <v>30.836273161059498</v>
      </c>
      <c r="AL2373">
        <v>92.775766598619498</v>
      </c>
      <c r="AM2373">
        <v>96.561808348667697</v>
      </c>
      <c r="AN2373">
        <v>1.00000004660207</v>
      </c>
    </row>
    <row r="2374" spans="1:40" x14ac:dyDescent="0.25">
      <c r="A2374" t="str">
        <f>"20190305135239953"</f>
        <v>20190305135239953</v>
      </c>
      <c r="B2374" t="str">
        <f>"1551765159941624"</f>
        <v>1551765159941624</v>
      </c>
      <c r="C2374" t="s">
        <v>40</v>
      </c>
      <c r="D2374">
        <v>4.538589</v>
      </c>
      <c r="E2374">
        <v>0.45516479999999998</v>
      </c>
      <c r="F2374" t="s">
        <v>56</v>
      </c>
      <c r="G2374">
        <v>-468.62970000000001</v>
      </c>
      <c r="H2374">
        <v>8.0000680000000005E-2</v>
      </c>
      <c r="I2374">
        <v>278.14550000000003</v>
      </c>
      <c r="J2374">
        <v>-437.12970000000001</v>
      </c>
      <c r="K2374">
        <v>1.1093550000000001</v>
      </c>
      <c r="L2374">
        <v>285.58800000000002</v>
      </c>
      <c r="M2374">
        <v>-0.99987619999999999</v>
      </c>
      <c r="N2374">
        <v>-1.389701E-2</v>
      </c>
      <c r="O2374">
        <v>7.39376599999999E-3</v>
      </c>
      <c r="P2374">
        <v>-0.99207250000000002</v>
      </c>
      <c r="Q2374">
        <v>-6.2102860000000003E-2</v>
      </c>
      <c r="R2374">
        <v>-0.1092508</v>
      </c>
      <c r="S2374">
        <v>-2.9432369999999999</v>
      </c>
      <c r="T2374">
        <v>-9.5146659999999994E-2</v>
      </c>
      <c r="U2374">
        <v>-0.68771359999999904</v>
      </c>
      <c r="V2374">
        <v>-0.1165649</v>
      </c>
      <c r="W2374">
        <v>-4.8366140000000002E-2</v>
      </c>
      <c r="X2374">
        <v>0.99200469999999996</v>
      </c>
      <c r="Y2374">
        <v>-0.23455490000000001</v>
      </c>
      <c r="Z2374">
        <v>-5.5265419999999997E-3</v>
      </c>
      <c r="AA2374">
        <v>0.97208720000000004</v>
      </c>
      <c r="AB2374">
        <v>35</v>
      </c>
      <c r="AC2374">
        <v>-31.5</v>
      </c>
      <c r="AD2374">
        <v>-1.0293543199999999</v>
      </c>
      <c r="AE2374">
        <v>-7.4424999999999297</v>
      </c>
      <c r="AF2374">
        <v>-7.6674678458012302</v>
      </c>
      <c r="AG2374">
        <v>-1.0293543199999999</v>
      </c>
      <c r="AH2374">
        <v>31.412335364129099</v>
      </c>
      <c r="AI2374">
        <v>91.823365333200698</v>
      </c>
      <c r="AJ2374">
        <v>103.717156827796</v>
      </c>
      <c r="AK2374">
        <v>32.350957428042499</v>
      </c>
      <c r="AL2374">
        <v>92.772257281734795</v>
      </c>
      <c r="AM2374">
        <v>96.701773540323501</v>
      </c>
      <c r="AN2374">
        <v>0.99999999211629897</v>
      </c>
    </row>
    <row r="2375" spans="1:40" x14ac:dyDescent="0.25">
      <c r="A2375" t="str">
        <f>"20190305135239975"</f>
        <v>20190305135239975</v>
      </c>
      <c r="B2375" t="str">
        <f>"1551765159971880"</f>
        <v>1551765159971880</v>
      </c>
      <c r="C2375" t="s">
        <v>40</v>
      </c>
      <c r="D2375">
        <v>4.4847960000000002</v>
      </c>
      <c r="E2375">
        <v>0.45646999999999999</v>
      </c>
      <c r="F2375" t="s">
        <v>55</v>
      </c>
      <c r="G2375">
        <v>-470.53980000000001</v>
      </c>
      <c r="H2375">
        <v>8.0000639999999998E-2</v>
      </c>
      <c r="I2375">
        <v>277.76900000000001</v>
      </c>
      <c r="J2375">
        <v>-437.48669999999998</v>
      </c>
      <c r="K2375">
        <v>1.1093550000000001</v>
      </c>
      <c r="L2375">
        <v>285.59039999999999</v>
      </c>
      <c r="M2375">
        <v>-0.99987760000000003</v>
      </c>
      <c r="N2375">
        <v>-1.389495E-2</v>
      </c>
      <c r="O2375">
        <v>7.2063379999999996E-3</v>
      </c>
      <c r="P2375">
        <v>-0.99177709999999997</v>
      </c>
      <c r="Q2375">
        <v>-6.2685279999999996E-2</v>
      </c>
      <c r="R2375">
        <v>-0.11157549999999999</v>
      </c>
      <c r="S2375">
        <v>-2.9424739999999998</v>
      </c>
      <c r="T2375">
        <v>-9.0656760000000003E-2</v>
      </c>
      <c r="U2375">
        <v>-0.68862919999999905</v>
      </c>
      <c r="V2375">
        <v>-0.1187016</v>
      </c>
      <c r="W2375">
        <v>-4.8955329999999998E-2</v>
      </c>
      <c r="X2375">
        <v>0.9917224</v>
      </c>
      <c r="Y2375">
        <v>-0.23472850000000001</v>
      </c>
      <c r="Z2375">
        <v>-5.3403649999999997E-3</v>
      </c>
      <c r="AA2375">
        <v>0.97204630000000003</v>
      </c>
      <c r="AB2375">
        <v>35</v>
      </c>
      <c r="AC2375">
        <v>-33.053100000000001</v>
      </c>
      <c r="AD2375">
        <v>-1.0293543599999999</v>
      </c>
      <c r="AE2375">
        <v>-7.8213999999999801</v>
      </c>
      <c r="AF2375">
        <v>-8.05201647728585</v>
      </c>
      <c r="AG2375">
        <v>-1.0293543599999999</v>
      </c>
      <c r="AH2375">
        <v>32.965596054982399</v>
      </c>
      <c r="AI2375">
        <v>91.737441027530394</v>
      </c>
      <c r="AJ2375">
        <v>103.726033397384</v>
      </c>
      <c r="AK2375">
        <v>33.950332296005598</v>
      </c>
      <c r="AL2375">
        <v>92.806055381124494</v>
      </c>
      <c r="AM2375">
        <v>96.825396837322003</v>
      </c>
      <c r="AN2375">
        <v>1.00000000641986</v>
      </c>
    </row>
    <row r="2376" spans="1:40" x14ac:dyDescent="0.25">
      <c r="A2376" t="str">
        <f>"20190305135239999"</f>
        <v>20190305135239999</v>
      </c>
      <c r="B2376" t="str">
        <f>"1551765159992377"</f>
        <v>1551765159992377</v>
      </c>
      <c r="C2376" t="s">
        <v>40</v>
      </c>
      <c r="D2376">
        <v>4.4752869999999998</v>
      </c>
      <c r="E2376">
        <v>0.45720919999999998</v>
      </c>
      <c r="F2376" t="s">
        <v>55</v>
      </c>
      <c r="G2376">
        <v>-472.23739999999998</v>
      </c>
      <c r="H2376">
        <v>8.0000349999999998E-2</v>
      </c>
      <c r="I2376">
        <v>277.49029999999999</v>
      </c>
      <c r="J2376">
        <v>-437.85399999999998</v>
      </c>
      <c r="K2376">
        <v>1.1093569999999999</v>
      </c>
      <c r="L2376">
        <v>285.59280000000001</v>
      </c>
      <c r="M2376">
        <v>-0.99987899999999996</v>
      </c>
      <c r="N2376">
        <v>-1.389284E-2</v>
      </c>
      <c r="O2376">
        <v>7.0135469999999898E-3</v>
      </c>
      <c r="P2376">
        <v>-0.99149969999999998</v>
      </c>
      <c r="Q2376">
        <v>-6.3002470000000005E-2</v>
      </c>
      <c r="R2376">
        <v>-0.113839</v>
      </c>
      <c r="S2376">
        <v>-2.9422609999999998</v>
      </c>
      <c r="T2376">
        <v>-8.7152960000000002E-2</v>
      </c>
      <c r="U2376">
        <v>-0.68582149999999997</v>
      </c>
      <c r="V2376">
        <v>-0.12077259999999999</v>
      </c>
      <c r="W2376">
        <v>-4.9279030000000001E-2</v>
      </c>
      <c r="X2376">
        <v>0.99145629999999996</v>
      </c>
      <c r="Y2376">
        <v>-0.2336877</v>
      </c>
      <c r="Z2376">
        <v>-5.1687679999999998E-3</v>
      </c>
      <c r="AA2376">
        <v>0.972298</v>
      </c>
      <c r="AB2376">
        <v>35</v>
      </c>
      <c r="AC2376">
        <v>-34.383399999999902</v>
      </c>
      <c r="AD2376">
        <v>-1.02935665</v>
      </c>
      <c r="AE2376">
        <v>-8.1025000000000098</v>
      </c>
      <c r="AF2376">
        <v>-8.3363950218670393</v>
      </c>
      <c r="AG2376">
        <v>-1.02935665</v>
      </c>
      <c r="AH2376">
        <v>34.296599913865002</v>
      </c>
      <c r="AI2376">
        <v>91.670511935105395</v>
      </c>
      <c r="AJ2376">
        <v>103.661809712025</v>
      </c>
      <c r="AK2376">
        <v>35.310222637718297</v>
      </c>
      <c r="AL2376">
        <v>92.824624401045099</v>
      </c>
      <c r="AM2376">
        <v>96.945173000005497</v>
      </c>
      <c r="AN2376">
        <v>1.0000000192590901</v>
      </c>
    </row>
    <row r="2377" spans="1:40" x14ac:dyDescent="0.25">
      <c r="A2377" t="str">
        <f>"20190305135240020"</f>
        <v>20190305135240020</v>
      </c>
      <c r="B2377" t="str">
        <f>"1551765160011900"</f>
        <v>1551765160011900</v>
      </c>
      <c r="C2377" t="s">
        <v>40</v>
      </c>
      <c r="D2377">
        <v>4.488569</v>
      </c>
      <c r="E2377">
        <v>0.45782440000000002</v>
      </c>
      <c r="F2377" t="s">
        <v>55</v>
      </c>
      <c r="G2377">
        <v>-473.45650000000001</v>
      </c>
      <c r="H2377">
        <v>8.0000119999999994E-2</v>
      </c>
      <c r="I2377">
        <v>277.27659999999997</v>
      </c>
      <c r="J2377">
        <v>-438.17899999999997</v>
      </c>
      <c r="K2377">
        <v>1.1093500000000001</v>
      </c>
      <c r="L2377">
        <v>285.5949</v>
      </c>
      <c r="M2377">
        <v>-0.99988010000000005</v>
      </c>
      <c r="N2377">
        <v>-1.3890960000000001E-2</v>
      </c>
      <c r="O2377">
        <v>6.843399E-3</v>
      </c>
      <c r="P2377">
        <v>-0.99114639999999998</v>
      </c>
      <c r="Q2377">
        <v>-6.3512059999999995E-2</v>
      </c>
      <c r="R2377">
        <v>-0.1165973</v>
      </c>
      <c r="S2377">
        <v>-2.9414370000000001</v>
      </c>
      <c r="T2377">
        <v>-8.5044259999999997E-2</v>
      </c>
      <c r="U2377">
        <v>-0.68707280000000004</v>
      </c>
      <c r="V2377">
        <v>-0.12335930000000001</v>
      </c>
      <c r="W2377">
        <v>-4.9796279999999998E-2</v>
      </c>
      <c r="X2377">
        <v>0.99111190000000005</v>
      </c>
      <c r="Y2377">
        <v>-0.2339803</v>
      </c>
      <c r="Z2377">
        <v>-5.085595E-3</v>
      </c>
      <c r="AA2377">
        <v>0.97222810000000004</v>
      </c>
      <c r="AB2377">
        <v>35</v>
      </c>
      <c r="AC2377">
        <v>-35.277499999999897</v>
      </c>
      <c r="AD2377">
        <v>-1.0293498800000001</v>
      </c>
      <c r="AE2377">
        <v>-8.3183000000000202</v>
      </c>
      <c r="AF2377">
        <v>-8.5526483454611402</v>
      </c>
      <c r="AG2377">
        <v>-1.0293498800000001</v>
      </c>
      <c r="AH2377">
        <v>35.191359253086901</v>
      </c>
      <c r="AI2377">
        <v>91.628063812485706</v>
      </c>
      <c r="AJ2377">
        <v>103.65991305299301</v>
      </c>
      <c r="AK2377">
        <v>36.230361866484301</v>
      </c>
      <c r="AL2377">
        <v>92.854297150026099</v>
      </c>
      <c r="AM2377">
        <v>97.094864440107301</v>
      </c>
      <c r="AN2377">
        <v>0.99999999235996895</v>
      </c>
    </row>
    <row r="2378" spans="1:40" x14ac:dyDescent="0.25">
      <c r="A2378" t="str">
        <f>"20190305135240042"</f>
        <v>20190305135240042</v>
      </c>
      <c r="B2378" t="str">
        <f>"1551765160032392"</f>
        <v>1551765160032392</v>
      </c>
      <c r="C2378" t="s">
        <v>40</v>
      </c>
      <c r="D2378">
        <v>4.4985549999999996</v>
      </c>
      <c r="E2378">
        <v>0.45874530000000002</v>
      </c>
      <c r="F2378" t="s">
        <v>55</v>
      </c>
      <c r="G2378">
        <v>-473.7724</v>
      </c>
      <c r="H2378">
        <v>8.0000059999999998E-2</v>
      </c>
      <c r="I2378">
        <v>277.2346</v>
      </c>
      <c r="J2378">
        <v>-438.52019999999999</v>
      </c>
      <c r="K2378">
        <v>1.1093440000000001</v>
      </c>
      <c r="L2378">
        <v>285.59699999999998</v>
      </c>
      <c r="M2378">
        <v>-0.99988140000000003</v>
      </c>
      <c r="N2378">
        <v>-1.3889E-2</v>
      </c>
      <c r="O2378">
        <v>6.6636619999999999E-3</v>
      </c>
      <c r="P2378">
        <v>-0.99071520000000002</v>
      </c>
      <c r="Q2378">
        <v>-6.4332039999999993E-2</v>
      </c>
      <c r="R2378">
        <v>-0.11977019999999999</v>
      </c>
      <c r="S2378">
        <v>-2.9400940000000002</v>
      </c>
      <c r="T2378">
        <v>-8.5026740000000003E-2</v>
      </c>
      <c r="U2378">
        <v>-0.69058229999999998</v>
      </c>
      <c r="V2378">
        <v>-0.12635070000000001</v>
      </c>
      <c r="W2378">
        <v>-5.0625089999999998E-2</v>
      </c>
      <c r="X2378">
        <v>0.99069300000000005</v>
      </c>
      <c r="Y2378">
        <v>-0.2350034</v>
      </c>
      <c r="Z2378">
        <v>-5.105119E-3</v>
      </c>
      <c r="AA2378">
        <v>0.97198119999999999</v>
      </c>
      <c r="AB2378">
        <v>35</v>
      </c>
      <c r="AC2378">
        <v>-35.252200000000002</v>
      </c>
      <c r="AD2378">
        <v>-1.02934394</v>
      </c>
      <c r="AE2378">
        <v>-8.3623999999999796</v>
      </c>
      <c r="AF2378">
        <v>-8.5902118021821892</v>
      </c>
      <c r="AG2378">
        <v>-1.02934394</v>
      </c>
      <c r="AH2378">
        <v>35.167301074958097</v>
      </c>
      <c r="AI2378">
        <v>91.628705369230801</v>
      </c>
      <c r="AJ2378">
        <v>103.72667537172001</v>
      </c>
      <c r="AK2378">
        <v>36.215885363330798</v>
      </c>
      <c r="AL2378">
        <v>92.901844390320903</v>
      </c>
      <c r="AM2378">
        <v>97.268133558117697</v>
      </c>
      <c r="AN2378">
        <v>1.00000000968849</v>
      </c>
    </row>
    <row r="2379" spans="1:40" x14ac:dyDescent="0.25">
      <c r="A2379" t="str">
        <f>"20190305135240065"</f>
        <v>20190305135240065</v>
      </c>
      <c r="B2379" t="str">
        <f>"1551765160062183"</f>
        <v>1551765160062183</v>
      </c>
      <c r="C2379" t="s">
        <v>40</v>
      </c>
      <c r="D2379">
        <v>4.4397710000000004</v>
      </c>
      <c r="E2379">
        <v>0.45949089999999998</v>
      </c>
      <c r="F2379" t="s">
        <v>55</v>
      </c>
      <c r="G2379">
        <v>-473.57639999999998</v>
      </c>
      <c r="H2379">
        <v>8.0000100000000005E-2</v>
      </c>
      <c r="I2379">
        <v>277.32940000000002</v>
      </c>
      <c r="J2379">
        <v>-438.87400000000002</v>
      </c>
      <c r="K2379">
        <v>1.109348</v>
      </c>
      <c r="L2379">
        <v>285.59910000000002</v>
      </c>
      <c r="M2379">
        <v>-0.99988259999999995</v>
      </c>
      <c r="N2379">
        <v>-1.3886529999999999E-2</v>
      </c>
      <c r="O2379">
        <v>6.4776699999999996E-3</v>
      </c>
      <c r="P2379">
        <v>-0.99019080000000004</v>
      </c>
      <c r="Q2379">
        <v>-6.5704899999999997E-2</v>
      </c>
      <c r="R2379">
        <v>-0.1233105</v>
      </c>
      <c r="S2379">
        <v>-2.9386899999999998</v>
      </c>
      <c r="T2379">
        <v>-8.6287740000000002E-2</v>
      </c>
      <c r="U2379">
        <v>-0.69305419999999995</v>
      </c>
      <c r="V2379">
        <v>-0.12970319999999999</v>
      </c>
      <c r="W2379">
        <v>-5.200867E-2</v>
      </c>
      <c r="X2379">
        <v>0.99018790000000001</v>
      </c>
      <c r="Y2379">
        <v>-0.2356965</v>
      </c>
      <c r="Z2379">
        <v>-5.1709470000000004E-3</v>
      </c>
      <c r="AA2379">
        <v>0.97181300000000004</v>
      </c>
      <c r="AB2379">
        <v>35</v>
      </c>
      <c r="AC2379">
        <v>-34.702399999999898</v>
      </c>
      <c r="AD2379">
        <v>-1.0293478999999901</v>
      </c>
      <c r="AE2379">
        <v>-8.2697000000000003</v>
      </c>
      <c r="AF2379">
        <v>-8.4872726451740892</v>
      </c>
      <c r="AG2379">
        <v>-1.0293478999999901</v>
      </c>
      <c r="AH2379">
        <v>34.619275500915997</v>
      </c>
      <c r="AI2379">
        <v>91.654139019254401</v>
      </c>
      <c r="AJ2379">
        <v>103.774965853227</v>
      </c>
      <c r="AK2379">
        <v>35.659326834098799</v>
      </c>
      <c r="AL2379">
        <v>92.981222456574599</v>
      </c>
      <c r="AM2379">
        <v>97.462599117654705</v>
      </c>
      <c r="AN2379">
        <v>0.99999994957590799</v>
      </c>
    </row>
    <row r="2380" spans="1:40" x14ac:dyDescent="0.25">
      <c r="A2380" t="str">
        <f>"20190305135240079"</f>
        <v>20190305135240079</v>
      </c>
      <c r="B2380" t="str">
        <f>"1551765160071942"</f>
        <v>1551765160071942</v>
      </c>
      <c r="C2380" t="s">
        <v>40</v>
      </c>
      <c r="D2380">
        <v>4.4156589999999998</v>
      </c>
      <c r="E2380">
        <v>0.45966210000000002</v>
      </c>
      <c r="F2380" t="s">
        <v>55</v>
      </c>
      <c r="G2380">
        <v>-473.5102</v>
      </c>
      <c r="H2380">
        <v>8.0000119999999994E-2</v>
      </c>
      <c r="I2380">
        <v>277.36900000000003</v>
      </c>
      <c r="J2380">
        <v>-439.09519999999998</v>
      </c>
      <c r="K2380">
        <v>1.1093519999999999</v>
      </c>
      <c r="L2380">
        <v>285.60039999999998</v>
      </c>
      <c r="M2380">
        <v>-0.99988339999999998</v>
      </c>
      <c r="N2380">
        <v>-1.3885349999999999E-2</v>
      </c>
      <c r="O2380">
        <v>6.3613999999999997E-3</v>
      </c>
      <c r="P2380">
        <v>-0.98991419999999997</v>
      </c>
      <c r="Q2380">
        <v>-6.6230720000000007E-2</v>
      </c>
      <c r="R2380">
        <v>-0.12523409999999999</v>
      </c>
      <c r="S2380">
        <v>-2.9370120000000002</v>
      </c>
      <c r="T2380">
        <v>-8.728445E-2</v>
      </c>
      <c r="U2380">
        <v>-0.69787600000000005</v>
      </c>
      <c r="V2380">
        <v>-0.1315096</v>
      </c>
      <c r="W2380">
        <v>-5.2540009999999998E-2</v>
      </c>
      <c r="X2380">
        <v>0.98992159999999996</v>
      </c>
      <c r="Y2380">
        <v>-0.23721419999999999</v>
      </c>
      <c r="Z2380">
        <v>-5.2451909999999997E-3</v>
      </c>
      <c r="AA2380">
        <v>0.97144319999999895</v>
      </c>
      <c r="AB2380">
        <v>35</v>
      </c>
      <c r="AC2380">
        <v>-34.414999999999999</v>
      </c>
      <c r="AD2380">
        <v>-1.0293518800000001</v>
      </c>
      <c r="AE2380">
        <v>-8.2313999999999492</v>
      </c>
      <c r="AF2380">
        <v>-8.4430376126503894</v>
      </c>
      <c r="AG2380">
        <v>-1.0293518800000001</v>
      </c>
      <c r="AH2380">
        <v>34.332882824198997</v>
      </c>
      <c r="AI2380">
        <v>91.667643881452506</v>
      </c>
      <c r="AJ2380">
        <v>103.815852214289</v>
      </c>
      <c r="AK2380">
        <v>35.370768898084002</v>
      </c>
      <c r="AL2380">
        <v>93.011707523966606</v>
      </c>
      <c r="AM2380">
        <v>97.567347972576101</v>
      </c>
      <c r="AN2380">
        <v>1.00000000084476</v>
      </c>
    </row>
    <row r="2381" spans="1:40" x14ac:dyDescent="0.25">
      <c r="A2381" t="str">
        <f>"20190305135240092"</f>
        <v>20190305135240092</v>
      </c>
      <c r="B2381" t="str">
        <f>"1551765160081702"</f>
        <v>1551765160081702</v>
      </c>
      <c r="C2381" t="s">
        <v>40</v>
      </c>
      <c r="D2381">
        <v>4.5944180000000001</v>
      </c>
      <c r="E2381">
        <v>0.45966210000000002</v>
      </c>
      <c r="F2381" t="s">
        <v>55</v>
      </c>
      <c r="G2381">
        <v>-473.4144</v>
      </c>
      <c r="H2381">
        <v>8.0000150000000006E-2</v>
      </c>
      <c r="I2381">
        <v>277.38799999999998</v>
      </c>
      <c r="J2381">
        <v>-439.30279999999999</v>
      </c>
      <c r="K2381">
        <v>1.109348</v>
      </c>
      <c r="L2381">
        <v>285.60160000000002</v>
      </c>
      <c r="M2381">
        <v>-0.999884</v>
      </c>
      <c r="N2381">
        <v>-1.388437E-2</v>
      </c>
      <c r="O2381">
        <v>6.252339E-3</v>
      </c>
      <c r="P2381">
        <v>-0.98933260000000001</v>
      </c>
      <c r="Q2381">
        <v>-6.7455899999999999E-2</v>
      </c>
      <c r="R2381">
        <v>-0.1291157</v>
      </c>
      <c r="S2381">
        <v>-2.9357600000000001</v>
      </c>
      <c r="T2381">
        <v>-8.8053580000000006E-2</v>
      </c>
      <c r="U2381">
        <v>-0.70251459999999999</v>
      </c>
      <c r="V2381">
        <v>-0.13527929999999999</v>
      </c>
      <c r="W2381">
        <v>-5.3775610000000001E-2</v>
      </c>
      <c r="X2381">
        <v>0.98934710000000003</v>
      </c>
      <c r="Y2381">
        <v>-0.23865020000000001</v>
      </c>
      <c r="Z2381">
        <v>-5.3081480000000004E-3</v>
      </c>
      <c r="AA2381">
        <v>0.97109109999999998</v>
      </c>
      <c r="AB2381">
        <v>35</v>
      </c>
      <c r="AC2381">
        <v>-34.111600000000003</v>
      </c>
      <c r="AD2381">
        <v>-1.02934785</v>
      </c>
      <c r="AE2381">
        <v>-8.2136000000000404</v>
      </c>
      <c r="AF2381">
        <v>-8.4194907679915101</v>
      </c>
      <c r="AG2381">
        <v>-1.02934785</v>
      </c>
      <c r="AH2381">
        <v>34.030284651011399</v>
      </c>
      <c r="AI2381">
        <v>91.681873231929202</v>
      </c>
      <c r="AJ2381">
        <v>103.89658377764501</v>
      </c>
      <c r="AK2381">
        <v>35.071464971076601</v>
      </c>
      <c r="AL2381">
        <v>93.082602449005805</v>
      </c>
      <c r="AM2381">
        <v>97.786106658969203</v>
      </c>
      <c r="AN2381">
        <v>0.99999999475888601</v>
      </c>
    </row>
    <row r="2382" spans="1:40" x14ac:dyDescent="0.25">
      <c r="A2382" t="str">
        <f>"20190305135240119"</f>
        <v>20190305135240119</v>
      </c>
      <c r="B2382" t="str">
        <f>"1551765160111959"</f>
        <v>1551765160111959</v>
      </c>
      <c r="C2382" t="s">
        <v>40</v>
      </c>
      <c r="D2382">
        <v>4.3873610000000003</v>
      </c>
      <c r="E2382">
        <v>0.46856880000000001</v>
      </c>
      <c r="F2382" t="s">
        <v>55</v>
      </c>
      <c r="G2382">
        <v>-472.07240000000002</v>
      </c>
      <c r="H2382">
        <v>8.0000390000000005E-2</v>
      </c>
      <c r="I2382">
        <v>277.62329999999997</v>
      </c>
      <c r="J2382">
        <v>-439.73250000000002</v>
      </c>
      <c r="K2382">
        <v>1.109345</v>
      </c>
      <c r="L2382">
        <v>285.60399999999998</v>
      </c>
      <c r="M2382">
        <v>-0.99988549999999998</v>
      </c>
      <c r="N2382">
        <v>-1.3882500000000001E-2</v>
      </c>
      <c r="O2382">
        <v>6.0263490000000003E-3</v>
      </c>
      <c r="P2382">
        <v>-0.98835930000000005</v>
      </c>
      <c r="Q2382">
        <v>-6.8380940000000001E-2</v>
      </c>
      <c r="R2382">
        <v>-0.13590369999999999</v>
      </c>
      <c r="S2382">
        <v>-2.9328310000000002</v>
      </c>
      <c r="T2382">
        <v>-9.2125299999999993E-2</v>
      </c>
      <c r="U2382">
        <v>-0.71405030000000003</v>
      </c>
      <c r="V2382">
        <v>-0.14183780000000001</v>
      </c>
      <c r="W2382">
        <v>-5.4718419999999997E-2</v>
      </c>
      <c r="X2382">
        <v>0.98837640000000004</v>
      </c>
      <c r="Y2382">
        <v>-0.24224319999999999</v>
      </c>
      <c r="Z2382">
        <v>-5.5594440000000002E-3</v>
      </c>
      <c r="AA2382">
        <v>0.97019960000000005</v>
      </c>
      <c r="AB2382">
        <v>35</v>
      </c>
      <c r="AC2382">
        <v>-32.3399</v>
      </c>
      <c r="AD2382">
        <v>-1.0293446100000001</v>
      </c>
      <c r="AE2382">
        <v>-7.9807000000000698</v>
      </c>
      <c r="AF2382">
        <v>-8.1676658244112801</v>
      </c>
      <c r="AG2382">
        <v>-1.0293446100000001</v>
      </c>
      <c r="AH2382">
        <v>32.2604071634318</v>
      </c>
      <c r="AI2382">
        <v>91.771674639745399</v>
      </c>
      <c r="AJ2382">
        <v>104.20755748168099</v>
      </c>
      <c r="AK2382">
        <v>33.294206488453703</v>
      </c>
      <c r="AL2382">
        <v>93.136701165678502</v>
      </c>
      <c r="AM2382">
        <v>98.166524120451399</v>
      </c>
      <c r="AN2382">
        <v>0.99999998753654795</v>
      </c>
    </row>
    <row r="2383" spans="1:40" x14ac:dyDescent="0.25">
      <c r="A2383" t="str">
        <f>"20190305135240135"</f>
        <v>20190305135240135</v>
      </c>
      <c r="B2383" t="str">
        <f>"1551765160131478"</f>
        <v>1551765160131478</v>
      </c>
      <c r="C2383" t="s">
        <v>40</v>
      </c>
      <c r="D2383">
        <v>4.3898089999999996</v>
      </c>
      <c r="E2383">
        <v>0.46915859999999898</v>
      </c>
      <c r="F2383" t="s">
        <v>55</v>
      </c>
      <c r="G2383">
        <v>-473.0625</v>
      </c>
      <c r="H2383">
        <v>8.0000280000000007E-2</v>
      </c>
      <c r="I2383">
        <v>278.06639999999999</v>
      </c>
      <c r="J2383">
        <v>-439.96370000000002</v>
      </c>
      <c r="K2383">
        <v>1.1093459999999999</v>
      </c>
      <c r="L2383">
        <v>285.6053</v>
      </c>
      <c r="M2383">
        <v>-0.99988619999999995</v>
      </c>
      <c r="N2383">
        <v>-1.388147E-2</v>
      </c>
      <c r="O2383">
        <v>5.9046530000000002E-3</v>
      </c>
      <c r="P2383">
        <v>-0.98813189999999995</v>
      </c>
      <c r="Q2383">
        <v>-6.8160020000000002E-2</v>
      </c>
      <c r="R2383">
        <v>-0.13765749999999999</v>
      </c>
      <c r="S2383">
        <v>-2.9377140000000002</v>
      </c>
      <c r="T2383">
        <v>-9.0726730000000005E-2</v>
      </c>
      <c r="U2383">
        <v>-0.66436770000000001</v>
      </c>
      <c r="V2383">
        <v>-0.14346989999999901</v>
      </c>
      <c r="W2383">
        <v>-5.4502149999999999E-2</v>
      </c>
      <c r="X2383">
        <v>0.98815280000000005</v>
      </c>
      <c r="Y2383">
        <v>-0.2261852</v>
      </c>
      <c r="Z2383">
        <v>-5.1375600000000002E-3</v>
      </c>
      <c r="AA2383">
        <v>0.97407080000000001</v>
      </c>
      <c r="AB2383">
        <v>35</v>
      </c>
      <c r="AC2383">
        <v>-33.098799999999898</v>
      </c>
      <c r="AD2383">
        <v>-1.02934572</v>
      </c>
      <c r="AE2383">
        <v>-7.5389000000000097</v>
      </c>
      <c r="AF2383">
        <v>-7.7271195481867796</v>
      </c>
      <c r="AG2383">
        <v>-1.02934572</v>
      </c>
      <c r="AH2383">
        <v>33.023340412219497</v>
      </c>
      <c r="AI2383">
        <v>91.738419532530202</v>
      </c>
      <c r="AJ2383">
        <v>103.16967914963899</v>
      </c>
      <c r="AK2383">
        <v>33.930943710786799</v>
      </c>
      <c r="AL2383">
        <v>93.124291167164301</v>
      </c>
      <c r="AM2383">
        <v>98.261048684303304</v>
      </c>
      <c r="AN2383">
        <v>1.0000000263542299</v>
      </c>
    </row>
    <row r="2384" spans="1:40" x14ac:dyDescent="0.25">
      <c r="A2384" t="str">
        <f>"20190305135240153"</f>
        <v>20190305135240153</v>
      </c>
      <c r="B2384" t="str">
        <f>"1551765160142214"</f>
        <v>1551765160142214</v>
      </c>
      <c r="C2384" t="s">
        <v>40</v>
      </c>
      <c r="D2384">
        <v>4.4084729999999999</v>
      </c>
      <c r="E2384">
        <v>0.46979680000000001</v>
      </c>
      <c r="F2384" t="s">
        <v>55</v>
      </c>
      <c r="G2384">
        <v>-473.82209999999998</v>
      </c>
      <c r="H2384">
        <v>8.0000139999999997E-2</v>
      </c>
      <c r="I2384">
        <v>277.94119999999998</v>
      </c>
      <c r="J2384">
        <v>-440.255</v>
      </c>
      <c r="K2384">
        <v>1.1093390000000001</v>
      </c>
      <c r="L2384">
        <v>285.60680000000002</v>
      </c>
      <c r="M2384">
        <v>-0.99988730000000003</v>
      </c>
      <c r="N2384">
        <v>-1.3880190000000001E-2</v>
      </c>
      <c r="O2384">
        <v>5.7513699999999996E-3</v>
      </c>
      <c r="P2384">
        <v>-0.98738749999999997</v>
      </c>
      <c r="Q2384">
        <v>-6.8384089999999995E-2</v>
      </c>
      <c r="R2384">
        <v>-0.14279320000000001</v>
      </c>
      <c r="S2384">
        <v>-2.9372250000000002</v>
      </c>
      <c r="T2384">
        <v>-8.9295860000000005E-2</v>
      </c>
      <c r="U2384">
        <v>-0.664856</v>
      </c>
      <c r="V2384">
        <v>-0.1484499</v>
      </c>
      <c r="W2384">
        <v>-5.4739700000000002E-2</v>
      </c>
      <c r="X2384">
        <v>0.98740380000000005</v>
      </c>
      <c r="Y2384">
        <v>-0.22622880000000001</v>
      </c>
      <c r="Z2384">
        <v>-5.0792169999999996E-3</v>
      </c>
      <c r="AA2384">
        <v>0.97406099999999995</v>
      </c>
      <c r="AB2384">
        <v>35</v>
      </c>
      <c r="AC2384">
        <v>-33.567099999999897</v>
      </c>
      <c r="AD2384">
        <v>-1.02933885999999</v>
      </c>
      <c r="AE2384">
        <v>-7.6656000000000404</v>
      </c>
      <c r="AF2384">
        <v>-7.8515313469349097</v>
      </c>
      <c r="AG2384">
        <v>-1.02933885999999</v>
      </c>
      <c r="AH2384">
        <v>33.492519191203499</v>
      </c>
      <c r="AI2384">
        <v>91.713904038544598</v>
      </c>
      <c r="AJ2384">
        <v>103.19340338087601</v>
      </c>
      <c r="AK2384">
        <v>34.4159109243638</v>
      </c>
      <c r="AL2384">
        <v>93.137922098047</v>
      </c>
      <c r="AM2384">
        <v>98.550021556332894</v>
      </c>
      <c r="AN2384">
        <v>1.0000000359102601</v>
      </c>
    </row>
    <row r="2385" spans="1:40" x14ac:dyDescent="0.25">
      <c r="A2385" t="str">
        <f>"20190305135240177"</f>
        <v>20190305135240177</v>
      </c>
      <c r="B2385" t="str">
        <f>"1551765160172470"</f>
        <v>1551765160172470</v>
      </c>
      <c r="C2385" t="s">
        <v>40</v>
      </c>
      <c r="D2385">
        <v>4.351305</v>
      </c>
      <c r="E2385">
        <v>0.47113369999999999</v>
      </c>
      <c r="F2385" t="s">
        <v>55</v>
      </c>
      <c r="G2385">
        <v>-474.1782</v>
      </c>
      <c r="H2385">
        <v>8.0000039999999994E-2</v>
      </c>
      <c r="I2385">
        <v>277.8039</v>
      </c>
      <c r="J2385">
        <v>-440.60770000000002</v>
      </c>
      <c r="K2385">
        <v>1.1093299999999999</v>
      </c>
      <c r="L2385">
        <v>285.60860000000002</v>
      </c>
      <c r="M2385">
        <v>-0.99988829999999995</v>
      </c>
      <c r="N2385">
        <v>-1.3878659999999999E-2</v>
      </c>
      <c r="O2385">
        <v>5.5661390000000003E-3</v>
      </c>
      <c r="P2385">
        <v>-0.98665420000000004</v>
      </c>
      <c r="Q2385">
        <v>-6.9988179999999997E-2</v>
      </c>
      <c r="R2385">
        <v>-0.1470224</v>
      </c>
      <c r="S2385">
        <v>-2.9345089999999998</v>
      </c>
      <c r="T2385">
        <v>-8.9042659999999996E-2</v>
      </c>
      <c r="U2385">
        <v>-0.67498780000000003</v>
      </c>
      <c r="V2385">
        <v>-0.1524916</v>
      </c>
      <c r="W2385">
        <v>-5.6356780000000002E-2</v>
      </c>
      <c r="X2385">
        <v>0.98669660000000003</v>
      </c>
      <c r="Y2385">
        <v>-0.22943620000000001</v>
      </c>
      <c r="Z2385">
        <v>-5.1390170000000001E-3</v>
      </c>
      <c r="AA2385">
        <v>0.97331009999999996</v>
      </c>
      <c r="AB2385">
        <v>35</v>
      </c>
      <c r="AC2385">
        <v>-33.570499999999903</v>
      </c>
      <c r="AD2385">
        <v>-1.0293299600000001</v>
      </c>
      <c r="AE2385">
        <v>-7.80470000000002</v>
      </c>
      <c r="AF2385">
        <v>-7.98433362934529</v>
      </c>
      <c r="AG2385">
        <v>-1.0293299600000001</v>
      </c>
      <c r="AH2385">
        <v>33.4966568510659</v>
      </c>
      <c r="AI2385">
        <v>91.712169237023801</v>
      </c>
      <c r="AJ2385">
        <v>103.406966919957</v>
      </c>
      <c r="AK2385">
        <v>34.450473492672202</v>
      </c>
      <c r="AL2385">
        <v>93.230717427965999</v>
      </c>
      <c r="AM2385">
        <v>98.785419260274693</v>
      </c>
      <c r="AN2385">
        <v>0.99999997758704395</v>
      </c>
    </row>
    <row r="2386" spans="1:40" x14ac:dyDescent="0.25">
      <c r="A2386" t="str">
        <f>"20190305135240199"</f>
        <v>20190305135240199</v>
      </c>
      <c r="B2386" t="str">
        <f>"1551765160191990"</f>
        <v>1551765160191990</v>
      </c>
      <c r="C2386" t="s">
        <v>40</v>
      </c>
      <c r="D2386">
        <v>4.3918589999999904</v>
      </c>
      <c r="E2386">
        <v>0.47305570000000002</v>
      </c>
      <c r="F2386" t="s">
        <v>55</v>
      </c>
      <c r="G2386">
        <v>-472.52550000000002</v>
      </c>
      <c r="H2386">
        <v>8.0000370000000001E-2</v>
      </c>
      <c r="I2386">
        <v>278.23680000000002</v>
      </c>
      <c r="J2386">
        <v>-440.96030000000002</v>
      </c>
      <c r="K2386">
        <v>1.1093219999999999</v>
      </c>
      <c r="L2386">
        <v>285.6103</v>
      </c>
      <c r="M2386">
        <v>-0.99988929999999998</v>
      </c>
      <c r="N2386">
        <v>-1.387709E-2</v>
      </c>
      <c r="O2386">
        <v>5.3809080000000002E-3</v>
      </c>
      <c r="P2386">
        <v>-0.98574720000000005</v>
      </c>
      <c r="Q2386">
        <v>-7.2376739999999995E-2</v>
      </c>
      <c r="R2386">
        <v>-0.151868899999999</v>
      </c>
      <c r="S2386">
        <v>-2.932922</v>
      </c>
      <c r="T2386">
        <v>-9.4585180000000005E-2</v>
      </c>
      <c r="U2386">
        <v>-0.67739869999999902</v>
      </c>
      <c r="V2386">
        <v>-0.15714939999999999</v>
      </c>
      <c r="W2386">
        <v>-5.8760930000000003E-2</v>
      </c>
      <c r="X2386">
        <v>0.98582510000000001</v>
      </c>
      <c r="Y2386">
        <v>-0.23011400000000001</v>
      </c>
      <c r="Z2386">
        <v>-5.3770320000000003E-3</v>
      </c>
      <c r="AA2386">
        <v>0.97314880000000004</v>
      </c>
      <c r="AB2386">
        <v>35</v>
      </c>
      <c r="AC2386">
        <v>-31.565200000000001</v>
      </c>
      <c r="AD2386">
        <v>-1.0293216300000001</v>
      </c>
      <c r="AE2386">
        <v>-7.3734999999999697</v>
      </c>
      <c r="AF2386">
        <v>-7.5356604373143004</v>
      </c>
      <c r="AG2386">
        <v>-1.0293216300000001</v>
      </c>
      <c r="AH2386">
        <v>31.493306745571399</v>
      </c>
      <c r="AI2386">
        <v>91.820621169123996</v>
      </c>
      <c r="AJ2386">
        <v>103.45662090226099</v>
      </c>
      <c r="AK2386">
        <v>32.398673599626598</v>
      </c>
      <c r="AL2386">
        <v>93.368693940611493</v>
      </c>
      <c r="AM2386">
        <v>99.057257674881797</v>
      </c>
      <c r="AN2386">
        <v>0.99999995430241595</v>
      </c>
    </row>
    <row r="2387" spans="1:40" x14ac:dyDescent="0.25">
      <c r="A2387" t="str">
        <f>"20190305135240221"</f>
        <v>20190305135240221</v>
      </c>
      <c r="B2387" t="str">
        <f>"1551765160211510"</f>
        <v>1551765160211510</v>
      </c>
      <c r="C2387" t="s">
        <v>40</v>
      </c>
      <c r="D2387">
        <v>4.4551860000000003</v>
      </c>
      <c r="E2387">
        <v>0.47437020000000002</v>
      </c>
      <c r="F2387" t="s">
        <v>56</v>
      </c>
      <c r="G2387">
        <v>-468.65170000000001</v>
      </c>
      <c r="H2387">
        <v>8.0000619999999995E-2</v>
      </c>
      <c r="I2387">
        <v>279.22120000000001</v>
      </c>
      <c r="J2387">
        <v>-441.28660000000002</v>
      </c>
      <c r="K2387">
        <v>1.109326</v>
      </c>
      <c r="L2387">
        <v>285.61189999999999</v>
      </c>
      <c r="M2387">
        <v>-0.99989019999999995</v>
      </c>
      <c r="N2387">
        <v>-1.387561E-2</v>
      </c>
      <c r="O2387">
        <v>5.2092680000000004E-3</v>
      </c>
      <c r="P2387">
        <v>-0.98503399999999997</v>
      </c>
      <c r="Q2387">
        <v>-7.3183120000000004E-2</v>
      </c>
      <c r="R2387">
        <v>-0.15605250000000001</v>
      </c>
      <c r="S2387">
        <v>-2.9311829999999999</v>
      </c>
      <c r="T2387">
        <v>-0.10895539999999899</v>
      </c>
      <c r="U2387">
        <v>-0.67630000000000001</v>
      </c>
      <c r="V2387">
        <v>-0.16115989999999999</v>
      </c>
      <c r="W2387">
        <v>-5.9580000000000001E-2</v>
      </c>
      <c r="X2387">
        <v>0.98512829999999996</v>
      </c>
      <c r="Y2387">
        <v>-0.2296821</v>
      </c>
      <c r="Z2387">
        <v>-5.946748E-3</v>
      </c>
      <c r="AA2387">
        <v>0.97324750000000004</v>
      </c>
      <c r="AB2387">
        <v>35</v>
      </c>
      <c r="AC2387">
        <v>-27.365099999999899</v>
      </c>
      <c r="AD2387">
        <v>-1.02932538</v>
      </c>
      <c r="AE2387">
        <v>-6.3906999999999803</v>
      </c>
      <c r="AF2387">
        <v>-6.5244254416163301</v>
      </c>
      <c r="AG2387">
        <v>-1.02932538</v>
      </c>
      <c r="AH2387">
        <v>27.294813658222999</v>
      </c>
      <c r="AI2387">
        <v>92.100558215143494</v>
      </c>
      <c r="AJ2387">
        <v>103.443461875499</v>
      </c>
      <c r="AK2387">
        <v>28.082636819184899</v>
      </c>
      <c r="AL2387">
        <v>93.415705313486797</v>
      </c>
      <c r="AM2387">
        <v>99.290877834836394</v>
      </c>
      <c r="AN2387">
        <v>1.0000000286144499</v>
      </c>
    </row>
    <row r="2388" spans="1:40" x14ac:dyDescent="0.25">
      <c r="A2388" t="str">
        <f>"20190305135240243"</f>
        <v>20190305135240243</v>
      </c>
      <c r="B2388" t="str">
        <f>"1551765160232006"</f>
        <v>1551765160232006</v>
      </c>
      <c r="C2388" t="s">
        <v>40</v>
      </c>
      <c r="D2388">
        <v>4.6474080000000004</v>
      </c>
      <c r="E2388">
        <v>0.50884819999999997</v>
      </c>
      <c r="F2388" t="s">
        <v>56</v>
      </c>
      <c r="G2388">
        <v>-468.42970000000003</v>
      </c>
      <c r="H2388">
        <v>8.0000680000000005E-2</v>
      </c>
      <c r="I2388">
        <v>279.32960000000003</v>
      </c>
      <c r="J2388">
        <v>-441.6309</v>
      </c>
      <c r="K2388">
        <v>1.109324</v>
      </c>
      <c r="L2388">
        <v>285.61349999999999</v>
      </c>
      <c r="M2388">
        <v>-0.99989119999999998</v>
      </c>
      <c r="N2388">
        <v>-1.387379E-2</v>
      </c>
      <c r="O2388">
        <v>5.0280350000000001E-3</v>
      </c>
      <c r="P2388">
        <v>-0.98447150000000005</v>
      </c>
      <c r="Q2388">
        <v>-7.3334280000000002E-2</v>
      </c>
      <c r="R2388">
        <v>-0.15949340000000001</v>
      </c>
      <c r="S2388">
        <v>-2.9299010000000001</v>
      </c>
      <c r="T2388">
        <v>-0.1111082</v>
      </c>
      <c r="U2388">
        <v>-0.67813109999999999</v>
      </c>
      <c r="V2388">
        <v>-0.16441939999999999</v>
      </c>
      <c r="W2388">
        <v>-5.9741740000000002E-2</v>
      </c>
      <c r="X2388">
        <v>0.98457969999999895</v>
      </c>
      <c r="Y2388">
        <v>-0.2301685</v>
      </c>
      <c r="Z2388">
        <v>-6.043461E-3</v>
      </c>
      <c r="AA2388">
        <v>0.973132</v>
      </c>
      <c r="AB2388">
        <v>35</v>
      </c>
      <c r="AC2388">
        <v>-26.7988</v>
      </c>
      <c r="AD2388">
        <v>-1.02932332</v>
      </c>
      <c r="AE2388">
        <v>-6.2838999999999503</v>
      </c>
      <c r="AF2388">
        <v>-6.40961568886802</v>
      </c>
      <c r="AG2388">
        <v>-1.02932332</v>
      </c>
      <c r="AH2388">
        <v>26.7294842992799</v>
      </c>
      <c r="AI2388">
        <v>92.144570802027999</v>
      </c>
      <c r="AJ2388">
        <v>103.484665346632</v>
      </c>
      <c r="AK2388">
        <v>27.506508514922999</v>
      </c>
      <c r="AL2388">
        <v>93.424988967070405</v>
      </c>
      <c r="AM2388">
        <v>99.480597340402596</v>
      </c>
      <c r="AN2388">
        <v>1.00000000012333</v>
      </c>
    </row>
    <row r="2389" spans="1:40" x14ac:dyDescent="0.25">
      <c r="A2389" t="str">
        <f>"20190305135240266"</f>
        <v>20190305135240266</v>
      </c>
      <c r="B2389" t="str">
        <f>"1551765160262262"</f>
        <v>1551765160262262</v>
      </c>
      <c r="C2389" t="s">
        <v>40</v>
      </c>
      <c r="D2389">
        <v>4.3575480000000004</v>
      </c>
      <c r="E2389">
        <v>0.50995670000000004</v>
      </c>
      <c r="F2389" t="s">
        <v>56</v>
      </c>
      <c r="G2389">
        <v>-457.11649999999997</v>
      </c>
      <c r="H2389" s="1">
        <v>2.300131E-6</v>
      </c>
      <c r="I2389">
        <v>283.47609999999997</v>
      </c>
      <c r="J2389">
        <v>-441.97449999999998</v>
      </c>
      <c r="K2389">
        <v>1.109329</v>
      </c>
      <c r="L2389">
        <v>285.61500000000001</v>
      </c>
      <c r="M2389">
        <v>-0.99989220000000001</v>
      </c>
      <c r="N2389">
        <v>-1.3871919999999999E-2</v>
      </c>
      <c r="O2389">
        <v>4.8471E-3</v>
      </c>
      <c r="P2389">
        <v>-0.98398430000000003</v>
      </c>
      <c r="Q2389">
        <v>-7.3530639999999994E-2</v>
      </c>
      <c r="R2389">
        <v>-0.1623841</v>
      </c>
      <c r="S2389">
        <v>-2.965179</v>
      </c>
      <c r="T2389">
        <v>-0.21241209999999999</v>
      </c>
      <c r="U2389">
        <v>-0.4092712</v>
      </c>
      <c r="V2389">
        <v>-0.16712929999999901</v>
      </c>
      <c r="W2389">
        <v>-5.9947390000000003E-2</v>
      </c>
      <c r="X2389">
        <v>0.98411079999999995</v>
      </c>
      <c r="Y2389">
        <v>-0.14109720000000001</v>
      </c>
      <c r="Z2389">
        <v>-6.2867039999999997E-3</v>
      </c>
      <c r="AA2389">
        <v>0.98997579999999996</v>
      </c>
      <c r="AB2389">
        <v>35</v>
      </c>
      <c r="AC2389">
        <v>-15.1419999999999</v>
      </c>
      <c r="AD2389">
        <v>-1.1093266998689999</v>
      </c>
      <c r="AE2389">
        <v>-2.1389000000000302</v>
      </c>
      <c r="AF2389">
        <v>-2.2006960762282199</v>
      </c>
      <c r="AG2389">
        <v>-1.1093266998689999</v>
      </c>
      <c r="AH2389">
        <v>15.0522448297308</v>
      </c>
      <c r="AI2389">
        <v>94.170806413447906</v>
      </c>
      <c r="AJ2389">
        <v>98.317930569457403</v>
      </c>
      <c r="AK2389">
        <v>15.2526634841632</v>
      </c>
      <c r="AL2389">
        <v>93.436793071105996</v>
      </c>
      <c r="AM2389">
        <v>99.638451756953501</v>
      </c>
      <c r="AN2389">
        <v>0.99999997958147002</v>
      </c>
    </row>
    <row r="2390" spans="1:40" x14ac:dyDescent="0.25">
      <c r="A2390" t="str">
        <f>"20190305135240288"</f>
        <v>20190305135240288</v>
      </c>
      <c r="B2390" t="str">
        <f>"1551765160281784"</f>
        <v>1551765160281784</v>
      </c>
      <c r="C2390" t="s">
        <v>40</v>
      </c>
      <c r="D2390">
        <v>4.3590720000000003</v>
      </c>
      <c r="E2390">
        <v>0.51034919999999995</v>
      </c>
      <c r="F2390" t="s">
        <v>56</v>
      </c>
      <c r="G2390">
        <v>-457.22410000000002</v>
      </c>
      <c r="H2390" s="1">
        <v>2.3558E-6</v>
      </c>
      <c r="I2390">
        <v>283.5111</v>
      </c>
      <c r="J2390">
        <v>-442.3297</v>
      </c>
      <c r="K2390">
        <v>1.1093329999999999</v>
      </c>
      <c r="L2390">
        <v>285.61649999999997</v>
      </c>
      <c r="M2390">
        <v>-0.99989300000000003</v>
      </c>
      <c r="N2390">
        <v>-1.3870199999999999E-2</v>
      </c>
      <c r="O2390">
        <v>4.6602620000000001E-3</v>
      </c>
      <c r="P2390">
        <v>-0.98350009999999999</v>
      </c>
      <c r="Q2390">
        <v>-7.3648480000000002E-2</v>
      </c>
      <c r="R2390">
        <v>-0.16523779999999999</v>
      </c>
      <c r="S2390">
        <v>-2.9652099999999999</v>
      </c>
      <c r="T2390">
        <v>-0.21570320000000001</v>
      </c>
      <c r="U2390">
        <v>-0.40908810000000001</v>
      </c>
      <c r="V2390">
        <v>-0.16979749999999999</v>
      </c>
      <c r="W2390">
        <v>-6.0074349999999999E-2</v>
      </c>
      <c r="X2390">
        <v>0.98364620000000003</v>
      </c>
      <c r="Y2390">
        <v>-0.14083950000000001</v>
      </c>
      <c r="Z2390">
        <v>-6.3475169999999996E-3</v>
      </c>
      <c r="AA2390">
        <v>0.99001209999999995</v>
      </c>
      <c r="AB2390">
        <v>34</v>
      </c>
      <c r="AC2390">
        <v>-14.894399999999999</v>
      </c>
      <c r="AD2390">
        <v>-1.1093306441999999</v>
      </c>
      <c r="AE2390">
        <v>-2.1053999999999702</v>
      </c>
      <c r="AF2390">
        <v>-2.1630318381765199</v>
      </c>
      <c r="AG2390">
        <v>-1.1093306441999999</v>
      </c>
      <c r="AH2390">
        <v>14.8039136218802</v>
      </c>
      <c r="AI2390">
        <v>94.240587776203498</v>
      </c>
      <c r="AJ2390">
        <v>98.312787415274798</v>
      </c>
      <c r="AK2390">
        <v>15.0021725005153</v>
      </c>
      <c r="AL2390">
        <v>93.444080466751103</v>
      </c>
      <c r="AM2390">
        <v>99.793908229959996</v>
      </c>
      <c r="AN2390">
        <v>0.99999998265430601</v>
      </c>
    </row>
    <row r="2391" spans="1:40" x14ac:dyDescent="0.25">
      <c r="A2391" t="str">
        <f>"20190305135240310"</f>
        <v>20190305135240310</v>
      </c>
      <c r="B2391" t="str">
        <f>"1551765160302281"</f>
        <v>1551765160302281</v>
      </c>
      <c r="C2391" t="s">
        <v>40</v>
      </c>
      <c r="D2391">
        <v>4.3627830000000003</v>
      </c>
      <c r="E2391">
        <v>0.51042029999999905</v>
      </c>
      <c r="F2391" t="s">
        <v>56</v>
      </c>
      <c r="G2391">
        <v>-457.70499999999998</v>
      </c>
      <c r="H2391" s="1">
        <v>2.6137329999999999E-6</v>
      </c>
      <c r="I2391">
        <v>283.46559999999999</v>
      </c>
      <c r="J2391">
        <v>-442.66460000000001</v>
      </c>
      <c r="K2391">
        <v>1.1093280000000001</v>
      </c>
      <c r="L2391">
        <v>285.61790000000002</v>
      </c>
      <c r="M2391">
        <v>-0.99989380000000005</v>
      </c>
      <c r="N2391">
        <v>-1.3868470000000001E-2</v>
      </c>
      <c r="O2391">
        <v>4.4840349999999999E-3</v>
      </c>
      <c r="P2391">
        <v>-0.98300620000000005</v>
      </c>
      <c r="Q2391">
        <v>-7.4930189999999994E-2</v>
      </c>
      <c r="R2391">
        <v>-0.1675854</v>
      </c>
      <c r="S2391">
        <v>-2.964661</v>
      </c>
      <c r="T2391">
        <v>-0.2138999</v>
      </c>
      <c r="U2391">
        <v>-0.41473389999999999</v>
      </c>
      <c r="V2391">
        <v>-0.17196879999999901</v>
      </c>
      <c r="W2391">
        <v>-6.1364950000000001E-2</v>
      </c>
      <c r="X2391">
        <v>0.98318919999999999</v>
      </c>
      <c r="Y2391">
        <v>-0.14254120000000001</v>
      </c>
      <c r="Z2391">
        <v>-6.3652070000000003E-3</v>
      </c>
      <c r="AA2391">
        <v>0.98976839999999999</v>
      </c>
      <c r="AB2391">
        <v>34</v>
      </c>
      <c r="AC2391">
        <v>-15.040399999999901</v>
      </c>
      <c r="AD2391">
        <v>-1.1093253862670001</v>
      </c>
      <c r="AE2391">
        <v>-2.1523000000000199</v>
      </c>
      <c r="AF2391">
        <v>-2.20795626539058</v>
      </c>
      <c r="AG2391">
        <v>-1.1093253862670001</v>
      </c>
      <c r="AH2391">
        <v>14.9508960410445</v>
      </c>
      <c r="AI2391">
        <v>94.198085055965095</v>
      </c>
      <c r="AJ2391">
        <v>98.400750162821296</v>
      </c>
      <c r="AK2391">
        <v>15.1537112983128</v>
      </c>
      <c r="AL2391">
        <v>93.518163164386905</v>
      </c>
      <c r="AM2391">
        <v>99.921195503525098</v>
      </c>
      <c r="AN2391">
        <v>0.99999996412929004</v>
      </c>
    </row>
    <row r="2392" spans="1:40" x14ac:dyDescent="0.25">
      <c r="A2392" t="str">
        <f>"20190305135240332"</f>
        <v>20190305135240332</v>
      </c>
      <c r="B2392" t="str">
        <f>"1551765160321798"</f>
        <v>1551765160321798</v>
      </c>
      <c r="C2392" t="s">
        <v>40</v>
      </c>
      <c r="D2392">
        <v>4.3451979999999999</v>
      </c>
      <c r="E2392">
        <v>0.51073900000000005</v>
      </c>
      <c r="F2392" t="s">
        <v>56</v>
      </c>
      <c r="G2392">
        <v>-457.83210000000003</v>
      </c>
      <c r="H2392" s="1">
        <v>2.6815320000000001E-6</v>
      </c>
      <c r="I2392">
        <v>283.46210000000002</v>
      </c>
      <c r="J2392">
        <v>-443.00229999999999</v>
      </c>
      <c r="K2392">
        <v>1.109326</v>
      </c>
      <c r="L2392">
        <v>285.61919999999998</v>
      </c>
      <c r="M2392">
        <v>-0.99989459999999997</v>
      </c>
      <c r="N2392">
        <v>-1.3866689999999999E-2</v>
      </c>
      <c r="O2392">
        <v>4.3062589999999998E-3</v>
      </c>
      <c r="P2392">
        <v>-0.98263619999999996</v>
      </c>
      <c r="Q2392">
        <v>-7.4964489999999995E-2</v>
      </c>
      <c r="R2392">
        <v>-0.16972579999999901</v>
      </c>
      <c r="S2392">
        <v>-2.9635310000000001</v>
      </c>
      <c r="T2392">
        <v>-0.21674640000000001</v>
      </c>
      <c r="U2392">
        <v>-0.42120360000000001</v>
      </c>
      <c r="V2392">
        <v>-0.1739328</v>
      </c>
      <c r="W2392">
        <v>-6.1406479999999999E-2</v>
      </c>
      <c r="X2392">
        <v>0.98284110000000002</v>
      </c>
      <c r="Y2392">
        <v>-0.14451839999999999</v>
      </c>
      <c r="Z2392">
        <v>-6.5138069999999999E-3</v>
      </c>
      <c r="AA2392">
        <v>0.98948069999999999</v>
      </c>
      <c r="AB2392">
        <v>34</v>
      </c>
      <c r="AC2392">
        <v>-14.829800000000001</v>
      </c>
      <c r="AD2392">
        <v>-1.109323318468</v>
      </c>
      <c r="AE2392">
        <v>-2.1570999999999501</v>
      </c>
      <c r="AF2392">
        <v>-2.2088434050919799</v>
      </c>
      <c r="AG2392">
        <v>-1.109323318468</v>
      </c>
      <c r="AH2392">
        <v>14.739604667670401</v>
      </c>
      <c r="AI2392">
        <v>94.256692544242398</v>
      </c>
      <c r="AJ2392">
        <v>98.522792237032206</v>
      </c>
      <c r="AK2392">
        <v>14.9454184676216</v>
      </c>
      <c r="AL2392">
        <v>93.520547023177599</v>
      </c>
      <c r="AM2392">
        <v>100.035694107122</v>
      </c>
      <c r="AN2392">
        <v>1.0000000012755199</v>
      </c>
    </row>
    <row r="2393" spans="1:40" x14ac:dyDescent="0.25">
      <c r="A2393" t="str">
        <f>"20190305135240354"</f>
        <v>20190305135240354</v>
      </c>
      <c r="B2393" t="str">
        <f>"1551765160352054"</f>
        <v>1551765160352054</v>
      </c>
      <c r="C2393" t="s">
        <v>40</v>
      </c>
      <c r="D2393">
        <v>4.3394059999999897</v>
      </c>
      <c r="E2393">
        <v>0.51114850000000001</v>
      </c>
      <c r="F2393" t="s">
        <v>56</v>
      </c>
      <c r="G2393">
        <v>-458.3467</v>
      </c>
      <c r="H2393" s="1">
        <v>2.957358E-6</v>
      </c>
      <c r="I2393">
        <v>283.41649999999998</v>
      </c>
      <c r="J2393">
        <v>-443.34660000000002</v>
      </c>
      <c r="K2393">
        <v>1.109327</v>
      </c>
      <c r="L2393">
        <v>285.62049999999999</v>
      </c>
      <c r="M2393">
        <v>-0.99989539999999999</v>
      </c>
      <c r="N2393">
        <v>-1.38648E-2</v>
      </c>
      <c r="O2393">
        <v>4.1247289999999997E-3</v>
      </c>
      <c r="P2393">
        <v>-0.98241160000000005</v>
      </c>
      <c r="Q2393">
        <v>-7.4584239999999996E-2</v>
      </c>
      <c r="R2393">
        <v>-0.17118639999999999</v>
      </c>
      <c r="S2393">
        <v>-2.9632260000000001</v>
      </c>
      <c r="T2393">
        <v>-0.214227</v>
      </c>
      <c r="U2393">
        <v>-0.4253845</v>
      </c>
      <c r="V2393">
        <v>-0.1752148</v>
      </c>
      <c r="W2393">
        <v>-6.1031250000000002E-2</v>
      </c>
      <c r="X2393">
        <v>0.98263670000000003</v>
      </c>
      <c r="Y2393">
        <v>-0.14572739999999901</v>
      </c>
      <c r="Z2393">
        <v>-6.4905700000000002E-3</v>
      </c>
      <c r="AA2393">
        <v>0.9893035</v>
      </c>
      <c r="AB2393">
        <v>34</v>
      </c>
      <c r="AC2393">
        <v>-15.0000999999999</v>
      </c>
      <c r="AD2393">
        <v>-1.1093240426419999</v>
      </c>
      <c r="AE2393">
        <v>-2.2040000000000002</v>
      </c>
      <c r="AF2393">
        <v>-2.2537924607965598</v>
      </c>
      <c r="AG2393">
        <v>-1.1093240426419999</v>
      </c>
      <c r="AH2393">
        <v>14.911051621227401</v>
      </c>
      <c r="AI2393">
        <v>94.207131938221394</v>
      </c>
      <c r="AJ2393">
        <v>98.595146148470306</v>
      </c>
      <c r="AK2393">
        <v>15.121165323441</v>
      </c>
      <c r="AL2393">
        <v>93.499007665468497</v>
      </c>
      <c r="AM2393">
        <v>100.110203159875</v>
      </c>
      <c r="AN2393">
        <v>0.99999996190124496</v>
      </c>
    </row>
    <row r="2394" spans="1:40" x14ac:dyDescent="0.25">
      <c r="A2394" t="str">
        <f>"20190305135240378"</f>
        <v>20190305135240378</v>
      </c>
      <c r="B2394" t="str">
        <f>"1551765160371577"</f>
        <v>1551765160371577</v>
      </c>
      <c r="C2394" t="s">
        <v>40</v>
      </c>
      <c r="D2394">
        <v>4.383731</v>
      </c>
      <c r="E2394">
        <v>0.51136289999999995</v>
      </c>
      <c r="F2394" t="s">
        <v>56</v>
      </c>
      <c r="G2394">
        <v>-458.95800000000003</v>
      </c>
      <c r="H2394" s="1">
        <v>3.2846310000000001E-6</v>
      </c>
      <c r="I2394">
        <v>283.37119999999999</v>
      </c>
      <c r="J2394">
        <v>-443.7115</v>
      </c>
      <c r="K2394">
        <v>1.109327</v>
      </c>
      <c r="L2394">
        <v>285.62180000000001</v>
      </c>
      <c r="M2394">
        <v>-0.99989620000000001</v>
      </c>
      <c r="N2394">
        <v>-1.386272E-2</v>
      </c>
      <c r="O2394">
        <v>3.9326530000000004E-3</v>
      </c>
      <c r="P2394">
        <v>-0.98229520000000003</v>
      </c>
      <c r="Q2394">
        <v>-7.4441709999999994E-2</v>
      </c>
      <c r="R2394">
        <v>-0.1719145</v>
      </c>
      <c r="S2394">
        <v>-2.9632869999999998</v>
      </c>
      <c r="T2394">
        <v>-0.210567</v>
      </c>
      <c r="U2394">
        <v>-0.4269714</v>
      </c>
      <c r="V2394">
        <v>-0.17575370000000001</v>
      </c>
      <c r="W2394">
        <v>-6.0892059999999998E-2</v>
      </c>
      <c r="X2394">
        <v>0.98254909999999995</v>
      </c>
      <c r="Y2394">
        <v>-0.14606710000000001</v>
      </c>
      <c r="Z2394">
        <v>-6.3992969999999904E-3</v>
      </c>
      <c r="AA2394">
        <v>0.98925399999999997</v>
      </c>
      <c r="AB2394">
        <v>34</v>
      </c>
      <c r="AC2394">
        <v>-15.246499999999999</v>
      </c>
      <c r="AD2394">
        <v>-1.1093237153690001</v>
      </c>
      <c r="AE2394">
        <v>-2.2506000000000199</v>
      </c>
      <c r="AF2394">
        <v>-2.2986382736366302</v>
      </c>
      <c r="AG2394">
        <v>-1.1093237153690001</v>
      </c>
      <c r="AH2394">
        <v>15.158991472178601</v>
      </c>
      <c r="AI2394">
        <v>94.138263373426796</v>
      </c>
      <c r="AJ2394">
        <v>98.622377776838704</v>
      </c>
      <c r="AK2394">
        <v>15.372356991434099</v>
      </c>
      <c r="AL2394">
        <v>93.491017777122593</v>
      </c>
      <c r="AM2394">
        <v>100.14153961678301</v>
      </c>
      <c r="AN2394">
        <v>0.99999996997277096</v>
      </c>
    </row>
    <row r="2395" spans="1:40" x14ac:dyDescent="0.25">
      <c r="A2395" t="str">
        <f>"20190305135240400"</f>
        <v>20190305135240400</v>
      </c>
      <c r="B2395" t="str">
        <f>"1551765160392070"</f>
        <v>1551765160392070</v>
      </c>
      <c r="C2395" t="s">
        <v>40</v>
      </c>
      <c r="D2395">
        <v>4.3911939999999996</v>
      </c>
      <c r="E2395">
        <v>0.51177010000000001</v>
      </c>
      <c r="F2395" t="s">
        <v>56</v>
      </c>
      <c r="G2395">
        <v>-459.27050000000003</v>
      </c>
      <c r="H2395" s="1">
        <v>3.450607E-6</v>
      </c>
      <c r="I2395">
        <v>283.37920000000003</v>
      </c>
      <c r="J2395">
        <v>-444.04689999999999</v>
      </c>
      <c r="K2395">
        <v>1.1093219999999999</v>
      </c>
      <c r="L2395">
        <v>285.62299999999999</v>
      </c>
      <c r="M2395">
        <v>-0.99989709999999998</v>
      </c>
      <c r="N2395">
        <v>-1.386078E-2</v>
      </c>
      <c r="O2395">
        <v>3.7558330000000001E-3</v>
      </c>
      <c r="P2395">
        <v>-0.98200900000000002</v>
      </c>
      <c r="Q2395">
        <v>-7.6187649999999996E-2</v>
      </c>
      <c r="R2395">
        <v>-0.17278389999999999</v>
      </c>
      <c r="S2395">
        <v>-2.9633180000000001</v>
      </c>
      <c r="T2395">
        <v>-0.21127760000000001</v>
      </c>
      <c r="U2395">
        <v>-0.427124</v>
      </c>
      <c r="V2395">
        <v>-0.17644799999999999</v>
      </c>
      <c r="W2395">
        <v>-6.2643439999999995E-2</v>
      </c>
      <c r="X2395">
        <v>0.98231460000000004</v>
      </c>
      <c r="Y2395">
        <v>-0.1459386</v>
      </c>
      <c r="Z2395">
        <v>-6.4018529999999999E-3</v>
      </c>
      <c r="AA2395">
        <v>0.98927299999999996</v>
      </c>
      <c r="AB2395">
        <v>34</v>
      </c>
      <c r="AC2395">
        <v>-15.223599999999999</v>
      </c>
      <c r="AD2395">
        <v>-1.109318549393</v>
      </c>
      <c r="AE2395">
        <v>-2.2437999999999598</v>
      </c>
      <c r="AF2395">
        <v>-2.2890708786599001</v>
      </c>
      <c r="AG2395">
        <v>-1.109318549393</v>
      </c>
      <c r="AH2395">
        <v>15.1364020911079</v>
      </c>
      <c r="AI2395">
        <v>94.144646627295302</v>
      </c>
      <c r="AJ2395">
        <v>98.599649502668697</v>
      </c>
      <c r="AK2395">
        <v>15.3486514520088</v>
      </c>
      <c r="AL2395">
        <v>93.591556214079205</v>
      </c>
      <c r="AM2395">
        <v>100.18314604855</v>
      </c>
      <c r="AN2395">
        <v>1.0000000353260901</v>
      </c>
    </row>
    <row r="2396" spans="1:40" x14ac:dyDescent="0.25">
      <c r="A2396" t="str">
        <f>"20190305135240422"</f>
        <v>20190305135240422</v>
      </c>
      <c r="B2396" t="str">
        <f>"1551765160411591"</f>
        <v>1551765160411591</v>
      </c>
      <c r="C2396" t="s">
        <v>40</v>
      </c>
      <c r="D2396">
        <v>4.3803409999999996</v>
      </c>
      <c r="E2396">
        <v>0.51217400000000002</v>
      </c>
      <c r="F2396" t="s">
        <v>56</v>
      </c>
      <c r="G2396">
        <v>-459.25979999999998</v>
      </c>
      <c r="H2396" s="1">
        <v>3.4425749999999998E-6</v>
      </c>
      <c r="I2396">
        <v>283.43259999999998</v>
      </c>
      <c r="J2396">
        <v>-444.37470000000002</v>
      </c>
      <c r="K2396">
        <v>1.10931</v>
      </c>
      <c r="L2396">
        <v>285.62400000000002</v>
      </c>
      <c r="M2396">
        <v>-0.99989760000000005</v>
      </c>
      <c r="N2396">
        <v>-1.3858880000000001E-2</v>
      </c>
      <c r="O2396">
        <v>3.5828879999999998E-3</v>
      </c>
      <c r="P2396">
        <v>-0.98177040000000004</v>
      </c>
      <c r="Q2396">
        <v>-7.7861120000000006E-2</v>
      </c>
      <c r="R2396">
        <v>-0.17339179999999901</v>
      </c>
      <c r="S2396">
        <v>-2.9630740000000002</v>
      </c>
      <c r="T2396">
        <v>-0.21606590000000001</v>
      </c>
      <c r="U2396">
        <v>-0.42663570000000001</v>
      </c>
      <c r="V2396">
        <v>-0.1768853</v>
      </c>
      <c r="W2396">
        <v>-6.432156E-2</v>
      </c>
      <c r="X2396">
        <v>0.98212739999999998</v>
      </c>
      <c r="Y2396">
        <v>-0.14560200000000001</v>
      </c>
      <c r="Z2396">
        <v>-6.5004669999999898E-3</v>
      </c>
      <c r="AA2396">
        <v>0.98932189999999998</v>
      </c>
      <c r="AB2396">
        <v>34</v>
      </c>
      <c r="AC2396">
        <v>-14.8850999999999</v>
      </c>
      <c r="AD2396">
        <v>-1.1093065574250001</v>
      </c>
      <c r="AE2396">
        <v>-2.1914000000000402</v>
      </c>
      <c r="AF2396">
        <v>-2.2325861397270601</v>
      </c>
      <c r="AG2396">
        <v>-1.1093065574250001</v>
      </c>
      <c r="AH2396">
        <v>14.7967157470079</v>
      </c>
      <c r="AI2396">
        <v>94.239621679171407</v>
      </c>
      <c r="AJ2396">
        <v>98.580288356634497</v>
      </c>
      <c r="AK2396">
        <v>15.0052590383305</v>
      </c>
      <c r="AL2396">
        <v>93.687900056113193</v>
      </c>
      <c r="AM2396">
        <v>100.209758185881</v>
      </c>
      <c r="AN2396">
        <v>0.99999995113383999</v>
      </c>
    </row>
    <row r="2397" spans="1:40" x14ac:dyDescent="0.25">
      <c r="A2397" t="str">
        <f>"20190305135240444"</f>
        <v>20190305135240444</v>
      </c>
      <c r="B2397" t="str">
        <f>"1551765160441845"</f>
        <v>1551765160441845</v>
      </c>
      <c r="C2397" t="s">
        <v>40</v>
      </c>
      <c r="D2397">
        <v>4.3652139999999999</v>
      </c>
      <c r="E2397">
        <v>0.51259319999999997</v>
      </c>
      <c r="F2397" t="s">
        <v>56</v>
      </c>
      <c r="G2397">
        <v>-459.38499999999999</v>
      </c>
      <c r="H2397" s="1">
        <v>3.5075919999999999E-6</v>
      </c>
      <c r="I2397">
        <v>283.46929999999998</v>
      </c>
      <c r="J2397">
        <v>-444.71629999999999</v>
      </c>
      <c r="K2397">
        <v>1.1092979999999999</v>
      </c>
      <c r="L2397">
        <v>285.62509999999997</v>
      </c>
      <c r="M2397">
        <v>-0.99989819999999996</v>
      </c>
      <c r="N2397">
        <v>-1.385688E-2</v>
      </c>
      <c r="O2397">
        <v>3.4030280000000002E-3</v>
      </c>
      <c r="P2397">
        <v>-0.9817572</v>
      </c>
      <c r="Q2397">
        <v>-7.8017719999999999E-2</v>
      </c>
      <c r="R2397">
        <v>-0.1733961</v>
      </c>
      <c r="S2397">
        <v>-2.963165</v>
      </c>
      <c r="T2397">
        <v>-0.21898670000000001</v>
      </c>
      <c r="U2397">
        <v>-0.42535400000000001</v>
      </c>
      <c r="V2397">
        <v>-0.17671210000000001</v>
      </c>
      <c r="W2397">
        <v>-6.4479709999999996E-2</v>
      </c>
      <c r="X2397">
        <v>0.98214829999999997</v>
      </c>
      <c r="Y2397">
        <v>-0.14499110000000001</v>
      </c>
      <c r="Z2397">
        <v>-6.5375310000000001E-3</v>
      </c>
      <c r="AA2397">
        <v>0.98941140000000005</v>
      </c>
      <c r="AB2397">
        <v>34</v>
      </c>
      <c r="AC2397">
        <v>-14.668699999999999</v>
      </c>
      <c r="AD2397">
        <v>-1.1092944924079999</v>
      </c>
      <c r="AE2397">
        <v>-2.1558000000000002</v>
      </c>
      <c r="AF2397">
        <v>-2.19343155666692</v>
      </c>
      <c r="AG2397">
        <v>-1.1092944924079999</v>
      </c>
      <c r="AH2397">
        <v>14.579661692765301</v>
      </c>
      <c r="AI2397">
        <v>94.302734354690003</v>
      </c>
      <c r="AJ2397">
        <v>98.555677852671593</v>
      </c>
      <c r="AK2397">
        <v>14.7854053492002</v>
      </c>
      <c r="AL2397">
        <v>93.696979899829699</v>
      </c>
      <c r="AM2397">
        <v>100.199758628222</v>
      </c>
      <c r="AN2397">
        <v>1.0000000412404899</v>
      </c>
    </row>
    <row r="2398" spans="1:40" x14ac:dyDescent="0.25">
      <c r="A2398" t="str">
        <f>"20190305135240467"</f>
        <v>20190305135240467</v>
      </c>
      <c r="B2398" t="str">
        <f>"1551765160462345"</f>
        <v>1551765160462345</v>
      </c>
      <c r="C2398" t="s">
        <v>40</v>
      </c>
      <c r="D2398">
        <v>4.3721800000000002</v>
      </c>
      <c r="E2398">
        <v>0.51284149999999995</v>
      </c>
      <c r="F2398" t="s">
        <v>56</v>
      </c>
      <c r="G2398">
        <v>-459.79169999999999</v>
      </c>
      <c r="H2398" s="1">
        <v>3.7236659999999999E-6</v>
      </c>
      <c r="I2398">
        <v>283.47640000000001</v>
      </c>
      <c r="J2398">
        <v>-445.0668</v>
      </c>
      <c r="K2398">
        <v>1.1092949999999999</v>
      </c>
      <c r="L2398">
        <v>285.62610000000001</v>
      </c>
      <c r="M2398">
        <v>-0.99989899999999998</v>
      </c>
      <c r="N2398">
        <v>-1.3854790000000001E-2</v>
      </c>
      <c r="O2398">
        <v>3.2180440000000002E-3</v>
      </c>
      <c r="P2398">
        <v>-0.98164280000000004</v>
      </c>
      <c r="Q2398">
        <v>-7.8880530000000004E-2</v>
      </c>
      <c r="R2398">
        <v>-0.173653799999999</v>
      </c>
      <c r="S2398">
        <v>-2.9638059999999999</v>
      </c>
      <c r="T2398">
        <v>-0.21808640000000001</v>
      </c>
      <c r="U2398">
        <v>-0.42242429999999997</v>
      </c>
      <c r="V2398">
        <v>-0.17678829999999901</v>
      </c>
      <c r="W2398">
        <v>-6.5345509999999996E-2</v>
      </c>
      <c r="X2398">
        <v>0.98207730000000004</v>
      </c>
      <c r="Y2398">
        <v>-0.14382719999999999</v>
      </c>
      <c r="Z2398">
        <v>-6.4519969999999897E-3</v>
      </c>
      <c r="AA2398">
        <v>0.98958179999999996</v>
      </c>
      <c r="AB2398">
        <v>34</v>
      </c>
      <c r="AC2398">
        <v>-14.7248999999999</v>
      </c>
      <c r="AD2398">
        <v>-1.1092912763339999</v>
      </c>
      <c r="AE2398">
        <v>-2.14969999999999</v>
      </c>
      <c r="AF2398">
        <v>-2.1849374473207299</v>
      </c>
      <c r="AG2398">
        <v>-1.1092912763339999</v>
      </c>
      <c r="AH2398">
        <v>14.6365722336202</v>
      </c>
      <c r="AI2398">
        <v>94.286783749201206</v>
      </c>
      <c r="AJ2398">
        <v>98.490377654745501</v>
      </c>
      <c r="AK2398">
        <v>14.840273768850601</v>
      </c>
      <c r="AL2398">
        <v>93.746691655500598</v>
      </c>
      <c r="AM2398">
        <v>100.204786679359</v>
      </c>
      <c r="AN2398">
        <v>0.99999998093467002</v>
      </c>
    </row>
    <row r="2399" spans="1:40" x14ac:dyDescent="0.25">
      <c r="A2399" t="str">
        <f>"20190305135240499"</f>
        <v>20190305135240499</v>
      </c>
      <c r="B2399" t="str">
        <f>"1551765160491627"</f>
        <v>1551765160491627</v>
      </c>
      <c r="C2399" t="s">
        <v>40</v>
      </c>
      <c r="D2399">
        <v>4.382676</v>
      </c>
      <c r="E2399">
        <v>0.51317800000000002</v>
      </c>
      <c r="F2399" t="s">
        <v>56</v>
      </c>
      <c r="G2399">
        <v>-460.02640000000002</v>
      </c>
      <c r="H2399" s="1">
        <v>-1.4739040000000001E-6</v>
      </c>
      <c r="I2399">
        <v>283.49919999999997</v>
      </c>
      <c r="J2399">
        <v>-445.5634</v>
      </c>
      <c r="K2399">
        <v>1.1092930000000001</v>
      </c>
      <c r="L2399">
        <v>285.62740000000002</v>
      </c>
      <c r="M2399">
        <v>-0.99989989999999995</v>
      </c>
      <c r="N2399">
        <v>-1.3851840000000001E-2</v>
      </c>
      <c r="O2399">
        <v>2.9561819999999999E-3</v>
      </c>
      <c r="P2399">
        <v>-0.9813672</v>
      </c>
      <c r="Q2399">
        <v>-8.0288529999999997E-2</v>
      </c>
      <c r="R2399">
        <v>-0.174564</v>
      </c>
      <c r="S2399">
        <v>-2.963867</v>
      </c>
      <c r="T2399">
        <v>-0.21977949999999999</v>
      </c>
      <c r="U2399">
        <v>-0.4213867</v>
      </c>
      <c r="V2399">
        <v>-0.17743989999999901</v>
      </c>
      <c r="W2399">
        <v>-6.6759589999999994E-2</v>
      </c>
      <c r="X2399">
        <v>0.98186470000000003</v>
      </c>
      <c r="Y2399">
        <v>-0.1432215</v>
      </c>
      <c r="Z2399">
        <v>-6.4521129999999998E-3</v>
      </c>
      <c r="AA2399">
        <v>0.98966960000000004</v>
      </c>
      <c r="AB2399">
        <v>34</v>
      </c>
      <c r="AC2399">
        <v>-14.462999999999999</v>
      </c>
      <c r="AD2399">
        <v>-1.109294473904</v>
      </c>
      <c r="AE2399">
        <v>-2.1282000000000401</v>
      </c>
      <c r="AF2399">
        <v>-2.15852122837244</v>
      </c>
      <c r="AG2399">
        <v>-1.109294473904</v>
      </c>
      <c r="AH2399">
        <v>14.373879650599401</v>
      </c>
      <c r="AI2399">
        <v>94.364273261796697</v>
      </c>
      <c r="AJ2399">
        <v>98.540274641534893</v>
      </c>
      <c r="AK2399">
        <v>14.5773167741214</v>
      </c>
      <c r="AL2399">
        <v>93.827889635669095</v>
      </c>
      <c r="AM2399">
        <v>100.24377508384001</v>
      </c>
      <c r="AN2399">
        <v>1.00000002503753</v>
      </c>
    </row>
    <row r="2400" spans="1:40" x14ac:dyDescent="0.25">
      <c r="A2400" t="str">
        <f>"20190305135240522"</f>
        <v>20190305135240522</v>
      </c>
      <c r="B2400" t="str">
        <f>"1551765160512118"</f>
        <v>1551765160512118</v>
      </c>
      <c r="C2400" t="s">
        <v>40</v>
      </c>
      <c r="D2400">
        <v>4.3777879999999998</v>
      </c>
      <c r="E2400">
        <v>0.51335540000000002</v>
      </c>
      <c r="F2400" t="s">
        <v>56</v>
      </c>
      <c r="G2400">
        <v>-460.33269999999999</v>
      </c>
      <c r="H2400" s="1">
        <v>-1.31212E-6</v>
      </c>
      <c r="I2400">
        <v>283.52690000000001</v>
      </c>
      <c r="J2400">
        <v>-445.9067</v>
      </c>
      <c r="K2400">
        <v>1.1092869999999999</v>
      </c>
      <c r="L2400">
        <v>285.62819999999999</v>
      </c>
      <c r="M2400">
        <v>-0.99990020000000002</v>
      </c>
      <c r="N2400">
        <v>-1.3849810000000001E-2</v>
      </c>
      <c r="O2400">
        <v>2.775249E-3</v>
      </c>
      <c r="P2400">
        <v>-0.98131239999999997</v>
      </c>
      <c r="Q2400">
        <v>-8.0860909999999994E-2</v>
      </c>
      <c r="R2400">
        <v>-0.17460680000000001</v>
      </c>
      <c r="S2400">
        <v>-2.9637760000000002</v>
      </c>
      <c r="T2400">
        <v>-0.22260279999999999</v>
      </c>
      <c r="U2400">
        <v>-0.42150880000000002</v>
      </c>
      <c r="V2400">
        <v>-0.17730509999999999</v>
      </c>
      <c r="W2400">
        <v>-6.7334060000000001E-2</v>
      </c>
      <c r="X2400">
        <v>0.98184979999999999</v>
      </c>
      <c r="Y2400">
        <v>-0.14307629999999999</v>
      </c>
      <c r="Z2400">
        <v>-6.505116E-3</v>
      </c>
      <c r="AA2400">
        <v>0.98969030000000002</v>
      </c>
      <c r="AB2400">
        <v>34</v>
      </c>
      <c r="AC2400">
        <v>-14.425999999999901</v>
      </c>
      <c r="AD2400">
        <v>-1.1092883121199999</v>
      </c>
      <c r="AE2400">
        <v>-2.1012999999999802</v>
      </c>
      <c r="AF2400">
        <v>-2.1290045421131198</v>
      </c>
      <c r="AG2400">
        <v>-1.1092883121199999</v>
      </c>
      <c r="AH2400">
        <v>14.337100354346701</v>
      </c>
      <c r="AI2400">
        <v>94.376466993829496</v>
      </c>
      <c r="AJ2400">
        <v>98.446480171912597</v>
      </c>
      <c r="AK2400">
        <v>14.536699332047601</v>
      </c>
      <c r="AL2400">
        <v>93.860878661782905</v>
      </c>
      <c r="AM2400">
        <v>100.23630960208401</v>
      </c>
      <c r="AN2400">
        <v>1.00000000194106</v>
      </c>
    </row>
    <row r="2401" spans="1:40" x14ac:dyDescent="0.25">
      <c r="A2401" t="str">
        <f>"20190305135240544"</f>
        <v>20190305135240544</v>
      </c>
      <c r="B2401" t="str">
        <f>"1551765160541656"</f>
        <v>1551765160541656</v>
      </c>
      <c r="C2401" t="s">
        <v>40</v>
      </c>
      <c r="D2401">
        <v>4.394412</v>
      </c>
      <c r="E2401">
        <v>0.51367829999999903</v>
      </c>
      <c r="F2401" t="s">
        <v>56</v>
      </c>
      <c r="G2401">
        <v>-460.60759999999999</v>
      </c>
      <c r="H2401" s="1">
        <v>-1.166593E-6</v>
      </c>
      <c r="I2401">
        <v>283.54390000000001</v>
      </c>
      <c r="J2401">
        <v>-446.24650000000003</v>
      </c>
      <c r="K2401">
        <v>1.1092839999999999</v>
      </c>
      <c r="L2401">
        <v>285.62889999999999</v>
      </c>
      <c r="M2401">
        <v>-0.99990080000000003</v>
      </c>
      <c r="N2401">
        <v>-1.384782E-2</v>
      </c>
      <c r="O2401">
        <v>2.5959860000000002E-3</v>
      </c>
      <c r="P2401">
        <v>-0.98125870000000004</v>
      </c>
      <c r="Q2401">
        <v>-8.0910270000000006E-2</v>
      </c>
      <c r="R2401">
        <v>-0.1748865</v>
      </c>
      <c r="S2401">
        <v>-2.9639280000000001</v>
      </c>
      <c r="T2401">
        <v>-0.2236496</v>
      </c>
      <c r="U2401">
        <v>-0.42022710000000002</v>
      </c>
      <c r="V2401">
        <v>-0.17740889999999901</v>
      </c>
      <c r="W2401">
        <v>-6.738558E-2</v>
      </c>
      <c r="X2401">
        <v>0.98182749999999996</v>
      </c>
      <c r="Y2401">
        <v>-0.1424704</v>
      </c>
      <c r="Z2401">
        <v>-6.4929419999999998E-3</v>
      </c>
      <c r="AA2401">
        <v>0.98977769999999998</v>
      </c>
      <c r="AB2401">
        <v>34</v>
      </c>
      <c r="AC2401">
        <v>-14.361099999999899</v>
      </c>
      <c r="AD2401">
        <v>-1.1092851665929999</v>
      </c>
      <c r="AE2401">
        <v>-2.0849999999999702</v>
      </c>
      <c r="AF2401">
        <v>-2.1099488739539698</v>
      </c>
      <c r="AG2401">
        <v>-1.1092851665929999</v>
      </c>
      <c r="AH2401">
        <v>14.272242655986799</v>
      </c>
      <c r="AI2401">
        <v>94.396684129909204</v>
      </c>
      <c r="AJ2401">
        <v>98.409458166396803</v>
      </c>
      <c r="AK2401">
        <v>14.469944998613199</v>
      </c>
      <c r="AL2401">
        <v>93.863837317979502</v>
      </c>
      <c r="AM2401">
        <v>100.24240314988801</v>
      </c>
      <c r="AN2401">
        <v>0.99999998697369796</v>
      </c>
    </row>
    <row r="2402" spans="1:40" x14ac:dyDescent="0.25">
      <c r="A2402" t="str">
        <f>"20190305135240568"</f>
        <v>20190305135240568</v>
      </c>
      <c r="B2402" t="str">
        <f>"1551765160562151"</f>
        <v>1551765160562151</v>
      </c>
      <c r="C2402" t="s">
        <v>40</v>
      </c>
      <c r="D2402">
        <v>4.3847559999999897</v>
      </c>
      <c r="E2402">
        <v>0.51384090000000004</v>
      </c>
      <c r="F2402" t="s">
        <v>56</v>
      </c>
      <c r="G2402">
        <v>-460.9699</v>
      </c>
      <c r="H2402" s="1">
        <v>-9.7405830000000006E-7</v>
      </c>
      <c r="I2402">
        <v>283.54989999999998</v>
      </c>
      <c r="J2402">
        <v>-446.59699999999998</v>
      </c>
      <c r="K2402">
        <v>1.109281</v>
      </c>
      <c r="L2402">
        <v>285.62970000000001</v>
      </c>
      <c r="M2402">
        <v>-0.99990120000000005</v>
      </c>
      <c r="N2402">
        <v>-1.384576E-2</v>
      </c>
      <c r="O2402">
        <v>2.4109420000000001E-3</v>
      </c>
      <c r="P2402">
        <v>-0.98112750000000004</v>
      </c>
      <c r="Q2402">
        <v>-8.1444230000000006E-2</v>
      </c>
      <c r="R2402">
        <v>-0.17537230000000001</v>
      </c>
      <c r="S2402">
        <v>-2.9642940000000002</v>
      </c>
      <c r="T2402">
        <v>-0.2233356</v>
      </c>
      <c r="U2402">
        <v>-0.41857909999999998</v>
      </c>
      <c r="V2402">
        <v>-0.17771239999999999</v>
      </c>
      <c r="W2402">
        <v>-6.7922910000000003E-2</v>
      </c>
      <c r="X2402">
        <v>0.98173560000000004</v>
      </c>
      <c r="Y2402">
        <v>-0.1417349</v>
      </c>
      <c r="Z2402">
        <v>-6.4405740000000001E-3</v>
      </c>
      <c r="AA2402">
        <v>0.98988370000000003</v>
      </c>
      <c r="AB2402">
        <v>34</v>
      </c>
      <c r="AC2402">
        <v>-14.3729</v>
      </c>
      <c r="AD2402">
        <v>-1.1092819740583</v>
      </c>
      <c r="AE2402">
        <v>-2.0798000000000298</v>
      </c>
      <c r="AF2402">
        <v>-2.1021845445159402</v>
      </c>
      <c r="AG2402">
        <v>-1.1092819740583</v>
      </c>
      <c r="AH2402">
        <v>14.2845021271596</v>
      </c>
      <c r="AI2402">
        <v>94.393336435787404</v>
      </c>
      <c r="AJ2402">
        <v>98.371863446446795</v>
      </c>
      <c r="AK2402">
        <v>14.4809076848794</v>
      </c>
      <c r="AL2402">
        <v>93.894694695001903</v>
      </c>
      <c r="AM2402">
        <v>100.260493358297</v>
      </c>
      <c r="AN2402">
        <v>1.00000000356199</v>
      </c>
    </row>
    <row r="2403" spans="1:40" x14ac:dyDescent="0.25">
      <c r="A2403" t="str">
        <f>"20190305135240590"</f>
        <v>20190305135240590</v>
      </c>
      <c r="B2403" t="str">
        <f>"1551765160581671"</f>
        <v>1551765160581671</v>
      </c>
      <c r="C2403" t="s">
        <v>40</v>
      </c>
      <c r="D2403">
        <v>4.4308480000000001</v>
      </c>
      <c r="E2403">
        <v>0.51401920000000001</v>
      </c>
      <c r="F2403" t="s">
        <v>56</v>
      </c>
      <c r="G2403">
        <v>-461.24590000000001</v>
      </c>
      <c r="H2403" s="1">
        <v>-8.2758409999999899E-7</v>
      </c>
      <c r="I2403">
        <v>283.56</v>
      </c>
      <c r="J2403">
        <v>-446.9366</v>
      </c>
      <c r="K2403">
        <v>1.1092789999999999</v>
      </c>
      <c r="L2403">
        <v>285.63029999999998</v>
      </c>
      <c r="M2403">
        <v>-0.99990179999999995</v>
      </c>
      <c r="N2403">
        <v>-1.384373E-2</v>
      </c>
      <c r="O2403">
        <v>2.2316789999999999E-3</v>
      </c>
      <c r="P2403">
        <v>-0.98097440000000002</v>
      </c>
      <c r="Q2403">
        <v>-8.1964969999999998E-2</v>
      </c>
      <c r="R2403">
        <v>-0.17598720000000001</v>
      </c>
      <c r="S2403">
        <v>-2.964172</v>
      </c>
      <c r="T2403">
        <v>-0.2244593</v>
      </c>
      <c r="U2403">
        <v>-0.41879270000000002</v>
      </c>
      <c r="V2403">
        <v>-0.17815110000000001</v>
      </c>
      <c r="W2403">
        <v>-6.8447309999999997E-2</v>
      </c>
      <c r="X2403">
        <v>0.98161969999999998</v>
      </c>
      <c r="Y2403">
        <v>-0.14162930000000001</v>
      </c>
      <c r="Z2403">
        <v>-6.4524450000000002E-3</v>
      </c>
      <c r="AA2403">
        <v>0.98989870000000002</v>
      </c>
      <c r="AB2403">
        <v>34</v>
      </c>
      <c r="AC2403">
        <v>-14.3093</v>
      </c>
      <c r="AD2403">
        <v>-1.1092798275841</v>
      </c>
      <c r="AE2403">
        <v>-2.0702999999999698</v>
      </c>
      <c r="AF2403">
        <v>-2.0899295464431602</v>
      </c>
      <c r="AG2403">
        <v>-1.1092798275841</v>
      </c>
      <c r="AH2403">
        <v>14.2209338617496</v>
      </c>
      <c r="AI2403">
        <v>94.413017986029701</v>
      </c>
      <c r="AJ2403">
        <v>98.360426972018303</v>
      </c>
      <c r="AK2403">
        <v>14.4164235212912</v>
      </c>
      <c r="AL2403">
        <v>93.924810540059994</v>
      </c>
      <c r="AM2403">
        <v>100.28647081875999</v>
      </c>
      <c r="AN2403">
        <v>1.0000000420527599</v>
      </c>
    </row>
    <row r="2404" spans="1:40" x14ac:dyDescent="0.25">
      <c r="A2404" t="str">
        <f>"20190305135240611"</f>
        <v>20190305135240611</v>
      </c>
      <c r="B2404" t="str">
        <f>"1551765160602168"</f>
        <v>1551765160602168</v>
      </c>
      <c r="C2404" t="s">
        <v>40</v>
      </c>
      <c r="D2404">
        <v>4.4333359999999997</v>
      </c>
      <c r="E2404">
        <v>0.51411770000000001</v>
      </c>
      <c r="F2404" t="s">
        <v>56</v>
      </c>
      <c r="G2404">
        <v>-461.50290000000001</v>
      </c>
      <c r="H2404" s="1">
        <v>-6.9131240000000004E-7</v>
      </c>
      <c r="I2404">
        <v>283.57029999999997</v>
      </c>
      <c r="J2404">
        <v>-447.27269999999999</v>
      </c>
      <c r="K2404">
        <v>1.1092799999999901</v>
      </c>
      <c r="L2404">
        <v>285.63080000000002</v>
      </c>
      <c r="M2404">
        <v>-0.99990210000000002</v>
      </c>
      <c r="N2404">
        <v>-1.384174E-2</v>
      </c>
      <c r="O2404">
        <v>2.0540240000000002E-3</v>
      </c>
      <c r="P2404">
        <v>-0.98083200000000004</v>
      </c>
      <c r="Q2404">
        <v>-8.21413E-2</v>
      </c>
      <c r="R2404">
        <v>-0.17669670000000001</v>
      </c>
      <c r="S2404">
        <v>-2.9640810000000002</v>
      </c>
      <c r="T2404">
        <v>-0.2257267</v>
      </c>
      <c r="U2404">
        <v>-0.41918949999999999</v>
      </c>
      <c r="V2404">
        <v>-0.17868580000000001</v>
      </c>
      <c r="W2404">
        <v>-6.8627250000000001E-2</v>
      </c>
      <c r="X2404">
        <v>0.98150990000000005</v>
      </c>
      <c r="Y2404">
        <v>-0.14158309999999999</v>
      </c>
      <c r="Z2404">
        <v>-6.4703269999999997E-3</v>
      </c>
      <c r="AA2404">
        <v>0.98990520000000004</v>
      </c>
      <c r="AB2404">
        <v>34</v>
      </c>
      <c r="AC2404">
        <v>-14.2302</v>
      </c>
      <c r="AD2404">
        <v>-1.10928069131239</v>
      </c>
      <c r="AE2404">
        <v>-2.0605000000000402</v>
      </c>
      <c r="AF2404">
        <v>-2.0773635403994501</v>
      </c>
      <c r="AG2404">
        <v>-1.10928069131239</v>
      </c>
      <c r="AH2404">
        <v>14.141768058805001</v>
      </c>
      <c r="AI2404">
        <v>94.437669036881303</v>
      </c>
      <c r="AJ2404">
        <v>98.356732002033297</v>
      </c>
      <c r="AK2404">
        <v>14.336510968856301</v>
      </c>
      <c r="AL2404">
        <v>93.935144811238899</v>
      </c>
      <c r="AM2404">
        <v>100.317811754568</v>
      </c>
      <c r="AN2404">
        <v>0.99999999918110605</v>
      </c>
    </row>
    <row r="2405" spans="1:40" x14ac:dyDescent="0.25">
      <c r="A2405" t="str">
        <f>"20190305135240635"</f>
        <v>20190305135240635</v>
      </c>
      <c r="B2405" t="str">
        <f>"1551765160632423"</f>
        <v>1551765160632423</v>
      </c>
      <c r="C2405" t="s">
        <v>40</v>
      </c>
      <c r="D2405">
        <v>4.4191440000000002</v>
      </c>
      <c r="E2405">
        <v>0.51428960000000001</v>
      </c>
      <c r="F2405" t="s">
        <v>56</v>
      </c>
      <c r="G2405">
        <v>-461.82190000000003</v>
      </c>
      <c r="H2405" s="1">
        <v>-5.2134140000000003E-7</v>
      </c>
      <c r="I2405">
        <v>283.56529999999998</v>
      </c>
      <c r="J2405">
        <v>-447.61939999999998</v>
      </c>
      <c r="K2405">
        <v>1.109281</v>
      </c>
      <c r="L2405">
        <v>285.63139999999999</v>
      </c>
      <c r="M2405">
        <v>-0.99990250000000003</v>
      </c>
      <c r="N2405">
        <v>-1.383971E-2</v>
      </c>
      <c r="O2405">
        <v>1.8710070000000001E-3</v>
      </c>
      <c r="P2405">
        <v>-0.98075089999999998</v>
      </c>
      <c r="Q2405">
        <v>-8.206753E-2</v>
      </c>
      <c r="R2405">
        <v>-0.17718010000000001</v>
      </c>
      <c r="S2405">
        <v>-2.9638979999999999</v>
      </c>
      <c r="T2405">
        <v>-0.22597829999999999</v>
      </c>
      <c r="U2405">
        <v>-0.42077639999999999</v>
      </c>
      <c r="V2405">
        <v>-0.17898989999999901</v>
      </c>
      <c r="W2405">
        <v>-6.8556119999999998E-2</v>
      </c>
      <c r="X2405">
        <v>0.98145939999999998</v>
      </c>
      <c r="Y2405">
        <v>-0.1419281</v>
      </c>
      <c r="Z2405">
        <v>-6.4806100000000004E-3</v>
      </c>
      <c r="AA2405">
        <v>0.98985579999999995</v>
      </c>
      <c r="AB2405">
        <v>34</v>
      </c>
      <c r="AC2405">
        <v>-14.202500000000001</v>
      </c>
      <c r="AD2405">
        <v>-1.10928152134139</v>
      </c>
      <c r="AE2405">
        <v>-2.0661</v>
      </c>
      <c r="AF2405">
        <v>-2.0802447012108698</v>
      </c>
      <c r="AG2405">
        <v>-1.10928152134139</v>
      </c>
      <c r="AH2405">
        <v>14.1142915126961</v>
      </c>
      <c r="AI2405">
        <v>94.445964063537801</v>
      </c>
      <c r="AJ2405">
        <v>98.384217313103704</v>
      </c>
      <c r="AK2405">
        <v>14.309826987628901</v>
      </c>
      <c r="AL2405">
        <v>93.931059974872895</v>
      </c>
      <c r="AM2405">
        <v>100.33551353730201</v>
      </c>
      <c r="AN2405">
        <v>0.99999993986990998</v>
      </c>
    </row>
    <row r="2406" spans="1:40" x14ac:dyDescent="0.25">
      <c r="A2406" t="str">
        <f>"20190305135240659"</f>
        <v>20190305135240659</v>
      </c>
      <c r="B2406" t="str">
        <f>"1551765160651944"</f>
        <v>1551765160651944</v>
      </c>
      <c r="C2406" t="s">
        <v>40</v>
      </c>
      <c r="D2406">
        <v>4.468718</v>
      </c>
      <c r="E2406">
        <v>0.51427529999999999</v>
      </c>
      <c r="F2406" t="s">
        <v>56</v>
      </c>
      <c r="G2406">
        <v>-462.19839999999999</v>
      </c>
      <c r="H2406" s="1">
        <v>-3.2085249999999998E-7</v>
      </c>
      <c r="I2406">
        <v>283.56220000000002</v>
      </c>
      <c r="J2406">
        <v>-447.98450000000003</v>
      </c>
      <c r="K2406">
        <v>1.109283</v>
      </c>
      <c r="L2406">
        <v>285.6318</v>
      </c>
      <c r="M2406">
        <v>-0.99990279999999998</v>
      </c>
      <c r="N2406">
        <v>-1.383759E-2</v>
      </c>
      <c r="O2406">
        <v>1.6781560000000001E-3</v>
      </c>
      <c r="P2406">
        <v>-0.98045749999999998</v>
      </c>
      <c r="Q2406">
        <v>-8.2916299999999998E-2</v>
      </c>
      <c r="R2406">
        <v>-0.17840490000000001</v>
      </c>
      <c r="S2406">
        <v>-2.9639890000000002</v>
      </c>
      <c r="T2406">
        <v>-0.22552420000000001</v>
      </c>
      <c r="U2406">
        <v>-0.42068480000000003</v>
      </c>
      <c r="V2406">
        <v>-0.1800252</v>
      </c>
      <c r="W2406">
        <v>-6.9410730000000004E-2</v>
      </c>
      <c r="X2406">
        <v>0.98121000000000003</v>
      </c>
      <c r="Y2406">
        <v>-0.1417059</v>
      </c>
      <c r="Z2406">
        <v>-6.4473669999999999E-3</v>
      </c>
      <c r="AA2406">
        <v>0.98988779999999998</v>
      </c>
      <c r="AB2406">
        <v>34</v>
      </c>
      <c r="AC2406">
        <v>-14.213899999999899</v>
      </c>
      <c r="AD2406">
        <v>-1.1092833208524999</v>
      </c>
      <c r="AE2406">
        <v>-2.0695999999999799</v>
      </c>
      <c r="AF2406">
        <v>-2.0810409040273399</v>
      </c>
      <c r="AG2406">
        <v>-1.1092833208524999</v>
      </c>
      <c r="AH2406">
        <v>14.1261562408512</v>
      </c>
      <c r="AI2406">
        <v>94.442295000981602</v>
      </c>
      <c r="AJ2406">
        <v>98.380436113716002</v>
      </c>
      <c r="AK2406">
        <v>14.3216455364282</v>
      </c>
      <c r="AL2406">
        <v>93.980142237297201</v>
      </c>
      <c r="AM2406">
        <v>100.39658037522899</v>
      </c>
      <c r="AN2406">
        <v>0.99999999308708598</v>
      </c>
    </row>
    <row r="2407" spans="1:40" x14ac:dyDescent="0.25">
      <c r="A2407" t="str">
        <f>"20190305135240679"</f>
        <v>20190305135240679</v>
      </c>
      <c r="B2407" t="str">
        <f>"1551765160672442"</f>
        <v>1551765160672442</v>
      </c>
      <c r="C2407" t="s">
        <v>40</v>
      </c>
      <c r="D2407">
        <v>4.4781519999999997</v>
      </c>
      <c r="E2407">
        <v>0.49431740000000002</v>
      </c>
      <c r="F2407" t="s">
        <v>56</v>
      </c>
      <c r="G2407">
        <v>-462.39920000000001</v>
      </c>
      <c r="H2407" s="1">
        <v>-2.1413319999999999E-7</v>
      </c>
      <c r="I2407">
        <v>283.56610000000001</v>
      </c>
      <c r="J2407">
        <v>-448.29129999999998</v>
      </c>
      <c r="K2407">
        <v>1.1092799999999901</v>
      </c>
      <c r="L2407">
        <v>285.63220000000001</v>
      </c>
      <c r="M2407">
        <v>-0.99990330000000005</v>
      </c>
      <c r="N2407">
        <v>-1.3835780000000001E-2</v>
      </c>
      <c r="O2407">
        <v>1.5158179999999999E-3</v>
      </c>
      <c r="P2407">
        <v>-0.97994159999999997</v>
      </c>
      <c r="Q2407">
        <v>-8.4189139999999996E-2</v>
      </c>
      <c r="R2407">
        <v>-0.18062990000000001</v>
      </c>
      <c r="S2407">
        <v>-2.9632260000000001</v>
      </c>
      <c r="T2407">
        <v>-0.2280346</v>
      </c>
      <c r="U2407">
        <v>-0.42465209999999998</v>
      </c>
      <c r="V2407">
        <v>-0.18208940000000001</v>
      </c>
      <c r="W2407">
        <v>-7.0692640000000001E-2</v>
      </c>
      <c r="X2407">
        <v>0.98073739999999998</v>
      </c>
      <c r="Y2407">
        <v>-0.14286579999999999</v>
      </c>
      <c r="Z2407">
        <v>-6.5513619999999998E-3</v>
      </c>
      <c r="AA2407">
        <v>0.98972039999999994</v>
      </c>
      <c r="AB2407">
        <v>34</v>
      </c>
      <c r="AC2407">
        <v>-14.107900000000001</v>
      </c>
      <c r="AD2407">
        <v>-1.1092802141332001</v>
      </c>
      <c r="AE2407">
        <v>-2.0661</v>
      </c>
      <c r="AF2407">
        <v>-2.0749259887423999</v>
      </c>
      <c r="AG2407">
        <v>-1.1092802141332001</v>
      </c>
      <c r="AH2407">
        <v>14.019894893424</v>
      </c>
      <c r="AI2407">
        <v>94.4753775426652</v>
      </c>
      <c r="AJ2407">
        <v>98.418589071521495</v>
      </c>
      <c r="AK2407">
        <v>14.21595136721</v>
      </c>
      <c r="AL2407">
        <v>94.053771438330401</v>
      </c>
      <c r="AM2407">
        <v>100.51809922392</v>
      </c>
      <c r="AN2407">
        <v>0.99999992335064103</v>
      </c>
    </row>
    <row r="2408" spans="1:40" x14ac:dyDescent="0.25">
      <c r="A2408" t="str">
        <f>"20190305135240701"</f>
        <v>20190305135240701</v>
      </c>
      <c r="B2408" t="str">
        <f>"1551765160691959"</f>
        <v>1551765160691959</v>
      </c>
      <c r="C2408" t="s">
        <v>40</v>
      </c>
      <c r="D2408">
        <v>4.4815009999999997</v>
      </c>
      <c r="E2408">
        <v>0.49008469999999998</v>
      </c>
      <c r="F2408" t="s">
        <v>56</v>
      </c>
      <c r="G2408">
        <v>-461.93329999999997</v>
      </c>
      <c r="H2408" s="1">
        <v>-4.3288429999999998E-7</v>
      </c>
      <c r="I2408">
        <v>282.89839999999998</v>
      </c>
      <c r="J2408">
        <v>-448.62</v>
      </c>
      <c r="K2408">
        <v>1.109278</v>
      </c>
      <c r="L2408">
        <v>285.63249999999999</v>
      </c>
      <c r="M2408">
        <v>-0.9999036</v>
      </c>
      <c r="N2408">
        <v>-1.38339E-2</v>
      </c>
      <c r="O2408">
        <v>1.3419759999999999E-3</v>
      </c>
      <c r="P2408">
        <v>-0.97954799999999997</v>
      </c>
      <c r="Q2408">
        <v>-8.4464979999999995E-2</v>
      </c>
      <c r="R2408">
        <v>-0.1826246</v>
      </c>
      <c r="S2408">
        <v>-2.9325869999999998</v>
      </c>
      <c r="T2408">
        <v>-0.23845930000000001</v>
      </c>
      <c r="U2408">
        <v>-0.587677</v>
      </c>
      <c r="V2408">
        <v>-0.18391389999999999</v>
      </c>
      <c r="W2408">
        <v>-7.0975940000000001E-2</v>
      </c>
      <c r="X2408">
        <v>0.98037649999999998</v>
      </c>
      <c r="Y2408">
        <v>-0.1970663</v>
      </c>
      <c r="Z2408">
        <v>-9.3891809999999999E-3</v>
      </c>
      <c r="AA2408">
        <v>0.98034520000000003</v>
      </c>
      <c r="AB2408">
        <v>34</v>
      </c>
      <c r="AC2408">
        <v>-13.3132999999999</v>
      </c>
      <c r="AD2408">
        <v>-1.1092784328842999</v>
      </c>
      <c r="AE2408">
        <v>-2.73410000000001</v>
      </c>
      <c r="AF2408">
        <v>-2.7337545956760501</v>
      </c>
      <c r="AG2408">
        <v>-1.1092784328842999</v>
      </c>
      <c r="AH2408">
        <v>13.2215438714386</v>
      </c>
      <c r="AI2408">
        <v>94.696952444159095</v>
      </c>
      <c r="AJ2408">
        <v>101.682149661605</v>
      </c>
      <c r="AK2408">
        <v>13.5467020036397</v>
      </c>
      <c r="AL2408">
        <v>94.070043920702005</v>
      </c>
      <c r="AM2408">
        <v>100.62492304947899</v>
      </c>
      <c r="AN2408">
        <v>0.99999999421217101</v>
      </c>
    </row>
    <row r="2409" spans="1:40" x14ac:dyDescent="0.25">
      <c r="A2409" t="str">
        <f>"20190305135240723"</f>
        <v>20190305135240723</v>
      </c>
      <c r="B2409" t="str">
        <f>"1551765160712471"</f>
        <v>1551765160712471</v>
      </c>
      <c r="C2409" t="s">
        <v>40</v>
      </c>
      <c r="D2409">
        <v>4.4806439999999998</v>
      </c>
      <c r="E2409">
        <v>0.4897649</v>
      </c>
      <c r="F2409" t="s">
        <v>56</v>
      </c>
      <c r="G2409">
        <v>-462.05259999999998</v>
      </c>
      <c r="H2409" s="1">
        <v>-3.6311090000000001E-7</v>
      </c>
      <c r="I2409">
        <v>282.75420000000003</v>
      </c>
      <c r="J2409">
        <v>-448.95760000000001</v>
      </c>
      <c r="K2409">
        <v>1.1092799999999901</v>
      </c>
      <c r="L2409">
        <v>285.63279999999997</v>
      </c>
      <c r="M2409">
        <v>-0.99990369999999995</v>
      </c>
      <c r="N2409">
        <v>-1.3831690000000001E-2</v>
      </c>
      <c r="O2409">
        <v>1.1640800000000001E-3</v>
      </c>
      <c r="P2409">
        <v>-0.97943910000000001</v>
      </c>
      <c r="Q2409">
        <v>-8.3683649999999998E-2</v>
      </c>
      <c r="R2409">
        <v>-0.18356520000000001</v>
      </c>
      <c r="S2409">
        <v>-2.9249269999999998</v>
      </c>
      <c r="T2409">
        <v>-0.24154439999999999</v>
      </c>
      <c r="U2409">
        <v>-0.6267395</v>
      </c>
      <c r="V2409">
        <v>-0.18468000000000001</v>
      </c>
      <c r="W2409">
        <v>-7.0198209999999997E-2</v>
      </c>
      <c r="X2409">
        <v>0.98028850000000001</v>
      </c>
      <c r="Y2409">
        <v>-0.20985290000000001</v>
      </c>
      <c r="Z2409">
        <v>-1.010309E-2</v>
      </c>
      <c r="AA2409">
        <v>0.97768069999999896</v>
      </c>
      <c r="AB2409">
        <v>34</v>
      </c>
      <c r="AC2409">
        <v>-13.094999999999899</v>
      </c>
      <c r="AD2409">
        <v>-1.1092803631108901</v>
      </c>
      <c r="AE2409">
        <v>-2.8785999999999401</v>
      </c>
      <c r="AF2409">
        <v>-2.87416930163003</v>
      </c>
      <c r="AG2409">
        <v>-1.1092803631108901</v>
      </c>
      <c r="AH2409">
        <v>13.0026361880194</v>
      </c>
      <c r="AI2409">
        <v>94.761809989905899</v>
      </c>
      <c r="AJ2409">
        <v>102.464522615767</v>
      </c>
      <c r="AK2409">
        <v>13.362630726634899</v>
      </c>
      <c r="AL2409">
        <v>94.025371751101304</v>
      </c>
      <c r="AM2409">
        <v>100.669103426459</v>
      </c>
      <c r="AN2409">
        <v>1.0000000171597201</v>
      </c>
    </row>
    <row r="2410" spans="1:40" x14ac:dyDescent="0.25">
      <c r="A2410" t="str">
        <f>"20190305135240746"</f>
        <v>20190305135240746</v>
      </c>
      <c r="B2410" t="str">
        <f>"1551765160741739"</f>
        <v>1551765160741739</v>
      </c>
      <c r="C2410" t="s">
        <v>40</v>
      </c>
      <c r="D2410">
        <v>4.4697779999999998</v>
      </c>
      <c r="E2410">
        <v>0.48989270000000001</v>
      </c>
      <c r="F2410" t="s">
        <v>56</v>
      </c>
      <c r="G2410">
        <v>-462.39330000000001</v>
      </c>
      <c r="H2410" s="1">
        <v>-1.806543E-7</v>
      </c>
      <c r="I2410">
        <v>282.72840000000002</v>
      </c>
      <c r="J2410">
        <v>-449.30020000000002</v>
      </c>
      <c r="K2410">
        <v>1.1092799999999901</v>
      </c>
      <c r="L2410">
        <v>285.63290000000001</v>
      </c>
      <c r="M2410">
        <v>-0.99990389999999996</v>
      </c>
      <c r="N2410">
        <v>-1.382975E-2</v>
      </c>
      <c r="O2410">
        <v>9.8267470000000003E-4</v>
      </c>
      <c r="P2410">
        <v>-0.97931809999999997</v>
      </c>
      <c r="Q2410">
        <v>-8.3105449999999997E-2</v>
      </c>
      <c r="R2410">
        <v>-0.1844711</v>
      </c>
      <c r="S2410">
        <v>-2.923889</v>
      </c>
      <c r="T2410">
        <v>-0.24140229999999999</v>
      </c>
      <c r="U2410">
        <v>-0.63204959999999999</v>
      </c>
      <c r="V2410">
        <v>-0.18540870000000001</v>
      </c>
      <c r="W2410">
        <v>-6.962322E-2</v>
      </c>
      <c r="X2410">
        <v>0.9801919</v>
      </c>
      <c r="Y2410">
        <v>-0.2114383</v>
      </c>
      <c r="Z2410">
        <v>-1.0162859999999999E-2</v>
      </c>
      <c r="AA2410">
        <v>0.9773385</v>
      </c>
      <c r="AB2410">
        <v>34</v>
      </c>
      <c r="AC2410">
        <v>-13.0930999999999</v>
      </c>
      <c r="AD2410">
        <v>-1.10928018065429</v>
      </c>
      <c r="AE2410">
        <v>-2.9044999999999801</v>
      </c>
      <c r="AF2410">
        <v>-2.8975432929999898</v>
      </c>
      <c r="AG2410">
        <v>-1.10928018065429</v>
      </c>
      <c r="AH2410">
        <v>13.0012942344939</v>
      </c>
      <c r="AI2410">
        <v>94.760473142683693</v>
      </c>
      <c r="AJ2410">
        <v>102.563939647065</v>
      </c>
      <c r="AK2410">
        <v>13.366372410863301</v>
      </c>
      <c r="AL2410">
        <v>93.992346635702603</v>
      </c>
      <c r="AM2410">
        <v>100.711260088214</v>
      </c>
      <c r="AN2410">
        <v>0.99999996981223305</v>
      </c>
    </row>
    <row r="2411" spans="1:40" x14ac:dyDescent="0.25">
      <c r="A2411" t="str">
        <f>"20190305135240761"</f>
        <v>20190305135240761</v>
      </c>
      <c r="B2411" t="str">
        <f>"1551765160752471"</f>
        <v>1551765160752471</v>
      </c>
      <c r="C2411" t="s">
        <v>40</v>
      </c>
      <c r="D2411">
        <v>4.6632569999999998</v>
      </c>
      <c r="E2411">
        <v>0.49064770000000002</v>
      </c>
      <c r="F2411" t="s">
        <v>56</v>
      </c>
      <c r="G2411">
        <v>-462.72160000000002</v>
      </c>
      <c r="H2411" s="1">
        <v>-5.8059729999999997E-9</v>
      </c>
      <c r="I2411">
        <v>282.72500000000002</v>
      </c>
      <c r="J2411">
        <v>-449.53199999999998</v>
      </c>
      <c r="K2411">
        <v>1.1092770000000001</v>
      </c>
      <c r="L2411">
        <v>285.63310000000001</v>
      </c>
      <c r="M2411">
        <v>-0.99990409999999996</v>
      </c>
      <c r="N2411">
        <v>-1.38286E-2</v>
      </c>
      <c r="O2411">
        <v>8.6014550000000005E-4</v>
      </c>
      <c r="P2411">
        <v>-0.97921409999999998</v>
      </c>
      <c r="Q2411">
        <v>-8.3104929999999994E-2</v>
      </c>
      <c r="R2411">
        <v>-0.18502270000000001</v>
      </c>
      <c r="S2411">
        <v>-2.9235530000000001</v>
      </c>
      <c r="T2411">
        <v>-0.24163209999999999</v>
      </c>
      <c r="U2411">
        <v>-0.63342290000000001</v>
      </c>
      <c r="V2411">
        <v>-0.18584000000000001</v>
      </c>
      <c r="W2411">
        <v>-6.9625019999999996E-2</v>
      </c>
      <c r="X2411">
        <v>0.98011009999999998</v>
      </c>
      <c r="Y2411">
        <v>-0.21177779999999999</v>
      </c>
      <c r="Z2411">
        <v>-1.0179519999999999E-2</v>
      </c>
      <c r="AA2411">
        <v>0.97726480000000004</v>
      </c>
      <c r="AB2411">
        <v>34</v>
      </c>
      <c r="AC2411">
        <v>-13.1896</v>
      </c>
      <c r="AD2411">
        <v>-1.10927700580597</v>
      </c>
      <c r="AE2411">
        <v>-2.9080999999999899</v>
      </c>
      <c r="AF2411">
        <v>-2.8998843872091098</v>
      </c>
      <c r="AG2411">
        <v>-1.10927700580597</v>
      </c>
      <c r="AH2411">
        <v>13.0987385452753</v>
      </c>
      <c r="AI2411">
        <v>94.726679561767</v>
      </c>
      <c r="AJ2411">
        <v>102.483171731135</v>
      </c>
      <c r="AK2411">
        <v>13.461678068215299</v>
      </c>
      <c r="AL2411">
        <v>93.992449983983803</v>
      </c>
      <c r="AM2411">
        <v>100.736473463623</v>
      </c>
      <c r="AN2411">
        <v>0.99999997856600498</v>
      </c>
    </row>
    <row r="2412" spans="1:40" x14ac:dyDescent="0.25">
      <c r="A2412" t="str">
        <f>"20190305135240779"</f>
        <v>20190305135240779</v>
      </c>
      <c r="B2412" t="str">
        <f>"1551765160771991"</f>
        <v>1551765160771991</v>
      </c>
      <c r="C2412" t="s">
        <v>40</v>
      </c>
      <c r="D2412">
        <v>4.5127119999999996</v>
      </c>
      <c r="E2412">
        <v>0.4905061</v>
      </c>
      <c r="F2412" t="s">
        <v>56</v>
      </c>
      <c r="G2412">
        <v>-462.75400000000002</v>
      </c>
      <c r="H2412" s="1">
        <v>8.6061790000000003E-9</v>
      </c>
      <c r="I2412">
        <v>282.78949999999998</v>
      </c>
      <c r="J2412">
        <v>-449.8109</v>
      </c>
      <c r="K2412">
        <v>1.10927</v>
      </c>
      <c r="L2412">
        <v>285.63310000000001</v>
      </c>
      <c r="M2412">
        <v>-0.99990429999999997</v>
      </c>
      <c r="N2412">
        <v>-1.382712E-2</v>
      </c>
      <c r="O2412">
        <v>7.1288119999999905E-4</v>
      </c>
      <c r="P2412">
        <v>-0.9788789</v>
      </c>
      <c r="Q2412">
        <v>-8.4443439999999995E-2</v>
      </c>
      <c r="R2412">
        <v>-0.1861872</v>
      </c>
      <c r="S2412">
        <v>-2.924042</v>
      </c>
      <c r="T2412">
        <v>-0.2453159</v>
      </c>
      <c r="U2412">
        <v>-0.62884519999999899</v>
      </c>
      <c r="V2412">
        <v>-0.18685969999999999</v>
      </c>
      <c r="W2412">
        <v>-7.096943E-2</v>
      </c>
      <c r="X2412">
        <v>0.97981980000000002</v>
      </c>
      <c r="Y2412">
        <v>-0.21012169999999999</v>
      </c>
      <c r="Z2412">
        <v>-1.022114E-2</v>
      </c>
      <c r="AA2412">
        <v>0.97762179999999999</v>
      </c>
      <c r="AB2412">
        <v>34</v>
      </c>
      <c r="AC2412">
        <v>-12.943099999999999</v>
      </c>
      <c r="AD2412">
        <v>-1.10926999139382</v>
      </c>
      <c r="AE2412">
        <v>-2.8436000000000301</v>
      </c>
      <c r="AF2412">
        <v>-2.8329766838852302</v>
      </c>
      <c r="AG2412">
        <v>-1.10926999139382</v>
      </c>
      <c r="AH2412">
        <v>12.851023610079</v>
      </c>
      <c r="AI2412">
        <v>94.818283852252605</v>
      </c>
      <c r="AJ2412">
        <v>102.43187520345499</v>
      </c>
      <c r="AK2412">
        <v>13.206250210868101</v>
      </c>
      <c r="AL2412">
        <v>94.069669860868999</v>
      </c>
      <c r="AM2412">
        <v>100.797126751721</v>
      </c>
      <c r="AN2412">
        <v>1.00000002397532</v>
      </c>
    </row>
    <row r="2413" spans="1:40" x14ac:dyDescent="0.25">
      <c r="A2413" t="str">
        <f>"20190305135240803"</f>
        <v>20190305135240803</v>
      </c>
      <c r="B2413" t="str">
        <f>"1551765160792488"</f>
        <v>1551765160792488</v>
      </c>
      <c r="C2413" t="s">
        <v>40</v>
      </c>
      <c r="D2413">
        <v>4.495336</v>
      </c>
      <c r="E2413">
        <v>0.4905484</v>
      </c>
      <c r="F2413" t="s">
        <v>56</v>
      </c>
      <c r="G2413">
        <v>-462.71280000000002</v>
      </c>
      <c r="H2413" s="1">
        <v>-1.541441E-8</v>
      </c>
      <c r="I2413">
        <v>282.83760000000001</v>
      </c>
      <c r="J2413">
        <v>-450.15269999999998</v>
      </c>
      <c r="K2413">
        <v>1.1092679999999999</v>
      </c>
      <c r="L2413">
        <v>285.63319999999999</v>
      </c>
      <c r="M2413">
        <v>-0.99990429999999997</v>
      </c>
      <c r="N2413">
        <v>-1.3825270000000001E-2</v>
      </c>
      <c r="O2413">
        <v>5.3177239999999896E-4</v>
      </c>
      <c r="P2413">
        <v>-0.97861050000000005</v>
      </c>
      <c r="Q2413">
        <v>-8.5095100000000007E-2</v>
      </c>
      <c r="R2413">
        <v>-0.18729789999999999</v>
      </c>
      <c r="S2413">
        <v>-2.9226070000000002</v>
      </c>
      <c r="T2413">
        <v>-0.25127670000000002</v>
      </c>
      <c r="U2413">
        <v>-0.63327029999999995</v>
      </c>
      <c r="V2413">
        <v>-0.18779270000000001</v>
      </c>
      <c r="W2413">
        <v>-7.1626229999999999E-2</v>
      </c>
      <c r="X2413">
        <v>0.97959359999999995</v>
      </c>
      <c r="Y2413">
        <v>-0.2114143</v>
      </c>
      <c r="Z2413">
        <v>-1.048728E-2</v>
      </c>
      <c r="AA2413">
        <v>0.97734030000000005</v>
      </c>
      <c r="AB2413">
        <v>34</v>
      </c>
      <c r="AC2413">
        <v>-12.5601</v>
      </c>
      <c r="AD2413">
        <v>-1.1092680154144099</v>
      </c>
      <c r="AE2413">
        <v>-2.7955999999999701</v>
      </c>
      <c r="AF2413">
        <v>-2.7816073220022699</v>
      </c>
      <c r="AG2413">
        <v>-1.1092680154144099</v>
      </c>
      <c r="AH2413">
        <v>12.465968282095499</v>
      </c>
      <c r="AI2413">
        <v>94.963563759069501</v>
      </c>
      <c r="AJ2413">
        <v>102.578694341394</v>
      </c>
      <c r="AK2413">
        <v>12.8206154311737</v>
      </c>
      <c r="AL2413">
        <v>94.107397767663997</v>
      </c>
      <c r="AM2413">
        <v>100.852206705071</v>
      </c>
      <c r="AN2413">
        <v>1.00000001807913</v>
      </c>
    </row>
    <row r="2414" spans="1:40" x14ac:dyDescent="0.25">
      <c r="A2414" t="str">
        <f>"20190305135240824"</f>
        <v>20190305135240824</v>
      </c>
      <c r="B2414" t="str">
        <f>"1551765160812008"</f>
        <v>1551765160812008</v>
      </c>
      <c r="C2414" t="s">
        <v>40</v>
      </c>
      <c r="D2414">
        <v>4.5050270000000001</v>
      </c>
      <c r="E2414">
        <v>0.49050240000000001</v>
      </c>
      <c r="F2414" t="s">
        <v>56</v>
      </c>
      <c r="G2414">
        <v>-462.98379999999997</v>
      </c>
      <c r="H2414" s="1">
        <v>1.2871269999999999E-7</v>
      </c>
      <c r="I2414">
        <v>282.83929999999998</v>
      </c>
      <c r="J2414">
        <v>-450.47390000000001</v>
      </c>
      <c r="K2414">
        <v>1.1092759999999999</v>
      </c>
      <c r="L2414">
        <v>285.63319999999999</v>
      </c>
      <c r="M2414">
        <v>-0.99990449999999997</v>
      </c>
      <c r="N2414">
        <v>-1.382357E-2</v>
      </c>
      <c r="O2414">
        <v>3.6221750000000003E-4</v>
      </c>
      <c r="P2414">
        <v>-0.9785874</v>
      </c>
      <c r="Q2414">
        <v>-8.4421869999999996E-2</v>
      </c>
      <c r="R2414">
        <v>-0.1877238</v>
      </c>
      <c r="S2414">
        <v>-2.9218440000000001</v>
      </c>
      <c r="T2414">
        <v>-0.25259890000000002</v>
      </c>
      <c r="U2414">
        <v>-0.63623050000000003</v>
      </c>
      <c r="V2414">
        <v>-0.18805259999999999</v>
      </c>
      <c r="W2414">
        <v>-7.0954669999999997E-2</v>
      </c>
      <c r="X2414">
        <v>0.97959260000000004</v>
      </c>
      <c r="Y2414">
        <v>-0.21223529999999999</v>
      </c>
      <c r="Z2414">
        <v>-1.0564499999999999E-2</v>
      </c>
      <c r="AA2414">
        <v>0.97716150000000002</v>
      </c>
      <c r="AB2414">
        <v>34</v>
      </c>
      <c r="AC2414">
        <v>-12.509899999999901</v>
      </c>
      <c r="AD2414">
        <v>-1.1092758712873001</v>
      </c>
      <c r="AE2414">
        <v>-2.7938999999999998</v>
      </c>
      <c r="AF2414">
        <v>-2.7776294770508101</v>
      </c>
      <c r="AG2414">
        <v>-1.1092758712873001</v>
      </c>
      <c r="AH2414">
        <v>12.4159025576782</v>
      </c>
      <c r="AI2414">
        <v>94.982901980215402</v>
      </c>
      <c r="AJ2414">
        <v>102.610312478138</v>
      </c>
      <c r="AK2414">
        <v>12.7710749270436</v>
      </c>
      <c r="AL2414">
        <v>94.068822120193303</v>
      </c>
      <c r="AM2414">
        <v>100.866879335295</v>
      </c>
      <c r="AN2414">
        <v>1.00000000376816</v>
      </c>
    </row>
    <row r="2415" spans="1:40" x14ac:dyDescent="0.25">
      <c r="A2415" t="str">
        <f>"20190305135240840"</f>
        <v>20190305135240840</v>
      </c>
      <c r="B2415" t="str">
        <f>"1551765160832504"</f>
        <v>1551765160832504</v>
      </c>
      <c r="C2415" t="s">
        <v>40</v>
      </c>
      <c r="D2415">
        <v>4.4944790000000001</v>
      </c>
      <c r="E2415">
        <v>0.49044300000000002</v>
      </c>
      <c r="F2415" t="s">
        <v>56</v>
      </c>
      <c r="G2415">
        <v>-463.38290000000001</v>
      </c>
      <c r="H2415" s="1">
        <v>3.4216840000000002E-7</v>
      </c>
      <c r="I2415">
        <v>282.81479999999999</v>
      </c>
      <c r="J2415">
        <v>-450.71080000000001</v>
      </c>
      <c r="K2415">
        <v>1.1092789999999999</v>
      </c>
      <c r="L2415">
        <v>285.63319999999999</v>
      </c>
      <c r="M2415">
        <v>-0.99990449999999997</v>
      </c>
      <c r="N2415">
        <v>-1.3822340000000001E-2</v>
      </c>
      <c r="O2415">
        <v>2.366523E-4</v>
      </c>
      <c r="P2415">
        <v>-0.97855910000000002</v>
      </c>
      <c r="Q2415">
        <v>-8.395822E-2</v>
      </c>
      <c r="R2415">
        <v>-0.18807869999999999</v>
      </c>
      <c r="S2415">
        <v>-2.9216310000000001</v>
      </c>
      <c r="T2415">
        <v>-0.25105759999999999</v>
      </c>
      <c r="U2415">
        <v>-0.63787839999999996</v>
      </c>
      <c r="V2415">
        <v>-0.1882848</v>
      </c>
      <c r="W2415">
        <v>-7.0492250000000006E-2</v>
      </c>
      <c r="X2415">
        <v>0.97958140000000005</v>
      </c>
      <c r="Y2415">
        <v>-0.21266209999999999</v>
      </c>
      <c r="Z2415">
        <v>-1.052146E-2</v>
      </c>
      <c r="AA2415">
        <v>0.97706910000000002</v>
      </c>
      <c r="AB2415">
        <v>34</v>
      </c>
      <c r="AC2415">
        <v>-12.6721</v>
      </c>
      <c r="AD2415">
        <v>-1.1092786578316001</v>
      </c>
      <c r="AE2415">
        <v>-2.8183999999999898</v>
      </c>
      <c r="AF2415">
        <v>-2.8009477987226101</v>
      </c>
      <c r="AG2415">
        <v>-1.1092786578316001</v>
      </c>
      <c r="AH2415">
        <v>12.5795820192316</v>
      </c>
      <c r="AI2415">
        <v>94.919499432323704</v>
      </c>
      <c r="AJ2415">
        <v>102.552612761424</v>
      </c>
      <c r="AK2415">
        <v>12.9352886125693</v>
      </c>
      <c r="AL2415">
        <v>94.042260824671004</v>
      </c>
      <c r="AM2415">
        <v>100.880098710637</v>
      </c>
      <c r="AN2415">
        <v>1.00000002122353</v>
      </c>
    </row>
    <row r="2416" spans="1:40" x14ac:dyDescent="0.25">
      <c r="A2416" t="str">
        <f>"20190305135240857"</f>
        <v>20190305135240857</v>
      </c>
      <c r="B2416" t="str">
        <f>"1551765160852023"</f>
        <v>1551765160852023</v>
      </c>
      <c r="C2416" t="s">
        <v>40</v>
      </c>
      <c r="D2416">
        <v>4.5161519999999999</v>
      </c>
      <c r="E2416">
        <v>0.49043409999999898</v>
      </c>
      <c r="F2416" t="s">
        <v>56</v>
      </c>
      <c r="G2416">
        <v>-463.60730000000001</v>
      </c>
      <c r="H2416" s="1">
        <v>4.6172679999999998E-7</v>
      </c>
      <c r="I2416">
        <v>282.81110000000001</v>
      </c>
      <c r="J2416">
        <v>-450.98820000000001</v>
      </c>
      <c r="K2416">
        <v>1.1092850000000001</v>
      </c>
      <c r="L2416">
        <v>285.63310000000001</v>
      </c>
      <c r="M2416">
        <v>-0.99990460000000003</v>
      </c>
      <c r="N2416">
        <v>-1.3820900000000001E-2</v>
      </c>
      <c r="O2416" s="1">
        <v>9.0044570000000006E-5</v>
      </c>
      <c r="P2416">
        <v>-0.9784659</v>
      </c>
      <c r="Q2416">
        <v>-8.3557199999999998E-2</v>
      </c>
      <c r="R2416">
        <v>-0.18874060000000001</v>
      </c>
      <c r="S2416">
        <v>-2.9213260000000001</v>
      </c>
      <c r="T2416">
        <v>-0.25127490000000002</v>
      </c>
      <c r="U2416">
        <v>-0.63925169999999998</v>
      </c>
      <c r="V2416">
        <v>-0.1888039</v>
      </c>
      <c r="W2416">
        <v>-7.009369E-2</v>
      </c>
      <c r="X2416">
        <v>0.97951010000000005</v>
      </c>
      <c r="Y2416">
        <v>-0.2129761</v>
      </c>
      <c r="Z2416">
        <v>-1.0534740000000001E-2</v>
      </c>
      <c r="AA2416">
        <v>0.9770006</v>
      </c>
      <c r="AB2416">
        <v>34</v>
      </c>
      <c r="AC2416">
        <v>-12.6191</v>
      </c>
      <c r="AD2416">
        <v>-1.1092845382731999</v>
      </c>
      <c r="AE2416">
        <v>-2.8220000000000001</v>
      </c>
      <c r="AF2416">
        <v>-2.8025118909178901</v>
      </c>
      <c r="AG2416">
        <v>-1.1092845382731999</v>
      </c>
      <c r="AH2416">
        <v>12.5266585516333</v>
      </c>
      <c r="AI2416">
        <v>94.939093592201999</v>
      </c>
      <c r="AJ2416">
        <v>102.610768037548</v>
      </c>
      <c r="AK2416">
        <v>12.884167010513201</v>
      </c>
      <c r="AL2416">
        <v>94.019368328580697</v>
      </c>
      <c r="AM2416">
        <v>100.910151327769</v>
      </c>
      <c r="AN2416">
        <v>1.0000000370175099</v>
      </c>
    </row>
    <row r="2417" spans="1:40" x14ac:dyDescent="0.25">
      <c r="A2417" t="str">
        <f>"20190305135240873"</f>
        <v>20190305135240873</v>
      </c>
      <c r="B2417" t="str">
        <f>"1551765160861784"</f>
        <v>1551765160861784</v>
      </c>
      <c r="C2417" t="s">
        <v>40</v>
      </c>
      <c r="D2417">
        <v>4.5121330000000004</v>
      </c>
      <c r="E2417">
        <v>0.49038739999999997</v>
      </c>
      <c r="F2417" t="s">
        <v>56</v>
      </c>
      <c r="G2417">
        <v>-463.91579999999999</v>
      </c>
      <c r="H2417" s="1">
        <v>6.2662509999999995E-7</v>
      </c>
      <c r="I2417">
        <v>282.79480000000001</v>
      </c>
      <c r="J2417">
        <v>-451.2063</v>
      </c>
      <c r="K2417">
        <v>1.1092869999999999</v>
      </c>
      <c r="L2417">
        <v>285.63299999999998</v>
      </c>
      <c r="M2417">
        <v>-0.99990449999999997</v>
      </c>
      <c r="N2417">
        <v>-1.381976E-2</v>
      </c>
      <c r="O2417" s="1">
        <v>-2.5098189999999999E-5</v>
      </c>
      <c r="P2417">
        <v>-0.97838349999999996</v>
      </c>
      <c r="Q2417">
        <v>-8.3650509999999997E-2</v>
      </c>
      <c r="R2417">
        <v>-0.1891254</v>
      </c>
      <c r="S2417">
        <v>-2.9208980000000002</v>
      </c>
      <c r="T2417">
        <v>-0.25063469999999999</v>
      </c>
      <c r="U2417">
        <v>-0.64129639999999999</v>
      </c>
      <c r="V2417">
        <v>-0.1890754</v>
      </c>
      <c r="W2417">
        <v>-7.0189070000000006E-2</v>
      </c>
      <c r="X2417">
        <v>0.97945090000000001</v>
      </c>
      <c r="Y2417">
        <v>-0.21354790000000001</v>
      </c>
      <c r="Z2417">
        <v>-1.0532400000000001E-2</v>
      </c>
      <c r="AA2417">
        <v>0.97687579999999996</v>
      </c>
      <c r="AB2417">
        <v>34</v>
      </c>
      <c r="AC2417">
        <v>-12.709499999999901</v>
      </c>
      <c r="AD2417">
        <v>-1.1092863733748899</v>
      </c>
      <c r="AE2417">
        <v>-2.8381999999999699</v>
      </c>
      <c r="AF2417">
        <v>-2.8174377436634699</v>
      </c>
      <c r="AG2417">
        <v>-1.1092863733748899</v>
      </c>
      <c r="AH2417">
        <v>12.618015314772499</v>
      </c>
      <c r="AI2417">
        <v>94.903970544597499</v>
      </c>
      <c r="AJ2417">
        <v>102.586926419262</v>
      </c>
      <c r="AK2417">
        <v>12.976239138572</v>
      </c>
      <c r="AL2417">
        <v>94.024846684831303</v>
      </c>
      <c r="AM2417">
        <v>100.926107300333</v>
      </c>
      <c r="AN2417">
        <v>1.0000000389717101</v>
      </c>
    </row>
    <row r="2418" spans="1:40" x14ac:dyDescent="0.25">
      <c r="A2418" t="str">
        <f>"20190305135240891"</f>
        <v>20190305135240891</v>
      </c>
      <c r="B2418" t="str">
        <f>"1551765160882283"</f>
        <v>1551765160882283</v>
      </c>
      <c r="C2418" t="s">
        <v>40</v>
      </c>
      <c r="D2418">
        <v>4.5245030000000002</v>
      </c>
      <c r="E2418">
        <v>0.49021310000000001</v>
      </c>
      <c r="F2418" t="s">
        <v>56</v>
      </c>
      <c r="G2418">
        <v>-464.08760000000001</v>
      </c>
      <c r="H2418" s="1">
        <v>7.179553E-7</v>
      </c>
      <c r="I2418">
        <v>282.79750000000001</v>
      </c>
      <c r="J2418">
        <v>-451.48039999999997</v>
      </c>
      <c r="K2418">
        <v>1.1092900000000001</v>
      </c>
      <c r="L2418">
        <v>285.63279999999997</v>
      </c>
      <c r="M2418">
        <v>-0.99990460000000003</v>
      </c>
      <c r="N2418">
        <v>-1.3818250000000001E-2</v>
      </c>
      <c r="O2418">
        <v>-1.7003649999999999E-4</v>
      </c>
      <c r="P2418">
        <v>-0.97816910000000001</v>
      </c>
      <c r="Q2418">
        <v>-8.3646380000000006E-2</v>
      </c>
      <c r="R2418">
        <v>-0.19023399999999999</v>
      </c>
      <c r="S2418">
        <v>-2.9205019999999999</v>
      </c>
      <c r="T2418">
        <v>-0.25150040000000001</v>
      </c>
      <c r="U2418">
        <v>-0.6428528</v>
      </c>
      <c r="V2418">
        <v>-0.19004260000000001</v>
      </c>
      <c r="W2418">
        <v>-7.0189290000000001E-2</v>
      </c>
      <c r="X2418">
        <v>0.97926369999999896</v>
      </c>
      <c r="Y2418">
        <v>-0.2139239</v>
      </c>
      <c r="Z2418">
        <v>-1.0572399999999999E-2</v>
      </c>
      <c r="AA2418">
        <v>0.97679309999999997</v>
      </c>
      <c r="AB2418">
        <v>34</v>
      </c>
      <c r="AC2418">
        <v>-12.607200000000001</v>
      </c>
      <c r="AD2418">
        <v>-1.10928928204469</v>
      </c>
      <c r="AE2418">
        <v>-2.8352999999999602</v>
      </c>
      <c r="AF2418">
        <v>-2.8124305285003501</v>
      </c>
      <c r="AG2418">
        <v>-1.10928928204469</v>
      </c>
      <c r="AH2418">
        <v>12.5154523014467</v>
      </c>
      <c r="AI2418">
        <v>94.942472641998094</v>
      </c>
      <c r="AJ2418">
        <v>102.66493013837901</v>
      </c>
      <c r="AK2418">
        <v>12.875435312978199</v>
      </c>
      <c r="AL2418">
        <v>94.024859235519301</v>
      </c>
      <c r="AM2418">
        <v>100.982691766874</v>
      </c>
      <c r="AN2418">
        <v>1.00000006019157</v>
      </c>
    </row>
    <row r="2419" spans="1:40" x14ac:dyDescent="0.25">
      <c r="A2419" t="str">
        <f>"20190305135240913"</f>
        <v>20190305135240913</v>
      </c>
      <c r="B2419" t="str">
        <f>"1551765160901800"</f>
        <v>1551765160901800</v>
      </c>
      <c r="C2419" t="s">
        <v>40</v>
      </c>
      <c r="D2419">
        <v>4.5080989999999996</v>
      </c>
      <c r="E2419">
        <v>0.49033090000000001</v>
      </c>
      <c r="F2419" t="s">
        <v>56</v>
      </c>
      <c r="G2419">
        <v>-464.34890000000001</v>
      </c>
      <c r="H2419" s="1">
        <v>8.5776649999999999E-7</v>
      </c>
      <c r="I2419">
        <v>282.77929999999998</v>
      </c>
      <c r="J2419">
        <v>-451.81689999999998</v>
      </c>
      <c r="K2419">
        <v>1.109291</v>
      </c>
      <c r="L2419">
        <v>285.63260000000002</v>
      </c>
      <c r="M2419">
        <v>-0.99990449999999997</v>
      </c>
      <c r="N2419">
        <v>-1.381626E-2</v>
      </c>
      <c r="O2419">
        <v>-3.4822469999999997E-4</v>
      </c>
      <c r="P2419">
        <v>-0.97801380000000004</v>
      </c>
      <c r="Q2419">
        <v>-8.3568959999999998E-2</v>
      </c>
      <c r="R2419">
        <v>-0.19106380000000001</v>
      </c>
      <c r="S2419">
        <v>-2.919556</v>
      </c>
      <c r="T2419">
        <v>-0.25167250000000002</v>
      </c>
      <c r="U2419">
        <v>-0.64739990000000003</v>
      </c>
      <c r="V2419">
        <v>-0.19069810000000001</v>
      </c>
      <c r="W2419">
        <v>-7.0115559999999993E-2</v>
      </c>
      <c r="X2419">
        <v>0.9791415</v>
      </c>
      <c r="Y2419">
        <v>-0.21526020000000001</v>
      </c>
      <c r="Z2419">
        <v>-1.0633439999999999E-2</v>
      </c>
      <c r="AA2419">
        <v>0.9764988</v>
      </c>
      <c r="AB2419">
        <v>34</v>
      </c>
      <c r="AC2419">
        <v>-12.532</v>
      </c>
      <c r="AD2419">
        <v>-1.1092901422335</v>
      </c>
      <c r="AE2419">
        <v>-2.8533000000000399</v>
      </c>
      <c r="AF2419">
        <v>-2.8278705337562999</v>
      </c>
      <c r="AG2419">
        <v>-1.1092901422335</v>
      </c>
      <c r="AH2419">
        <v>12.4403244324119</v>
      </c>
      <c r="AI2419">
        <v>94.9694119465791</v>
      </c>
      <c r="AJ2419">
        <v>102.80656118519001</v>
      </c>
      <c r="AK2419">
        <v>12.8058208779839</v>
      </c>
      <c r="AL2419">
        <v>94.020624558179904</v>
      </c>
      <c r="AM2419">
        <v>101.02098941740999</v>
      </c>
      <c r="AN2419">
        <v>1.0000000170599801</v>
      </c>
    </row>
    <row r="2420" spans="1:40" x14ac:dyDescent="0.25">
      <c r="A2420" t="str">
        <f>"20190305135240929"</f>
        <v>20190305135240929</v>
      </c>
      <c r="B2420" t="str">
        <f>"1551765160922296"</f>
        <v>1551765160922296</v>
      </c>
      <c r="C2420" t="s">
        <v>40</v>
      </c>
      <c r="D2420">
        <v>4.5321249999999997</v>
      </c>
      <c r="E2420">
        <v>0.4902203</v>
      </c>
      <c r="F2420" t="s">
        <v>56</v>
      </c>
      <c r="G2420">
        <v>-464.56670000000003</v>
      </c>
      <c r="H2420" s="1">
        <v>9.7283410000000006E-7</v>
      </c>
      <c r="I2420">
        <v>282.79849999999999</v>
      </c>
      <c r="J2420">
        <v>-452.04450000000003</v>
      </c>
      <c r="K2420">
        <v>1.109291</v>
      </c>
      <c r="L2420">
        <v>285.63240000000002</v>
      </c>
      <c r="M2420">
        <v>-0.99990449999999997</v>
      </c>
      <c r="N2420">
        <v>-1.381493E-2</v>
      </c>
      <c r="O2420">
        <v>-4.684906E-4</v>
      </c>
      <c r="P2420">
        <v>-0.97783390000000003</v>
      </c>
      <c r="Q2420">
        <v>-8.3703440000000004E-2</v>
      </c>
      <c r="R2420">
        <v>-0.19192409999999999</v>
      </c>
      <c r="S2420">
        <v>-2.9190369999999999</v>
      </c>
      <c r="T2420">
        <v>-0.25396960000000002</v>
      </c>
      <c r="U2420">
        <v>-0.64886469999999996</v>
      </c>
      <c r="V2420">
        <v>-0.19144050000000001</v>
      </c>
      <c r="W2420">
        <v>-7.0253689999999994E-2</v>
      </c>
      <c r="X2420">
        <v>0.97898669999999999</v>
      </c>
      <c r="Y2420">
        <v>-0.21562990000000001</v>
      </c>
      <c r="Z2420">
        <v>-1.0727250000000001E-2</v>
      </c>
      <c r="AA2420">
        <v>0.97641619999999996</v>
      </c>
      <c r="AB2420">
        <v>34</v>
      </c>
      <c r="AC2420">
        <v>-12.5221999999999</v>
      </c>
      <c r="AD2420">
        <v>-1.1092900271658901</v>
      </c>
      <c r="AE2420">
        <v>-2.8339000000000198</v>
      </c>
      <c r="AF2420">
        <v>-2.8070774223015502</v>
      </c>
      <c r="AG2420">
        <v>-1.1092900271658901</v>
      </c>
      <c r="AH2420">
        <v>12.4307295017675</v>
      </c>
      <c r="AI2420">
        <v>94.974824847452894</v>
      </c>
      <c r="AJ2420">
        <v>102.724963099359</v>
      </c>
      <c r="AK2420">
        <v>12.791921042801899</v>
      </c>
      <c r="AL2420">
        <v>94.028558447957806</v>
      </c>
      <c r="AM2420">
        <v>101.064544484726</v>
      </c>
      <c r="AN2420">
        <v>1.0000000023878699</v>
      </c>
    </row>
    <row r="2421" spans="1:40" x14ac:dyDescent="0.25">
      <c r="A2421" t="str">
        <f>"20190305135240940"</f>
        <v>20190305135240940</v>
      </c>
      <c r="B2421" t="str">
        <f>"1551765160932057"</f>
        <v>1551765160932057</v>
      </c>
      <c r="C2421" t="s">
        <v>40</v>
      </c>
      <c r="D2421">
        <v>4.5188959999999998</v>
      </c>
      <c r="E2421">
        <v>0.49023739999999999</v>
      </c>
      <c r="F2421" t="s">
        <v>56</v>
      </c>
      <c r="G2421">
        <v>-464.70499999999998</v>
      </c>
      <c r="H2421" s="1">
        <v>1.0462349999999999E-6</v>
      </c>
      <c r="I2421">
        <v>282.80250000000001</v>
      </c>
      <c r="J2421">
        <v>-452.2432</v>
      </c>
      <c r="K2421">
        <v>1.109283</v>
      </c>
      <c r="L2421">
        <v>285.63220000000001</v>
      </c>
      <c r="M2421">
        <v>-0.99990449999999997</v>
      </c>
      <c r="N2421">
        <v>-1.3813819999999999E-2</v>
      </c>
      <c r="O2421">
        <v>-5.7361700000000001E-4</v>
      </c>
      <c r="P2421">
        <v>-0.9776958</v>
      </c>
      <c r="Q2421">
        <v>-8.4018889999999999E-2</v>
      </c>
      <c r="R2421">
        <v>-0.19248879999999999</v>
      </c>
      <c r="S2421">
        <v>-2.9181210000000002</v>
      </c>
      <c r="T2421">
        <v>-0.25568089999999999</v>
      </c>
      <c r="U2421">
        <v>-0.65225219999999995</v>
      </c>
      <c r="V2421">
        <v>-0.19190289999999999</v>
      </c>
      <c r="W2421">
        <v>-7.0571919999999996E-2</v>
      </c>
      <c r="X2421">
        <v>0.97887329999999995</v>
      </c>
      <c r="Y2421">
        <v>-0.21665619999999999</v>
      </c>
      <c r="Z2421">
        <v>-1.0834740000000001E-2</v>
      </c>
      <c r="AA2421">
        <v>0.97618780000000005</v>
      </c>
      <c r="AB2421">
        <v>34</v>
      </c>
      <c r="AC2421">
        <v>-12.461799999999901</v>
      </c>
      <c r="AD2421">
        <v>-1.1092819537650001</v>
      </c>
      <c r="AE2421">
        <v>-2.8296999999999999</v>
      </c>
      <c r="AF2421">
        <v>-2.8014414618061898</v>
      </c>
      <c r="AG2421">
        <v>-1.1092819537650001</v>
      </c>
      <c r="AH2421">
        <v>12.3702107180574</v>
      </c>
      <c r="AI2421">
        <v>94.998309377397007</v>
      </c>
      <c r="AJ2421">
        <v>102.760347648948</v>
      </c>
      <c r="AK2421">
        <v>12.731877077871101</v>
      </c>
      <c r="AL2421">
        <v>94.046836947956095</v>
      </c>
      <c r="AM2421">
        <v>101.09186062345699</v>
      </c>
      <c r="AN2421">
        <v>1.0000000281868899</v>
      </c>
    </row>
    <row r="2422" spans="1:40" x14ac:dyDescent="0.25">
      <c r="A2422" t="str">
        <f>"20190305135240954"</f>
        <v>20190305135240954</v>
      </c>
      <c r="B2422" t="str">
        <f>"1551765160951576"</f>
        <v>1551765160951576</v>
      </c>
      <c r="C2422" t="s">
        <v>40</v>
      </c>
      <c r="D2422">
        <v>4.5268420000000003</v>
      </c>
      <c r="E2422">
        <v>0.49017189999999999</v>
      </c>
      <c r="F2422" t="s">
        <v>56</v>
      </c>
      <c r="G2422">
        <v>-464.83240000000001</v>
      </c>
      <c r="H2422" s="1">
        <v>1.1136739999999999E-6</v>
      </c>
      <c r="I2422">
        <v>282.8116</v>
      </c>
      <c r="J2422">
        <v>-452.43650000000002</v>
      </c>
      <c r="K2422">
        <v>1.1092799999999901</v>
      </c>
      <c r="L2422">
        <v>285.63200000000001</v>
      </c>
      <c r="M2422">
        <v>-0.99990440000000003</v>
      </c>
      <c r="N2422">
        <v>-1.381274E-2</v>
      </c>
      <c r="O2422">
        <v>-6.7588289999999905E-4</v>
      </c>
      <c r="P2422">
        <v>-0.97759580000000001</v>
      </c>
      <c r="Q2422">
        <v>-8.419633E-2</v>
      </c>
      <c r="R2422">
        <v>-0.19291900000000001</v>
      </c>
      <c r="S2422">
        <v>-2.9176639999999998</v>
      </c>
      <c r="T2422">
        <v>-0.25708510000000001</v>
      </c>
      <c r="U2422">
        <v>-0.65368649999999995</v>
      </c>
      <c r="V2422">
        <v>-0.19223319999999999</v>
      </c>
      <c r="W2422">
        <v>-7.0751510000000004E-2</v>
      </c>
      <c r="X2422">
        <v>0.97879550000000004</v>
      </c>
      <c r="Y2422">
        <v>-0.21703500000000001</v>
      </c>
      <c r="Z2422">
        <v>-1.089823E-2</v>
      </c>
      <c r="AA2422">
        <v>0.9761029</v>
      </c>
      <c r="AB2422">
        <v>34</v>
      </c>
      <c r="AC2422">
        <v>-12.3958999999999</v>
      </c>
      <c r="AD2422">
        <v>-1.1092788863259999</v>
      </c>
      <c r="AE2422">
        <v>-2.8203999999999998</v>
      </c>
      <c r="AF2422">
        <v>-2.79077181748784</v>
      </c>
      <c r="AG2422">
        <v>-1.1092788863259999</v>
      </c>
      <c r="AH2422">
        <v>12.3041216782511</v>
      </c>
      <c r="AI2422">
        <v>95.024629463649106</v>
      </c>
      <c r="AJ2422">
        <v>102.779381043513</v>
      </c>
      <c r="AK2422">
        <v>12.6653194692492</v>
      </c>
      <c r="AL2422">
        <v>94.057152575967194</v>
      </c>
      <c r="AM2422">
        <v>101.111338282902</v>
      </c>
      <c r="AN2422">
        <v>1.0000000050848801</v>
      </c>
    </row>
    <row r="2423" spans="1:40" x14ac:dyDescent="0.25">
      <c r="A2423" t="str">
        <f>"20190305135240969"</f>
        <v>20190305135240969</v>
      </c>
      <c r="B2423" t="str">
        <f>"1551765160962312"</f>
        <v>1551765160962312</v>
      </c>
      <c r="C2423" t="s">
        <v>40</v>
      </c>
      <c r="D2423">
        <v>4.4795749999999996</v>
      </c>
      <c r="E2423">
        <v>0.49011890000000002</v>
      </c>
      <c r="F2423" t="s">
        <v>56</v>
      </c>
      <c r="G2423">
        <v>-464.95929999999998</v>
      </c>
      <c r="H2423" s="1">
        <v>1.1808810000000001E-6</v>
      </c>
      <c r="I2423">
        <v>282.81889999999999</v>
      </c>
      <c r="J2423">
        <v>-452.65050000000002</v>
      </c>
      <c r="K2423">
        <v>1.1092799999999901</v>
      </c>
      <c r="L2423">
        <v>285.63170000000002</v>
      </c>
      <c r="M2423">
        <v>-0.99990440000000003</v>
      </c>
      <c r="N2423">
        <v>-1.3811560000000001E-2</v>
      </c>
      <c r="O2423">
        <v>-7.8935259999999999E-4</v>
      </c>
      <c r="P2423">
        <v>-0.97740610000000006</v>
      </c>
      <c r="Q2423">
        <v>-8.4623870000000004E-2</v>
      </c>
      <c r="R2423">
        <v>-0.1936918</v>
      </c>
      <c r="S2423">
        <v>-2.9171749999999999</v>
      </c>
      <c r="T2423">
        <v>-0.25840570000000002</v>
      </c>
      <c r="U2423">
        <v>-0.655304</v>
      </c>
      <c r="V2423">
        <v>-0.1928947</v>
      </c>
      <c r="W2423">
        <v>-7.1182620000000002E-2</v>
      </c>
      <c r="X2423">
        <v>0.97863409999999995</v>
      </c>
      <c r="Y2423">
        <v>-0.21746380000000001</v>
      </c>
      <c r="Z2423">
        <v>-1.09605E-2</v>
      </c>
      <c r="AA2423">
        <v>0.97600690000000001</v>
      </c>
      <c r="AB2423">
        <v>34</v>
      </c>
      <c r="AC2423">
        <v>-12.3087999999999</v>
      </c>
      <c r="AD2423">
        <v>-1.10927881911899</v>
      </c>
      <c r="AE2423">
        <v>-2.8128000000000299</v>
      </c>
      <c r="AF2423">
        <v>-2.7816118448468998</v>
      </c>
      <c r="AG2423">
        <v>-1.10927881911899</v>
      </c>
      <c r="AH2423">
        <v>12.2167197266974</v>
      </c>
      <c r="AI2423">
        <v>95.059441319739193</v>
      </c>
      <c r="AJ2423">
        <v>102.82693944360599</v>
      </c>
      <c r="AK2423">
        <v>12.5783983413874</v>
      </c>
      <c r="AL2423">
        <v>94.081915750689603</v>
      </c>
      <c r="AM2423">
        <v>101.150410232948</v>
      </c>
      <c r="AN2423">
        <v>1.0000000161804801</v>
      </c>
    </row>
    <row r="2424" spans="1:40" x14ac:dyDescent="0.25">
      <c r="A2424" t="str">
        <f>"20190305135240980"</f>
        <v>20190305135240980</v>
      </c>
      <c r="B2424" t="str">
        <f>"1551765160972072"</f>
        <v>1551765160972072</v>
      </c>
      <c r="C2424" t="s">
        <v>40</v>
      </c>
      <c r="D2424">
        <v>4.8807140000000002</v>
      </c>
      <c r="E2424">
        <v>0.49011890000000002</v>
      </c>
      <c r="F2424" t="s">
        <v>56</v>
      </c>
      <c r="G2424">
        <v>-465.0772</v>
      </c>
      <c r="H2424" s="1">
        <v>1.243245E-6</v>
      </c>
      <c r="I2424">
        <v>282.8279</v>
      </c>
      <c r="J2424">
        <v>-452.8347</v>
      </c>
      <c r="K2424">
        <v>1.109278</v>
      </c>
      <c r="L2424">
        <v>285.63139999999999</v>
      </c>
      <c r="M2424">
        <v>-0.99990420000000002</v>
      </c>
      <c r="N2424">
        <v>-1.381053E-2</v>
      </c>
      <c r="O2424">
        <v>-8.8685079999999996E-4</v>
      </c>
      <c r="P2424">
        <v>-0.97728009999999998</v>
      </c>
      <c r="Q2424">
        <v>-8.4329230000000005E-2</v>
      </c>
      <c r="R2424">
        <v>-0.1944543</v>
      </c>
      <c r="S2424">
        <v>-2.9164430000000001</v>
      </c>
      <c r="T2424">
        <v>-0.26033770000000001</v>
      </c>
      <c r="U2424">
        <v>-0.65801999999999905</v>
      </c>
      <c r="V2424">
        <v>-0.19356229999999999</v>
      </c>
      <c r="W2424">
        <v>-7.0890640000000005E-2</v>
      </c>
      <c r="X2424">
        <v>0.97852340000000004</v>
      </c>
      <c r="Y2424">
        <v>-0.21826950000000001</v>
      </c>
      <c r="Z2424">
        <v>-1.1065999999999999E-2</v>
      </c>
      <c r="AA2424">
        <v>0.97582579999999997</v>
      </c>
      <c r="AB2424">
        <v>33</v>
      </c>
      <c r="AC2424">
        <v>-12.2425</v>
      </c>
      <c r="AD2424">
        <v>-1.1092767567549999</v>
      </c>
      <c r="AE2424">
        <v>-2.8034999999999801</v>
      </c>
      <c r="AF2424">
        <v>-2.7710242253552</v>
      </c>
      <c r="AG2424">
        <v>-1.1092767567549999</v>
      </c>
      <c r="AH2424">
        <v>12.150199731584401</v>
      </c>
      <c r="AI2424">
        <v>95.086575199731499</v>
      </c>
      <c r="AJ2424">
        <v>102.847373339496</v>
      </c>
      <c r="AK2424">
        <v>12.511451702259601</v>
      </c>
      <c r="AL2424">
        <v>94.065144446719998</v>
      </c>
      <c r="AM2424">
        <v>101.189263162749</v>
      </c>
      <c r="AN2424">
        <v>0.999999945584228</v>
      </c>
    </row>
    <row r="2425" spans="1:40" x14ac:dyDescent="0.25">
      <c r="A2425" t="str">
        <f>"20190305135241003"</f>
        <v>20190305135241003</v>
      </c>
      <c r="B2425" t="str">
        <f>"1551765160991593"</f>
        <v>1551765160991593</v>
      </c>
      <c r="C2425" t="s">
        <v>40</v>
      </c>
      <c r="D2425">
        <v>4.4958619999999998</v>
      </c>
      <c r="E2425">
        <v>0.49057980000000001</v>
      </c>
      <c r="F2425" t="s">
        <v>56</v>
      </c>
      <c r="G2425">
        <v>-465.2996</v>
      </c>
      <c r="H2425" s="1">
        <v>1.3623850000000001E-6</v>
      </c>
      <c r="I2425">
        <v>282.8091</v>
      </c>
      <c r="J2425">
        <v>-453.15809999999999</v>
      </c>
      <c r="K2425">
        <v>1.1092799999999901</v>
      </c>
      <c r="L2425">
        <v>285.63099999999997</v>
      </c>
      <c r="M2425">
        <v>-0.99990409999999996</v>
      </c>
      <c r="N2425">
        <v>-1.380869E-2</v>
      </c>
      <c r="O2425">
        <v>-1.0581270000000001E-3</v>
      </c>
      <c r="P2425">
        <v>-0.9771048</v>
      </c>
      <c r="Q2425">
        <v>-8.4030549999999996E-2</v>
      </c>
      <c r="R2425">
        <v>-0.1954613</v>
      </c>
      <c r="S2425">
        <v>-2.915985</v>
      </c>
      <c r="T2425">
        <v>-0.25950060000000003</v>
      </c>
      <c r="U2425">
        <v>-0.66024780000000005</v>
      </c>
      <c r="V2425">
        <v>-0.19440199999999999</v>
      </c>
      <c r="W2425">
        <v>-7.059588E-2</v>
      </c>
      <c r="X2425">
        <v>0.97837830000000003</v>
      </c>
      <c r="Y2425">
        <v>-0.21884809999999999</v>
      </c>
      <c r="Z2425">
        <v>-1.105279E-2</v>
      </c>
      <c r="AA2425">
        <v>0.97569629999999996</v>
      </c>
      <c r="AB2425">
        <v>33</v>
      </c>
      <c r="AC2425">
        <v>-12.141500000000001</v>
      </c>
      <c r="AD2425">
        <v>-1.1092786376149999</v>
      </c>
      <c r="AE2425">
        <v>-2.8218999999999701</v>
      </c>
      <c r="AF2425">
        <v>-2.7869789330236698</v>
      </c>
      <c r="AG2425">
        <v>-1.1092786376149999</v>
      </c>
      <c r="AH2425">
        <v>12.049058910540101</v>
      </c>
      <c r="AI2425">
        <v>95.125450783139598</v>
      </c>
      <c r="AJ2425">
        <v>103.02362930766699</v>
      </c>
      <c r="AK2425">
        <v>12.4168261362819</v>
      </c>
      <c r="AL2425">
        <v>94.048213273689299</v>
      </c>
      <c r="AM2425">
        <v>101.238195260662</v>
      </c>
      <c r="AN2425">
        <v>1.0000000068939301</v>
      </c>
    </row>
    <row r="2426" spans="1:40" x14ac:dyDescent="0.25">
      <c r="A2426" t="str">
        <f>"20190305135241025"</f>
        <v>20190305135241025</v>
      </c>
      <c r="B2426" t="str">
        <f>"1551765161021849"</f>
        <v>1551765161021849</v>
      </c>
      <c r="C2426" t="s">
        <v>40</v>
      </c>
      <c r="D2426">
        <v>4.4700680000000004</v>
      </c>
      <c r="E2426">
        <v>0.49036930000000001</v>
      </c>
      <c r="F2426" t="s">
        <v>56</v>
      </c>
      <c r="G2426">
        <v>-465.71089999999998</v>
      </c>
      <c r="H2426" s="1">
        <v>1.5820850000000001E-6</v>
      </c>
      <c r="I2426">
        <v>282.79090000000002</v>
      </c>
      <c r="J2426">
        <v>-453.48820000000001</v>
      </c>
      <c r="K2426">
        <v>1.109275</v>
      </c>
      <c r="L2426">
        <v>285.63040000000001</v>
      </c>
      <c r="M2426">
        <v>-0.99990400000000002</v>
      </c>
      <c r="N2426">
        <v>-1.3806779999999999E-2</v>
      </c>
      <c r="O2426">
        <v>-1.233219E-3</v>
      </c>
      <c r="P2426">
        <v>-0.97675489999999998</v>
      </c>
      <c r="Q2426">
        <v>-8.4661860000000005E-2</v>
      </c>
      <c r="R2426">
        <v>-0.19693189999999999</v>
      </c>
      <c r="S2426">
        <v>-2.9161679999999999</v>
      </c>
      <c r="T2426">
        <v>-0.25769890000000001</v>
      </c>
      <c r="U2426">
        <v>-0.65978999999999999</v>
      </c>
      <c r="V2426">
        <v>-0.19570199999999999</v>
      </c>
      <c r="W2426">
        <v>-7.1233669999999999E-2</v>
      </c>
      <c r="X2426">
        <v>0.97807279999999996</v>
      </c>
      <c r="Y2426">
        <v>-0.21853249999999999</v>
      </c>
      <c r="Z2426">
        <v>-1.095753E-2</v>
      </c>
      <c r="AA2426">
        <v>0.97576810000000003</v>
      </c>
      <c r="AB2426">
        <v>33</v>
      </c>
      <c r="AC2426">
        <v>-12.2226999999999</v>
      </c>
      <c r="AD2426">
        <v>-1.1092734179149999</v>
      </c>
      <c r="AE2426">
        <v>-2.8394999999999802</v>
      </c>
      <c r="AF2426">
        <v>-2.80252214296637</v>
      </c>
      <c r="AG2426">
        <v>-1.1092734179149999</v>
      </c>
      <c r="AH2426">
        <v>12.131389051114001</v>
      </c>
      <c r="AI2426">
        <v>95.091146892022607</v>
      </c>
      <c r="AJ2426">
        <v>103.007937654316</v>
      </c>
      <c r="AK2426">
        <v>12.5002087257373</v>
      </c>
      <c r="AL2426">
        <v>94.084848393148405</v>
      </c>
      <c r="AM2426">
        <v>101.314857639116</v>
      </c>
      <c r="AN2426">
        <v>0.99999995532275299</v>
      </c>
    </row>
    <row r="2427" spans="1:40" x14ac:dyDescent="0.25">
      <c r="A2427" t="str">
        <f>"20190305135241040"</f>
        <v>20190305135241040</v>
      </c>
      <c r="B2427" t="str">
        <f>"1551765161031608"</f>
        <v>1551765161031608</v>
      </c>
      <c r="C2427" t="s">
        <v>40</v>
      </c>
      <c r="D2427">
        <v>4.4723319999999998</v>
      </c>
      <c r="E2427">
        <v>0.49034860000000002</v>
      </c>
      <c r="F2427" t="s">
        <v>56</v>
      </c>
      <c r="G2427">
        <v>-465.9151</v>
      </c>
      <c r="H2427" s="1">
        <v>1.6906559999999901E-6</v>
      </c>
      <c r="I2427">
        <v>282.79219999999998</v>
      </c>
      <c r="J2427">
        <v>-453.70949999999999</v>
      </c>
      <c r="K2427">
        <v>1.1092759999999999</v>
      </c>
      <c r="L2427">
        <v>285.63</v>
      </c>
      <c r="M2427">
        <v>-0.99990369999999995</v>
      </c>
      <c r="N2427">
        <v>-1.380547E-2</v>
      </c>
      <c r="O2427">
        <v>-1.350384E-3</v>
      </c>
      <c r="P2427">
        <v>-0.97652369999999999</v>
      </c>
      <c r="Q2427">
        <v>-8.5130559999999994E-2</v>
      </c>
      <c r="R2427">
        <v>-0.19787450000000001</v>
      </c>
      <c r="S2427">
        <v>-2.9146730000000001</v>
      </c>
      <c r="T2427">
        <v>-0.2601752</v>
      </c>
      <c r="U2427">
        <v>-0.66567989999999999</v>
      </c>
      <c r="V2427">
        <v>-0.1965305</v>
      </c>
      <c r="W2427">
        <v>-7.1706649999999997E-2</v>
      </c>
      <c r="X2427">
        <v>0.97787210000000002</v>
      </c>
      <c r="Y2427">
        <v>-0.2203754</v>
      </c>
      <c r="Z2427">
        <v>-1.113576E-2</v>
      </c>
      <c r="AA2427">
        <v>0.97535159999999999</v>
      </c>
      <c r="AB2427">
        <v>33</v>
      </c>
      <c r="AC2427">
        <v>-12.2056</v>
      </c>
      <c r="AD2427">
        <v>-1.1092743093439901</v>
      </c>
      <c r="AE2427">
        <v>-2.8378000000000099</v>
      </c>
      <c r="AF2427">
        <v>-2.7993775962056202</v>
      </c>
      <c r="AG2427">
        <v>-1.1092743093439901</v>
      </c>
      <c r="AH2427">
        <v>12.1144918770687</v>
      </c>
      <c r="AI2427">
        <v>95.098144968017294</v>
      </c>
      <c r="AJ2427">
        <v>103.011345174276</v>
      </c>
      <c r="AK2427">
        <v>12.4831052971234</v>
      </c>
      <c r="AL2427">
        <v>94.112017601616699</v>
      </c>
      <c r="AM2427">
        <v>101.363786688301</v>
      </c>
      <c r="AN2427">
        <v>0.99999996252143997</v>
      </c>
    </row>
    <row r="2428" spans="1:40" x14ac:dyDescent="0.25">
      <c r="A2428" t="str">
        <f>"20190305135241058"</f>
        <v>20190305135241058</v>
      </c>
      <c r="B2428" t="str">
        <f>"1551765161052104"</f>
        <v>1551765161052104</v>
      </c>
      <c r="C2428" t="s">
        <v>40</v>
      </c>
      <c r="D2428">
        <v>4.4608809999999997</v>
      </c>
      <c r="E2428">
        <v>0.49023260000000002</v>
      </c>
      <c r="F2428" t="s">
        <v>56</v>
      </c>
      <c r="G2428">
        <v>-466.05239999999998</v>
      </c>
      <c r="H2428" s="1">
        <v>1.7634699999999999E-6</v>
      </c>
      <c r="I2428">
        <v>282.79770000000002</v>
      </c>
      <c r="J2428">
        <v>-453.9982</v>
      </c>
      <c r="K2428">
        <v>1.1092770000000001</v>
      </c>
      <c r="L2428">
        <v>285.62939999999998</v>
      </c>
      <c r="M2428">
        <v>-0.99990369999999995</v>
      </c>
      <c r="N2428">
        <v>-1.380377E-2</v>
      </c>
      <c r="O2428">
        <v>-1.5040170000000001E-3</v>
      </c>
      <c r="P2428">
        <v>-0.97616270000000005</v>
      </c>
      <c r="Q2428">
        <v>-8.5090970000000002E-2</v>
      </c>
      <c r="R2428">
        <v>-0.19966500000000001</v>
      </c>
      <c r="S2428">
        <v>-2.9137879999999998</v>
      </c>
      <c r="T2428">
        <v>-0.26186779999999998</v>
      </c>
      <c r="U2428">
        <v>-0.66860959999999903</v>
      </c>
      <c r="V2428">
        <v>-0.19817109999999999</v>
      </c>
      <c r="W2428">
        <v>-7.1673600000000004E-2</v>
      </c>
      <c r="X2428">
        <v>0.97754339999999995</v>
      </c>
      <c r="Y2428">
        <v>-0.2212064</v>
      </c>
      <c r="Z2428">
        <v>-1.12307E-2</v>
      </c>
      <c r="AA2428">
        <v>0.97516230000000004</v>
      </c>
      <c r="AB2428">
        <v>33</v>
      </c>
      <c r="AC2428">
        <v>-12.0541999999999</v>
      </c>
      <c r="AD2428">
        <v>-1.10927523653</v>
      </c>
      <c r="AE2428">
        <v>-2.8316999999999499</v>
      </c>
      <c r="AF2428">
        <v>-2.79116478841323</v>
      </c>
      <c r="AG2428">
        <v>-1.10927523653</v>
      </c>
      <c r="AH2428">
        <v>11.9624408338632</v>
      </c>
      <c r="AI2428">
        <v>95.160056820216298</v>
      </c>
      <c r="AJ2428">
        <v>103.13369795531599</v>
      </c>
      <c r="AK2428">
        <v>12.3337375977493</v>
      </c>
      <c r="AL2428">
        <v>94.110118960039699</v>
      </c>
      <c r="AM2428">
        <v>101.459901444951</v>
      </c>
      <c r="AN2428">
        <v>0.99999999434786402</v>
      </c>
    </row>
    <row r="2429" spans="1:40" x14ac:dyDescent="0.25">
      <c r="A2429" t="str">
        <f>"20190305135241074"</f>
        <v>20190305135241074</v>
      </c>
      <c r="B2429" t="str">
        <f>"1551765161061864"</f>
        <v>1551765161061864</v>
      </c>
      <c r="C2429" t="s">
        <v>40</v>
      </c>
      <c r="D2429">
        <v>4.4772439999999998</v>
      </c>
      <c r="E2429">
        <v>0.49017300000000003</v>
      </c>
      <c r="F2429" t="s">
        <v>56</v>
      </c>
      <c r="G2429">
        <v>-466.31040000000002</v>
      </c>
      <c r="H2429" s="1">
        <v>1.9017229999999999E-6</v>
      </c>
      <c r="I2429">
        <v>282.77589999999998</v>
      </c>
      <c r="J2429">
        <v>-454.21589999999998</v>
      </c>
      <c r="K2429">
        <v>1.109278</v>
      </c>
      <c r="L2429">
        <v>285.62900000000002</v>
      </c>
      <c r="M2429">
        <v>-0.9999036</v>
      </c>
      <c r="N2429">
        <v>-1.3802490000000001E-2</v>
      </c>
      <c r="O2429">
        <v>-1.6196310000000001E-3</v>
      </c>
      <c r="P2429">
        <v>-0.97602699999999998</v>
      </c>
      <c r="Q2429">
        <v>-8.4782220000000005E-2</v>
      </c>
      <c r="R2429">
        <v>-0.20045869999999999</v>
      </c>
      <c r="S2429">
        <v>-2.9122919999999999</v>
      </c>
      <c r="T2429">
        <v>-0.26238600000000001</v>
      </c>
      <c r="U2429">
        <v>-0.67495729999999998</v>
      </c>
      <c r="V2429">
        <v>-0.19885220000000001</v>
      </c>
      <c r="W2429">
        <v>-7.1367780000000006E-2</v>
      </c>
      <c r="X2429">
        <v>0.9774275</v>
      </c>
      <c r="Y2429">
        <v>-0.22320789999999999</v>
      </c>
      <c r="Z2429">
        <v>-1.134664E-2</v>
      </c>
      <c r="AA2429">
        <v>0.97470489999999999</v>
      </c>
      <c r="AB2429">
        <v>33</v>
      </c>
      <c r="AC2429">
        <v>-12.0945</v>
      </c>
      <c r="AD2429">
        <v>-1.109276098277</v>
      </c>
      <c r="AE2429">
        <v>-2.8531000000000399</v>
      </c>
      <c r="AF2429">
        <v>-2.8111050989753599</v>
      </c>
      <c r="AG2429">
        <v>-1.109276098277</v>
      </c>
      <c r="AH2429">
        <v>12.0034544051928</v>
      </c>
      <c r="AI2429">
        <v>95.141545120124604</v>
      </c>
      <c r="AJ2429">
        <v>103.18063542856601</v>
      </c>
      <c r="AK2429">
        <v>12.3780338906159</v>
      </c>
      <c r="AL2429">
        <v>94.092551599708003</v>
      </c>
      <c r="AM2429">
        <v>101.49956812793801</v>
      </c>
      <c r="AN2429">
        <v>1.0000000376116001</v>
      </c>
    </row>
    <row r="2430" spans="1:40" x14ac:dyDescent="0.25">
      <c r="A2430" t="str">
        <f>"20190305135241089"</f>
        <v>20190305135241089</v>
      </c>
      <c r="B2430" t="str">
        <f>"1551765161082359"</f>
        <v>1551765161082359</v>
      </c>
      <c r="C2430" t="s">
        <v>40</v>
      </c>
      <c r="D2430">
        <v>4.4828140000000003</v>
      </c>
      <c r="E2430">
        <v>0.4900949</v>
      </c>
      <c r="F2430" t="s">
        <v>56</v>
      </c>
      <c r="G2430">
        <v>-466.56180000000001</v>
      </c>
      <c r="H2430" s="1">
        <v>2.0364309999999999E-6</v>
      </c>
      <c r="I2430">
        <v>282.75490000000002</v>
      </c>
      <c r="J2430">
        <v>-454.43560000000002</v>
      </c>
      <c r="K2430">
        <v>1.109281</v>
      </c>
      <c r="L2430">
        <v>285.62849999999997</v>
      </c>
      <c r="M2430">
        <v>-0.9999034</v>
      </c>
      <c r="N2430">
        <v>-1.38012E-2</v>
      </c>
      <c r="O2430">
        <v>-1.7362E-3</v>
      </c>
      <c r="P2430">
        <v>-0.97601289999999996</v>
      </c>
      <c r="Q2430">
        <v>-8.4329420000000002E-2</v>
      </c>
      <c r="R2430">
        <v>-0.20071810000000001</v>
      </c>
      <c r="S2430">
        <v>-2.911743</v>
      </c>
      <c r="T2430">
        <v>-0.2616193</v>
      </c>
      <c r="U2430">
        <v>-0.67782589999999998</v>
      </c>
      <c r="V2430">
        <v>-0.19899849999999999</v>
      </c>
      <c r="W2430">
        <v>-7.0916119999999999E-2</v>
      </c>
      <c r="X2430">
        <v>0.97743060000000004</v>
      </c>
      <c r="Y2430">
        <v>-0.22404760000000001</v>
      </c>
      <c r="Z2430">
        <v>-1.135326E-2</v>
      </c>
      <c r="AA2430">
        <v>0.97451209999999999</v>
      </c>
      <c r="AB2430">
        <v>33</v>
      </c>
      <c r="AC2430">
        <v>-12.1261999999999</v>
      </c>
      <c r="AD2430">
        <v>-1.1092789635689999</v>
      </c>
      <c r="AE2430">
        <v>-2.87359999999995</v>
      </c>
      <c r="AF2430">
        <v>-2.8301164221174102</v>
      </c>
      <c r="AG2430">
        <v>-1.1092789635689999</v>
      </c>
      <c r="AH2430">
        <v>12.035808553257</v>
      </c>
      <c r="AI2430">
        <v>95.126733168686499</v>
      </c>
      <c r="AJ2430">
        <v>103.23222654122</v>
      </c>
      <c r="AK2430">
        <v>12.4137321669355</v>
      </c>
      <c r="AL2430">
        <v>94.066607648544704</v>
      </c>
      <c r="AM2430">
        <v>101.50776746800101</v>
      </c>
      <c r="AN2430">
        <v>1.0000000384472301</v>
      </c>
    </row>
    <row r="2431" spans="1:40" x14ac:dyDescent="0.25">
      <c r="A2431" t="str">
        <f>"20190305135241101"</f>
        <v>20190305135241101</v>
      </c>
      <c r="B2431" t="str">
        <f>"1551765161092120"</f>
        <v>1551765161092120</v>
      </c>
      <c r="C2431" t="s">
        <v>40</v>
      </c>
      <c r="D2431">
        <v>4.8055120000000002</v>
      </c>
      <c r="E2431">
        <v>0.49031400000000003</v>
      </c>
      <c r="F2431" t="s">
        <v>56</v>
      </c>
      <c r="G2431">
        <v>-466.8141</v>
      </c>
      <c r="H2431" s="1">
        <v>2.1712500000000002E-6</v>
      </c>
      <c r="I2431">
        <v>282.74180000000001</v>
      </c>
      <c r="J2431">
        <v>-454.64510000000001</v>
      </c>
      <c r="K2431">
        <v>1.1092949999999999</v>
      </c>
      <c r="L2431">
        <v>285.62799999999999</v>
      </c>
      <c r="M2431">
        <v>-0.99990330000000005</v>
      </c>
      <c r="N2431">
        <v>-1.379996E-2</v>
      </c>
      <c r="O2431">
        <v>-1.847406E-3</v>
      </c>
      <c r="P2431">
        <v>-0.97581890000000004</v>
      </c>
      <c r="Q2431">
        <v>-8.3119399999999996E-2</v>
      </c>
      <c r="R2431">
        <v>-0.20216100000000001</v>
      </c>
      <c r="S2431">
        <v>-2.91153</v>
      </c>
      <c r="T2431">
        <v>-0.26091310000000001</v>
      </c>
      <c r="U2431">
        <v>-0.67898559999999997</v>
      </c>
      <c r="V2431">
        <v>-0.20033339999999999</v>
      </c>
      <c r="W2431">
        <v>-6.9710149999999999E-2</v>
      </c>
      <c r="X2431">
        <v>0.97724460000000002</v>
      </c>
      <c r="Y2431">
        <v>-0.2243271</v>
      </c>
      <c r="Z2431">
        <v>-1.133318E-2</v>
      </c>
      <c r="AA2431">
        <v>0.97444799999999998</v>
      </c>
      <c r="AB2431">
        <v>33</v>
      </c>
      <c r="AC2431">
        <v>-12.168999999999899</v>
      </c>
      <c r="AD2431">
        <v>-1.1092928287499999</v>
      </c>
      <c r="AE2431">
        <v>-2.8861999999999699</v>
      </c>
      <c r="AF2431">
        <v>-2.8413585949867302</v>
      </c>
      <c r="AG2431">
        <v>-1.1092928287499999</v>
      </c>
      <c r="AH2431">
        <v>12.0792827633486</v>
      </c>
      <c r="AI2431">
        <v>95.108347416163099</v>
      </c>
      <c r="AJ2431">
        <v>103.236809284759</v>
      </c>
      <c r="AK2431">
        <v>12.458447789438001</v>
      </c>
      <c r="AL2431">
        <v>93.997339399347496</v>
      </c>
      <c r="AM2431">
        <v>101.585028154272</v>
      </c>
      <c r="AN2431">
        <v>0.99999999219887103</v>
      </c>
    </row>
    <row r="2432" spans="1:40" x14ac:dyDescent="0.25">
      <c r="A2432" t="str">
        <f>"20190305135241138"</f>
        <v>20190305135241138</v>
      </c>
      <c r="B2432" t="str">
        <f>"1551765161132136"</f>
        <v>1551765161132136</v>
      </c>
      <c r="C2432" t="s">
        <v>40</v>
      </c>
      <c r="D2432">
        <v>4.3658890000000001</v>
      </c>
      <c r="E2432">
        <v>0.49046309999999899</v>
      </c>
      <c r="F2432" t="s">
        <v>56</v>
      </c>
      <c r="G2432">
        <v>-467.11540000000002</v>
      </c>
      <c r="H2432" s="1">
        <v>2.3330820000000001E-6</v>
      </c>
      <c r="I2432">
        <v>282.7088</v>
      </c>
      <c r="J2432">
        <v>-455.16820000000001</v>
      </c>
      <c r="K2432">
        <v>1.109308</v>
      </c>
      <c r="L2432">
        <v>285.6266</v>
      </c>
      <c r="M2432">
        <v>-0.99990270000000003</v>
      </c>
      <c r="N2432">
        <v>-1.3796869999999999E-2</v>
      </c>
      <c r="O2432">
        <v>-2.1244110000000001E-3</v>
      </c>
      <c r="P2432">
        <v>-0.97539399999999998</v>
      </c>
      <c r="Q2432">
        <v>-8.3040139999999998E-2</v>
      </c>
      <c r="R2432">
        <v>-0.20423379999999999</v>
      </c>
      <c r="S2432">
        <v>-2.9111020000000001</v>
      </c>
      <c r="T2432">
        <v>-0.25895489999999999</v>
      </c>
      <c r="U2432">
        <v>-0.68145749999999905</v>
      </c>
      <c r="V2432">
        <v>-0.2021365</v>
      </c>
      <c r="W2432">
        <v>-6.9639549999999995E-2</v>
      </c>
      <c r="X2432">
        <v>0.97687829999999998</v>
      </c>
      <c r="Y2432">
        <v>-0.22488540000000001</v>
      </c>
      <c r="Z2432">
        <v>-1.1268459999999999E-2</v>
      </c>
      <c r="AA2432">
        <v>0.97432010000000002</v>
      </c>
      <c r="AB2432">
        <v>33</v>
      </c>
      <c r="AC2432">
        <v>-11.9472</v>
      </c>
      <c r="AD2432">
        <v>-1.1093056669179999</v>
      </c>
      <c r="AE2432">
        <v>-2.9178000000000002</v>
      </c>
      <c r="AF2432">
        <v>-2.8690675805813899</v>
      </c>
      <c r="AG2432">
        <v>-1.1093056669179999</v>
      </c>
      <c r="AH2432">
        <v>11.8569047655768</v>
      </c>
      <c r="AI2432">
        <v>95.195815655094194</v>
      </c>
      <c r="AJ2432">
        <v>103.602649681402</v>
      </c>
      <c r="AK2432">
        <v>12.2494203317772</v>
      </c>
      <c r="AL2432">
        <v>93.993284342458296</v>
      </c>
      <c r="AM2432">
        <v>101.690704874321</v>
      </c>
      <c r="AN2432">
        <v>1.00000002228367</v>
      </c>
    </row>
    <row r="2433" spans="1:40" x14ac:dyDescent="0.25">
      <c r="A2433" t="str">
        <f>"20190305135241159"</f>
        <v>20190305135241159</v>
      </c>
      <c r="B2433" t="str">
        <f>"1551765161151659"</f>
        <v>1551765161151659</v>
      </c>
      <c r="C2433" t="s">
        <v>40</v>
      </c>
      <c r="D2433">
        <v>4.4896669999999999</v>
      </c>
      <c r="E2433">
        <v>0.49034339999999998</v>
      </c>
      <c r="F2433" t="s">
        <v>56</v>
      </c>
      <c r="G2433">
        <v>-467.65050000000002</v>
      </c>
      <c r="H2433" s="1">
        <v>2.6189820000000002E-6</v>
      </c>
      <c r="I2433">
        <v>282.68189999999998</v>
      </c>
      <c r="J2433">
        <v>-455.49160000000001</v>
      </c>
      <c r="K2433">
        <v>1.1093120000000001</v>
      </c>
      <c r="L2433">
        <v>285.62580000000003</v>
      </c>
      <c r="M2433">
        <v>-0.99990230000000002</v>
      </c>
      <c r="N2433">
        <v>-1.379497E-2</v>
      </c>
      <c r="O2433">
        <v>-2.2959260000000002E-3</v>
      </c>
      <c r="P2433">
        <v>-0.97510459999999999</v>
      </c>
      <c r="Q2433">
        <v>-8.3607130000000002E-2</v>
      </c>
      <c r="R2433">
        <v>-0.2053799</v>
      </c>
      <c r="S2433">
        <v>-2.9099729999999999</v>
      </c>
      <c r="T2433">
        <v>-0.25861109999999998</v>
      </c>
      <c r="U2433">
        <v>-0.68649289999999996</v>
      </c>
      <c r="V2433">
        <v>-0.20311580000000001</v>
      </c>
      <c r="W2433">
        <v>-7.0212010000000005E-2</v>
      </c>
      <c r="X2433">
        <v>0.97663409999999995</v>
      </c>
      <c r="Y2433">
        <v>-0.22639570000000001</v>
      </c>
      <c r="Z2433">
        <v>-1.132149E-2</v>
      </c>
      <c r="AA2433">
        <v>0.97396959999999999</v>
      </c>
      <c r="AB2433">
        <v>33</v>
      </c>
      <c r="AC2433">
        <v>-12.158899999999999</v>
      </c>
      <c r="AD2433">
        <v>-1.1093093810179999</v>
      </c>
      <c r="AE2433">
        <v>-2.9439000000000402</v>
      </c>
      <c r="AF2433">
        <v>-2.89322486382865</v>
      </c>
      <c r="AG2433">
        <v>-1.1093093810179999</v>
      </c>
      <c r="AH2433">
        <v>12.0707181803332</v>
      </c>
      <c r="AI2433">
        <v>95.106929053463503</v>
      </c>
      <c r="AJ2433">
        <v>103.47891272880599</v>
      </c>
      <c r="AK2433">
        <v>12.462084689349499</v>
      </c>
      <c r="AL2433">
        <v>94.026164619452103</v>
      </c>
      <c r="AM2433">
        <v>101.74862873823901</v>
      </c>
      <c r="AN2433">
        <v>0.99999995992034396</v>
      </c>
    </row>
    <row r="2434" spans="1:40" x14ac:dyDescent="0.25">
      <c r="A2434" t="str">
        <f>"20190305135241181"</f>
        <v>20190305135241181</v>
      </c>
      <c r="B2434" t="str">
        <f>"1551765161172152"</f>
        <v>1551765161172152</v>
      </c>
      <c r="C2434" t="s">
        <v>40</v>
      </c>
      <c r="D2434">
        <v>4.4678740000000001</v>
      </c>
      <c r="E2434">
        <v>0.49040129999999998</v>
      </c>
      <c r="F2434" t="s">
        <v>56</v>
      </c>
      <c r="G2434">
        <v>-467.87779999999998</v>
      </c>
      <c r="H2434" s="1">
        <v>2.739867E-6</v>
      </c>
      <c r="I2434">
        <v>282.68380000000002</v>
      </c>
      <c r="J2434">
        <v>-455.81580000000002</v>
      </c>
      <c r="K2434">
        <v>1.1093189999999999</v>
      </c>
      <c r="L2434">
        <v>285.62479999999999</v>
      </c>
      <c r="M2434">
        <v>-0.99990179999999995</v>
      </c>
      <c r="N2434">
        <v>-1.3793079999999999E-2</v>
      </c>
      <c r="O2434">
        <v>-2.467445E-3</v>
      </c>
      <c r="P2434">
        <v>-0.97487699999999999</v>
      </c>
      <c r="Q2434">
        <v>-8.3758180000000002E-2</v>
      </c>
      <c r="R2434">
        <v>-0.20639589999999999</v>
      </c>
      <c r="S2434">
        <v>-2.908722</v>
      </c>
      <c r="T2434">
        <v>-0.26050450000000003</v>
      </c>
      <c r="U2434">
        <v>-0.69088749999999999</v>
      </c>
      <c r="V2434">
        <v>-0.20396520000000001</v>
      </c>
      <c r="W2434">
        <v>-7.0367750000000007E-2</v>
      </c>
      <c r="X2434">
        <v>0.97644589999999998</v>
      </c>
      <c r="Y2434">
        <v>-0.2276965</v>
      </c>
      <c r="Z2434">
        <v>-1.1448450000000001E-2</v>
      </c>
      <c r="AA2434">
        <v>0.97366490000000006</v>
      </c>
      <c r="AB2434">
        <v>33</v>
      </c>
      <c r="AC2434">
        <v>-12.0619999999999</v>
      </c>
      <c r="AD2434">
        <v>-1.109316260133</v>
      </c>
      <c r="AE2434">
        <v>-2.9409999999999701</v>
      </c>
      <c r="AF2434">
        <v>-2.8881682881445001</v>
      </c>
      <c r="AG2434">
        <v>-1.109316260133</v>
      </c>
      <c r="AH2434">
        <v>11.973629614154101</v>
      </c>
      <c r="AI2434">
        <v>95.146378589954693</v>
      </c>
      <c r="AJ2434">
        <v>103.56130845088801</v>
      </c>
      <c r="AK2434">
        <v>12.366887432276</v>
      </c>
      <c r="AL2434">
        <v>94.035109790194099</v>
      </c>
      <c r="AM2434">
        <v>101.79859571364101</v>
      </c>
      <c r="AN2434">
        <v>1.0000000093389501</v>
      </c>
    </row>
    <row r="2435" spans="1:40" x14ac:dyDescent="0.25">
      <c r="A2435" t="str">
        <f>"20190305135241204"</f>
        <v>20190305135241204</v>
      </c>
      <c r="B2435" t="str">
        <f>"1551765161191672"</f>
        <v>1551765161191672</v>
      </c>
      <c r="C2435" t="s">
        <v>40</v>
      </c>
      <c r="D2435">
        <v>4.4734069999999999</v>
      </c>
      <c r="E2435">
        <v>0.4902881</v>
      </c>
      <c r="F2435" t="s">
        <v>56</v>
      </c>
      <c r="G2435">
        <v>-468.26490000000001</v>
      </c>
      <c r="H2435" s="1">
        <v>2.9470779999999999E-6</v>
      </c>
      <c r="I2435">
        <v>282.65559999999999</v>
      </c>
      <c r="J2435">
        <v>-456.14830000000001</v>
      </c>
      <c r="K2435">
        <v>1.1093329999999999</v>
      </c>
      <c r="L2435">
        <v>285.62380000000002</v>
      </c>
      <c r="M2435">
        <v>-0.9999015</v>
      </c>
      <c r="N2435">
        <v>-1.379113E-2</v>
      </c>
      <c r="O2435">
        <v>-2.6443199999999999E-3</v>
      </c>
      <c r="P2435">
        <v>-0.9745762</v>
      </c>
      <c r="Q2435">
        <v>-8.4095929999999999E-2</v>
      </c>
      <c r="R2435">
        <v>-0.20767530000000001</v>
      </c>
      <c r="S2435">
        <v>-2.9082029999999999</v>
      </c>
      <c r="T2435">
        <v>-0.25914530000000002</v>
      </c>
      <c r="U2435">
        <v>-0.69363399999999997</v>
      </c>
      <c r="V2435">
        <v>-0.2050729</v>
      </c>
      <c r="W2435">
        <v>-7.0711079999999996E-2</v>
      </c>
      <c r="X2435">
        <v>0.97618910000000003</v>
      </c>
      <c r="Y2435">
        <v>-0.22844030000000001</v>
      </c>
      <c r="Z2435">
        <v>-1.1422679999999999E-2</v>
      </c>
      <c r="AA2435">
        <v>0.97349090000000005</v>
      </c>
      <c r="AB2435">
        <v>33</v>
      </c>
      <c r="AC2435">
        <v>-12.1166</v>
      </c>
      <c r="AD2435">
        <v>-1.1093300529219901</v>
      </c>
      <c r="AE2435">
        <v>-2.9682000000000199</v>
      </c>
      <c r="AF2435">
        <v>-2.91311041583679</v>
      </c>
      <c r="AG2435">
        <v>-1.1093300529219901</v>
      </c>
      <c r="AH2435">
        <v>12.0292833254226</v>
      </c>
      <c r="AI2435">
        <v>95.121645128918502</v>
      </c>
      <c r="AJ2435">
        <v>103.613140563907</v>
      </c>
      <c r="AK2435">
        <v>12.426603831476299</v>
      </c>
      <c r="AL2435">
        <v>94.054830088276304</v>
      </c>
      <c r="AM2435">
        <v>101.86389332517599</v>
      </c>
      <c r="AN2435">
        <v>1.00000005505399</v>
      </c>
    </row>
    <row r="2436" spans="1:40" x14ac:dyDescent="0.25">
      <c r="A2436" t="str">
        <f>"20190305135241226"</f>
        <v>20190305135241226</v>
      </c>
      <c r="B2436" t="str">
        <f>"1551765161221932"</f>
        <v>1551765161221932</v>
      </c>
      <c r="C2436" t="s">
        <v>40</v>
      </c>
      <c r="D2436">
        <v>4.3701420000000004</v>
      </c>
      <c r="E2436">
        <v>0.4902455</v>
      </c>
      <c r="F2436" t="s">
        <v>56</v>
      </c>
      <c r="G2436">
        <v>-468.49099999999999</v>
      </c>
      <c r="H2436" s="1">
        <v>3.0672250000000001E-6</v>
      </c>
      <c r="I2436">
        <v>282.65949999999998</v>
      </c>
      <c r="J2436">
        <v>-456.47829999999999</v>
      </c>
      <c r="K2436">
        <v>1.109345</v>
      </c>
      <c r="L2436">
        <v>285.62279999999998</v>
      </c>
      <c r="M2436">
        <v>-0.99990109999999999</v>
      </c>
      <c r="N2436">
        <v>-1.37892E-2</v>
      </c>
      <c r="O2436">
        <v>-2.8192970000000001E-3</v>
      </c>
      <c r="P2436">
        <v>-0.97432070000000004</v>
      </c>
      <c r="Q2436">
        <v>-8.4497080000000002E-2</v>
      </c>
      <c r="R2436">
        <v>-0.20871029999999999</v>
      </c>
      <c r="S2436">
        <v>-2.906952</v>
      </c>
      <c r="T2436">
        <v>-0.26126870000000002</v>
      </c>
      <c r="U2436">
        <v>-0.69815059999999995</v>
      </c>
      <c r="V2436">
        <v>-0.2059378</v>
      </c>
      <c r="W2436">
        <v>-7.1117360000000004E-2</v>
      </c>
      <c r="X2436">
        <v>0.97597739999999999</v>
      </c>
      <c r="Y2436">
        <v>-0.22977400000000001</v>
      </c>
      <c r="Z2436">
        <v>-1.1560259999999999E-2</v>
      </c>
      <c r="AA2436">
        <v>0.97317529999999997</v>
      </c>
      <c r="AB2436">
        <v>33</v>
      </c>
      <c r="AC2436">
        <v>-12.012699999999899</v>
      </c>
      <c r="AD2436">
        <v>-1.109341932775</v>
      </c>
      <c r="AE2436">
        <v>-2.9632999999999998</v>
      </c>
      <c r="AF2436">
        <v>-2.9060562246653099</v>
      </c>
      <c r="AG2436">
        <v>-1.109341932775</v>
      </c>
      <c r="AH2436">
        <v>11.9251427774721</v>
      </c>
      <c r="AI2436">
        <v>95.164390620698597</v>
      </c>
      <c r="AJ2436">
        <v>103.69555446838</v>
      </c>
      <c r="AK2436">
        <v>12.3241564647575</v>
      </c>
      <c r="AL2436">
        <v>94.078167313006801</v>
      </c>
      <c r="AM2436">
        <v>101.91501300758</v>
      </c>
      <c r="AN2436">
        <v>0.99999997083648395</v>
      </c>
    </row>
    <row r="2437" spans="1:40" x14ac:dyDescent="0.25">
      <c r="A2437" t="str">
        <f>"20190305135241248"</f>
        <v>20190305135241248</v>
      </c>
      <c r="B2437" t="str">
        <f>"1551765161242427"</f>
        <v>1551765161242427</v>
      </c>
      <c r="C2437" t="s">
        <v>40</v>
      </c>
      <c r="D2437">
        <v>4.4577269999999896</v>
      </c>
      <c r="E2437">
        <v>0.4901452</v>
      </c>
      <c r="F2437" t="s">
        <v>56</v>
      </c>
      <c r="G2437">
        <v>-468.80270000000002</v>
      </c>
      <c r="H2437" s="1">
        <v>3.2336829999999998E-6</v>
      </c>
      <c r="I2437">
        <v>282.64670000000001</v>
      </c>
      <c r="J2437">
        <v>-456.8143</v>
      </c>
      <c r="K2437">
        <v>1.109353</v>
      </c>
      <c r="L2437">
        <v>285.6216</v>
      </c>
      <c r="M2437">
        <v>-0.99990060000000003</v>
      </c>
      <c r="N2437">
        <v>-1.3787260000000001E-2</v>
      </c>
      <c r="O2437">
        <v>-2.9976069999999998E-3</v>
      </c>
      <c r="P2437">
        <v>-0.97412770000000004</v>
      </c>
      <c r="Q2437">
        <v>-8.3997009999999997E-2</v>
      </c>
      <c r="R2437">
        <v>-0.20981050000000001</v>
      </c>
      <c r="S2437">
        <v>-2.9060969999999999</v>
      </c>
      <c r="T2437">
        <v>-0.26158239999999999</v>
      </c>
      <c r="U2437">
        <v>-0.70175169999999998</v>
      </c>
      <c r="V2437">
        <v>-0.20686460000000001</v>
      </c>
      <c r="W2437">
        <v>-7.0621509999999998E-2</v>
      </c>
      <c r="X2437">
        <v>0.97581739999999995</v>
      </c>
      <c r="Y2437">
        <v>-0.23079859999999999</v>
      </c>
      <c r="Z2437">
        <v>-1.161272E-2</v>
      </c>
      <c r="AA2437">
        <v>0.97293220000000002</v>
      </c>
      <c r="AB2437">
        <v>33</v>
      </c>
      <c r="AC2437">
        <v>-11.9884</v>
      </c>
      <c r="AD2437">
        <v>-1.109349766317</v>
      </c>
      <c r="AE2437">
        <v>-2.9748999999999901</v>
      </c>
      <c r="AF2437">
        <v>-2.9154305964539402</v>
      </c>
      <c r="AG2437">
        <v>-1.109349766317</v>
      </c>
      <c r="AH2437">
        <v>11.901267910366499</v>
      </c>
      <c r="AI2437">
        <v>95.173216367417993</v>
      </c>
      <c r="AJ2437">
        <v>103.764574658328</v>
      </c>
      <c r="AK2437">
        <v>12.303274781174601</v>
      </c>
      <c r="AL2437">
        <v>94.0496855509315</v>
      </c>
      <c r="AM2437">
        <v>101.968998146236</v>
      </c>
      <c r="AN2437">
        <v>0.99999997927529904</v>
      </c>
    </row>
    <row r="2438" spans="1:40" x14ac:dyDescent="0.25">
      <c r="A2438" t="str">
        <f>"20190305135241270"</f>
        <v>20190305135241270</v>
      </c>
      <c r="B2438" t="str">
        <f>"1551765161261944"</f>
        <v>1551765161261944</v>
      </c>
      <c r="C2438" t="s">
        <v>40</v>
      </c>
      <c r="D2438">
        <v>4.4867520000000001</v>
      </c>
      <c r="E2438">
        <v>0.49017240000000001</v>
      </c>
      <c r="F2438" t="s">
        <v>56</v>
      </c>
      <c r="G2438">
        <v>-469.18119999999999</v>
      </c>
      <c r="H2438" s="1">
        <v>3.436397E-6</v>
      </c>
      <c r="I2438">
        <v>282.61709999999999</v>
      </c>
      <c r="J2438">
        <v>-457.13549999999998</v>
      </c>
      <c r="K2438">
        <v>1.1093569999999999</v>
      </c>
      <c r="L2438">
        <v>285.62049999999999</v>
      </c>
      <c r="M2438">
        <v>-0.99990000000000001</v>
      </c>
      <c r="N2438">
        <v>-1.378539E-2</v>
      </c>
      <c r="O2438">
        <v>-3.1680499999999999E-3</v>
      </c>
      <c r="P2438">
        <v>-0.97405169999999996</v>
      </c>
      <c r="Q2438">
        <v>-8.2830680000000004E-2</v>
      </c>
      <c r="R2438">
        <v>-0.2106247</v>
      </c>
      <c r="S2438">
        <v>-2.9051819999999999</v>
      </c>
      <c r="T2438">
        <v>-0.26060319999999998</v>
      </c>
      <c r="U2438">
        <v>-0.70581050000000001</v>
      </c>
      <c r="V2438">
        <v>-0.20751339999999999</v>
      </c>
      <c r="W2438">
        <v>-6.9457720000000001E-2</v>
      </c>
      <c r="X2438">
        <v>0.97576320000000005</v>
      </c>
      <c r="Y2438">
        <v>-0.23198859999999999</v>
      </c>
      <c r="Z2438">
        <v>-1.1625160000000001E-2</v>
      </c>
      <c r="AA2438">
        <v>0.97264899999999999</v>
      </c>
      <c r="AB2438">
        <v>33</v>
      </c>
      <c r="AC2438">
        <v>-12.0457</v>
      </c>
      <c r="AD2438">
        <v>-1.1093535636030001</v>
      </c>
      <c r="AE2438">
        <v>-3.0033999999999899</v>
      </c>
      <c r="AF2438">
        <v>-2.9417297745014999</v>
      </c>
      <c r="AG2438">
        <v>-1.1093535636030001</v>
      </c>
      <c r="AH2438">
        <v>11.9596557508775</v>
      </c>
      <c r="AI2438">
        <v>95.146924996477196</v>
      </c>
      <c r="AJ2438">
        <v>103.818778579723</v>
      </c>
      <c r="AK2438">
        <v>12.3659938975711</v>
      </c>
      <c r="AL2438">
        <v>93.982841034990997</v>
      </c>
      <c r="AM2438">
        <v>102.006097106448</v>
      </c>
      <c r="AN2438">
        <v>1.00000000426069</v>
      </c>
    </row>
    <row r="2439" spans="1:40" x14ac:dyDescent="0.25">
      <c r="A2439" t="str">
        <f>"20190305135241293"</f>
        <v>20190305135241293</v>
      </c>
      <c r="B2439" t="str">
        <f>"1551765161281464"</f>
        <v>1551765161281464</v>
      </c>
      <c r="C2439" t="s">
        <v>40</v>
      </c>
      <c r="D2439">
        <v>4.4753699999999998</v>
      </c>
      <c r="E2439">
        <v>0.49017640000000001</v>
      </c>
      <c r="F2439" t="s">
        <v>56</v>
      </c>
      <c r="G2439">
        <v>-469.73270000000002</v>
      </c>
      <c r="H2439" s="1">
        <v>3.7327650000000002E-6</v>
      </c>
      <c r="I2439">
        <v>282.55009999999999</v>
      </c>
      <c r="J2439">
        <v>-457.46809999999999</v>
      </c>
      <c r="K2439">
        <v>1.109359</v>
      </c>
      <c r="L2439">
        <v>285.61919999999998</v>
      </c>
      <c r="M2439">
        <v>-0.99989939999999999</v>
      </c>
      <c r="N2439">
        <v>-1.3783460000000001E-2</v>
      </c>
      <c r="O2439">
        <v>-3.3445710000000002E-3</v>
      </c>
      <c r="P2439">
        <v>-0.97392610000000002</v>
      </c>
      <c r="Q2439">
        <v>-8.2163940000000005E-2</v>
      </c>
      <c r="R2439">
        <v>-0.21146470000000001</v>
      </c>
      <c r="S2439">
        <v>-2.9050600000000002</v>
      </c>
      <c r="T2439">
        <v>-0.25583050000000002</v>
      </c>
      <c r="U2439">
        <v>-0.70806880000000005</v>
      </c>
      <c r="V2439">
        <v>-0.20818220000000001</v>
      </c>
      <c r="W2439">
        <v>-6.8794159999999993E-2</v>
      </c>
      <c r="X2439">
        <v>0.97566770000000003</v>
      </c>
      <c r="Y2439">
        <v>-0.23257230000000001</v>
      </c>
      <c r="Z2439">
        <v>-1.1459280000000001E-2</v>
      </c>
      <c r="AA2439">
        <v>0.97251160000000003</v>
      </c>
      <c r="AB2439">
        <v>33</v>
      </c>
      <c r="AC2439">
        <v>-12.2646</v>
      </c>
      <c r="AD2439">
        <v>-1.109355267235</v>
      </c>
      <c r="AE2439">
        <v>-3.0690999999999899</v>
      </c>
      <c r="AF2439">
        <v>-3.0049230290686002</v>
      </c>
      <c r="AG2439">
        <v>-1.109355267235</v>
      </c>
      <c r="AH2439">
        <v>12.1810108166307</v>
      </c>
      <c r="AI2439">
        <v>95.053052573235902</v>
      </c>
      <c r="AJ2439">
        <v>103.857565033272</v>
      </c>
      <c r="AK2439">
        <v>12.595128265898801</v>
      </c>
      <c r="AL2439">
        <v>93.944730848463394</v>
      </c>
      <c r="AM2439">
        <v>102.044808230114</v>
      </c>
      <c r="AN2439">
        <v>0.99999996283511705</v>
      </c>
    </row>
    <row r="2440" spans="1:40" x14ac:dyDescent="0.25">
      <c r="A2440" t="str">
        <f>"20190305135241315"</f>
        <v>20190305135241315</v>
      </c>
      <c r="B2440" t="str">
        <f>"1551765161311720"</f>
        <v>1551765161311720</v>
      </c>
      <c r="C2440" t="s">
        <v>40</v>
      </c>
      <c r="D2440">
        <v>4.4016580000000003</v>
      </c>
      <c r="E2440">
        <v>0.4902183</v>
      </c>
      <c r="F2440" t="s">
        <v>55</v>
      </c>
      <c r="G2440">
        <v>-470.22059999999999</v>
      </c>
      <c r="H2440" s="1">
        <v>6.331251E-6</v>
      </c>
      <c r="I2440">
        <v>282.49979999999999</v>
      </c>
      <c r="J2440">
        <v>-457.79790000000003</v>
      </c>
      <c r="K2440">
        <v>1.109359</v>
      </c>
      <c r="L2440">
        <v>285.61790000000002</v>
      </c>
      <c r="M2440">
        <v>-0.99989890000000003</v>
      </c>
      <c r="N2440">
        <v>-1.378157E-2</v>
      </c>
      <c r="O2440">
        <v>-3.5199010000000002E-3</v>
      </c>
      <c r="P2440">
        <v>-0.97358789999999995</v>
      </c>
      <c r="Q2440">
        <v>-8.2634040000000006E-2</v>
      </c>
      <c r="R2440">
        <v>-0.21283469999999999</v>
      </c>
      <c r="S2440">
        <v>-2.9047550000000002</v>
      </c>
      <c r="T2440">
        <v>-0.25268829999999998</v>
      </c>
      <c r="U2440">
        <v>-0.71054079999999997</v>
      </c>
      <c r="V2440">
        <v>-0.2093825</v>
      </c>
      <c r="W2440">
        <v>-6.9270390000000001E-2</v>
      </c>
      <c r="X2440">
        <v>0.9753771</v>
      </c>
      <c r="Y2440">
        <v>-0.23322619999999999</v>
      </c>
      <c r="Z2440">
        <v>-1.1359360000000001E-2</v>
      </c>
      <c r="AA2440">
        <v>0.97235609999999995</v>
      </c>
      <c r="AB2440">
        <v>33</v>
      </c>
      <c r="AC2440">
        <v>-12.422699999999899</v>
      </c>
      <c r="AD2440">
        <v>-1.1093526687490001</v>
      </c>
      <c r="AE2440">
        <v>-3.1181000000000201</v>
      </c>
      <c r="AF2440">
        <v>-3.0514580022937099</v>
      </c>
      <c r="AG2440">
        <v>-1.1093526687490001</v>
      </c>
      <c r="AH2440">
        <v>12.3410179033636</v>
      </c>
      <c r="AI2440">
        <v>94.987197313218502</v>
      </c>
      <c r="AJ2440">
        <v>103.888471155609</v>
      </c>
      <c r="AK2440">
        <v>12.760986724174799</v>
      </c>
      <c r="AL2440">
        <v>93.972082107390506</v>
      </c>
      <c r="AM2440">
        <v>102.115711148622</v>
      </c>
      <c r="AN2440">
        <v>0.99999995272070397</v>
      </c>
    </row>
    <row r="2441" spans="1:40" x14ac:dyDescent="0.25">
      <c r="A2441" t="str">
        <f>"20190305135241338"</f>
        <v>20190305135241338</v>
      </c>
      <c r="B2441" t="str">
        <f>"1551765161332216"</f>
        <v>1551765161332216</v>
      </c>
      <c r="C2441" t="s">
        <v>40</v>
      </c>
      <c r="D2441">
        <v>4.3810140000000004</v>
      </c>
      <c r="E2441">
        <v>0.49019230000000003</v>
      </c>
      <c r="F2441" t="s">
        <v>55</v>
      </c>
      <c r="G2441">
        <v>-470.6105</v>
      </c>
      <c r="H2441" s="1">
        <v>6.1552790000000002E-6</v>
      </c>
      <c r="I2441">
        <v>282.46469999999999</v>
      </c>
      <c r="J2441">
        <v>-458.12670000000003</v>
      </c>
      <c r="K2441">
        <v>1.109361</v>
      </c>
      <c r="L2441">
        <v>285.61649999999997</v>
      </c>
      <c r="M2441">
        <v>-0.99989839999999997</v>
      </c>
      <c r="N2441">
        <v>-1.3779660000000001E-2</v>
      </c>
      <c r="O2441">
        <v>-3.6946349999999999E-3</v>
      </c>
      <c r="P2441">
        <v>-0.97327940000000002</v>
      </c>
      <c r="Q2441">
        <v>-8.3834060000000002E-2</v>
      </c>
      <c r="R2441">
        <v>-0.21377399999999999</v>
      </c>
      <c r="S2441">
        <v>-2.9038089999999999</v>
      </c>
      <c r="T2441">
        <v>-0.25142039999999999</v>
      </c>
      <c r="U2441">
        <v>-0.71463009999999905</v>
      </c>
      <c r="V2441">
        <v>-0.21015249999999999</v>
      </c>
      <c r="W2441">
        <v>-7.0476029999999995E-2</v>
      </c>
      <c r="X2441">
        <v>0.97512509999999997</v>
      </c>
      <c r="Y2441">
        <v>-0.2344251</v>
      </c>
      <c r="Z2441">
        <v>-1.1359360000000001E-2</v>
      </c>
      <c r="AA2441">
        <v>0.97206780000000004</v>
      </c>
      <c r="AB2441">
        <v>33</v>
      </c>
      <c r="AC2441">
        <v>-12.483799999999899</v>
      </c>
      <c r="AD2441">
        <v>-1.109354844721</v>
      </c>
      <c r="AE2441">
        <v>-3.15179999999997</v>
      </c>
      <c r="AF2441">
        <v>-3.08276598509581</v>
      </c>
      <c r="AG2441">
        <v>-1.109354844721</v>
      </c>
      <c r="AH2441">
        <v>12.4032843304006</v>
      </c>
      <c r="AI2441">
        <v>94.960816671532996</v>
      </c>
      <c r="AJ2441">
        <v>103.957718939597</v>
      </c>
      <c r="AK2441">
        <v>12.828701277648101</v>
      </c>
      <c r="AL2441">
        <v>94.041329448810203</v>
      </c>
      <c r="AM2441">
        <v>102.161991749313</v>
      </c>
      <c r="AN2441">
        <v>0.99999995235540895</v>
      </c>
    </row>
    <row r="2442" spans="1:40" x14ac:dyDescent="0.25">
      <c r="A2442" t="str">
        <f>"20190305135241360"</f>
        <v>20190305135241360</v>
      </c>
      <c r="B2442" t="str">
        <f>"1551765161351740"</f>
        <v>1551765161351740</v>
      </c>
      <c r="C2442" t="s">
        <v>40</v>
      </c>
      <c r="D2442">
        <v>4.3971280000000004</v>
      </c>
      <c r="E2442">
        <v>0.4902763</v>
      </c>
      <c r="F2442" t="s">
        <v>55</v>
      </c>
      <c r="G2442">
        <v>-470.81549999999999</v>
      </c>
      <c r="H2442" s="1">
        <v>6.0656979999999997E-6</v>
      </c>
      <c r="I2442">
        <v>282.47989999999999</v>
      </c>
      <c r="J2442">
        <v>-458.4588</v>
      </c>
      <c r="K2442">
        <v>1.109369</v>
      </c>
      <c r="L2442">
        <v>285.61509999999998</v>
      </c>
      <c r="M2442">
        <v>-0.99989760000000005</v>
      </c>
      <c r="N2442">
        <v>-1.377772E-2</v>
      </c>
      <c r="O2442">
        <v>-3.870919E-3</v>
      </c>
      <c r="P2442">
        <v>-0.97307730000000003</v>
      </c>
      <c r="Q2442">
        <v>-8.4986000000000006E-2</v>
      </c>
      <c r="R2442">
        <v>-0.2142384</v>
      </c>
      <c r="S2442">
        <v>-2.902863</v>
      </c>
      <c r="T2442">
        <v>-0.25379190000000001</v>
      </c>
      <c r="U2442">
        <v>-0.71759030000000001</v>
      </c>
      <c r="V2442">
        <v>-0.2104452</v>
      </c>
      <c r="W2442">
        <v>-7.163195E-2</v>
      </c>
      <c r="X2442">
        <v>0.97497780000000001</v>
      </c>
      <c r="Y2442">
        <v>-0.23524149999999999</v>
      </c>
      <c r="Z2442">
        <v>-1.1480199999999999E-2</v>
      </c>
      <c r="AA2442">
        <v>0.97186910000000004</v>
      </c>
      <c r="AB2442">
        <v>33</v>
      </c>
      <c r="AC2442">
        <v>-12.356699999999901</v>
      </c>
      <c r="AD2442">
        <v>-1.1093629343019999</v>
      </c>
      <c r="AE2442">
        <v>-3.13519999999999</v>
      </c>
      <c r="AF2442">
        <v>-3.06413658795279</v>
      </c>
      <c r="AG2442">
        <v>-1.1093629343019999</v>
      </c>
      <c r="AH2442">
        <v>12.2757846035109</v>
      </c>
      <c r="AI2442">
        <v>95.010872310998096</v>
      </c>
      <c r="AJ2442">
        <v>104.015113926895</v>
      </c>
      <c r="AK2442">
        <v>12.700964797267501</v>
      </c>
      <c r="AL2442">
        <v>94.107726358333693</v>
      </c>
      <c r="AM2442">
        <v>102.180210665839</v>
      </c>
      <c r="AN2442">
        <v>1.0000000144783401</v>
      </c>
    </row>
    <row r="2443" spans="1:40" x14ac:dyDescent="0.25">
      <c r="A2443" t="str">
        <f>"20190305135241381"</f>
        <v>20190305135241381</v>
      </c>
      <c r="B2443" t="str">
        <f>"1551765161372232"</f>
        <v>1551765161372232</v>
      </c>
      <c r="C2443" t="s">
        <v>40</v>
      </c>
      <c r="D2443">
        <v>4.4233260000000003</v>
      </c>
      <c r="E2443">
        <v>0.49035430000000002</v>
      </c>
      <c r="F2443" t="s">
        <v>55</v>
      </c>
      <c r="G2443">
        <v>-471.1164</v>
      </c>
      <c r="H2443" s="1">
        <v>5.9323690000000004E-6</v>
      </c>
      <c r="I2443">
        <v>282.48129999999998</v>
      </c>
      <c r="J2443">
        <v>-458.78309999999999</v>
      </c>
      <c r="K2443">
        <v>1.1093820000000001</v>
      </c>
      <c r="L2443">
        <v>285.61369999999999</v>
      </c>
      <c r="M2443">
        <v>-0.99989700000000004</v>
      </c>
      <c r="N2443">
        <v>-1.3775870000000001E-2</v>
      </c>
      <c r="O2443">
        <v>-4.0430359999999999E-3</v>
      </c>
      <c r="P2443">
        <v>-0.97274150000000004</v>
      </c>
      <c r="Q2443">
        <v>-8.6466639999999997E-2</v>
      </c>
      <c r="R2443">
        <v>-0.21516840000000001</v>
      </c>
      <c r="S2443">
        <v>-2.9025880000000002</v>
      </c>
      <c r="T2443">
        <v>-0.2543937</v>
      </c>
      <c r="U2443">
        <v>-0.71862789999999999</v>
      </c>
      <c r="V2443">
        <v>-0.21120849999999999</v>
      </c>
      <c r="W2443">
        <v>-7.3118589999999997E-2</v>
      </c>
      <c r="X2443">
        <v>0.97470239999999997</v>
      </c>
      <c r="Y2443">
        <v>-0.2354184</v>
      </c>
      <c r="Z2443">
        <v>-1.150001E-2</v>
      </c>
      <c r="AA2443">
        <v>0.97182610000000003</v>
      </c>
      <c r="AB2443">
        <v>33</v>
      </c>
      <c r="AC2443">
        <v>-12.333299999999999</v>
      </c>
      <c r="AD2443">
        <v>-1.1093760676309901</v>
      </c>
      <c r="AE2443">
        <v>-3.1324000000000098</v>
      </c>
      <c r="AF2443">
        <v>-3.0592533532662398</v>
      </c>
      <c r="AG2443">
        <v>-1.1093760676309901</v>
      </c>
      <c r="AH2443">
        <v>12.2527359422121</v>
      </c>
      <c r="AI2443">
        <v>95.020225953243994</v>
      </c>
      <c r="AJ2443">
        <v>104.018943081413</v>
      </c>
      <c r="AK2443">
        <v>12.6775109705525</v>
      </c>
      <c r="AL2443">
        <v>94.193128325980695</v>
      </c>
      <c r="AM2443">
        <v>102.2264129287</v>
      </c>
      <c r="AN2443">
        <v>1.00000006362079</v>
      </c>
    </row>
    <row r="2444" spans="1:40" x14ac:dyDescent="0.25">
      <c r="A2444" t="str">
        <f>"20190305135241405"</f>
        <v>20190305135241405</v>
      </c>
      <c r="B2444" t="str">
        <f>"1551765161401511"</f>
        <v>1551765161401511</v>
      </c>
      <c r="C2444" t="s">
        <v>40</v>
      </c>
      <c r="D2444">
        <v>4.404471</v>
      </c>
      <c r="E2444">
        <v>0.49040020000000001</v>
      </c>
      <c r="F2444" t="s">
        <v>55</v>
      </c>
      <c r="G2444">
        <v>-471.33449999999999</v>
      </c>
      <c r="H2444" s="1">
        <v>5.8367850000000004E-6</v>
      </c>
      <c r="I2444">
        <v>282.49430000000001</v>
      </c>
      <c r="J2444">
        <v>-459.11860000000001</v>
      </c>
      <c r="K2444">
        <v>1.109394</v>
      </c>
      <c r="L2444">
        <v>285.6121</v>
      </c>
      <c r="M2444">
        <v>-0.99989629999999996</v>
      </c>
      <c r="N2444">
        <v>-1.377364E-2</v>
      </c>
      <c r="O2444">
        <v>-4.2219359999999999E-3</v>
      </c>
      <c r="P2444">
        <v>-0.97235020000000005</v>
      </c>
      <c r="Q2444">
        <v>-8.6563749999999995E-2</v>
      </c>
      <c r="R2444">
        <v>-0.2168911</v>
      </c>
      <c r="S2444">
        <v>-2.9017330000000001</v>
      </c>
      <c r="T2444">
        <v>-0.25647330000000002</v>
      </c>
      <c r="U2444">
        <v>-0.72116089999999999</v>
      </c>
      <c r="V2444">
        <v>-0.2127589</v>
      </c>
      <c r="W2444">
        <v>-7.3222910000000002E-2</v>
      </c>
      <c r="X2444">
        <v>0.97435720000000003</v>
      </c>
      <c r="Y2444">
        <v>-0.23609279999999999</v>
      </c>
      <c r="Z2444">
        <v>-1.160245E-2</v>
      </c>
      <c r="AA2444">
        <v>0.9716612</v>
      </c>
      <c r="AB2444">
        <v>33</v>
      </c>
      <c r="AC2444">
        <v>-12.2158999999999</v>
      </c>
      <c r="AD2444">
        <v>-1.109388163215</v>
      </c>
      <c r="AE2444">
        <v>-3.1177999999999799</v>
      </c>
      <c r="AF2444">
        <v>-3.0426334436541</v>
      </c>
      <c r="AG2444">
        <v>-1.109388163215</v>
      </c>
      <c r="AH2444">
        <v>12.1349941817074</v>
      </c>
      <c r="AI2444">
        <v>95.067487932183596</v>
      </c>
      <c r="AJ2444">
        <v>104.07571933683499</v>
      </c>
      <c r="AK2444">
        <v>12.559715130495499</v>
      </c>
      <c r="AL2444">
        <v>94.199121970124295</v>
      </c>
      <c r="AM2444">
        <v>102.317663059523</v>
      </c>
      <c r="AN2444">
        <v>0.999999948634957</v>
      </c>
    </row>
    <row r="2445" spans="1:40" x14ac:dyDescent="0.25">
      <c r="A2445" t="str">
        <f>"20190305135241429"</f>
        <v>20190305135241429</v>
      </c>
      <c r="B2445" t="str">
        <f>"1551765161422008"</f>
        <v>1551765161422008</v>
      </c>
      <c r="C2445" t="s">
        <v>40</v>
      </c>
      <c r="D2445">
        <v>4.424264</v>
      </c>
      <c r="E2445">
        <v>0.49043039999999999</v>
      </c>
      <c r="F2445" t="s">
        <v>55</v>
      </c>
      <c r="G2445">
        <v>-471.8372</v>
      </c>
      <c r="H2445" s="1">
        <v>5.6080530000000003E-6</v>
      </c>
      <c r="I2445">
        <v>282.42790000000002</v>
      </c>
      <c r="J2445">
        <v>-459.4581</v>
      </c>
      <c r="K2445">
        <v>1.1094079999999999</v>
      </c>
      <c r="L2445">
        <v>285.6105</v>
      </c>
      <c r="M2445">
        <v>-0.9998956</v>
      </c>
      <c r="N2445">
        <v>-1.3771749999999999E-2</v>
      </c>
      <c r="O2445">
        <v>-4.4021570000000003E-3</v>
      </c>
      <c r="P2445">
        <v>-0.97222200000000003</v>
      </c>
      <c r="Q2445">
        <v>-8.5674970000000003E-2</v>
      </c>
      <c r="R2445">
        <v>-0.2178176</v>
      </c>
      <c r="S2445">
        <v>-2.9007869999999998</v>
      </c>
      <c r="T2445">
        <v>-0.25302239999999998</v>
      </c>
      <c r="U2445">
        <v>-0.72622679999999995</v>
      </c>
      <c r="V2445">
        <v>-0.21351049999999999</v>
      </c>
      <c r="W2445">
        <v>-7.2337460000000006E-2</v>
      </c>
      <c r="X2445">
        <v>0.97425899999999999</v>
      </c>
      <c r="Y2445">
        <v>-0.23760780000000001</v>
      </c>
      <c r="Z2445">
        <v>-1.1533470000000001E-2</v>
      </c>
      <c r="AA2445">
        <v>0.97129270000000001</v>
      </c>
      <c r="AB2445">
        <v>33</v>
      </c>
      <c r="AC2445">
        <v>-12.3790999999999</v>
      </c>
      <c r="AD2445">
        <v>-1.109402391947</v>
      </c>
      <c r="AE2445">
        <v>-3.1825999999999701</v>
      </c>
      <c r="AF2445">
        <v>-3.1046798094253698</v>
      </c>
      <c r="AG2445">
        <v>-1.109402391947</v>
      </c>
      <c r="AH2445">
        <v>12.300325817427501</v>
      </c>
      <c r="AI2445">
        <v>94.997816027372394</v>
      </c>
      <c r="AJ2445">
        <v>104.16593095910601</v>
      </c>
      <c r="AK2445">
        <v>12.734513167027099</v>
      </c>
      <c r="AL2445">
        <v>94.148254219410205</v>
      </c>
      <c r="AM2445">
        <v>102.361049203379</v>
      </c>
      <c r="AN2445">
        <v>1.0000000204052499</v>
      </c>
    </row>
    <row r="2446" spans="1:40" x14ac:dyDescent="0.25">
      <c r="A2446" t="str">
        <f>"20190305135241449"</f>
        <v>20190305135241449</v>
      </c>
      <c r="B2446" t="str">
        <f>"1551765161441759"</f>
        <v>1551765161441759</v>
      </c>
      <c r="C2446" t="s">
        <v>40</v>
      </c>
      <c r="D2446">
        <v>4.4352549999999997</v>
      </c>
      <c r="E2446">
        <v>0.49046810000000002</v>
      </c>
      <c r="F2446" t="s">
        <v>55</v>
      </c>
      <c r="G2446">
        <v>-472.43060000000003</v>
      </c>
      <c r="H2446" s="1">
        <v>5.338161E-6</v>
      </c>
      <c r="I2446">
        <v>282.35070000000002</v>
      </c>
      <c r="J2446">
        <v>-459.7774</v>
      </c>
      <c r="K2446">
        <v>1.109423</v>
      </c>
      <c r="L2446">
        <v>285.60879999999997</v>
      </c>
      <c r="M2446">
        <v>-0.99989490000000003</v>
      </c>
      <c r="N2446">
        <v>-1.377012E-2</v>
      </c>
      <c r="O2446">
        <v>-4.572479E-3</v>
      </c>
      <c r="P2446">
        <v>-0.971974</v>
      </c>
      <c r="Q2446">
        <v>-8.4967269999999998E-2</v>
      </c>
      <c r="R2446">
        <v>-0.21919730000000001</v>
      </c>
      <c r="S2446">
        <v>-2.9005740000000002</v>
      </c>
      <c r="T2446">
        <v>-0.24805450000000001</v>
      </c>
      <c r="U2446">
        <v>-0.72885129999999998</v>
      </c>
      <c r="V2446">
        <v>-0.2147259</v>
      </c>
      <c r="W2446">
        <v>-7.1634349999999999E-2</v>
      </c>
      <c r="X2446">
        <v>0.97404380000000002</v>
      </c>
      <c r="Y2446">
        <v>-0.2383189</v>
      </c>
      <c r="Z2446">
        <v>-1.13639E-2</v>
      </c>
      <c r="AA2446">
        <v>0.97112050000000005</v>
      </c>
      <c r="AB2446">
        <v>33</v>
      </c>
      <c r="AC2446">
        <v>-12.6532</v>
      </c>
      <c r="AD2446">
        <v>-1.1094176618389999</v>
      </c>
      <c r="AE2446">
        <v>-3.25809999999995</v>
      </c>
      <c r="AF2446">
        <v>-3.17729703516672</v>
      </c>
      <c r="AG2446">
        <v>-1.1094176618389999</v>
      </c>
      <c r="AH2446">
        <v>12.577289908957599</v>
      </c>
      <c r="AI2446">
        <v>94.888116701319603</v>
      </c>
      <c r="AJ2446">
        <v>104.177535248193</v>
      </c>
      <c r="AK2446">
        <v>13.019763648087</v>
      </c>
      <c r="AL2446">
        <v>94.107864247896799</v>
      </c>
      <c r="AM2446">
        <v>102.43189369466</v>
      </c>
      <c r="AN2446">
        <v>1.0000000082745799</v>
      </c>
    </row>
    <row r="2447" spans="1:40" x14ac:dyDescent="0.25">
      <c r="A2447" t="str">
        <f>"20190305135241472"</f>
        <v>20190305135241472</v>
      </c>
      <c r="B2447" t="str">
        <f>"1551765161462251"</f>
        <v>1551765161462251</v>
      </c>
      <c r="C2447" t="s">
        <v>40</v>
      </c>
      <c r="D2447">
        <v>4.4338749999999996</v>
      </c>
      <c r="E2447">
        <v>0.49048130000000001</v>
      </c>
      <c r="F2447" t="s">
        <v>55</v>
      </c>
      <c r="G2447">
        <v>-472.99270000000001</v>
      </c>
      <c r="H2447" s="1">
        <v>5.0816940000000002E-6</v>
      </c>
      <c r="I2447">
        <v>282.26839999999999</v>
      </c>
      <c r="J2447">
        <v>-460.09840000000003</v>
      </c>
      <c r="K2447">
        <v>1.1094349999999999</v>
      </c>
      <c r="L2447">
        <v>285.60719999999998</v>
      </c>
      <c r="M2447">
        <v>-0.99989399999999995</v>
      </c>
      <c r="N2447">
        <v>-1.376845E-2</v>
      </c>
      <c r="O2447">
        <v>-4.7432799999999999E-3</v>
      </c>
      <c r="P2447">
        <v>-0.97169479999999997</v>
      </c>
      <c r="Q2447">
        <v>-8.4297079999999996E-2</v>
      </c>
      <c r="R2447">
        <v>-0.22068840000000001</v>
      </c>
      <c r="S2447">
        <v>-2.8998719999999998</v>
      </c>
      <c r="T2447">
        <v>-0.24344170000000001</v>
      </c>
      <c r="U2447">
        <v>-0.73300169999999998</v>
      </c>
      <c r="V2447">
        <v>-0.21605269999999999</v>
      </c>
      <c r="W2447">
        <v>-7.0969370000000004E-2</v>
      </c>
      <c r="X2447">
        <v>0.97379899999999997</v>
      </c>
      <c r="Y2447">
        <v>-0.23954310000000001</v>
      </c>
      <c r="Z2447">
        <v>-1.123324E-2</v>
      </c>
      <c r="AA2447">
        <v>0.97082069999999998</v>
      </c>
      <c r="AB2447">
        <v>33</v>
      </c>
      <c r="AC2447">
        <v>-12.8942999999999</v>
      </c>
      <c r="AD2447">
        <v>-1.1094299183059999</v>
      </c>
      <c r="AE2447">
        <v>-3.3387999999999902</v>
      </c>
      <c r="AF2447">
        <v>-3.25501281211017</v>
      </c>
      <c r="AG2447">
        <v>-1.1094299183059999</v>
      </c>
      <c r="AH2447">
        <v>12.8210437511138</v>
      </c>
      <c r="AI2447">
        <v>94.794244401133696</v>
      </c>
      <c r="AJ2447">
        <v>104.245308537288</v>
      </c>
      <c r="AK2447">
        <v>13.274227134511801</v>
      </c>
      <c r="AL2447">
        <v>94.069666689381805</v>
      </c>
      <c r="AM2447">
        <v>102.50934608984301</v>
      </c>
      <c r="AN2447">
        <v>0.99999995652824203</v>
      </c>
    </row>
    <row r="2448" spans="1:40" x14ac:dyDescent="0.25">
      <c r="A2448" t="str">
        <f>"20190305135241494"</f>
        <v>20190305135241494</v>
      </c>
      <c r="B2448" t="str">
        <f>"1551765161481771"</f>
        <v>1551765161481771</v>
      </c>
      <c r="C2448" t="s">
        <v>40</v>
      </c>
      <c r="D2448">
        <v>4.4602709999999997</v>
      </c>
      <c r="E2448">
        <v>0.49045899999999998</v>
      </c>
      <c r="F2448" t="s">
        <v>55</v>
      </c>
      <c r="G2448">
        <v>-473.52260000000001</v>
      </c>
      <c r="H2448" s="1">
        <v>4.840045E-6</v>
      </c>
      <c r="I2448">
        <v>282.19220000000001</v>
      </c>
      <c r="J2448">
        <v>-460.42450000000002</v>
      </c>
      <c r="K2448">
        <v>1.109442</v>
      </c>
      <c r="L2448">
        <v>285.60539999999997</v>
      </c>
      <c r="M2448">
        <v>-0.99989309999999998</v>
      </c>
      <c r="N2448">
        <v>-1.376674E-2</v>
      </c>
      <c r="O2448">
        <v>-4.9169419999999997E-3</v>
      </c>
      <c r="P2448">
        <v>-0.97138780000000002</v>
      </c>
      <c r="Q2448">
        <v>-8.4667989999999999E-2</v>
      </c>
      <c r="R2448">
        <v>-0.22189410000000001</v>
      </c>
      <c r="S2448">
        <v>-2.8991389999999999</v>
      </c>
      <c r="T2448">
        <v>-0.2395968</v>
      </c>
      <c r="U2448">
        <v>-0.73751829999999996</v>
      </c>
      <c r="V2448">
        <v>-0.21709059999999999</v>
      </c>
      <c r="W2448">
        <v>-7.1345720000000001E-2</v>
      </c>
      <c r="X2448">
        <v>0.97354070000000004</v>
      </c>
      <c r="Y2448">
        <v>-0.24087549999999999</v>
      </c>
      <c r="Z2448">
        <v>-1.113604E-2</v>
      </c>
      <c r="AA2448">
        <v>0.97049209999999997</v>
      </c>
      <c r="AB2448">
        <v>33</v>
      </c>
      <c r="AC2448">
        <v>-13.098099999999899</v>
      </c>
      <c r="AD2448">
        <v>-1.1094371599549999</v>
      </c>
      <c r="AE2448">
        <v>-3.4131999999999598</v>
      </c>
      <c r="AF2448">
        <v>-3.3264024398785201</v>
      </c>
      <c r="AG2448">
        <v>-1.1094371599549999</v>
      </c>
      <c r="AH2448">
        <v>13.0272057687794</v>
      </c>
      <c r="AI2448">
        <v>94.717106967492697</v>
      </c>
      <c r="AJ2448">
        <v>104.323989019858</v>
      </c>
      <c r="AK2448">
        <v>13.490881889114499</v>
      </c>
      <c r="AL2448">
        <v>94.091284507222298</v>
      </c>
      <c r="AM2448">
        <v>102.57076374627199</v>
      </c>
      <c r="AN2448">
        <v>1.0000000174635799</v>
      </c>
    </row>
    <row r="2449" spans="1:40" x14ac:dyDescent="0.25">
      <c r="A2449" t="str">
        <f>"20190305135241516"</f>
        <v>20190305135241516</v>
      </c>
      <c r="B2449" t="str">
        <f>"1551765161512028"</f>
        <v>1551765161512028</v>
      </c>
      <c r="C2449" t="s">
        <v>40</v>
      </c>
      <c r="D2449">
        <v>4.4792259999999997</v>
      </c>
      <c r="E2449">
        <v>0.49041659999999998</v>
      </c>
      <c r="F2449" t="s">
        <v>55</v>
      </c>
      <c r="G2449">
        <v>-473.88940000000002</v>
      </c>
      <c r="H2449" s="1">
        <v>4.6746920000000001E-6</v>
      </c>
      <c r="I2449">
        <v>282.16109999999998</v>
      </c>
      <c r="J2449">
        <v>-460.75810000000001</v>
      </c>
      <c r="K2449">
        <v>1.1094459999999999</v>
      </c>
      <c r="L2449">
        <v>285.60359999999997</v>
      </c>
      <c r="M2449">
        <v>-0.99989240000000001</v>
      </c>
      <c r="N2449">
        <v>-1.3764999999999999E-2</v>
      </c>
      <c r="O2449">
        <v>-5.0945390000000004E-3</v>
      </c>
      <c r="P2449">
        <v>-0.97118190000000004</v>
      </c>
      <c r="Q2449">
        <v>-8.5407440000000001E-2</v>
      </c>
      <c r="R2449">
        <v>-0.22251199999999999</v>
      </c>
      <c r="S2449">
        <v>-2.898193</v>
      </c>
      <c r="T2449">
        <v>-0.23879649999999999</v>
      </c>
      <c r="U2449">
        <v>-0.74136349999999995</v>
      </c>
      <c r="V2449">
        <v>-0.2175366</v>
      </c>
      <c r="W2449">
        <v>-7.2089070000000005E-2</v>
      </c>
      <c r="X2449">
        <v>0.97338630000000004</v>
      </c>
      <c r="Y2449">
        <v>-0.24198910000000001</v>
      </c>
      <c r="Z2449">
        <v>-1.114719E-2</v>
      </c>
      <c r="AA2449">
        <v>0.97021489999999999</v>
      </c>
      <c r="AB2449">
        <v>33</v>
      </c>
      <c r="AC2449">
        <v>-13.1313</v>
      </c>
      <c r="AD2449">
        <v>-1.109441325308</v>
      </c>
      <c r="AE2449">
        <v>-3.4424999999999901</v>
      </c>
      <c r="AF2449">
        <v>-3.3531545902660298</v>
      </c>
      <c r="AG2449">
        <v>-1.109441325308</v>
      </c>
      <c r="AH2449">
        <v>13.061428936996</v>
      </c>
      <c r="AI2449">
        <v>94.703268649878893</v>
      </c>
      <c r="AJ2449">
        <v>104.39814658013</v>
      </c>
      <c r="AK2449">
        <v>13.530537004743</v>
      </c>
      <c r="AL2449">
        <v>94.133985568938598</v>
      </c>
      <c r="AM2449">
        <v>102.597700562379</v>
      </c>
      <c r="AN2449">
        <v>0.99999994769035605</v>
      </c>
    </row>
    <row r="2450" spans="1:40" x14ac:dyDescent="0.25">
      <c r="A2450" t="str">
        <f>"20190305135241539"</f>
        <v>20190305135241539</v>
      </c>
      <c r="B2450" t="str">
        <f>"1551765161531557"</f>
        <v>1551765161531557</v>
      </c>
      <c r="C2450" t="s">
        <v>40</v>
      </c>
      <c r="D2450">
        <v>4.4666199999999998</v>
      </c>
      <c r="E2450">
        <v>0.49037399999999998</v>
      </c>
      <c r="F2450" t="s">
        <v>55</v>
      </c>
      <c r="G2450">
        <v>-474.22829999999999</v>
      </c>
      <c r="H2450" s="1">
        <v>4.5230910000000003E-6</v>
      </c>
      <c r="I2450">
        <v>282.14600000000002</v>
      </c>
      <c r="J2450">
        <v>-461.084</v>
      </c>
      <c r="K2450">
        <v>1.1094349999999999</v>
      </c>
      <c r="L2450">
        <v>285.60169999999999</v>
      </c>
      <c r="M2450">
        <v>-0.99989139999999999</v>
      </c>
      <c r="N2450">
        <v>-1.3763310000000001E-2</v>
      </c>
      <c r="O2450">
        <v>-5.2746900000000003E-3</v>
      </c>
      <c r="P2450">
        <v>-0.97105620000000004</v>
      </c>
      <c r="Q2450">
        <v>-8.52406E-2</v>
      </c>
      <c r="R2450">
        <v>-0.22312360000000001</v>
      </c>
      <c r="S2450">
        <v>-2.897583</v>
      </c>
      <c r="T2450">
        <v>-0.23865410000000001</v>
      </c>
      <c r="U2450">
        <v>-0.74377439999999995</v>
      </c>
      <c r="V2450">
        <v>-0.2179731</v>
      </c>
      <c r="W2450">
        <v>-7.1926619999999997E-2</v>
      </c>
      <c r="X2450">
        <v>0.97330070000000002</v>
      </c>
      <c r="Y2450">
        <v>-0.2426198</v>
      </c>
      <c r="Z2450">
        <v>-1.116032E-2</v>
      </c>
      <c r="AA2450">
        <v>0.97005719999999995</v>
      </c>
      <c r="AB2450">
        <v>33</v>
      </c>
      <c r="AC2450">
        <v>-13.1442999999999</v>
      </c>
      <c r="AD2450">
        <v>-1.109430476909</v>
      </c>
      <c r="AE2450">
        <v>-3.45570000000003</v>
      </c>
      <c r="AF2450">
        <v>-3.3638980733029902</v>
      </c>
      <c r="AG2450">
        <v>-1.109430476909</v>
      </c>
      <c r="AH2450">
        <v>13.075220488213599</v>
      </c>
      <c r="AI2450">
        <v>94.697663080891502</v>
      </c>
      <c r="AJ2450">
        <v>104.42775421968</v>
      </c>
      <c r="AK2450">
        <v>13.5465138336794</v>
      </c>
      <c r="AL2450">
        <v>94.124653503040705</v>
      </c>
      <c r="AM2450">
        <v>102.62324393277</v>
      </c>
      <c r="AN2450">
        <v>0.999999981804362</v>
      </c>
    </row>
    <row r="2451" spans="1:40" x14ac:dyDescent="0.25">
      <c r="A2451" t="str">
        <f>"20190305135241560"</f>
        <v>20190305135241560</v>
      </c>
      <c r="B2451" t="str">
        <f>"1551765161552043"</f>
        <v>1551765161552043</v>
      </c>
      <c r="C2451" t="s">
        <v>40</v>
      </c>
      <c r="D2451">
        <v>4.4910139999999998</v>
      </c>
      <c r="E2451">
        <v>0.49032189999999998</v>
      </c>
      <c r="F2451" t="s">
        <v>55</v>
      </c>
      <c r="G2451">
        <v>-474.66449999999998</v>
      </c>
      <c r="H2451" s="1">
        <v>4.3260370000000001E-6</v>
      </c>
      <c r="I2451">
        <v>282.1046</v>
      </c>
      <c r="J2451">
        <v>-461.4042</v>
      </c>
      <c r="K2451">
        <v>1.1094349999999999</v>
      </c>
      <c r="L2451">
        <v>285.59980000000002</v>
      </c>
      <c r="M2451">
        <v>-0.99989039999999996</v>
      </c>
      <c r="N2451">
        <v>-1.3761489999999999E-2</v>
      </c>
      <c r="O2451">
        <v>-5.4746639999999997E-3</v>
      </c>
      <c r="P2451">
        <v>-0.9710472</v>
      </c>
      <c r="Q2451">
        <v>-8.3908990000000003E-2</v>
      </c>
      <c r="R2451">
        <v>-0.22366749999999999</v>
      </c>
      <c r="S2451">
        <v>-2.8972470000000001</v>
      </c>
      <c r="T2451">
        <v>-0.23668620000000001</v>
      </c>
      <c r="U2451">
        <v>-0.74609380000000003</v>
      </c>
      <c r="V2451">
        <v>-0.21832099999999999</v>
      </c>
      <c r="W2451">
        <v>-7.0602719999999994E-2</v>
      </c>
      <c r="X2451">
        <v>0.97331959999999995</v>
      </c>
      <c r="Y2451">
        <v>-0.2431931</v>
      </c>
      <c r="Z2451">
        <v>-1.109684E-2</v>
      </c>
      <c r="AA2451">
        <v>0.96991439999999995</v>
      </c>
      <c r="AB2451">
        <v>33</v>
      </c>
      <c r="AC2451">
        <v>-13.2602999999999</v>
      </c>
      <c r="AD2451">
        <v>-1.109430673963</v>
      </c>
      <c r="AE2451">
        <v>-3.4952000000000099</v>
      </c>
      <c r="AF2451">
        <v>-3.40028950490235</v>
      </c>
      <c r="AG2451">
        <v>-1.109430673963</v>
      </c>
      <c r="AH2451">
        <v>13.1928881051379</v>
      </c>
      <c r="AI2451">
        <v>94.655431234416</v>
      </c>
      <c r="AJ2451">
        <v>104.452675087381</v>
      </c>
      <c r="AK2451">
        <v>13.669129514792299</v>
      </c>
      <c r="AL2451">
        <v>94.048606495641593</v>
      </c>
      <c r="AM2451">
        <v>102.64250673077299</v>
      </c>
      <c r="AN2451">
        <v>0.99999992342827604</v>
      </c>
    </row>
    <row r="2452" spans="1:40" x14ac:dyDescent="0.25">
      <c r="A2452" t="str">
        <f>"20190305135241583"</f>
        <v>20190305135241583</v>
      </c>
      <c r="B2452" t="str">
        <f>"1551765161571563"</f>
        <v>1551765161571563</v>
      </c>
      <c r="C2452" t="s">
        <v>40</v>
      </c>
      <c r="D2452">
        <v>4.4807980000000001</v>
      </c>
      <c r="E2452">
        <v>0.49025849999999999</v>
      </c>
      <c r="F2452" t="s">
        <v>55</v>
      </c>
      <c r="G2452">
        <v>-475.286</v>
      </c>
      <c r="H2452" s="1">
        <v>4.0424719999999999E-6</v>
      </c>
      <c r="I2452">
        <v>282.01369999999997</v>
      </c>
      <c r="J2452">
        <v>-461.73079999999999</v>
      </c>
      <c r="K2452">
        <v>1.1094539999999999</v>
      </c>
      <c r="L2452">
        <v>285.59780000000001</v>
      </c>
      <c r="M2452">
        <v>-0.99988900000000003</v>
      </c>
      <c r="N2452">
        <v>-1.375969E-2</v>
      </c>
      <c r="O2452">
        <v>-5.7245219999999897E-3</v>
      </c>
      <c r="P2452">
        <v>-0.97051240000000005</v>
      </c>
      <c r="Q2452">
        <v>-8.4997639999999999E-2</v>
      </c>
      <c r="R2452">
        <v>-0.22556880000000001</v>
      </c>
      <c r="S2452">
        <v>-2.8970950000000002</v>
      </c>
      <c r="T2452">
        <v>-0.23153609999999999</v>
      </c>
      <c r="U2452">
        <v>-0.74841309999999905</v>
      </c>
      <c r="V2452">
        <v>-0.2199768</v>
      </c>
      <c r="W2452">
        <v>-7.1715539999999994E-2</v>
      </c>
      <c r="X2452">
        <v>0.97286539999999999</v>
      </c>
      <c r="Y2452">
        <v>-0.24372489999999999</v>
      </c>
      <c r="Z2452">
        <v>-1.0902429999999999E-2</v>
      </c>
      <c r="AA2452">
        <v>0.96978310000000001</v>
      </c>
      <c r="AB2452">
        <v>33</v>
      </c>
      <c r="AC2452">
        <v>-13.555199999999999</v>
      </c>
      <c r="AD2452">
        <v>-1.1094499575279999</v>
      </c>
      <c r="AE2452">
        <v>-3.58410000000003</v>
      </c>
      <c r="AF2452">
        <v>-3.4846190751229802</v>
      </c>
      <c r="AG2452">
        <v>-1.1094499575279999</v>
      </c>
      <c r="AH2452">
        <v>13.491027391036701</v>
      </c>
      <c r="AI2452">
        <v>94.552457967072201</v>
      </c>
      <c r="AJ2452">
        <v>104.482492084363</v>
      </c>
      <c r="AK2452">
        <v>13.9778850107115</v>
      </c>
      <c r="AL2452">
        <v>94.112528126147495</v>
      </c>
      <c r="AM2452">
        <v>102.74102638620801</v>
      </c>
      <c r="AN2452">
        <v>0.99999999886644497</v>
      </c>
    </row>
    <row r="2453" spans="1:40" x14ac:dyDescent="0.25">
      <c r="A2453" t="str">
        <f>"20190305135241607"</f>
        <v>20190305135241607</v>
      </c>
      <c r="B2453" t="str">
        <f>"1551765161601819"</f>
        <v>1551765161601819</v>
      </c>
      <c r="C2453" t="s">
        <v>40</v>
      </c>
      <c r="D2453">
        <v>4.5332460000000001</v>
      </c>
      <c r="E2453">
        <v>0.49015239999999999</v>
      </c>
      <c r="F2453" t="s">
        <v>55</v>
      </c>
      <c r="G2453">
        <v>-475.48079999999999</v>
      </c>
      <c r="H2453" s="1">
        <v>3.9561850000000001E-6</v>
      </c>
      <c r="I2453">
        <v>282.01479999999998</v>
      </c>
      <c r="J2453">
        <v>-462.07209999999998</v>
      </c>
      <c r="K2453">
        <v>1.1094869999999999</v>
      </c>
      <c r="L2453">
        <v>285.59550000000002</v>
      </c>
      <c r="M2453">
        <v>-0.99988699999999997</v>
      </c>
      <c r="N2453">
        <v>-1.3758070000000001E-2</v>
      </c>
      <c r="O2453">
        <v>-6.0698590000000004E-3</v>
      </c>
      <c r="P2453">
        <v>-0.96960840000000004</v>
      </c>
      <c r="Q2453">
        <v>-8.7590959999999995E-2</v>
      </c>
      <c r="R2453">
        <v>-0.22844619999999999</v>
      </c>
      <c r="S2453">
        <v>-2.8952939999999998</v>
      </c>
      <c r="T2453">
        <v>-0.2336144</v>
      </c>
      <c r="U2453">
        <v>-0.7544556</v>
      </c>
      <c r="V2453">
        <v>-0.22251309999999999</v>
      </c>
      <c r="W2453">
        <v>-7.4352669999999996E-2</v>
      </c>
      <c r="X2453">
        <v>0.97209029999999996</v>
      </c>
      <c r="Y2453">
        <v>-0.24541199999999999</v>
      </c>
      <c r="Z2453">
        <v>-1.104343E-2</v>
      </c>
      <c r="AA2453">
        <v>0.96935590000000005</v>
      </c>
      <c r="AB2453">
        <v>33</v>
      </c>
      <c r="AC2453">
        <v>-13.4087</v>
      </c>
      <c r="AD2453">
        <v>-1.1094830438150001</v>
      </c>
      <c r="AE2453">
        <v>-3.58070000000003</v>
      </c>
      <c r="AF2453">
        <v>-3.4770166538122802</v>
      </c>
      <c r="AG2453">
        <v>-1.1094830438150001</v>
      </c>
      <c r="AH2453">
        <v>13.344905348470199</v>
      </c>
      <c r="AI2453">
        <v>94.5997145648752</v>
      </c>
      <c r="AJ2453">
        <v>104.60373584411001</v>
      </c>
      <c r="AK2453">
        <v>13.834995344958701</v>
      </c>
      <c r="AL2453">
        <v>94.264029282910201</v>
      </c>
      <c r="AM2453">
        <v>102.892982631496</v>
      </c>
      <c r="AN2453">
        <v>0.999999975280914</v>
      </c>
    </row>
    <row r="2454" spans="1:40" x14ac:dyDescent="0.25">
      <c r="A2454" t="str">
        <f>"20190305135241630"</f>
        <v>20190305135241630</v>
      </c>
      <c r="B2454" t="str">
        <f>"1551765161622315"</f>
        <v>1551765161622315</v>
      </c>
      <c r="C2454" t="s">
        <v>40</v>
      </c>
      <c r="D2454">
        <v>4.5310730000000001</v>
      </c>
      <c r="E2454">
        <v>0.49005769999999998</v>
      </c>
      <c r="F2454" t="s">
        <v>55</v>
      </c>
      <c r="G2454">
        <v>-475.44349999999997</v>
      </c>
      <c r="H2454" s="1">
        <v>3.9768889999999999E-6</v>
      </c>
      <c r="I2454">
        <v>282.06259999999997</v>
      </c>
      <c r="J2454">
        <v>-462.40199999999999</v>
      </c>
      <c r="K2454">
        <v>1.109556</v>
      </c>
      <c r="L2454">
        <v>285.59300000000002</v>
      </c>
      <c r="M2454">
        <v>-0.9998842</v>
      </c>
      <c r="N2454">
        <v>-1.375679E-2</v>
      </c>
      <c r="O2454">
        <v>-6.5211519999999997E-3</v>
      </c>
      <c r="P2454">
        <v>-0.96871879999999999</v>
      </c>
      <c r="Q2454">
        <v>-8.9890639999999994E-2</v>
      </c>
      <c r="R2454">
        <v>-0.2313095</v>
      </c>
      <c r="S2454">
        <v>-2.892334</v>
      </c>
      <c r="T2454">
        <v>-0.2399886</v>
      </c>
      <c r="U2454">
        <v>-0.764190699999999</v>
      </c>
      <c r="V2454">
        <v>-0.2249274</v>
      </c>
      <c r="W2454">
        <v>-7.6709869999999999E-2</v>
      </c>
      <c r="X2454">
        <v>0.97135130000000003</v>
      </c>
      <c r="Y2454">
        <v>-0.2482135</v>
      </c>
      <c r="Z2454">
        <v>-1.1403959999999999E-2</v>
      </c>
      <c r="AA2454">
        <v>0.9686382</v>
      </c>
      <c r="AB2454">
        <v>33</v>
      </c>
      <c r="AC2454">
        <v>-13.0414999999999</v>
      </c>
      <c r="AD2454">
        <v>-1.1095520231110001</v>
      </c>
      <c r="AE2454">
        <v>-3.5304000000000402</v>
      </c>
      <c r="AF2454">
        <v>-3.4221915286985101</v>
      </c>
      <c r="AG2454">
        <v>-1.1095520231110001</v>
      </c>
      <c r="AH2454">
        <v>12.9767301858171</v>
      </c>
      <c r="AI2454">
        <v>94.726269605292799</v>
      </c>
      <c r="AJ2454">
        <v>104.77354793529101</v>
      </c>
      <c r="AK2454">
        <v>13.4661808567456</v>
      </c>
      <c r="AL2454">
        <v>94.399473534394602</v>
      </c>
      <c r="AM2454">
        <v>103.03769861627001</v>
      </c>
      <c r="AN2454">
        <v>1.00000004371893</v>
      </c>
    </row>
    <row r="2455" spans="1:40" x14ac:dyDescent="0.25">
      <c r="A2455" t="str">
        <f>"20190305135241650"</f>
        <v>20190305135241650</v>
      </c>
      <c r="B2455" t="str">
        <f>"1551765161641835"</f>
        <v>1551765161641835</v>
      </c>
      <c r="C2455" t="s">
        <v>40</v>
      </c>
      <c r="D2455">
        <v>4.5567820000000001</v>
      </c>
      <c r="E2455">
        <v>0.48997980000000002</v>
      </c>
      <c r="F2455" t="s">
        <v>55</v>
      </c>
      <c r="G2455">
        <v>-475.45319999999998</v>
      </c>
      <c r="H2455" s="1">
        <v>3.9757510000000002E-6</v>
      </c>
      <c r="I2455">
        <v>282.09859999999998</v>
      </c>
      <c r="J2455">
        <v>-462.71379999999999</v>
      </c>
      <c r="K2455">
        <v>1.109637</v>
      </c>
      <c r="L2455">
        <v>285.59050000000002</v>
      </c>
      <c r="M2455">
        <v>-0.99988060000000001</v>
      </c>
      <c r="N2455">
        <v>-1.375577E-2</v>
      </c>
      <c r="O2455">
        <v>-7.045618E-3</v>
      </c>
      <c r="P2455">
        <v>-0.96772029999999998</v>
      </c>
      <c r="Q2455">
        <v>-9.0952389999999994E-2</v>
      </c>
      <c r="R2455">
        <v>-0.23504249999999999</v>
      </c>
      <c r="S2455">
        <v>-2.889313</v>
      </c>
      <c r="T2455">
        <v>-0.2456373</v>
      </c>
      <c r="U2455">
        <v>-0.77362059999999999</v>
      </c>
      <c r="V2455">
        <v>-0.22814110000000001</v>
      </c>
      <c r="W2455">
        <v>-7.7834349999999997E-2</v>
      </c>
      <c r="X2455">
        <v>0.97051200000000004</v>
      </c>
      <c r="Y2455">
        <v>-0.25085649999999998</v>
      </c>
      <c r="Z2455">
        <v>-1.172728E-2</v>
      </c>
      <c r="AA2455">
        <v>0.96795330000000002</v>
      </c>
      <c r="AB2455">
        <v>33</v>
      </c>
      <c r="AC2455">
        <v>-12.7393999999999</v>
      </c>
      <c r="AD2455">
        <v>-1.109633024249</v>
      </c>
      <c r="AE2455">
        <v>-3.4919000000000402</v>
      </c>
      <c r="AF2455">
        <v>-3.3782090168531198</v>
      </c>
      <c r="AG2455">
        <v>-1.109633024249</v>
      </c>
      <c r="AH2455">
        <v>12.674250829012999</v>
      </c>
      <c r="AI2455">
        <v>94.835520095093202</v>
      </c>
      <c r="AJ2455">
        <v>104.92470126138799</v>
      </c>
      <c r="AK2455">
        <v>13.163594330075201</v>
      </c>
      <c r="AL2455">
        <v>94.4640947028266</v>
      </c>
      <c r="AM2455">
        <v>103.228511055159</v>
      </c>
      <c r="AN2455">
        <v>1.00000004484656</v>
      </c>
    </row>
    <row r="2456" spans="1:40" x14ac:dyDescent="0.25">
      <c r="A2456" t="str">
        <f>"20190305135241673"</f>
        <v>20190305135241673</v>
      </c>
      <c r="B2456" t="str">
        <f>"1551765161662332"</f>
        <v>1551765161662332</v>
      </c>
      <c r="C2456" t="s">
        <v>40</v>
      </c>
      <c r="D2456">
        <v>4.5455139999999998</v>
      </c>
      <c r="E2456">
        <v>0.48988680000000001</v>
      </c>
      <c r="F2456" t="s">
        <v>55</v>
      </c>
      <c r="G2456">
        <v>-475.64980000000003</v>
      </c>
      <c r="H2456" s="1">
        <v>3.8860730000000003E-6</v>
      </c>
      <c r="I2456">
        <v>282.07049999999998</v>
      </c>
      <c r="J2456">
        <v>-463.03859999999997</v>
      </c>
      <c r="K2456">
        <v>1.1097330000000001</v>
      </c>
      <c r="L2456">
        <v>285.5874</v>
      </c>
      <c r="M2456">
        <v>-0.99987550000000003</v>
      </c>
      <c r="N2456">
        <v>-1.3754789999999999E-2</v>
      </c>
      <c r="O2456">
        <v>-7.7279660000000002E-3</v>
      </c>
      <c r="P2456">
        <v>-0.96680679999999997</v>
      </c>
      <c r="Q2456">
        <v>-9.0412179999999995E-2</v>
      </c>
      <c r="R2456">
        <v>-0.2389783</v>
      </c>
      <c r="S2456">
        <v>-2.886047</v>
      </c>
      <c r="T2456">
        <v>-0.24756040000000001</v>
      </c>
      <c r="U2456">
        <v>-0.78530880000000003</v>
      </c>
      <c r="V2456">
        <v>-0.2314039</v>
      </c>
      <c r="W2456">
        <v>-7.7365069999999994E-2</v>
      </c>
      <c r="X2456">
        <v>0.96977670000000005</v>
      </c>
      <c r="Y2456">
        <v>-0.25409559999999998</v>
      </c>
      <c r="Z2456">
        <v>-1.1921599999999999E-2</v>
      </c>
      <c r="AA2456">
        <v>0.96710560000000001</v>
      </c>
      <c r="AB2456">
        <v>33</v>
      </c>
      <c r="AC2456">
        <v>-12.6112</v>
      </c>
      <c r="AD2456">
        <v>-1.109729113927</v>
      </c>
      <c r="AE2456">
        <v>-3.5169000000000201</v>
      </c>
      <c r="AF2456">
        <v>-3.39493595992939</v>
      </c>
      <c r="AG2456">
        <v>-1.109729113927</v>
      </c>
      <c r="AH2456">
        <v>12.5478545776653</v>
      </c>
      <c r="AI2456">
        <v>94.879525751568906</v>
      </c>
      <c r="AJ2456">
        <v>105.139427182823</v>
      </c>
      <c r="AK2456">
        <v>13.0462923231298</v>
      </c>
      <c r="AL2456">
        <v>94.437125890766595</v>
      </c>
      <c r="AM2456">
        <v>103.420712335297</v>
      </c>
      <c r="AN2456">
        <v>0.99999998342710195</v>
      </c>
    </row>
    <row r="2457" spans="1:40" x14ac:dyDescent="0.25">
      <c r="A2457" t="str">
        <f>"20190305135241695"</f>
        <v>20190305135241695</v>
      </c>
      <c r="B2457" t="str">
        <f>"1551765161681852"</f>
        <v>1551765161681852</v>
      </c>
      <c r="C2457" t="s">
        <v>40</v>
      </c>
      <c r="D2457">
        <v>4.5885259999999999</v>
      </c>
      <c r="E2457">
        <v>0.4898151</v>
      </c>
      <c r="F2457" t="s">
        <v>55</v>
      </c>
      <c r="G2457">
        <v>-476.09640000000002</v>
      </c>
      <c r="H2457" s="1">
        <v>3.6795149999999999E-6</v>
      </c>
      <c r="I2457">
        <v>281.97289999999998</v>
      </c>
      <c r="J2457">
        <v>-463.35759999999999</v>
      </c>
      <c r="K2457">
        <v>1.109856</v>
      </c>
      <c r="L2457">
        <v>285.58409999999998</v>
      </c>
      <c r="M2457">
        <v>-0.9998688</v>
      </c>
      <c r="N2457">
        <v>-1.375415E-2</v>
      </c>
      <c r="O2457">
        <v>-8.560682E-3</v>
      </c>
      <c r="P2457">
        <v>-0.96613910000000003</v>
      </c>
      <c r="Q2457">
        <v>-8.8631879999999996E-2</v>
      </c>
      <c r="R2457">
        <v>-0.24232119999999999</v>
      </c>
      <c r="S2457">
        <v>-2.8828429999999998</v>
      </c>
      <c r="T2457">
        <v>-0.24500069999999999</v>
      </c>
      <c r="U2457">
        <v>-0.79800419999999905</v>
      </c>
      <c r="V2457">
        <v>-0.2339272</v>
      </c>
      <c r="W2457">
        <v>-7.5660060000000001E-2</v>
      </c>
      <c r="X2457">
        <v>0.9693058</v>
      </c>
      <c r="Y2457">
        <v>-0.25752799999999998</v>
      </c>
      <c r="Z2457">
        <v>-1.193292E-2</v>
      </c>
      <c r="AA2457">
        <v>0.96619710000000003</v>
      </c>
      <c r="AB2457">
        <v>33</v>
      </c>
      <c r="AC2457">
        <v>-12.738799999999999</v>
      </c>
      <c r="AD2457">
        <v>-1.1098523204849999</v>
      </c>
      <c r="AE2457">
        <v>-3.61119999999999</v>
      </c>
      <c r="AF2457">
        <v>-3.4775713152241998</v>
      </c>
      <c r="AG2457">
        <v>-1.1098523204849999</v>
      </c>
      <c r="AH2457">
        <v>12.680160340039899</v>
      </c>
      <c r="AI2457">
        <v>94.8248876920443</v>
      </c>
      <c r="AJ2457">
        <v>105.336449948696</v>
      </c>
      <c r="AK2457">
        <v>13.1951407978421</v>
      </c>
      <c r="AL2457">
        <v>94.339148472861197</v>
      </c>
      <c r="AM2457">
        <v>103.568023318763</v>
      </c>
      <c r="AN2457">
        <v>1.0000000567463401</v>
      </c>
    </row>
    <row r="2458" spans="1:40" x14ac:dyDescent="0.25">
      <c r="A2458" t="str">
        <f>"20190305135241711"</f>
        <v>20190305135241711</v>
      </c>
      <c r="B2458" t="str">
        <f>"1551765161702347"</f>
        <v>1551765161702347</v>
      </c>
      <c r="C2458" t="s">
        <v>40</v>
      </c>
      <c r="D2458">
        <v>4.587453</v>
      </c>
      <c r="E2458">
        <v>0.48973650000000002</v>
      </c>
      <c r="F2458" t="s">
        <v>55</v>
      </c>
      <c r="G2458">
        <v>-476.75139999999999</v>
      </c>
      <c r="H2458" s="1">
        <v>3.3761210000000001E-6</v>
      </c>
      <c r="I2458">
        <v>281.82499999999999</v>
      </c>
      <c r="J2458">
        <v>-463.59500000000003</v>
      </c>
      <c r="K2458">
        <v>1.1099619999999999</v>
      </c>
      <c r="L2458">
        <v>285.58150000000001</v>
      </c>
      <c r="M2458">
        <v>-0.99986240000000004</v>
      </c>
      <c r="N2458">
        <v>-1.375412E-2</v>
      </c>
      <c r="O2458">
        <v>-9.2891350000000004E-3</v>
      </c>
      <c r="P2458">
        <v>-0.96567000000000003</v>
      </c>
      <c r="Q2458">
        <v>-8.8199910000000006E-2</v>
      </c>
      <c r="R2458">
        <v>-0.2443408</v>
      </c>
      <c r="S2458">
        <v>-2.8804319999999999</v>
      </c>
      <c r="T2458">
        <v>-0.23868200000000001</v>
      </c>
      <c r="U2458">
        <v>-0.80844119999999997</v>
      </c>
      <c r="V2458">
        <v>-0.23522870000000001</v>
      </c>
      <c r="W2458">
        <v>-7.5288649999999999E-2</v>
      </c>
      <c r="X2458">
        <v>0.96901970000000004</v>
      </c>
      <c r="Y2458">
        <v>-0.26031670000000001</v>
      </c>
      <c r="Z2458">
        <v>-1.1762959999999999E-2</v>
      </c>
      <c r="AA2458">
        <v>0.96545170000000002</v>
      </c>
      <c r="AB2458">
        <v>33</v>
      </c>
      <c r="AC2458">
        <v>-13.1563999999999</v>
      </c>
      <c r="AD2458">
        <v>-1.109958623879</v>
      </c>
      <c r="AE2458">
        <v>-3.7565000000000102</v>
      </c>
      <c r="AF2458">
        <v>-3.6103544394682898</v>
      </c>
      <c r="AG2458">
        <v>-1.109958623879</v>
      </c>
      <c r="AH2458">
        <v>13.1044874063411</v>
      </c>
      <c r="AI2458">
        <v>94.668316336969895</v>
      </c>
      <c r="AJ2458">
        <v>105.40315854089199</v>
      </c>
      <c r="AK2458">
        <v>13.637971165399399</v>
      </c>
      <c r="AL2458">
        <v>94.317807404981394</v>
      </c>
      <c r="AM2458">
        <v>103.6445755932</v>
      </c>
      <c r="AN2458">
        <v>1.0000000505552999</v>
      </c>
    </row>
    <row r="2459" spans="1:40" x14ac:dyDescent="0.25">
      <c r="A2459" t="str">
        <f>"20190305135241724"</f>
        <v>20190305135241724</v>
      </c>
      <c r="B2459" t="str">
        <f>"1551765161721867"</f>
        <v>1551765161721867</v>
      </c>
      <c r="C2459" t="s">
        <v>40</v>
      </c>
      <c r="D2459">
        <v>4.5527379999999997</v>
      </c>
      <c r="E2459">
        <v>0.48967949999999999</v>
      </c>
      <c r="F2459" t="s">
        <v>55</v>
      </c>
      <c r="G2459">
        <v>-477.11540000000002</v>
      </c>
      <c r="H2459" s="1">
        <v>3.208336E-6</v>
      </c>
      <c r="I2459">
        <v>281.75200000000001</v>
      </c>
      <c r="J2459">
        <v>-463.79559999999998</v>
      </c>
      <c r="K2459">
        <v>1.110058</v>
      </c>
      <c r="L2459">
        <v>285.57889999999998</v>
      </c>
      <c r="M2459">
        <v>-0.99985570000000001</v>
      </c>
      <c r="N2459">
        <v>-1.375432E-2</v>
      </c>
      <c r="O2459">
        <v>-9.9686900000000005E-3</v>
      </c>
      <c r="P2459">
        <v>-0.96525430000000001</v>
      </c>
      <c r="Q2459">
        <v>-8.7554800000000002E-2</v>
      </c>
      <c r="R2459">
        <v>-0.2462078</v>
      </c>
      <c r="S2459">
        <v>-2.8787539999999998</v>
      </c>
      <c r="T2459">
        <v>-0.23633180000000001</v>
      </c>
      <c r="U2459">
        <v>-0.81536869999999995</v>
      </c>
      <c r="V2459">
        <v>-0.236427</v>
      </c>
      <c r="W2459">
        <v>-7.4698479999999998E-2</v>
      </c>
      <c r="X2459">
        <v>0.96877369999999996</v>
      </c>
      <c r="Y2459">
        <v>-0.26197100000000001</v>
      </c>
      <c r="Z2459">
        <v>-1.1702219999999999E-2</v>
      </c>
      <c r="AA2459">
        <v>0.9650048</v>
      </c>
      <c r="AB2459">
        <v>33</v>
      </c>
      <c r="AC2459">
        <v>-13.319800000000001</v>
      </c>
      <c r="AD2459">
        <v>-1.110054791664</v>
      </c>
      <c r="AE2459">
        <v>-3.8268999999999598</v>
      </c>
      <c r="AF2459">
        <v>-3.6703681573871698</v>
      </c>
      <c r="AG2459">
        <v>-1.110054791664</v>
      </c>
      <c r="AH2459">
        <v>13.2721402018504</v>
      </c>
      <c r="AI2459">
        <v>94.608773747273702</v>
      </c>
      <c r="AJ2459">
        <v>105.458613706348</v>
      </c>
      <c r="AK2459">
        <v>13.8149748312775</v>
      </c>
      <c r="AL2459">
        <v>94.283897731279495</v>
      </c>
      <c r="AM2459">
        <v>103.714816643061</v>
      </c>
      <c r="AN2459">
        <v>1.0000000355274901</v>
      </c>
    </row>
    <row r="2460" spans="1:40" x14ac:dyDescent="0.25">
      <c r="A2460" t="str">
        <f>"20190305135241740"</f>
        <v>20190305135241740</v>
      </c>
      <c r="B2460" t="str">
        <f>"1551765161731628"</f>
        <v>1551765161731628</v>
      </c>
      <c r="C2460" t="s">
        <v>40</v>
      </c>
      <c r="D2460">
        <v>4.5537409999999996</v>
      </c>
      <c r="E2460">
        <v>0.48964930000000001</v>
      </c>
      <c r="F2460" t="s">
        <v>55</v>
      </c>
      <c r="G2460">
        <v>-477.4873</v>
      </c>
      <c r="H2460" s="1">
        <v>3.0362190000000001E-6</v>
      </c>
      <c r="I2460">
        <v>281.66989999999998</v>
      </c>
      <c r="J2460">
        <v>-464.00630000000001</v>
      </c>
      <c r="K2460">
        <v>1.1101799999999999</v>
      </c>
      <c r="L2460">
        <v>285.5761</v>
      </c>
      <c r="M2460">
        <v>-0.99984720000000005</v>
      </c>
      <c r="N2460">
        <v>-1.3754769999999999E-2</v>
      </c>
      <c r="O2460">
        <v>-1.0793540000000001E-2</v>
      </c>
      <c r="P2460">
        <v>-0.96472389999999997</v>
      </c>
      <c r="Q2460">
        <v>-8.4185250000000003E-2</v>
      </c>
      <c r="R2460">
        <v>-0.24944050000000001</v>
      </c>
      <c r="S2460">
        <v>-2.8772890000000002</v>
      </c>
      <c r="T2460">
        <v>-0.23327590000000001</v>
      </c>
      <c r="U2460">
        <v>-0.82147219999999999</v>
      </c>
      <c r="V2460">
        <v>-0.23885690000000001</v>
      </c>
      <c r="W2460">
        <v>-7.1393970000000001E-2</v>
      </c>
      <c r="X2460">
        <v>0.96842669999999997</v>
      </c>
      <c r="Y2460">
        <v>-0.26321660000000002</v>
      </c>
      <c r="Z2460">
        <v>-1.158316E-2</v>
      </c>
      <c r="AA2460">
        <v>0.96466730000000001</v>
      </c>
      <c r="AB2460">
        <v>33</v>
      </c>
      <c r="AC2460">
        <v>-13.4809999999999</v>
      </c>
      <c r="AD2460">
        <v>-1.1101769637809999</v>
      </c>
      <c r="AE2460">
        <v>-3.9062000000000099</v>
      </c>
      <c r="AF2460">
        <v>-3.7370701731080498</v>
      </c>
      <c r="AG2460">
        <v>-1.1101769637809999</v>
      </c>
      <c r="AH2460">
        <v>13.4383042743658</v>
      </c>
      <c r="AI2460">
        <v>94.550724097877705</v>
      </c>
      <c r="AJ2460">
        <v>105.540765261424</v>
      </c>
      <c r="AK2460">
        <v>13.992362493163199</v>
      </c>
      <c r="AL2460">
        <v>94.094056186578896</v>
      </c>
      <c r="AM2460">
        <v>103.855142057359</v>
      </c>
      <c r="AN2460">
        <v>0.99999999545143003</v>
      </c>
    </row>
    <row r="2461" spans="1:40" x14ac:dyDescent="0.25">
      <c r="A2461" t="str">
        <f>"20190305135241762"</f>
        <v>20190305135241762</v>
      </c>
      <c r="B2461" t="str">
        <f>"1551765161752123"</f>
        <v>1551765161752123</v>
      </c>
      <c r="C2461" t="s">
        <v>40</v>
      </c>
      <c r="D2461">
        <v>4.5741420000000002</v>
      </c>
      <c r="E2461">
        <v>0.48960629999999999</v>
      </c>
      <c r="F2461" t="s">
        <v>55</v>
      </c>
      <c r="G2461">
        <v>-478.34609999999998</v>
      </c>
      <c r="H2461" s="1">
        <v>2.6343540000000001E-6</v>
      </c>
      <c r="I2461">
        <v>281.42959999999999</v>
      </c>
      <c r="J2461">
        <v>-464.3374</v>
      </c>
      <c r="K2461">
        <v>1.1103809999999901</v>
      </c>
      <c r="L2461">
        <v>285.5711</v>
      </c>
      <c r="M2461">
        <v>-0.99982990000000005</v>
      </c>
      <c r="N2461">
        <v>-1.3806769999999999E-2</v>
      </c>
      <c r="O2461">
        <v>-1.2228259999999999E-2</v>
      </c>
      <c r="P2461">
        <v>-0.96414180000000005</v>
      </c>
      <c r="Q2461">
        <v>-8.1095780000000006E-2</v>
      </c>
      <c r="R2461">
        <v>-0.25269350000000002</v>
      </c>
      <c r="S2461">
        <v>-2.875305</v>
      </c>
      <c r="T2461">
        <v>-0.2226043</v>
      </c>
      <c r="U2461">
        <v>-0.83142090000000002</v>
      </c>
      <c r="V2461">
        <v>-0.24070829999999999</v>
      </c>
      <c r="W2461">
        <v>-6.8354579999999998E-2</v>
      </c>
      <c r="X2461">
        <v>0.96818760000000004</v>
      </c>
      <c r="Y2461">
        <v>-0.26516190000000001</v>
      </c>
      <c r="Z2461">
        <v>-1.115387E-2</v>
      </c>
      <c r="AA2461">
        <v>0.96413939999999998</v>
      </c>
      <c r="AB2461">
        <v>32</v>
      </c>
      <c r="AC2461">
        <v>-14.0086999999999</v>
      </c>
      <c r="AD2461">
        <v>-1.11037836564599</v>
      </c>
      <c r="AE2461">
        <v>-4.1414999999999997</v>
      </c>
      <c r="AF2461">
        <v>-3.9470668941405802</v>
      </c>
      <c r="AG2461">
        <v>-1.11037836564599</v>
      </c>
      <c r="AH2461">
        <v>13.9775422708025</v>
      </c>
      <c r="AI2461">
        <v>94.371785405267602</v>
      </c>
      <c r="AJ2461">
        <v>105.768954426631</v>
      </c>
      <c r="AK2461">
        <v>14.5665357966054</v>
      </c>
      <c r="AL2461">
        <v>93.919485071088403</v>
      </c>
      <c r="AM2461">
        <v>103.961662836168</v>
      </c>
      <c r="AN2461">
        <v>1.0000000315448101</v>
      </c>
    </row>
    <row r="2462" spans="1:40" x14ac:dyDescent="0.25">
      <c r="A2462" t="str">
        <f>"20190305135241785"</f>
        <v>20190305135241785</v>
      </c>
      <c r="B2462" t="str">
        <f>"1551765161782379"</f>
        <v>1551765161782379</v>
      </c>
      <c r="C2462" t="s">
        <v>40</v>
      </c>
      <c r="D2462">
        <v>4.5673589999999997</v>
      </c>
      <c r="E2462">
        <v>0.48952420000000002</v>
      </c>
      <c r="F2462" t="s">
        <v>55</v>
      </c>
      <c r="G2462">
        <v>-479.37450000000001</v>
      </c>
      <c r="H2462" s="1">
        <v>2.15544E-6</v>
      </c>
      <c r="I2462">
        <v>281.16820000000001</v>
      </c>
      <c r="J2462">
        <v>-464.65649999999999</v>
      </c>
      <c r="K2462">
        <v>1.1106389999999999</v>
      </c>
      <c r="L2462">
        <v>285.56560000000002</v>
      </c>
      <c r="M2462">
        <v>-0.99980500000000005</v>
      </c>
      <c r="N2462">
        <v>-1.4164049999999999E-2</v>
      </c>
      <c r="O2462">
        <v>-1.3770070000000001E-2</v>
      </c>
      <c r="P2462">
        <v>-0.96360330000000005</v>
      </c>
      <c r="Q2462">
        <v>-7.9135520000000001E-2</v>
      </c>
      <c r="R2462">
        <v>-0.25535560000000002</v>
      </c>
      <c r="S2462">
        <v>-2.873291</v>
      </c>
      <c r="T2462">
        <v>-0.2121711</v>
      </c>
      <c r="U2462">
        <v>-0.84130859999999996</v>
      </c>
      <c r="V2462">
        <v>-0.24186849999999999</v>
      </c>
      <c r="W2462">
        <v>-6.6137710000000002E-2</v>
      </c>
      <c r="X2462">
        <v>0.96805240000000004</v>
      </c>
      <c r="Y2462">
        <v>-0.26697799999999999</v>
      </c>
      <c r="Z2462">
        <v>-1.0771559999999999E-2</v>
      </c>
      <c r="AA2462">
        <v>0.96364240000000001</v>
      </c>
      <c r="AB2462">
        <v>32</v>
      </c>
      <c r="AC2462">
        <v>-14.718</v>
      </c>
      <c r="AD2462">
        <v>-1.1106368445599999</v>
      </c>
      <c r="AE2462">
        <v>-4.3974000000000002</v>
      </c>
      <c r="AF2462">
        <v>-4.1724822458820796</v>
      </c>
      <c r="AG2462">
        <v>-1.1106368445599999</v>
      </c>
      <c r="AH2462">
        <v>14.7003137953881</v>
      </c>
      <c r="AI2462">
        <v>94.157000474668706</v>
      </c>
      <c r="AJ2462">
        <v>105.84586522285301</v>
      </c>
      <c r="AK2462">
        <v>15.321303729629999</v>
      </c>
      <c r="AL2462">
        <v>93.792179674541103</v>
      </c>
      <c r="AM2462">
        <v>104.02818822982699</v>
      </c>
      <c r="AN2462">
        <v>1.0000000085610199</v>
      </c>
    </row>
    <row r="2463" spans="1:40" x14ac:dyDescent="0.25">
      <c r="A2463" t="str">
        <f>"20190305135241799"</f>
        <v>20190305135241799</v>
      </c>
      <c r="B2463" t="str">
        <f>"1551765161792139"</f>
        <v>1551765161792139</v>
      </c>
      <c r="C2463" t="s">
        <v>40</v>
      </c>
      <c r="D2463">
        <v>4.5554880000000004</v>
      </c>
      <c r="E2463">
        <v>0.48948920000000001</v>
      </c>
      <c r="F2463" t="s">
        <v>55</v>
      </c>
      <c r="G2463">
        <v>-480.2226</v>
      </c>
      <c r="H2463" s="1">
        <v>1.925408E-6</v>
      </c>
      <c r="I2463">
        <v>280.95800000000003</v>
      </c>
      <c r="J2463">
        <v>-464.87259999999998</v>
      </c>
      <c r="K2463">
        <v>1.1108480000000001</v>
      </c>
      <c r="L2463">
        <v>285.56150000000002</v>
      </c>
      <c r="M2463">
        <v>-0.99978180000000005</v>
      </c>
      <c r="N2463">
        <v>-1.459881E-2</v>
      </c>
      <c r="O2463">
        <v>-1.493824E-2</v>
      </c>
      <c r="P2463">
        <v>-0.9629858</v>
      </c>
      <c r="Q2463">
        <v>-7.9226829999999998E-2</v>
      </c>
      <c r="R2463">
        <v>-0.25764540000000002</v>
      </c>
      <c r="S2463">
        <v>-2.8712770000000001</v>
      </c>
      <c r="T2463">
        <v>-0.2048653</v>
      </c>
      <c r="U2463">
        <v>-0.84991459999999996</v>
      </c>
      <c r="V2463">
        <v>-0.24302389999999999</v>
      </c>
      <c r="W2463">
        <v>-6.5870369999999998E-2</v>
      </c>
      <c r="X2463">
        <v>0.96778120000000001</v>
      </c>
      <c r="Y2463">
        <v>-0.26873190000000002</v>
      </c>
      <c r="Z2463">
        <v>-1.055202E-2</v>
      </c>
      <c r="AA2463">
        <v>0.96315720000000005</v>
      </c>
      <c r="AB2463">
        <v>32</v>
      </c>
      <c r="AC2463">
        <v>-15.35</v>
      </c>
      <c r="AD2463">
        <v>-1.1108460745919999</v>
      </c>
      <c r="AE2463">
        <v>-4.6035000000000501</v>
      </c>
      <c r="AF2463">
        <v>-4.3527451179460597</v>
      </c>
      <c r="AG2463">
        <v>-1.1108460745919999</v>
      </c>
      <c r="AH2463">
        <v>15.3433385705106</v>
      </c>
      <c r="AI2463">
        <v>93.984258552789896</v>
      </c>
      <c r="AJ2463">
        <v>105.838086252145</v>
      </c>
      <c r="AK2463">
        <v>15.987445310385199</v>
      </c>
      <c r="AL2463">
        <v>93.776828830047904</v>
      </c>
      <c r="AM2463">
        <v>104.09632802940899</v>
      </c>
      <c r="AN2463">
        <v>0.99999998634429299</v>
      </c>
    </row>
    <row r="2464" spans="1:40" x14ac:dyDescent="0.25">
      <c r="A2464" t="str">
        <f>"20190305135241814"</f>
        <v>20190305135241814</v>
      </c>
      <c r="B2464" t="str">
        <f>"1551765161801900"</f>
        <v>1551765161801900</v>
      </c>
      <c r="C2464" t="s">
        <v>40</v>
      </c>
      <c r="D2464">
        <v>4.565029</v>
      </c>
      <c r="E2464">
        <v>0.48946810000000002</v>
      </c>
      <c r="F2464" t="s">
        <v>55</v>
      </c>
      <c r="G2464">
        <v>-480.43189999999998</v>
      </c>
      <c r="H2464" s="1">
        <v>1.9587509999999999E-6</v>
      </c>
      <c r="I2464">
        <v>280.91460000000001</v>
      </c>
      <c r="J2464">
        <v>-465.0693</v>
      </c>
      <c r="K2464">
        <v>1.1110370000000001</v>
      </c>
      <c r="L2464">
        <v>285.5575</v>
      </c>
      <c r="M2464">
        <v>-0.99975800000000004</v>
      </c>
      <c r="N2464">
        <v>-1.501747E-2</v>
      </c>
      <c r="O2464">
        <v>-1.608298E-2</v>
      </c>
      <c r="P2464">
        <v>-0.96245919999999896</v>
      </c>
      <c r="Q2464">
        <v>-7.8970719999999994E-2</v>
      </c>
      <c r="R2464">
        <v>-0.259685</v>
      </c>
      <c r="S2464">
        <v>-2.869202</v>
      </c>
      <c r="T2464">
        <v>-0.20484459999999999</v>
      </c>
      <c r="U2464">
        <v>-0.85690309999999903</v>
      </c>
      <c r="V2464">
        <v>-0.2439518</v>
      </c>
      <c r="W2464">
        <v>-6.5269809999999998E-2</v>
      </c>
      <c r="X2464">
        <v>0.96758840000000002</v>
      </c>
      <c r="Y2464">
        <v>-0.26996740000000002</v>
      </c>
      <c r="Z2464">
        <v>-1.0608080000000001E-2</v>
      </c>
      <c r="AA2464">
        <v>0.96281110000000003</v>
      </c>
      <c r="AB2464">
        <v>32</v>
      </c>
      <c r="AC2464">
        <v>-15.362599999999899</v>
      </c>
      <c r="AD2464">
        <v>-1.111035041249</v>
      </c>
      <c r="AE2464">
        <v>-4.6428999999999903</v>
      </c>
      <c r="AF2464">
        <v>-4.3742313920252203</v>
      </c>
      <c r="AG2464">
        <v>-1.111035041249</v>
      </c>
      <c r="AH2464">
        <v>15.361671009610101</v>
      </c>
      <c r="AI2464">
        <v>93.979087926423404</v>
      </c>
      <c r="AJ2464">
        <v>105.894287895628</v>
      </c>
      <c r="AK2464">
        <v>16.0109098848678</v>
      </c>
      <c r="AL2464">
        <v>93.742345125535294</v>
      </c>
      <c r="AM2464">
        <v>104.15069824959799</v>
      </c>
      <c r="AN2464">
        <v>0.999999970317617</v>
      </c>
    </row>
    <row r="2465" spans="1:40" x14ac:dyDescent="0.25">
      <c r="A2465" t="str">
        <f>"20190305135241830"</f>
        <v>20190305135241830</v>
      </c>
      <c r="B2465" t="str">
        <f>"1551765161822395"</f>
        <v>1551765161822395</v>
      </c>
      <c r="C2465" t="s">
        <v>40</v>
      </c>
      <c r="D2465">
        <v>4.8597669999999997</v>
      </c>
      <c r="E2465">
        <v>0.48941810000000002</v>
      </c>
      <c r="F2465" t="s">
        <v>55</v>
      </c>
      <c r="G2465">
        <v>-480.69850000000002</v>
      </c>
      <c r="H2465" s="1">
        <v>2.0005690000000002E-6</v>
      </c>
      <c r="I2465">
        <v>280.85199999999998</v>
      </c>
      <c r="J2465">
        <v>-465.30180000000001</v>
      </c>
      <c r="K2465">
        <v>1.1112690000000001</v>
      </c>
      <c r="L2465">
        <v>285.55239999999998</v>
      </c>
      <c r="M2465">
        <v>-0.99972589999999995</v>
      </c>
      <c r="N2465">
        <v>-1.55213E-2</v>
      </c>
      <c r="O2465">
        <v>-1.753074E-2</v>
      </c>
      <c r="P2465">
        <v>-0.96159419999999995</v>
      </c>
      <c r="Q2465">
        <v>-7.794239E-2</v>
      </c>
      <c r="R2465">
        <v>-0.26317689999999999</v>
      </c>
      <c r="S2465">
        <v>-2.86734</v>
      </c>
      <c r="T2465">
        <v>-0.20383009999999999</v>
      </c>
      <c r="U2465">
        <v>-0.86328130000000003</v>
      </c>
      <c r="V2465">
        <v>-0.24604470000000001</v>
      </c>
      <c r="W2465">
        <v>-6.3840209999999994E-2</v>
      </c>
      <c r="X2465">
        <v>0.96715379999999995</v>
      </c>
      <c r="Y2465">
        <v>-0.27071050000000002</v>
      </c>
      <c r="Z2465">
        <v>-1.0601019999999999E-2</v>
      </c>
      <c r="AA2465">
        <v>0.96260239999999997</v>
      </c>
      <c r="AB2465">
        <v>32</v>
      </c>
      <c r="AC2465">
        <v>-15.396699999999999</v>
      </c>
      <c r="AD2465">
        <v>-1.111266999431</v>
      </c>
      <c r="AE2465">
        <v>-4.7003999999999397</v>
      </c>
      <c r="AF2465">
        <v>-4.4087209614486902</v>
      </c>
      <c r="AG2465">
        <v>-1.111266999431</v>
      </c>
      <c r="AH2465">
        <v>15.4033445791239</v>
      </c>
      <c r="AI2465">
        <v>93.967649224073895</v>
      </c>
      <c r="AJ2465">
        <v>105.972097173439</v>
      </c>
      <c r="AK2465">
        <v>16.060347414771801</v>
      </c>
      <c r="AL2465">
        <v>93.660263678914006</v>
      </c>
      <c r="AM2465">
        <v>104.273311683359</v>
      </c>
      <c r="AN2465">
        <v>1.0000000198326799</v>
      </c>
    </row>
    <row r="2466" spans="1:40" x14ac:dyDescent="0.25">
      <c r="A2466" t="str">
        <f>"20190305135241851"</f>
        <v>20190305135241851</v>
      </c>
      <c r="B2466" t="str">
        <f>"1551765161841915"</f>
        <v>1551765161841915</v>
      </c>
      <c r="C2466" t="s">
        <v>40</v>
      </c>
      <c r="D2466">
        <v>4.583304</v>
      </c>
      <c r="E2466">
        <v>0.48938029999999999</v>
      </c>
      <c r="F2466" t="s">
        <v>55</v>
      </c>
      <c r="G2466">
        <v>-481.11759999999998</v>
      </c>
      <c r="H2466" s="1">
        <v>2.0639100000000001E-6</v>
      </c>
      <c r="I2466">
        <v>280.72629999999998</v>
      </c>
      <c r="J2466">
        <v>-465.6069</v>
      </c>
      <c r="K2466">
        <v>1.111556</v>
      </c>
      <c r="L2466">
        <v>285.54500000000002</v>
      </c>
      <c r="M2466">
        <v>-0.9996775</v>
      </c>
      <c r="N2466">
        <v>-1.6164620000000001E-2</v>
      </c>
      <c r="O2466">
        <v>-1.9582189999999999E-2</v>
      </c>
      <c r="P2466">
        <v>-0.96034010000000003</v>
      </c>
      <c r="Q2466">
        <v>-7.7692479999999994E-2</v>
      </c>
      <c r="R2466">
        <v>-0.26778879999999999</v>
      </c>
      <c r="S2466">
        <v>-2.8642880000000002</v>
      </c>
      <c r="T2466">
        <v>-0.2012535</v>
      </c>
      <c r="U2466">
        <v>-0.87402340000000001</v>
      </c>
      <c r="V2466">
        <v>-0.2486737</v>
      </c>
      <c r="W2466">
        <v>-6.3094739999999996E-2</v>
      </c>
      <c r="X2466">
        <v>0.96653009999999995</v>
      </c>
      <c r="Y2466">
        <v>-0.27233200000000002</v>
      </c>
      <c r="Z2466">
        <v>-1.056386E-2</v>
      </c>
      <c r="AA2466">
        <v>0.96214529999999998</v>
      </c>
      <c r="AB2466">
        <v>32</v>
      </c>
      <c r="AC2466">
        <v>-15.5106999999999</v>
      </c>
      <c r="AD2466">
        <v>-1.11155393609</v>
      </c>
      <c r="AE2466">
        <v>-4.81870000000003</v>
      </c>
      <c r="AF2466">
        <v>-4.4929591859574396</v>
      </c>
      <c r="AG2466">
        <v>-1.11155393609</v>
      </c>
      <c r="AH2466">
        <v>15.5293641366621</v>
      </c>
      <c r="AI2466">
        <v>93.933333104487104</v>
      </c>
      <c r="AJ2466">
        <v>106.13622589495399</v>
      </c>
      <c r="AK2466">
        <v>16.204424855222801</v>
      </c>
      <c r="AL2466">
        <v>93.617465198996598</v>
      </c>
      <c r="AM2466">
        <v>104.428412116364</v>
      </c>
      <c r="AN2466">
        <v>0.999999994746683</v>
      </c>
    </row>
    <row r="2467" spans="1:40" x14ac:dyDescent="0.25">
      <c r="A2467" t="str">
        <f>"20190305135241874"</f>
        <v>20190305135241874</v>
      </c>
      <c r="B2467" t="str">
        <f>"1551765161862412"</f>
        <v>1551765161862412</v>
      </c>
      <c r="C2467" t="s">
        <v>40</v>
      </c>
      <c r="D2467">
        <v>4.5635669999999999</v>
      </c>
      <c r="E2467">
        <v>0.48933320000000002</v>
      </c>
      <c r="F2467" t="s">
        <v>55</v>
      </c>
      <c r="G2467">
        <v>-481.49430000000001</v>
      </c>
      <c r="H2467" s="1">
        <v>2.1207459999999999E-6</v>
      </c>
      <c r="I2467">
        <v>280.61200000000002</v>
      </c>
      <c r="J2467">
        <v>-465.91520000000003</v>
      </c>
      <c r="K2467">
        <v>1.1118189999999999</v>
      </c>
      <c r="L2467">
        <v>285.53649999999999</v>
      </c>
      <c r="M2467">
        <v>-0.99962119999999999</v>
      </c>
      <c r="N2467">
        <v>-1.680075E-2</v>
      </c>
      <c r="O2467">
        <v>-2.1806240000000001E-2</v>
      </c>
      <c r="P2467">
        <v>-0.9591923</v>
      </c>
      <c r="Q2467">
        <v>-7.8611860000000006E-2</v>
      </c>
      <c r="R2467">
        <v>-0.27160770000000001</v>
      </c>
      <c r="S2467">
        <v>-2.860077</v>
      </c>
      <c r="T2467">
        <v>-0.20010359999999999</v>
      </c>
      <c r="U2467">
        <v>-0.88803099999999902</v>
      </c>
      <c r="V2467">
        <v>-0.25034000000000001</v>
      </c>
      <c r="W2467">
        <v>-6.3518450000000004E-2</v>
      </c>
      <c r="X2467">
        <v>0.96607209999999999</v>
      </c>
      <c r="Y2467">
        <v>-0.27488559999999901</v>
      </c>
      <c r="Z2467">
        <v>-1.0620310000000001E-2</v>
      </c>
      <c r="AA2467">
        <v>0.96141829999999995</v>
      </c>
      <c r="AB2467">
        <v>32</v>
      </c>
      <c r="AC2467">
        <v>-15.579099999999899</v>
      </c>
      <c r="AD2467">
        <v>-1.111816879254</v>
      </c>
      <c r="AE2467">
        <v>-4.9244999999999601</v>
      </c>
      <c r="AF2467">
        <v>-4.5624331520408603</v>
      </c>
      <c r="AG2467">
        <v>-1.111816879254</v>
      </c>
      <c r="AH2467">
        <v>15.6105109909176</v>
      </c>
      <c r="AI2467">
        <v>93.910791986837907</v>
      </c>
      <c r="AJ2467">
        <v>106.29188572452099</v>
      </c>
      <c r="AK2467">
        <v>16.301533254187898</v>
      </c>
      <c r="AL2467">
        <v>93.641790748014103</v>
      </c>
      <c r="AM2467">
        <v>104.527611818521</v>
      </c>
      <c r="AN2467">
        <v>1.0000000057444001</v>
      </c>
    </row>
    <row r="2468" spans="1:40" x14ac:dyDescent="0.25">
      <c r="A2468" t="str">
        <f>"20190305135241890"</f>
        <v>20190305135241890</v>
      </c>
      <c r="B2468" t="str">
        <f>"1551765161881932"</f>
        <v>1551765161881932</v>
      </c>
      <c r="C2468" t="s">
        <v>40</v>
      </c>
      <c r="D2468">
        <v>4.5981509999999997</v>
      </c>
      <c r="E2468">
        <v>0.48932239999999999</v>
      </c>
      <c r="F2468" t="s">
        <v>55</v>
      </c>
      <c r="G2468">
        <v>-481.60509999999999</v>
      </c>
      <c r="H2468" s="1">
        <v>2.1387150000000002E-6</v>
      </c>
      <c r="I2468">
        <v>280.59280000000001</v>
      </c>
      <c r="J2468">
        <v>-466.15199999999999</v>
      </c>
      <c r="K2468">
        <v>1.111993</v>
      </c>
      <c r="L2468">
        <v>285.52949999999998</v>
      </c>
      <c r="M2468">
        <v>-0.99957180000000001</v>
      </c>
      <c r="N2468">
        <v>-1.72707E-2</v>
      </c>
      <c r="O2468">
        <v>-2.3628110000000001E-2</v>
      </c>
      <c r="P2468">
        <v>-0.95841600000000005</v>
      </c>
      <c r="Q2468">
        <v>-7.9508570000000001E-2</v>
      </c>
      <c r="R2468">
        <v>-0.27407569999999998</v>
      </c>
      <c r="S2468">
        <v>-2.856201</v>
      </c>
      <c r="T2468">
        <v>-0.2023962</v>
      </c>
      <c r="U2468">
        <v>-0.89996339999999997</v>
      </c>
      <c r="V2468">
        <v>-0.25104650000000001</v>
      </c>
      <c r="W2468">
        <v>-6.4040180000000002E-2</v>
      </c>
      <c r="X2468">
        <v>0.96585430000000005</v>
      </c>
      <c r="Y2468">
        <v>-0.27713529999999997</v>
      </c>
      <c r="Z2468">
        <v>-1.0796399999999999E-2</v>
      </c>
      <c r="AA2468">
        <v>0.96077020000000002</v>
      </c>
      <c r="AB2468">
        <v>32</v>
      </c>
      <c r="AC2468">
        <v>-15.453099999999999</v>
      </c>
      <c r="AD2468">
        <v>-1.111990861285</v>
      </c>
      <c r="AE2468">
        <v>-4.9366999999999699</v>
      </c>
      <c r="AF2468">
        <v>-4.5487666256466399</v>
      </c>
      <c r="AG2468">
        <v>-1.111990861285</v>
      </c>
      <c r="AH2468">
        <v>15.4926531787728</v>
      </c>
      <c r="AI2468">
        <v>93.939642680173705</v>
      </c>
      <c r="AJ2468">
        <v>106.362659909207</v>
      </c>
      <c r="AK2468">
        <v>16.1848726905069</v>
      </c>
      <c r="AL2468">
        <v>93.671744647435801</v>
      </c>
      <c r="AM2468">
        <v>104.570014392819</v>
      </c>
      <c r="AN2468">
        <v>1.00000000932258</v>
      </c>
    </row>
    <row r="2469" spans="1:40" x14ac:dyDescent="0.25">
      <c r="A2469" t="str">
        <f>"20190305135241909"</f>
        <v>20190305135241909</v>
      </c>
      <c r="B2469" t="str">
        <f>"1551765161902428"</f>
        <v>1551765161902428</v>
      </c>
      <c r="C2469" t="s">
        <v>40</v>
      </c>
      <c r="D2469">
        <v>4.5796580000000002</v>
      </c>
      <c r="E2469">
        <v>0.48928690000000002</v>
      </c>
      <c r="F2469" t="s">
        <v>55</v>
      </c>
      <c r="G2469">
        <v>-481.65269999999998</v>
      </c>
      <c r="H2469" s="1">
        <v>2.1478649999999999E-6</v>
      </c>
      <c r="I2469">
        <v>280.60079999999999</v>
      </c>
      <c r="J2469">
        <v>-466.40550000000002</v>
      </c>
      <c r="K2469">
        <v>1.112144</v>
      </c>
      <c r="L2469">
        <v>285.52120000000002</v>
      </c>
      <c r="M2469">
        <v>-0.99951199999999996</v>
      </c>
      <c r="N2469">
        <v>-1.7745360000000002E-2</v>
      </c>
      <c r="O2469">
        <v>-2.5708499999999999E-2</v>
      </c>
      <c r="P2469">
        <v>-0.95728849999999999</v>
      </c>
      <c r="Q2469">
        <v>-8.0868770000000006E-2</v>
      </c>
      <c r="R2469">
        <v>-0.27759519999999999</v>
      </c>
      <c r="S2469">
        <v>-2.8536990000000002</v>
      </c>
      <c r="T2469">
        <v>-0.20471880000000001</v>
      </c>
      <c r="U2469">
        <v>-0.90737920000000005</v>
      </c>
      <c r="V2469">
        <v>-0.25256319999999999</v>
      </c>
      <c r="W2469">
        <v>-6.5027810000000005E-2</v>
      </c>
      <c r="X2469">
        <v>0.96539280000000005</v>
      </c>
      <c r="Y2469">
        <v>-0.2776264</v>
      </c>
      <c r="Z2469">
        <v>-1.0882879999999999E-2</v>
      </c>
      <c r="AA2469">
        <v>0.96062749999999997</v>
      </c>
      <c r="AB2469">
        <v>31</v>
      </c>
      <c r="AC2469">
        <v>-15.2471999999999</v>
      </c>
      <c r="AD2469">
        <v>-1.1121418521349999</v>
      </c>
      <c r="AE2469">
        <v>-4.9204000000000203</v>
      </c>
      <c r="AF2469">
        <v>-4.5050212071434403</v>
      </c>
      <c r="AG2469">
        <v>-1.1121418521349999</v>
      </c>
      <c r="AH2469">
        <v>15.294975460045899</v>
      </c>
      <c r="AI2469">
        <v>93.989930504592195</v>
      </c>
      <c r="AJ2469">
        <v>106.411945051705</v>
      </c>
      <c r="AK2469">
        <v>15.9833772995412</v>
      </c>
      <c r="AL2469">
        <v>93.728449833499099</v>
      </c>
      <c r="AM2469">
        <v>104.660964627222</v>
      </c>
      <c r="AN2469">
        <v>1.0000000221797301</v>
      </c>
    </row>
    <row r="2470" spans="1:40" x14ac:dyDescent="0.25">
      <c r="A2470" t="str">
        <f>"20190305135241929"</f>
        <v>20190305135241929</v>
      </c>
      <c r="B2470" t="str">
        <f>"1551765161921964"</f>
        <v>1551765161921964</v>
      </c>
      <c r="C2470" t="s">
        <v>40</v>
      </c>
      <c r="D2470">
        <v>4.5404070000000001</v>
      </c>
      <c r="E2470">
        <v>0.48923899999999998</v>
      </c>
      <c r="F2470" t="s">
        <v>55</v>
      </c>
      <c r="G2470">
        <v>-481.6121</v>
      </c>
      <c r="H2470" s="1">
        <v>2.1424730000000001E-6</v>
      </c>
      <c r="I2470">
        <v>280.6216</v>
      </c>
      <c r="J2470">
        <v>-466.69310000000002</v>
      </c>
      <c r="K2470">
        <v>1.1123069999999999</v>
      </c>
      <c r="L2470">
        <v>285.5111</v>
      </c>
      <c r="M2470">
        <v>-0.99943459999999995</v>
      </c>
      <c r="N2470">
        <v>-1.824272E-2</v>
      </c>
      <c r="O2470">
        <v>-2.824422E-2</v>
      </c>
      <c r="P2470">
        <v>-0.95599730000000005</v>
      </c>
      <c r="Q2470">
        <v>-8.1760410000000006E-2</v>
      </c>
      <c r="R2470">
        <v>-0.28175260000000002</v>
      </c>
      <c r="S2470">
        <v>-2.8499759999999998</v>
      </c>
      <c r="T2470">
        <v>-0.20843429999999999</v>
      </c>
      <c r="U2470">
        <v>-0.91827389999999998</v>
      </c>
      <c r="V2470">
        <v>-0.25428659999999997</v>
      </c>
      <c r="W2470">
        <v>-6.5533759999999996E-2</v>
      </c>
      <c r="X2470">
        <v>0.96490600000000004</v>
      </c>
      <c r="Y2470">
        <v>-0.2788503</v>
      </c>
      <c r="Z2470">
        <v>-1.1036310000000001E-2</v>
      </c>
      <c r="AA2470">
        <v>0.96027119999999999</v>
      </c>
      <c r="AB2470">
        <v>31</v>
      </c>
      <c r="AC2470">
        <v>-14.918999999999899</v>
      </c>
      <c r="AD2470">
        <v>-1.112304857527</v>
      </c>
      <c r="AE2470">
        <v>-4.8894999999999902</v>
      </c>
      <c r="AF2470">
        <v>-4.4437974718096003</v>
      </c>
      <c r="AG2470">
        <v>-1.112304857527</v>
      </c>
      <c r="AH2470">
        <v>14.9759973904043</v>
      </c>
      <c r="AI2470">
        <v>94.072812651599705</v>
      </c>
      <c r="AJ2470">
        <v>106.527096265027</v>
      </c>
      <c r="AK2470">
        <v>15.660940454006401</v>
      </c>
      <c r="AL2470">
        <v>93.757500801095304</v>
      </c>
      <c r="AM2470">
        <v>104.76377351494899</v>
      </c>
      <c r="AN2470">
        <v>0.99999996873764796</v>
      </c>
    </row>
    <row r="2471" spans="1:40" x14ac:dyDescent="0.25">
      <c r="A2471" t="str">
        <f>"20190305135241951"</f>
        <v>20190305135241951</v>
      </c>
      <c r="B2471" t="str">
        <f>"1551765161941667"</f>
        <v>1551765161941667</v>
      </c>
      <c r="C2471" t="s">
        <v>40</v>
      </c>
      <c r="D2471">
        <v>4.5857429999999999</v>
      </c>
      <c r="E2471">
        <v>0.4892032</v>
      </c>
      <c r="F2471" t="s">
        <v>55</v>
      </c>
      <c r="G2471">
        <v>-481.70119999999997</v>
      </c>
      <c r="H2471" s="1">
        <v>2.15653E-6</v>
      </c>
      <c r="I2471">
        <v>280.60149999999999</v>
      </c>
      <c r="J2471">
        <v>-466.99950000000001</v>
      </c>
      <c r="K2471">
        <v>1.112465</v>
      </c>
      <c r="L2471">
        <v>285.49919999999997</v>
      </c>
      <c r="M2471">
        <v>-0.99933989999999995</v>
      </c>
      <c r="N2471">
        <v>-1.8725039999999998E-2</v>
      </c>
      <c r="O2471">
        <v>-3.1129049999999998E-2</v>
      </c>
      <c r="P2471">
        <v>-0.95449649999999997</v>
      </c>
      <c r="Q2471">
        <v>-8.2233070000000005E-2</v>
      </c>
      <c r="R2471">
        <v>-0.28665990000000002</v>
      </c>
      <c r="S2471">
        <v>-2.8457029999999999</v>
      </c>
      <c r="T2471">
        <v>-0.2109056</v>
      </c>
      <c r="U2471">
        <v>-0.93090819999999996</v>
      </c>
      <c r="V2471">
        <v>-0.2564341</v>
      </c>
      <c r="W2471">
        <v>-6.5645399999999896E-2</v>
      </c>
      <c r="X2471">
        <v>0.96433000000000002</v>
      </c>
      <c r="Y2471">
        <v>-0.28033130000000001</v>
      </c>
      <c r="Z2471">
        <v>-1.1132919999999999E-2</v>
      </c>
      <c r="AA2471">
        <v>0.95983870000000004</v>
      </c>
      <c r="AB2471">
        <v>31</v>
      </c>
      <c r="AC2471">
        <v>-14.701699999999899</v>
      </c>
      <c r="AD2471">
        <v>-1.1124628434699999</v>
      </c>
      <c r="AE2471">
        <v>-4.89769999999998</v>
      </c>
      <c r="AF2471">
        <v>-4.4148420774864103</v>
      </c>
      <c r="AG2471">
        <v>-1.1124628434699999</v>
      </c>
      <c r="AH2471">
        <v>14.770933433634401</v>
      </c>
      <c r="AI2471">
        <v>94.127315464156297</v>
      </c>
      <c r="AJ2471">
        <v>106.64072901868499</v>
      </c>
      <c r="AK2471">
        <v>15.4566774776504</v>
      </c>
      <c r="AL2471">
        <v>93.763910770794993</v>
      </c>
      <c r="AM2471">
        <v>104.89143952212</v>
      </c>
      <c r="AN2471">
        <v>1.0000000575419801</v>
      </c>
    </row>
    <row r="2472" spans="1:40" x14ac:dyDescent="0.25">
      <c r="A2472" t="str">
        <f>"20190305135241968"</f>
        <v>20190305135241968</v>
      </c>
      <c r="B2472" t="str">
        <f>"1551765161962163"</f>
        <v>1551765161962163</v>
      </c>
      <c r="C2472" t="s">
        <v>40</v>
      </c>
      <c r="D2472">
        <v>4.5349879999999896</v>
      </c>
      <c r="E2472">
        <v>0.48915579999999997</v>
      </c>
      <c r="F2472" t="s">
        <v>55</v>
      </c>
      <c r="G2472">
        <v>-481.89589999999998</v>
      </c>
      <c r="H2472" s="1">
        <v>2.185551E-6</v>
      </c>
      <c r="I2472">
        <v>280.53840000000002</v>
      </c>
      <c r="J2472">
        <v>-467.2158</v>
      </c>
      <c r="K2472">
        <v>1.112574</v>
      </c>
      <c r="L2472">
        <v>285.49029999999999</v>
      </c>
      <c r="M2472">
        <v>-0.99926530000000002</v>
      </c>
      <c r="N2472">
        <v>-1.9038670000000001E-2</v>
      </c>
      <c r="O2472">
        <v>-3.3263090000000002E-2</v>
      </c>
      <c r="P2472">
        <v>-0.95347269999999895</v>
      </c>
      <c r="Q2472">
        <v>-8.2138840000000005E-2</v>
      </c>
      <c r="R2472">
        <v>-0.29007480000000002</v>
      </c>
      <c r="S2472">
        <v>-2.8406069999999999</v>
      </c>
      <c r="T2472">
        <v>-0.2121364</v>
      </c>
      <c r="U2472">
        <v>-0.94598389999999999</v>
      </c>
      <c r="V2472">
        <v>-0.25781150000000003</v>
      </c>
      <c r="W2472">
        <v>-6.532164E-2</v>
      </c>
      <c r="X2472">
        <v>0.96398459999999997</v>
      </c>
      <c r="Y2472">
        <v>-0.2833618</v>
      </c>
      <c r="Z2472">
        <v>-1.126724E-2</v>
      </c>
      <c r="AA2472">
        <v>0.95894690000000005</v>
      </c>
      <c r="AB2472">
        <v>31</v>
      </c>
      <c r="AC2472">
        <v>-14.6800999999999</v>
      </c>
      <c r="AD2472">
        <v>-1.112571814449</v>
      </c>
      <c r="AE2472">
        <v>-4.9518999999999602</v>
      </c>
      <c r="AF2472">
        <v>-4.4378786611869598</v>
      </c>
      <c r="AG2472">
        <v>-1.112571814449</v>
      </c>
      <c r="AH2472">
        <v>14.7605985624303</v>
      </c>
      <c r="AI2472">
        <v>94.128594975526994</v>
      </c>
      <c r="AJ2472">
        <v>106.733778058402</v>
      </c>
      <c r="AK2472">
        <v>15.4534091052733</v>
      </c>
      <c r="AL2472">
        <v>93.745321014401597</v>
      </c>
      <c r="AM2472">
        <v>104.972968129046</v>
      </c>
      <c r="AN2472">
        <v>0.99999999761084901</v>
      </c>
    </row>
    <row r="2473" spans="1:40" x14ac:dyDescent="0.25">
      <c r="A2473" t="str">
        <f>"20190305135241985"</f>
        <v>20190305135241985</v>
      </c>
      <c r="B2473" t="str">
        <f>"1551765161981686"</f>
        <v>1551765161981686</v>
      </c>
      <c r="C2473" t="s">
        <v>40</v>
      </c>
      <c r="D2473">
        <v>4.5459639999999997</v>
      </c>
      <c r="E2473">
        <v>0.48913200000000001</v>
      </c>
      <c r="F2473" t="s">
        <v>55</v>
      </c>
      <c r="G2473">
        <v>-482.13799999999998</v>
      </c>
      <c r="H2473" s="1">
        <v>2.2215950000000001E-6</v>
      </c>
      <c r="I2473">
        <v>280.45949999999999</v>
      </c>
      <c r="J2473">
        <v>-467.45909999999998</v>
      </c>
      <c r="K2473">
        <v>1.112689</v>
      </c>
      <c r="L2473">
        <v>285.47949999999997</v>
      </c>
      <c r="M2473">
        <v>-0.99917219999999995</v>
      </c>
      <c r="N2473">
        <v>-1.9361969999999999E-2</v>
      </c>
      <c r="O2473">
        <v>-3.5778850000000001E-2</v>
      </c>
      <c r="P2473">
        <v>-0.95207929999999996</v>
      </c>
      <c r="Q2473">
        <v>-8.2112950000000004E-2</v>
      </c>
      <c r="R2473">
        <v>-0.29462300000000002</v>
      </c>
      <c r="S2473">
        <v>-2.8372190000000002</v>
      </c>
      <c r="T2473">
        <v>-0.21153749999999999</v>
      </c>
      <c r="U2473">
        <v>-0.95651249999999999</v>
      </c>
      <c r="V2473">
        <v>-0.25996720000000001</v>
      </c>
      <c r="W2473">
        <v>-6.5074510000000002E-2</v>
      </c>
      <c r="X2473">
        <v>0.96342220000000001</v>
      </c>
      <c r="Y2473">
        <v>-0.2844892</v>
      </c>
      <c r="Z2473">
        <v>-1.122626E-2</v>
      </c>
      <c r="AA2473">
        <v>0.95861350000000001</v>
      </c>
      <c r="AB2473">
        <v>31</v>
      </c>
      <c r="AC2473">
        <v>-14.678900000000001</v>
      </c>
      <c r="AD2473">
        <v>-1.1126867784050001</v>
      </c>
      <c r="AE2473">
        <v>-5.01999999999998</v>
      </c>
      <c r="AF2473">
        <v>-4.4685048867925801</v>
      </c>
      <c r="AG2473">
        <v>-1.1126867784050001</v>
      </c>
      <c r="AH2473">
        <v>14.7731446290276</v>
      </c>
      <c r="AI2473">
        <v>94.123460340465599</v>
      </c>
      <c r="AJ2473">
        <v>106.829246433717</v>
      </c>
      <c r="AK2473">
        <v>15.4742175899234</v>
      </c>
      <c r="AL2473">
        <v>93.731131360190702</v>
      </c>
      <c r="AM2473">
        <v>105.100883637815</v>
      </c>
      <c r="AN2473">
        <v>0.99999998619021002</v>
      </c>
    </row>
    <row r="2474" spans="1:40" x14ac:dyDescent="0.25">
      <c r="A2474" t="str">
        <f>"20190305135242009"</f>
        <v>20190305135242009</v>
      </c>
      <c r="B2474" t="str">
        <f>"1551765162002178"</f>
        <v>1551765162002178</v>
      </c>
      <c r="C2474" t="s">
        <v>40</v>
      </c>
      <c r="D2474">
        <v>4.5396570000000001</v>
      </c>
      <c r="E2474">
        <v>0.4891008</v>
      </c>
      <c r="F2474" t="s">
        <v>55</v>
      </c>
      <c r="G2474">
        <v>-482.36590000000001</v>
      </c>
      <c r="H2474" s="1">
        <v>2.2545289999999999E-6</v>
      </c>
      <c r="I2474">
        <v>280.37369999999999</v>
      </c>
      <c r="J2474">
        <v>-467.77460000000002</v>
      </c>
      <c r="K2474">
        <v>1.1128389999999999</v>
      </c>
      <c r="L2474">
        <v>285.46429999999998</v>
      </c>
      <c r="M2474">
        <v>-0.99903450000000005</v>
      </c>
      <c r="N2474">
        <v>-1.9731439999999999E-2</v>
      </c>
      <c r="O2474">
        <v>-3.9254209999999998E-2</v>
      </c>
      <c r="P2474">
        <v>-0.95027070000000002</v>
      </c>
      <c r="Q2474">
        <v>-8.2986240000000003E-2</v>
      </c>
      <c r="R2474">
        <v>-0.30016530000000002</v>
      </c>
      <c r="S2474">
        <v>-2.8325499999999999</v>
      </c>
      <c r="T2474">
        <v>-0.21143000000000001</v>
      </c>
      <c r="U2474">
        <v>-0.9701843</v>
      </c>
      <c r="V2474">
        <v>-0.26220290000000002</v>
      </c>
      <c r="W2474">
        <v>-6.5707829999999995E-2</v>
      </c>
      <c r="X2474">
        <v>0.96277310000000005</v>
      </c>
      <c r="Y2474">
        <v>-0.28577609999999998</v>
      </c>
      <c r="Z2474">
        <v>-1.1172919999999999E-2</v>
      </c>
      <c r="AA2474">
        <v>0.95823130000000001</v>
      </c>
      <c r="AB2474">
        <v>31</v>
      </c>
      <c r="AC2474">
        <v>-14.591299999999899</v>
      </c>
      <c r="AD2474">
        <v>-1.112836745471</v>
      </c>
      <c r="AE2474">
        <v>-5.0905999999999896</v>
      </c>
      <c r="AF2474">
        <v>-4.4905078944224197</v>
      </c>
      <c r="AG2474">
        <v>-1.112836745471</v>
      </c>
      <c r="AH2474">
        <v>14.703669767133601</v>
      </c>
      <c r="AI2474">
        <v>94.1400727541279</v>
      </c>
      <c r="AJ2474">
        <v>106.982696804936</v>
      </c>
      <c r="AK2474">
        <v>15.4143106038791</v>
      </c>
      <c r="AL2474">
        <v>93.767495850315697</v>
      </c>
      <c r="AM2474">
        <v>105.23453432781</v>
      </c>
      <c r="AN2474">
        <v>0.99999996088766296</v>
      </c>
    </row>
    <row r="2475" spans="1:40" x14ac:dyDescent="0.25">
      <c r="A2475" t="str">
        <f>"20190305135242031"</f>
        <v>20190305135242031</v>
      </c>
      <c r="B2475" t="str">
        <f>"1551765162021699"</f>
        <v>1551765162021699</v>
      </c>
      <c r="C2475" t="s">
        <v>40</v>
      </c>
      <c r="D2475">
        <v>4.5375639999999997</v>
      </c>
      <c r="E2475">
        <v>0.48905989999999999</v>
      </c>
      <c r="F2475" t="s">
        <v>55</v>
      </c>
      <c r="G2475">
        <v>-482.50049999999999</v>
      </c>
      <c r="H2475" s="1">
        <v>2.273819E-6</v>
      </c>
      <c r="I2475">
        <v>280.32130000000001</v>
      </c>
      <c r="J2475">
        <v>-468.07299999999998</v>
      </c>
      <c r="K2475">
        <v>1.1129720000000001</v>
      </c>
      <c r="L2475">
        <v>285.4486</v>
      </c>
      <c r="M2475">
        <v>-0.99888489999999996</v>
      </c>
      <c r="N2475">
        <v>-2.002936E-2</v>
      </c>
      <c r="O2475">
        <v>-4.2752970000000001E-2</v>
      </c>
      <c r="P2475">
        <v>-0.9483374</v>
      </c>
      <c r="Q2475">
        <v>-8.3767910000000001E-2</v>
      </c>
      <c r="R2475">
        <v>-0.30600539999999998</v>
      </c>
      <c r="S2475">
        <v>-2.8265380000000002</v>
      </c>
      <c r="T2475">
        <v>-0.21360080000000001</v>
      </c>
      <c r="U2475">
        <v>-0.98715209999999998</v>
      </c>
      <c r="V2475">
        <v>-0.26472590000000001</v>
      </c>
      <c r="W2475">
        <v>-6.6322030000000004E-2</v>
      </c>
      <c r="X2475">
        <v>0.96204029999999996</v>
      </c>
      <c r="Y2475">
        <v>-0.28815750000000001</v>
      </c>
      <c r="Z2475">
        <v>-1.124022E-2</v>
      </c>
      <c r="AA2475">
        <v>0.95751710000000001</v>
      </c>
      <c r="AB2475">
        <v>30</v>
      </c>
      <c r="AC2475">
        <v>-14.427499999999901</v>
      </c>
      <c r="AD2475">
        <v>-1.1129697261810001</v>
      </c>
      <c r="AE2475">
        <v>-5.1272999999999902</v>
      </c>
      <c r="AF2475">
        <v>-4.4819867628454704</v>
      </c>
      <c r="AG2475">
        <v>-1.1129697261810001</v>
      </c>
      <c r="AH2475">
        <v>14.556642814783</v>
      </c>
      <c r="AI2475">
        <v>94.179320837942797</v>
      </c>
      <c r="AJ2475">
        <v>107.113586248741</v>
      </c>
      <c r="AK2475">
        <v>15.271632427179901</v>
      </c>
      <c r="AL2475">
        <v>93.802763793681194</v>
      </c>
      <c r="AM2475">
        <v>105.385376667023</v>
      </c>
      <c r="AN2475">
        <v>0.99999997630910997</v>
      </c>
    </row>
    <row r="2476" spans="1:40" x14ac:dyDescent="0.25">
      <c r="A2476" t="str">
        <f>"20190305135242052"</f>
        <v>20190305135242052</v>
      </c>
      <c r="B2476" t="str">
        <f>"1551765162042195"</f>
        <v>1551765162042195</v>
      </c>
      <c r="C2476" t="s">
        <v>40</v>
      </c>
      <c r="D2476">
        <v>4.5406589999999998</v>
      </c>
      <c r="E2476">
        <v>0.48904409999999998</v>
      </c>
      <c r="F2476" t="s">
        <v>55</v>
      </c>
      <c r="G2476">
        <v>-482.62240000000003</v>
      </c>
      <c r="H2476" s="1">
        <v>2.2904530000000001E-6</v>
      </c>
      <c r="I2476">
        <v>280.26429999999999</v>
      </c>
      <c r="J2476">
        <v>-468.36110000000002</v>
      </c>
      <c r="K2476">
        <v>1.1131139999999999</v>
      </c>
      <c r="L2476">
        <v>285.4323</v>
      </c>
      <c r="M2476">
        <v>-0.99871980000000005</v>
      </c>
      <c r="N2476">
        <v>-2.0278339999999999E-2</v>
      </c>
      <c r="O2476">
        <v>-4.6344719999999999E-2</v>
      </c>
      <c r="P2476">
        <v>-0.94624649999999999</v>
      </c>
      <c r="Q2476">
        <v>-8.4627279999999999E-2</v>
      </c>
      <c r="R2476">
        <v>-0.3121797</v>
      </c>
      <c r="S2476">
        <v>-2.8201900000000002</v>
      </c>
      <c r="T2476">
        <v>-0.2157328</v>
      </c>
      <c r="U2476">
        <v>-1.0049129999999999</v>
      </c>
      <c r="V2476">
        <v>-0.26750790000000002</v>
      </c>
      <c r="W2476">
        <v>-6.706906E-2</v>
      </c>
      <c r="X2476">
        <v>0.96121869999999998</v>
      </c>
      <c r="Y2476">
        <v>-0.2907227</v>
      </c>
      <c r="Z2476">
        <v>-1.130021E-2</v>
      </c>
      <c r="AA2476">
        <v>0.95674060000000005</v>
      </c>
      <c r="AB2476">
        <v>30</v>
      </c>
      <c r="AC2476">
        <v>-14.2613</v>
      </c>
      <c r="AD2476">
        <v>-1.113111709547</v>
      </c>
      <c r="AE2476">
        <v>-5.1680000000000001</v>
      </c>
      <c r="AF2476">
        <v>-4.4772635065416004</v>
      </c>
      <c r="AG2476">
        <v>-1.113111709547</v>
      </c>
      <c r="AH2476">
        <v>14.407944019967999</v>
      </c>
      <c r="AI2476">
        <v>94.219451601624598</v>
      </c>
      <c r="AJ2476">
        <v>107.26261368560699</v>
      </c>
      <c r="AK2476">
        <v>15.128574191491801</v>
      </c>
      <c r="AL2476">
        <v>93.8456606467104</v>
      </c>
      <c r="AM2476">
        <v>105.55192574200601</v>
      </c>
      <c r="AN2476">
        <v>1.0000000623006899</v>
      </c>
    </row>
    <row r="2477" spans="1:40" x14ac:dyDescent="0.25">
      <c r="A2477" t="str">
        <f>"20190305135242075"</f>
        <v>20190305135242075</v>
      </c>
      <c r="B2477" t="str">
        <f>"1551765162061715"</f>
        <v>1551765162061715</v>
      </c>
      <c r="C2477" t="s">
        <v>40</v>
      </c>
      <c r="D2477">
        <v>4.5312789999999996</v>
      </c>
      <c r="E2477">
        <v>0.48902849999999998</v>
      </c>
      <c r="F2477" t="s">
        <v>55</v>
      </c>
      <c r="G2477">
        <v>-482.7253</v>
      </c>
      <c r="H2477" s="1">
        <v>2.3036510000000002E-6</v>
      </c>
      <c r="I2477">
        <v>280.20639999999997</v>
      </c>
      <c r="J2477">
        <v>-468.65199999999999</v>
      </c>
      <c r="K2477">
        <v>1.1132709999999999</v>
      </c>
      <c r="L2477">
        <v>285.41449999999998</v>
      </c>
      <c r="M2477">
        <v>-0.99852759999999996</v>
      </c>
      <c r="N2477">
        <v>-2.0504029999999999E-2</v>
      </c>
      <c r="O2477">
        <v>-5.0219519999999997E-2</v>
      </c>
      <c r="P2477">
        <v>-0.94455679999999997</v>
      </c>
      <c r="Q2477">
        <v>-8.4998560000000001E-2</v>
      </c>
      <c r="R2477">
        <v>-0.31715579999999999</v>
      </c>
      <c r="S2477">
        <v>-2.8132630000000001</v>
      </c>
      <c r="T2477">
        <v>-0.2180048</v>
      </c>
      <c r="U2477">
        <v>-1.0234989999999999</v>
      </c>
      <c r="V2477">
        <v>-0.26880929999999997</v>
      </c>
      <c r="W2477">
        <v>-6.7343589999999995E-2</v>
      </c>
      <c r="X2477">
        <v>0.96083629999999998</v>
      </c>
      <c r="Y2477">
        <v>-0.29332390000000003</v>
      </c>
      <c r="Z2477">
        <v>-1.1346530000000001E-2</v>
      </c>
      <c r="AA2477">
        <v>0.95594579999999996</v>
      </c>
      <c r="AB2477">
        <v>30</v>
      </c>
      <c r="AC2477">
        <v>-14.0733</v>
      </c>
      <c r="AD2477">
        <v>-1.1132686963489999</v>
      </c>
      <c r="AE2477">
        <v>-5.2081</v>
      </c>
      <c r="AF2477">
        <v>-4.4700203152398803</v>
      </c>
      <c r="AG2477">
        <v>-1.1132686963489999</v>
      </c>
      <c r="AH2477">
        <v>14.238770214019899</v>
      </c>
      <c r="AI2477">
        <v>94.266147154496807</v>
      </c>
      <c r="AJ2477">
        <v>107.428795945448</v>
      </c>
      <c r="AK2477">
        <v>14.9653942820291</v>
      </c>
      <c r="AL2477">
        <v>93.861425951345794</v>
      </c>
      <c r="AM2477">
        <v>105.629811632528</v>
      </c>
      <c r="AN2477">
        <v>0.99999999713913401</v>
      </c>
    </row>
    <row r="2478" spans="1:40" x14ac:dyDescent="0.25">
      <c r="A2478" t="str">
        <f>"20190305135242090"</f>
        <v>20190305135242090</v>
      </c>
      <c r="B2478" t="str">
        <f>"1551765162082211"</f>
        <v>1551765162082211</v>
      </c>
      <c r="C2478" t="s">
        <v>40</v>
      </c>
      <c r="D2478">
        <v>4.5050249999999998</v>
      </c>
      <c r="E2478">
        <v>0.48903799999999997</v>
      </c>
      <c r="F2478" t="s">
        <v>55</v>
      </c>
      <c r="G2478">
        <v>-482.94279999999998</v>
      </c>
      <c r="H2478" s="1">
        <v>2.3355540000000001E-6</v>
      </c>
      <c r="I2478">
        <v>280.13</v>
      </c>
      <c r="J2478">
        <v>-468.85680000000002</v>
      </c>
      <c r="K2478">
        <v>1.1133980000000001</v>
      </c>
      <c r="L2478">
        <v>285.40120000000002</v>
      </c>
      <c r="M2478">
        <v>-0.99837549999999997</v>
      </c>
      <c r="N2478">
        <v>-2.0658820000000001E-2</v>
      </c>
      <c r="O2478">
        <v>-5.3100870000000001E-2</v>
      </c>
      <c r="P2478">
        <v>-0.94349879999999997</v>
      </c>
      <c r="Q2478">
        <v>-8.532766E-2</v>
      </c>
      <c r="R2478">
        <v>-0.32020209999999999</v>
      </c>
      <c r="S2478">
        <v>-2.8077999999999999</v>
      </c>
      <c r="T2478">
        <v>-0.2187297</v>
      </c>
      <c r="U2478">
        <v>-1.0382690000000001</v>
      </c>
      <c r="V2478">
        <v>-0.269117</v>
      </c>
      <c r="W2478">
        <v>-6.7607589999999995E-2</v>
      </c>
      <c r="X2478">
        <v>0.96073160000000002</v>
      </c>
      <c r="Y2478">
        <v>-0.2955815</v>
      </c>
      <c r="Z2478">
        <v>-1.136182E-2</v>
      </c>
      <c r="AA2478">
        <v>0.95525000000000004</v>
      </c>
      <c r="AB2478">
        <v>30</v>
      </c>
      <c r="AC2478">
        <v>-14.085999999999901</v>
      </c>
      <c r="AD2478">
        <v>-1.1133956644459999</v>
      </c>
      <c r="AE2478">
        <v>-5.2712000000000199</v>
      </c>
      <c r="AF2478">
        <v>-4.4910094019523896</v>
      </c>
      <c r="AG2478">
        <v>-1.1133956644459999</v>
      </c>
      <c r="AH2478">
        <v>14.267890987913599</v>
      </c>
      <c r="AI2478">
        <v>94.256948170074395</v>
      </c>
      <c r="AJ2478">
        <v>107.472092257071</v>
      </c>
      <c r="AK2478">
        <v>14.99938427393</v>
      </c>
      <c r="AL2478">
        <v>93.876586669286695</v>
      </c>
      <c r="AM2478">
        <v>105.648448496817</v>
      </c>
      <c r="AN2478">
        <v>0.99999997657658302</v>
      </c>
    </row>
    <row r="2479" spans="1:40" x14ac:dyDescent="0.25">
      <c r="A2479" t="str">
        <f>"20190305135242103"</f>
        <v>20190305135242103</v>
      </c>
      <c r="B2479" t="str">
        <f>"1551765162091971"</f>
        <v>1551765162091971</v>
      </c>
      <c r="C2479" t="s">
        <v>40</v>
      </c>
      <c r="D2479">
        <v>4.4867540000000004</v>
      </c>
      <c r="E2479">
        <v>0.48903010000000002</v>
      </c>
      <c r="F2479" t="s">
        <v>55</v>
      </c>
      <c r="G2479">
        <v>-483.09629999999999</v>
      </c>
      <c r="H2479" s="1">
        <v>2.3587700000000002E-6</v>
      </c>
      <c r="I2479">
        <v>280.08409999999998</v>
      </c>
      <c r="J2479">
        <v>-469.03489999999999</v>
      </c>
      <c r="K2479">
        <v>1.1135200000000001</v>
      </c>
      <c r="L2479">
        <v>285.38900000000001</v>
      </c>
      <c r="M2479">
        <v>-0.99823059999999997</v>
      </c>
      <c r="N2479">
        <v>-2.0796169999999999E-2</v>
      </c>
      <c r="O2479">
        <v>-5.5708750000000001E-2</v>
      </c>
      <c r="P2479">
        <v>-0.94250599999999995</v>
      </c>
      <c r="Q2479">
        <v>-8.5371009999999997E-2</v>
      </c>
      <c r="R2479">
        <v>-0.32310179999999999</v>
      </c>
      <c r="S2479">
        <v>-2.804443</v>
      </c>
      <c r="T2479">
        <v>-0.21928120000000001</v>
      </c>
      <c r="U2479">
        <v>-1.04718</v>
      </c>
      <c r="V2479">
        <v>-0.26954270000000002</v>
      </c>
      <c r="W2479">
        <v>-6.7597399999999905E-2</v>
      </c>
      <c r="X2479">
        <v>0.96061300000000005</v>
      </c>
      <c r="Y2479">
        <v>-0.2961203</v>
      </c>
      <c r="Z2479">
        <v>-1.129642E-2</v>
      </c>
      <c r="AA2479">
        <v>0.95508380000000004</v>
      </c>
      <c r="AB2479">
        <v>30</v>
      </c>
      <c r="AC2479">
        <v>-14.0613999999999</v>
      </c>
      <c r="AD2479">
        <v>-1.1135176412299901</v>
      </c>
      <c r="AE2479">
        <v>-5.3049000000000301</v>
      </c>
      <c r="AF2479">
        <v>-4.4885055326655898</v>
      </c>
      <c r="AG2479">
        <v>-1.1135176412299901</v>
      </c>
      <c r="AH2479">
        <v>14.2568818740653</v>
      </c>
      <c r="AI2479">
        <v>94.260606290666701</v>
      </c>
      <c r="AJ2479">
        <v>107.475607574059</v>
      </c>
      <c r="AK2479">
        <v>14.9881714770399</v>
      </c>
      <c r="AL2479">
        <v>93.876001373563298</v>
      </c>
      <c r="AM2479">
        <v>105.673826227135</v>
      </c>
      <c r="AN2479">
        <v>1.00000000568952</v>
      </c>
    </row>
    <row r="2480" spans="1:40" x14ac:dyDescent="0.25">
      <c r="A2480" t="str">
        <f>"20190305135242119"</f>
        <v>20190305135242119</v>
      </c>
      <c r="B2480" t="str">
        <f>"1551765162112467"</f>
        <v>1551765162112467</v>
      </c>
      <c r="C2480" t="s">
        <v>40</v>
      </c>
      <c r="D2480">
        <v>4.4733020000000003</v>
      </c>
      <c r="E2480">
        <v>0.4890272</v>
      </c>
      <c r="F2480" t="s">
        <v>55</v>
      </c>
      <c r="G2480">
        <v>-483.25409999999999</v>
      </c>
      <c r="H2480" s="1">
        <v>2.3819879999999999E-6</v>
      </c>
      <c r="I2480">
        <v>280.02960000000002</v>
      </c>
      <c r="J2480">
        <v>-469.24090000000001</v>
      </c>
      <c r="K2480">
        <v>1.113675</v>
      </c>
      <c r="L2480">
        <v>285.3741</v>
      </c>
      <c r="M2480">
        <v>-0.99804389999999998</v>
      </c>
      <c r="N2480">
        <v>-2.096601E-2</v>
      </c>
      <c r="O2480">
        <v>-5.8898079999999998E-2</v>
      </c>
      <c r="P2480">
        <v>-0.94081210000000004</v>
      </c>
      <c r="Q2480">
        <v>-8.5866819999999996E-2</v>
      </c>
      <c r="R2480">
        <v>-0.32787159999999999</v>
      </c>
      <c r="S2480">
        <v>-2.8012079999999999</v>
      </c>
      <c r="T2480">
        <v>-0.21936430000000001</v>
      </c>
      <c r="U2480">
        <v>-1.055817</v>
      </c>
      <c r="V2480">
        <v>-0.27131309999999997</v>
      </c>
      <c r="W2480">
        <v>-6.8044830000000001E-2</v>
      </c>
      <c r="X2480">
        <v>0.96008289999999996</v>
      </c>
      <c r="Y2480">
        <v>-0.29601280000000002</v>
      </c>
      <c r="Z2480">
        <v>-1.115962E-2</v>
      </c>
      <c r="AA2480">
        <v>0.95511880000000005</v>
      </c>
      <c r="AB2480">
        <v>30</v>
      </c>
      <c r="AC2480">
        <v>-14.0131999999999</v>
      </c>
      <c r="AD2480">
        <v>-1.113672618012</v>
      </c>
      <c r="AE2480">
        <v>-5.3444999999999796</v>
      </c>
      <c r="AF2480">
        <v>-4.4849561907723698</v>
      </c>
      <c r="AG2480">
        <v>-1.113672618012</v>
      </c>
      <c r="AH2480">
        <v>14.2252752337919</v>
      </c>
      <c r="AI2480">
        <v>94.270081176507901</v>
      </c>
      <c r="AJ2480">
        <v>107.49906263477099</v>
      </c>
      <c r="AK2480">
        <v>14.957057003648501</v>
      </c>
      <c r="AL2480">
        <v>93.901696268663798</v>
      </c>
      <c r="AM2480">
        <v>105.779942245057</v>
      </c>
      <c r="AN2480">
        <v>1.0000000359968699</v>
      </c>
    </row>
    <row r="2481" spans="1:40" x14ac:dyDescent="0.25">
      <c r="A2481" t="str">
        <f>"20190305135242135"</f>
        <v>20190305135242135</v>
      </c>
      <c r="B2481" t="str">
        <f>"1551765162132494"</f>
        <v>1551765162132494</v>
      </c>
      <c r="C2481" t="s">
        <v>40</v>
      </c>
      <c r="D2481">
        <v>4.489795</v>
      </c>
      <c r="E2481">
        <v>0.48902190000000001</v>
      </c>
      <c r="F2481" t="s">
        <v>55</v>
      </c>
      <c r="G2481">
        <v>-483.3528</v>
      </c>
      <c r="H2481" s="1">
        <v>2.394434E-6</v>
      </c>
      <c r="I2481">
        <v>279.9717</v>
      </c>
      <c r="J2481">
        <v>-469.44229999999999</v>
      </c>
      <c r="K2481">
        <v>1.1138319999999999</v>
      </c>
      <c r="L2481">
        <v>285.35860000000002</v>
      </c>
      <c r="M2481">
        <v>-0.99784209999999995</v>
      </c>
      <c r="N2481">
        <v>-2.113131E-2</v>
      </c>
      <c r="O2481">
        <v>-6.2166949999999999E-2</v>
      </c>
      <c r="P2481">
        <v>-0.93949959999999999</v>
      </c>
      <c r="Q2481">
        <v>-8.6296659999999997E-2</v>
      </c>
      <c r="R2481">
        <v>-0.3315015</v>
      </c>
      <c r="S2481">
        <v>-2.7956240000000001</v>
      </c>
      <c r="T2481">
        <v>-0.2206236</v>
      </c>
      <c r="U2481">
        <v>-1.0702210000000001</v>
      </c>
      <c r="V2481">
        <v>-0.27185090000000001</v>
      </c>
      <c r="W2481">
        <v>-6.8417980000000003E-2</v>
      </c>
      <c r="X2481">
        <v>0.95990419999999999</v>
      </c>
      <c r="Y2481">
        <v>-0.29779909999999998</v>
      </c>
      <c r="Z2481">
        <v>-1.114943E-2</v>
      </c>
      <c r="AA2481">
        <v>0.95456339999999995</v>
      </c>
      <c r="AB2481">
        <v>30</v>
      </c>
      <c r="AC2481">
        <v>-13.910500000000001</v>
      </c>
      <c r="AD2481">
        <v>-1.113829605566</v>
      </c>
      <c r="AE2481">
        <v>-5.3869000000000202</v>
      </c>
      <c r="AF2481">
        <v>-4.4864958686255898</v>
      </c>
      <c r="AG2481">
        <v>-1.113829605566</v>
      </c>
      <c r="AH2481">
        <v>14.1397107851156</v>
      </c>
      <c r="AI2481">
        <v>94.293946478331705</v>
      </c>
      <c r="AJ2481">
        <v>107.604106406775</v>
      </c>
      <c r="AK2481">
        <v>14.8761783619364</v>
      </c>
      <c r="AL2481">
        <v>93.923126261586603</v>
      </c>
      <c r="AM2481">
        <v>105.81245519798</v>
      </c>
      <c r="AN2481">
        <v>1.0000000024978599</v>
      </c>
    </row>
    <row r="2482" spans="1:40" x14ac:dyDescent="0.25">
      <c r="A2482" t="str">
        <f>"20190305135242164"</f>
        <v>20190305135242164</v>
      </c>
      <c r="B2482" t="str">
        <f>"1551765162161775"</f>
        <v>1551765162161775</v>
      </c>
      <c r="C2482" t="s">
        <v>40</v>
      </c>
      <c r="D2482">
        <v>4.4704370000000004</v>
      </c>
      <c r="E2482">
        <v>0.48903669999999999</v>
      </c>
      <c r="F2482" t="s">
        <v>55</v>
      </c>
      <c r="G2482">
        <v>-483.46080000000001</v>
      </c>
      <c r="H2482" s="1">
        <v>2.4100650000000001E-6</v>
      </c>
      <c r="I2482">
        <v>279.9314</v>
      </c>
      <c r="J2482">
        <v>-469.81889999999999</v>
      </c>
      <c r="K2482">
        <v>1.114139</v>
      </c>
      <c r="L2482">
        <v>285.32780000000002</v>
      </c>
      <c r="M2482">
        <v>-0.9974094</v>
      </c>
      <c r="N2482">
        <v>-2.1448129999999999E-2</v>
      </c>
      <c r="O2482">
        <v>-6.8661390000000003E-2</v>
      </c>
      <c r="P2482">
        <v>-0.93693570000000004</v>
      </c>
      <c r="Q2482">
        <v>-8.7225780000000003E-2</v>
      </c>
      <c r="R2482">
        <v>-0.33844200000000002</v>
      </c>
      <c r="S2482">
        <v>-2.7914729999999999</v>
      </c>
      <c r="T2482">
        <v>-0.22179499999999999</v>
      </c>
      <c r="U2482">
        <v>-1.080719</v>
      </c>
      <c r="V2482">
        <v>-0.272653599999999</v>
      </c>
      <c r="W2482">
        <v>-6.9242349999999994E-2</v>
      </c>
      <c r="X2482">
        <v>0.95961739999999995</v>
      </c>
      <c r="Y2482">
        <v>-0.29518949999999999</v>
      </c>
      <c r="Z2482">
        <v>-1.0771910000000001E-2</v>
      </c>
      <c r="AA2482">
        <v>0.95537799999999995</v>
      </c>
      <c r="AB2482">
        <v>29</v>
      </c>
      <c r="AC2482">
        <v>-13.6419</v>
      </c>
      <c r="AD2482">
        <v>-1.114136589935</v>
      </c>
      <c r="AE2482">
        <v>-5.3964000000000203</v>
      </c>
      <c r="AF2482">
        <v>-4.4212716027446701</v>
      </c>
      <c r="AG2482">
        <v>-1.114136589935</v>
      </c>
      <c r="AH2482">
        <v>13.9001308984058</v>
      </c>
      <c r="AI2482">
        <v>94.367896167544401</v>
      </c>
      <c r="AJ2482">
        <v>107.644519552029</v>
      </c>
      <c r="AK2482">
        <v>14.6288270862392</v>
      </c>
      <c r="AL2482">
        <v>93.970471393277094</v>
      </c>
      <c r="AM2482">
        <v>105.86130105693</v>
      </c>
      <c r="AN2482">
        <v>1.0000000215046201</v>
      </c>
    </row>
    <row r="2483" spans="1:40" x14ac:dyDescent="0.25">
      <c r="A2483" t="str">
        <f>"20190305135242187"</f>
        <v>20190305135242187</v>
      </c>
      <c r="B2483" t="str">
        <f>"1551765162182270"</f>
        <v>1551765162182270</v>
      </c>
      <c r="C2483" t="s">
        <v>40</v>
      </c>
      <c r="D2483">
        <v>4.4403709999999998</v>
      </c>
      <c r="E2483">
        <v>0.48905609999999999</v>
      </c>
      <c r="F2483" t="s">
        <v>55</v>
      </c>
      <c r="G2483">
        <v>-483.63459999999998</v>
      </c>
      <c r="H2483" s="1">
        <v>2.4346419999999998E-6</v>
      </c>
      <c r="I2483">
        <v>279.85989999999998</v>
      </c>
      <c r="J2483">
        <v>-470.10570000000001</v>
      </c>
      <c r="K2483">
        <v>1.114376</v>
      </c>
      <c r="L2483">
        <v>285.30200000000002</v>
      </c>
      <c r="M2483">
        <v>-0.99702310000000005</v>
      </c>
      <c r="N2483">
        <v>-2.170652E-2</v>
      </c>
      <c r="O2483">
        <v>-7.3983530000000006E-2</v>
      </c>
      <c r="P2483">
        <v>-0.93525199999999997</v>
      </c>
      <c r="Q2483">
        <v>-8.7937650000000006E-2</v>
      </c>
      <c r="R2483">
        <v>-0.34288619999999997</v>
      </c>
      <c r="S2483">
        <v>-2.7830810000000001</v>
      </c>
      <c r="T2483">
        <v>-0.22443689999999999</v>
      </c>
      <c r="U2483">
        <v>-1.1014710000000001</v>
      </c>
      <c r="V2483">
        <v>-0.27205430000000003</v>
      </c>
      <c r="W2483">
        <v>-6.983383E-2</v>
      </c>
      <c r="X2483">
        <v>0.95974459999999995</v>
      </c>
      <c r="Y2483">
        <v>-0.29721110000000001</v>
      </c>
      <c r="Z2483">
        <v>-1.0716959999999999E-2</v>
      </c>
      <c r="AA2483">
        <v>0.95475169999999998</v>
      </c>
      <c r="AB2483">
        <v>29</v>
      </c>
      <c r="AC2483">
        <v>-13.528899999999901</v>
      </c>
      <c r="AD2483">
        <v>-1.114373565358</v>
      </c>
      <c r="AE2483">
        <v>-5.4421000000000301</v>
      </c>
      <c r="AF2483">
        <v>-4.4003296836705399</v>
      </c>
      <c r="AG2483">
        <v>-1.114373565358</v>
      </c>
      <c r="AH2483">
        <v>13.813855996084699</v>
      </c>
      <c r="AI2483">
        <v>94.395405158131894</v>
      </c>
      <c r="AJ2483">
        <v>107.668998910285</v>
      </c>
      <c r="AK2483">
        <v>14.540541504659499</v>
      </c>
      <c r="AL2483">
        <v>94.004443015582197</v>
      </c>
      <c r="AM2483">
        <v>105.826193453513</v>
      </c>
      <c r="AN2483">
        <v>1.0000000015950501</v>
      </c>
    </row>
    <row r="2484" spans="1:40" x14ac:dyDescent="0.25">
      <c r="A2484" t="str">
        <f>"20190305135242208"</f>
        <v>20190305135242208</v>
      </c>
      <c r="B2484" t="str">
        <f>"1551765162201789"</f>
        <v>1551765162201789</v>
      </c>
      <c r="C2484" t="s">
        <v>40</v>
      </c>
      <c r="D2484">
        <v>4.4645070000000002</v>
      </c>
      <c r="E2484">
        <v>0.48907980000000001</v>
      </c>
      <c r="F2484" t="s">
        <v>55</v>
      </c>
      <c r="G2484">
        <v>-483.79509999999999</v>
      </c>
      <c r="H2484" s="1">
        <v>2.4587339999999999E-6</v>
      </c>
      <c r="I2484">
        <v>279.80970000000002</v>
      </c>
      <c r="J2484">
        <v>-470.387</v>
      </c>
      <c r="K2484">
        <v>1.114601</v>
      </c>
      <c r="L2484">
        <v>285.27480000000003</v>
      </c>
      <c r="M2484">
        <v>-0.99659219999999904</v>
      </c>
      <c r="N2484">
        <v>-2.1978210000000001E-2</v>
      </c>
      <c r="O2484">
        <v>-7.9504770000000002E-2</v>
      </c>
      <c r="P2484">
        <v>-0.93323049999999996</v>
      </c>
      <c r="Q2484">
        <v>-8.8743240000000001E-2</v>
      </c>
      <c r="R2484">
        <v>-0.3481457</v>
      </c>
      <c r="S2484">
        <v>-2.777863</v>
      </c>
      <c r="T2484">
        <v>-0.2261291</v>
      </c>
      <c r="U2484">
        <v>-1.1145020000000001</v>
      </c>
      <c r="V2484">
        <v>-0.27211020000000002</v>
      </c>
      <c r="W2484">
        <v>-7.0503720000000006E-2</v>
      </c>
      <c r="X2484">
        <v>0.95967979999999997</v>
      </c>
      <c r="Y2484">
        <v>-0.29639520000000003</v>
      </c>
      <c r="Z2484">
        <v>-1.0478060000000001E-2</v>
      </c>
      <c r="AA2484">
        <v>0.95500790000000002</v>
      </c>
      <c r="AB2484">
        <v>29</v>
      </c>
      <c r="AC2484">
        <v>-13.408099999999999</v>
      </c>
      <c r="AD2484">
        <v>-1.114598541266</v>
      </c>
      <c r="AE2484">
        <v>-5.4650999999999996</v>
      </c>
      <c r="AF2484">
        <v>-4.3557148601749596</v>
      </c>
      <c r="AG2484">
        <v>-1.114598541266</v>
      </c>
      <c r="AH2484">
        <v>13.7189454539867</v>
      </c>
      <c r="AI2484">
        <v>94.427918097083605</v>
      </c>
      <c r="AJ2484">
        <v>107.614452382937</v>
      </c>
      <c r="AK2484">
        <v>14.4368987743491</v>
      </c>
      <c r="AL2484">
        <v>94.042919623043502</v>
      </c>
      <c r="AM2484">
        <v>105.830297638264</v>
      </c>
      <c r="AN2484">
        <v>1.0000000270029501</v>
      </c>
    </row>
    <row r="2485" spans="1:40" x14ac:dyDescent="0.25">
      <c r="A2485" t="str">
        <f>"20190305135242231"</f>
        <v>20190305135242231</v>
      </c>
      <c r="B2485" t="str">
        <f>"1551765162222286"</f>
        <v>1551765162222286</v>
      </c>
      <c r="C2485" t="s">
        <v>40</v>
      </c>
      <c r="D2485">
        <v>4.4089320000000001</v>
      </c>
      <c r="E2485">
        <v>0.48908230000000003</v>
      </c>
      <c r="F2485" t="s">
        <v>55</v>
      </c>
      <c r="G2485">
        <v>-483.91770000000002</v>
      </c>
      <c r="H2485" s="1">
        <v>2.475805E-6</v>
      </c>
      <c r="I2485">
        <v>279.75630000000001</v>
      </c>
      <c r="J2485">
        <v>-470.66469999999998</v>
      </c>
      <c r="K2485">
        <v>1.1147910000000001</v>
      </c>
      <c r="L2485">
        <v>285.24610000000001</v>
      </c>
      <c r="M2485">
        <v>-0.99611430000000001</v>
      </c>
      <c r="N2485">
        <v>-2.2253680000000001E-2</v>
      </c>
      <c r="O2485">
        <v>-8.5211510000000004E-2</v>
      </c>
      <c r="P2485">
        <v>-0.93058129999999994</v>
      </c>
      <c r="Q2485">
        <v>-8.9477349999999997E-2</v>
      </c>
      <c r="R2485">
        <v>-0.35498180000000001</v>
      </c>
      <c r="S2485">
        <v>-2.7712400000000001</v>
      </c>
      <c r="T2485">
        <v>-0.22828209999999999</v>
      </c>
      <c r="U2485">
        <v>-1.1302490000000001</v>
      </c>
      <c r="V2485">
        <v>-0.27362330000000001</v>
      </c>
      <c r="W2485">
        <v>-7.1103799999999995E-2</v>
      </c>
      <c r="X2485">
        <v>0.95920519999999998</v>
      </c>
      <c r="Y2485">
        <v>-0.29636439999999997</v>
      </c>
      <c r="Z2485">
        <v>-1.027701E-2</v>
      </c>
      <c r="AA2485">
        <v>0.95501970000000003</v>
      </c>
      <c r="AB2485">
        <v>29</v>
      </c>
      <c r="AC2485">
        <v>-13.253</v>
      </c>
      <c r="AD2485">
        <v>-1.114788524195</v>
      </c>
      <c r="AE2485">
        <v>-5.4897999999999998</v>
      </c>
      <c r="AF2485">
        <v>-4.3141807784909396</v>
      </c>
      <c r="AG2485">
        <v>-1.114788524195</v>
      </c>
      <c r="AH2485">
        <v>13.5906065442793</v>
      </c>
      <c r="AI2485">
        <v>94.470396301692006</v>
      </c>
      <c r="AJ2485">
        <v>107.61143849259901</v>
      </c>
      <c r="AK2485">
        <v>14.302429705633401</v>
      </c>
      <c r="AL2485">
        <v>94.077388135273907</v>
      </c>
      <c r="AM2485">
        <v>105.921352243459</v>
      </c>
      <c r="AN2485">
        <v>1.0000000381921801</v>
      </c>
    </row>
    <row r="2486" spans="1:40" x14ac:dyDescent="0.25">
      <c r="A2486" t="str">
        <f>"20190305135242254"</f>
        <v>20190305135242254</v>
      </c>
      <c r="B2486" t="str">
        <f>"1551765162242311"</f>
        <v>1551765162242311</v>
      </c>
      <c r="C2486" t="s">
        <v>40</v>
      </c>
      <c r="D2486">
        <v>4.4228059999999996</v>
      </c>
      <c r="E2486">
        <v>0.48909010000000003</v>
      </c>
      <c r="F2486" t="s">
        <v>55</v>
      </c>
      <c r="G2486">
        <v>-484.03160000000003</v>
      </c>
      <c r="H2486" s="1">
        <v>2.4893999999999998E-6</v>
      </c>
      <c r="I2486">
        <v>279.68079999999998</v>
      </c>
      <c r="J2486">
        <v>-470.94290000000001</v>
      </c>
      <c r="K2486">
        <v>1.114949</v>
      </c>
      <c r="L2486">
        <v>285.21539999999999</v>
      </c>
      <c r="M2486">
        <v>-0.99558020000000003</v>
      </c>
      <c r="N2486">
        <v>-2.2526359999999999E-2</v>
      </c>
      <c r="O2486">
        <v>-9.1174210000000006E-2</v>
      </c>
      <c r="P2486">
        <v>-0.92774230000000002</v>
      </c>
      <c r="Q2486">
        <v>-9.0922039999999996E-2</v>
      </c>
      <c r="R2486">
        <v>-0.3619772</v>
      </c>
      <c r="S2486">
        <v>-2.762848</v>
      </c>
      <c r="T2486">
        <v>-0.2304206</v>
      </c>
      <c r="U2486">
        <v>-1.1503300000000001</v>
      </c>
      <c r="V2486">
        <v>-0.27507310000000001</v>
      </c>
      <c r="W2486">
        <v>-7.2407570000000004E-2</v>
      </c>
      <c r="X2486">
        <v>0.95869280000000001</v>
      </c>
      <c r="Y2486">
        <v>-0.29757509999999998</v>
      </c>
      <c r="Z2486">
        <v>-1.012064E-2</v>
      </c>
      <c r="AA2486">
        <v>0.95464479999999996</v>
      </c>
      <c r="AB2486">
        <v>28</v>
      </c>
      <c r="AC2486">
        <v>-13.088699999999999</v>
      </c>
      <c r="AD2486">
        <v>-1.1149465106000001</v>
      </c>
      <c r="AE2486">
        <v>-5.53460000000001</v>
      </c>
      <c r="AF2486">
        <v>-4.2914650174438496</v>
      </c>
      <c r="AG2486">
        <v>-1.1149465106000001</v>
      </c>
      <c r="AH2486">
        <v>13.456067433083099</v>
      </c>
      <c r="AI2486">
        <v>94.513616436179007</v>
      </c>
      <c r="AJ2486">
        <v>107.688738872672</v>
      </c>
      <c r="AK2486">
        <v>14.1677637078377</v>
      </c>
      <c r="AL2486">
        <v>94.152281974183595</v>
      </c>
      <c r="AM2486">
        <v>106.009518102938</v>
      </c>
      <c r="AN2486">
        <v>0.99999997565437704</v>
      </c>
    </row>
    <row r="2487" spans="1:40" x14ac:dyDescent="0.25">
      <c r="A2487" t="str">
        <f>"20190305135242276"</f>
        <v>20190305135242276</v>
      </c>
      <c r="B2487" t="str">
        <f>"1551765162272567"</f>
        <v>1551765162272567</v>
      </c>
      <c r="C2487" t="s">
        <v>40</v>
      </c>
      <c r="D2487">
        <v>4.4075179999999996</v>
      </c>
      <c r="E2487">
        <v>0.4891219</v>
      </c>
      <c r="F2487" t="s">
        <v>55</v>
      </c>
      <c r="G2487">
        <v>-484.03910000000002</v>
      </c>
      <c r="H2487" s="1">
        <v>2.48761E-6</v>
      </c>
      <c r="I2487">
        <v>279.64499999999998</v>
      </c>
      <c r="J2487">
        <v>-471.21280000000002</v>
      </c>
      <c r="K2487">
        <v>1.115102</v>
      </c>
      <c r="L2487">
        <v>285.18380000000002</v>
      </c>
      <c r="M2487">
        <v>-0.99500429999999995</v>
      </c>
      <c r="N2487">
        <v>-2.2795559999999999E-2</v>
      </c>
      <c r="O2487">
        <v>-9.7194639999999999E-2</v>
      </c>
      <c r="P2487">
        <v>-0.9249134</v>
      </c>
      <c r="Q2487">
        <v>-9.2591489999999999E-2</v>
      </c>
      <c r="R2487">
        <v>-0.36873020000000001</v>
      </c>
      <c r="S2487">
        <v>-2.7536619999999998</v>
      </c>
      <c r="T2487">
        <v>-0.23443420000000001</v>
      </c>
      <c r="U2487">
        <v>-1.171265</v>
      </c>
      <c r="V2487">
        <v>-0.27623700000000001</v>
      </c>
      <c r="W2487">
        <v>-7.3927670000000001E-2</v>
      </c>
      <c r="X2487">
        <v>0.95824209999999999</v>
      </c>
      <c r="Y2487">
        <v>-0.29906199999999999</v>
      </c>
      <c r="Z2487">
        <v>-1.000501E-2</v>
      </c>
      <c r="AA2487">
        <v>0.95418119999999995</v>
      </c>
      <c r="AB2487">
        <v>28</v>
      </c>
      <c r="AC2487">
        <v>-12.8263</v>
      </c>
      <c r="AD2487">
        <v>-1.1150995123899901</v>
      </c>
      <c r="AE2487">
        <v>-5.5388000000000304</v>
      </c>
      <c r="AF2487">
        <v>-4.2385892664677796</v>
      </c>
      <c r="AG2487">
        <v>-1.1150995123899901</v>
      </c>
      <c r="AH2487">
        <v>13.2198074008222</v>
      </c>
      <c r="AI2487">
        <v>94.592312070782796</v>
      </c>
      <c r="AJ2487">
        <v>107.77710415355899</v>
      </c>
      <c r="AK2487">
        <v>13.9273972301784</v>
      </c>
      <c r="AL2487">
        <v>94.239611050348003</v>
      </c>
      <c r="AM2487">
        <v>106.08093568781</v>
      </c>
      <c r="AN2487">
        <v>1.0000000513865099</v>
      </c>
    </row>
    <row r="2488" spans="1:40" x14ac:dyDescent="0.25">
      <c r="A2488" t="str">
        <f>"20190305135242298"</f>
        <v>20190305135242298</v>
      </c>
      <c r="B2488" t="str">
        <f>"1551765162292087"</f>
        <v>1551765162292087</v>
      </c>
      <c r="C2488" t="s">
        <v>40</v>
      </c>
      <c r="D2488">
        <v>4.3999990000000002</v>
      </c>
      <c r="E2488">
        <v>0.4891336</v>
      </c>
      <c r="F2488" t="s">
        <v>55</v>
      </c>
      <c r="G2488">
        <v>-484.02699999999999</v>
      </c>
      <c r="H2488" s="1">
        <v>2.483622E-6</v>
      </c>
      <c r="I2488">
        <v>279.62389999999999</v>
      </c>
      <c r="J2488">
        <v>-471.49059999999997</v>
      </c>
      <c r="K2488">
        <v>1.115265</v>
      </c>
      <c r="L2488">
        <v>285.14920000000001</v>
      </c>
      <c r="M2488">
        <v>-0.99434579999999995</v>
      </c>
      <c r="N2488">
        <v>-2.3064500000000002E-2</v>
      </c>
      <c r="O2488">
        <v>-0.103656399999999</v>
      </c>
      <c r="P2488">
        <v>-0.92200789999999999</v>
      </c>
      <c r="Q2488">
        <v>-9.3585450000000001E-2</v>
      </c>
      <c r="R2488">
        <v>-0.37569059999999999</v>
      </c>
      <c r="S2488">
        <v>-2.7447810000000001</v>
      </c>
      <c r="T2488">
        <v>-0.2388518</v>
      </c>
      <c r="U2488">
        <v>-1.1909179999999999</v>
      </c>
      <c r="V2488">
        <v>-0.27720899999999998</v>
      </c>
      <c r="W2488">
        <v>-7.4772549999999993E-2</v>
      </c>
      <c r="X2488">
        <v>0.95789579999999996</v>
      </c>
      <c r="Y2488">
        <v>-0.2997107</v>
      </c>
      <c r="Z2488">
        <v>-9.8130649999999993E-3</v>
      </c>
      <c r="AA2488">
        <v>0.95397969999999999</v>
      </c>
      <c r="AB2488">
        <v>28</v>
      </c>
      <c r="AC2488">
        <v>-12.5364</v>
      </c>
      <c r="AD2488">
        <v>-1.1152625163779999</v>
      </c>
      <c r="AE2488">
        <v>-5.5253000000000103</v>
      </c>
      <c r="AF2488">
        <v>-4.1680749533632797</v>
      </c>
      <c r="AG2488">
        <v>-1.1152625163779999</v>
      </c>
      <c r="AH2488">
        <v>12.9558599295334</v>
      </c>
      <c r="AI2488">
        <v>94.684660504515406</v>
      </c>
      <c r="AJ2488">
        <v>107.8336838111</v>
      </c>
      <c r="AK2488">
        <v>13.6554372251854</v>
      </c>
      <c r="AL2488">
        <v>94.288153409922799</v>
      </c>
      <c r="AM2488">
        <v>106.140109714524</v>
      </c>
      <c r="AN2488">
        <v>1.00000006378606</v>
      </c>
    </row>
    <row r="2489" spans="1:40" x14ac:dyDescent="0.25">
      <c r="A2489" t="str">
        <f>"20190305135242320"</f>
        <v>20190305135242320</v>
      </c>
      <c r="B2489" t="str">
        <f>"1551765162312587"</f>
        <v>1551765162312587</v>
      </c>
      <c r="C2489" t="s">
        <v>40</v>
      </c>
      <c r="D2489">
        <v>4.352887</v>
      </c>
      <c r="E2489">
        <v>0.48914570000000002</v>
      </c>
      <c r="F2489" t="s">
        <v>55</v>
      </c>
      <c r="G2489">
        <v>-484.13459999999998</v>
      </c>
      <c r="H2489" s="1">
        <v>2.478544E-6</v>
      </c>
      <c r="I2489">
        <v>279.54989999999998</v>
      </c>
      <c r="J2489">
        <v>-471.75200000000001</v>
      </c>
      <c r="K2489">
        <v>1.1154029999999999</v>
      </c>
      <c r="L2489">
        <v>285.11450000000002</v>
      </c>
      <c r="M2489">
        <v>-0.99365890000000001</v>
      </c>
      <c r="N2489">
        <v>-2.3301249999999999E-2</v>
      </c>
      <c r="O2489">
        <v>-0.1099956</v>
      </c>
      <c r="P2489">
        <v>-0.91944859999999995</v>
      </c>
      <c r="Q2489">
        <v>-9.390271E-2</v>
      </c>
      <c r="R2489">
        <v>-0.3818336</v>
      </c>
      <c r="S2489">
        <v>-2.7356259999999999</v>
      </c>
      <c r="T2489">
        <v>-0.2412958</v>
      </c>
      <c r="U2489">
        <v>-1.2114560000000001</v>
      </c>
      <c r="V2489">
        <v>-0.27746769999999998</v>
      </c>
      <c r="W2489">
        <v>-7.4958209999999997E-2</v>
      </c>
      <c r="X2489">
        <v>0.9578063</v>
      </c>
      <c r="Y2489">
        <v>-0.3007802</v>
      </c>
      <c r="Z2489">
        <v>-9.5992930000000001E-3</v>
      </c>
      <c r="AA2489">
        <v>0.95364519999999997</v>
      </c>
      <c r="AB2489">
        <v>28</v>
      </c>
      <c r="AC2489">
        <v>-12.3826</v>
      </c>
      <c r="AD2489">
        <v>-1.1154005214560001</v>
      </c>
      <c r="AE2489">
        <v>-5.5646000000000404</v>
      </c>
      <c r="AF2489">
        <v>-4.1404633881748003</v>
      </c>
      <c r="AG2489">
        <v>-1.1154005214560001</v>
      </c>
      <c r="AH2489">
        <v>12.8330375780466</v>
      </c>
      <c r="AI2489">
        <v>94.728602141949807</v>
      </c>
      <c r="AJ2489">
        <v>107.881825905554</v>
      </c>
      <c r="AK2489">
        <v>13.5304992099936</v>
      </c>
      <c r="AL2489">
        <v>94.2988212280423</v>
      </c>
      <c r="AM2489">
        <v>106.155817606272</v>
      </c>
      <c r="AN2489">
        <v>0.99999998305469096</v>
      </c>
    </row>
    <row r="2490" spans="1:40" x14ac:dyDescent="0.25">
      <c r="A2490" t="str">
        <f>"20190305135242343"</f>
        <v>20190305135242343</v>
      </c>
      <c r="B2490" t="str">
        <f>"1551765162332611"</f>
        <v>1551765162332611</v>
      </c>
      <c r="C2490" t="s">
        <v>40</v>
      </c>
      <c r="D2490">
        <v>4.402056</v>
      </c>
      <c r="E2490">
        <v>0.4891857</v>
      </c>
      <c r="F2490" t="s">
        <v>55</v>
      </c>
      <c r="G2490">
        <v>-484.34710000000001</v>
      </c>
      <c r="H2490" s="1">
        <v>2.4769529999999999E-6</v>
      </c>
      <c r="I2490">
        <v>279.43869999999998</v>
      </c>
      <c r="J2490">
        <v>-472.01949999999999</v>
      </c>
      <c r="K2490">
        <v>1.115559</v>
      </c>
      <c r="L2490">
        <v>285.077</v>
      </c>
      <c r="M2490">
        <v>-0.99288050000000005</v>
      </c>
      <c r="N2490">
        <v>-2.3517840000000002E-2</v>
      </c>
      <c r="O2490">
        <v>-0.1167701</v>
      </c>
      <c r="P2490">
        <v>-0.9168364</v>
      </c>
      <c r="Q2490">
        <v>-9.5455200000000004E-2</v>
      </c>
      <c r="R2490">
        <v>-0.38768449999999999</v>
      </c>
      <c r="S2490">
        <v>-2.7276919999999998</v>
      </c>
      <c r="T2490">
        <v>-0.24155950000000001</v>
      </c>
      <c r="U2490">
        <v>-1.229187</v>
      </c>
      <c r="V2490">
        <v>-0.2770145</v>
      </c>
      <c r="W2490">
        <v>-7.6396210000000006E-2</v>
      </c>
      <c r="X2490">
        <v>0.95782389999999995</v>
      </c>
      <c r="Y2490">
        <v>-0.30047459999999998</v>
      </c>
      <c r="Z2490">
        <v>-9.2437460000000006E-3</v>
      </c>
      <c r="AA2490">
        <v>0.95374510000000001</v>
      </c>
      <c r="AB2490">
        <v>28</v>
      </c>
      <c r="AC2490">
        <v>-12.3276</v>
      </c>
      <c r="AD2490">
        <v>-1.1155565230469999</v>
      </c>
      <c r="AE2490">
        <v>-5.6383000000000099</v>
      </c>
      <c r="AF2490">
        <v>-4.1318317800230897</v>
      </c>
      <c r="AG2490">
        <v>-1.1155565230469999</v>
      </c>
      <c r="AH2490">
        <v>12.815000551717601</v>
      </c>
      <c r="AI2490">
        <v>94.7361888720542</v>
      </c>
      <c r="AJ2490">
        <v>107.870437598872</v>
      </c>
      <c r="AK2490">
        <v>13.5107638331459</v>
      </c>
      <c r="AL2490">
        <v>94.381449358390796</v>
      </c>
      <c r="AM2490">
        <v>106.130522097073</v>
      </c>
      <c r="AN2490">
        <v>1.00000001876191</v>
      </c>
    </row>
    <row r="2491" spans="1:40" x14ac:dyDescent="0.25">
      <c r="A2491" t="str">
        <f>"20190305135242366"</f>
        <v>20190305135242366</v>
      </c>
      <c r="B2491" t="str">
        <f>"1551765162361892"</f>
        <v>1551765162361892</v>
      </c>
      <c r="C2491" t="s">
        <v>40</v>
      </c>
      <c r="D2491">
        <v>4.3504069999999997</v>
      </c>
      <c r="E2491">
        <v>0.48922120000000002</v>
      </c>
      <c r="F2491" t="s">
        <v>55</v>
      </c>
      <c r="G2491">
        <v>-484.35649999999998</v>
      </c>
      <c r="H2491" s="1">
        <v>2.4728179999999999E-6</v>
      </c>
      <c r="I2491">
        <v>279.42230000000001</v>
      </c>
      <c r="J2491">
        <v>-472.28829999999999</v>
      </c>
      <c r="K2491">
        <v>1.1157140000000001</v>
      </c>
      <c r="L2491">
        <v>285.03699999999998</v>
      </c>
      <c r="M2491">
        <v>-0.99200969999999999</v>
      </c>
      <c r="N2491">
        <v>-2.3654310000000001E-2</v>
      </c>
      <c r="O2491">
        <v>-0.12392450000000001</v>
      </c>
      <c r="P2491">
        <v>-0.91419709999999998</v>
      </c>
      <c r="Q2491">
        <v>-9.7029219999999999E-2</v>
      </c>
      <c r="R2491">
        <v>-0.39348349999999999</v>
      </c>
      <c r="S2491">
        <v>-2.7194210000000001</v>
      </c>
      <c r="T2491">
        <v>-0.2459006</v>
      </c>
      <c r="U2491">
        <v>-1.2464599999999999</v>
      </c>
      <c r="V2491">
        <v>-0.27614919999999998</v>
      </c>
      <c r="W2491">
        <v>-7.7936370000000005E-2</v>
      </c>
      <c r="X2491">
        <v>0.95794959999999996</v>
      </c>
      <c r="Y2491">
        <v>-0.29968650000000002</v>
      </c>
      <c r="Z2491">
        <v>-8.8563589999999994E-3</v>
      </c>
      <c r="AA2491">
        <v>0.95399670000000003</v>
      </c>
      <c r="AB2491">
        <v>27</v>
      </c>
      <c r="AC2491">
        <v>-12.0681999999999</v>
      </c>
      <c r="AD2491">
        <v>-1.115711527182</v>
      </c>
      <c r="AE2491">
        <v>-5.6147000000000196</v>
      </c>
      <c r="AF2491">
        <v>-4.0469962697620296</v>
      </c>
      <c r="AG2491">
        <v>-1.115711527182</v>
      </c>
      <c r="AH2491">
        <v>12.5827063645193</v>
      </c>
      <c r="AI2491">
        <v>94.824990322188896</v>
      </c>
      <c r="AJ2491">
        <v>107.829432862373</v>
      </c>
      <c r="AK2491">
        <v>13.264519986606</v>
      </c>
      <c r="AL2491">
        <v>94.469958265264793</v>
      </c>
      <c r="AM2491">
        <v>106.08074353588501</v>
      </c>
      <c r="AN2491">
        <v>0.99999994728478603</v>
      </c>
    </row>
    <row r="2492" spans="1:40" x14ac:dyDescent="0.25">
      <c r="A2492" t="str">
        <f>"20190305135242388"</f>
        <v>20190305135242388</v>
      </c>
      <c r="B2492" t="str">
        <f>"1551765162382387"</f>
        <v>1551765162382387</v>
      </c>
      <c r="C2492" t="s">
        <v>40</v>
      </c>
      <c r="D2492">
        <v>4.3859050000000002</v>
      </c>
      <c r="E2492">
        <v>0.48924970000000001</v>
      </c>
      <c r="F2492" t="s">
        <v>55</v>
      </c>
      <c r="G2492">
        <v>-484.38830000000002</v>
      </c>
      <c r="H2492" s="1">
        <v>2.4698379999999998E-6</v>
      </c>
      <c r="I2492">
        <v>279.39789999999999</v>
      </c>
      <c r="J2492">
        <v>-472.5455</v>
      </c>
      <c r="K2492">
        <v>1.1158570000000001</v>
      </c>
      <c r="L2492">
        <v>284.99630000000002</v>
      </c>
      <c r="M2492">
        <v>-0.99108110000000005</v>
      </c>
      <c r="N2492">
        <v>-2.3683699999999999E-2</v>
      </c>
      <c r="O2492">
        <v>-0.1311389</v>
      </c>
      <c r="P2492">
        <v>-0.91136059999999997</v>
      </c>
      <c r="Q2492">
        <v>-9.757826E-2</v>
      </c>
      <c r="R2492">
        <v>-0.3998756</v>
      </c>
      <c r="S2492">
        <v>-2.7111510000000001</v>
      </c>
      <c r="T2492">
        <v>-0.2499895</v>
      </c>
      <c r="U2492">
        <v>-1.2635190000000001</v>
      </c>
      <c r="V2492">
        <v>-0.27585730000000003</v>
      </c>
      <c r="W2492">
        <v>-7.8566529999999996E-2</v>
      </c>
      <c r="X2492">
        <v>0.95798229999999995</v>
      </c>
      <c r="Y2492">
        <v>-0.29877949999999998</v>
      </c>
      <c r="Z2492">
        <v>-8.4050059999999996E-3</v>
      </c>
      <c r="AA2492">
        <v>0.9542851</v>
      </c>
      <c r="AB2492">
        <v>27</v>
      </c>
      <c r="AC2492">
        <v>-11.8428</v>
      </c>
      <c r="AD2492">
        <v>-1.115854530162</v>
      </c>
      <c r="AE2492">
        <v>-5.5984000000000202</v>
      </c>
      <c r="AF2492">
        <v>-3.9677465193894301</v>
      </c>
      <c r="AG2492">
        <v>-1.115854530162</v>
      </c>
      <c r="AH2492">
        <v>12.384973331207499</v>
      </c>
      <c r="AI2492">
        <v>94.904071360686004</v>
      </c>
      <c r="AJ2492">
        <v>107.763784914916</v>
      </c>
      <c r="AK2492">
        <v>13.052804610095601</v>
      </c>
      <c r="AL2492">
        <v>94.506174507799699</v>
      </c>
      <c r="AM2492">
        <v>106.06410289220401</v>
      </c>
      <c r="AN2492">
        <v>1.0000000183564099</v>
      </c>
    </row>
    <row r="2493" spans="1:40" x14ac:dyDescent="0.25">
      <c r="A2493" t="str">
        <f>"20190305135242409"</f>
        <v>20190305135242409</v>
      </c>
      <c r="B2493" t="str">
        <f>"1551765162401912"</f>
        <v>1551765162401912</v>
      </c>
      <c r="C2493" t="s">
        <v>40</v>
      </c>
      <c r="D2493">
        <v>4.3550230000000001</v>
      </c>
      <c r="E2493">
        <v>0.48927619999999999</v>
      </c>
      <c r="F2493" t="s">
        <v>55</v>
      </c>
      <c r="G2493">
        <v>-484.5489</v>
      </c>
      <c r="H2493" s="1">
        <v>2.4636910000000002E-6</v>
      </c>
      <c r="I2493">
        <v>279.29989999999998</v>
      </c>
      <c r="J2493">
        <v>-472.80419999999998</v>
      </c>
      <c r="K2493">
        <v>1.11596299999999</v>
      </c>
      <c r="L2493">
        <v>284.95310000000001</v>
      </c>
      <c r="M2493">
        <v>-0.99005279999999996</v>
      </c>
      <c r="N2493">
        <v>-2.3628920000000001E-2</v>
      </c>
      <c r="O2493">
        <v>-0.13869809999999999</v>
      </c>
      <c r="P2493">
        <v>-0.90820619999999996</v>
      </c>
      <c r="Q2493">
        <v>-9.7602460000000002E-2</v>
      </c>
      <c r="R2493">
        <v>-0.40698299999999998</v>
      </c>
      <c r="S2493">
        <v>-2.7022089999999999</v>
      </c>
      <c r="T2493">
        <v>-0.25120169999999997</v>
      </c>
      <c r="U2493">
        <v>-1.2823789999999999</v>
      </c>
      <c r="V2493">
        <v>-0.27600229999999998</v>
      </c>
      <c r="W2493">
        <v>-7.8743960000000002E-2</v>
      </c>
      <c r="X2493">
        <v>0.9579259</v>
      </c>
      <c r="Y2493">
        <v>-0.29816710000000002</v>
      </c>
      <c r="Z2493">
        <v>-7.8904539999999999E-3</v>
      </c>
      <c r="AA2493">
        <v>0.95448109999999997</v>
      </c>
      <c r="AB2493">
        <v>27</v>
      </c>
      <c r="AC2493">
        <v>-11.7447</v>
      </c>
      <c r="AD2493">
        <v>-1.1159605363089899</v>
      </c>
      <c r="AE2493">
        <v>-5.6532000000000204</v>
      </c>
      <c r="AF2493">
        <v>-3.9402245881793898</v>
      </c>
      <c r="AG2493">
        <v>-1.1159605363089899</v>
      </c>
      <c r="AH2493">
        <v>12.325082703967601</v>
      </c>
      <c r="AI2493">
        <v>94.929213050778699</v>
      </c>
      <c r="AJ2493">
        <v>107.72863804385599</v>
      </c>
      <c r="AK2493">
        <v>12.9876249323551</v>
      </c>
      <c r="AL2493">
        <v>94.516372376229299</v>
      </c>
      <c r="AM2493">
        <v>106.07300822426799</v>
      </c>
      <c r="AN2493">
        <v>0.99999995536628905</v>
      </c>
    </row>
    <row r="2494" spans="1:40" x14ac:dyDescent="0.25">
      <c r="A2494" t="str">
        <f>"20190305135242433"</f>
        <v>20190305135242433</v>
      </c>
      <c r="B2494" t="str">
        <f>"1551765162422404"</f>
        <v>1551765162422404</v>
      </c>
      <c r="C2494" t="s">
        <v>40</v>
      </c>
      <c r="D2494">
        <v>4.3404089999999904</v>
      </c>
      <c r="E2494">
        <v>0.48930639999999997</v>
      </c>
      <c r="F2494" t="s">
        <v>55</v>
      </c>
      <c r="G2494">
        <v>-484.78100000000001</v>
      </c>
      <c r="H2494" s="1">
        <v>2.4534589999999998E-6</v>
      </c>
      <c r="I2494">
        <v>279.15449999999998</v>
      </c>
      <c r="J2494">
        <v>-473.06189999999998</v>
      </c>
      <c r="K2494">
        <v>1.1160350000000001</v>
      </c>
      <c r="L2494">
        <v>284.90769999999998</v>
      </c>
      <c r="M2494">
        <v>-0.9889249</v>
      </c>
      <c r="N2494">
        <v>-2.3522250000000001E-2</v>
      </c>
      <c r="O2494">
        <v>-0.146540899999999</v>
      </c>
      <c r="P2494">
        <v>-0.90440319999999996</v>
      </c>
      <c r="Q2494">
        <v>-9.738745E-2</v>
      </c>
      <c r="R2494">
        <v>-0.41541640000000002</v>
      </c>
      <c r="S2494">
        <v>-2.6921390000000001</v>
      </c>
      <c r="T2494">
        <v>-0.25084519999999999</v>
      </c>
      <c r="U2494">
        <v>-1.3034059999999901</v>
      </c>
      <c r="V2494">
        <v>-0.27729540000000003</v>
      </c>
      <c r="W2494">
        <v>-7.8737280000000007E-2</v>
      </c>
      <c r="X2494">
        <v>0.95755299999999999</v>
      </c>
      <c r="Y2494">
        <v>-0.29806250000000001</v>
      </c>
      <c r="Z2494">
        <v>-7.361121E-3</v>
      </c>
      <c r="AA2494">
        <v>0.95451799999999998</v>
      </c>
      <c r="AB2494">
        <v>27</v>
      </c>
      <c r="AC2494">
        <v>-11.719099999999999</v>
      </c>
      <c r="AD2494">
        <v>-1.1160325465409999</v>
      </c>
      <c r="AE2494">
        <v>-5.7531999999999899</v>
      </c>
      <c r="AF2494">
        <v>-3.9444292632448001</v>
      </c>
      <c r="AG2494">
        <v>-1.1160325465409999</v>
      </c>
      <c r="AH2494">
        <v>12.345609680034499</v>
      </c>
      <c r="AI2494">
        <v>94.921644738010102</v>
      </c>
      <c r="AJ2494">
        <v>107.718710370476</v>
      </c>
      <c r="AK2494">
        <v>13.008386880372299</v>
      </c>
      <c r="AL2494">
        <v>94.515988142448506</v>
      </c>
      <c r="AM2494">
        <v>106.150356707405</v>
      </c>
      <c r="AN2494">
        <v>1.00000002296597</v>
      </c>
    </row>
    <row r="2495" spans="1:40" x14ac:dyDescent="0.25">
      <c r="A2495" t="str">
        <f>"20190305135242455"</f>
        <v>20190305135242455</v>
      </c>
      <c r="B2495" t="str">
        <f>"1551765162441923"</f>
        <v>1551765162441923</v>
      </c>
      <c r="C2495" t="s">
        <v>40</v>
      </c>
      <c r="D2495">
        <v>4.3541230000000004</v>
      </c>
      <c r="E2495">
        <v>0.48932989999999998</v>
      </c>
      <c r="F2495" t="s">
        <v>55</v>
      </c>
      <c r="G2495">
        <v>-485.03109999999998</v>
      </c>
      <c r="H2495" s="1">
        <v>2.4349460000000002E-6</v>
      </c>
      <c r="I2495">
        <v>278.97669999999999</v>
      </c>
      <c r="J2495">
        <v>-473.31849999999997</v>
      </c>
      <c r="K2495">
        <v>1.11609</v>
      </c>
      <c r="L2495">
        <v>284.86009999999999</v>
      </c>
      <c r="M2495">
        <v>-0.98768460000000002</v>
      </c>
      <c r="N2495">
        <v>-2.3336659999999999E-2</v>
      </c>
      <c r="O2495">
        <v>-0.1547087</v>
      </c>
      <c r="P2495">
        <v>-0.89985400000000004</v>
      </c>
      <c r="Q2495">
        <v>-9.6893969999999996E-2</v>
      </c>
      <c r="R2495">
        <v>-0.42529339999999999</v>
      </c>
      <c r="S2495">
        <v>-2.6801149999999998</v>
      </c>
      <c r="T2495">
        <v>-0.2498987</v>
      </c>
      <c r="U2495">
        <v>-1.3280639999999999</v>
      </c>
      <c r="V2495">
        <v>-0.279833</v>
      </c>
      <c r="W2495">
        <v>-7.8554390000000002E-2</v>
      </c>
      <c r="X2495">
        <v>0.9568295</v>
      </c>
      <c r="Y2495">
        <v>-0.29895100000000002</v>
      </c>
      <c r="Z2495">
        <v>-6.8435179999999998E-3</v>
      </c>
      <c r="AA2495">
        <v>0.95424390000000003</v>
      </c>
      <c r="AB2495">
        <v>26</v>
      </c>
      <c r="AC2495">
        <v>-11.7126</v>
      </c>
      <c r="AD2495">
        <v>-1.1160875650540001</v>
      </c>
      <c r="AE2495">
        <v>-5.8833999999999902</v>
      </c>
      <c r="AF2495">
        <v>-3.97119767025612</v>
      </c>
      <c r="AG2495">
        <v>-1.1160875650540001</v>
      </c>
      <c r="AH2495">
        <v>12.392115078155999</v>
      </c>
      <c r="AI2495">
        <v>94.902144382537401</v>
      </c>
      <c r="AJ2495">
        <v>107.768662162109</v>
      </c>
      <c r="AK2495">
        <v>13.060650002943101</v>
      </c>
      <c r="AL2495">
        <v>94.505476881220801</v>
      </c>
      <c r="AM2495">
        <v>106.302011999774</v>
      </c>
      <c r="AN2495">
        <v>0.999999996073761</v>
      </c>
    </row>
    <row r="2496" spans="1:40" x14ac:dyDescent="0.25">
      <c r="A2496" t="str">
        <f>"20190305135242478"</f>
        <v>20190305135242478</v>
      </c>
      <c r="B2496" t="str">
        <f>"1551765162472179"</f>
        <v>1551765162472179</v>
      </c>
      <c r="C2496" t="s">
        <v>40</v>
      </c>
      <c r="D2496">
        <v>4.3719679999999999</v>
      </c>
      <c r="E2496">
        <v>0.48937819999999999</v>
      </c>
      <c r="F2496" t="s">
        <v>55</v>
      </c>
      <c r="G2496">
        <v>-485.3039</v>
      </c>
      <c r="H2496" s="1">
        <v>2.4052700000000001E-6</v>
      </c>
      <c r="I2496">
        <v>278.75580000000002</v>
      </c>
      <c r="J2496">
        <v>-473.57299999999998</v>
      </c>
      <c r="K2496">
        <v>1.116161</v>
      </c>
      <c r="L2496">
        <v>284.81049999999999</v>
      </c>
      <c r="M2496">
        <v>-0.98632889999999995</v>
      </c>
      <c r="N2496">
        <v>-2.3024200000000002E-2</v>
      </c>
      <c r="O2496">
        <v>-0.16317209999999999</v>
      </c>
      <c r="P2496">
        <v>-0.89503630000000001</v>
      </c>
      <c r="Q2496">
        <v>-9.7075259999999997E-2</v>
      </c>
      <c r="R2496">
        <v>-0.43530039999999998</v>
      </c>
      <c r="S2496">
        <v>-2.6655579999999999</v>
      </c>
      <c r="T2496">
        <v>-0.24821950000000001</v>
      </c>
      <c r="U2496">
        <v>-1.357605</v>
      </c>
      <c r="V2496">
        <v>-0.28225929999999999</v>
      </c>
      <c r="W2496">
        <v>-7.9189510000000005E-2</v>
      </c>
      <c r="X2496">
        <v>0.95606420000000003</v>
      </c>
      <c r="Y2496">
        <v>-0.3012975</v>
      </c>
      <c r="Z2496">
        <v>-6.3527559999999898E-3</v>
      </c>
      <c r="AA2496">
        <v>0.95350900000000005</v>
      </c>
      <c r="AB2496">
        <v>26</v>
      </c>
      <c r="AC2496">
        <v>-11.730899999999901</v>
      </c>
      <c r="AD2496">
        <v>-1.1161585947299999</v>
      </c>
      <c r="AE2496">
        <v>-6.0546999999999596</v>
      </c>
      <c r="AF2496">
        <v>-4.0300369760599004</v>
      </c>
      <c r="AG2496">
        <v>-1.1161585947299999</v>
      </c>
      <c r="AH2496">
        <v>12.4726522371417</v>
      </c>
      <c r="AI2496">
        <v>94.867210181613999</v>
      </c>
      <c r="AJ2496">
        <v>107.906156516408</v>
      </c>
      <c r="AK2496">
        <v>13.155001401203799</v>
      </c>
      <c r="AL2496">
        <v>94.541980173229504</v>
      </c>
      <c r="AM2496">
        <v>106.448207191744</v>
      </c>
      <c r="AN2496">
        <v>1.0000000227260799</v>
      </c>
    </row>
    <row r="2497" spans="1:40" x14ac:dyDescent="0.25">
      <c r="A2497" t="str">
        <f>"20190305135242499"</f>
        <v>20190305135242499</v>
      </c>
      <c r="B2497" t="str">
        <f>"1551765162492676"</f>
        <v>1551765162492676</v>
      </c>
      <c r="C2497" t="s">
        <v>40</v>
      </c>
      <c r="D2497">
        <v>4.3695789999999999</v>
      </c>
      <c r="E2497">
        <v>0.48942289999999999</v>
      </c>
      <c r="F2497" t="s">
        <v>55</v>
      </c>
      <c r="G2497">
        <v>-485.49360000000001</v>
      </c>
      <c r="H2497" s="1">
        <v>2.374182E-6</v>
      </c>
      <c r="I2497">
        <v>278.5727</v>
      </c>
      <c r="J2497">
        <v>-473.82010000000002</v>
      </c>
      <c r="K2497">
        <v>1.116236</v>
      </c>
      <c r="L2497">
        <v>284.75970000000001</v>
      </c>
      <c r="M2497">
        <v>-0.98488520000000002</v>
      </c>
      <c r="N2497">
        <v>-2.2582189999999999E-2</v>
      </c>
      <c r="O2497">
        <v>-0.17172999999999999</v>
      </c>
      <c r="P2497">
        <v>-0.89008980000000004</v>
      </c>
      <c r="Q2497">
        <v>-9.68136E-2</v>
      </c>
      <c r="R2497">
        <v>-0.44538470000000002</v>
      </c>
      <c r="S2497">
        <v>-2.65036</v>
      </c>
      <c r="T2497">
        <v>-0.2481611</v>
      </c>
      <c r="U2497">
        <v>-1.386871</v>
      </c>
      <c r="V2497">
        <v>-0.28471289999999999</v>
      </c>
      <c r="W2497">
        <v>-7.9526310000000003E-2</v>
      </c>
      <c r="X2497">
        <v>0.95530839999999995</v>
      </c>
      <c r="Y2497">
        <v>-0.30354769999999998</v>
      </c>
      <c r="Z2497">
        <v>-5.7994689999999998E-3</v>
      </c>
      <c r="AA2497">
        <v>0.95279860000000005</v>
      </c>
      <c r="AB2497">
        <v>26</v>
      </c>
      <c r="AC2497">
        <v>-11.673499999999899</v>
      </c>
      <c r="AD2497">
        <v>-1.1162336258179999</v>
      </c>
      <c r="AE2497">
        <v>-6.18700000000001</v>
      </c>
      <c r="AF2497">
        <v>-4.0608501753304997</v>
      </c>
      <c r="AG2497">
        <v>-1.1162336258179999</v>
      </c>
      <c r="AH2497">
        <v>12.4737140683389</v>
      </c>
      <c r="AI2497">
        <v>94.863652416620894</v>
      </c>
      <c r="AJ2497">
        <v>108.032794364767</v>
      </c>
      <c r="AK2497">
        <v>13.165486102402999</v>
      </c>
      <c r="AL2497">
        <v>94.561338528181906</v>
      </c>
      <c r="AM2497">
        <v>106.595764007715</v>
      </c>
      <c r="AN2497">
        <v>1.00000000425959</v>
      </c>
    </row>
    <row r="2498" spans="1:40" x14ac:dyDescent="0.25">
      <c r="A2498" t="str">
        <f>"20190305135242521"</f>
        <v>20190305135242521</v>
      </c>
      <c r="B2498" t="str">
        <f>"1551765162512197"</f>
        <v>1551765162512197</v>
      </c>
      <c r="C2498" t="s">
        <v>40</v>
      </c>
      <c r="D2498">
        <v>4.4580270000000004</v>
      </c>
      <c r="E2498">
        <v>0.48938809999999999</v>
      </c>
      <c r="F2498" t="s">
        <v>55</v>
      </c>
      <c r="G2498">
        <v>-485.7328</v>
      </c>
      <c r="H2498" s="1">
        <v>2.3400099999999999E-6</v>
      </c>
      <c r="I2498">
        <v>278.35599999999999</v>
      </c>
      <c r="J2498">
        <v>-474.06869999999998</v>
      </c>
      <c r="K2498">
        <v>1.1163080000000001</v>
      </c>
      <c r="L2498">
        <v>284.70609999999999</v>
      </c>
      <c r="M2498">
        <v>-0.98329339999999998</v>
      </c>
      <c r="N2498">
        <v>-2.1976989999999998E-2</v>
      </c>
      <c r="O2498">
        <v>-0.1806963</v>
      </c>
      <c r="P2498">
        <v>-0.88517369999999995</v>
      </c>
      <c r="Q2498">
        <v>-9.5312850000000005E-2</v>
      </c>
      <c r="R2498">
        <v>-0.45539390000000002</v>
      </c>
      <c r="S2498">
        <v>-2.6348569999999998</v>
      </c>
      <c r="T2498">
        <v>-0.24689079999999999</v>
      </c>
      <c r="U2498">
        <v>-1.416382</v>
      </c>
      <c r="V2498">
        <v>-0.28672540000000002</v>
      </c>
      <c r="W2498">
        <v>-7.8783539999999999E-2</v>
      </c>
      <c r="X2498">
        <v>0.9547679</v>
      </c>
      <c r="Y2498">
        <v>-0.30551630000000002</v>
      </c>
      <c r="Z2498">
        <v>-5.1511459999999997E-3</v>
      </c>
      <c r="AA2498">
        <v>0.95217289999999999</v>
      </c>
      <c r="AB2498">
        <v>26</v>
      </c>
      <c r="AC2498">
        <v>-11.664099999999999</v>
      </c>
      <c r="AD2498">
        <v>-1.1163056599900001</v>
      </c>
      <c r="AE2498">
        <v>-6.3500999999999896</v>
      </c>
      <c r="AF2498">
        <v>-4.1083244139957502</v>
      </c>
      <c r="AG2498">
        <v>-1.1163056599900001</v>
      </c>
      <c r="AH2498">
        <v>12.531183462674999</v>
      </c>
      <c r="AI2498">
        <v>94.838500260479407</v>
      </c>
      <c r="AJ2498">
        <v>108.151631128055</v>
      </c>
      <c r="AK2498">
        <v>13.234614720209199</v>
      </c>
      <c r="AL2498">
        <v>94.518646908654702</v>
      </c>
      <c r="AM2498">
        <v>106.715485787178</v>
      </c>
      <c r="AN2498">
        <v>1.0000000220252501</v>
      </c>
    </row>
    <row r="2499" spans="1:40" x14ac:dyDescent="0.25">
      <c r="A2499" t="str">
        <f>"20190305135242544"</f>
        <v>20190305135242544</v>
      </c>
      <c r="B2499" t="str">
        <f>"1551765162531719"</f>
        <v>1551765162531719</v>
      </c>
      <c r="C2499" t="s">
        <v>40</v>
      </c>
      <c r="D2499">
        <v>4.4807639999999997</v>
      </c>
      <c r="E2499">
        <v>0.4893613</v>
      </c>
      <c r="F2499" t="s">
        <v>55</v>
      </c>
      <c r="G2499">
        <v>-486.08609999999999</v>
      </c>
      <c r="H2499" s="1">
        <v>2.3019590000000001E-6</v>
      </c>
      <c r="I2499">
        <v>278.0711</v>
      </c>
      <c r="J2499">
        <v>-474.31810000000002</v>
      </c>
      <c r="K2499">
        <v>1.116377</v>
      </c>
      <c r="L2499">
        <v>284.6497</v>
      </c>
      <c r="M2499">
        <v>-0.98154549999999996</v>
      </c>
      <c r="N2499">
        <v>-2.126778E-2</v>
      </c>
      <c r="O2499">
        <v>-0.19004280000000001</v>
      </c>
      <c r="P2499">
        <v>-0.880113699999999</v>
      </c>
      <c r="Q2499">
        <v>-9.3169879999999997E-2</v>
      </c>
      <c r="R2499">
        <v>-0.46553099999999997</v>
      </c>
      <c r="S2499">
        <v>-2.6190190000000002</v>
      </c>
      <c r="T2499">
        <v>-0.24328340000000001</v>
      </c>
      <c r="U2499">
        <v>-1.4460139999999999</v>
      </c>
      <c r="V2499">
        <v>-0.28854829999999998</v>
      </c>
      <c r="W2499">
        <v>-7.749615E-2</v>
      </c>
      <c r="X2499">
        <v>0.9543239</v>
      </c>
      <c r="Y2499">
        <v>-0.30720209999999998</v>
      </c>
      <c r="Z2499">
        <v>-4.4485289999999997E-3</v>
      </c>
      <c r="AA2499">
        <v>0.95163390000000003</v>
      </c>
      <c r="AB2499">
        <v>26</v>
      </c>
      <c r="AC2499">
        <v>-11.767999999999899</v>
      </c>
      <c r="AD2499">
        <v>-1.1163746980410001</v>
      </c>
      <c r="AE2499">
        <v>-6.57859999999999</v>
      </c>
      <c r="AF2499">
        <v>-4.1929763133661</v>
      </c>
      <c r="AG2499">
        <v>-1.1163746980410001</v>
      </c>
      <c r="AH2499">
        <v>12.716743706309099</v>
      </c>
      <c r="AI2499">
        <v>94.765882396739002</v>
      </c>
      <c r="AJ2499">
        <v>108.248468462655</v>
      </c>
      <c r="AK2499">
        <v>13.4366258161351</v>
      </c>
      <c r="AL2499">
        <v>94.444659029119293</v>
      </c>
      <c r="AM2499">
        <v>106.823157660527</v>
      </c>
      <c r="AN2499">
        <v>0.99999994040445905</v>
      </c>
    </row>
    <row r="2500" spans="1:40" x14ac:dyDescent="0.25">
      <c r="A2500" t="str">
        <f>"20190305135242567"</f>
        <v>20190305135242567</v>
      </c>
      <c r="B2500" t="str">
        <f>"1551765162561971"</f>
        <v>1551765162561971</v>
      </c>
      <c r="C2500" t="s">
        <v>40</v>
      </c>
      <c r="D2500">
        <v>4.8273380000000001</v>
      </c>
      <c r="E2500">
        <v>0.51353349999999998</v>
      </c>
      <c r="F2500" t="s">
        <v>55</v>
      </c>
      <c r="G2500">
        <v>-486.53649999999999</v>
      </c>
      <c r="H2500" s="1">
        <v>2.258015E-6</v>
      </c>
      <c r="I2500">
        <v>277.7208</v>
      </c>
      <c r="J2500">
        <v>-474.57530000000003</v>
      </c>
      <c r="K2500">
        <v>1.1164609999999999</v>
      </c>
      <c r="L2500">
        <v>284.5883</v>
      </c>
      <c r="M2500">
        <v>-0.97956600000000005</v>
      </c>
      <c r="N2500">
        <v>-2.053603E-2</v>
      </c>
      <c r="O2500">
        <v>-0.2000721</v>
      </c>
      <c r="P2500">
        <v>-0.87476769999999904</v>
      </c>
      <c r="Q2500">
        <v>-9.2631290000000005E-2</v>
      </c>
      <c r="R2500">
        <v>-0.47560639999999998</v>
      </c>
      <c r="S2500">
        <v>-2.6026919999999998</v>
      </c>
      <c r="T2500">
        <v>-0.23780309999999999</v>
      </c>
      <c r="U2500">
        <v>-1.4759519999999999</v>
      </c>
      <c r="V2500">
        <v>-0.28969529999999999</v>
      </c>
      <c r="W2500">
        <v>-7.7819700000000006E-2</v>
      </c>
      <c r="X2500">
        <v>0.95395010000000002</v>
      </c>
      <c r="Y2500">
        <v>-0.30837809999999999</v>
      </c>
      <c r="Z2500">
        <v>-3.7016129999999999E-3</v>
      </c>
      <c r="AA2500">
        <v>0.95125660000000001</v>
      </c>
      <c r="AB2500">
        <v>26</v>
      </c>
      <c r="AC2500">
        <v>-11.9611999999999</v>
      </c>
      <c r="AD2500">
        <v>-1.1164587419850001</v>
      </c>
      <c r="AE2500">
        <v>-6.8674999999999997</v>
      </c>
      <c r="AF2500">
        <v>-4.3067614411662598</v>
      </c>
      <c r="AG2500">
        <v>-1.1164587419850001</v>
      </c>
      <c r="AH2500">
        <v>13.008304935108001</v>
      </c>
      <c r="AI2500">
        <v>94.658012521552493</v>
      </c>
      <c r="AJ2500">
        <v>108.318562773369</v>
      </c>
      <c r="AK2500">
        <v>13.7481151987619</v>
      </c>
      <c r="AL2500">
        <v>94.463252819335494</v>
      </c>
      <c r="AM2500">
        <v>106.892472090368</v>
      </c>
      <c r="AN2500">
        <v>1.00000003292009</v>
      </c>
    </row>
    <row r="2501" spans="1:40" x14ac:dyDescent="0.25">
      <c r="A2501" t="str">
        <f>"20190305135242589"</f>
        <v>20190305135242589</v>
      </c>
      <c r="B2501" t="str">
        <f>"1551765162582471"</f>
        <v>1551765162582471</v>
      </c>
      <c r="C2501" t="s">
        <v>40</v>
      </c>
      <c r="D2501">
        <v>4.558808</v>
      </c>
      <c r="E2501">
        <v>0.56376179999999998</v>
      </c>
      <c r="F2501" t="s">
        <v>55</v>
      </c>
      <c r="G2501">
        <v>-487.21809999999999</v>
      </c>
      <c r="H2501" s="1">
        <v>2.5769720000000001E-6</v>
      </c>
      <c r="I2501">
        <v>278.28100000000001</v>
      </c>
      <c r="J2501">
        <v>-474.81790000000001</v>
      </c>
      <c r="K2501">
        <v>1.116552</v>
      </c>
      <c r="L2501">
        <v>284.52760000000001</v>
      </c>
      <c r="M2501">
        <v>-0.97751750000000004</v>
      </c>
      <c r="N2501">
        <v>-1.9878570000000002E-2</v>
      </c>
      <c r="O2501">
        <v>-0.2099152</v>
      </c>
      <c r="P2501">
        <v>-0.86935519999999999</v>
      </c>
      <c r="Q2501">
        <v>-9.3612020000000004E-2</v>
      </c>
      <c r="R2501">
        <v>-0.48524060000000002</v>
      </c>
      <c r="S2501">
        <v>-2.6780089999999999</v>
      </c>
      <c r="T2501">
        <v>-0.2364888</v>
      </c>
      <c r="U2501">
        <v>-1.3360289999999999</v>
      </c>
      <c r="V2501">
        <v>-0.29059849999999998</v>
      </c>
      <c r="W2501">
        <v>-7.9580300000000007E-2</v>
      </c>
      <c r="X2501">
        <v>0.95352999999999999</v>
      </c>
      <c r="Y2501">
        <v>-0.24800359999999999</v>
      </c>
      <c r="Z2501">
        <v>2.232487E-4</v>
      </c>
      <c r="AA2501">
        <v>0.96875909999999998</v>
      </c>
      <c r="AB2501">
        <v>26</v>
      </c>
      <c r="AC2501">
        <v>-12.4001999999999</v>
      </c>
      <c r="AD2501">
        <v>-1.116549423028</v>
      </c>
      <c r="AE2501">
        <v>-6.2465999999999999</v>
      </c>
      <c r="AF2501">
        <v>-3.4813498438031401</v>
      </c>
      <c r="AG2501">
        <v>-1.116549423028</v>
      </c>
      <c r="AH2501">
        <v>13.348999533357899</v>
      </c>
      <c r="AI2501">
        <v>94.627194872467896</v>
      </c>
      <c r="AJ2501">
        <v>104.616863854296</v>
      </c>
      <c r="AK2501">
        <v>13.840602150578601</v>
      </c>
      <c r="AL2501">
        <v>94.564441843316899</v>
      </c>
      <c r="AM2501">
        <v>106.949162706986</v>
      </c>
      <c r="AN2501">
        <v>0.99999998662516998</v>
      </c>
    </row>
    <row r="2502" spans="1:40" x14ac:dyDescent="0.25">
      <c r="A2502" t="str">
        <f>"20190305135242611"</f>
        <v>20190305135242611</v>
      </c>
      <c r="B2502" t="str">
        <f>"1551765162601987"</f>
        <v>1551765162601987</v>
      </c>
      <c r="C2502" t="s">
        <v>40</v>
      </c>
      <c r="D2502">
        <v>4.5067519999999996</v>
      </c>
      <c r="E2502">
        <v>0.57057729999999995</v>
      </c>
      <c r="F2502" t="s">
        <v>47</v>
      </c>
      <c r="G2502">
        <v>-510.56900000000002</v>
      </c>
      <c r="H2502">
        <v>-0.05</v>
      </c>
      <c r="I2502">
        <v>271.67860000000002</v>
      </c>
      <c r="J2502">
        <v>-475.06200000000001</v>
      </c>
      <c r="K2502">
        <v>1.116663</v>
      </c>
      <c r="L2502">
        <v>284.46359999999999</v>
      </c>
      <c r="M2502">
        <v>-0.9752786</v>
      </c>
      <c r="N2502">
        <v>-1.9255499999999998E-2</v>
      </c>
      <c r="O2502">
        <v>-0.22013849999999999</v>
      </c>
      <c r="P2502">
        <v>-0.86385049999999997</v>
      </c>
      <c r="Q2502">
        <v>-9.4109570000000003E-2</v>
      </c>
      <c r="R2502">
        <v>-0.49487979999999998</v>
      </c>
      <c r="S2502">
        <v>-2.865875</v>
      </c>
      <c r="T2502">
        <v>-9.3513250000000006E-2</v>
      </c>
      <c r="U2502">
        <v>-1.0299990000000001</v>
      </c>
      <c r="V2502">
        <v>-0.29117859999999901</v>
      </c>
      <c r="W2502">
        <v>-8.0817650000000005E-2</v>
      </c>
      <c r="X2502">
        <v>0.95324889999999995</v>
      </c>
      <c r="Y2502">
        <v>-0.12263780000000001</v>
      </c>
      <c r="Z2502">
        <v>-4.8058839999999997E-4</v>
      </c>
      <c r="AA2502">
        <v>0.99245139999999998</v>
      </c>
      <c r="AB2502">
        <v>26</v>
      </c>
      <c r="AC2502">
        <v>-35.506999999999998</v>
      </c>
      <c r="AD2502">
        <v>-1.166663</v>
      </c>
      <c r="AE2502">
        <v>-12.784999999999901</v>
      </c>
      <c r="AF2502">
        <v>-4.6488988177032802</v>
      </c>
      <c r="AG2502">
        <v>-1.166663</v>
      </c>
      <c r="AH2502">
        <v>37.414872792749499</v>
      </c>
      <c r="AI2502">
        <v>91.772386215390696</v>
      </c>
      <c r="AJ2502">
        <v>97.082853846142896</v>
      </c>
      <c r="AK2502">
        <v>37.720631872629497</v>
      </c>
      <c r="AL2502">
        <v>94.635565970000897</v>
      </c>
      <c r="AM2502">
        <v>106.985771266245</v>
      </c>
      <c r="AN2502">
        <v>0.99999996750034503</v>
      </c>
    </row>
    <row r="2503" spans="1:40" x14ac:dyDescent="0.25">
      <c r="A2503" t="str">
        <f>"20190305135242634"</f>
        <v>20190305135242634</v>
      </c>
      <c r="B2503" t="str">
        <f>"1551765162622484"</f>
        <v>1551765162622484</v>
      </c>
      <c r="C2503" t="s">
        <v>40</v>
      </c>
      <c r="D2503">
        <v>4.4947619999999997</v>
      </c>
      <c r="E2503">
        <v>0.57246459999999999</v>
      </c>
      <c r="F2503" t="s">
        <v>55</v>
      </c>
      <c r="G2503">
        <v>-502.04070000000002</v>
      </c>
      <c r="H2503">
        <v>8.0000859999999993E-2</v>
      </c>
      <c r="I2503">
        <v>274.97800000000001</v>
      </c>
      <c r="J2503">
        <v>-475.30619999999999</v>
      </c>
      <c r="K2503">
        <v>1.1168129999999901</v>
      </c>
      <c r="L2503">
        <v>284.39670000000001</v>
      </c>
      <c r="M2503">
        <v>-0.97285200000000005</v>
      </c>
      <c r="N2503">
        <v>-1.8682600000000001E-2</v>
      </c>
      <c r="O2503">
        <v>-0.23067270000000001</v>
      </c>
      <c r="P2503">
        <v>-0.85847619999999902</v>
      </c>
      <c r="Q2503">
        <v>-9.3359689999999995E-2</v>
      </c>
      <c r="R2503">
        <v>-0.50428430000000002</v>
      </c>
      <c r="S2503">
        <v>-2.8805540000000001</v>
      </c>
      <c r="T2503">
        <v>-0.1106857</v>
      </c>
      <c r="U2503">
        <v>-1.0127870000000001</v>
      </c>
      <c r="V2503">
        <v>-0.29122779999999998</v>
      </c>
      <c r="W2503">
        <v>-8.0756469999999997E-2</v>
      </c>
      <c r="X2503">
        <v>0.95323910000000001</v>
      </c>
      <c r="Y2503">
        <v>-0.10502160000000001</v>
      </c>
      <c r="Z2503">
        <v>1.2353959999999999E-3</v>
      </c>
      <c r="AA2503">
        <v>0.99446920000000005</v>
      </c>
      <c r="AB2503">
        <v>26</v>
      </c>
      <c r="AC2503">
        <v>-26.734500000000001</v>
      </c>
      <c r="AD2503">
        <v>-1.0368121400000001</v>
      </c>
      <c r="AE2503">
        <v>-9.4186999999999994</v>
      </c>
      <c r="AF2503">
        <v>-2.9926009383309302</v>
      </c>
      <c r="AG2503">
        <v>-1.0368121400000001</v>
      </c>
      <c r="AH2503">
        <v>28.148607210602801</v>
      </c>
      <c r="AI2503">
        <v>92.097640730622004</v>
      </c>
      <c r="AJ2503">
        <v>96.068568365670203</v>
      </c>
      <c r="AK2503">
        <v>28.326219791679801</v>
      </c>
      <c r="AL2503">
        <v>94.632048919922596</v>
      </c>
      <c r="AM2503">
        <v>106.98864065312399</v>
      </c>
      <c r="AN2503">
        <v>1.0000000103542499</v>
      </c>
    </row>
    <row r="2504" spans="1:40" x14ac:dyDescent="0.25">
      <c r="A2504" t="str">
        <f>"20190305135242656"</f>
        <v>20190305135242656</v>
      </c>
      <c r="B2504" t="str">
        <f>"1551765162651764"</f>
        <v>1551765162651764</v>
      </c>
      <c r="C2504" t="s">
        <v>40</v>
      </c>
      <c r="D2504">
        <v>4.4999710000000004</v>
      </c>
      <c r="E2504">
        <v>0.57520099999999996</v>
      </c>
      <c r="F2504" t="s">
        <v>55</v>
      </c>
      <c r="G2504">
        <v>-503.62740000000002</v>
      </c>
      <c r="H2504">
        <v>7.9999570000000006E-2</v>
      </c>
      <c r="I2504">
        <v>274.2457</v>
      </c>
      <c r="J2504">
        <v>-475.55410000000001</v>
      </c>
      <c r="K2504">
        <v>1.1170009999999999</v>
      </c>
      <c r="L2504">
        <v>284.3254</v>
      </c>
      <c r="M2504">
        <v>-0.97017949999999997</v>
      </c>
      <c r="N2504">
        <v>-1.8161719999999999E-2</v>
      </c>
      <c r="O2504">
        <v>-0.2417067</v>
      </c>
      <c r="P2504">
        <v>-0.85279340000000003</v>
      </c>
      <c r="Q2504">
        <v>-9.2163350000000005E-2</v>
      </c>
      <c r="R2504">
        <v>-0.51405219999999996</v>
      </c>
      <c r="S2504">
        <v>-2.8773499999999999</v>
      </c>
      <c r="T2504">
        <v>-0.105337</v>
      </c>
      <c r="U2504">
        <v>-1.0313110000000001</v>
      </c>
      <c r="V2504">
        <v>-0.29122219999999999</v>
      </c>
      <c r="W2504">
        <v>-8.0218319999999996E-2</v>
      </c>
      <c r="X2504">
        <v>0.95328619999999997</v>
      </c>
      <c r="Y2504">
        <v>-9.9769990000000003E-2</v>
      </c>
      <c r="Z2504">
        <v>1.3841109999999999E-3</v>
      </c>
      <c r="AA2504">
        <v>0.99500949999999999</v>
      </c>
      <c r="AB2504">
        <v>26</v>
      </c>
      <c r="AC2504">
        <v>-28.0733</v>
      </c>
      <c r="AD2504">
        <v>-1.0370014299999999</v>
      </c>
      <c r="AE2504">
        <v>-10.079700000000001</v>
      </c>
      <c r="AF2504">
        <v>-2.9904925506903699</v>
      </c>
      <c r="AG2504">
        <v>-1.0370014299999999</v>
      </c>
      <c r="AH2504">
        <v>29.6415355271564</v>
      </c>
      <c r="AI2504">
        <v>91.993549037889196</v>
      </c>
      <c r="AJ2504">
        <v>95.760996729888902</v>
      </c>
      <c r="AK2504">
        <v>29.810049414068899</v>
      </c>
      <c r="AL2504">
        <v>94.601115048718697</v>
      </c>
      <c r="AM2504">
        <v>106.987541764909</v>
      </c>
      <c r="AN2504">
        <v>0.99999996387345003</v>
      </c>
    </row>
    <row r="2505" spans="1:40" x14ac:dyDescent="0.25">
      <c r="A2505" t="str">
        <f>"20190305135242670"</f>
        <v>20190305135242670</v>
      </c>
      <c r="B2505" t="str">
        <f>"1551765162662501"</f>
        <v>1551765162662501</v>
      </c>
      <c r="C2505" t="s">
        <v>40</v>
      </c>
      <c r="D2505">
        <v>4.4915710000000004</v>
      </c>
      <c r="E2505">
        <v>0.57604789999999995</v>
      </c>
      <c r="F2505" t="s">
        <v>67</v>
      </c>
      <c r="G2505">
        <v>-512.82510000000002</v>
      </c>
      <c r="H2505">
        <v>2.143896E-2</v>
      </c>
      <c r="I2505">
        <v>270.7654</v>
      </c>
      <c r="J2505">
        <v>-475.70359999999999</v>
      </c>
      <c r="K2505">
        <v>1.117129</v>
      </c>
      <c r="L2505">
        <v>284.28089999999997</v>
      </c>
      <c r="M2505">
        <v>-0.96846180000000004</v>
      </c>
      <c r="N2505">
        <v>-1.7877259999999999E-2</v>
      </c>
      <c r="O2505">
        <v>-0.24852009999999999</v>
      </c>
      <c r="P2505">
        <v>-0.84919750000000005</v>
      </c>
      <c r="Q2505">
        <v>-9.1483239999999993E-2</v>
      </c>
      <c r="R2505">
        <v>-0.52009090000000002</v>
      </c>
      <c r="S2505">
        <v>-2.8776250000000001</v>
      </c>
      <c r="T2505">
        <v>-8.4579710000000002E-2</v>
      </c>
      <c r="U2505">
        <v>-1.0469360000000001</v>
      </c>
      <c r="V2505">
        <v>-0.29124749999999999</v>
      </c>
      <c r="W2505">
        <v>-7.9916849999999998E-2</v>
      </c>
      <c r="X2505">
        <v>0.95330380000000003</v>
      </c>
      <c r="Y2505">
        <v>-9.7535109999999994E-2</v>
      </c>
      <c r="Z2505">
        <v>2.657313E-4</v>
      </c>
      <c r="AA2505">
        <v>0.99523200000000001</v>
      </c>
      <c r="AB2505">
        <v>26</v>
      </c>
      <c r="AC2505">
        <v>-37.121499999999997</v>
      </c>
      <c r="AD2505">
        <v>-1.09569004</v>
      </c>
      <c r="AE2505">
        <v>-13.5154999999999</v>
      </c>
      <c r="AF2505">
        <v>-3.8614535673673398</v>
      </c>
      <c r="AG2505">
        <v>-1.09569004</v>
      </c>
      <c r="AH2505">
        <v>39.285689165280402</v>
      </c>
      <c r="AI2505">
        <v>91.589924986336698</v>
      </c>
      <c r="AJ2505">
        <v>95.613662339487007</v>
      </c>
      <c r="AK2505">
        <v>39.490210603486503</v>
      </c>
      <c r="AL2505">
        <v>94.583786416894597</v>
      </c>
      <c r="AM2505">
        <v>106.988636983803</v>
      </c>
      <c r="AN2505">
        <v>0.99999997213230596</v>
      </c>
    </row>
    <row r="2506" spans="1:40" x14ac:dyDescent="0.25">
      <c r="A2506" t="str">
        <f>"20190305135242682"</f>
        <v>20190305135242682</v>
      </c>
      <c r="B2506" t="str">
        <f>"1551765162672260"</f>
        <v>1551765162672260</v>
      </c>
      <c r="C2506" t="s">
        <v>40</v>
      </c>
      <c r="D2506">
        <v>4.5061839999999904</v>
      </c>
      <c r="E2506">
        <v>0.57678009999999902</v>
      </c>
      <c r="F2506" t="s">
        <v>67</v>
      </c>
      <c r="G2506">
        <v>-512.8252</v>
      </c>
      <c r="H2506">
        <v>0.1058477</v>
      </c>
      <c r="I2506">
        <v>270.56720000000001</v>
      </c>
      <c r="J2506">
        <v>-475.83960000000002</v>
      </c>
      <c r="K2506">
        <v>1.1172580000000001</v>
      </c>
      <c r="L2506">
        <v>284.23919999999998</v>
      </c>
      <c r="M2506">
        <v>-0.9668215</v>
      </c>
      <c r="N2506">
        <v>-1.7638270000000001E-2</v>
      </c>
      <c r="O2506">
        <v>-0.2548434</v>
      </c>
      <c r="P2506">
        <v>-0.84592690000000004</v>
      </c>
      <c r="Q2506">
        <v>-9.1398859999999998E-2</v>
      </c>
      <c r="R2506">
        <v>-0.52540880000000001</v>
      </c>
      <c r="S2506">
        <v>-2.8740540000000001</v>
      </c>
      <c r="T2506">
        <v>-7.8289629999999999E-2</v>
      </c>
      <c r="U2506">
        <v>-1.0617369999999999</v>
      </c>
      <c r="V2506">
        <v>-0.29096729999999998</v>
      </c>
      <c r="W2506">
        <v>-8.0157770000000003E-2</v>
      </c>
      <c r="X2506">
        <v>0.95336909999999997</v>
      </c>
      <c r="Y2506">
        <v>-9.595149E-2</v>
      </c>
      <c r="Z2506" s="1">
        <v>7.2688559999999996E-6</v>
      </c>
      <c r="AA2506">
        <v>0.99538599999999999</v>
      </c>
      <c r="AB2506">
        <v>26</v>
      </c>
      <c r="AC2506">
        <v>-36.985599999999899</v>
      </c>
      <c r="AD2506">
        <v>-1.0114103000000001</v>
      </c>
      <c r="AE2506">
        <v>-13.671999999999899</v>
      </c>
      <c r="AF2506">
        <v>-3.7909433876003198</v>
      </c>
      <c r="AG2506">
        <v>-1.0114103000000001</v>
      </c>
      <c r="AH2506">
        <v>39.222991411280503</v>
      </c>
      <c r="AI2506">
        <v>91.470262575685197</v>
      </c>
      <c r="AJ2506">
        <v>95.520550048876402</v>
      </c>
      <c r="AK2506">
        <v>39.418742468682602</v>
      </c>
      <c r="AL2506">
        <v>94.597634694413202</v>
      </c>
      <c r="AM2506">
        <v>106.97213700220701</v>
      </c>
      <c r="AN2506">
        <v>0.99999993929773401</v>
      </c>
    </row>
    <row r="2507" spans="1:40" x14ac:dyDescent="0.25">
      <c r="A2507" t="str">
        <f>"20190305135242695"</f>
        <v>20190305135242695</v>
      </c>
      <c r="B2507" t="str">
        <f>"1551765162691780"</f>
        <v>1551765162691780</v>
      </c>
      <c r="C2507" t="s">
        <v>40</v>
      </c>
      <c r="D2507">
        <v>4.487984</v>
      </c>
      <c r="E2507">
        <v>0.57796419999999904</v>
      </c>
      <c r="F2507" t="s">
        <v>67</v>
      </c>
      <c r="G2507">
        <v>-512.8252</v>
      </c>
      <c r="H2507">
        <v>0.16261800000000001</v>
      </c>
      <c r="I2507">
        <v>270.38580000000002</v>
      </c>
      <c r="J2507">
        <v>-475.98090000000002</v>
      </c>
      <c r="K2507">
        <v>1.1174029999999999</v>
      </c>
      <c r="L2507">
        <v>284.19450000000001</v>
      </c>
      <c r="M2507">
        <v>-0.965028</v>
      </c>
      <c r="N2507">
        <v>-1.741523E-2</v>
      </c>
      <c r="O2507">
        <v>-0.26156740000000001</v>
      </c>
      <c r="P2507">
        <v>-0.84214259999999996</v>
      </c>
      <c r="Q2507">
        <v>-9.2377570000000006E-2</v>
      </c>
      <c r="R2507">
        <v>-0.53128330000000001</v>
      </c>
      <c r="S2507">
        <v>-2.8706360000000002</v>
      </c>
      <c r="T2507">
        <v>-7.4087979999999998E-2</v>
      </c>
      <c r="U2507">
        <v>-1.075226</v>
      </c>
      <c r="V2507">
        <v>-0.29094049999999999</v>
      </c>
      <c r="W2507">
        <v>-8.1464830000000002E-2</v>
      </c>
      <c r="X2507">
        <v>0.95326659999999996</v>
      </c>
      <c r="Y2507">
        <v>-9.3520290000000006E-2</v>
      </c>
      <c r="Z2507">
        <v>-1.1546869999999999E-4</v>
      </c>
      <c r="AA2507">
        <v>0.99561739999999999</v>
      </c>
      <c r="AB2507">
        <v>26</v>
      </c>
      <c r="AC2507">
        <v>-36.844299999999897</v>
      </c>
      <c r="AD2507">
        <v>-0.95478499999999999</v>
      </c>
      <c r="AE2507">
        <v>-13.8086999999999</v>
      </c>
      <c r="AF2507">
        <v>-3.6869032087928502</v>
      </c>
      <c r="AG2507">
        <v>-0.95478499999999999</v>
      </c>
      <c r="AH2507">
        <v>39.150578069900497</v>
      </c>
      <c r="AI2507">
        <v>91.390872924407404</v>
      </c>
      <c r="AJ2507">
        <v>95.379813979549297</v>
      </c>
      <c r="AK2507">
        <v>39.3353865225017</v>
      </c>
      <c r="AL2507">
        <v>94.6727689332034</v>
      </c>
      <c r="AM2507">
        <v>106.972383485902</v>
      </c>
      <c r="AN2507">
        <v>1.0000000518713601</v>
      </c>
    </row>
    <row r="2508" spans="1:40" x14ac:dyDescent="0.25">
      <c r="A2508" t="str">
        <f>"20190305135242711"</f>
        <v>20190305135242711</v>
      </c>
      <c r="B2508" t="str">
        <f>"1551765162702516"</f>
        <v>1551765162702516</v>
      </c>
      <c r="C2508" t="s">
        <v>40</v>
      </c>
      <c r="D2508">
        <v>4.4609100000000002</v>
      </c>
      <c r="E2508">
        <v>0.5784996</v>
      </c>
      <c r="F2508" t="s">
        <v>67</v>
      </c>
      <c r="G2508">
        <v>-512.8252</v>
      </c>
      <c r="H2508">
        <v>0.1551601</v>
      </c>
      <c r="I2508">
        <v>270.2201</v>
      </c>
      <c r="J2508">
        <v>-476.14949999999999</v>
      </c>
      <c r="K2508">
        <v>1.1175710000000001</v>
      </c>
      <c r="L2508">
        <v>284.13979999999998</v>
      </c>
      <c r="M2508">
        <v>-0.96277950000000001</v>
      </c>
      <c r="N2508">
        <v>-1.7169099999999899E-2</v>
      </c>
      <c r="O2508">
        <v>-0.2697426</v>
      </c>
      <c r="P2508">
        <v>-0.83735289999999996</v>
      </c>
      <c r="Q2508">
        <v>-9.4474520000000006E-2</v>
      </c>
      <c r="R2508">
        <v>-0.53843769999999902</v>
      </c>
      <c r="S2508">
        <v>-2.8678889999999999</v>
      </c>
      <c r="T2508">
        <v>-7.4892639999999996E-2</v>
      </c>
      <c r="U2508">
        <v>-1.0877380000000001</v>
      </c>
      <c r="V2508">
        <v>-0.29095409999999999</v>
      </c>
      <c r="W2508">
        <v>-8.3941929999999998E-2</v>
      </c>
      <c r="X2508">
        <v>0.95304750000000005</v>
      </c>
      <c r="Y2508">
        <v>-8.9195499999999997E-2</v>
      </c>
      <c r="Z2508">
        <v>1.644141E-4</v>
      </c>
      <c r="AA2508">
        <v>0.99601410000000001</v>
      </c>
      <c r="AB2508">
        <v>26</v>
      </c>
      <c r="AC2508">
        <v>-36.675699999999999</v>
      </c>
      <c r="AD2508">
        <v>-0.96241089999999896</v>
      </c>
      <c r="AE2508">
        <v>-13.919699999999899</v>
      </c>
      <c r="AF2508">
        <v>-3.5070091495115499</v>
      </c>
      <c r="AG2508">
        <v>-0.96241089999999896</v>
      </c>
      <c r="AH2508">
        <v>39.0476005289771</v>
      </c>
      <c r="AI2508">
        <v>91.406232100074703</v>
      </c>
      <c r="AJ2508">
        <v>95.132175463995196</v>
      </c>
      <c r="AK2508">
        <v>39.216583928049701</v>
      </c>
      <c r="AL2508">
        <v>94.815184297524198</v>
      </c>
      <c r="AM2508">
        <v>106.976808891489</v>
      </c>
      <c r="AN2508">
        <v>1.0000000365875901</v>
      </c>
    </row>
    <row r="2509" spans="1:40" x14ac:dyDescent="0.25">
      <c r="A2509" t="str">
        <f>"20190305135242733"</f>
        <v>20190305135242733</v>
      </c>
      <c r="B2509" t="str">
        <f>"1551765162722036"</f>
        <v>1551765162722036</v>
      </c>
      <c r="C2509" t="s">
        <v>40</v>
      </c>
      <c r="D2509">
        <v>4.4653140000000002</v>
      </c>
      <c r="E2509">
        <v>0.57934529999999995</v>
      </c>
      <c r="F2509" t="s">
        <v>67</v>
      </c>
      <c r="G2509">
        <v>-512.8252</v>
      </c>
      <c r="H2509">
        <v>8.7688150000000006E-2</v>
      </c>
      <c r="I2509">
        <v>269.92140000000001</v>
      </c>
      <c r="J2509">
        <v>-476.39</v>
      </c>
      <c r="K2509">
        <v>1.117847</v>
      </c>
      <c r="L2509">
        <v>284.05860000000001</v>
      </c>
      <c r="M2509">
        <v>-0.9593334</v>
      </c>
      <c r="N2509">
        <v>-1.6865729999999999E-2</v>
      </c>
      <c r="O2509">
        <v>-0.28177160000000001</v>
      </c>
      <c r="P2509">
        <v>-0.83036900000000002</v>
      </c>
      <c r="Q2509">
        <v>-9.5613080000000003E-2</v>
      </c>
      <c r="R2509">
        <v>-0.54894960000000004</v>
      </c>
      <c r="S2509">
        <v>-2.8605649999999998</v>
      </c>
      <c r="T2509">
        <v>-8.032048E-2</v>
      </c>
      <c r="U2509">
        <v>-1.108978</v>
      </c>
      <c r="V2509">
        <v>-0.29098750000000001</v>
      </c>
      <c r="W2509">
        <v>-8.5580719999999999E-2</v>
      </c>
      <c r="X2509">
        <v>0.9528915</v>
      </c>
      <c r="Y2509">
        <v>-8.4023269999999997E-2</v>
      </c>
      <c r="Z2509">
        <v>8.8493649999999997E-4</v>
      </c>
      <c r="AA2509">
        <v>0.9964634</v>
      </c>
      <c r="AB2509">
        <v>26</v>
      </c>
      <c r="AC2509">
        <v>-36.435200000000002</v>
      </c>
      <c r="AD2509">
        <v>-1.0301588500000001</v>
      </c>
      <c r="AE2509">
        <v>-14.1372</v>
      </c>
      <c r="AF2509">
        <v>-3.2940632589925398</v>
      </c>
      <c r="AG2509">
        <v>-1.0301588500000001</v>
      </c>
      <c r="AH2509">
        <v>38.915461266563398</v>
      </c>
      <c r="AI2509">
        <v>91.510962309923897</v>
      </c>
      <c r="AJ2509">
        <v>94.838361831868298</v>
      </c>
      <c r="AK2509">
        <v>39.068212214022203</v>
      </c>
      <c r="AL2509">
        <v>94.909419370990406</v>
      </c>
      <c r="AM2509">
        <v>106.98126532752801</v>
      </c>
      <c r="AN2509">
        <v>0.99999999778210902</v>
      </c>
    </row>
    <row r="2510" spans="1:40" x14ac:dyDescent="0.25">
      <c r="A2510" t="str">
        <f>"20190305135242746"</f>
        <v>20190305135242746</v>
      </c>
      <c r="B2510" t="str">
        <f>"1551765162742533"</f>
        <v>1551765162742533</v>
      </c>
      <c r="C2510" t="s">
        <v>40</v>
      </c>
      <c r="D2510">
        <v>4.4798739999999997</v>
      </c>
      <c r="E2510">
        <v>0.58015069999999902</v>
      </c>
      <c r="F2510" t="s">
        <v>67</v>
      </c>
      <c r="G2510">
        <v>-512.82510000000002</v>
      </c>
      <c r="H2510">
        <v>7.3926449999999998E-3</v>
      </c>
      <c r="I2510">
        <v>269.4966</v>
      </c>
      <c r="J2510">
        <v>-476.51260000000002</v>
      </c>
      <c r="K2510">
        <v>1.117988</v>
      </c>
      <c r="L2510">
        <v>284.01600000000002</v>
      </c>
      <c r="M2510">
        <v>-0.95747780000000005</v>
      </c>
      <c r="N2510">
        <v>-1.672504E-2</v>
      </c>
      <c r="O2510">
        <v>-0.288022</v>
      </c>
      <c r="P2510">
        <v>-0.82681510000000003</v>
      </c>
      <c r="Q2510">
        <v>-9.5494460000000003E-2</v>
      </c>
      <c r="R2510">
        <v>-0.55430829999999998</v>
      </c>
      <c r="S2510">
        <v>-2.8498230000000002</v>
      </c>
      <c r="T2510">
        <v>-8.6848969999999998E-2</v>
      </c>
      <c r="U2510">
        <v>-1.1389769999999999</v>
      </c>
      <c r="V2510">
        <v>-0.29090129999999997</v>
      </c>
      <c r="W2510">
        <v>-8.5699650000000002E-2</v>
      </c>
      <c r="X2510">
        <v>0.95290710000000001</v>
      </c>
      <c r="Y2510">
        <v>-8.7865789999999999E-2</v>
      </c>
      <c r="Z2510">
        <v>1.4340329999999999E-3</v>
      </c>
      <c r="AA2510">
        <v>0.99613130000000005</v>
      </c>
      <c r="AB2510">
        <v>26</v>
      </c>
      <c r="AC2510">
        <v>-36.3125</v>
      </c>
      <c r="AD2510">
        <v>-1.1105953550000001</v>
      </c>
      <c r="AE2510">
        <v>-14.5193999999999</v>
      </c>
      <c r="AF2510">
        <v>-3.44091075070649</v>
      </c>
      <c r="AG2510">
        <v>-1.1105953550000001</v>
      </c>
      <c r="AH2510">
        <v>38.924374146212799</v>
      </c>
      <c r="AI2510">
        <v>91.627982156897204</v>
      </c>
      <c r="AJ2510">
        <v>95.051809251497403</v>
      </c>
      <c r="AK2510">
        <v>39.091945353374697</v>
      </c>
      <c r="AL2510">
        <v>94.916258827690399</v>
      </c>
      <c r="AM2510">
        <v>106.976262313071</v>
      </c>
      <c r="AN2510">
        <v>0.99999996879110997</v>
      </c>
    </row>
    <row r="2511" spans="1:40" x14ac:dyDescent="0.25">
      <c r="A2511" t="str">
        <f>"20190305135242758"</f>
        <v>20190305135242758</v>
      </c>
      <c r="B2511" t="str">
        <f>"1551765162752292"</f>
        <v>1551765162752292</v>
      </c>
      <c r="C2511" t="s">
        <v>40</v>
      </c>
      <c r="D2511">
        <v>4.416722</v>
      </c>
      <c r="E2511">
        <v>0.58035119999999996</v>
      </c>
      <c r="F2511" t="s">
        <v>47</v>
      </c>
      <c r="G2511">
        <v>-512.67819999999995</v>
      </c>
      <c r="H2511">
        <v>-0.05</v>
      </c>
      <c r="I2511">
        <v>269.38310000000001</v>
      </c>
      <c r="J2511">
        <v>-476.64429999999999</v>
      </c>
      <c r="K2511">
        <v>1.118139</v>
      </c>
      <c r="L2511">
        <v>283.96839999999997</v>
      </c>
      <c r="M2511">
        <v>-0.95537190000000005</v>
      </c>
      <c r="N2511">
        <v>-1.6596699999999999E-2</v>
      </c>
      <c r="O2511">
        <v>-0.29493920000000001</v>
      </c>
      <c r="P2511">
        <v>-0.82291320000000001</v>
      </c>
      <c r="Q2511">
        <v>-9.5089610000000005E-2</v>
      </c>
      <c r="R2511">
        <v>-0.56015349999999997</v>
      </c>
      <c r="S2511">
        <v>-2.8457949999999999</v>
      </c>
      <c r="T2511">
        <v>-9.1906429999999997E-2</v>
      </c>
      <c r="U2511">
        <v>-1.1514279999999999</v>
      </c>
      <c r="V2511">
        <v>-0.29072310000000001</v>
      </c>
      <c r="W2511">
        <v>-8.5521680000000003E-2</v>
      </c>
      <c r="X2511">
        <v>0.95297750000000003</v>
      </c>
      <c r="Y2511">
        <v>-8.4902190000000002E-2</v>
      </c>
      <c r="Z2511">
        <v>2.0420299999999998E-3</v>
      </c>
      <c r="AA2511">
        <v>0.99638720000000003</v>
      </c>
      <c r="AB2511">
        <v>26</v>
      </c>
      <c r="AC2511">
        <v>-36.033899999999903</v>
      </c>
      <c r="AD2511">
        <v>-1.168139</v>
      </c>
      <c r="AE2511">
        <v>-14.585299999999901</v>
      </c>
      <c r="AF2511">
        <v>-3.3040480784122899</v>
      </c>
      <c r="AG2511">
        <v>-1.168139</v>
      </c>
      <c r="AH2511">
        <v>38.697942918926401</v>
      </c>
      <c r="AI2511">
        <v>91.722745601834404</v>
      </c>
      <c r="AJ2511">
        <v>94.880104478280799</v>
      </c>
      <c r="AK2511">
        <v>38.856300243130001</v>
      </c>
      <c r="AL2511">
        <v>94.906024184156806</v>
      </c>
      <c r="AM2511">
        <v>106.965279144398</v>
      </c>
      <c r="AN2511">
        <v>0.99999999706494103</v>
      </c>
    </row>
    <row r="2512" spans="1:40" x14ac:dyDescent="0.25">
      <c r="A2512" t="str">
        <f>"20190305135242769"</f>
        <v>20190305135242769</v>
      </c>
      <c r="B2512" t="str">
        <f>"1551765162762052"</f>
        <v>1551765162762052</v>
      </c>
      <c r="C2512" t="s">
        <v>40</v>
      </c>
      <c r="D2512">
        <v>4.4332960000000003</v>
      </c>
      <c r="E2512">
        <v>0.58057569999999903</v>
      </c>
      <c r="F2512" t="s">
        <v>47</v>
      </c>
      <c r="G2512">
        <v>-512.04060000000004</v>
      </c>
      <c r="H2512">
        <v>-0.05</v>
      </c>
      <c r="I2512">
        <v>269.38240000000002</v>
      </c>
      <c r="J2512">
        <v>-476.77229999999997</v>
      </c>
      <c r="K2512">
        <v>1.118282</v>
      </c>
      <c r="L2512">
        <v>283.92149999999998</v>
      </c>
      <c r="M2512">
        <v>-0.9532505</v>
      </c>
      <c r="N2512">
        <v>-1.647875E-2</v>
      </c>
      <c r="O2512">
        <v>-0.30173129999999998</v>
      </c>
      <c r="P2512">
        <v>-0.81911699999999998</v>
      </c>
      <c r="Q2512">
        <v>-9.4459879999999996E-2</v>
      </c>
      <c r="R2512">
        <v>-0.56579599999999997</v>
      </c>
      <c r="S2512">
        <v>-2.838562</v>
      </c>
      <c r="T2512">
        <v>-9.367752E-2</v>
      </c>
      <c r="U2512">
        <v>-1.169708</v>
      </c>
      <c r="V2512">
        <v>-0.29044959999999997</v>
      </c>
      <c r="W2512">
        <v>-8.5101270000000007E-2</v>
      </c>
      <c r="X2512">
        <v>0.95309849999999996</v>
      </c>
      <c r="Y2512">
        <v>-8.4193370000000003E-2</v>
      </c>
      <c r="Z2512">
        <v>2.343192E-3</v>
      </c>
      <c r="AA2512">
        <v>0.99644670000000002</v>
      </c>
      <c r="AB2512">
        <v>26</v>
      </c>
      <c r="AC2512">
        <v>-35.268300000000004</v>
      </c>
      <c r="AD2512">
        <v>-1.168282</v>
      </c>
      <c r="AE2512">
        <v>-14.5390999999999</v>
      </c>
      <c r="AF2512">
        <v>-3.2152759425598698</v>
      </c>
      <c r="AG2512">
        <v>-1.168282</v>
      </c>
      <c r="AH2512">
        <v>37.975972459772599</v>
      </c>
      <c r="AI2512">
        <v>91.755797414666205</v>
      </c>
      <c r="AJ2512">
        <v>94.839466248258105</v>
      </c>
      <c r="AK2512">
        <v>38.129743855469798</v>
      </c>
      <c r="AL2512">
        <v>94.881848443385195</v>
      </c>
      <c r="AM2512">
        <v>106.948205825934</v>
      </c>
      <c r="AN2512">
        <v>0.99999997349901004</v>
      </c>
    </row>
    <row r="2513" spans="1:40" x14ac:dyDescent="0.25">
      <c r="A2513" t="str">
        <f>"20190305135242781"</f>
        <v>20190305135242781</v>
      </c>
      <c r="B2513" t="str">
        <f>"1551765162771813"</f>
        <v>1551765162771813</v>
      </c>
      <c r="C2513" t="s">
        <v>40</v>
      </c>
      <c r="D2513">
        <v>6.744631</v>
      </c>
      <c r="E2513">
        <v>0.58104750000000005</v>
      </c>
      <c r="F2513" t="s">
        <v>47</v>
      </c>
      <c r="G2513">
        <v>-511.8741</v>
      </c>
      <c r="H2513">
        <v>-0.05</v>
      </c>
      <c r="I2513">
        <v>269.20400000000001</v>
      </c>
      <c r="J2513">
        <v>-476.89960000000002</v>
      </c>
      <c r="K2513">
        <v>1.1184229999999999</v>
      </c>
      <c r="L2513">
        <v>283.87360000000001</v>
      </c>
      <c r="M2513">
        <v>-0.95104820000000001</v>
      </c>
      <c r="N2513">
        <v>-1.637243E-2</v>
      </c>
      <c r="O2513">
        <v>-0.30860860000000001</v>
      </c>
      <c r="P2513">
        <v>-0.81493099999999996</v>
      </c>
      <c r="Q2513">
        <v>-9.4038510000000006E-2</v>
      </c>
      <c r="R2513">
        <v>-0.57187829999999995</v>
      </c>
      <c r="S2513">
        <v>-2.831512</v>
      </c>
      <c r="T2513">
        <v>-9.424043E-2</v>
      </c>
      <c r="U2513">
        <v>-1.187195</v>
      </c>
      <c r="V2513">
        <v>-0.29062300000000002</v>
      </c>
      <c r="W2513">
        <v>-8.4887959999999998E-2</v>
      </c>
      <c r="X2513">
        <v>0.95306469999999999</v>
      </c>
      <c r="Y2513">
        <v>-8.3117720000000006E-2</v>
      </c>
      <c r="Z2513">
        <v>2.5539740000000001E-3</v>
      </c>
      <c r="AA2513">
        <v>0.99653650000000005</v>
      </c>
      <c r="AB2513">
        <v>26</v>
      </c>
      <c r="AC2513">
        <v>-34.9744999999999</v>
      </c>
      <c r="AD2513">
        <v>-1.168423</v>
      </c>
      <c r="AE2513">
        <v>-14.669600000000001</v>
      </c>
      <c r="AF2513">
        <v>-3.1554936327382701</v>
      </c>
      <c r="AG2513">
        <v>-1.168423</v>
      </c>
      <c r="AH2513">
        <v>37.7588285309197</v>
      </c>
      <c r="AI2513">
        <v>91.7662629288277</v>
      </c>
      <c r="AJ2513">
        <v>94.777090328851003</v>
      </c>
      <c r="AK2513">
        <v>37.908461910246103</v>
      </c>
      <c r="AL2513">
        <v>94.869582125084406</v>
      </c>
      <c r="AM2513">
        <v>106.958310424316</v>
      </c>
      <c r="AN2513">
        <v>1.0000000081340199</v>
      </c>
    </row>
    <row r="2514" spans="1:40" x14ac:dyDescent="0.25">
      <c r="A2514" t="str">
        <f>"20190305135242795"</f>
        <v>20190305135242795</v>
      </c>
      <c r="B2514" t="str">
        <f>"1551765162782548"</f>
        <v>1551765162782548</v>
      </c>
      <c r="C2514" t="s">
        <v>40</v>
      </c>
      <c r="D2514">
        <v>4.3818640000000002</v>
      </c>
      <c r="E2514">
        <v>0.58155630000000003</v>
      </c>
      <c r="F2514" t="s">
        <v>67</v>
      </c>
      <c r="G2514">
        <v>-512.82510000000002</v>
      </c>
      <c r="H2514">
        <v>-4.7180890000000003E-2</v>
      </c>
      <c r="I2514">
        <v>268.54840000000002</v>
      </c>
      <c r="J2514">
        <v>-477.02480000000003</v>
      </c>
      <c r="K2514">
        <v>1.1185590000000001</v>
      </c>
      <c r="L2514">
        <v>283.82510000000002</v>
      </c>
      <c r="M2514">
        <v>-0.94877699999999998</v>
      </c>
      <c r="N2514">
        <v>-1.628195E-2</v>
      </c>
      <c r="O2514">
        <v>-0.3155269</v>
      </c>
      <c r="P2514">
        <v>-0.81068660000000003</v>
      </c>
      <c r="Q2514">
        <v>-9.4124100000000002E-2</v>
      </c>
      <c r="R2514">
        <v>-0.57786510000000002</v>
      </c>
      <c r="S2514">
        <v>-2.825043</v>
      </c>
      <c r="T2514">
        <v>-9.1651919999999998E-2</v>
      </c>
      <c r="U2514">
        <v>-1.205109</v>
      </c>
      <c r="V2514">
        <v>-0.2906725</v>
      </c>
      <c r="W2514">
        <v>-8.5161829999999994E-2</v>
      </c>
      <c r="X2514">
        <v>0.95302520000000002</v>
      </c>
      <c r="Y2514">
        <v>-8.2033270000000005E-2</v>
      </c>
      <c r="Z2514">
        <v>2.4781299999999998E-3</v>
      </c>
      <c r="AA2514">
        <v>0.99662649999999997</v>
      </c>
      <c r="AB2514">
        <v>26</v>
      </c>
      <c r="AC2514">
        <v>-35.800299999999901</v>
      </c>
      <c r="AD2514">
        <v>-1.16573989</v>
      </c>
      <c r="AE2514">
        <v>-15.2767</v>
      </c>
      <c r="AF2514">
        <v>-3.1957812039357001</v>
      </c>
      <c r="AG2514">
        <v>-1.16573989</v>
      </c>
      <c r="AH2514">
        <v>38.7570868222803</v>
      </c>
      <c r="AI2514">
        <v>91.717005637034205</v>
      </c>
      <c r="AJ2514">
        <v>94.713756683072404</v>
      </c>
      <c r="AK2514">
        <v>38.906088802966799</v>
      </c>
      <c r="AL2514">
        <v>94.885330613681504</v>
      </c>
      <c r="AM2514">
        <v>106.961695655932</v>
      </c>
      <c r="AN2514">
        <v>1.00000003569011</v>
      </c>
    </row>
    <row r="2515" spans="1:40" x14ac:dyDescent="0.25">
      <c r="A2515" t="str">
        <f>"20190305135242806"</f>
        <v>20190305135242806</v>
      </c>
      <c r="B2515" t="str">
        <f>"1551765162802068"</f>
        <v>1551765162802068</v>
      </c>
      <c r="C2515" t="s">
        <v>40</v>
      </c>
      <c r="D2515">
        <v>4.352487</v>
      </c>
      <c r="E2515">
        <v>0.58250249999999903</v>
      </c>
      <c r="F2515" t="s">
        <v>67</v>
      </c>
      <c r="G2515">
        <v>-512.82510000000002</v>
      </c>
      <c r="H2515">
        <v>-4.66665E-2</v>
      </c>
      <c r="I2515">
        <v>268.28980000000001</v>
      </c>
      <c r="J2515">
        <v>-477.1533</v>
      </c>
      <c r="K2515">
        <v>1.1187009999999999</v>
      </c>
      <c r="L2515">
        <v>283.77449999999999</v>
      </c>
      <c r="M2515">
        <v>-0.94636399999999998</v>
      </c>
      <c r="N2515">
        <v>-1.6194509999999999E-2</v>
      </c>
      <c r="O2515">
        <v>-0.32269629999999999</v>
      </c>
      <c r="P2515">
        <v>-0.80606599999999995</v>
      </c>
      <c r="Q2515">
        <v>-9.4467590000000004E-2</v>
      </c>
      <c r="R2515">
        <v>-0.58423760000000002</v>
      </c>
      <c r="S2515">
        <v>-2.8182070000000001</v>
      </c>
      <c r="T2515">
        <v>-9.1720099999999999E-2</v>
      </c>
      <c r="U2515">
        <v>-1.222931</v>
      </c>
      <c r="V2515">
        <v>-0.29094769999999998</v>
      </c>
      <c r="W2515">
        <v>-8.5699899999999996E-2</v>
      </c>
      <c r="X2515">
        <v>0.95289299999999999</v>
      </c>
      <c r="Y2515">
        <v>-8.0683370000000004E-2</v>
      </c>
      <c r="Z2515">
        <v>2.6452490000000001E-3</v>
      </c>
      <c r="AA2515">
        <v>0.99673630000000002</v>
      </c>
      <c r="AB2515">
        <v>26</v>
      </c>
      <c r="AC2515">
        <v>-35.671799999999998</v>
      </c>
      <c r="AD2515">
        <v>-1.1653674999999999</v>
      </c>
      <c r="AE2515">
        <v>-15.484699999999901</v>
      </c>
      <c r="AF2515">
        <v>-3.14059658951428</v>
      </c>
      <c r="AG2515">
        <v>-1.1653674999999999</v>
      </c>
      <c r="AH2515">
        <v>38.7256684135602</v>
      </c>
      <c r="AI2515">
        <v>91.718038635767002</v>
      </c>
      <c r="AJ2515">
        <v>94.636459302724504</v>
      </c>
      <c r="AK2515">
        <v>38.870281995698797</v>
      </c>
      <c r="AL2515">
        <v>94.916272788420301</v>
      </c>
      <c r="AM2515">
        <v>106.979051132492</v>
      </c>
      <c r="AN2515">
        <v>1.00000005322214</v>
      </c>
    </row>
    <row r="2516" spans="1:40" x14ac:dyDescent="0.25">
      <c r="A2516" t="str">
        <f>"20190305135242818"</f>
        <v>20190305135242818</v>
      </c>
      <c r="B2516" t="str">
        <f>"1551765162811829"</f>
        <v>1551765162811829</v>
      </c>
      <c r="C2516" t="s">
        <v>40</v>
      </c>
      <c r="D2516">
        <v>4.37568</v>
      </c>
      <c r="E2516">
        <v>0.58294599999999996</v>
      </c>
      <c r="F2516" t="s">
        <v>67</v>
      </c>
      <c r="G2516">
        <v>-512.82510000000002</v>
      </c>
      <c r="H2516">
        <v>-4.1293259999999998E-2</v>
      </c>
      <c r="I2516">
        <v>268.05990000000003</v>
      </c>
      <c r="J2516">
        <v>-477.28030000000001</v>
      </c>
      <c r="K2516">
        <v>1.1188450000000001</v>
      </c>
      <c r="L2516">
        <v>283.72280000000001</v>
      </c>
      <c r="M2516">
        <v>-0.94385050000000004</v>
      </c>
      <c r="N2516">
        <v>-1.6124909999999999E-2</v>
      </c>
      <c r="O2516">
        <v>-0.32997929999999998</v>
      </c>
      <c r="P2516">
        <v>-0.80146830000000002</v>
      </c>
      <c r="Q2516">
        <v>-9.4390730000000006E-2</v>
      </c>
      <c r="R2516">
        <v>-0.5905416</v>
      </c>
      <c r="S2516">
        <v>-2.812897</v>
      </c>
      <c r="T2516">
        <v>-9.1464519999999994E-2</v>
      </c>
      <c r="U2516">
        <v>-1.239166</v>
      </c>
      <c r="V2516">
        <v>-0.29104570000000002</v>
      </c>
      <c r="W2516">
        <v>-8.5794750000000003E-2</v>
      </c>
      <c r="X2516">
        <v>0.95285450000000005</v>
      </c>
      <c r="Y2516">
        <v>-7.8520220000000002E-2</v>
      </c>
      <c r="Z2516">
        <v>2.7931739999999998E-3</v>
      </c>
      <c r="AA2516">
        <v>0.99690860000000003</v>
      </c>
      <c r="AB2516">
        <v>26</v>
      </c>
      <c r="AC2516">
        <v>-35.544800000000002</v>
      </c>
      <c r="AD2516">
        <v>-1.1601382600000001</v>
      </c>
      <c r="AE2516">
        <v>-15.662899999999899</v>
      </c>
      <c r="AF2516">
        <v>-3.0520621046524399</v>
      </c>
      <c r="AG2516">
        <v>-1.1601382600000001</v>
      </c>
      <c r="AH2516">
        <v>38.687929855279201</v>
      </c>
      <c r="AI2516">
        <v>91.712301897703895</v>
      </c>
      <c r="AJ2516">
        <v>94.510679620648702</v>
      </c>
      <c r="AK2516">
        <v>38.825467419722997</v>
      </c>
      <c r="AL2516">
        <v>94.921727554390202</v>
      </c>
      <c r="AM2516">
        <v>106.985087796409</v>
      </c>
      <c r="AN2516">
        <v>1.0000000183931499</v>
      </c>
    </row>
    <row r="2517" spans="1:40" x14ac:dyDescent="0.25">
      <c r="A2517" t="str">
        <f>"20190305135242831"</f>
        <v>20190305135242831</v>
      </c>
      <c r="B2517" t="str">
        <f>"1551765162822564"</f>
        <v>1551765162822564</v>
      </c>
      <c r="C2517" t="s">
        <v>40</v>
      </c>
      <c r="D2517">
        <v>4.3338409999999996</v>
      </c>
      <c r="E2517">
        <v>0.58294599999999996</v>
      </c>
      <c r="F2517" t="s">
        <v>67</v>
      </c>
      <c r="G2517">
        <v>-512.82510000000002</v>
      </c>
      <c r="H2517">
        <v>-3.6652089999999998E-2</v>
      </c>
      <c r="I2517">
        <v>267.7842</v>
      </c>
      <c r="J2517">
        <v>-477.40809999999999</v>
      </c>
      <c r="K2517">
        <v>1.118989</v>
      </c>
      <c r="L2517">
        <v>283.6696</v>
      </c>
      <c r="M2517">
        <v>-0.94122410000000001</v>
      </c>
      <c r="N2517">
        <v>-1.6062130000000001E-2</v>
      </c>
      <c r="O2517">
        <v>-0.33740059999999999</v>
      </c>
      <c r="P2517">
        <v>-0.79664780000000002</v>
      </c>
      <c r="Q2517">
        <v>-9.4044660000000002E-2</v>
      </c>
      <c r="R2517">
        <v>-0.59708289999999997</v>
      </c>
      <c r="S2517">
        <v>-2.8054809999999999</v>
      </c>
      <c r="T2517">
        <v>-9.1194510000000006E-2</v>
      </c>
      <c r="U2517">
        <v>-1.2579959999999999</v>
      </c>
      <c r="V2517">
        <v>-0.29130630000000002</v>
      </c>
      <c r="W2517">
        <v>-8.5618020000000003E-2</v>
      </c>
      <c r="X2517">
        <v>0.95279069999999999</v>
      </c>
      <c r="Y2517">
        <v>-7.7229279999999997E-2</v>
      </c>
      <c r="Z2517">
        <v>2.9215550000000002E-3</v>
      </c>
      <c r="AA2517">
        <v>0.99700909999999998</v>
      </c>
      <c r="AB2517">
        <v>26</v>
      </c>
      <c r="AC2517">
        <v>-35.417000000000002</v>
      </c>
      <c r="AD2517">
        <v>-1.15564109</v>
      </c>
      <c r="AE2517">
        <v>-15.885400000000001</v>
      </c>
      <c r="AF2517">
        <v>-2.9997327635534199</v>
      </c>
      <c r="AG2517">
        <v>-1.15564109</v>
      </c>
      <c r="AH2517">
        <v>38.665798322624099</v>
      </c>
      <c r="AI2517">
        <v>91.706817474119404</v>
      </c>
      <c r="AJ2517">
        <v>94.436180093686602</v>
      </c>
      <c r="AK2517">
        <v>38.799199256008798</v>
      </c>
      <c r="AL2517">
        <v>94.911564553249704</v>
      </c>
      <c r="AM2517">
        <v>107.000492197862</v>
      </c>
      <c r="AN2517">
        <v>0.999999961887449</v>
      </c>
    </row>
    <row r="2518" spans="1:40" x14ac:dyDescent="0.25">
      <c r="A2518" t="str">
        <f>"20190305135242845"</f>
        <v>20190305135242845</v>
      </c>
      <c r="B2518" t="str">
        <f>"1551765162832324"</f>
        <v>1551765162832324</v>
      </c>
      <c r="C2518" t="s">
        <v>40</v>
      </c>
      <c r="D2518">
        <v>4.3250279999999997</v>
      </c>
      <c r="E2518">
        <v>0.59604729999999995</v>
      </c>
      <c r="F2518" t="s">
        <v>67</v>
      </c>
      <c r="G2518">
        <v>-512.82510000000002</v>
      </c>
      <c r="H2518">
        <v>-2.317056E-2</v>
      </c>
      <c r="I2518">
        <v>267.43299999999999</v>
      </c>
      <c r="J2518">
        <v>-477.54880000000003</v>
      </c>
      <c r="K2518">
        <v>1.1191439999999999</v>
      </c>
      <c r="L2518">
        <v>283.61</v>
      </c>
      <c r="M2518">
        <v>-0.93821719999999997</v>
      </c>
      <c r="N2518">
        <v>-1.600128E-2</v>
      </c>
      <c r="O2518">
        <v>-0.34567720000000002</v>
      </c>
      <c r="P2518">
        <v>-0.79140219999999994</v>
      </c>
      <c r="Q2518">
        <v>-9.2646839999999994E-2</v>
      </c>
      <c r="R2518">
        <v>-0.60423470000000001</v>
      </c>
      <c r="S2518">
        <v>-2.7948</v>
      </c>
      <c r="T2518">
        <v>-9.0122579999999994E-2</v>
      </c>
      <c r="U2518">
        <v>-1.28125</v>
      </c>
      <c r="V2518">
        <v>-0.29143920000000001</v>
      </c>
      <c r="W2518">
        <v>-8.4391859999999999E-2</v>
      </c>
      <c r="X2518">
        <v>0.95285949999999997</v>
      </c>
      <c r="Y2518">
        <v>-7.6747570000000001E-2</v>
      </c>
      <c r="Z2518">
        <v>2.965465E-3</v>
      </c>
      <c r="AA2518">
        <v>0.99704619999999999</v>
      </c>
      <c r="AB2518">
        <v>26</v>
      </c>
      <c r="AC2518">
        <v>-35.2762999999999</v>
      </c>
      <c r="AD2518">
        <v>-1.14231456</v>
      </c>
      <c r="AE2518">
        <v>-16.177</v>
      </c>
      <c r="AF2518">
        <v>-2.9811257929044301</v>
      </c>
      <c r="AG2518">
        <v>-1.14231456</v>
      </c>
      <c r="AH2518">
        <v>38.660304994799603</v>
      </c>
      <c r="AI2518">
        <v>91.687446942733601</v>
      </c>
      <c r="AJ2518">
        <v>94.409395825617494</v>
      </c>
      <c r="AK2518">
        <v>38.791895749473703</v>
      </c>
      <c r="AL2518">
        <v>94.841055314127203</v>
      </c>
      <c r="AM2518">
        <v>107.006643462415</v>
      </c>
      <c r="AN2518">
        <v>1.0000000100355699</v>
      </c>
    </row>
    <row r="2519" spans="1:40" x14ac:dyDescent="0.25">
      <c r="A2519" t="str">
        <f>"20190305135242858"</f>
        <v>20190305135242858</v>
      </c>
      <c r="B2519" t="str">
        <f>"1551765162851844"</f>
        <v>1551765162851844</v>
      </c>
      <c r="C2519" t="s">
        <v>40</v>
      </c>
      <c r="D2519">
        <v>4.036988</v>
      </c>
      <c r="E2519">
        <v>0.59587290000000004</v>
      </c>
      <c r="F2519" t="s">
        <v>67</v>
      </c>
      <c r="G2519">
        <v>-512.8252</v>
      </c>
      <c r="H2519">
        <v>0.1789964</v>
      </c>
      <c r="I2519">
        <v>268.45100000000002</v>
      </c>
      <c r="J2519">
        <v>-477.67630000000003</v>
      </c>
      <c r="K2519">
        <v>1.1192839999999999</v>
      </c>
      <c r="L2519">
        <v>283.55380000000002</v>
      </c>
      <c r="M2519">
        <v>-0.93533829999999996</v>
      </c>
      <c r="N2519">
        <v>-1.59604E-2</v>
      </c>
      <c r="O2519">
        <v>-0.35339419999999999</v>
      </c>
      <c r="P2519">
        <v>-0.78647929999999999</v>
      </c>
      <c r="Q2519">
        <v>-9.1704149999999998E-2</v>
      </c>
      <c r="R2519">
        <v>-0.61077029999999999</v>
      </c>
      <c r="S2519">
        <v>-2.8475950000000001</v>
      </c>
      <c r="T2519">
        <v>-7.5884339999999995E-2</v>
      </c>
      <c r="U2519">
        <v>-1.2236629999999999</v>
      </c>
      <c r="V2519">
        <v>-0.29143809999999998</v>
      </c>
      <c r="W2519">
        <v>-8.3588519999999999E-2</v>
      </c>
      <c r="X2519">
        <v>0.95293059999999996</v>
      </c>
      <c r="Y2519">
        <v>-4.4590890000000001E-2</v>
      </c>
      <c r="Z2519">
        <v>2.166748E-3</v>
      </c>
      <c r="AA2519">
        <v>0.99900299999999997</v>
      </c>
      <c r="AB2519">
        <v>26</v>
      </c>
      <c r="AC2519">
        <v>-35.148899999999898</v>
      </c>
      <c r="AD2519">
        <v>-0.9402876</v>
      </c>
      <c r="AE2519">
        <v>-15.1028</v>
      </c>
      <c r="AF2519">
        <v>-1.7039977143991201</v>
      </c>
      <c r="AG2519">
        <v>-0.9402876</v>
      </c>
      <c r="AH2519">
        <v>38.195149565962701</v>
      </c>
      <c r="AI2519">
        <v>91.408821036406096</v>
      </c>
      <c r="AJ2519">
        <v>92.554439058076596</v>
      </c>
      <c r="AK2519">
        <v>38.244701585286997</v>
      </c>
      <c r="AL2519">
        <v>94.794864312837007</v>
      </c>
      <c r="AM2519">
        <v>107.005387301882</v>
      </c>
      <c r="AN2519">
        <v>0.99999996761187904</v>
      </c>
    </row>
    <row r="2520" spans="1:40" x14ac:dyDescent="0.25">
      <c r="A2520" t="str">
        <f>"20190305135242872"</f>
        <v>20190305135242872</v>
      </c>
      <c r="B2520" t="str">
        <f>"1551765162862580"</f>
        <v>1551765162862580</v>
      </c>
      <c r="C2520" t="s">
        <v>40</v>
      </c>
      <c r="D2520">
        <v>4.2838399999999996</v>
      </c>
      <c r="E2520">
        <v>0.56018380000000001</v>
      </c>
      <c r="F2520" t="s">
        <v>67</v>
      </c>
      <c r="G2520">
        <v>-512.8252</v>
      </c>
      <c r="H2520">
        <v>0.1442485</v>
      </c>
      <c r="I2520">
        <v>268.09870000000001</v>
      </c>
      <c r="J2520">
        <v>-477.82560000000001</v>
      </c>
      <c r="K2520">
        <v>1.1194459999999999</v>
      </c>
      <c r="L2520">
        <v>283.48669999999998</v>
      </c>
      <c r="M2520">
        <v>-0.93183150000000003</v>
      </c>
      <c r="N2520">
        <v>-1.5918649999999999E-2</v>
      </c>
      <c r="O2520">
        <v>-0.36254189999999997</v>
      </c>
      <c r="P2520">
        <v>-0.780358199999999</v>
      </c>
      <c r="Q2520">
        <v>-9.1335440000000004E-2</v>
      </c>
      <c r="R2520">
        <v>-0.61862659999999903</v>
      </c>
      <c r="S2520">
        <v>-2.8366699999999998</v>
      </c>
      <c r="T2520">
        <v>-7.8683020000000006E-2</v>
      </c>
      <c r="U2520">
        <v>-1.2472840000000001</v>
      </c>
      <c r="V2520">
        <v>-0.29161479999999901</v>
      </c>
      <c r="W2520">
        <v>-8.3384959999999994E-2</v>
      </c>
      <c r="X2520">
        <v>0.95289440000000003</v>
      </c>
      <c r="Y2520">
        <v>-4.3192290000000001E-2</v>
      </c>
      <c r="Z2520">
        <v>2.6009879999999998E-3</v>
      </c>
      <c r="AA2520">
        <v>0.99906340000000005</v>
      </c>
      <c r="AB2520">
        <v>25</v>
      </c>
      <c r="AC2520">
        <v>-34.999599999999901</v>
      </c>
      <c r="AD2520">
        <v>-0.97519750000000005</v>
      </c>
      <c r="AE2520">
        <v>-15.3879999999999</v>
      </c>
      <c r="AF2520">
        <v>-1.64933773582957</v>
      </c>
      <c r="AG2520">
        <v>-0.97519750000000005</v>
      </c>
      <c r="AH2520">
        <v>38.172530220218299</v>
      </c>
      <c r="AI2520">
        <v>91.462059256173404</v>
      </c>
      <c r="AJ2520">
        <v>92.474065763937503</v>
      </c>
      <c r="AK2520">
        <v>38.220588542620803</v>
      </c>
      <c r="AL2520">
        <v>94.783160214646799</v>
      </c>
      <c r="AM2520">
        <v>107.015711361314</v>
      </c>
      <c r="AN2520">
        <v>0.99999999034230003</v>
      </c>
    </row>
    <row r="2521" spans="1:40" x14ac:dyDescent="0.25">
      <c r="A2521" t="str">
        <f>"20190305135242886"</f>
        <v>20190305135242886</v>
      </c>
      <c r="B2521" t="str">
        <f>"1551765162882101"</f>
        <v>1551765162882101</v>
      </c>
      <c r="C2521" t="s">
        <v>40</v>
      </c>
      <c r="D2521">
        <v>4.1228819999999997</v>
      </c>
      <c r="E2521">
        <v>0.49331580000000003</v>
      </c>
      <c r="F2521" t="s">
        <v>67</v>
      </c>
      <c r="G2521">
        <v>-512.82539999999995</v>
      </c>
      <c r="H2521">
        <v>0.79973859999999997</v>
      </c>
      <c r="I2521">
        <v>263.60539999999997</v>
      </c>
      <c r="J2521">
        <v>-477.95960000000002</v>
      </c>
      <c r="K2521">
        <v>1.1195870000000001</v>
      </c>
      <c r="L2521">
        <v>283.42509999999999</v>
      </c>
      <c r="M2521">
        <v>-0.92854859999999995</v>
      </c>
      <c r="N2521">
        <v>-1.588736E-2</v>
      </c>
      <c r="O2521">
        <v>-0.3708709</v>
      </c>
      <c r="P2521">
        <v>-0.77467980000000003</v>
      </c>
      <c r="Q2521">
        <v>-9.1303239999999994E-2</v>
      </c>
      <c r="R2521">
        <v>-0.625727699999999</v>
      </c>
      <c r="S2521">
        <v>-2.6487430000000001</v>
      </c>
      <c r="T2521">
        <v>-2.418911E-2</v>
      </c>
      <c r="U2521">
        <v>-1.504578</v>
      </c>
      <c r="V2521">
        <v>-0.29175299999999998</v>
      </c>
      <c r="W2521">
        <v>-8.3496409999999993E-2</v>
      </c>
      <c r="X2521">
        <v>0.95284239999999998</v>
      </c>
      <c r="Y2521">
        <v>-0.136157</v>
      </c>
      <c r="Z2521">
        <v>-4.4613769999999999E-3</v>
      </c>
      <c r="AA2521">
        <v>0.99067720000000004</v>
      </c>
      <c r="AB2521">
        <v>25</v>
      </c>
      <c r="AC2521">
        <v>-34.865799999999901</v>
      </c>
      <c r="AD2521">
        <v>-0.31984839999999998</v>
      </c>
      <c r="AE2521">
        <v>-19.819700000000001</v>
      </c>
      <c r="AF2521">
        <v>-5.4731864033308701</v>
      </c>
      <c r="AG2521">
        <v>-0.31984839999999998</v>
      </c>
      <c r="AH2521">
        <v>39.727624669054997</v>
      </c>
      <c r="AI2521">
        <v>90.456964208956705</v>
      </c>
      <c r="AJ2521">
        <v>97.844133582940302</v>
      </c>
      <c r="AK2521">
        <v>40.104142357740301</v>
      </c>
      <c r="AL2521">
        <v>94.789567882574701</v>
      </c>
      <c r="AM2521">
        <v>107.024184466737</v>
      </c>
      <c r="AN2521">
        <v>1.00000005136482</v>
      </c>
    </row>
    <row r="2522" spans="1:40" x14ac:dyDescent="0.25">
      <c r="A2522" t="str">
        <f>"20190305135242899"</f>
        <v>20190305135242899</v>
      </c>
      <c r="B2522" t="str">
        <f>"1551765162891860"</f>
        <v>1551765162891860</v>
      </c>
      <c r="C2522" t="s">
        <v>40</v>
      </c>
      <c r="D2522">
        <v>4.1227710000000002</v>
      </c>
      <c r="E2522">
        <v>0.4870524</v>
      </c>
      <c r="F2522" t="s">
        <v>55</v>
      </c>
      <c r="G2522">
        <v>-488.54430000000002</v>
      </c>
      <c r="H2522" s="1">
        <v>1.6177669999999999E-6</v>
      </c>
      <c r="I2522">
        <v>274.54739999999998</v>
      </c>
      <c r="J2522">
        <v>-478.101</v>
      </c>
      <c r="K2522">
        <v>1.1197330000000001</v>
      </c>
      <c r="L2522">
        <v>283.35759999999999</v>
      </c>
      <c r="M2522">
        <v>-0.9248902</v>
      </c>
      <c r="N2522">
        <v>-1.586885E-2</v>
      </c>
      <c r="O2522">
        <v>-0.37990289999999999</v>
      </c>
      <c r="P2522">
        <v>-0.76798520000000003</v>
      </c>
      <c r="Q2522">
        <v>-9.125192E-2</v>
      </c>
      <c r="R2522">
        <v>-0.63393379999999999</v>
      </c>
      <c r="S2522">
        <v>-2.2915649999999999</v>
      </c>
      <c r="T2522">
        <v>-0.2423874</v>
      </c>
      <c r="U2522">
        <v>-1.921997</v>
      </c>
      <c r="V2522">
        <v>-0.29256769999999999</v>
      </c>
      <c r="W2522">
        <v>-8.3602190000000007E-2</v>
      </c>
      <c r="X2522">
        <v>0.95258330000000002</v>
      </c>
      <c r="Y2522">
        <v>-0.3029444</v>
      </c>
      <c r="Z2522">
        <v>1.0825100000000001E-2</v>
      </c>
      <c r="AA2522">
        <v>0.95294670000000004</v>
      </c>
      <c r="AB2522">
        <v>25</v>
      </c>
      <c r="AC2522">
        <v>-10.443300000000001</v>
      </c>
      <c r="AD2522">
        <v>-1.1197313822329999</v>
      </c>
      <c r="AE2522">
        <v>-8.8102</v>
      </c>
      <c r="AF2522">
        <v>-4.1536575149993</v>
      </c>
      <c r="AG2522">
        <v>-1.1197313822329999</v>
      </c>
      <c r="AH2522">
        <v>12.9207859459123</v>
      </c>
      <c r="AI2522">
        <v>94.716389703614993</v>
      </c>
      <c r="AJ2522">
        <v>107.821090360529</v>
      </c>
      <c r="AK2522">
        <v>13.6181268381651</v>
      </c>
      <c r="AL2522">
        <v>94.795649832288504</v>
      </c>
      <c r="AM2522">
        <v>107.073336350657</v>
      </c>
      <c r="AN2522">
        <v>1.00000006434748</v>
      </c>
    </row>
    <row r="2523" spans="1:40" x14ac:dyDescent="0.25">
      <c r="A2523" t="str">
        <f>"20190305135242913"</f>
        <v>20190305135242913</v>
      </c>
      <c r="B2523" t="str">
        <f>"1551765162902597"</f>
        <v>1551765162902597</v>
      </c>
      <c r="C2523" t="s">
        <v>40</v>
      </c>
      <c r="D2523">
        <v>4.2298239999999998</v>
      </c>
      <c r="E2523">
        <v>0.48608170000000001</v>
      </c>
      <c r="F2523" t="s">
        <v>55</v>
      </c>
      <c r="G2523">
        <v>-489.02600000000001</v>
      </c>
      <c r="H2523" s="1">
        <v>1.350214E-6</v>
      </c>
      <c r="I2523">
        <v>273.66969999999998</v>
      </c>
      <c r="J2523">
        <v>-478.22930000000002</v>
      </c>
      <c r="K2523">
        <v>1.1198509999999999</v>
      </c>
      <c r="L2523">
        <v>283.29489999999998</v>
      </c>
      <c r="M2523">
        <v>-0.92143810000000004</v>
      </c>
      <c r="N2523">
        <v>-1.5857019999999999E-2</v>
      </c>
      <c r="O2523">
        <v>-0.38820139999999997</v>
      </c>
      <c r="P2523">
        <v>-0.76130609999999999</v>
      </c>
      <c r="Q2523">
        <v>-9.1832720000000007E-2</v>
      </c>
      <c r="R2523">
        <v>-0.64185680000000001</v>
      </c>
      <c r="S2523">
        <v>-2.239655</v>
      </c>
      <c r="T2523">
        <v>-0.22954949999999999</v>
      </c>
      <c r="U2523">
        <v>-1.9860530000000001</v>
      </c>
      <c r="V2523">
        <v>-0.29385460000000002</v>
      </c>
      <c r="W2523">
        <v>-8.4336770000000005E-2</v>
      </c>
      <c r="X2523">
        <v>0.95212229999999998</v>
      </c>
      <c r="Y2523">
        <v>-0.32054070000000001</v>
      </c>
      <c r="Z2523">
        <v>9.5502580000000007E-3</v>
      </c>
      <c r="AA2523">
        <v>0.94718659999999999</v>
      </c>
      <c r="AB2523">
        <v>25</v>
      </c>
      <c r="AC2523">
        <v>-10.7966999999999</v>
      </c>
      <c r="AD2523">
        <v>-1.119849649786</v>
      </c>
      <c r="AE2523">
        <v>-9.6251999999999995</v>
      </c>
      <c r="AF2523">
        <v>-4.6504446442668197</v>
      </c>
      <c r="AG2523">
        <v>-1.119849649786</v>
      </c>
      <c r="AH2523">
        <v>13.605176090051</v>
      </c>
      <c r="AI2523">
        <v>94.453560880429293</v>
      </c>
      <c r="AJ2523">
        <v>108.871165161305</v>
      </c>
      <c r="AK2523">
        <v>14.421564237932399</v>
      </c>
      <c r="AL2523">
        <v>94.837887425005505</v>
      </c>
      <c r="AM2523">
        <v>107.151855418141</v>
      </c>
      <c r="AN2523">
        <v>1.0000000454362401</v>
      </c>
    </row>
    <row r="2524" spans="1:40" x14ac:dyDescent="0.25">
      <c r="A2524" t="str">
        <f>"20190305135242924"</f>
        <v>20190305135242924</v>
      </c>
      <c r="B2524" t="str">
        <f>"1551765162912357"</f>
        <v>1551765162912357</v>
      </c>
      <c r="C2524" t="s">
        <v>40</v>
      </c>
      <c r="D2524">
        <v>4.0593320000000004</v>
      </c>
      <c r="E2524">
        <v>0.48465049999999998</v>
      </c>
      <c r="F2524" t="s">
        <v>55</v>
      </c>
      <c r="G2524">
        <v>-488.43450000000001</v>
      </c>
      <c r="H2524" s="1">
        <v>1.4178889999999999E-6</v>
      </c>
      <c r="I2524">
        <v>274.00959999999998</v>
      </c>
      <c r="J2524">
        <v>-478.34730000000002</v>
      </c>
      <c r="K2524">
        <v>1.1199669999999999</v>
      </c>
      <c r="L2524">
        <v>283.2364</v>
      </c>
      <c r="M2524">
        <v>-0.91815579999999997</v>
      </c>
      <c r="N2524">
        <v>-1.5849100000000001E-2</v>
      </c>
      <c r="O2524">
        <v>-0.39590239999999999</v>
      </c>
      <c r="P2524">
        <v>-0.75523809999999902</v>
      </c>
      <c r="Q2524">
        <v>-9.2333299999999993E-2</v>
      </c>
      <c r="R2524">
        <v>-0.64891430000000005</v>
      </c>
      <c r="S2524">
        <v>-2.2133790000000002</v>
      </c>
      <c r="T2524">
        <v>-0.24288180000000001</v>
      </c>
      <c r="U2524">
        <v>-2.0138850000000001</v>
      </c>
      <c r="V2524">
        <v>-0.29472749999999998</v>
      </c>
      <c r="W2524">
        <v>-8.4965379999999993E-2</v>
      </c>
      <c r="X2524">
        <v>0.95179650000000005</v>
      </c>
      <c r="Y2524">
        <v>-0.32470080000000001</v>
      </c>
      <c r="Z2524">
        <v>1.0962710000000001E-2</v>
      </c>
      <c r="AA2524">
        <v>0.94575319999999996</v>
      </c>
      <c r="AB2524">
        <v>25</v>
      </c>
      <c r="AC2524">
        <v>-10.0871999999999</v>
      </c>
      <c r="AD2524">
        <v>-1.1199655821109999</v>
      </c>
      <c r="AE2524">
        <v>-9.2268000000000203</v>
      </c>
      <c r="AF2524">
        <v>-4.4487967562075097</v>
      </c>
      <c r="AG2524">
        <v>-1.1199655821109999</v>
      </c>
      <c r="AH2524">
        <v>12.8300442537493</v>
      </c>
      <c r="AI2524">
        <v>94.714795722611598</v>
      </c>
      <c r="AJ2524">
        <v>109.12390455308299</v>
      </c>
      <c r="AK2524">
        <v>13.6255697508883</v>
      </c>
      <c r="AL2524">
        <v>94.874034106331905</v>
      </c>
      <c r="AM2524">
        <v>107.205343039608</v>
      </c>
      <c r="AN2524">
        <v>0.99999999623352198</v>
      </c>
    </row>
    <row r="2525" spans="1:40" x14ac:dyDescent="0.25">
      <c r="A2525" t="str">
        <f>"20190305135242936"</f>
        <v>20190305135242936</v>
      </c>
      <c r="B2525" t="str">
        <f>"1551765162931876"</f>
        <v>1551765162931876</v>
      </c>
      <c r="C2525" t="s">
        <v>40</v>
      </c>
      <c r="D2525">
        <v>3.9711910000000001</v>
      </c>
      <c r="E2525">
        <v>0.48429309999999998</v>
      </c>
      <c r="F2525" t="s">
        <v>55</v>
      </c>
      <c r="G2525">
        <v>-488.52080000000001</v>
      </c>
      <c r="H2525" s="1">
        <v>1.3268280000000001E-6</v>
      </c>
      <c r="I2525">
        <v>273.7303</v>
      </c>
      <c r="J2525">
        <v>-478.4615</v>
      </c>
      <c r="K2525">
        <v>1.120072</v>
      </c>
      <c r="L2525">
        <v>283.17759999999998</v>
      </c>
      <c r="M2525">
        <v>-0.91482370000000002</v>
      </c>
      <c r="N2525">
        <v>-1.5848950000000001E-2</v>
      </c>
      <c r="O2525">
        <v>-0.40354269999999998</v>
      </c>
      <c r="P2525">
        <v>-0.74934599999999996</v>
      </c>
      <c r="Q2525">
        <v>-9.242098E-2</v>
      </c>
      <c r="R2525">
        <v>-0.65569759999999999</v>
      </c>
      <c r="S2525">
        <v>-2.1870120000000002</v>
      </c>
      <c r="T2525">
        <v>-0.2407608</v>
      </c>
      <c r="U2525">
        <v>-2.0435490000000001</v>
      </c>
      <c r="V2525">
        <v>-0.29535020000000001</v>
      </c>
      <c r="W2525">
        <v>-8.5160920000000001E-2</v>
      </c>
      <c r="X2525">
        <v>0.95158589999999998</v>
      </c>
      <c r="Y2525">
        <v>-0.3293527</v>
      </c>
      <c r="Z2525">
        <v>1.1110200000000001E-2</v>
      </c>
      <c r="AA2525">
        <v>0.94414160000000003</v>
      </c>
      <c r="AB2525">
        <v>25</v>
      </c>
      <c r="AC2525">
        <v>-10.0593</v>
      </c>
      <c r="AD2525">
        <v>-1.120070673172</v>
      </c>
      <c r="AE2525">
        <v>-9.4472999999999807</v>
      </c>
      <c r="AF2525">
        <v>-4.5538328574797999</v>
      </c>
      <c r="AG2525">
        <v>-1.120070673172</v>
      </c>
      <c r="AH2525">
        <v>12.931320939100599</v>
      </c>
      <c r="AI2525">
        <v>94.670635259721394</v>
      </c>
      <c r="AJ2525">
        <v>109.399983833978</v>
      </c>
      <c r="AK2525">
        <v>13.755399421201201</v>
      </c>
      <c r="AL2525">
        <v>94.885278831349694</v>
      </c>
      <c r="AM2525">
        <v>107.24313107031099</v>
      </c>
      <c r="AN2525">
        <v>0.99999992400704496</v>
      </c>
    </row>
    <row r="2526" spans="1:40" x14ac:dyDescent="0.25">
      <c r="A2526" t="str">
        <f>"20190305135242949"</f>
        <v>20190305135242949</v>
      </c>
      <c r="B2526" t="str">
        <f>"1551765162942613"</f>
        <v>1551765162942613</v>
      </c>
      <c r="C2526" t="s">
        <v>40</v>
      </c>
      <c r="D2526">
        <v>3.9668890000000001</v>
      </c>
      <c r="E2526">
        <v>0.48454009999999997</v>
      </c>
      <c r="F2526" t="s">
        <v>55</v>
      </c>
      <c r="G2526">
        <v>-488.76749999999998</v>
      </c>
      <c r="H2526" s="1">
        <v>1.2157620000000001E-6</v>
      </c>
      <c r="I2526">
        <v>273.35419999999999</v>
      </c>
      <c r="J2526">
        <v>-478.58600000000001</v>
      </c>
      <c r="K2526">
        <v>1.120185</v>
      </c>
      <c r="L2526">
        <v>283.11259999999999</v>
      </c>
      <c r="M2526">
        <v>-0.91107519999999997</v>
      </c>
      <c r="N2526">
        <v>-1.5850110000000001E-2</v>
      </c>
      <c r="O2526">
        <v>-0.41193560000000001</v>
      </c>
      <c r="P2526">
        <v>-0.7428901</v>
      </c>
      <c r="Q2526">
        <v>-9.2851000000000003E-2</v>
      </c>
      <c r="R2526">
        <v>-0.6629429</v>
      </c>
      <c r="S2526">
        <v>-2.1670229999999999</v>
      </c>
      <c r="T2526">
        <v>-0.23551449999999999</v>
      </c>
      <c r="U2526">
        <v>-2.0655519999999998</v>
      </c>
      <c r="V2526">
        <v>-0.29582520000000001</v>
      </c>
      <c r="W2526">
        <v>-8.5701559999999996E-2</v>
      </c>
      <c r="X2526">
        <v>0.95138990000000001</v>
      </c>
      <c r="Y2526">
        <v>-0.33006609999999997</v>
      </c>
      <c r="Z2526">
        <v>1.1224919999999999E-2</v>
      </c>
      <c r="AA2526">
        <v>0.94389109999999998</v>
      </c>
      <c r="AB2526">
        <v>25</v>
      </c>
      <c r="AC2526">
        <v>-10.1814999999999</v>
      </c>
      <c r="AD2526">
        <v>-1.120183784238</v>
      </c>
      <c r="AE2526">
        <v>-9.7583999999999893</v>
      </c>
      <c r="AF2526">
        <v>-4.6676548597485397</v>
      </c>
      <c r="AG2526">
        <v>-1.120183784238</v>
      </c>
      <c r="AH2526">
        <v>13.214243809430901</v>
      </c>
      <c r="AI2526">
        <v>94.569989928854199</v>
      </c>
      <c r="AJ2526">
        <v>109.454700699648</v>
      </c>
      <c r="AK2526">
        <v>14.0590914733238</v>
      </c>
      <c r="AL2526">
        <v>94.916368394239498</v>
      </c>
      <c r="AM2526">
        <v>107.27256052233299</v>
      </c>
      <c r="AN2526">
        <v>1.0000000240817399</v>
      </c>
    </row>
    <row r="2527" spans="1:40" x14ac:dyDescent="0.25">
      <c r="A2527" t="str">
        <f>"20190305135242960"</f>
        <v>20190305135242960</v>
      </c>
      <c r="B2527" t="str">
        <f>"1551765162952373"</f>
        <v>1551765162952373</v>
      </c>
      <c r="C2527" t="s">
        <v>40</v>
      </c>
      <c r="D2527">
        <v>3.9372609999999999</v>
      </c>
      <c r="E2527">
        <v>0.4847766</v>
      </c>
      <c r="F2527" t="s">
        <v>55</v>
      </c>
      <c r="G2527">
        <v>-488.90159999999997</v>
      </c>
      <c r="H2527" s="1">
        <v>1.1366470000000001E-6</v>
      </c>
      <c r="I2527">
        <v>273.0967</v>
      </c>
      <c r="J2527">
        <v>-478.69970000000001</v>
      </c>
      <c r="K2527">
        <v>1.120293</v>
      </c>
      <c r="L2527">
        <v>283.05169999999998</v>
      </c>
      <c r="M2527">
        <v>-0.9075107</v>
      </c>
      <c r="N2527">
        <v>-1.585638E-2</v>
      </c>
      <c r="O2527">
        <v>-0.41972959999999898</v>
      </c>
      <c r="P2527">
        <v>-0.73661180000000004</v>
      </c>
      <c r="Q2527">
        <v>-9.3746540000000003E-2</v>
      </c>
      <c r="R2527">
        <v>-0.66978719999999903</v>
      </c>
      <c r="S2527">
        <v>-2.14798</v>
      </c>
      <c r="T2527">
        <v>-0.23325170000000001</v>
      </c>
      <c r="U2527">
        <v>-2.0855709999999998</v>
      </c>
      <c r="V2527">
        <v>-0.29646889999999998</v>
      </c>
      <c r="W2527">
        <v>-8.6700559999999996E-2</v>
      </c>
      <c r="X2527">
        <v>0.95109889999999997</v>
      </c>
      <c r="Y2527">
        <v>-0.33069999999999999</v>
      </c>
      <c r="Z2527">
        <v>1.153677E-2</v>
      </c>
      <c r="AA2527">
        <v>0.94366539999999999</v>
      </c>
      <c r="AB2527">
        <v>25</v>
      </c>
      <c r="AC2527">
        <v>-10.201899999999901</v>
      </c>
      <c r="AD2527">
        <v>-1.1202918633529999</v>
      </c>
      <c r="AE2527">
        <v>-9.9549999999999805</v>
      </c>
      <c r="AF2527">
        <v>-4.7236489398366297</v>
      </c>
      <c r="AG2527">
        <v>-1.1202918633529999</v>
      </c>
      <c r="AH2527">
        <v>13.355930855612099</v>
      </c>
      <c r="AI2527">
        <v>94.5215156444538</v>
      </c>
      <c r="AJ2527">
        <v>109.47737614458499</v>
      </c>
      <c r="AK2527">
        <v>14.210869156593001</v>
      </c>
      <c r="AL2527">
        <v>94.973821066463699</v>
      </c>
      <c r="AM2527">
        <v>107.312880947219</v>
      </c>
      <c r="AN2527">
        <v>0.99999995667636499</v>
      </c>
    </row>
    <row r="2528" spans="1:40" x14ac:dyDescent="0.25">
      <c r="A2528" t="str">
        <f>"20190305135242971"</f>
        <v>20190305135242971</v>
      </c>
      <c r="B2528" t="str">
        <f>"1551765162962133"</f>
        <v>1551765162962133</v>
      </c>
      <c r="C2528" t="s">
        <v>40</v>
      </c>
      <c r="D2528">
        <v>4.0757589999999997</v>
      </c>
      <c r="E2528">
        <v>0.48588160000000002</v>
      </c>
      <c r="F2528" t="s">
        <v>55</v>
      </c>
      <c r="G2528">
        <v>-488.91800000000001</v>
      </c>
      <c r="H2528" s="1">
        <v>1.0887080000000001E-6</v>
      </c>
      <c r="I2528">
        <v>272.95699999999999</v>
      </c>
      <c r="J2528">
        <v>-478.80549999999999</v>
      </c>
      <c r="K2528">
        <v>1.120393</v>
      </c>
      <c r="L2528">
        <v>282.99369999999999</v>
      </c>
      <c r="M2528">
        <v>-0.90407559999999998</v>
      </c>
      <c r="N2528">
        <v>-1.5866040000000001E-2</v>
      </c>
      <c r="O2528">
        <v>-0.42707790000000001</v>
      </c>
      <c r="P2528">
        <v>-0.73057930000000004</v>
      </c>
      <c r="Q2528">
        <v>-9.4167230000000005E-2</v>
      </c>
      <c r="R2528">
        <v>-0.67630330000000005</v>
      </c>
      <c r="S2528">
        <v>-2.129791</v>
      </c>
      <c r="T2528">
        <v>-0.23350199999999999</v>
      </c>
      <c r="U2528">
        <v>-2.104034</v>
      </c>
      <c r="V2528">
        <v>-0.29718830000000002</v>
      </c>
      <c r="W2528">
        <v>-8.7215500000000001E-2</v>
      </c>
      <c r="X2528">
        <v>0.95082730000000004</v>
      </c>
      <c r="Y2528">
        <v>-0.33122390000000002</v>
      </c>
      <c r="Z2528">
        <v>1.204004E-2</v>
      </c>
      <c r="AA2528">
        <v>0.94347539999999996</v>
      </c>
      <c r="AB2528">
        <v>25</v>
      </c>
      <c r="AC2528">
        <v>-10.112500000000001</v>
      </c>
      <c r="AD2528">
        <v>-1.120391911292</v>
      </c>
      <c r="AE2528">
        <v>-10.0366999999999</v>
      </c>
      <c r="AF2528">
        <v>-4.7264819076238496</v>
      </c>
      <c r="AG2528">
        <v>-1.120391911292</v>
      </c>
      <c r="AH2528">
        <v>13.348067728982899</v>
      </c>
      <c r="AI2528">
        <v>94.523974543216696</v>
      </c>
      <c r="AJ2528">
        <v>109.498791735807</v>
      </c>
      <c r="AK2528">
        <v>14.2044296385141</v>
      </c>
      <c r="AL2528">
        <v>95.003436967208799</v>
      </c>
      <c r="AM2528">
        <v>107.357031268721</v>
      </c>
      <c r="AN2528">
        <v>0.99999999176121501</v>
      </c>
    </row>
    <row r="2529" spans="1:40" x14ac:dyDescent="0.25">
      <c r="A2529" t="str">
        <f>"20190305135242991"</f>
        <v>20190305135242991</v>
      </c>
      <c r="B2529" t="str">
        <f>"1551765162982632"</f>
        <v>1551765162982632</v>
      </c>
      <c r="C2529" t="s">
        <v>40</v>
      </c>
      <c r="D2529">
        <v>3.914774</v>
      </c>
      <c r="E2529">
        <v>0.48652129999999999</v>
      </c>
      <c r="F2529" t="s">
        <v>55</v>
      </c>
      <c r="G2529">
        <v>-488.8322</v>
      </c>
      <c r="H2529" s="1">
        <v>1.0858480000000001E-6</v>
      </c>
      <c r="I2529">
        <v>272.97050000000002</v>
      </c>
      <c r="J2529">
        <v>-478.99</v>
      </c>
      <c r="K2529">
        <v>1.120566</v>
      </c>
      <c r="L2529">
        <v>282.88979999999998</v>
      </c>
      <c r="M2529">
        <v>-0.89781169999999999</v>
      </c>
      <c r="N2529">
        <v>-1.5889859999999999E-2</v>
      </c>
      <c r="O2529">
        <v>-0.44009300000000001</v>
      </c>
      <c r="P2529">
        <v>-0.71997230000000001</v>
      </c>
      <c r="Q2529">
        <v>-9.3929819999999997E-2</v>
      </c>
      <c r="R2529">
        <v>-0.68761709999999998</v>
      </c>
      <c r="S2529">
        <v>-2.1169129999999998</v>
      </c>
      <c r="T2529">
        <v>-0.236544</v>
      </c>
      <c r="U2529">
        <v>-2.1161799999999999</v>
      </c>
      <c r="V2529">
        <v>-0.29823650000000002</v>
      </c>
      <c r="W2529">
        <v>-8.7124430000000003E-2</v>
      </c>
      <c r="X2529">
        <v>0.9505074</v>
      </c>
      <c r="Y2529">
        <v>-0.32320549999999998</v>
      </c>
      <c r="Z2529">
        <v>1.3598910000000001E-2</v>
      </c>
      <c r="AA2529">
        <v>0.94623109999999999</v>
      </c>
      <c r="AB2529">
        <v>25</v>
      </c>
      <c r="AC2529">
        <v>-9.8421999999999894</v>
      </c>
      <c r="AD2529">
        <v>-1.120564914152</v>
      </c>
      <c r="AE2529">
        <v>-9.9192999999999607</v>
      </c>
      <c r="AF2529">
        <v>-4.5455265447994</v>
      </c>
      <c r="AG2529">
        <v>-1.120564914152</v>
      </c>
      <c r="AH2529">
        <v>13.119157314812099</v>
      </c>
      <c r="AI2529">
        <v>94.614185093075704</v>
      </c>
      <c r="AJ2529">
        <v>109.110181578279</v>
      </c>
      <c r="AK2529">
        <v>13.9294567714284</v>
      </c>
      <c r="AL2529">
        <v>94.998199076874201</v>
      </c>
      <c r="AM2529">
        <v>107.420061615089</v>
      </c>
      <c r="AN2529">
        <v>0.99999999684491703</v>
      </c>
    </row>
    <row r="2530" spans="1:40" x14ac:dyDescent="0.25">
      <c r="A2530" t="str">
        <f>"20190305135243002"</f>
        <v>20190305135243002</v>
      </c>
      <c r="B2530" t="str">
        <f>"1551765162992388"</f>
        <v>1551765162992388</v>
      </c>
      <c r="C2530" t="s">
        <v>40</v>
      </c>
      <c r="D2530">
        <v>4.1022400000000001</v>
      </c>
      <c r="E2530">
        <v>0.4874098</v>
      </c>
      <c r="F2530" t="s">
        <v>55</v>
      </c>
      <c r="G2530">
        <v>-489.25920000000002</v>
      </c>
      <c r="H2530" s="1">
        <v>8.9767809999999997E-7</v>
      </c>
      <c r="I2530">
        <v>272.33100000000002</v>
      </c>
      <c r="J2530">
        <v>-479.10300000000001</v>
      </c>
      <c r="K2530">
        <v>1.1206780000000001</v>
      </c>
      <c r="L2530">
        <v>282.8245</v>
      </c>
      <c r="M2530">
        <v>-0.89380409999999899</v>
      </c>
      <c r="N2530">
        <v>-1.5907749999999998E-2</v>
      </c>
      <c r="O2530">
        <v>-0.44817560000000001</v>
      </c>
      <c r="P2530">
        <v>-0.71355239999999998</v>
      </c>
      <c r="Q2530">
        <v>-9.3300060000000004E-2</v>
      </c>
      <c r="R2530">
        <v>-0.69436200000000003</v>
      </c>
      <c r="S2530">
        <v>-2.0873409999999999</v>
      </c>
      <c r="T2530">
        <v>-0.22776959999999999</v>
      </c>
      <c r="U2530">
        <v>-2.14621</v>
      </c>
      <c r="V2530">
        <v>-0.29856199999999999</v>
      </c>
      <c r="W2530">
        <v>-8.6568149999999996E-2</v>
      </c>
      <c r="X2530">
        <v>0.95045610000000003</v>
      </c>
      <c r="Y2530">
        <v>-0.32798509999999997</v>
      </c>
      <c r="Z2530">
        <v>1.3067809999999999E-2</v>
      </c>
      <c r="AA2530">
        <v>0.94459249999999995</v>
      </c>
      <c r="AB2530">
        <v>25</v>
      </c>
      <c r="AC2530">
        <v>-10.1562</v>
      </c>
      <c r="AD2530">
        <v>-1.12067710232189</v>
      </c>
      <c r="AE2530">
        <v>-10.493499999999999</v>
      </c>
      <c r="AF2530">
        <v>-4.79971681245034</v>
      </c>
      <c r="AG2530">
        <v>-1.12067710232189</v>
      </c>
      <c r="AH2530">
        <v>13.701636417621501</v>
      </c>
      <c r="AI2530">
        <v>94.414038972633506</v>
      </c>
      <c r="AJ2530">
        <v>109.305482745305</v>
      </c>
      <c r="AK2530">
        <v>14.5611826157108</v>
      </c>
      <c r="AL2530">
        <v>94.966205409596895</v>
      </c>
      <c r="AM2530">
        <v>107.438806342821</v>
      </c>
      <c r="AN2530">
        <v>1.0000000552328101</v>
      </c>
    </row>
    <row r="2531" spans="1:40" x14ac:dyDescent="0.25">
      <c r="A2531" t="str">
        <f>"20190305135243013"</f>
        <v>20190305135243013</v>
      </c>
      <c r="B2531" t="str">
        <f>"1551765163002149"</f>
        <v>1551765163002149</v>
      </c>
      <c r="C2531" t="s">
        <v>40</v>
      </c>
      <c r="D2531">
        <v>3.9864380000000001</v>
      </c>
      <c r="E2531">
        <v>0.48793819999999999</v>
      </c>
      <c r="F2531" t="s">
        <v>55</v>
      </c>
      <c r="G2531">
        <v>-489.25900000000001</v>
      </c>
      <c r="H2531" s="1">
        <v>8.6434659999999998E-7</v>
      </c>
      <c r="I2531">
        <v>272.23680000000002</v>
      </c>
      <c r="J2531">
        <v>-479.20659999999998</v>
      </c>
      <c r="K2531">
        <v>1.120773</v>
      </c>
      <c r="L2531">
        <v>282.7627</v>
      </c>
      <c r="M2531">
        <v>-0.88997839999999995</v>
      </c>
      <c r="N2531">
        <v>-1.5927420000000001E-2</v>
      </c>
      <c r="O2531">
        <v>-0.45572469999999998</v>
      </c>
      <c r="P2531">
        <v>-0.70763520000000002</v>
      </c>
      <c r="Q2531">
        <v>-9.2588530000000002E-2</v>
      </c>
      <c r="R2531">
        <v>-0.70048549999999998</v>
      </c>
      <c r="S2531">
        <v>-2.0722049999999999</v>
      </c>
      <c r="T2531">
        <v>-0.22865949999999999</v>
      </c>
      <c r="U2531">
        <v>-2.1602779999999999</v>
      </c>
      <c r="V2531">
        <v>-0.29866549999999997</v>
      </c>
      <c r="W2531">
        <v>-8.591095E-2</v>
      </c>
      <c r="X2531">
        <v>0.95048310000000003</v>
      </c>
      <c r="Y2531">
        <v>-0.32652399999999998</v>
      </c>
      <c r="Z2531">
        <v>1.372725E-2</v>
      </c>
      <c r="AA2531">
        <v>0.94508919999999996</v>
      </c>
      <c r="AB2531">
        <v>25</v>
      </c>
      <c r="AC2531">
        <v>-10.0524</v>
      </c>
      <c r="AD2531">
        <v>-1.1207721356533999</v>
      </c>
      <c r="AE2531">
        <v>-10.525899999999901</v>
      </c>
      <c r="AF2531">
        <v>-4.7590845217441702</v>
      </c>
      <c r="AG2531">
        <v>-1.1207721356533999</v>
      </c>
      <c r="AH2531">
        <v>13.664052836681501</v>
      </c>
      <c r="AI2531">
        <v>94.429265532565793</v>
      </c>
      <c r="AJ2531">
        <v>109.20283419265699</v>
      </c>
      <c r="AK2531">
        <v>14.512455188174901</v>
      </c>
      <c r="AL2531">
        <v>94.928410345334399</v>
      </c>
      <c r="AM2531">
        <v>107.444019556405</v>
      </c>
      <c r="AN2531">
        <v>0.99999994780287904</v>
      </c>
    </row>
    <row r="2532" spans="1:40" x14ac:dyDescent="0.25">
      <c r="A2532" t="str">
        <f>"20190305135243025"</f>
        <v>20190305135243025</v>
      </c>
      <c r="B2532" t="str">
        <f>"1551765163011909"</f>
        <v>1551765163011909</v>
      </c>
      <c r="C2532" t="s">
        <v>40</v>
      </c>
      <c r="D2532">
        <v>3.9402430000000002</v>
      </c>
      <c r="E2532">
        <v>0.48803350000000001</v>
      </c>
      <c r="F2532" t="s">
        <v>55</v>
      </c>
      <c r="G2532">
        <v>-489.34010000000001</v>
      </c>
      <c r="H2532" s="1">
        <v>8.0402059999999897E-7</v>
      </c>
      <c r="I2532">
        <v>272.04579999999999</v>
      </c>
      <c r="J2532">
        <v>-479.31349999999998</v>
      </c>
      <c r="K2532">
        <v>1.12087</v>
      </c>
      <c r="L2532">
        <v>282.69839999999999</v>
      </c>
      <c r="M2532">
        <v>-0.88594280000000003</v>
      </c>
      <c r="N2532">
        <v>-1.5947240000000001E-2</v>
      </c>
      <c r="O2532">
        <v>-0.4635203</v>
      </c>
      <c r="P2532">
        <v>-0.70147649999999995</v>
      </c>
      <c r="Q2532">
        <v>-9.2053850000000007E-2</v>
      </c>
      <c r="R2532">
        <v>-0.70672270000000004</v>
      </c>
      <c r="S2532">
        <v>-2.0566409999999999</v>
      </c>
      <c r="T2532">
        <v>-0.2274668</v>
      </c>
      <c r="U2532">
        <v>-2.175049</v>
      </c>
      <c r="V2532">
        <v>-0.29869839999999998</v>
      </c>
      <c r="W2532">
        <v>-8.5429649999999996E-2</v>
      </c>
      <c r="X2532">
        <v>0.95051620000000003</v>
      </c>
      <c r="Y2532">
        <v>-0.3250169</v>
      </c>
      <c r="Z2532">
        <v>1.4189999999999999E-2</v>
      </c>
      <c r="AA2532">
        <v>0.94560169999999999</v>
      </c>
      <c r="AB2532">
        <v>25</v>
      </c>
      <c r="AC2532">
        <v>-10.0266</v>
      </c>
      <c r="AD2532">
        <v>-1.1208691959793999</v>
      </c>
      <c r="AE2532">
        <v>-10.6526</v>
      </c>
      <c r="AF2532">
        <v>-4.7627113070625802</v>
      </c>
      <c r="AG2532">
        <v>-1.1208691959793999</v>
      </c>
      <c r="AH2532">
        <v>13.741776960538999</v>
      </c>
      <c r="AI2532">
        <v>94.4070132393894</v>
      </c>
      <c r="AJ2532">
        <v>109.115614356769</v>
      </c>
      <c r="AK2532">
        <v>14.5868502694076</v>
      </c>
      <c r="AL2532">
        <v>94.900731856624603</v>
      </c>
      <c r="AM2532">
        <v>107.445253889829</v>
      </c>
      <c r="AN2532">
        <v>1.0000000028620599</v>
      </c>
    </row>
    <row r="2533" spans="1:40" x14ac:dyDescent="0.25">
      <c r="A2533" t="str">
        <f>"20190305135243039"</f>
        <v>20190305135243039</v>
      </c>
      <c r="B2533" t="str">
        <f>"1551765163032405"</f>
        <v>1551765163032405</v>
      </c>
      <c r="C2533" t="s">
        <v>40</v>
      </c>
      <c r="D2533">
        <v>3.9790779999999999</v>
      </c>
      <c r="E2533">
        <v>0.48865969999999997</v>
      </c>
      <c r="F2533" t="s">
        <v>55</v>
      </c>
      <c r="G2533">
        <v>-489.50689999999997</v>
      </c>
      <c r="H2533" s="1">
        <v>7.0844619999999995E-7</v>
      </c>
      <c r="I2533">
        <v>271.73360000000002</v>
      </c>
      <c r="J2533">
        <v>-479.4348</v>
      </c>
      <c r="K2533">
        <v>1.120976</v>
      </c>
      <c r="L2533">
        <v>282.62270000000001</v>
      </c>
      <c r="M2533">
        <v>-0.88114939999999997</v>
      </c>
      <c r="N2533">
        <v>-1.5974519999999999E-2</v>
      </c>
      <c r="O2533">
        <v>-0.47256819999999999</v>
      </c>
      <c r="P2533">
        <v>-0.69445440000000003</v>
      </c>
      <c r="Q2533">
        <v>-9.1412160000000006E-2</v>
      </c>
      <c r="R2533">
        <v>-0.71370669999999903</v>
      </c>
      <c r="S2533">
        <v>-2.0383300000000002</v>
      </c>
      <c r="T2533">
        <v>-0.2241359</v>
      </c>
      <c r="U2533">
        <v>-2.192596</v>
      </c>
      <c r="V2533">
        <v>-0.29843259999999899</v>
      </c>
      <c r="W2533">
        <v>-8.4831459999999997E-2</v>
      </c>
      <c r="X2533">
        <v>0.95065330000000003</v>
      </c>
      <c r="Y2533">
        <v>-0.32336140000000002</v>
      </c>
      <c r="Z2533">
        <v>1.4497899999999999E-2</v>
      </c>
      <c r="AA2533">
        <v>0.94616449999999996</v>
      </c>
      <c r="AB2533">
        <v>25</v>
      </c>
      <c r="AC2533">
        <v>-10.072099999999899</v>
      </c>
      <c r="AD2533">
        <v>-1.1209752915538</v>
      </c>
      <c r="AE2533">
        <v>-10.8890999999999</v>
      </c>
      <c r="AF2533">
        <v>-4.8083249374561303</v>
      </c>
      <c r="AG2533">
        <v>-1.1209752915538</v>
      </c>
      <c r="AH2533">
        <v>13.9430235067694</v>
      </c>
      <c r="AI2533">
        <v>94.346373296045996</v>
      </c>
      <c r="AJ2533">
        <v>109.027022899079</v>
      </c>
      <c r="AK2533">
        <v>14.791365008638</v>
      </c>
      <c r="AL2533">
        <v>94.866333014181095</v>
      </c>
      <c r="AM2533">
        <v>107.428309116883</v>
      </c>
      <c r="AN2533">
        <v>1.00000004507468</v>
      </c>
    </row>
    <row r="2534" spans="1:40" x14ac:dyDescent="0.25">
      <c r="A2534" t="str">
        <f>"20190305135243051"</f>
        <v>20190305135243051</v>
      </c>
      <c r="B2534" t="str">
        <f>"1551765163042165"</f>
        <v>1551765163042165</v>
      </c>
      <c r="C2534" t="s">
        <v>40</v>
      </c>
      <c r="D2534">
        <v>3.9029020000000001</v>
      </c>
      <c r="E2534">
        <v>0.4888132</v>
      </c>
      <c r="F2534" t="s">
        <v>55</v>
      </c>
      <c r="G2534">
        <v>-489.6327</v>
      </c>
      <c r="H2534" s="1">
        <v>6.2568769999999995E-7</v>
      </c>
      <c r="I2534">
        <v>271.46789999999999</v>
      </c>
      <c r="J2534">
        <v>-479.55540000000002</v>
      </c>
      <c r="K2534">
        <v>1.1210789999999999</v>
      </c>
      <c r="L2534">
        <v>282.54629999999997</v>
      </c>
      <c r="M2534">
        <v>-0.87623019999999996</v>
      </c>
      <c r="N2534">
        <v>-1.60027999999999E-2</v>
      </c>
      <c r="O2534">
        <v>-0.48162719999999998</v>
      </c>
      <c r="P2534">
        <v>-0.68698490000000001</v>
      </c>
      <c r="Q2534">
        <v>-9.0823360000000006E-2</v>
      </c>
      <c r="R2534">
        <v>-0.720974</v>
      </c>
      <c r="S2534">
        <v>-2.0199280000000002</v>
      </c>
      <c r="T2534">
        <v>-0.22203429999999999</v>
      </c>
      <c r="U2534">
        <v>-2.209473</v>
      </c>
      <c r="V2534">
        <v>-0.29859210000000003</v>
      </c>
      <c r="W2534">
        <v>-8.4298579999999998E-2</v>
      </c>
      <c r="X2534">
        <v>0.95065060000000001</v>
      </c>
      <c r="Y2534">
        <v>-0.32151459999999998</v>
      </c>
      <c r="Z2534">
        <v>1.49315E-2</v>
      </c>
      <c r="AA2534">
        <v>0.94678689999999999</v>
      </c>
      <c r="AB2534">
        <v>25</v>
      </c>
      <c r="AC2534">
        <v>-10.0772999999999</v>
      </c>
      <c r="AD2534">
        <v>-1.1210783743123001</v>
      </c>
      <c r="AE2534">
        <v>-11.078399999999901</v>
      </c>
      <c r="AF2534">
        <v>-4.8272971831378202</v>
      </c>
      <c r="AG2534">
        <v>-1.1210783743123001</v>
      </c>
      <c r="AH2534">
        <v>14.0885578417756</v>
      </c>
      <c r="AI2534">
        <v>94.304959224647803</v>
      </c>
      <c r="AJ2534">
        <v>108.91348812551399</v>
      </c>
      <c r="AK2534">
        <v>14.934760690307</v>
      </c>
      <c r="AL2534">
        <v>94.835691563746195</v>
      </c>
      <c r="AM2534">
        <v>107.43710590527</v>
      </c>
      <c r="AN2534">
        <v>1.0000000280263901</v>
      </c>
    </row>
    <row r="2535" spans="1:40" x14ac:dyDescent="0.25">
      <c r="A2535" t="str">
        <f>"20190305135243066"</f>
        <v>20190305135243066</v>
      </c>
      <c r="B2535" t="str">
        <f>"1551765163061684"</f>
        <v>1551765163061684</v>
      </c>
      <c r="C2535" t="s">
        <v>40</v>
      </c>
      <c r="D2535">
        <v>3.8797809999999999</v>
      </c>
      <c r="E2535">
        <v>0.4890622</v>
      </c>
      <c r="F2535" t="s">
        <v>55</v>
      </c>
      <c r="G2535">
        <v>-489.77879999999999</v>
      </c>
      <c r="H2535" s="1">
        <v>5.2162079999999997E-7</v>
      </c>
      <c r="I2535">
        <v>271.13679999999999</v>
      </c>
      <c r="J2535">
        <v>-479.68329999999997</v>
      </c>
      <c r="K2535">
        <v>1.1211880000000001</v>
      </c>
      <c r="L2535">
        <v>282.46339999999998</v>
      </c>
      <c r="M2535">
        <v>-0.87082399999999904</v>
      </c>
      <c r="N2535">
        <v>-1.6034610000000001E-2</v>
      </c>
      <c r="O2535">
        <v>-0.49133359999999898</v>
      </c>
      <c r="P2535">
        <v>-0.67904189999999998</v>
      </c>
      <c r="Q2535">
        <v>-9.0461250000000007E-2</v>
      </c>
      <c r="R2535">
        <v>-0.72850470000000001</v>
      </c>
      <c r="S2535">
        <v>-1.997925</v>
      </c>
      <c r="T2535">
        <v>-0.21908830000000001</v>
      </c>
      <c r="U2535">
        <v>-2.2297060000000002</v>
      </c>
      <c r="V2535">
        <v>-0.2984755</v>
      </c>
      <c r="W2535">
        <v>-8.3984459999999997E-2</v>
      </c>
      <c r="X2535">
        <v>0.95071499999999998</v>
      </c>
      <c r="Y2535">
        <v>-0.32046170000000002</v>
      </c>
      <c r="Z2535">
        <v>1.525688E-2</v>
      </c>
      <c r="AA2535">
        <v>0.94713860000000005</v>
      </c>
      <c r="AB2535">
        <v>25</v>
      </c>
      <c r="AC2535">
        <v>-10.095499999999999</v>
      </c>
      <c r="AD2535">
        <v>-1.12118747837919</v>
      </c>
      <c r="AE2535">
        <v>-11.3265999999999</v>
      </c>
      <c r="AF2535">
        <v>-4.8772146784607298</v>
      </c>
      <c r="AG2535">
        <v>-1.12118747837919</v>
      </c>
      <c r="AH2535">
        <v>14.2804091542964</v>
      </c>
      <c r="AI2535">
        <v>94.249184749934898</v>
      </c>
      <c r="AJ2535">
        <v>108.856670739688</v>
      </c>
      <c r="AK2535">
        <v>15.1318990875428</v>
      </c>
      <c r="AL2535">
        <v>94.817629838771893</v>
      </c>
      <c r="AM2535">
        <v>107.429600005656</v>
      </c>
      <c r="AN2535">
        <v>1.0000000124233701</v>
      </c>
    </row>
    <row r="2536" spans="1:40" x14ac:dyDescent="0.25">
      <c r="A2536" t="str">
        <f>"20190305135243079"</f>
        <v>20190305135243079</v>
      </c>
      <c r="B2536" t="str">
        <f>"1551765163072421"</f>
        <v>1551765163072421</v>
      </c>
      <c r="C2536" t="s">
        <v>40</v>
      </c>
      <c r="D2536">
        <v>3.8978139999999999</v>
      </c>
      <c r="E2536">
        <v>0.48921219999999999</v>
      </c>
      <c r="F2536" t="s">
        <v>55</v>
      </c>
      <c r="G2536">
        <v>-489.99959999999999</v>
      </c>
      <c r="H2536" s="1">
        <v>3.8533350000000001E-7</v>
      </c>
      <c r="I2536">
        <v>270.70639999999997</v>
      </c>
      <c r="J2536">
        <v>-479.81689999999998</v>
      </c>
      <c r="K2536">
        <v>1.1212949999999999</v>
      </c>
      <c r="L2536">
        <v>282.37360000000001</v>
      </c>
      <c r="M2536">
        <v>-0.86490460000000002</v>
      </c>
      <c r="N2536">
        <v>-1.6073779999999999E-2</v>
      </c>
      <c r="O2536">
        <v>-0.50167890000000004</v>
      </c>
      <c r="P2536">
        <v>-0.67035999999999996</v>
      </c>
      <c r="Q2536">
        <v>-8.9847930000000006E-2</v>
      </c>
      <c r="R2536">
        <v>-0.73657659999999903</v>
      </c>
      <c r="S2536">
        <v>-1.9748540000000001</v>
      </c>
      <c r="T2536">
        <v>-0.21462909999999999</v>
      </c>
      <c r="U2536">
        <v>-2.2506409999999999</v>
      </c>
      <c r="V2536">
        <v>-0.29847109999999999</v>
      </c>
      <c r="W2536">
        <v>-8.3415900000000001E-2</v>
      </c>
      <c r="X2536">
        <v>0.95076640000000001</v>
      </c>
      <c r="Y2536">
        <v>-0.31903989999999999</v>
      </c>
      <c r="Z2536">
        <v>1.543076E-2</v>
      </c>
      <c r="AA2536">
        <v>0.94761569999999995</v>
      </c>
      <c r="AB2536">
        <v>25</v>
      </c>
      <c r="AC2536">
        <v>-10.182700000000001</v>
      </c>
      <c r="AD2536">
        <v>-1.1212946146664999</v>
      </c>
      <c r="AE2536">
        <v>-11.667199999999999</v>
      </c>
      <c r="AF2536">
        <v>-4.9572227148805599</v>
      </c>
      <c r="AG2536">
        <v>-1.1212946146664999</v>
      </c>
      <c r="AH2536">
        <v>14.585674930835401</v>
      </c>
      <c r="AI2536">
        <v>94.163069643822098</v>
      </c>
      <c r="AJ2536">
        <v>108.77131891387999</v>
      </c>
      <c r="AK2536">
        <v>15.4458172929052</v>
      </c>
      <c r="AL2536">
        <v>94.784939199798202</v>
      </c>
      <c r="AM2536">
        <v>107.428473425173</v>
      </c>
      <c r="AN2536">
        <v>0.999999978638489</v>
      </c>
    </row>
    <row r="2537" spans="1:40" x14ac:dyDescent="0.25">
      <c r="A2537" t="str">
        <f>"20190305135243091"</f>
        <v>20190305135243091</v>
      </c>
      <c r="B2537" t="str">
        <f>"1551765163082181"</f>
        <v>1551765163082181</v>
      </c>
      <c r="C2537" t="s">
        <v>40</v>
      </c>
      <c r="D2537">
        <v>3.865542</v>
      </c>
      <c r="E2537">
        <v>0.48934080000000002</v>
      </c>
      <c r="F2537" t="s">
        <v>55</v>
      </c>
      <c r="G2537">
        <v>-490.16660000000002</v>
      </c>
      <c r="H2537" s="1">
        <v>2.414193E-7</v>
      </c>
      <c r="I2537">
        <v>270.29930000000002</v>
      </c>
      <c r="J2537">
        <v>-479.91759999999999</v>
      </c>
      <c r="K2537">
        <v>1.121378</v>
      </c>
      <c r="L2537">
        <v>282.30450000000002</v>
      </c>
      <c r="M2537">
        <v>-0.86029429999999996</v>
      </c>
      <c r="N2537">
        <v>-1.6104029999999998E-2</v>
      </c>
      <c r="O2537">
        <v>-0.50954370000000004</v>
      </c>
      <c r="P2537">
        <v>-0.66360350000000001</v>
      </c>
      <c r="Q2537">
        <v>-8.9807310000000001E-2</v>
      </c>
      <c r="R2537">
        <v>-0.74267450000000002</v>
      </c>
      <c r="S2537">
        <v>-1.9488220000000001</v>
      </c>
      <c r="T2537">
        <v>-0.2111372</v>
      </c>
      <c r="U2537">
        <v>-2.2735599999999998</v>
      </c>
      <c r="V2537">
        <v>-0.298477299999999</v>
      </c>
      <c r="W2537">
        <v>-8.3407690000000007E-2</v>
      </c>
      <c r="X2537">
        <v>0.95076519999999998</v>
      </c>
      <c r="Y2537">
        <v>-0.32137579999999999</v>
      </c>
      <c r="Z2537">
        <v>1.5389089999999999E-2</v>
      </c>
      <c r="AA2537">
        <v>0.94682670000000002</v>
      </c>
      <c r="AB2537">
        <v>25</v>
      </c>
      <c r="AC2537">
        <v>-10.249000000000001</v>
      </c>
      <c r="AD2537">
        <v>-1.1213777585807001</v>
      </c>
      <c r="AE2537">
        <v>-12.0052</v>
      </c>
      <c r="AF2537">
        <v>-5.0807117073840002</v>
      </c>
      <c r="AG2537">
        <v>-1.1213777585807001</v>
      </c>
      <c r="AH2537">
        <v>14.8612627958709</v>
      </c>
      <c r="AI2537">
        <v>94.083940149436401</v>
      </c>
      <c r="AJ2537">
        <v>108.874336091413</v>
      </c>
      <c r="AK2537">
        <v>15.7457375635099</v>
      </c>
      <c r="AL2537">
        <v>94.784467037464196</v>
      </c>
      <c r="AM2537">
        <v>107.428834201041</v>
      </c>
      <c r="AN2537">
        <v>1.00000000344873</v>
      </c>
    </row>
    <row r="2538" spans="1:40" x14ac:dyDescent="0.25">
      <c r="A2538" t="str">
        <f>"20190305135243104"</f>
        <v>20190305135243104</v>
      </c>
      <c r="B2538" t="str">
        <f>"1551765163091940"</f>
        <v>1551765163091940</v>
      </c>
      <c r="C2538" t="s">
        <v>40</v>
      </c>
      <c r="D2538">
        <v>3.875327</v>
      </c>
      <c r="E2538">
        <v>0.48948580000000003</v>
      </c>
      <c r="F2538" t="s">
        <v>55</v>
      </c>
      <c r="G2538">
        <v>-490.21960000000001</v>
      </c>
      <c r="H2538" s="1">
        <v>1.600285E-7</v>
      </c>
      <c r="I2538">
        <v>270.06900000000002</v>
      </c>
      <c r="J2538">
        <v>-480.03089999999997</v>
      </c>
      <c r="K2538">
        <v>1.121464</v>
      </c>
      <c r="L2538">
        <v>282.22550000000001</v>
      </c>
      <c r="M2538">
        <v>-0.85495730000000003</v>
      </c>
      <c r="N2538">
        <v>-1.6138610000000001E-2</v>
      </c>
      <c r="O2538">
        <v>-0.51844729999999895</v>
      </c>
      <c r="P2538">
        <v>-0.655865699999999</v>
      </c>
      <c r="Q2538">
        <v>-8.9119699999999996E-2</v>
      </c>
      <c r="R2538">
        <v>-0.7495984</v>
      </c>
      <c r="S2538">
        <v>-1.9287110000000001</v>
      </c>
      <c r="T2538">
        <v>-0.20994080000000001</v>
      </c>
      <c r="U2538">
        <v>-2.29068</v>
      </c>
      <c r="V2538">
        <v>-0.29853930000000001</v>
      </c>
      <c r="W2538">
        <v>-8.275499E-2</v>
      </c>
      <c r="X2538">
        <v>0.9508027</v>
      </c>
      <c r="Y2538">
        <v>-0.31990869999999999</v>
      </c>
      <c r="Z2538">
        <v>1.5834150000000002E-2</v>
      </c>
      <c r="AA2538">
        <v>0.94731609999999999</v>
      </c>
      <c r="AB2538">
        <v>25</v>
      </c>
      <c r="AC2538">
        <v>-10.188700000000001</v>
      </c>
      <c r="AD2538">
        <v>-1.1214638399715</v>
      </c>
      <c r="AE2538">
        <v>-12.1564999999999</v>
      </c>
      <c r="AF2538">
        <v>-5.08622434718042</v>
      </c>
      <c r="AG2538">
        <v>-1.1214638399715</v>
      </c>
      <c r="AH2538">
        <v>14.940675881154799</v>
      </c>
      <c r="AI2538">
        <v>94.064409001348594</v>
      </c>
      <c r="AJ2538">
        <v>108.800011671337</v>
      </c>
      <c r="AK2538">
        <v>15.8224889015583</v>
      </c>
      <c r="AL2538">
        <v>94.746940653763303</v>
      </c>
      <c r="AM2538">
        <v>107.43158935276399</v>
      </c>
      <c r="AN2538">
        <v>0.99999993817083799</v>
      </c>
    </row>
    <row r="2539" spans="1:40" x14ac:dyDescent="0.25">
      <c r="A2539" t="str">
        <f>"20190305135243117"</f>
        <v>20190305135243117</v>
      </c>
      <c r="B2539" t="str">
        <f>"1551765163112437"</f>
        <v>1551765163112437</v>
      </c>
      <c r="C2539" t="s">
        <v>40</v>
      </c>
      <c r="D2539">
        <v>3.8360780000000001</v>
      </c>
      <c r="E2539">
        <v>0.4896935</v>
      </c>
      <c r="F2539" t="s">
        <v>55</v>
      </c>
      <c r="G2539">
        <v>-490.339</v>
      </c>
      <c r="H2539" s="1">
        <v>4.08479899999999E-8</v>
      </c>
      <c r="I2539">
        <v>269.7319</v>
      </c>
      <c r="J2539">
        <v>-480.14319999999998</v>
      </c>
      <c r="K2539">
        <v>1.121548</v>
      </c>
      <c r="L2539">
        <v>282.14440000000002</v>
      </c>
      <c r="M2539">
        <v>-0.84943780000000002</v>
      </c>
      <c r="N2539">
        <v>-1.6174750000000002E-2</v>
      </c>
      <c r="O2539">
        <v>-0.5274411</v>
      </c>
      <c r="P2539">
        <v>-0.64807749999999997</v>
      </c>
      <c r="Q2539">
        <v>-8.8232610000000003E-2</v>
      </c>
      <c r="R2539">
        <v>-0.75644619999999996</v>
      </c>
      <c r="S2539">
        <v>-1.9059140000000001</v>
      </c>
      <c r="T2539">
        <v>-0.20735290000000001</v>
      </c>
      <c r="U2539">
        <v>-2.3099980000000002</v>
      </c>
      <c r="V2539">
        <v>-0.29843779999999998</v>
      </c>
      <c r="W2539">
        <v>-8.1893129999999995E-2</v>
      </c>
      <c r="X2539">
        <v>0.95090929999999996</v>
      </c>
      <c r="Y2539">
        <v>-0.31937179999999998</v>
      </c>
      <c r="Z2539">
        <v>1.6057579999999998E-2</v>
      </c>
      <c r="AA2539">
        <v>0.94749340000000004</v>
      </c>
      <c r="AB2539">
        <v>25</v>
      </c>
      <c r="AC2539">
        <v>-10.1958</v>
      </c>
      <c r="AD2539">
        <v>-1.1215479591520101</v>
      </c>
      <c r="AE2539">
        <v>-12.4125</v>
      </c>
      <c r="AF2539">
        <v>-5.1415726412556397</v>
      </c>
      <c r="AG2539">
        <v>-1.1215479591520101</v>
      </c>
      <c r="AH2539">
        <v>15.135761048448099</v>
      </c>
      <c r="AI2539">
        <v>94.013386134624</v>
      </c>
      <c r="AJ2539">
        <v>108.762470164975</v>
      </c>
      <c r="AK2539">
        <v>16.024509401716699</v>
      </c>
      <c r="AL2539">
        <v>94.697390988403797</v>
      </c>
      <c r="AM2539">
        <v>107.42418636826</v>
      </c>
      <c r="AN2539">
        <v>1.0000000510182601</v>
      </c>
    </row>
    <row r="2540" spans="1:40" x14ac:dyDescent="0.25">
      <c r="A2540" t="str">
        <f>"20190305135243128"</f>
        <v>20190305135243128</v>
      </c>
      <c r="B2540" t="str">
        <f>"1551765163122197"</f>
        <v>1551765163122197</v>
      </c>
      <c r="C2540" t="s">
        <v>40</v>
      </c>
      <c r="D2540">
        <v>3.90259</v>
      </c>
      <c r="E2540">
        <v>0.48996390000000001</v>
      </c>
      <c r="F2540" t="s">
        <v>55</v>
      </c>
      <c r="G2540">
        <v>-490.18459999999999</v>
      </c>
      <c r="H2540" s="1">
        <v>3.9152070000000001E-8</v>
      </c>
      <c r="I2540">
        <v>269.72710000000001</v>
      </c>
      <c r="J2540">
        <v>-480.23450000000003</v>
      </c>
      <c r="K2540">
        <v>1.121615</v>
      </c>
      <c r="L2540">
        <v>282.07780000000002</v>
      </c>
      <c r="M2540">
        <v>-0.84484729999999997</v>
      </c>
      <c r="N2540">
        <v>-1.620371E-2</v>
      </c>
      <c r="O2540">
        <v>-0.53476199999999996</v>
      </c>
      <c r="P2540">
        <v>-0.64163630000000005</v>
      </c>
      <c r="Q2540">
        <v>-8.758444E-2</v>
      </c>
      <c r="R2540">
        <v>-0.761992</v>
      </c>
      <c r="S2540">
        <v>-1.882843</v>
      </c>
      <c r="T2540">
        <v>-0.21029900000000001</v>
      </c>
      <c r="U2540">
        <v>-2.3283390000000002</v>
      </c>
      <c r="V2540">
        <v>-0.29835699999999998</v>
      </c>
      <c r="W2540">
        <v>-8.1265909999999997E-2</v>
      </c>
      <c r="X2540">
        <v>0.95098839999999996</v>
      </c>
      <c r="Y2540">
        <v>-0.32051360000000001</v>
      </c>
      <c r="Z2540">
        <v>1.6836810000000001E-2</v>
      </c>
      <c r="AA2540">
        <v>0.94709429999999994</v>
      </c>
      <c r="AB2540">
        <v>25</v>
      </c>
      <c r="AC2540">
        <v>-9.95009999999996</v>
      </c>
      <c r="AD2540">
        <v>-1.12161496084792</v>
      </c>
      <c r="AE2540">
        <v>-12.3507</v>
      </c>
      <c r="AF2540">
        <v>-5.0887420660589404</v>
      </c>
      <c r="AG2540">
        <v>-1.12161496084792</v>
      </c>
      <c r="AH2540">
        <v>14.938262755364599</v>
      </c>
      <c r="AI2540">
        <v>94.065332924487805</v>
      </c>
      <c r="AJ2540">
        <v>108.811488327438</v>
      </c>
      <c r="AK2540">
        <v>15.8210306264665</v>
      </c>
      <c r="AL2540">
        <v>94.661334020632395</v>
      </c>
      <c r="AM2540">
        <v>107.418393029545</v>
      </c>
      <c r="AN2540">
        <v>0.99999999225584402</v>
      </c>
    </row>
    <row r="2541" spans="1:40" x14ac:dyDescent="0.25">
      <c r="A2541" t="str">
        <f>"20190305135243138"</f>
        <v>20190305135243138</v>
      </c>
      <c r="B2541" t="str">
        <f>"1551765163131956"</f>
        <v>1551765163131956</v>
      </c>
      <c r="C2541" t="s">
        <v>40</v>
      </c>
      <c r="D2541">
        <v>3.8707250000000002</v>
      </c>
      <c r="E2541">
        <v>0.49011719999999998</v>
      </c>
      <c r="F2541" t="s">
        <v>42</v>
      </c>
      <c r="G2541">
        <v>-490.21319999999997</v>
      </c>
      <c r="H2541" s="1">
        <v>-4.3104880000000002E-6</v>
      </c>
      <c r="I2541">
        <v>269.54219999999998</v>
      </c>
      <c r="J2541">
        <v>-480.33429999999998</v>
      </c>
      <c r="K2541">
        <v>1.121685</v>
      </c>
      <c r="L2541">
        <v>282.00290000000001</v>
      </c>
      <c r="M2541">
        <v>-0.83964470000000002</v>
      </c>
      <c r="N2541">
        <v>-1.623778E-2</v>
      </c>
      <c r="O2541">
        <v>-0.54289370000000003</v>
      </c>
      <c r="P2541">
        <v>-0.63446709999999995</v>
      </c>
      <c r="Q2541">
        <v>-8.7445330000000002E-2</v>
      </c>
      <c r="R2541">
        <v>-0.76798809999999995</v>
      </c>
      <c r="S2541">
        <v>-1.864838</v>
      </c>
      <c r="T2541">
        <v>-0.2096112</v>
      </c>
      <c r="U2541">
        <v>-2.3426819999999999</v>
      </c>
      <c r="V2541">
        <v>-0.29809200000000002</v>
      </c>
      <c r="W2541">
        <v>-8.1141959999999999E-2</v>
      </c>
      <c r="X2541">
        <v>0.95108210000000004</v>
      </c>
      <c r="Y2541">
        <v>-0.3186618</v>
      </c>
      <c r="Z2541">
        <v>1.7306740000000001E-2</v>
      </c>
      <c r="AA2541">
        <v>0.94771050000000001</v>
      </c>
      <c r="AB2541">
        <v>25</v>
      </c>
      <c r="AC2541">
        <v>-9.8788999999999803</v>
      </c>
      <c r="AD2541">
        <v>-1.1216893104879999</v>
      </c>
      <c r="AE2541">
        <v>-12.460699999999999</v>
      </c>
      <c r="AF2541">
        <v>-5.0747882871051999</v>
      </c>
      <c r="AG2541">
        <v>-1.1216893104879999</v>
      </c>
      <c r="AH2541">
        <v>14.987011620511501</v>
      </c>
      <c r="AI2541">
        <v>94.054929914353195</v>
      </c>
      <c r="AJ2541">
        <v>108.70673883438999</v>
      </c>
      <c r="AK2541">
        <v>15.862603203180401</v>
      </c>
      <c r="AL2541">
        <v>94.654208596692399</v>
      </c>
      <c r="AM2541">
        <v>107.402245568187</v>
      </c>
      <c r="AN2541">
        <v>1.00000000953852</v>
      </c>
    </row>
    <row r="2542" spans="1:40" x14ac:dyDescent="0.25">
      <c r="A2542" t="str">
        <f>"20190305135243159"</f>
        <v>20190305135243159</v>
      </c>
      <c r="B2542" t="str">
        <f>"1551765163152452"</f>
        <v>1551765163152452</v>
      </c>
      <c r="C2542" t="s">
        <v>40</v>
      </c>
      <c r="D2542">
        <v>3.8412259999999998</v>
      </c>
      <c r="E2542">
        <v>0.4905195</v>
      </c>
      <c r="F2542" t="s">
        <v>42</v>
      </c>
      <c r="G2542">
        <v>-490.23480000000001</v>
      </c>
      <c r="H2542" s="1">
        <v>-4.2423750000000002E-6</v>
      </c>
      <c r="I2542">
        <v>269.33260000000001</v>
      </c>
      <c r="J2542">
        <v>-480.51089999999999</v>
      </c>
      <c r="K2542">
        <v>1.1218030000000001</v>
      </c>
      <c r="L2542">
        <v>281.86680000000001</v>
      </c>
      <c r="M2542">
        <v>-0.83005709999999999</v>
      </c>
      <c r="N2542">
        <v>-1.6300820000000001E-2</v>
      </c>
      <c r="O2542">
        <v>-0.55744009999999999</v>
      </c>
      <c r="P2542">
        <v>-0.6208553</v>
      </c>
      <c r="Q2542">
        <v>-8.853279E-2</v>
      </c>
      <c r="R2542">
        <v>-0.77890999999999999</v>
      </c>
      <c r="S2542">
        <v>-1.843658</v>
      </c>
      <c r="T2542">
        <v>-0.2088777</v>
      </c>
      <c r="U2542">
        <v>-2.3594360000000001</v>
      </c>
      <c r="V2542">
        <v>-0.29809469999999999</v>
      </c>
      <c r="W2542">
        <v>-8.2272010000000007E-2</v>
      </c>
      <c r="X2542">
        <v>0.95098419999999895</v>
      </c>
      <c r="Y2542">
        <v>-0.3107162</v>
      </c>
      <c r="Z2542">
        <v>1.83818E-2</v>
      </c>
      <c r="AA2542">
        <v>0.95032499999999998</v>
      </c>
      <c r="AB2542">
        <v>25</v>
      </c>
      <c r="AC2542">
        <v>-9.7239000000000093</v>
      </c>
      <c r="AD2542">
        <v>-1.1218072423750001</v>
      </c>
      <c r="AE2542">
        <v>-12.534199999999901</v>
      </c>
      <c r="AF2542">
        <v>-4.9594719272377503</v>
      </c>
      <c r="AG2542">
        <v>-1.1218072423750001</v>
      </c>
      <c r="AH2542">
        <v>14.9855226801333</v>
      </c>
      <c r="AI2542">
        <v>94.065090096115796</v>
      </c>
      <c r="AJ2542">
        <v>108.312007102747</v>
      </c>
      <c r="AK2542">
        <v>15.824686514522</v>
      </c>
      <c r="AL2542">
        <v>94.719172760420705</v>
      </c>
      <c r="AM2542">
        <v>107.40407700104601</v>
      </c>
      <c r="AN2542">
        <v>1.0000000412235801</v>
      </c>
    </row>
    <row r="2543" spans="1:40" x14ac:dyDescent="0.25">
      <c r="A2543" t="str">
        <f>"20190305135243180"</f>
        <v>20190305135243180</v>
      </c>
      <c r="B2543" t="str">
        <f>"1551765163171972"</f>
        <v>1551765163171972</v>
      </c>
      <c r="C2543" t="s">
        <v>40</v>
      </c>
      <c r="D2543">
        <v>3.8574649999999999</v>
      </c>
      <c r="E2543">
        <v>0.49091040000000002</v>
      </c>
      <c r="F2543" t="s">
        <v>42</v>
      </c>
      <c r="G2543">
        <v>-490.0471</v>
      </c>
      <c r="H2543" s="1">
        <v>-4.1536149999999997E-6</v>
      </c>
      <c r="I2543">
        <v>269.24209999999999</v>
      </c>
      <c r="J2543">
        <v>-480.69220000000001</v>
      </c>
      <c r="K2543">
        <v>1.1219190000000001</v>
      </c>
      <c r="L2543">
        <v>281.72160000000002</v>
      </c>
      <c r="M2543">
        <v>-0.81965149999999998</v>
      </c>
      <c r="N2543">
        <v>-1.637007E-2</v>
      </c>
      <c r="O2543">
        <v>-0.57262880000000005</v>
      </c>
      <c r="P2543">
        <v>-0.60600109999999996</v>
      </c>
      <c r="Q2543">
        <v>-9.0958330000000004E-2</v>
      </c>
      <c r="R2543">
        <v>-0.79024669999999997</v>
      </c>
      <c r="S2543">
        <v>-1.804565</v>
      </c>
      <c r="T2543">
        <v>-0.21228269999999999</v>
      </c>
      <c r="U2543">
        <v>-2.389008</v>
      </c>
      <c r="V2543">
        <v>-0.29825669999999999</v>
      </c>
      <c r="W2543">
        <v>-8.474429E-2</v>
      </c>
      <c r="X2543">
        <v>0.95071629999999996</v>
      </c>
      <c r="Y2543">
        <v>-0.30879529999999999</v>
      </c>
      <c r="Z2543">
        <v>1.9864320000000001E-2</v>
      </c>
      <c r="AA2543">
        <v>0.95092109999999996</v>
      </c>
      <c r="AB2543">
        <v>25</v>
      </c>
      <c r="AC2543">
        <v>-9.3548999999999793</v>
      </c>
      <c r="AD2543">
        <v>-1.1219231536150001</v>
      </c>
      <c r="AE2543">
        <v>-12.4795</v>
      </c>
      <c r="AF2543">
        <v>-4.8475243283159202</v>
      </c>
      <c r="AG2543">
        <v>-1.1219231536150001</v>
      </c>
      <c r="AH2543">
        <v>14.739591742756099</v>
      </c>
      <c r="AI2543">
        <v>94.135650076055398</v>
      </c>
      <c r="AJ2543">
        <v>108.20488699347401</v>
      </c>
      <c r="AK2543">
        <v>15.5567595732323</v>
      </c>
      <c r="AL2543">
        <v>94.861320377503802</v>
      </c>
      <c r="AM2543">
        <v>107.41757371347801</v>
      </c>
      <c r="AN2543">
        <v>1.00000006843408</v>
      </c>
    </row>
    <row r="2544" spans="1:40" x14ac:dyDescent="0.25">
      <c r="A2544" t="str">
        <f>"20190305135243192"</f>
        <v>20190305135243192</v>
      </c>
      <c r="B2544" t="str">
        <f>"1551765163181732"</f>
        <v>1551765163181732</v>
      </c>
      <c r="C2544" t="s">
        <v>40</v>
      </c>
      <c r="D2544">
        <v>3.8452220000000001</v>
      </c>
      <c r="E2544">
        <v>0.49106660000000002</v>
      </c>
      <c r="F2544" t="s">
        <v>42</v>
      </c>
      <c r="G2544">
        <v>-489.67809999999997</v>
      </c>
      <c r="H2544" s="1">
        <v>-4.2375889999999998E-6</v>
      </c>
      <c r="I2544">
        <v>269.37759999999997</v>
      </c>
      <c r="J2544">
        <v>-480.78640000000001</v>
      </c>
      <c r="K2544">
        <v>1.1219809999999999</v>
      </c>
      <c r="L2544">
        <v>281.64350000000002</v>
      </c>
      <c r="M2544">
        <v>-0.8139883</v>
      </c>
      <c r="N2544">
        <v>-1.640778E-2</v>
      </c>
      <c r="O2544">
        <v>-0.58064959999999999</v>
      </c>
      <c r="P2544">
        <v>-0.59819100000000003</v>
      </c>
      <c r="Q2544">
        <v>-9.1838699999999995E-2</v>
      </c>
      <c r="R2544">
        <v>-0.796073699999999</v>
      </c>
      <c r="S2544">
        <v>-1.7616579999999999</v>
      </c>
      <c r="T2544">
        <v>-0.2199489</v>
      </c>
      <c r="U2544">
        <v>-2.4199830000000002</v>
      </c>
      <c r="V2544">
        <v>-0.29815760000000002</v>
      </c>
      <c r="W2544">
        <v>-8.5639720000000003E-2</v>
      </c>
      <c r="X2544">
        <v>0.95066709999999999</v>
      </c>
      <c r="Y2544">
        <v>-0.3162547</v>
      </c>
      <c r="Z2544">
        <v>2.121729E-2</v>
      </c>
      <c r="AA2544">
        <v>0.94843699999999997</v>
      </c>
      <c r="AB2544">
        <v>25</v>
      </c>
      <c r="AC2544">
        <v>-8.8916999999999504</v>
      </c>
      <c r="AD2544">
        <v>-1.12198523758899</v>
      </c>
      <c r="AE2544">
        <v>-12.2659</v>
      </c>
      <c r="AF2544">
        <v>-4.7956823103038699</v>
      </c>
      <c r="AG2544">
        <v>-1.12198523758899</v>
      </c>
      <c r="AH2544">
        <v>14.2835193305279</v>
      </c>
      <c r="AI2544">
        <v>94.258721986759994</v>
      </c>
      <c r="AJ2544">
        <v>108.559443120742</v>
      </c>
      <c r="AK2544">
        <v>15.108816769035601</v>
      </c>
      <c r="AL2544">
        <v>94.912812141592198</v>
      </c>
      <c r="AM2544">
        <v>107.41298298807</v>
      </c>
      <c r="AN2544">
        <v>1.00000002555092</v>
      </c>
    </row>
    <row r="2545" spans="1:40" x14ac:dyDescent="0.25">
      <c r="A2545" t="str">
        <f>"20190305135243203"</f>
        <v>20190305135243203</v>
      </c>
      <c r="B2545" t="str">
        <f>"1551765163192469"</f>
        <v>1551765163192469</v>
      </c>
      <c r="C2545" t="s">
        <v>40</v>
      </c>
      <c r="D2545">
        <v>3.855105</v>
      </c>
      <c r="E2545">
        <v>0.49122440000000001</v>
      </c>
      <c r="F2545" t="s">
        <v>42</v>
      </c>
      <c r="G2545">
        <v>-489.54680000000002</v>
      </c>
      <c r="H2545" s="1">
        <v>-4.2570229999999996E-6</v>
      </c>
      <c r="I2545">
        <v>269.36860000000001</v>
      </c>
      <c r="J2545">
        <v>-480.87709999999998</v>
      </c>
      <c r="K2545">
        <v>1.122034</v>
      </c>
      <c r="L2545">
        <v>281.56740000000002</v>
      </c>
      <c r="M2545">
        <v>-0.80840889999999999</v>
      </c>
      <c r="N2545">
        <v>-1.6444009999999998E-2</v>
      </c>
      <c r="O2545">
        <v>-0.58839180000000002</v>
      </c>
      <c r="P2545">
        <v>-0.59050179999999997</v>
      </c>
      <c r="Q2545">
        <v>-9.2695310000000003E-2</v>
      </c>
      <c r="R2545">
        <v>-0.80169539999999995</v>
      </c>
      <c r="S2545">
        <v>-1.7387699999999999</v>
      </c>
      <c r="T2545">
        <v>-0.22269369999999999</v>
      </c>
      <c r="U2545">
        <v>-2.43634</v>
      </c>
      <c r="V2545">
        <v>-0.29811330000000003</v>
      </c>
      <c r="W2545">
        <v>-8.6512740000000005E-2</v>
      </c>
      <c r="X2545">
        <v>0.9506019</v>
      </c>
      <c r="Y2545">
        <v>-0.316127299999999</v>
      </c>
      <c r="Z2545">
        <v>2.2136989999999999E-2</v>
      </c>
      <c r="AA2545">
        <v>0.94845849999999998</v>
      </c>
      <c r="AB2545">
        <v>25</v>
      </c>
      <c r="AC2545">
        <v>-8.6697000000000308</v>
      </c>
      <c r="AD2545">
        <v>-1.1220382570229901</v>
      </c>
      <c r="AE2545">
        <v>-12.1988</v>
      </c>
      <c r="AF2545">
        <v>-4.7344685721824096</v>
      </c>
      <c r="AG2545">
        <v>-1.1220382570229901</v>
      </c>
      <c r="AH2545">
        <v>14.108946074597499</v>
      </c>
      <c r="AI2545">
        <v>94.311660497338096</v>
      </c>
      <c r="AJ2545">
        <v>108.549950549787</v>
      </c>
      <c r="AK2545">
        <v>14.9243600146575</v>
      </c>
      <c r="AL2545">
        <v>94.963019054291905</v>
      </c>
      <c r="AM2545">
        <v>107.41167412702799</v>
      </c>
      <c r="AN2545">
        <v>0.99999998305140303</v>
      </c>
    </row>
    <row r="2546" spans="1:40" x14ac:dyDescent="0.25">
      <c r="A2546" t="str">
        <f>"20190305135243215"</f>
        <v>20190305135243215</v>
      </c>
      <c r="B2546" t="str">
        <f>"1551765163211989"</f>
        <v>1551765163211989</v>
      </c>
      <c r="C2546" t="s">
        <v>40</v>
      </c>
      <c r="D2546">
        <v>3.8381349999999999</v>
      </c>
      <c r="E2546">
        <v>0.49153980000000003</v>
      </c>
      <c r="F2546" t="s">
        <v>42</v>
      </c>
      <c r="G2546">
        <v>-489.41919999999999</v>
      </c>
      <c r="H2546" s="1">
        <v>-4.2786089999999996E-6</v>
      </c>
      <c r="I2546">
        <v>269.36619999999999</v>
      </c>
      <c r="J2546">
        <v>-480.97230000000002</v>
      </c>
      <c r="K2546">
        <v>1.122101</v>
      </c>
      <c r="L2546">
        <v>281.48489999999998</v>
      </c>
      <c r="M2546">
        <v>-0.80232599999999998</v>
      </c>
      <c r="N2546">
        <v>-1.6484189999999999E-2</v>
      </c>
      <c r="O2546">
        <v>-0.59665849999999998</v>
      </c>
      <c r="P2546">
        <v>-0.58229160000000002</v>
      </c>
      <c r="Q2546">
        <v>-9.2899960000000004E-2</v>
      </c>
      <c r="R2546">
        <v>-0.80765489999999995</v>
      </c>
      <c r="S2546">
        <v>-1.716461</v>
      </c>
      <c r="T2546">
        <v>-0.22546369999999999</v>
      </c>
      <c r="U2546">
        <v>-2.451721</v>
      </c>
      <c r="V2546">
        <v>-0.29801519999999998</v>
      </c>
      <c r="W2546">
        <v>-8.6729059999999997E-2</v>
      </c>
      <c r="X2546">
        <v>0.95061300000000004</v>
      </c>
      <c r="Y2546">
        <v>-0.31499169999999999</v>
      </c>
      <c r="Z2546">
        <v>2.3153799999999999E-2</v>
      </c>
      <c r="AA2546">
        <v>0.94881199999999999</v>
      </c>
      <c r="AB2546">
        <v>25</v>
      </c>
      <c r="AC2546">
        <v>-8.4468999999999692</v>
      </c>
      <c r="AD2546">
        <v>-1.122105278609</v>
      </c>
      <c r="AE2546">
        <v>-12.118699999999899</v>
      </c>
      <c r="AF2546">
        <v>-4.6569980373132296</v>
      </c>
      <c r="AG2546">
        <v>-1.122105278609</v>
      </c>
      <c r="AH2546">
        <v>13.929420931728499</v>
      </c>
      <c r="AI2546">
        <v>94.368896999224702</v>
      </c>
      <c r="AJ2546">
        <v>108.486234295071</v>
      </c>
      <c r="AK2546">
        <v>14.7300888819144</v>
      </c>
      <c r="AL2546">
        <v>94.975459792137201</v>
      </c>
      <c r="AM2546">
        <v>107.406099642359</v>
      </c>
      <c r="AN2546">
        <v>1.00000003252426</v>
      </c>
    </row>
    <row r="2547" spans="1:40" x14ac:dyDescent="0.25">
      <c r="A2547" t="str">
        <f>"20190305135243226"</f>
        <v>20190305135243226</v>
      </c>
      <c r="B2547" t="str">
        <f>"1551765163221748"</f>
        <v>1551765163221748</v>
      </c>
      <c r="C2547" t="s">
        <v>40</v>
      </c>
      <c r="D2547">
        <v>3.8988299999999998</v>
      </c>
      <c r="E2547">
        <v>0.49156369999999999</v>
      </c>
      <c r="F2547" t="s">
        <v>42</v>
      </c>
      <c r="G2547">
        <v>-489.38319999999999</v>
      </c>
      <c r="H2547" s="1">
        <v>-4.2251350000000003E-6</v>
      </c>
      <c r="I2547">
        <v>269.22669999999999</v>
      </c>
      <c r="J2547">
        <v>-481.0598</v>
      </c>
      <c r="K2547">
        <v>1.122163</v>
      </c>
      <c r="L2547">
        <v>281.40839999999997</v>
      </c>
      <c r="M2547">
        <v>-0.79661939999999998</v>
      </c>
      <c r="N2547">
        <v>-1.652052E-2</v>
      </c>
      <c r="O2547">
        <v>-0.6042556</v>
      </c>
      <c r="P2547">
        <v>-0.57476260000000001</v>
      </c>
      <c r="Q2547">
        <v>-9.2743190000000003E-2</v>
      </c>
      <c r="R2547">
        <v>-0.81304829999999995</v>
      </c>
      <c r="S2547">
        <v>-1.6932370000000001</v>
      </c>
      <c r="T2547">
        <v>-0.22589429999999999</v>
      </c>
      <c r="U2547">
        <v>-2.467743</v>
      </c>
      <c r="V2547">
        <v>-0.29782059999999999</v>
      </c>
      <c r="W2547">
        <v>-8.6579009999999998E-2</v>
      </c>
      <c r="X2547">
        <v>0.95068759999999997</v>
      </c>
      <c r="Y2547">
        <v>-0.31492720000000002</v>
      </c>
      <c r="Z2547">
        <v>2.3729030000000002E-2</v>
      </c>
      <c r="AA2547">
        <v>0.94881919999999997</v>
      </c>
      <c r="AB2547">
        <v>25</v>
      </c>
      <c r="AC2547">
        <v>-8.3233999999999906</v>
      </c>
      <c r="AD2547">
        <v>-1.1221672251349999</v>
      </c>
      <c r="AE2547">
        <v>-12.1816999999999</v>
      </c>
      <c r="AF2547">
        <v>-4.6484631834909198</v>
      </c>
      <c r="AG2547">
        <v>-1.1221672251349999</v>
      </c>
      <c r="AH2547">
        <v>13.912863162634601</v>
      </c>
      <c r="AI2547">
        <v>94.374599210871096</v>
      </c>
      <c r="AJ2547">
        <v>108.47512435323</v>
      </c>
      <c r="AK2547">
        <v>14.7117378521924</v>
      </c>
      <c r="AL2547">
        <v>94.966830392329896</v>
      </c>
      <c r="AM2547">
        <v>107.39413691354</v>
      </c>
      <c r="AN2547">
        <v>0.99999997377534899</v>
      </c>
    </row>
    <row r="2548" spans="1:40" x14ac:dyDescent="0.25">
      <c r="A2548" t="str">
        <f>"20190305135243240"</f>
        <v>20190305135243240</v>
      </c>
      <c r="B2548" t="str">
        <f>"1551765163232484"</f>
        <v>1551765163232484</v>
      </c>
      <c r="C2548" t="s">
        <v>40</v>
      </c>
      <c r="D2548">
        <v>4.0585750000000003</v>
      </c>
      <c r="E2548">
        <v>0.49156369999999999</v>
      </c>
      <c r="F2548" t="s">
        <v>42</v>
      </c>
      <c r="G2548">
        <v>-489.35640000000001</v>
      </c>
      <c r="H2548" s="1">
        <v>-4.1654479999999996E-6</v>
      </c>
      <c r="I2548">
        <v>269.07639999999998</v>
      </c>
      <c r="J2548">
        <v>-481.17469999999997</v>
      </c>
      <c r="K2548">
        <v>1.1222479999999999</v>
      </c>
      <c r="L2548">
        <v>281.30439999999999</v>
      </c>
      <c r="M2548">
        <v>-0.78880030000000001</v>
      </c>
      <c r="N2548">
        <v>-1.657144E-2</v>
      </c>
      <c r="O2548">
        <v>-0.61442629999999998</v>
      </c>
      <c r="P2548">
        <v>-0.5644865</v>
      </c>
      <c r="Q2548">
        <v>-9.2516749999999995E-2</v>
      </c>
      <c r="R2548">
        <v>-0.82024149999999996</v>
      </c>
      <c r="S2548">
        <v>-1.6705319999999999</v>
      </c>
      <c r="T2548">
        <v>-0.22595000000000001</v>
      </c>
      <c r="U2548">
        <v>-2.483063</v>
      </c>
      <c r="V2548">
        <v>-0.29759590000000002</v>
      </c>
      <c r="W2548">
        <v>-8.6359309999999995E-2</v>
      </c>
      <c r="X2548">
        <v>0.95077789999999995</v>
      </c>
      <c r="Y2548">
        <v>-0.3114519</v>
      </c>
      <c r="Z2548">
        <v>2.4551570000000002E-2</v>
      </c>
      <c r="AA2548">
        <v>0.94994469999999998</v>
      </c>
      <c r="AB2548">
        <v>25</v>
      </c>
      <c r="AC2548">
        <v>-8.1817000000000295</v>
      </c>
      <c r="AD2548">
        <v>-1.122252165448</v>
      </c>
      <c r="AE2548">
        <v>-12.228</v>
      </c>
      <c r="AF2548">
        <v>-4.5923128295275903</v>
      </c>
      <c r="AG2548">
        <v>-1.122252165448</v>
      </c>
      <c r="AH2548">
        <v>13.888044358998799</v>
      </c>
      <c r="AI2548">
        <v>94.387222131677206</v>
      </c>
      <c r="AJ2548">
        <v>108.29732724204101</v>
      </c>
      <c r="AK2548">
        <v>14.6706020041652</v>
      </c>
      <c r="AL2548">
        <v>94.954195388772703</v>
      </c>
      <c r="AM2548">
        <v>107.380252738276</v>
      </c>
      <c r="AN2548">
        <v>0.99999993262444498</v>
      </c>
    </row>
    <row r="2549" spans="1:40" x14ac:dyDescent="0.25">
      <c r="A2549" t="str">
        <f>"20190305135243260"</f>
        <v>20190305135243260</v>
      </c>
      <c r="B2549" t="str">
        <f>"1551765163252005"</f>
        <v>1551765163252005</v>
      </c>
      <c r="C2549" t="s">
        <v>40</v>
      </c>
      <c r="D2549">
        <v>3.8844889999999999</v>
      </c>
      <c r="E2549">
        <v>0.43558730000000001</v>
      </c>
      <c r="F2549" t="s">
        <v>42</v>
      </c>
      <c r="G2549">
        <v>-489.34469999999999</v>
      </c>
      <c r="H2549" s="1">
        <v>-4.0603300000000003E-6</v>
      </c>
      <c r="I2549">
        <v>268.82650000000001</v>
      </c>
      <c r="J2549">
        <v>-481.33339999999998</v>
      </c>
      <c r="K2549">
        <v>1.122358</v>
      </c>
      <c r="L2549">
        <v>281.15660000000003</v>
      </c>
      <c r="M2549">
        <v>-0.77754449999999997</v>
      </c>
      <c r="N2549">
        <v>-1.664299E-2</v>
      </c>
      <c r="O2549">
        <v>-0.62860760000000004</v>
      </c>
      <c r="P2549">
        <v>-0.55034850000000002</v>
      </c>
      <c r="Q2549">
        <v>-9.2700840000000007E-2</v>
      </c>
      <c r="R2549">
        <v>-0.82977289999999904</v>
      </c>
      <c r="S2549">
        <v>-1.6394040000000001</v>
      </c>
      <c r="T2549">
        <v>-0.22519529999999999</v>
      </c>
      <c r="U2549">
        <v>-2.5038450000000001</v>
      </c>
      <c r="V2549">
        <v>-0.29662939999999999</v>
      </c>
      <c r="W2549">
        <v>-8.6525690000000002E-2</v>
      </c>
      <c r="X2549">
        <v>0.95106480000000004</v>
      </c>
      <c r="Y2549">
        <v>-0.30614789999999997</v>
      </c>
      <c r="Z2549">
        <v>2.557241E-2</v>
      </c>
      <c r="AA2549">
        <v>0.95164040000000005</v>
      </c>
      <c r="AB2549">
        <v>25</v>
      </c>
      <c r="AC2549">
        <v>-8.0113000000000003</v>
      </c>
      <c r="AD2549">
        <v>-1.12236206033</v>
      </c>
      <c r="AE2549">
        <v>-12.3301</v>
      </c>
      <c r="AF2549">
        <v>-4.5255014447121198</v>
      </c>
      <c r="AG2549">
        <v>-1.12236206033</v>
      </c>
      <c r="AH2549">
        <v>13.9008843288597</v>
      </c>
      <c r="AI2549">
        <v>94.390229755517197</v>
      </c>
      <c r="AJ2549">
        <v>108.03291461112499</v>
      </c>
      <c r="AK2549">
        <v>14.662006855983201</v>
      </c>
      <c r="AL2549">
        <v>94.963763868042193</v>
      </c>
      <c r="AM2549">
        <v>107.322276951481</v>
      </c>
      <c r="AN2549">
        <v>0.99999997488668801</v>
      </c>
    </row>
    <row r="2550" spans="1:40" x14ac:dyDescent="0.25">
      <c r="A2550" t="str">
        <f>"20190305135243275"</f>
        <v>20190305135243275</v>
      </c>
      <c r="B2550" t="str">
        <f>"1551765163272501"</f>
        <v>1551765163272501</v>
      </c>
      <c r="C2550" t="s">
        <v>40</v>
      </c>
      <c r="D2550">
        <v>3.864185</v>
      </c>
      <c r="E2550">
        <v>0.42565890000000001</v>
      </c>
      <c r="F2550" t="s">
        <v>41</v>
      </c>
      <c r="G2550">
        <v>-481.72859999999997</v>
      </c>
      <c r="H2550">
        <v>1.0632600000000001</v>
      </c>
      <c r="I2550">
        <v>280.25869999999998</v>
      </c>
      <c r="J2550">
        <v>-481.44080000000002</v>
      </c>
      <c r="K2550">
        <v>1.122433</v>
      </c>
      <c r="L2550">
        <v>281.053</v>
      </c>
      <c r="M2550">
        <v>-0.76956029999999997</v>
      </c>
      <c r="N2550">
        <v>-1.6692530000000001E-2</v>
      </c>
      <c r="O2550">
        <v>-0.63835589999999998</v>
      </c>
      <c r="P2550">
        <v>-0.54012490000000002</v>
      </c>
      <c r="Q2550">
        <v>-9.2783920000000006E-2</v>
      </c>
      <c r="R2550">
        <v>-0.83645449999999999</v>
      </c>
      <c r="S2550">
        <v>-1.224335</v>
      </c>
      <c r="T2550">
        <v>-0.1830736</v>
      </c>
      <c r="U2550">
        <v>-2.7829280000000001</v>
      </c>
      <c r="V2550">
        <v>-0.29629040000000001</v>
      </c>
      <c r="W2550">
        <v>-8.6605920000000003E-2</v>
      </c>
      <c r="X2550">
        <v>0.95116319999999999</v>
      </c>
      <c r="Y2550">
        <v>-0.447015</v>
      </c>
      <c r="Z2550">
        <v>1.379211E-2</v>
      </c>
      <c r="AA2550">
        <v>0.89442009999999905</v>
      </c>
      <c r="AB2550">
        <v>25</v>
      </c>
      <c r="AC2550">
        <v>-0.28779999999994699</v>
      </c>
      <c r="AD2550">
        <v>-5.9172999999999899E-2</v>
      </c>
      <c r="AE2550">
        <v>-0.79430000000002099</v>
      </c>
      <c r="AF2550">
        <v>-0.42551503182886502</v>
      </c>
      <c r="AG2550">
        <v>-5.9172999999999899E-2</v>
      </c>
      <c r="AH2550">
        <v>0.72507006320033496</v>
      </c>
      <c r="AI2550">
        <v>94.026108750470797</v>
      </c>
      <c r="AJ2550">
        <v>120.406992246803</v>
      </c>
      <c r="AK2550">
        <v>0.84278768547639404</v>
      </c>
      <c r="AL2550">
        <v>94.9683778557268</v>
      </c>
      <c r="AM2550">
        <v>107.301979694428</v>
      </c>
      <c r="AN2550">
        <v>1.00000000977272</v>
      </c>
    </row>
    <row r="2551" spans="1:40" x14ac:dyDescent="0.25">
      <c r="A2551" t="str">
        <f>"20190305135243288"</f>
        <v>20190305135243288</v>
      </c>
      <c r="B2551" t="str">
        <f>"1551765163282262"</f>
        <v>1551765163282262</v>
      </c>
      <c r="C2551" t="s">
        <v>40</v>
      </c>
      <c r="D2551">
        <v>3.805571</v>
      </c>
      <c r="E2551">
        <v>0.42438609999999999</v>
      </c>
      <c r="F2551" t="s">
        <v>41</v>
      </c>
      <c r="G2551">
        <v>-481.79070000000002</v>
      </c>
      <c r="H2551">
        <v>1.0801270000000001</v>
      </c>
      <c r="I2551">
        <v>280.16759999999999</v>
      </c>
      <c r="J2551">
        <v>-481.53769999999997</v>
      </c>
      <c r="K2551">
        <v>1.1224970000000001</v>
      </c>
      <c r="L2551">
        <v>280.95780000000002</v>
      </c>
      <c r="M2551">
        <v>-0.76214359999999903</v>
      </c>
      <c r="N2551">
        <v>-1.6737019999999998E-2</v>
      </c>
      <c r="O2551">
        <v>-0.64719159999999998</v>
      </c>
      <c r="P2551">
        <v>-0.530757699999999</v>
      </c>
      <c r="Q2551">
        <v>-9.3181299999999995E-2</v>
      </c>
      <c r="R2551">
        <v>-0.84238590000000002</v>
      </c>
      <c r="S2551">
        <v>-1.1246640000000001</v>
      </c>
      <c r="T2551">
        <v>-0.13596839999999999</v>
      </c>
      <c r="U2551">
        <v>-2.845215</v>
      </c>
      <c r="V2551">
        <v>-0.2958712</v>
      </c>
      <c r="W2551">
        <v>-8.6996560000000001E-2</v>
      </c>
      <c r="X2551">
        <v>0.9512581</v>
      </c>
      <c r="Y2551">
        <v>-0.47059790000000001</v>
      </c>
      <c r="Z2551">
        <v>6.2628400000000004E-3</v>
      </c>
      <c r="AA2551">
        <v>0.88232559999999904</v>
      </c>
      <c r="AB2551">
        <v>25</v>
      </c>
      <c r="AC2551">
        <v>-0.25300000000004202</v>
      </c>
      <c r="AD2551">
        <v>-4.2369999999999797E-2</v>
      </c>
      <c r="AE2551">
        <v>-0.79020000000002699</v>
      </c>
      <c r="AF2551">
        <v>-0.43742715236742302</v>
      </c>
      <c r="AG2551">
        <v>-4.2369999999999797E-2</v>
      </c>
      <c r="AH2551">
        <v>0.70249988480144498</v>
      </c>
      <c r="AI2551">
        <v>92.930925389855901</v>
      </c>
      <c r="AJ2551">
        <v>121.90937430713601</v>
      </c>
      <c r="AK2551">
        <v>0.82863973998011797</v>
      </c>
      <c r="AL2551">
        <v>94.990844372126702</v>
      </c>
      <c r="AM2551">
        <v>107.27733757998899</v>
      </c>
      <c r="AN2551">
        <v>1.00000007062843</v>
      </c>
    </row>
    <row r="2552" spans="1:40" x14ac:dyDescent="0.25">
      <c r="A2552" t="str">
        <f>"20190305135243298"</f>
        <v>20190305135243298</v>
      </c>
      <c r="B2552" t="str">
        <f>"1551765163292020"</f>
        <v>1551765163292020</v>
      </c>
      <c r="C2552" t="s">
        <v>40</v>
      </c>
      <c r="D2552">
        <v>3.9873859999999999</v>
      </c>
      <c r="E2552">
        <v>0.42544520000000002</v>
      </c>
      <c r="F2552" t="s">
        <v>41</v>
      </c>
      <c r="G2552">
        <v>-481.90269999999998</v>
      </c>
      <c r="H2552">
        <v>1.0795399999999999</v>
      </c>
      <c r="I2552">
        <v>279.99450000000002</v>
      </c>
      <c r="J2552">
        <v>-481.62549999999999</v>
      </c>
      <c r="K2552">
        <v>1.1225560000000001</v>
      </c>
      <c r="L2552">
        <v>280.86869999999999</v>
      </c>
      <c r="M2552">
        <v>-0.75516159999999999</v>
      </c>
      <c r="N2552">
        <v>-1.6778379999999999E-2</v>
      </c>
      <c r="O2552">
        <v>-0.65532389999999996</v>
      </c>
      <c r="P2552">
        <v>-0.5223989</v>
      </c>
      <c r="Q2552">
        <v>-9.3679319999999996E-2</v>
      </c>
      <c r="R2552">
        <v>-0.84753979999999995</v>
      </c>
      <c r="S2552">
        <v>-1.0843510000000001</v>
      </c>
      <c r="T2552">
        <v>-0.12763849999999999</v>
      </c>
      <c r="U2552">
        <v>-2.8639830000000002</v>
      </c>
      <c r="V2552">
        <v>-0.295016</v>
      </c>
      <c r="W2552">
        <v>-8.7468470000000006E-2</v>
      </c>
      <c r="X2552">
        <v>0.95148029999999995</v>
      </c>
      <c r="Y2552">
        <v>-0.47394140000000001</v>
      </c>
      <c r="Z2552">
        <v>5.1835070000000004E-3</v>
      </c>
      <c r="AA2552">
        <v>0.88054109999999997</v>
      </c>
      <c r="AB2552">
        <v>25</v>
      </c>
      <c r="AC2552">
        <v>-0.27719999999999301</v>
      </c>
      <c r="AD2552">
        <v>-4.3015999999999902E-2</v>
      </c>
      <c r="AE2552">
        <v>-0.874199999999973</v>
      </c>
      <c r="AF2552">
        <v>-0.47752329065450899</v>
      </c>
      <c r="AG2552">
        <v>-4.3015999999999902E-2</v>
      </c>
      <c r="AH2552">
        <v>0.78060771924186101</v>
      </c>
      <c r="AI2552">
        <v>92.691364883085896</v>
      </c>
      <c r="AJ2552">
        <v>121.45549016669</v>
      </c>
      <c r="AK2552">
        <v>0.91609348906838695</v>
      </c>
      <c r="AL2552">
        <v>95.017986806694793</v>
      </c>
      <c r="AM2552">
        <v>107.22657348085799</v>
      </c>
      <c r="AN2552">
        <v>0.99999996739411401</v>
      </c>
    </row>
    <row r="2553" spans="1:40" x14ac:dyDescent="0.25">
      <c r="A2553" t="str">
        <f>"20190305135243310"</f>
        <v>20190305135243310</v>
      </c>
      <c r="B2553" t="str">
        <f>"1551765163301781"</f>
        <v>1551765163301781</v>
      </c>
      <c r="C2553" t="s">
        <v>40</v>
      </c>
      <c r="D2553">
        <v>4.0548699999999904</v>
      </c>
      <c r="E2553">
        <v>0.42669639999999998</v>
      </c>
      <c r="F2553" t="s">
        <v>41</v>
      </c>
      <c r="G2553">
        <v>-481.94</v>
      </c>
      <c r="H2553">
        <v>1.0819829999999999</v>
      </c>
      <c r="I2553">
        <v>280.02100000000002</v>
      </c>
      <c r="J2553">
        <v>-481.7079</v>
      </c>
      <c r="K2553">
        <v>1.1226020000000001</v>
      </c>
      <c r="L2553">
        <v>280.78370000000001</v>
      </c>
      <c r="M2553">
        <v>-0.74843040000000005</v>
      </c>
      <c r="N2553">
        <v>-1.6817220000000001E-2</v>
      </c>
      <c r="O2553">
        <v>-0.66300019999999904</v>
      </c>
      <c r="P2553">
        <v>-0.51419579999999998</v>
      </c>
      <c r="Q2553">
        <v>-9.4080750000000005E-2</v>
      </c>
      <c r="R2553">
        <v>-0.85249739999999996</v>
      </c>
      <c r="S2553">
        <v>-1.0636289999999999</v>
      </c>
      <c r="T2553">
        <v>-0.13722089999999901</v>
      </c>
      <c r="U2553">
        <v>-2.8688660000000001</v>
      </c>
      <c r="V2553">
        <v>-0.29442620000000003</v>
      </c>
      <c r="W2553">
        <v>-8.7852360000000004E-2</v>
      </c>
      <c r="X2553">
        <v>0.95162769999999997</v>
      </c>
      <c r="Y2553">
        <v>-0.4710087</v>
      </c>
      <c r="Z2553">
        <v>7.0233049999999997E-3</v>
      </c>
      <c r="AA2553">
        <v>0.88210059999999901</v>
      </c>
      <c r="AB2553">
        <v>25</v>
      </c>
      <c r="AC2553">
        <v>-0.232100000000002</v>
      </c>
      <c r="AD2553">
        <v>-4.0619000000000099E-2</v>
      </c>
      <c r="AE2553">
        <v>-0.762700000000052</v>
      </c>
      <c r="AF2553">
        <v>-0.415924764503941</v>
      </c>
      <c r="AG2553">
        <v>-4.0619000000000099E-2</v>
      </c>
      <c r="AH2553">
        <v>0.67771770564612299</v>
      </c>
      <c r="AI2553">
        <v>92.924251815277003</v>
      </c>
      <c r="AJ2553">
        <v>121.53801835014301</v>
      </c>
      <c r="AK2553">
        <v>0.79620638118197995</v>
      </c>
      <c r="AL2553">
        <v>95.040066657187495</v>
      </c>
      <c r="AM2553">
        <v>107.191660243021</v>
      </c>
      <c r="AN2553">
        <v>1.00000005190564</v>
      </c>
    </row>
    <row r="2554" spans="1:40" x14ac:dyDescent="0.25">
      <c r="A2554" t="str">
        <f>"20190305135243321"</f>
        <v>20190305135243321</v>
      </c>
      <c r="B2554" t="str">
        <f>"1551765163312517"</f>
        <v>1551765163312517</v>
      </c>
      <c r="C2554" t="s">
        <v>40</v>
      </c>
      <c r="D2554">
        <v>3.8402599999999998</v>
      </c>
      <c r="E2554">
        <v>0.42637209999999998</v>
      </c>
      <c r="F2554" t="s">
        <v>41</v>
      </c>
      <c r="G2554">
        <v>-482.04820000000001</v>
      </c>
      <c r="H2554">
        <v>1.074273</v>
      </c>
      <c r="I2554">
        <v>279.84699999999998</v>
      </c>
      <c r="J2554">
        <v>-481.79360000000003</v>
      </c>
      <c r="K2554">
        <v>1.122657</v>
      </c>
      <c r="L2554">
        <v>280.69330000000002</v>
      </c>
      <c r="M2554">
        <v>-0.74123099999999997</v>
      </c>
      <c r="N2554">
        <v>-1.685789E-2</v>
      </c>
      <c r="O2554">
        <v>-0.67103829999999998</v>
      </c>
      <c r="P2554">
        <v>-0.50563740000000001</v>
      </c>
      <c r="Q2554">
        <v>-9.4444710000000001E-2</v>
      </c>
      <c r="R2554">
        <v>-0.85756100000000002</v>
      </c>
      <c r="S2554">
        <v>-1.043976</v>
      </c>
      <c r="T2554">
        <v>-0.14826110000000001</v>
      </c>
      <c r="U2554">
        <v>-2.872986</v>
      </c>
      <c r="V2554">
        <v>-0.29362949999999999</v>
      </c>
      <c r="W2554">
        <v>-8.8189480000000001E-2</v>
      </c>
      <c r="X2554">
        <v>0.95184259999999998</v>
      </c>
      <c r="Y2554">
        <v>-0.46720240000000002</v>
      </c>
      <c r="Z2554">
        <v>9.2069590000000007E-3</v>
      </c>
      <c r="AA2554">
        <v>0.88410250000000001</v>
      </c>
      <c r="AB2554">
        <v>25</v>
      </c>
      <c r="AC2554">
        <v>-0.25459999999998201</v>
      </c>
      <c r="AD2554">
        <v>-4.8383999999999899E-2</v>
      </c>
      <c r="AE2554">
        <v>-0.84630000000004202</v>
      </c>
      <c r="AF2554">
        <v>-0.45515808458620499</v>
      </c>
      <c r="AG2554">
        <v>-4.8383999999999899E-2</v>
      </c>
      <c r="AH2554">
        <v>0.75446332669437299</v>
      </c>
      <c r="AI2554">
        <v>93.143042363761197</v>
      </c>
      <c r="AJ2554">
        <v>121.102043915747</v>
      </c>
      <c r="AK2554">
        <v>0.88245385417421296</v>
      </c>
      <c r="AL2554">
        <v>95.059457728588796</v>
      </c>
      <c r="AM2554">
        <v>107.14422804909</v>
      </c>
      <c r="AN2554">
        <v>1.0000000014138399</v>
      </c>
    </row>
    <row r="2555" spans="1:40" x14ac:dyDescent="0.25">
      <c r="A2555" t="str">
        <f>"20190305135243333"</f>
        <v>20190305135243333</v>
      </c>
      <c r="B2555" t="str">
        <f>"1551765163322277"</f>
        <v>1551765163322277</v>
      </c>
      <c r="C2555" t="s">
        <v>40</v>
      </c>
      <c r="D2555">
        <v>3.7654749999999999</v>
      </c>
      <c r="E2555">
        <v>0.42609799999999998</v>
      </c>
      <c r="F2555" t="s">
        <v>41</v>
      </c>
      <c r="G2555">
        <v>-482.09570000000002</v>
      </c>
      <c r="H2555">
        <v>1.0798140000000001</v>
      </c>
      <c r="I2555">
        <v>279.8329</v>
      </c>
      <c r="J2555">
        <v>-481.87970000000001</v>
      </c>
      <c r="K2555">
        <v>1.122711</v>
      </c>
      <c r="L2555">
        <v>280.59989999999999</v>
      </c>
      <c r="M2555">
        <v>-0.73373789999999905</v>
      </c>
      <c r="N2555">
        <v>-1.6899440000000002E-2</v>
      </c>
      <c r="O2555">
        <v>-0.67922260000000001</v>
      </c>
      <c r="P2555">
        <v>-0.4967492</v>
      </c>
      <c r="Q2555">
        <v>-9.4380389999999995E-2</v>
      </c>
      <c r="R2555">
        <v>-0.86274719999999905</v>
      </c>
      <c r="S2555">
        <v>-1.0130920000000001</v>
      </c>
      <c r="T2555">
        <v>-0.14367179999999999</v>
      </c>
      <c r="U2555">
        <v>-2.8851010000000001</v>
      </c>
      <c r="V2555">
        <v>-0.29289979999999999</v>
      </c>
      <c r="W2555">
        <v>-8.8098120000000002E-2</v>
      </c>
      <c r="X2555">
        <v>0.95207589999999997</v>
      </c>
      <c r="Y2555">
        <v>-0.46699049999999998</v>
      </c>
      <c r="Z2555">
        <v>8.8041549999999993E-3</v>
      </c>
      <c r="AA2555">
        <v>0.88421849999999902</v>
      </c>
      <c r="AB2555">
        <v>25</v>
      </c>
      <c r="AC2555">
        <v>-0.21600000000000799</v>
      </c>
      <c r="AD2555">
        <v>-4.28969999999999E-2</v>
      </c>
      <c r="AE2555">
        <v>-0.76699999999999502</v>
      </c>
      <c r="AF2555">
        <v>-0.41492176638271899</v>
      </c>
      <c r="AG2555">
        <v>-4.28969999999999E-2</v>
      </c>
      <c r="AH2555">
        <v>0.67758435634528302</v>
      </c>
      <c r="AI2555">
        <v>93.090415477779402</v>
      </c>
      <c r="AJ2555">
        <v>121.48140282879299</v>
      </c>
      <c r="AK2555">
        <v>0.79568887436673796</v>
      </c>
      <c r="AL2555">
        <v>95.054202509205197</v>
      </c>
      <c r="AM2555">
        <v>107.10016540250901</v>
      </c>
      <c r="AN2555">
        <v>1.00000004547419</v>
      </c>
    </row>
    <row r="2556" spans="1:40" x14ac:dyDescent="0.25">
      <c r="A2556" t="str">
        <f>"20190305135243350"</f>
        <v>20190305135243350</v>
      </c>
      <c r="B2556" t="str">
        <f>"1551765163341800"</f>
        <v>1551765163341800</v>
      </c>
      <c r="C2556" t="s">
        <v>40</v>
      </c>
      <c r="D2556">
        <v>4.0185529999999998</v>
      </c>
      <c r="E2556">
        <v>0.42759190000000002</v>
      </c>
      <c r="F2556" t="s">
        <v>41</v>
      </c>
      <c r="G2556">
        <v>-482.18669999999997</v>
      </c>
      <c r="H2556">
        <v>1.081709</v>
      </c>
      <c r="I2556">
        <v>279.69389999999999</v>
      </c>
      <c r="J2556">
        <v>-481.99299999999999</v>
      </c>
      <c r="K2556">
        <v>1.1227849999999999</v>
      </c>
      <c r="L2556">
        <v>280.4744</v>
      </c>
      <c r="M2556">
        <v>-0.7235608</v>
      </c>
      <c r="N2556">
        <v>-1.695406E-2</v>
      </c>
      <c r="O2556">
        <v>-0.69005249999999996</v>
      </c>
      <c r="P2556">
        <v>-0.48561599999999999</v>
      </c>
      <c r="Q2556">
        <v>-9.4203889999999998E-2</v>
      </c>
      <c r="R2556">
        <v>-0.86908180000000002</v>
      </c>
      <c r="S2556">
        <v>-0.9816589</v>
      </c>
      <c r="T2556">
        <v>-0.13112409999999999</v>
      </c>
      <c r="U2556">
        <v>-2.8977050000000002</v>
      </c>
      <c r="V2556">
        <v>-0.2909988</v>
      </c>
      <c r="W2556">
        <v>-8.7848640000000006E-2</v>
      </c>
      <c r="X2556">
        <v>0.95268169999999996</v>
      </c>
      <c r="Y2556">
        <v>-0.4636517</v>
      </c>
      <c r="Z2556">
        <v>7.2252969999999899E-3</v>
      </c>
      <c r="AA2556">
        <v>0.88598809999999995</v>
      </c>
      <c r="AB2556">
        <v>24</v>
      </c>
      <c r="AC2556">
        <v>-0.19369999999992099</v>
      </c>
      <c r="AD2556">
        <v>-4.1076000000000099E-2</v>
      </c>
      <c r="AE2556">
        <v>-0.78050000000001696</v>
      </c>
      <c r="AF2556">
        <v>-0.43001606566638401</v>
      </c>
      <c r="AG2556">
        <v>-4.1076000000000099E-2</v>
      </c>
      <c r="AH2556">
        <v>0.67707075547428297</v>
      </c>
      <c r="AI2556">
        <v>92.931647373402697</v>
      </c>
      <c r="AJ2556">
        <v>122.420138558048</v>
      </c>
      <c r="AK2556">
        <v>0.80313502129200698</v>
      </c>
      <c r="AL2556">
        <v>95.039852682417106</v>
      </c>
      <c r="AM2556">
        <v>106.98541131067201</v>
      </c>
      <c r="AN2556">
        <v>1.00000005333308</v>
      </c>
    </row>
    <row r="2557" spans="1:40" x14ac:dyDescent="0.25">
      <c r="A2557" t="str">
        <f>"20190305135243361"</f>
        <v>20190305135243361</v>
      </c>
      <c r="B2557" t="str">
        <f>"1551765163352532"</f>
        <v>1551765163352532</v>
      </c>
      <c r="C2557" t="s">
        <v>40</v>
      </c>
      <c r="D2557">
        <v>3.8753169999999999</v>
      </c>
      <c r="E2557">
        <v>0.4274964</v>
      </c>
      <c r="F2557" t="s">
        <v>41</v>
      </c>
      <c r="G2557">
        <v>-482.30450000000002</v>
      </c>
      <c r="H2557">
        <v>1.077523</v>
      </c>
      <c r="I2557">
        <v>279.52679999999998</v>
      </c>
      <c r="J2557">
        <v>-482.07389999999998</v>
      </c>
      <c r="K2557">
        <v>1.1228370000000001</v>
      </c>
      <c r="L2557">
        <v>280.38220000000001</v>
      </c>
      <c r="M2557">
        <v>-0.71602940000000004</v>
      </c>
      <c r="N2557">
        <v>-1.699351E-2</v>
      </c>
      <c r="O2557">
        <v>-0.69786349999999997</v>
      </c>
      <c r="P2557">
        <v>-0.47699370000000002</v>
      </c>
      <c r="Q2557">
        <v>-9.3746990000000002E-2</v>
      </c>
      <c r="R2557">
        <v>-0.87389319999999904</v>
      </c>
      <c r="S2557">
        <v>-0.95492549999999998</v>
      </c>
      <c r="T2557">
        <v>-0.13872970000000001</v>
      </c>
      <c r="U2557">
        <v>-2.9033199999999999</v>
      </c>
      <c r="V2557">
        <v>-0.29012909999999997</v>
      </c>
      <c r="W2557">
        <v>-8.7356690000000001E-2</v>
      </c>
      <c r="X2557">
        <v>0.95299210000000001</v>
      </c>
      <c r="Y2557">
        <v>-0.46188899999999999</v>
      </c>
      <c r="Z2557">
        <v>8.8704059999999904E-3</v>
      </c>
      <c r="AA2557">
        <v>0.88689340000000005</v>
      </c>
      <c r="AB2557">
        <v>24</v>
      </c>
      <c r="AC2557">
        <v>-0.230600000000038</v>
      </c>
      <c r="AD2557">
        <v>-4.5314E-2</v>
      </c>
      <c r="AE2557">
        <v>-0.85540000000003102</v>
      </c>
      <c r="AF2557">
        <v>-0.45045092701079997</v>
      </c>
      <c r="AG2557">
        <v>-4.5314E-2</v>
      </c>
      <c r="AH2557">
        <v>0.76018999247607999</v>
      </c>
      <c r="AI2557">
        <v>92.935663582464898</v>
      </c>
      <c r="AJ2557">
        <v>120.648881152719</v>
      </c>
      <c r="AK2557">
        <v>0.88478710484594703</v>
      </c>
      <c r="AL2557">
        <v>95.011557439064106</v>
      </c>
      <c r="AM2557">
        <v>106.932356587379</v>
      </c>
      <c r="AN2557">
        <v>1.00000001430848</v>
      </c>
    </row>
    <row r="2558" spans="1:40" x14ac:dyDescent="0.25">
      <c r="A2558" t="str">
        <f>"20190305135243382"</f>
        <v>20190305135243382</v>
      </c>
      <c r="B2558" t="str">
        <f>"1551765163372052"</f>
        <v>1551765163372052</v>
      </c>
      <c r="C2558" t="s">
        <v>40</v>
      </c>
      <c r="D2558">
        <v>3.8957320000000002</v>
      </c>
      <c r="E2558">
        <v>0.4274345</v>
      </c>
      <c r="F2558" t="s">
        <v>41</v>
      </c>
      <c r="G2558">
        <v>-482.35599999999999</v>
      </c>
      <c r="H2558">
        <v>1.081429</v>
      </c>
      <c r="I2558">
        <v>279.49360000000001</v>
      </c>
      <c r="J2558">
        <v>-482.21510000000001</v>
      </c>
      <c r="K2558">
        <v>1.1229260000000001</v>
      </c>
      <c r="L2558">
        <v>280.21589999999998</v>
      </c>
      <c r="M2558">
        <v>-0.70229770000000002</v>
      </c>
      <c r="N2558">
        <v>-1.706382E-2</v>
      </c>
      <c r="O2558">
        <v>-0.71167899999999995</v>
      </c>
      <c r="P2558">
        <v>-0.46178950000000002</v>
      </c>
      <c r="Q2558">
        <v>-9.3595750000000005E-2</v>
      </c>
      <c r="R2558">
        <v>-0.88203779999999998</v>
      </c>
      <c r="S2558">
        <v>-0.9252319</v>
      </c>
      <c r="T2558">
        <v>-0.13580130000000001</v>
      </c>
      <c r="U2558">
        <v>-2.9133300000000002</v>
      </c>
      <c r="V2558">
        <v>-0.28806949999999998</v>
      </c>
      <c r="W2558">
        <v>-8.7120669999999997E-2</v>
      </c>
      <c r="X2558">
        <v>0.95363830000000005</v>
      </c>
      <c r="Y2558">
        <v>-0.45369989999999999</v>
      </c>
      <c r="Z2558">
        <v>9.100871E-3</v>
      </c>
      <c r="AA2558">
        <v>0.89110800000000001</v>
      </c>
      <c r="AB2558">
        <v>24</v>
      </c>
      <c r="AC2558">
        <v>-0.14089999999998701</v>
      </c>
      <c r="AD2558">
        <v>-4.1496999999999798E-2</v>
      </c>
      <c r="AE2558">
        <v>-0.72229999999996097</v>
      </c>
      <c r="AF2558">
        <v>-0.40576309341764399</v>
      </c>
      <c r="AG2558">
        <v>-4.1496999999999798E-2</v>
      </c>
      <c r="AH2558">
        <v>0.61114545461625103</v>
      </c>
      <c r="AI2558">
        <v>93.237636696739997</v>
      </c>
      <c r="AJ2558">
        <v>123.58172123216799</v>
      </c>
      <c r="AK2558">
        <v>0.73475469082337896</v>
      </c>
      <c r="AL2558">
        <v>94.997982668356698</v>
      </c>
      <c r="AM2558">
        <v>106.80821062133499</v>
      </c>
      <c r="AN2558">
        <v>1.00000002759919</v>
      </c>
    </row>
    <row r="2559" spans="1:40" x14ac:dyDescent="0.25">
      <c r="A2559" t="str">
        <f>"20190305135243393"</f>
        <v>20190305135243393</v>
      </c>
      <c r="B2559" t="str">
        <f>"1551765163381812"</f>
        <v>1551765163381812</v>
      </c>
      <c r="C2559" t="s">
        <v>40</v>
      </c>
      <c r="D2559">
        <v>3.9955859999999999</v>
      </c>
      <c r="E2559">
        <v>0.4281141</v>
      </c>
      <c r="F2559" t="s">
        <v>41</v>
      </c>
      <c r="G2559">
        <v>-482.48480000000001</v>
      </c>
      <c r="H2559">
        <v>1.081054</v>
      </c>
      <c r="I2559">
        <v>279.31330000000003</v>
      </c>
      <c r="J2559">
        <v>-482.2894</v>
      </c>
      <c r="K2559">
        <v>1.1229659999999999</v>
      </c>
      <c r="L2559">
        <v>280.12520000000001</v>
      </c>
      <c r="M2559">
        <v>-0.694747</v>
      </c>
      <c r="N2559">
        <v>-1.7101470000000001E-2</v>
      </c>
      <c r="O2559">
        <v>-0.719051</v>
      </c>
      <c r="P2559">
        <v>-0.4536482</v>
      </c>
      <c r="Q2559">
        <v>-9.3650830000000004E-2</v>
      </c>
      <c r="R2559">
        <v>-0.88624629999999904</v>
      </c>
      <c r="S2559">
        <v>-0.87475590000000003</v>
      </c>
      <c r="T2559">
        <v>-0.13584830000000001</v>
      </c>
      <c r="U2559">
        <v>-2.928741</v>
      </c>
      <c r="V2559">
        <v>-0.28677370000000002</v>
      </c>
      <c r="W2559">
        <v>-8.7121489999999996E-2</v>
      </c>
      <c r="X2559">
        <v>0.95402869999999995</v>
      </c>
      <c r="Y2559">
        <v>-0.4596655</v>
      </c>
      <c r="Z2559">
        <v>9.2383069999999994E-3</v>
      </c>
      <c r="AA2559">
        <v>0.888044099999999</v>
      </c>
      <c r="AB2559">
        <v>24</v>
      </c>
      <c r="AC2559">
        <v>-0.19540000000000601</v>
      </c>
      <c r="AD2559">
        <v>-4.1911999999999699E-2</v>
      </c>
      <c r="AE2559">
        <v>-0.81189999999997997</v>
      </c>
      <c r="AF2559">
        <v>-0.42256002997666797</v>
      </c>
      <c r="AG2559">
        <v>-4.1911999999999699E-2</v>
      </c>
      <c r="AH2559">
        <v>0.71784802679221305</v>
      </c>
      <c r="AI2559">
        <v>92.880435359088693</v>
      </c>
      <c r="AJ2559">
        <v>120.483122634018</v>
      </c>
      <c r="AK2559">
        <v>0.83403799928262101</v>
      </c>
      <c r="AL2559">
        <v>94.998029794498095</v>
      </c>
      <c r="AM2559">
        <v>106.730374403064</v>
      </c>
      <c r="AN2559">
        <v>1.0000000347275899</v>
      </c>
    </row>
    <row r="2560" spans="1:40" x14ac:dyDescent="0.25">
      <c r="A2560" t="str">
        <f>"20190305135243405"</f>
        <v>20190305135243405</v>
      </c>
      <c r="B2560" t="str">
        <f>"1551765163402308"</f>
        <v>1551765163402308</v>
      </c>
      <c r="C2560" t="s">
        <v>40</v>
      </c>
      <c r="D2560">
        <v>4.0733680000000003</v>
      </c>
      <c r="E2560">
        <v>0.42902299999999899</v>
      </c>
      <c r="F2560" t="s">
        <v>41</v>
      </c>
      <c r="G2560">
        <v>-482.55689999999998</v>
      </c>
      <c r="H2560">
        <v>1.079048</v>
      </c>
      <c r="I2560">
        <v>279.20429999999999</v>
      </c>
      <c r="J2560">
        <v>-482.36619999999999</v>
      </c>
      <c r="K2560">
        <v>1.1230059999999999</v>
      </c>
      <c r="L2560">
        <v>280.03039999999999</v>
      </c>
      <c r="M2560">
        <v>-0.68678890000000004</v>
      </c>
      <c r="N2560">
        <v>-1.713986E-2</v>
      </c>
      <c r="O2560">
        <v>-0.72665489999999999</v>
      </c>
      <c r="P2560">
        <v>-0.44479190000000002</v>
      </c>
      <c r="Q2560">
        <v>-9.3922889999999995E-2</v>
      </c>
      <c r="R2560">
        <v>-0.89069589999999998</v>
      </c>
      <c r="S2560">
        <v>-0.85241699999999998</v>
      </c>
      <c r="T2560">
        <v>-0.13994409999999999</v>
      </c>
      <c r="U2560">
        <v>-2.933929</v>
      </c>
      <c r="V2560">
        <v>-0.28574559999999999</v>
      </c>
      <c r="W2560">
        <v>-8.7350360000000002E-2</v>
      </c>
      <c r="X2560">
        <v>0.95431619999999995</v>
      </c>
      <c r="Y2560">
        <v>-0.45653860000000002</v>
      </c>
      <c r="Z2560">
        <v>1.037105E-2</v>
      </c>
      <c r="AA2560">
        <v>0.88964319999999897</v>
      </c>
      <c r="AB2560">
        <v>24</v>
      </c>
      <c r="AC2560">
        <v>-0.19069999999999199</v>
      </c>
      <c r="AD2560">
        <v>-4.39579999999999E-2</v>
      </c>
      <c r="AE2560">
        <v>-0.82609999999999595</v>
      </c>
      <c r="AF2560">
        <v>-0.427696455922776</v>
      </c>
      <c r="AG2560">
        <v>-4.39579999999999E-2</v>
      </c>
      <c r="AH2560">
        <v>0.72940685335683197</v>
      </c>
      <c r="AI2560">
        <v>92.975975209395003</v>
      </c>
      <c r="AJ2560">
        <v>120.385739207808</v>
      </c>
      <c r="AK2560">
        <v>0.84669411353618096</v>
      </c>
      <c r="AL2560">
        <v>95.011193329202797</v>
      </c>
      <c r="AM2560">
        <v>106.668985512636</v>
      </c>
      <c r="AN2560">
        <v>1.00000002144696</v>
      </c>
    </row>
    <row r="2561" spans="1:40" x14ac:dyDescent="0.25">
      <c r="A2561" t="str">
        <f>"20190305135243416"</f>
        <v>20190305135243416</v>
      </c>
      <c r="B2561" t="str">
        <f>"1551765163412069"</f>
        <v>1551765163412069</v>
      </c>
      <c r="C2561" t="s">
        <v>40</v>
      </c>
      <c r="D2561">
        <v>3.928264</v>
      </c>
      <c r="E2561">
        <v>0.42925679999999999</v>
      </c>
      <c r="F2561" t="s">
        <v>42</v>
      </c>
      <c r="G2561">
        <v>-488.745</v>
      </c>
      <c r="H2561" s="1">
        <v>-3.5734599999999999E-6</v>
      </c>
      <c r="I2561">
        <v>257.44369999999998</v>
      </c>
      <c r="J2561">
        <v>-482.43860000000001</v>
      </c>
      <c r="K2561">
        <v>1.1230420000000001</v>
      </c>
      <c r="L2561">
        <v>279.93729999999999</v>
      </c>
      <c r="M2561">
        <v>-0.67894169999999998</v>
      </c>
      <c r="N2561">
        <v>-1.717714E-2</v>
      </c>
      <c r="O2561">
        <v>-0.73399139999999996</v>
      </c>
      <c r="P2561">
        <v>-0.4363088</v>
      </c>
      <c r="Q2561">
        <v>-9.4876269999999999E-2</v>
      </c>
      <c r="R2561">
        <v>-0.89478139999999995</v>
      </c>
      <c r="S2561">
        <v>-0.82983399999999996</v>
      </c>
      <c r="T2561">
        <v>-0.14609610000000001</v>
      </c>
      <c r="U2561">
        <v>-2.9383849999999998</v>
      </c>
      <c r="V2561">
        <v>-0.28445399999999998</v>
      </c>
      <c r="W2561">
        <v>-8.8249649999999999E-2</v>
      </c>
      <c r="X2561">
        <v>0.9546192</v>
      </c>
      <c r="Y2561">
        <v>-0.45365460000000002</v>
      </c>
      <c r="Z2561">
        <v>1.190546E-2</v>
      </c>
      <c r="AA2561">
        <v>0.89109799999999995</v>
      </c>
      <c r="AB2561">
        <v>24</v>
      </c>
      <c r="AC2561">
        <v>-6.3063999999999902</v>
      </c>
      <c r="AD2561">
        <v>-1.12304557346</v>
      </c>
      <c r="AE2561">
        <v>-22.493600000000001</v>
      </c>
      <c r="AF2561">
        <v>-10.6200250291317</v>
      </c>
      <c r="AG2561">
        <v>-1.12304557346</v>
      </c>
      <c r="AH2561">
        <v>20.746904470984301</v>
      </c>
      <c r="AI2561">
        <v>92.758651075715207</v>
      </c>
      <c r="AJ2561">
        <v>117.10721657451199</v>
      </c>
      <c r="AK2561">
        <v>23.3340996849589</v>
      </c>
      <c r="AL2561">
        <v>95.062918981336395</v>
      </c>
      <c r="AM2561">
        <v>106.592815085463</v>
      </c>
      <c r="AN2561">
        <v>0.99999994792487901</v>
      </c>
    </row>
    <row r="2562" spans="1:40" x14ac:dyDescent="0.25">
      <c r="A2562" t="str">
        <f>"20190305135243428"</f>
        <v>20190305135243428</v>
      </c>
      <c r="B2562" t="str">
        <f>"1551765163421829"</f>
        <v>1551765163421829</v>
      </c>
      <c r="C2562" t="s">
        <v>40</v>
      </c>
      <c r="D2562">
        <v>3.9410120000000002</v>
      </c>
      <c r="E2562">
        <v>0.42950569999999999</v>
      </c>
      <c r="F2562" t="s">
        <v>41</v>
      </c>
      <c r="G2562">
        <v>-482.69189999999998</v>
      </c>
      <c r="H2562">
        <v>1.076403</v>
      </c>
      <c r="I2562">
        <v>279.00990000000002</v>
      </c>
      <c r="J2562">
        <v>-482.51510000000002</v>
      </c>
      <c r="K2562">
        <v>1.1230770000000001</v>
      </c>
      <c r="L2562">
        <v>279.83780000000002</v>
      </c>
      <c r="M2562">
        <v>-0.67048079999999999</v>
      </c>
      <c r="N2562">
        <v>-1.7215959999999999E-2</v>
      </c>
      <c r="O2562">
        <v>-0.74172729999999998</v>
      </c>
      <c r="P2562">
        <v>-0.42647550000000001</v>
      </c>
      <c r="Q2562">
        <v>-9.5622020000000002E-2</v>
      </c>
      <c r="R2562">
        <v>-0.89943050000000002</v>
      </c>
      <c r="S2562">
        <v>-0.80334469999999902</v>
      </c>
      <c r="T2562">
        <v>-0.14800389999999999</v>
      </c>
      <c r="U2562">
        <v>-2.9453740000000002</v>
      </c>
      <c r="V2562">
        <v>-0.28388540000000001</v>
      </c>
      <c r="W2562">
        <v>-8.8969119999999999E-2</v>
      </c>
      <c r="X2562">
        <v>0.95472170000000001</v>
      </c>
      <c r="Y2562">
        <v>-0.45143260000000002</v>
      </c>
      <c r="Z2562">
        <v>1.266283E-2</v>
      </c>
      <c r="AA2562">
        <v>0.89221539999999999</v>
      </c>
      <c r="AB2562">
        <v>24</v>
      </c>
      <c r="AC2562">
        <v>-0.17679999999995699</v>
      </c>
      <c r="AD2562">
        <v>-4.6674E-2</v>
      </c>
      <c r="AE2562">
        <v>-0.82789999999999897</v>
      </c>
      <c r="AF2562">
        <v>-0.42273148467576799</v>
      </c>
      <c r="AG2562">
        <v>-4.6674E-2</v>
      </c>
      <c r="AH2562">
        <v>0.73050503252161803</v>
      </c>
      <c r="AI2562">
        <v>93.165279071107506</v>
      </c>
      <c r="AJ2562">
        <v>120.057274497893</v>
      </c>
      <c r="AK2562">
        <v>0.84529164964028203</v>
      </c>
      <c r="AL2562">
        <v>95.104304234058603</v>
      </c>
      <c r="AM2562">
        <v>106.559785245214</v>
      </c>
      <c r="AN2562">
        <v>0.99999997454881195</v>
      </c>
    </row>
    <row r="2563" spans="1:40" x14ac:dyDescent="0.25">
      <c r="A2563" t="str">
        <f>"20190305135243441"</f>
        <v>20190305135243441</v>
      </c>
      <c r="B2563" t="str">
        <f>"1551765163432564"</f>
        <v>1551765163432564</v>
      </c>
      <c r="C2563" t="s">
        <v>40</v>
      </c>
      <c r="D2563">
        <v>4.0938059999999998</v>
      </c>
      <c r="E2563">
        <v>0.43021540000000003</v>
      </c>
      <c r="F2563" t="s">
        <v>41</v>
      </c>
      <c r="G2563">
        <v>-482.7713</v>
      </c>
      <c r="H2563">
        <v>1.073466</v>
      </c>
      <c r="I2563">
        <v>278.85939999999999</v>
      </c>
      <c r="J2563">
        <v>-482.59500000000003</v>
      </c>
      <c r="K2563">
        <v>1.123116</v>
      </c>
      <c r="L2563">
        <v>279.73070000000001</v>
      </c>
      <c r="M2563">
        <v>-0.66132480000000005</v>
      </c>
      <c r="N2563">
        <v>-1.7256899999999999E-2</v>
      </c>
      <c r="O2563">
        <v>-0.74990119999999905</v>
      </c>
      <c r="P2563">
        <v>-0.41617470000000001</v>
      </c>
      <c r="Q2563">
        <v>-9.6436540000000001E-2</v>
      </c>
      <c r="R2563">
        <v>-0.90415639999999997</v>
      </c>
      <c r="S2563">
        <v>-0.77313229999999999</v>
      </c>
      <c r="T2563">
        <v>-0.149724</v>
      </c>
      <c r="U2563">
        <v>-2.9529109999999998</v>
      </c>
      <c r="V2563">
        <v>-0.28297830000000002</v>
      </c>
      <c r="W2563">
        <v>-8.9742390000000005E-2</v>
      </c>
      <c r="X2563">
        <v>0.95491859999999995</v>
      </c>
      <c r="Y2563">
        <v>-0.44958029999999999</v>
      </c>
      <c r="Z2563">
        <v>1.341026E-2</v>
      </c>
      <c r="AA2563">
        <v>0.89313920000000002</v>
      </c>
      <c r="AB2563">
        <v>24</v>
      </c>
      <c r="AC2563">
        <v>-0.17629999999996901</v>
      </c>
      <c r="AD2563">
        <v>-4.9649999999999903E-2</v>
      </c>
      <c r="AE2563">
        <v>-0.87130000000001895</v>
      </c>
      <c r="AF2563">
        <v>-0.44268987714853503</v>
      </c>
      <c r="AG2563">
        <v>-4.9649999999999903E-2</v>
      </c>
      <c r="AH2563">
        <v>0.76770032010647904</v>
      </c>
      <c r="AI2563">
        <v>93.206710539114397</v>
      </c>
      <c r="AJ2563">
        <v>119.96964628699099</v>
      </c>
      <c r="AK2563">
        <v>0.88758280251555999</v>
      </c>
      <c r="AL2563">
        <v>95.148787290264906</v>
      </c>
      <c r="AM2563">
        <v>106.50653765736899</v>
      </c>
      <c r="AN2563">
        <v>0.99999997372988003</v>
      </c>
    </row>
    <row r="2564" spans="1:40" x14ac:dyDescent="0.25">
      <c r="A2564" t="str">
        <f>"20190305135243455"</f>
        <v>20190305135243455</v>
      </c>
      <c r="B2564" t="str">
        <f>"1551765163452085"</f>
        <v>1551765163452085</v>
      </c>
      <c r="C2564" t="s">
        <v>40</v>
      </c>
      <c r="D2564">
        <v>3.9668489999999998</v>
      </c>
      <c r="E2564">
        <v>0.4307397</v>
      </c>
      <c r="F2564" t="s">
        <v>42</v>
      </c>
      <c r="G2564">
        <v>-487.95960000000002</v>
      </c>
      <c r="H2564" s="1">
        <v>-4.1277079999999997E-6</v>
      </c>
      <c r="I2564">
        <v>258.41090000000003</v>
      </c>
      <c r="J2564">
        <v>-482.68009999999998</v>
      </c>
      <c r="K2564">
        <v>1.123159</v>
      </c>
      <c r="L2564">
        <v>279.61329999999998</v>
      </c>
      <c r="M2564">
        <v>-0.65122219999999997</v>
      </c>
      <c r="N2564">
        <v>-1.730044E-2</v>
      </c>
      <c r="O2564">
        <v>-0.75868999999999998</v>
      </c>
      <c r="P2564">
        <v>-0.40461710000000001</v>
      </c>
      <c r="Q2564">
        <v>-9.6971429999999997E-2</v>
      </c>
      <c r="R2564">
        <v>-0.90933039999999998</v>
      </c>
      <c r="S2564">
        <v>-0.74447629999999998</v>
      </c>
      <c r="T2564">
        <v>-0.1558621</v>
      </c>
      <c r="U2564">
        <v>-2.9586790000000001</v>
      </c>
      <c r="V2564">
        <v>-0.28229789999999999</v>
      </c>
      <c r="W2564">
        <v>-9.0241970000000005E-2</v>
      </c>
      <c r="X2564">
        <v>0.9550729</v>
      </c>
      <c r="Y2564">
        <v>-0.44615690000000002</v>
      </c>
      <c r="Z2564">
        <v>1.512614E-2</v>
      </c>
      <c r="AA2564">
        <v>0.89482689999999998</v>
      </c>
      <c r="AB2564">
        <v>24</v>
      </c>
      <c r="AC2564">
        <v>-5.2795000000000396</v>
      </c>
      <c r="AD2564">
        <v>-1.1231631277079901</v>
      </c>
      <c r="AE2564">
        <v>-21.202399999999901</v>
      </c>
      <c r="AF2564">
        <v>-9.7776002745241897</v>
      </c>
      <c r="AG2564">
        <v>-1.1231631277079901</v>
      </c>
      <c r="AH2564">
        <v>19.475635878362301</v>
      </c>
      <c r="AI2564">
        <v>92.950390042760006</v>
      </c>
      <c r="AJ2564">
        <v>116.658603840773</v>
      </c>
      <c r="AK2564">
        <v>21.821167599520699</v>
      </c>
      <c r="AL2564">
        <v>95.177527694760201</v>
      </c>
      <c r="AM2564">
        <v>106.466484949082</v>
      </c>
      <c r="AN2564">
        <v>0.99999998090414999</v>
      </c>
    </row>
    <row r="2565" spans="1:40" x14ac:dyDescent="0.25">
      <c r="A2565" t="str">
        <f>"20190305135243468"</f>
        <v>20190305135243468</v>
      </c>
      <c r="B2565" t="str">
        <f>"1551765163461845"</f>
        <v>1551765163461845</v>
      </c>
      <c r="C2565" t="s">
        <v>40</v>
      </c>
      <c r="D2565">
        <v>3.9766849999999998</v>
      </c>
      <c r="E2565">
        <v>0.4310311</v>
      </c>
      <c r="F2565" t="s">
        <v>41</v>
      </c>
      <c r="G2565">
        <v>-482.90870000000001</v>
      </c>
      <c r="H2565">
        <v>1.073334</v>
      </c>
      <c r="I2565">
        <v>278.65879999999999</v>
      </c>
      <c r="J2565">
        <v>-482.7645</v>
      </c>
      <c r="K2565">
        <v>1.1232</v>
      </c>
      <c r="L2565">
        <v>279.4939</v>
      </c>
      <c r="M2565">
        <v>-0.6408644</v>
      </c>
      <c r="N2565">
        <v>-1.734316E-2</v>
      </c>
      <c r="O2565">
        <v>-0.76745839999999999</v>
      </c>
      <c r="P2565">
        <v>-0.3928876</v>
      </c>
      <c r="Q2565">
        <v>-9.704583E-2</v>
      </c>
      <c r="R2565">
        <v>-0.91445180000000004</v>
      </c>
      <c r="S2565">
        <v>-0.71057130000000002</v>
      </c>
      <c r="T2565">
        <v>-0.1548312</v>
      </c>
      <c r="U2565">
        <v>-2.966431</v>
      </c>
      <c r="V2565">
        <v>-0.2816051</v>
      </c>
      <c r="W2565">
        <v>-9.0278460000000005E-2</v>
      </c>
      <c r="X2565">
        <v>0.95527399999999996</v>
      </c>
      <c r="Y2565">
        <v>-0.44421579999999999</v>
      </c>
      <c r="Z2565">
        <v>1.539714E-2</v>
      </c>
      <c r="AA2565">
        <v>0.89578749999999996</v>
      </c>
      <c r="AB2565">
        <v>24</v>
      </c>
      <c r="AC2565">
        <v>-0.14420000000001201</v>
      </c>
      <c r="AD2565">
        <v>-4.9865999999999903E-2</v>
      </c>
      <c r="AE2565">
        <v>-0.83510000000001094</v>
      </c>
      <c r="AF2565">
        <v>-0.42311715718696702</v>
      </c>
      <c r="AG2565">
        <v>-4.9865999999999903E-2</v>
      </c>
      <c r="AH2565">
        <v>0.73089670635802695</v>
      </c>
      <c r="AI2565">
        <v>93.379138142084699</v>
      </c>
      <c r="AJ2565">
        <v>120.066611965196</v>
      </c>
      <c r="AK2565">
        <v>0.846005166666844</v>
      </c>
      <c r="AL2565">
        <v>95.179626763437994</v>
      </c>
      <c r="AM2565">
        <v>106.424982988954</v>
      </c>
      <c r="AN2565">
        <v>1.0000000238809901</v>
      </c>
    </row>
    <row r="2566" spans="1:40" x14ac:dyDescent="0.25">
      <c r="A2566" t="str">
        <f>"20190305135243483"</f>
        <v>20190305135243483</v>
      </c>
      <c r="B2566" t="str">
        <f>"1551765163471604"</f>
        <v>1551765163471604</v>
      </c>
      <c r="C2566" t="s">
        <v>40</v>
      </c>
      <c r="D2566">
        <v>3.9670899999999998</v>
      </c>
      <c r="E2566">
        <v>0.43139810000000001</v>
      </c>
      <c r="F2566" t="s">
        <v>41</v>
      </c>
      <c r="G2566">
        <v>-482.98599999999999</v>
      </c>
      <c r="H2566">
        <v>1.072449</v>
      </c>
      <c r="I2566">
        <v>278.51580000000001</v>
      </c>
      <c r="J2566">
        <v>-482.8492</v>
      </c>
      <c r="K2566">
        <v>1.12324</v>
      </c>
      <c r="L2566">
        <v>279.37029999999999</v>
      </c>
      <c r="M2566">
        <v>-0.63006839999999997</v>
      </c>
      <c r="N2566">
        <v>-1.738547E-2</v>
      </c>
      <c r="O2566">
        <v>-0.77634499999999995</v>
      </c>
      <c r="P2566">
        <v>-0.38048539999999997</v>
      </c>
      <c r="Q2566">
        <v>-9.779069E-2</v>
      </c>
      <c r="R2566">
        <v>-0.91960180000000002</v>
      </c>
      <c r="S2566">
        <v>-0.67407229999999996</v>
      </c>
      <c r="T2566">
        <v>-0.15437819999999999</v>
      </c>
      <c r="U2566">
        <v>-2.9746700000000001</v>
      </c>
      <c r="V2566">
        <v>-0.28108149999999998</v>
      </c>
      <c r="W2566">
        <v>-9.0992290000000003E-2</v>
      </c>
      <c r="X2566">
        <v>0.9553604</v>
      </c>
      <c r="Y2566">
        <v>-0.4426795</v>
      </c>
      <c r="Z2566">
        <v>1.5774980000000001E-2</v>
      </c>
      <c r="AA2566">
        <v>0.89654109999999998</v>
      </c>
      <c r="AB2566">
        <v>24</v>
      </c>
      <c r="AC2566">
        <v>-0.13679999999999301</v>
      </c>
      <c r="AD2566">
        <v>-5.0791000000000003E-2</v>
      </c>
      <c r="AE2566">
        <v>-0.85449999999997295</v>
      </c>
      <c r="AF2566">
        <v>-0.43077088039102202</v>
      </c>
      <c r="AG2566">
        <v>-5.0791000000000003E-2</v>
      </c>
      <c r="AH2566">
        <v>0.74711981964930696</v>
      </c>
      <c r="AI2566">
        <v>93.370498033650804</v>
      </c>
      <c r="AJ2566">
        <v>119.966689638387</v>
      </c>
      <c r="AK2566">
        <v>0.86390468339202198</v>
      </c>
      <c r="AL2566">
        <v>95.2206956273846</v>
      </c>
      <c r="AM2566">
        <v>106.39468173262701</v>
      </c>
      <c r="AN2566">
        <v>0.99999995018492505</v>
      </c>
    </row>
    <row r="2567" spans="1:40" x14ac:dyDescent="0.25">
      <c r="A2567" t="str">
        <f>"20190305135243496"</f>
        <v>20190305135243496</v>
      </c>
      <c r="B2567" t="str">
        <f>"1551765163492101"</f>
        <v>1551765163492101</v>
      </c>
      <c r="C2567" t="s">
        <v>40</v>
      </c>
      <c r="D2567">
        <v>4.0133549999999998</v>
      </c>
      <c r="E2567">
        <v>0.43225639999999999</v>
      </c>
      <c r="F2567" t="s">
        <v>42</v>
      </c>
      <c r="G2567">
        <v>-487.46010000000001</v>
      </c>
      <c r="H2567" s="1">
        <v>-3.9426189999999996E-6</v>
      </c>
      <c r="I2567">
        <v>257.77289999999999</v>
      </c>
      <c r="J2567">
        <v>-482.91239999999999</v>
      </c>
      <c r="K2567">
        <v>1.1232679999999999</v>
      </c>
      <c r="L2567">
        <v>279.27460000000002</v>
      </c>
      <c r="M2567">
        <v>-0.6216701</v>
      </c>
      <c r="N2567">
        <v>-1.7416549999999999E-2</v>
      </c>
      <c r="O2567">
        <v>-0.78308559999999905</v>
      </c>
      <c r="P2567">
        <v>-0.37038080000000001</v>
      </c>
      <c r="Q2567">
        <v>-9.8254030000000006E-2</v>
      </c>
      <c r="R2567">
        <v>-0.92366899999999996</v>
      </c>
      <c r="S2567">
        <v>-0.63671880000000003</v>
      </c>
      <c r="T2567">
        <v>-0.15510579999999999</v>
      </c>
      <c r="U2567">
        <v>-2.9823300000000001</v>
      </c>
      <c r="V2567">
        <v>-0.28121370000000001</v>
      </c>
      <c r="W2567">
        <v>-9.1451589999999999E-2</v>
      </c>
      <c r="X2567">
        <v>0.95527770000000001</v>
      </c>
      <c r="Y2567">
        <v>-0.44422879999999998</v>
      </c>
      <c r="Z2567">
        <v>1.6222029999999998E-2</v>
      </c>
      <c r="AA2567">
        <v>0.89576650000000002</v>
      </c>
      <c r="AB2567">
        <v>24</v>
      </c>
      <c r="AC2567">
        <v>-4.5477000000000096</v>
      </c>
      <c r="AD2567">
        <v>-1.1232719426190001</v>
      </c>
      <c r="AE2567">
        <v>-21.5017</v>
      </c>
      <c r="AF2567">
        <v>-9.7816602760135893</v>
      </c>
      <c r="AG2567">
        <v>-1.1232719426190001</v>
      </c>
      <c r="AH2567">
        <v>19.616579069946599</v>
      </c>
      <c r="AI2567">
        <v>92.933493833424706</v>
      </c>
      <c r="AJ2567">
        <v>116.502794757537</v>
      </c>
      <c r="AK2567">
        <v>21.948867670563001</v>
      </c>
      <c r="AL2567">
        <v>95.247121440638907</v>
      </c>
      <c r="AM2567">
        <v>106.40332187683499</v>
      </c>
      <c r="AN2567">
        <v>1.00000001124925</v>
      </c>
    </row>
    <row r="2568" spans="1:40" x14ac:dyDescent="0.25">
      <c r="A2568" t="str">
        <f>"20190305135243507"</f>
        <v>20190305135243507</v>
      </c>
      <c r="B2568" t="str">
        <f>"1551765163501862"</f>
        <v>1551765163501862</v>
      </c>
      <c r="C2568" t="s">
        <v>40</v>
      </c>
      <c r="D2568">
        <v>4.1731629999999997</v>
      </c>
      <c r="E2568">
        <v>0.43301050000000002</v>
      </c>
      <c r="F2568" t="s">
        <v>41</v>
      </c>
      <c r="G2568">
        <v>-483.11320000000001</v>
      </c>
      <c r="H2568">
        <v>1.0727169999999999</v>
      </c>
      <c r="I2568">
        <v>278.2937</v>
      </c>
      <c r="J2568">
        <v>-482.98379999999997</v>
      </c>
      <c r="K2568">
        <v>1.1232979999999999</v>
      </c>
      <c r="L2568">
        <v>279.16520000000003</v>
      </c>
      <c r="M2568">
        <v>-0.61199769999999998</v>
      </c>
      <c r="N2568">
        <v>-1.7450830000000001E-2</v>
      </c>
      <c r="O2568">
        <v>-0.79066689999999995</v>
      </c>
      <c r="P2568">
        <v>-0.35874820000000002</v>
      </c>
      <c r="Q2568">
        <v>-9.8367910000000003E-2</v>
      </c>
      <c r="R2568">
        <v>-0.92823659999999997</v>
      </c>
      <c r="S2568">
        <v>-0.61077879999999996</v>
      </c>
      <c r="T2568">
        <v>-0.15385409999999999</v>
      </c>
      <c r="U2568">
        <v>-2.9866640000000002</v>
      </c>
      <c r="V2568">
        <v>-0.28145490000000001</v>
      </c>
      <c r="W2568">
        <v>-9.1563599999999995E-2</v>
      </c>
      <c r="X2568">
        <v>0.95519589999999999</v>
      </c>
      <c r="Y2568">
        <v>-0.44094169999999999</v>
      </c>
      <c r="Z2568">
        <v>1.642441E-2</v>
      </c>
      <c r="AA2568">
        <v>0.89738549999999995</v>
      </c>
      <c r="AB2568">
        <v>24</v>
      </c>
      <c r="AC2568">
        <v>-0.12940000000003199</v>
      </c>
      <c r="AD2568">
        <v>-5.0580999999999897E-2</v>
      </c>
      <c r="AE2568">
        <v>-0.87150000000002503</v>
      </c>
      <c r="AF2568">
        <v>-0.429693165423576</v>
      </c>
      <c r="AG2568">
        <v>-5.0580999999999897E-2</v>
      </c>
      <c r="AH2568">
        <v>0.765851620456659</v>
      </c>
      <c r="AI2568">
        <v>93.296528418131402</v>
      </c>
      <c r="AJ2568">
        <v>119.295293366107</v>
      </c>
      <c r="AK2568">
        <v>0.87961546060129203</v>
      </c>
      <c r="AL2568">
        <v>95.253566342636603</v>
      </c>
      <c r="AM2568">
        <v>106.417964168708</v>
      </c>
      <c r="AN2568">
        <v>0.99999998047788896</v>
      </c>
    </row>
    <row r="2569" spans="1:40" x14ac:dyDescent="0.25">
      <c r="A2569" t="str">
        <f>"20190305135243518"</f>
        <v>20190305135243518</v>
      </c>
      <c r="B2569" t="str">
        <f>"1551765163512597"</f>
        <v>1551765163512597</v>
      </c>
      <c r="C2569" t="s">
        <v>40</v>
      </c>
      <c r="D2569">
        <v>4.056972</v>
      </c>
      <c r="E2569">
        <v>0.43339480000000002</v>
      </c>
      <c r="F2569" t="s">
        <v>41</v>
      </c>
      <c r="G2569">
        <v>-483.178</v>
      </c>
      <c r="H2569">
        <v>1.0705910000000001</v>
      </c>
      <c r="I2569">
        <v>278.16129999999998</v>
      </c>
      <c r="J2569">
        <v>-483.04969999999997</v>
      </c>
      <c r="K2569">
        <v>1.123324</v>
      </c>
      <c r="L2569">
        <v>279.06</v>
      </c>
      <c r="M2569">
        <v>-0.602670699999999</v>
      </c>
      <c r="N2569">
        <v>-1.7481799999999999E-2</v>
      </c>
      <c r="O2569">
        <v>-0.79779860000000002</v>
      </c>
      <c r="P2569">
        <v>-0.34746490000000002</v>
      </c>
      <c r="Q2569">
        <v>-9.7390470000000007E-2</v>
      </c>
      <c r="R2569">
        <v>-0.9326219</v>
      </c>
      <c r="S2569">
        <v>-0.57830809999999999</v>
      </c>
      <c r="T2569">
        <v>-0.15704419999999999</v>
      </c>
      <c r="U2569">
        <v>-2.9917600000000002</v>
      </c>
      <c r="V2569">
        <v>-0.28191319999999997</v>
      </c>
      <c r="W2569">
        <v>-9.0589409999999995E-2</v>
      </c>
      <c r="X2569">
        <v>0.95515360000000005</v>
      </c>
      <c r="Y2569">
        <v>-0.44007109999999999</v>
      </c>
      <c r="Z2569">
        <v>1.7500390000000001E-2</v>
      </c>
      <c r="AA2569">
        <v>0.89779240000000005</v>
      </c>
      <c r="AB2569">
        <v>24</v>
      </c>
      <c r="AC2569">
        <v>-0.12830000000008099</v>
      </c>
      <c r="AD2569">
        <v>-5.2732999999999898E-2</v>
      </c>
      <c r="AE2569">
        <v>-0.89870000000001904</v>
      </c>
      <c r="AF2569">
        <v>-0.43785228405207899</v>
      </c>
      <c r="AG2569">
        <v>-5.2732999999999898E-2</v>
      </c>
      <c r="AH2569">
        <v>0.79175402836369801</v>
      </c>
      <c r="AI2569">
        <v>93.3356547594055</v>
      </c>
      <c r="AJ2569">
        <v>118.94327578573601</v>
      </c>
      <c r="AK2569">
        <v>0.90629456214233495</v>
      </c>
      <c r="AL2569">
        <v>95.197516591368498</v>
      </c>
      <c r="AM2569">
        <v>106.443943976068</v>
      </c>
      <c r="AN2569">
        <v>0.99999994656567204</v>
      </c>
    </row>
    <row r="2570" spans="1:40" x14ac:dyDescent="0.25">
      <c r="A2570" t="str">
        <f>"20190305135243531"</f>
        <v>20190305135243531</v>
      </c>
      <c r="B2570" t="str">
        <f>"1551765163522357"</f>
        <v>1551765163522357</v>
      </c>
      <c r="C2570" t="s">
        <v>40</v>
      </c>
      <c r="D2570">
        <v>4.0470509999999997</v>
      </c>
      <c r="E2570">
        <v>0.43381449999999999</v>
      </c>
      <c r="F2570" t="s">
        <v>42</v>
      </c>
      <c r="G2570">
        <v>-487.02929999999998</v>
      </c>
      <c r="H2570" s="1">
        <v>-3.7597190000000001E-6</v>
      </c>
      <c r="I2570">
        <v>257.16840000000002</v>
      </c>
      <c r="J2570">
        <v>-483.11790000000002</v>
      </c>
      <c r="K2570">
        <v>1.1233500000000001</v>
      </c>
      <c r="L2570">
        <v>278.94880000000001</v>
      </c>
      <c r="M2570">
        <v>-0.59275769999999905</v>
      </c>
      <c r="N2570">
        <v>-1.7512860000000002E-2</v>
      </c>
      <c r="O2570">
        <v>-0.80519039999999997</v>
      </c>
      <c r="P2570">
        <v>-0.33584649999999999</v>
      </c>
      <c r="Q2570">
        <v>-9.5868200000000001E-2</v>
      </c>
      <c r="R2570">
        <v>-0.9370252</v>
      </c>
      <c r="S2570">
        <v>-0.54492189999999996</v>
      </c>
      <c r="T2570">
        <v>-0.15381779999999901</v>
      </c>
      <c r="U2570">
        <v>-2.99762</v>
      </c>
      <c r="V2570">
        <v>-0.28211449999999999</v>
      </c>
      <c r="W2570">
        <v>-8.9057460000000005E-2</v>
      </c>
      <c r="X2570">
        <v>0.95523829999999998</v>
      </c>
      <c r="Y2570">
        <v>-0.43895970000000001</v>
      </c>
      <c r="Z2570">
        <v>1.7206220000000001E-2</v>
      </c>
      <c r="AA2570">
        <v>0.89834199999999997</v>
      </c>
      <c r="AB2570">
        <v>24</v>
      </c>
      <c r="AC2570">
        <v>-3.9113999999999498</v>
      </c>
      <c r="AD2570">
        <v>-1.123353759719</v>
      </c>
      <c r="AE2570">
        <v>-21.780399999999901</v>
      </c>
      <c r="AF2570">
        <v>-9.7374818200916007</v>
      </c>
      <c r="AG2570">
        <v>-1.123353759719</v>
      </c>
      <c r="AH2570">
        <v>19.8078821974165</v>
      </c>
      <c r="AI2570">
        <v>92.913560278744797</v>
      </c>
      <c r="AJ2570">
        <v>116.178561120228</v>
      </c>
      <c r="AK2570">
        <v>22.100512958137799</v>
      </c>
      <c r="AL2570">
        <v>95.109385702844406</v>
      </c>
      <c r="AM2570">
        <v>106.453670747082</v>
      </c>
      <c r="AN2570">
        <v>1.00000001603939</v>
      </c>
    </row>
    <row r="2571" spans="1:40" x14ac:dyDescent="0.25">
      <c r="A2571" t="str">
        <f>"20190305135243542"</f>
        <v>20190305135243542</v>
      </c>
      <c r="B2571" t="str">
        <f>"1551765163532116"</f>
        <v>1551765163532116</v>
      </c>
      <c r="C2571" t="s">
        <v>40</v>
      </c>
      <c r="D2571">
        <v>4.0458540000000003</v>
      </c>
      <c r="E2571">
        <v>0.4342356</v>
      </c>
      <c r="F2571" t="s">
        <v>41</v>
      </c>
      <c r="G2571">
        <v>-483.2878</v>
      </c>
      <c r="H2571">
        <v>1.073906</v>
      </c>
      <c r="I2571">
        <v>277.95190000000002</v>
      </c>
      <c r="J2571">
        <v>-483.18060000000003</v>
      </c>
      <c r="K2571">
        <v>1.1233759999999999</v>
      </c>
      <c r="L2571">
        <v>278.84429999999998</v>
      </c>
      <c r="M2571">
        <v>-0.58338369999999995</v>
      </c>
      <c r="N2571">
        <v>-1.754062E-2</v>
      </c>
      <c r="O2571">
        <v>-0.81200740000000005</v>
      </c>
      <c r="P2571">
        <v>-0.32506390000000002</v>
      </c>
      <c r="Q2571">
        <v>-9.4054810000000003E-2</v>
      </c>
      <c r="R2571">
        <v>-0.94100340000000005</v>
      </c>
      <c r="S2571">
        <v>-0.51101679999999905</v>
      </c>
      <c r="T2571">
        <v>-0.14887030000000001</v>
      </c>
      <c r="U2571">
        <v>-3.0032350000000001</v>
      </c>
      <c r="V2571">
        <v>-0.28217809999999999</v>
      </c>
      <c r="W2571">
        <v>-8.7228280000000005E-2</v>
      </c>
      <c r="X2571">
        <v>0.95538820000000002</v>
      </c>
      <c r="Y2571">
        <v>-0.4386854</v>
      </c>
      <c r="Z2571">
        <v>1.646452E-2</v>
      </c>
      <c r="AA2571">
        <v>0.89848980000000001</v>
      </c>
      <c r="AB2571">
        <v>24</v>
      </c>
      <c r="AC2571">
        <v>-0.10719999999997699</v>
      </c>
      <c r="AD2571">
        <v>-4.9469999999999903E-2</v>
      </c>
      <c r="AE2571">
        <v>-0.89239999999995201</v>
      </c>
      <c r="AF2571">
        <v>-0.43232145150683798</v>
      </c>
      <c r="AG2571">
        <v>-4.9469999999999903E-2</v>
      </c>
      <c r="AH2571">
        <v>0.78491741726898301</v>
      </c>
      <c r="AI2571">
        <v>93.159853256535797</v>
      </c>
      <c r="AJ2571">
        <v>118.845353592617</v>
      </c>
      <c r="AK2571">
        <v>0.89746558166048396</v>
      </c>
      <c r="AL2571">
        <v>95.0041723042645</v>
      </c>
      <c r="AM2571">
        <v>106.454736951857</v>
      </c>
      <c r="AN2571">
        <v>0.99999993282530197</v>
      </c>
    </row>
    <row r="2572" spans="1:40" x14ac:dyDescent="0.25">
      <c r="A2572" t="str">
        <f>"20190305135243555"</f>
        <v>20190305135243555</v>
      </c>
      <c r="B2572" t="str">
        <f>"1551765163552613"</f>
        <v>1551765163552613</v>
      </c>
      <c r="C2572" t="s">
        <v>40</v>
      </c>
      <c r="D2572">
        <v>4.1143679999999998</v>
      </c>
      <c r="E2572">
        <v>0.43550899999999998</v>
      </c>
      <c r="F2572" t="s">
        <v>42</v>
      </c>
      <c r="G2572">
        <v>-486.94670000000002</v>
      </c>
      <c r="H2572" s="1">
        <v>-2.9350069999999998E-6</v>
      </c>
      <c r="I2572">
        <v>255.21190000000001</v>
      </c>
      <c r="J2572">
        <v>-483.24160000000001</v>
      </c>
      <c r="K2572">
        <v>1.1233869999999999</v>
      </c>
      <c r="L2572">
        <v>278.73849999999999</v>
      </c>
      <c r="M2572">
        <v>-0.57387519999999903</v>
      </c>
      <c r="N2572">
        <v>-1.756607E-2</v>
      </c>
      <c r="O2572">
        <v>-0.818754599999999</v>
      </c>
      <c r="P2572">
        <v>-0.314386</v>
      </c>
      <c r="Q2572">
        <v>-9.2542639999999995E-2</v>
      </c>
      <c r="R2572">
        <v>-0.94477370000000005</v>
      </c>
      <c r="S2572">
        <v>-0.47940060000000001</v>
      </c>
      <c r="T2572">
        <v>-0.14299829999999999</v>
      </c>
      <c r="U2572">
        <v>-3.0082399999999998</v>
      </c>
      <c r="V2572">
        <v>-0.2819953</v>
      </c>
      <c r="W2572">
        <v>-8.5689689999999999E-2</v>
      </c>
      <c r="X2572">
        <v>0.95558140000000003</v>
      </c>
      <c r="Y2572">
        <v>-0.43765739999999997</v>
      </c>
      <c r="Z2572">
        <v>1.550169E-2</v>
      </c>
      <c r="AA2572">
        <v>0.89900820000000004</v>
      </c>
      <c r="AB2572">
        <v>24</v>
      </c>
      <c r="AC2572">
        <v>-3.7051000000000101</v>
      </c>
      <c r="AD2572">
        <v>-1.123389935007</v>
      </c>
      <c r="AE2572">
        <v>-23.526599999999899</v>
      </c>
      <c r="AF2572">
        <v>-10.446136654966899</v>
      </c>
      <c r="AG2572">
        <v>-1.123389935007</v>
      </c>
      <c r="AH2572">
        <v>21.344584584898499</v>
      </c>
      <c r="AI2572">
        <v>92.706549914037794</v>
      </c>
      <c r="AJ2572">
        <v>116.077335885979</v>
      </c>
      <c r="AK2572">
        <v>23.790230496197498</v>
      </c>
      <c r="AL2572">
        <v>94.915686186210095</v>
      </c>
      <c r="AM2572">
        <v>106.44150805168999</v>
      </c>
      <c r="AN2572">
        <v>0.99999994211017096</v>
      </c>
    </row>
    <row r="2573" spans="1:40" x14ac:dyDescent="0.25">
      <c r="A2573" t="str">
        <f>"20190305135243568"</f>
        <v>20190305135243568</v>
      </c>
      <c r="B2573" t="str">
        <f>"1551765163562373"</f>
        <v>1551765163562373</v>
      </c>
      <c r="C2573" t="s">
        <v>40</v>
      </c>
      <c r="D2573">
        <v>4.0991239999999998</v>
      </c>
      <c r="E2573">
        <v>0.43598940000000003</v>
      </c>
      <c r="F2573" t="s">
        <v>41</v>
      </c>
      <c r="G2573">
        <v>-483.3963</v>
      </c>
      <c r="H2573">
        <v>1.0758350000000001</v>
      </c>
      <c r="I2573">
        <v>277.71510000000001</v>
      </c>
      <c r="J2573">
        <v>-483.30970000000002</v>
      </c>
      <c r="K2573">
        <v>1.123394</v>
      </c>
      <c r="L2573">
        <v>278.6182</v>
      </c>
      <c r="M2573">
        <v>-0.56300419999999995</v>
      </c>
      <c r="N2573">
        <v>-1.759322E-2</v>
      </c>
      <c r="O2573">
        <v>-0.82626669999999902</v>
      </c>
      <c r="P2573">
        <v>-0.30261009999999999</v>
      </c>
      <c r="Q2573">
        <v>-9.1906790000000002E-2</v>
      </c>
      <c r="R2573">
        <v>-0.94867290000000004</v>
      </c>
      <c r="S2573">
        <v>-0.45501710000000001</v>
      </c>
      <c r="T2573">
        <v>-0.1398875</v>
      </c>
      <c r="U2573">
        <v>-3.0102540000000002</v>
      </c>
      <c r="V2573">
        <v>-0.2813097</v>
      </c>
      <c r="W2573">
        <v>-8.5006709999999999E-2</v>
      </c>
      <c r="X2573">
        <v>0.95584449999999999</v>
      </c>
      <c r="Y2573">
        <v>-0.4329829</v>
      </c>
      <c r="Z2573">
        <v>1.526373E-2</v>
      </c>
      <c r="AA2573">
        <v>0.90127290000000004</v>
      </c>
      <c r="AB2573">
        <v>24</v>
      </c>
      <c r="AC2573">
        <v>-8.6599999999975794E-2</v>
      </c>
      <c r="AD2573">
        <v>-4.75589999999999E-2</v>
      </c>
      <c r="AE2573">
        <v>-0.90309999999999402</v>
      </c>
      <c r="AF2573">
        <v>-0.43576456020989202</v>
      </c>
      <c r="AG2573">
        <v>-4.75589999999999E-2</v>
      </c>
      <c r="AH2573">
        <v>0.79290180971784496</v>
      </c>
      <c r="AI2573">
        <v>93.009013843542405</v>
      </c>
      <c r="AJ2573">
        <v>118.792402940282</v>
      </c>
      <c r="AK2573">
        <v>0.90600545818982503</v>
      </c>
      <c r="AL2573">
        <v>94.876410730009596</v>
      </c>
      <c r="AM2573">
        <v>106.39941332994501</v>
      </c>
      <c r="AN2573">
        <v>0.99999999811968199</v>
      </c>
    </row>
    <row r="2574" spans="1:40" x14ac:dyDescent="0.25">
      <c r="A2574" t="str">
        <f>"20190305135243584"</f>
        <v>20190305135243584</v>
      </c>
      <c r="B2574" t="str">
        <f>"1551765163572133"</f>
        <v>1551765163572133</v>
      </c>
      <c r="C2574" t="s">
        <v>40</v>
      </c>
      <c r="D2574">
        <v>4.0910469999999997</v>
      </c>
      <c r="E2574">
        <v>0.4364577</v>
      </c>
      <c r="F2574" t="s">
        <v>41</v>
      </c>
      <c r="G2574">
        <v>-483.4529</v>
      </c>
      <c r="H2574">
        <v>1.076484</v>
      </c>
      <c r="I2574">
        <v>277.59309999999999</v>
      </c>
      <c r="J2574">
        <v>-483.392</v>
      </c>
      <c r="K2574">
        <v>1.123386</v>
      </c>
      <c r="L2574">
        <v>278.46719999999999</v>
      </c>
      <c r="M2574">
        <v>-0.54930570000000001</v>
      </c>
      <c r="N2574">
        <v>-1.7623239999999998E-2</v>
      </c>
      <c r="O2574">
        <v>-0.83543559999999994</v>
      </c>
      <c r="P2574">
        <v>-0.28837239999999997</v>
      </c>
      <c r="Q2574">
        <v>-9.3674419999999994E-2</v>
      </c>
      <c r="R2574">
        <v>-0.95292529999999998</v>
      </c>
      <c r="S2574">
        <v>-0.4205933</v>
      </c>
      <c r="T2574">
        <v>-0.13792370000000001</v>
      </c>
      <c r="U2574">
        <v>-3.0148320000000002</v>
      </c>
      <c r="V2574">
        <v>-0.27970889999999998</v>
      </c>
      <c r="W2574">
        <v>-8.6690130000000004E-2</v>
      </c>
      <c r="X2574">
        <v>0.95616299999999999</v>
      </c>
      <c r="Y2574">
        <v>-0.42840590000000001</v>
      </c>
      <c r="Z2574">
        <v>1.5331829999999999E-2</v>
      </c>
      <c r="AA2574">
        <v>0.90345629999999999</v>
      </c>
      <c r="AB2574">
        <v>24</v>
      </c>
      <c r="AC2574">
        <v>-6.0900000000003701E-2</v>
      </c>
      <c r="AD2574">
        <v>-4.6901999999999999E-2</v>
      </c>
      <c r="AE2574">
        <v>-0.87409999999999799</v>
      </c>
      <c r="AF2574">
        <v>-0.42811013856586599</v>
      </c>
      <c r="AG2574">
        <v>-4.6901999999999999E-2</v>
      </c>
      <c r="AH2574">
        <v>0.76164333566314801</v>
      </c>
      <c r="AI2574">
        <v>93.072750421695602</v>
      </c>
      <c r="AJ2574">
        <v>119.33979314480899</v>
      </c>
      <c r="AK2574">
        <v>0.87497351908899101</v>
      </c>
      <c r="AL2574">
        <v>94.973221171562102</v>
      </c>
      <c r="AM2574">
        <v>106.305921467844</v>
      </c>
      <c r="AN2574">
        <v>0.99999996497381205</v>
      </c>
    </row>
    <row r="2575" spans="1:40" x14ac:dyDescent="0.25">
      <c r="A2575" t="str">
        <f>"20190305135243600"</f>
        <v>20190305135243600</v>
      </c>
      <c r="B2575" t="str">
        <f>"1551765163591654"</f>
        <v>1551765163591654</v>
      </c>
      <c r="C2575" t="s">
        <v>40</v>
      </c>
      <c r="D2575">
        <v>4.1267779999999998</v>
      </c>
      <c r="E2575">
        <v>0.43771179999999899</v>
      </c>
      <c r="F2575" t="s">
        <v>42</v>
      </c>
      <c r="G2575">
        <v>-486.37630000000001</v>
      </c>
      <c r="H2575" s="1">
        <v>-2.8152460000000002E-6</v>
      </c>
      <c r="I2575">
        <v>254.6969</v>
      </c>
      <c r="J2575">
        <v>-483.46409999999997</v>
      </c>
      <c r="K2575">
        <v>1.1233759999999999</v>
      </c>
      <c r="L2575">
        <v>278.32859999999999</v>
      </c>
      <c r="M2575">
        <v>-0.53668700000000003</v>
      </c>
      <c r="N2575">
        <v>-1.764632E-2</v>
      </c>
      <c r="O2575">
        <v>-0.84359719999999905</v>
      </c>
      <c r="P2575">
        <v>-0.27470029999999901</v>
      </c>
      <c r="Q2575">
        <v>-9.5049839999999997E-2</v>
      </c>
      <c r="R2575">
        <v>-0.95682069999999997</v>
      </c>
      <c r="S2575">
        <v>-0.37908940000000002</v>
      </c>
      <c r="T2575">
        <v>-0.1427003</v>
      </c>
      <c r="U2575">
        <v>-3.0194700000000001</v>
      </c>
      <c r="V2575">
        <v>-0.27890799999999999</v>
      </c>
      <c r="W2575">
        <v>-8.8012950000000006E-2</v>
      </c>
      <c r="X2575">
        <v>0.95627609999999996</v>
      </c>
      <c r="Y2575">
        <v>-0.42721559999999997</v>
      </c>
      <c r="Z2575">
        <v>1.6879390000000001E-2</v>
      </c>
      <c r="AA2575">
        <v>0.90399220000000002</v>
      </c>
      <c r="AB2575">
        <v>24</v>
      </c>
      <c r="AC2575">
        <v>-2.9122000000000399</v>
      </c>
      <c r="AD2575">
        <v>-1.123378815246</v>
      </c>
      <c r="AE2575">
        <v>-23.631699999999899</v>
      </c>
      <c r="AF2575">
        <v>-10.204976224613301</v>
      </c>
      <c r="AG2575">
        <v>-1.123378815246</v>
      </c>
      <c r="AH2575">
        <v>21.454161751441202</v>
      </c>
      <c r="AI2575">
        <v>92.707218460073094</v>
      </c>
      <c r="AJ2575">
        <v>115.43875927355801</v>
      </c>
      <c r="AK2575">
        <v>23.784124456545999</v>
      </c>
      <c r="AL2575">
        <v>95.049304002592393</v>
      </c>
      <c r="AM2575">
        <v>106.259880991415</v>
      </c>
      <c r="AN2575">
        <v>0.99999996563145499</v>
      </c>
    </row>
    <row r="2576" spans="1:40" x14ac:dyDescent="0.25">
      <c r="A2576" t="str">
        <f>"20190305135243613"</f>
        <v>20190305135243613</v>
      </c>
      <c r="B2576" t="str">
        <f>"1551765163602389"</f>
        <v>1551765163602389</v>
      </c>
      <c r="C2576" t="s">
        <v>40</v>
      </c>
      <c r="D2576">
        <v>4.1307739999999997</v>
      </c>
      <c r="E2576">
        <v>0.43826100000000001</v>
      </c>
      <c r="F2576" t="s">
        <v>42</v>
      </c>
      <c r="G2576">
        <v>-486.1001</v>
      </c>
      <c r="H2576" s="1">
        <v>-3.117547E-6</v>
      </c>
      <c r="I2576">
        <v>255.28729999999999</v>
      </c>
      <c r="J2576">
        <v>-483.52440000000001</v>
      </c>
      <c r="K2576">
        <v>1.1233580000000001</v>
      </c>
      <c r="L2576">
        <v>278.209</v>
      </c>
      <c r="M2576">
        <v>-0.52577069999999904</v>
      </c>
      <c r="N2576">
        <v>-1.766326E-2</v>
      </c>
      <c r="O2576">
        <v>-0.85044299999999995</v>
      </c>
      <c r="P2576">
        <v>-0.26300420000000002</v>
      </c>
      <c r="Q2576">
        <v>-9.677007E-2</v>
      </c>
      <c r="R2576">
        <v>-0.95992929999999999</v>
      </c>
      <c r="S2576">
        <v>-0.345672599999999</v>
      </c>
      <c r="T2576">
        <v>-0.1473159</v>
      </c>
      <c r="U2576">
        <v>-3.0215450000000001</v>
      </c>
      <c r="V2576">
        <v>-0.27810669999999998</v>
      </c>
      <c r="W2576">
        <v>-8.9683879999999994E-2</v>
      </c>
      <c r="X2576">
        <v>0.95635429999999999</v>
      </c>
      <c r="Y2576">
        <v>-0.42549320000000002</v>
      </c>
      <c r="Z2576">
        <v>1.838658E-2</v>
      </c>
      <c r="AA2576">
        <v>0.90477479999999999</v>
      </c>
      <c r="AB2576">
        <v>24</v>
      </c>
      <c r="AC2576">
        <v>-2.5756999999999799</v>
      </c>
      <c r="AD2576">
        <v>-1.123361117547</v>
      </c>
      <c r="AE2576">
        <v>-22.921700000000001</v>
      </c>
      <c r="AF2576">
        <v>-9.8392725562725794</v>
      </c>
      <c r="AG2576">
        <v>-1.123361117547</v>
      </c>
      <c r="AH2576">
        <v>20.801739057144999</v>
      </c>
      <c r="AI2576">
        <v>92.794825547114499</v>
      </c>
      <c r="AJ2576">
        <v>115.31426173803899</v>
      </c>
      <c r="AK2576">
        <v>23.038784092017298</v>
      </c>
      <c r="AL2576">
        <v>95.145420994238293</v>
      </c>
      <c r="AM2576">
        <v>106.214368324774</v>
      </c>
      <c r="AN2576">
        <v>1.00000004102261</v>
      </c>
    </row>
    <row r="2577" spans="1:40" x14ac:dyDescent="0.25">
      <c r="A2577" t="str">
        <f>"20190305135243631"</f>
        <v>20190305135243631</v>
      </c>
      <c r="B2577" t="str">
        <f>"1551765163621910"</f>
        <v>1551765163621910</v>
      </c>
      <c r="C2577" t="s">
        <v>40</v>
      </c>
      <c r="D2577">
        <v>4.2021759999999997</v>
      </c>
      <c r="E2577">
        <v>0.43948579999999998</v>
      </c>
      <c r="F2577" t="s">
        <v>42</v>
      </c>
      <c r="G2577">
        <v>-485.84480000000002</v>
      </c>
      <c r="H2577" s="1">
        <v>-3.3941569999999999E-6</v>
      </c>
      <c r="I2577">
        <v>255.82650000000001</v>
      </c>
      <c r="J2577">
        <v>-483.6071</v>
      </c>
      <c r="K2577">
        <v>1.123326</v>
      </c>
      <c r="L2577">
        <v>278.03870000000001</v>
      </c>
      <c r="M2577">
        <v>-0.51015909999999998</v>
      </c>
      <c r="N2577">
        <v>-1.7682659999999999E-2</v>
      </c>
      <c r="O2577">
        <v>-0.8598983</v>
      </c>
      <c r="P2577">
        <v>-0.2480897</v>
      </c>
      <c r="Q2577">
        <v>-9.8151600000000006E-2</v>
      </c>
      <c r="R2577">
        <v>-0.96375200000000005</v>
      </c>
      <c r="S2577">
        <v>-0.31350709999999998</v>
      </c>
      <c r="T2577">
        <v>-0.15177019999999999</v>
      </c>
      <c r="U2577">
        <v>-3.0239560000000001</v>
      </c>
      <c r="V2577">
        <v>-0.27536699999999997</v>
      </c>
      <c r="W2577">
        <v>-9.0927270000000004E-2</v>
      </c>
      <c r="X2577">
        <v>0.95702940000000003</v>
      </c>
      <c r="Y2577">
        <v>-0.41855759999999997</v>
      </c>
      <c r="Z2577">
        <v>2.0130240000000001E-2</v>
      </c>
      <c r="AA2577">
        <v>0.90796719999999997</v>
      </c>
      <c r="AB2577">
        <v>24</v>
      </c>
      <c r="AC2577">
        <v>-2.23770000000001</v>
      </c>
      <c r="AD2577">
        <v>-1.1233293941569999</v>
      </c>
      <c r="AE2577">
        <v>-22.212199999999999</v>
      </c>
      <c r="AF2577">
        <v>-9.38526979434873</v>
      </c>
      <c r="AG2577">
        <v>-1.1233293941569999</v>
      </c>
      <c r="AH2577">
        <v>20.1938519274002</v>
      </c>
      <c r="AI2577">
        <v>92.887857045045095</v>
      </c>
      <c r="AJ2577">
        <v>114.92706240286201</v>
      </c>
      <c r="AK2577">
        <v>22.296565065190102</v>
      </c>
      <c r="AL2577">
        <v>95.216954420526605</v>
      </c>
      <c r="AM2577">
        <v>106.052165966014</v>
      </c>
      <c r="AN2577">
        <v>1.0000000127915001</v>
      </c>
    </row>
    <row r="2578" spans="1:40" x14ac:dyDescent="0.25">
      <c r="A2578" t="str">
        <f>"20190305135243647"</f>
        <v>20190305135243647</v>
      </c>
      <c r="B2578" t="str">
        <f>"1551765163642405"</f>
        <v>1551765163642405</v>
      </c>
      <c r="C2578" t="s">
        <v>40</v>
      </c>
      <c r="D2578">
        <v>4.2003560000000002</v>
      </c>
      <c r="E2578">
        <v>0.46796179999999898</v>
      </c>
      <c r="F2578" t="s">
        <v>42</v>
      </c>
      <c r="G2578">
        <v>-485.58589999999998</v>
      </c>
      <c r="H2578" s="1">
        <v>-3.6425740000000002E-6</v>
      </c>
      <c r="I2578">
        <v>256.29849999999999</v>
      </c>
      <c r="J2578">
        <v>-483.67360000000002</v>
      </c>
      <c r="K2578">
        <v>1.1233010000000001</v>
      </c>
      <c r="L2578">
        <v>277.89609999999999</v>
      </c>
      <c r="M2578">
        <v>-0.49706050000000002</v>
      </c>
      <c r="N2578">
        <v>-1.7694939999999999E-2</v>
      </c>
      <c r="O2578">
        <v>-0.86753549999999902</v>
      </c>
      <c r="P2578">
        <v>-0.23526939999999999</v>
      </c>
      <c r="Q2578">
        <v>-9.8156649999999998E-2</v>
      </c>
      <c r="R2578">
        <v>-0.96696099999999996</v>
      </c>
      <c r="S2578">
        <v>-0.27542109999999997</v>
      </c>
      <c r="T2578">
        <v>-0.15635569999999999</v>
      </c>
      <c r="U2578">
        <v>-3.0260009999999999</v>
      </c>
      <c r="V2578">
        <v>-0.27357219999999999</v>
      </c>
      <c r="W2578">
        <v>-9.0833049999999999E-2</v>
      </c>
      <c r="X2578">
        <v>0.95755290000000004</v>
      </c>
      <c r="Y2578">
        <v>-0.41616609999999998</v>
      </c>
      <c r="Z2578">
        <v>2.1767950000000001E-2</v>
      </c>
      <c r="AA2578">
        <v>0.90902799999999995</v>
      </c>
      <c r="AB2578">
        <v>24</v>
      </c>
      <c r="AC2578">
        <v>-1.9122999999999599</v>
      </c>
      <c r="AD2578">
        <v>-1.1233046425740001</v>
      </c>
      <c r="AE2578">
        <v>-21.5976</v>
      </c>
      <c r="AF2578">
        <v>-9.0534465497960692</v>
      </c>
      <c r="AG2578">
        <v>-1.1233046425740001</v>
      </c>
      <c r="AH2578">
        <v>19.6375869214652</v>
      </c>
      <c r="AI2578">
        <v>92.973670723245704</v>
      </c>
      <c r="AJ2578">
        <v>114.75095041595</v>
      </c>
      <c r="AK2578">
        <v>21.653210566753</v>
      </c>
      <c r="AL2578">
        <v>95.211533782948194</v>
      </c>
      <c r="AM2578">
        <v>105.944602454771</v>
      </c>
      <c r="AN2578">
        <v>0.99999997394177498</v>
      </c>
    </row>
    <row r="2579" spans="1:40" x14ac:dyDescent="0.25">
      <c r="A2579" t="str">
        <f>"20190305135243664"</f>
        <v>20190305135243664</v>
      </c>
      <c r="B2579" t="str">
        <f>"1551765163652167"</f>
        <v>1551765163652167</v>
      </c>
      <c r="C2579" t="s">
        <v>40</v>
      </c>
      <c r="D2579">
        <v>4.3388780000000002</v>
      </c>
      <c r="E2579">
        <v>0.4712845</v>
      </c>
      <c r="F2579" t="s">
        <v>42</v>
      </c>
      <c r="G2579">
        <v>-486.49459999999999</v>
      </c>
      <c r="H2579" s="1">
        <v>-4.8655919999999901E-6</v>
      </c>
      <c r="I2579">
        <v>259.52510000000001</v>
      </c>
      <c r="J2579">
        <v>-483.75</v>
      </c>
      <c r="K2579">
        <v>1.123267</v>
      </c>
      <c r="L2579">
        <v>277.72460000000001</v>
      </c>
      <c r="M2579">
        <v>-0.48126649999999999</v>
      </c>
      <c r="N2579">
        <v>-1.7703940000000001E-2</v>
      </c>
      <c r="O2579">
        <v>-0.87639560000000005</v>
      </c>
      <c r="P2579">
        <v>-0.22206989999999999</v>
      </c>
      <c r="Q2579">
        <v>-9.7364210000000007E-2</v>
      </c>
      <c r="R2579">
        <v>-0.9701573</v>
      </c>
      <c r="S2579">
        <v>-0.45651249999999999</v>
      </c>
      <c r="T2579">
        <v>-0.18178530000000001</v>
      </c>
      <c r="U2579">
        <v>-2.9729920000000001</v>
      </c>
      <c r="V2579">
        <v>-0.2693604</v>
      </c>
      <c r="W2579">
        <v>-8.9836579999999999E-2</v>
      </c>
      <c r="X2579">
        <v>0.95884009999999997</v>
      </c>
      <c r="Y2579">
        <v>-0.3425338</v>
      </c>
      <c r="Z2579">
        <v>3.0754070000000001E-2</v>
      </c>
      <c r="AA2579">
        <v>0.939002</v>
      </c>
      <c r="AB2579">
        <v>24</v>
      </c>
      <c r="AC2579">
        <v>-2.7445999999999899</v>
      </c>
      <c r="AD2579">
        <v>-1.123271865592</v>
      </c>
      <c r="AE2579">
        <v>-18.1995</v>
      </c>
      <c r="AF2579">
        <v>-6.3308696096763102</v>
      </c>
      <c r="AG2579">
        <v>-1.123271865592</v>
      </c>
      <c r="AH2579">
        <v>17.209452894295001</v>
      </c>
      <c r="AI2579">
        <v>93.505396435205995</v>
      </c>
      <c r="AJ2579">
        <v>110.19713744823601</v>
      </c>
      <c r="AK2579">
        <v>18.371361370886799</v>
      </c>
      <c r="AL2579">
        <v>95.154205799327201</v>
      </c>
      <c r="AM2579">
        <v>105.691283022226</v>
      </c>
      <c r="AN2579">
        <v>0.999999986781133</v>
      </c>
    </row>
    <row r="2580" spans="1:40" x14ac:dyDescent="0.25">
      <c r="A2580" t="str">
        <f>"20190305135243690"</f>
        <v>20190305135243690</v>
      </c>
      <c r="B2580" t="str">
        <f>"1551765163682421"</f>
        <v>1551765163682421</v>
      </c>
      <c r="C2580" t="s">
        <v>40</v>
      </c>
      <c r="D2580">
        <v>4.2213339999999997</v>
      </c>
      <c r="E2580">
        <v>0.47232479999999899</v>
      </c>
      <c r="F2580" t="s">
        <v>42</v>
      </c>
      <c r="G2580">
        <v>-486.27409999999998</v>
      </c>
      <c r="H2580" s="1">
        <v>-1.3704649999999999E-6</v>
      </c>
      <c r="I2580">
        <v>260.76209999999998</v>
      </c>
      <c r="J2580">
        <v>-483.84629999999999</v>
      </c>
      <c r="K2580">
        <v>1.1232040000000001</v>
      </c>
      <c r="L2580">
        <v>277.4941</v>
      </c>
      <c r="M2580">
        <v>-0.46004</v>
      </c>
      <c r="N2580">
        <v>-1.7705149999999999E-2</v>
      </c>
      <c r="O2580">
        <v>-0.88772169999999895</v>
      </c>
      <c r="P2580">
        <v>-0.20223830000000001</v>
      </c>
      <c r="Q2580">
        <v>-9.7256549999999997E-2</v>
      </c>
      <c r="R2580">
        <v>-0.97449540000000001</v>
      </c>
      <c r="S2580">
        <v>-0.4421387</v>
      </c>
      <c r="T2580">
        <v>-0.19676170000000001</v>
      </c>
      <c r="U2580">
        <v>-2.9713129999999999</v>
      </c>
      <c r="V2580">
        <v>-0.2658739</v>
      </c>
      <c r="W2580">
        <v>-8.9543810000000001E-2</v>
      </c>
      <c r="X2580">
        <v>0.95984009999999997</v>
      </c>
      <c r="Y2580">
        <v>-0.3242524</v>
      </c>
      <c r="Z2580">
        <v>3.5974619999999999E-2</v>
      </c>
      <c r="AA2580">
        <v>0.94528630000000002</v>
      </c>
      <c r="AB2580">
        <v>24</v>
      </c>
      <c r="AC2580">
        <v>-2.4277999999999902</v>
      </c>
      <c r="AD2580">
        <v>-1.123205370465</v>
      </c>
      <c r="AE2580">
        <v>-16.731999999999999</v>
      </c>
      <c r="AF2580">
        <v>-5.5186909186972901</v>
      </c>
      <c r="AG2580">
        <v>-1.123205370465</v>
      </c>
      <c r="AH2580">
        <v>15.902563087649799</v>
      </c>
      <c r="AI2580">
        <v>93.817498035304695</v>
      </c>
      <c r="AJ2580">
        <v>109.13838693796799</v>
      </c>
      <c r="AK2580">
        <v>16.870360177454302</v>
      </c>
      <c r="AL2580">
        <v>95.137363257378496</v>
      </c>
      <c r="AM2580">
        <v>105.482631322188</v>
      </c>
      <c r="AN2580">
        <v>1.0000000210892599</v>
      </c>
    </row>
    <row r="2581" spans="1:40" x14ac:dyDescent="0.25">
      <c r="A2581" t="str">
        <f>"20190305135243701"</f>
        <v>20190305135243701</v>
      </c>
      <c r="B2581" t="str">
        <f>"1551765163692181"</f>
        <v>1551765163692181</v>
      </c>
      <c r="C2581" t="s">
        <v>40</v>
      </c>
      <c r="D2581">
        <v>4.2683939999999998</v>
      </c>
      <c r="E2581">
        <v>0.47306480000000001</v>
      </c>
      <c r="F2581" t="s">
        <v>42</v>
      </c>
      <c r="G2581">
        <v>-486.08589999999998</v>
      </c>
      <c r="H2581" s="1">
        <v>-1.28599799999999E-6</v>
      </c>
      <c r="I2581">
        <v>260.36669999999998</v>
      </c>
      <c r="J2581">
        <v>-483.89550000000003</v>
      </c>
      <c r="K2581">
        <v>1.123159</v>
      </c>
      <c r="L2581">
        <v>277.3707</v>
      </c>
      <c r="M2581">
        <v>-0.4486713</v>
      </c>
      <c r="N2581">
        <v>-1.7701669999999999E-2</v>
      </c>
      <c r="O2581">
        <v>-0.89352180000000003</v>
      </c>
      <c r="P2581">
        <v>-0.19112680000000001</v>
      </c>
      <c r="Q2581">
        <v>-9.7527989999999995E-2</v>
      </c>
      <c r="R2581">
        <v>-0.97670840000000003</v>
      </c>
      <c r="S2581">
        <v>-0.38943480000000003</v>
      </c>
      <c r="T2581">
        <v>-0.19530810000000001</v>
      </c>
      <c r="U2581">
        <v>-2.97818</v>
      </c>
      <c r="V2581">
        <v>-0.26454450000000002</v>
      </c>
      <c r="W2581">
        <v>-8.9736540000000004E-2</v>
      </c>
      <c r="X2581">
        <v>0.96018930000000002</v>
      </c>
      <c r="Y2581">
        <v>-0.32889590000000002</v>
      </c>
      <c r="Z2581">
        <v>3.5932489999999997E-2</v>
      </c>
      <c r="AA2581">
        <v>0.94368229999999997</v>
      </c>
      <c r="AB2581">
        <v>24</v>
      </c>
      <c r="AC2581">
        <v>-2.1903999999999502</v>
      </c>
      <c r="AD2581">
        <v>-1.1231602859980001</v>
      </c>
      <c r="AE2581">
        <v>-17.004000000000001</v>
      </c>
      <c r="AF2581">
        <v>-5.6486814155290004</v>
      </c>
      <c r="AG2581">
        <v>-1.1231602859980001</v>
      </c>
      <c r="AH2581">
        <v>16.109607006049401</v>
      </c>
      <c r="AI2581">
        <v>93.764211205609101</v>
      </c>
      <c r="AJ2581">
        <v>109.322735143635</v>
      </c>
      <c r="AK2581">
        <v>17.108142174167899</v>
      </c>
      <c r="AL2581">
        <v>95.148450794783699</v>
      </c>
      <c r="AM2581">
        <v>105.403566389159</v>
      </c>
      <c r="AN2581">
        <v>0.999999965462955</v>
      </c>
    </row>
    <row r="2582" spans="1:40" x14ac:dyDescent="0.25">
      <c r="A2582" t="str">
        <f>"20190305135243721"</f>
        <v>20190305135243721</v>
      </c>
      <c r="B2582" t="str">
        <f>"1551765163711701"</f>
        <v>1551765163711701</v>
      </c>
      <c r="C2582" t="s">
        <v>40</v>
      </c>
      <c r="D2582">
        <v>4.2570379999999997</v>
      </c>
      <c r="E2582">
        <v>0.47467280000000001</v>
      </c>
      <c r="F2582" t="s">
        <v>42</v>
      </c>
      <c r="G2582">
        <v>-485.94369999999998</v>
      </c>
      <c r="H2582" s="1">
        <v>-1.355094E-6</v>
      </c>
      <c r="I2582">
        <v>260.45859999999999</v>
      </c>
      <c r="J2582">
        <v>-483.96350000000001</v>
      </c>
      <c r="K2582">
        <v>1.1230850000000001</v>
      </c>
      <c r="L2582">
        <v>277.19130000000001</v>
      </c>
      <c r="M2582">
        <v>-0.4321662</v>
      </c>
      <c r="N2582">
        <v>-1.7689719999999999E-2</v>
      </c>
      <c r="O2582">
        <v>-0.90162059999999999</v>
      </c>
      <c r="P2582">
        <v>-0.1763875</v>
      </c>
      <c r="Q2582">
        <v>-9.6276890000000004E-2</v>
      </c>
      <c r="R2582">
        <v>-0.97960139999999996</v>
      </c>
      <c r="S2582">
        <v>-0.36105350000000003</v>
      </c>
      <c r="T2582">
        <v>-0.1979841</v>
      </c>
      <c r="U2582">
        <v>-2.9811709999999998</v>
      </c>
      <c r="V2582">
        <v>-0.26147670000000001</v>
      </c>
      <c r="W2582">
        <v>-8.8323860000000004E-2</v>
      </c>
      <c r="X2582">
        <v>0.96116009999999996</v>
      </c>
      <c r="Y2582">
        <v>-0.32049719999999998</v>
      </c>
      <c r="Z2582">
        <v>3.7466579999999999E-2</v>
      </c>
      <c r="AA2582">
        <v>0.94650820000000002</v>
      </c>
      <c r="AB2582">
        <v>24</v>
      </c>
      <c r="AC2582">
        <v>-1.98019999999996</v>
      </c>
      <c r="AD2582">
        <v>-1.123086355094</v>
      </c>
      <c r="AE2582">
        <v>-16.732700000000001</v>
      </c>
      <c r="AF2582">
        <v>-5.4226781204136696</v>
      </c>
      <c r="AG2582">
        <v>-1.123086355094</v>
      </c>
      <c r="AH2582">
        <v>15.8742895806335</v>
      </c>
      <c r="AI2582">
        <v>93.830251227400097</v>
      </c>
      <c r="AJ2582">
        <v>108.86023428326099</v>
      </c>
      <c r="AK2582">
        <v>16.812490316678801</v>
      </c>
      <c r="AL2582">
        <v>95.0671875421545</v>
      </c>
      <c r="AM2582">
        <v>105.218610857534</v>
      </c>
      <c r="AN2582">
        <v>0.99999995336009795</v>
      </c>
    </row>
    <row r="2583" spans="1:40" x14ac:dyDescent="0.25">
      <c r="A2583" t="str">
        <f>"20190305135243734"</f>
        <v>20190305135243734</v>
      </c>
      <c r="B2583" t="str">
        <f>"1551765163722437"</f>
        <v>1551765163722437</v>
      </c>
      <c r="C2583" t="s">
        <v>40</v>
      </c>
      <c r="D2583">
        <v>4.2573160000000003</v>
      </c>
      <c r="E2583">
        <v>0.47546470000000002</v>
      </c>
      <c r="F2583" t="s">
        <v>42</v>
      </c>
      <c r="G2583">
        <v>-485.8485</v>
      </c>
      <c r="H2583" s="1">
        <v>-1.250103E-6</v>
      </c>
      <c r="I2583">
        <v>260.07560000000001</v>
      </c>
      <c r="J2583">
        <v>-484.00799999999998</v>
      </c>
      <c r="K2583">
        <v>1.1230279999999999</v>
      </c>
      <c r="L2583">
        <v>277.06799999999998</v>
      </c>
      <c r="M2583">
        <v>-0.4208576</v>
      </c>
      <c r="N2583">
        <v>-1.7676629999999999E-2</v>
      </c>
      <c r="O2583">
        <v>-0.90695460000000006</v>
      </c>
      <c r="P2583">
        <v>-0.16603419999999999</v>
      </c>
      <c r="Q2583">
        <v>-9.500082E-2</v>
      </c>
      <c r="R2583">
        <v>-0.98153369999999995</v>
      </c>
      <c r="S2583">
        <v>-0.32864379999999999</v>
      </c>
      <c r="T2583">
        <v>-0.19580900000000001</v>
      </c>
      <c r="U2583">
        <v>-2.9841000000000002</v>
      </c>
      <c r="V2583">
        <v>-0.25971899999999998</v>
      </c>
      <c r="W2583">
        <v>-8.6948629999999999E-2</v>
      </c>
      <c r="X2583">
        <v>0.96176200000000001</v>
      </c>
      <c r="Y2583">
        <v>-0.31891049999999999</v>
      </c>
      <c r="Z2583">
        <v>3.7331980000000001E-2</v>
      </c>
      <c r="AA2583">
        <v>0.94704929999999998</v>
      </c>
      <c r="AB2583">
        <v>24</v>
      </c>
      <c r="AC2583">
        <v>-1.8404999999999601</v>
      </c>
      <c r="AD2583">
        <v>-1.1230292501029999</v>
      </c>
      <c r="AE2583">
        <v>-16.9923999999999</v>
      </c>
      <c r="AF2583">
        <v>-5.4594171203145301</v>
      </c>
      <c r="AG2583">
        <v>-1.1230292501029999</v>
      </c>
      <c r="AH2583">
        <v>16.118862071593899</v>
      </c>
      <c r="AI2583">
        <v>93.775443768519096</v>
      </c>
      <c r="AJ2583">
        <v>108.71110824617899</v>
      </c>
      <c r="AK2583">
        <v>17.055325985545899</v>
      </c>
      <c r="AL2583">
        <v>94.988087673388506</v>
      </c>
      <c r="AM2583">
        <v>105.111977146505</v>
      </c>
      <c r="AN2583">
        <v>1.0000000839319301</v>
      </c>
    </row>
    <row r="2584" spans="1:40" x14ac:dyDescent="0.25">
      <c r="A2584" t="str">
        <f>"20190305135243746"</f>
        <v>20190305135243746</v>
      </c>
      <c r="B2584" t="str">
        <f>"1551765163741957"</f>
        <v>1551765163741957</v>
      </c>
      <c r="C2584" t="s">
        <v>40</v>
      </c>
      <c r="D2584">
        <v>4.3418299999999999</v>
      </c>
      <c r="E2584">
        <v>0.4769929</v>
      </c>
      <c r="F2584" t="s">
        <v>42</v>
      </c>
      <c r="G2584">
        <v>-485.77539999999999</v>
      </c>
      <c r="H2584" s="1">
        <v>-1.1261980000000001E-6</v>
      </c>
      <c r="I2584">
        <v>259.65429999999998</v>
      </c>
      <c r="J2584">
        <v>-484.04849999999999</v>
      </c>
      <c r="K2584">
        <v>1.122965</v>
      </c>
      <c r="L2584">
        <v>276.95359999999999</v>
      </c>
      <c r="M2584">
        <v>-0.41035090000000002</v>
      </c>
      <c r="N2584">
        <v>-1.766324E-2</v>
      </c>
      <c r="O2584">
        <v>-0.91175680000000003</v>
      </c>
      <c r="P2584">
        <v>-0.1567404</v>
      </c>
      <c r="Q2584">
        <v>-9.4281829999999997E-2</v>
      </c>
      <c r="R2584">
        <v>-0.98312949999999999</v>
      </c>
      <c r="S2584">
        <v>-0.3031006</v>
      </c>
      <c r="T2584">
        <v>-0.19260160000000001</v>
      </c>
      <c r="U2584">
        <v>-2.9864809999999999</v>
      </c>
      <c r="V2584">
        <v>-0.25777600000000001</v>
      </c>
      <c r="W2584">
        <v>-8.6125549999999995E-2</v>
      </c>
      <c r="X2584">
        <v>0.96235850000000001</v>
      </c>
      <c r="Y2584">
        <v>-0.31605630000000001</v>
      </c>
      <c r="Z2584">
        <v>3.687443E-2</v>
      </c>
      <c r="AA2584">
        <v>0.94802359999999997</v>
      </c>
      <c r="AB2584">
        <v>24</v>
      </c>
      <c r="AC2584">
        <v>-1.7269000000000001</v>
      </c>
      <c r="AD2584">
        <v>-1.122966126198</v>
      </c>
      <c r="AE2584">
        <v>-17.299299999999999</v>
      </c>
      <c r="AF2584">
        <v>-5.5021751709884299</v>
      </c>
      <c r="AG2584">
        <v>-1.122966126198</v>
      </c>
      <c r="AH2584">
        <v>16.415469032720601</v>
      </c>
      <c r="AI2584">
        <v>93.711144569779506</v>
      </c>
      <c r="AJ2584">
        <v>108.5302416504</v>
      </c>
      <c r="AK2584">
        <v>17.349426736841799</v>
      </c>
      <c r="AL2584">
        <v>94.940751605846302</v>
      </c>
      <c r="AM2584">
        <v>104.99515699999699</v>
      </c>
      <c r="AN2584">
        <v>0.999999979530526</v>
      </c>
    </row>
    <row r="2585" spans="1:40" x14ac:dyDescent="0.25">
      <c r="A2585" t="str">
        <f>"20190305135243758"</f>
        <v>20190305135243758</v>
      </c>
      <c r="B2585" t="str">
        <f>"1551765163751717"</f>
        <v>1551765163751717</v>
      </c>
      <c r="C2585" t="s">
        <v>40</v>
      </c>
      <c r="D2585">
        <v>4.3112089999999998</v>
      </c>
      <c r="E2585">
        <v>0.4769929</v>
      </c>
      <c r="F2585" t="s">
        <v>42</v>
      </c>
      <c r="G2585">
        <v>-485.74829999999997</v>
      </c>
      <c r="H2585" s="1">
        <v>-4.8891369999999999E-6</v>
      </c>
      <c r="I2585">
        <v>259.2715</v>
      </c>
      <c r="J2585">
        <v>-484.09030000000001</v>
      </c>
      <c r="K2585">
        <v>1.1228819999999999</v>
      </c>
      <c r="L2585">
        <v>276.8279</v>
      </c>
      <c r="M2585">
        <v>-0.3988874</v>
      </c>
      <c r="N2585">
        <v>-1.7640820000000001E-2</v>
      </c>
      <c r="O2585">
        <v>-0.91683020000000004</v>
      </c>
      <c r="P2585">
        <v>-0.14647479999999999</v>
      </c>
      <c r="Q2585">
        <v>-9.3497999999999998E-2</v>
      </c>
      <c r="R2585">
        <v>-0.98478600000000005</v>
      </c>
      <c r="S2585">
        <v>-0.28720089999999998</v>
      </c>
      <c r="T2585">
        <v>-0.18973139999999999</v>
      </c>
      <c r="U2585">
        <v>-2.9874879999999999</v>
      </c>
      <c r="V2585">
        <v>-0.25582739999999998</v>
      </c>
      <c r="W2585">
        <v>-8.5233589999999998E-2</v>
      </c>
      <c r="X2585">
        <v>0.96295770000000003</v>
      </c>
      <c r="Y2585">
        <v>-0.30919160000000001</v>
      </c>
      <c r="Z2585">
        <v>3.6601750000000002E-2</v>
      </c>
      <c r="AA2585">
        <v>0.95029520000000001</v>
      </c>
      <c r="AB2585">
        <v>24</v>
      </c>
      <c r="AC2585">
        <v>-1.65799999999995</v>
      </c>
      <c r="AD2585">
        <v>-1.1228868891370001</v>
      </c>
      <c r="AE2585">
        <v>-17.556399999999901</v>
      </c>
      <c r="AF2585">
        <v>-5.4616311192709199</v>
      </c>
      <c r="AG2585">
        <v>-1.1228868891370001</v>
      </c>
      <c r="AH2585">
        <v>16.692520330173402</v>
      </c>
      <c r="AI2585">
        <v>93.658151943969401</v>
      </c>
      <c r="AJ2585">
        <v>108.117595504223</v>
      </c>
      <c r="AK2585">
        <v>17.599162605704802</v>
      </c>
      <c r="AL2585">
        <v>94.889457446657303</v>
      </c>
      <c r="AM2585">
        <v>104.878002981321</v>
      </c>
      <c r="AN2585">
        <v>0.99999997772216798</v>
      </c>
    </row>
    <row r="2586" spans="1:40" x14ac:dyDescent="0.25">
      <c r="A2586" t="str">
        <f>"20190305135243775"</f>
        <v>20190305135243775</v>
      </c>
      <c r="B2586" t="str">
        <f>"1551765163772213"</f>
        <v>1551765163772213</v>
      </c>
      <c r="C2586" t="s">
        <v>40</v>
      </c>
      <c r="D2586">
        <v>4.3402570000000003</v>
      </c>
      <c r="E2586">
        <v>0.49038569999999998</v>
      </c>
      <c r="F2586" t="s">
        <v>42</v>
      </c>
      <c r="G2586">
        <v>-485.62849999999997</v>
      </c>
      <c r="H2586" s="1">
        <v>-4.7440559999999997E-6</v>
      </c>
      <c r="I2586">
        <v>258.88380000000001</v>
      </c>
      <c r="J2586">
        <v>-484.1397</v>
      </c>
      <c r="K2586">
        <v>1.1227750000000001</v>
      </c>
      <c r="L2586">
        <v>276.67360000000002</v>
      </c>
      <c r="M2586">
        <v>-0.38487130000000003</v>
      </c>
      <c r="N2586">
        <v>-1.760834E-2</v>
      </c>
      <c r="O2586">
        <v>-0.92280220000000002</v>
      </c>
      <c r="P2586">
        <v>-0.1354013</v>
      </c>
      <c r="Q2586">
        <v>-9.3335429999999997E-2</v>
      </c>
      <c r="R2586">
        <v>-0.9863847</v>
      </c>
      <c r="S2586">
        <v>-0.25634770000000001</v>
      </c>
      <c r="T2586">
        <v>-0.1871312</v>
      </c>
      <c r="U2586">
        <v>-2.9904169999999999</v>
      </c>
      <c r="V2586">
        <v>-0.25201299999999999</v>
      </c>
      <c r="W2586">
        <v>-8.488569E-2</v>
      </c>
      <c r="X2586">
        <v>0.96399369999999995</v>
      </c>
      <c r="Y2586">
        <v>-0.30451739999999999</v>
      </c>
      <c r="Z2586">
        <v>3.6416070000000002E-2</v>
      </c>
      <c r="AA2586">
        <v>0.95181039999999995</v>
      </c>
      <c r="AB2586">
        <v>24</v>
      </c>
      <c r="AC2586">
        <v>-1.4887999999999599</v>
      </c>
      <c r="AD2586">
        <v>-1.1227797440559999</v>
      </c>
      <c r="AE2586">
        <v>-17.7898</v>
      </c>
      <c r="AF2586">
        <v>-5.4521976457925803</v>
      </c>
      <c r="AG2586">
        <v>-1.1227797440559999</v>
      </c>
      <c r="AH2586">
        <v>16.925148829759799</v>
      </c>
      <c r="AI2586">
        <v>93.6130080702209</v>
      </c>
      <c r="AJ2586">
        <v>107.85561203282199</v>
      </c>
      <c r="AK2586">
        <v>17.8170636310243</v>
      </c>
      <c r="AL2586">
        <v>94.869451665965798</v>
      </c>
      <c r="AM2586">
        <v>104.650718968592</v>
      </c>
      <c r="AN2586">
        <v>0.99999999308773302</v>
      </c>
    </row>
    <row r="2587" spans="1:40" x14ac:dyDescent="0.25">
      <c r="A2587" t="str">
        <f>"20190305135243787"</f>
        <v>20190305135243787</v>
      </c>
      <c r="B2587" t="str">
        <f>"1551765163781973"</f>
        <v>1551765163781973</v>
      </c>
      <c r="C2587" t="s">
        <v>40</v>
      </c>
      <c r="D2587">
        <v>4.4168659999999997</v>
      </c>
      <c r="E2587">
        <v>0.49038569999999998</v>
      </c>
      <c r="F2587" t="s">
        <v>42</v>
      </c>
      <c r="G2587">
        <v>-486.10520000000002</v>
      </c>
      <c r="H2587" s="1">
        <v>-4.6516160000000001E-6</v>
      </c>
      <c r="I2587">
        <v>258.86540000000002</v>
      </c>
      <c r="J2587">
        <v>-484.17750000000001</v>
      </c>
      <c r="K2587">
        <v>1.122673</v>
      </c>
      <c r="L2587">
        <v>276.55119999999999</v>
      </c>
      <c r="M2587">
        <v>-0.37378280000000003</v>
      </c>
      <c r="N2587">
        <v>-1.7579069999999999E-2</v>
      </c>
      <c r="O2587">
        <v>-0.9273498</v>
      </c>
      <c r="P2587">
        <v>-0.12540019999999999</v>
      </c>
      <c r="Q2587">
        <v>-9.3567890000000001E-2</v>
      </c>
      <c r="R2587">
        <v>-0.98768420000000001</v>
      </c>
      <c r="S2587">
        <v>-0.32873540000000001</v>
      </c>
      <c r="T2587">
        <v>-0.18778839999999999</v>
      </c>
      <c r="U2587">
        <v>-2.978485</v>
      </c>
      <c r="V2587">
        <v>-0.25023220000000002</v>
      </c>
      <c r="W2587">
        <v>-8.5019159999999996E-2</v>
      </c>
      <c r="X2587">
        <v>0.96444569999999996</v>
      </c>
      <c r="Y2587">
        <v>-0.26970820000000001</v>
      </c>
      <c r="Z2587">
        <v>3.761805E-2</v>
      </c>
      <c r="AA2587">
        <v>0.96220700000000003</v>
      </c>
      <c r="AB2587">
        <v>24</v>
      </c>
      <c r="AC2587">
        <v>-1.92770000000001</v>
      </c>
      <c r="AD2587">
        <v>-1.122677651616</v>
      </c>
      <c r="AE2587">
        <v>-17.685799999999901</v>
      </c>
      <c r="AF2587">
        <v>-4.80460711680972</v>
      </c>
      <c r="AG2587">
        <v>-1.122677651616</v>
      </c>
      <c r="AH2587">
        <v>17.056185606931098</v>
      </c>
      <c r="AI2587">
        <v>93.625220094095098</v>
      </c>
      <c r="AJ2587">
        <v>105.732153523712</v>
      </c>
      <c r="AK2587">
        <v>17.755509626998101</v>
      </c>
      <c r="AL2587">
        <v>94.877126841239502</v>
      </c>
      <c r="AM2587">
        <v>104.54507138128101</v>
      </c>
      <c r="AN2587">
        <v>0.99999995986621604</v>
      </c>
    </row>
    <row r="2588" spans="1:40" x14ac:dyDescent="0.25">
      <c r="A2588" t="str">
        <f>"20190305135243801"</f>
        <v>20190305135243801</v>
      </c>
      <c r="B2588" t="str">
        <f>"1551765163791734"</f>
        <v>1551765163791734</v>
      </c>
      <c r="C2588" t="s">
        <v>40</v>
      </c>
      <c r="D2588">
        <v>4.484998</v>
      </c>
      <c r="E2588">
        <v>0.48680449999999997</v>
      </c>
      <c r="F2588" t="s">
        <v>42</v>
      </c>
      <c r="G2588">
        <v>-485.95510000000002</v>
      </c>
      <c r="H2588" s="1">
        <v>-4.6438429999999996E-6</v>
      </c>
      <c r="I2588">
        <v>258.78519999999997</v>
      </c>
      <c r="J2588">
        <v>-484.2176</v>
      </c>
      <c r="K2588">
        <v>1.1225419999999999</v>
      </c>
      <c r="L2588">
        <v>276.41410000000002</v>
      </c>
      <c r="M2588">
        <v>-0.36147170000000001</v>
      </c>
      <c r="N2588">
        <v>-1.753847E-2</v>
      </c>
      <c r="O2588">
        <v>-0.9322182</v>
      </c>
      <c r="P2588">
        <v>-0.113857</v>
      </c>
      <c r="Q2588">
        <v>-9.4093079999999996E-2</v>
      </c>
      <c r="R2588">
        <v>-0.98903149999999995</v>
      </c>
      <c r="S2588">
        <v>-0.29833979999999999</v>
      </c>
      <c r="T2588">
        <v>-0.18842030000000001</v>
      </c>
      <c r="U2588">
        <v>-2.9816889999999998</v>
      </c>
      <c r="V2588">
        <v>-0.24871840000000001</v>
      </c>
      <c r="W2588">
        <v>-8.5449800000000006E-2</v>
      </c>
      <c r="X2588">
        <v>0.96479919999999997</v>
      </c>
      <c r="Y2588">
        <v>-0.26677630000000002</v>
      </c>
      <c r="Z2588">
        <v>3.8242379999999999E-2</v>
      </c>
      <c r="AA2588">
        <v>0.96299950000000001</v>
      </c>
      <c r="AB2588">
        <v>24</v>
      </c>
      <c r="AC2588">
        <v>-1.73750000000001</v>
      </c>
      <c r="AD2588">
        <v>-1.1225466438429901</v>
      </c>
      <c r="AE2588">
        <v>-17.628900000000002</v>
      </c>
      <c r="AF2588">
        <v>-4.7343384387045102</v>
      </c>
      <c r="AG2588">
        <v>-1.1225466438429901</v>
      </c>
      <c r="AH2588">
        <v>16.996409586603299</v>
      </c>
      <c r="AI2588">
        <v>93.640475689960198</v>
      </c>
      <c r="AJ2588">
        <v>105.565142643317</v>
      </c>
      <c r="AK2588">
        <v>17.6791405406309</v>
      </c>
      <c r="AL2588">
        <v>94.901890600244499</v>
      </c>
      <c r="AM2588">
        <v>104.45570329676001</v>
      </c>
      <c r="AN2588">
        <v>1.0000000035696199</v>
      </c>
    </row>
    <row r="2589" spans="1:40" x14ac:dyDescent="0.25">
      <c r="A2589" t="str">
        <f>"20190305135243814"</f>
        <v>20190305135243814</v>
      </c>
      <c r="B2589" t="str">
        <f>"1551765163802468"</f>
        <v>1551765163802468</v>
      </c>
      <c r="C2589" t="s">
        <v>40</v>
      </c>
      <c r="D2589">
        <v>4.4541629999999897</v>
      </c>
      <c r="E2589">
        <v>0.48763190000000001</v>
      </c>
      <c r="F2589" t="s">
        <v>42</v>
      </c>
      <c r="G2589">
        <v>-485.0779</v>
      </c>
      <c r="H2589" s="1">
        <v>-3.4460079999999999E-6</v>
      </c>
      <c r="I2589">
        <v>265.63029999999998</v>
      </c>
      <c r="J2589">
        <v>-484.25110000000001</v>
      </c>
      <c r="K2589">
        <v>1.1224190000000001</v>
      </c>
      <c r="L2589">
        <v>276.29410000000001</v>
      </c>
      <c r="M2589">
        <v>-0.3507982</v>
      </c>
      <c r="N2589">
        <v>-1.7497289999999999E-2</v>
      </c>
      <c r="O2589">
        <v>-0.9362878</v>
      </c>
      <c r="P2589">
        <v>-0.104296</v>
      </c>
      <c r="Q2589">
        <v>-9.4943860000000005E-2</v>
      </c>
      <c r="R2589">
        <v>-0.99000449999999995</v>
      </c>
      <c r="S2589">
        <v>-0.23745730000000001</v>
      </c>
      <c r="T2589">
        <v>-0.30983579999999999</v>
      </c>
      <c r="U2589">
        <v>-2.9764400000000002</v>
      </c>
      <c r="V2589">
        <v>-0.24698819999999999</v>
      </c>
      <c r="W2589">
        <v>-8.6201970000000003E-2</v>
      </c>
      <c r="X2589">
        <v>0.9651767</v>
      </c>
      <c r="Y2589">
        <v>-0.27516790000000002</v>
      </c>
      <c r="Z2589">
        <v>7.4418620000000005E-2</v>
      </c>
      <c r="AA2589">
        <v>0.95851160000000002</v>
      </c>
      <c r="AB2589">
        <v>24</v>
      </c>
      <c r="AC2589">
        <v>-0.82679999999999099</v>
      </c>
      <c r="AD2589">
        <v>-1.1224224460079999</v>
      </c>
      <c r="AE2589">
        <v>-10.6638</v>
      </c>
      <c r="AF2589">
        <v>-2.9348527194925702</v>
      </c>
      <c r="AG2589">
        <v>-1.1224224460079999</v>
      </c>
      <c r="AH2589">
        <v>10.1640652669399</v>
      </c>
      <c r="AI2589">
        <v>96.056202926462106</v>
      </c>
      <c r="AJ2589">
        <v>106.105963259436</v>
      </c>
      <c r="AK2589">
        <v>10.638675452472</v>
      </c>
      <c r="AL2589">
        <v>94.945146360861798</v>
      </c>
      <c r="AM2589">
        <v>104.353930401979</v>
      </c>
      <c r="AN2589">
        <v>1.000000006397</v>
      </c>
    </row>
    <row r="2590" spans="1:40" x14ac:dyDescent="0.25">
      <c r="A2590" t="str">
        <f>"20190305135243831"</f>
        <v>20190305135243831</v>
      </c>
      <c r="B2590" t="str">
        <f>"1551765163821989"</f>
        <v>1551765163821989</v>
      </c>
      <c r="C2590" t="s">
        <v>40</v>
      </c>
      <c r="D2590">
        <v>4.473732</v>
      </c>
      <c r="E2590">
        <v>0.48871680000000001</v>
      </c>
      <c r="F2590" t="s">
        <v>42</v>
      </c>
      <c r="G2590">
        <v>-485.04320000000001</v>
      </c>
      <c r="H2590" s="1">
        <v>-3.324717E-6</v>
      </c>
      <c r="I2590">
        <v>265.33319999999998</v>
      </c>
      <c r="J2590">
        <v>-484.29860000000002</v>
      </c>
      <c r="K2590">
        <v>1.122217</v>
      </c>
      <c r="L2590">
        <v>276.11540000000002</v>
      </c>
      <c r="M2590">
        <v>-0.33505079999999998</v>
      </c>
      <c r="N2590">
        <v>-1.7427519999999998E-2</v>
      </c>
      <c r="O2590">
        <v>-0.94203899999999996</v>
      </c>
      <c r="P2590">
        <v>-9.1674220000000001E-2</v>
      </c>
      <c r="Q2590">
        <v>-9.6500340000000004E-2</v>
      </c>
      <c r="R2590">
        <v>-0.99110259999999994</v>
      </c>
      <c r="S2590">
        <v>-0.2152405</v>
      </c>
      <c r="T2590">
        <v>-0.30499510000000002</v>
      </c>
      <c r="U2590">
        <v>-2.9783940000000002</v>
      </c>
      <c r="V2590">
        <v>-0.24305009999999999</v>
      </c>
      <c r="W2590">
        <v>-8.7557380000000004E-2</v>
      </c>
      <c r="X2590">
        <v>0.96605399999999997</v>
      </c>
      <c r="Y2590">
        <v>-0.26621149999999999</v>
      </c>
      <c r="Z2590">
        <v>7.3995019999999995E-2</v>
      </c>
      <c r="AA2590">
        <v>0.96107039999999999</v>
      </c>
      <c r="AB2590">
        <v>24</v>
      </c>
      <c r="AC2590">
        <v>-0.74459999999999105</v>
      </c>
      <c r="AD2590">
        <v>-1.122220324717</v>
      </c>
      <c r="AE2590">
        <v>-10.7822</v>
      </c>
      <c r="AF2590">
        <v>-2.8805282062683801</v>
      </c>
      <c r="AG2590">
        <v>-1.122220324717</v>
      </c>
      <c r="AH2590">
        <v>10.297291982470201</v>
      </c>
      <c r="AI2590">
        <v>95.991429523805493</v>
      </c>
      <c r="AJ2590">
        <v>105.628244553933</v>
      </c>
      <c r="AK2590">
        <v>10.7513275169423</v>
      </c>
      <c r="AL2590">
        <v>95.023100488426394</v>
      </c>
      <c r="AM2590">
        <v>104.12198481210601</v>
      </c>
      <c r="AN2590">
        <v>0.99999998840923698</v>
      </c>
    </row>
    <row r="2591" spans="1:40" x14ac:dyDescent="0.25">
      <c r="A2591" t="str">
        <f>"20190305135243842"</f>
        <v>20190305135243842</v>
      </c>
      <c r="B2591" t="str">
        <f>"1551765163831750"</f>
        <v>1551765163831750</v>
      </c>
      <c r="C2591" t="s">
        <v>40</v>
      </c>
      <c r="D2591">
        <v>4.4733269999999896</v>
      </c>
      <c r="E2591">
        <v>0.48960569999999998</v>
      </c>
      <c r="F2591" t="s">
        <v>42</v>
      </c>
      <c r="G2591">
        <v>-484.9708</v>
      </c>
      <c r="H2591" s="1">
        <v>-3.3393220000000001E-6</v>
      </c>
      <c r="I2591">
        <v>265.33730000000003</v>
      </c>
      <c r="J2591">
        <v>-484.32799999999997</v>
      </c>
      <c r="K2591">
        <v>1.122074</v>
      </c>
      <c r="L2591">
        <v>276.00049999999999</v>
      </c>
      <c r="M2591">
        <v>-0.32501829999999998</v>
      </c>
      <c r="N2591">
        <v>-1.7377299999999998E-2</v>
      </c>
      <c r="O2591">
        <v>-0.9455481</v>
      </c>
      <c r="P2591">
        <v>-8.319609E-2</v>
      </c>
      <c r="Q2591">
        <v>-9.6752409999999997E-2</v>
      </c>
      <c r="R2591">
        <v>-0.99182559999999997</v>
      </c>
      <c r="S2591">
        <v>-0.1858215</v>
      </c>
      <c r="T2591">
        <v>-0.31023230000000002</v>
      </c>
      <c r="U2591">
        <v>-2.9795530000000001</v>
      </c>
      <c r="V2591">
        <v>-0.2410602</v>
      </c>
      <c r="W2591">
        <v>-8.76947E-2</v>
      </c>
      <c r="X2591">
        <v>0.96653999999999995</v>
      </c>
      <c r="Y2591">
        <v>-0.2654454</v>
      </c>
      <c r="Z2591">
        <v>7.6102349999999999E-2</v>
      </c>
      <c r="AA2591">
        <v>0.96111769999999996</v>
      </c>
      <c r="AB2591">
        <v>24</v>
      </c>
      <c r="AC2591">
        <v>-0.64279999999996495</v>
      </c>
      <c r="AD2591">
        <v>-1.122077339322</v>
      </c>
      <c r="AE2591">
        <v>-10.6631999999999</v>
      </c>
      <c r="AF2591">
        <v>-2.8271759726805001</v>
      </c>
      <c r="AG2591">
        <v>-1.122077339322</v>
      </c>
      <c r="AH2591">
        <v>10.1807198161448</v>
      </c>
      <c r="AI2591">
        <v>96.061928912016597</v>
      </c>
      <c r="AJ2591">
        <v>105.519921964549</v>
      </c>
      <c r="AK2591">
        <v>10.6253958754846</v>
      </c>
      <c r="AL2591">
        <v>95.030998788518602</v>
      </c>
      <c r="AM2591">
        <v>104.004169598963</v>
      </c>
      <c r="AN2591">
        <v>0.99999997601606405</v>
      </c>
    </row>
    <row r="2592" spans="1:40" x14ac:dyDescent="0.25">
      <c r="A2592" t="str">
        <f>"20190305135243870"</f>
        <v>20190305135243870</v>
      </c>
      <c r="B2592" t="str">
        <f>"1551765163862402"</f>
        <v>1551765163862402</v>
      </c>
      <c r="C2592" t="s">
        <v>40</v>
      </c>
      <c r="D2592">
        <v>4.5786809999999996</v>
      </c>
      <c r="E2592">
        <v>0.48978310000000003</v>
      </c>
      <c r="F2592" t="s">
        <v>42</v>
      </c>
      <c r="G2592">
        <v>-484.93380000000002</v>
      </c>
      <c r="H2592" s="1">
        <v>-3.299104E-6</v>
      </c>
      <c r="I2592">
        <v>265.22829999999999</v>
      </c>
      <c r="J2592">
        <v>-484.38709999999998</v>
      </c>
      <c r="K2592">
        <v>1.121686</v>
      </c>
      <c r="L2592">
        <v>275.75020000000001</v>
      </c>
      <c r="M2592">
        <v>-0.30369689999999999</v>
      </c>
      <c r="N2592">
        <v>-1.7242009999999999E-2</v>
      </c>
      <c r="O2592">
        <v>-0.95261260000000003</v>
      </c>
      <c r="P2592">
        <v>-6.5669980000000003E-2</v>
      </c>
      <c r="Q2592">
        <v>-9.5399440000000002E-2</v>
      </c>
      <c r="R2592">
        <v>-0.99327069999999995</v>
      </c>
      <c r="S2592">
        <v>-0.16760249999999999</v>
      </c>
      <c r="T2592">
        <v>-0.31044890000000003</v>
      </c>
      <c r="U2592">
        <v>-2.9803769999999998</v>
      </c>
      <c r="V2592">
        <v>-0.2365833</v>
      </c>
      <c r="W2592">
        <v>-8.6077970000000004E-2</v>
      </c>
      <c r="X2592">
        <v>0.96779079999999995</v>
      </c>
      <c r="Y2592">
        <v>-0.24965419999999999</v>
      </c>
      <c r="Z2592">
        <v>7.756789E-2</v>
      </c>
      <c r="AA2592">
        <v>0.96522330000000001</v>
      </c>
      <c r="AB2592">
        <v>24</v>
      </c>
      <c r="AC2592">
        <v>-0.54670000000004304</v>
      </c>
      <c r="AD2592">
        <v>-1.1216892991039999</v>
      </c>
      <c r="AE2592">
        <v>-10.5219</v>
      </c>
      <c r="AF2592">
        <v>-2.6450932770317102</v>
      </c>
      <c r="AG2592">
        <v>-1.1216892991039999</v>
      </c>
      <c r="AH2592">
        <v>10.0766319746314</v>
      </c>
      <c r="AI2592">
        <v>96.145262442314106</v>
      </c>
      <c r="AJ2592">
        <v>104.70818359304501</v>
      </c>
      <c r="AK2592">
        <v>10.478225865101701</v>
      </c>
      <c r="AL2592">
        <v>94.938014943984697</v>
      </c>
      <c r="AM2592">
        <v>103.736950720382</v>
      </c>
      <c r="AN2592">
        <v>1.00000005366142</v>
      </c>
    </row>
    <row r="2593" spans="1:40" x14ac:dyDescent="0.25">
      <c r="A2593" t="str">
        <f>"20190305135243887"</f>
        <v>20190305135243887</v>
      </c>
      <c r="B2593" t="str">
        <f>"1551765163881921"</f>
        <v>1551765163881921</v>
      </c>
      <c r="C2593" t="s">
        <v>40</v>
      </c>
      <c r="D2593">
        <v>4.5820210000000001</v>
      </c>
      <c r="E2593">
        <v>0.4771879</v>
      </c>
      <c r="F2593" t="s">
        <v>42</v>
      </c>
      <c r="G2593">
        <v>-484.80930000000001</v>
      </c>
      <c r="H2593" s="1">
        <v>-3.1714869999999999E-6</v>
      </c>
      <c r="I2593">
        <v>264.8793</v>
      </c>
      <c r="J2593">
        <v>-484.4271</v>
      </c>
      <c r="K2593">
        <v>1.1213500000000001</v>
      </c>
      <c r="L2593">
        <v>275.5675</v>
      </c>
      <c r="M2593">
        <v>-0.28853899999999999</v>
      </c>
      <c r="N2593">
        <v>-1.7127449999999999E-2</v>
      </c>
      <c r="O2593">
        <v>-0.95731500000000003</v>
      </c>
      <c r="P2593">
        <v>-5.4295320000000001E-2</v>
      </c>
      <c r="Q2593">
        <v>-9.5282469999999994E-2</v>
      </c>
      <c r="R2593">
        <v>-0.99396870000000004</v>
      </c>
      <c r="S2593">
        <v>-0.1158752</v>
      </c>
      <c r="T2593">
        <v>-0.30780740000000001</v>
      </c>
      <c r="U2593">
        <v>-2.9831240000000001</v>
      </c>
      <c r="V2593">
        <v>-0.23238220000000001</v>
      </c>
      <c r="W2593">
        <v>-8.5728090000000007E-2</v>
      </c>
      <c r="X2593">
        <v>0.96883909999999995</v>
      </c>
      <c r="Y2593">
        <v>-0.25103490000000001</v>
      </c>
      <c r="Z2593">
        <v>7.7479790000000007E-2</v>
      </c>
      <c r="AA2593">
        <v>0.96487219999999996</v>
      </c>
      <c r="AB2593">
        <v>23</v>
      </c>
      <c r="AC2593">
        <v>-0.38220000000001098</v>
      </c>
      <c r="AD2593">
        <v>-1.121353171487</v>
      </c>
      <c r="AE2593">
        <v>-10.688199999999901</v>
      </c>
      <c r="AF2593">
        <v>-2.6889157976640701</v>
      </c>
      <c r="AG2593">
        <v>-1.121353171487</v>
      </c>
      <c r="AH2593">
        <v>10.2312966802338</v>
      </c>
      <c r="AI2593">
        <v>96.050795156098204</v>
      </c>
      <c r="AJ2593">
        <v>104.72506975904101</v>
      </c>
      <c r="AK2593">
        <v>10.6380041765876</v>
      </c>
      <c r="AL2593">
        <v>94.9178941997057</v>
      </c>
      <c r="AM2593">
        <v>103.48795017377699</v>
      </c>
      <c r="AN2593">
        <v>0.99999999699034903</v>
      </c>
    </row>
    <row r="2594" spans="1:40" x14ac:dyDescent="0.25">
      <c r="A2594" t="str">
        <f>"20190305135243899"</f>
        <v>20190305135243899</v>
      </c>
      <c r="B2594" t="str">
        <f>"1551765163892657"</f>
        <v>1551765163892657</v>
      </c>
      <c r="C2594" t="s">
        <v>40</v>
      </c>
      <c r="D2594">
        <v>4.5516009999999998</v>
      </c>
      <c r="E2594">
        <v>0.47821249999999998</v>
      </c>
      <c r="F2594" t="s">
        <v>42</v>
      </c>
      <c r="G2594">
        <v>-484.32060000000001</v>
      </c>
      <c r="H2594" s="1">
        <v>-1.5659990000000001E-6</v>
      </c>
      <c r="I2594">
        <v>259.80930000000001</v>
      </c>
      <c r="J2594">
        <v>-484.45370000000003</v>
      </c>
      <c r="K2594">
        <v>1.1210960000000001</v>
      </c>
      <c r="L2594">
        <v>275.43790000000001</v>
      </c>
      <c r="M2594">
        <v>-0.27804220000000002</v>
      </c>
      <c r="N2594">
        <v>-1.7037940000000001E-2</v>
      </c>
      <c r="O2594">
        <v>-0.96041770000000004</v>
      </c>
      <c r="P2594">
        <v>-4.5969650000000001E-2</v>
      </c>
      <c r="Q2594">
        <v>-9.5760100000000001E-2</v>
      </c>
      <c r="R2594">
        <v>-0.99434250000000002</v>
      </c>
      <c r="S2594">
        <v>2.0263670000000001E-2</v>
      </c>
      <c r="T2594">
        <v>-0.21339959999999999</v>
      </c>
      <c r="U2594">
        <v>-2.9988709999999998</v>
      </c>
      <c r="V2594">
        <v>-0.2299175</v>
      </c>
      <c r="W2594">
        <v>-8.6065230000000006E-2</v>
      </c>
      <c r="X2594">
        <v>0.96939710000000001</v>
      </c>
      <c r="Y2594">
        <v>-0.28432669999999999</v>
      </c>
      <c r="Z2594">
        <v>4.8296600000000002E-2</v>
      </c>
      <c r="AA2594">
        <v>0.95751019999999998</v>
      </c>
      <c r="AB2594">
        <v>23</v>
      </c>
      <c r="AC2594">
        <v>0.13310000000001301</v>
      </c>
      <c r="AD2594">
        <v>-1.1210975659989999</v>
      </c>
      <c r="AE2594">
        <v>-15.6286</v>
      </c>
      <c r="AF2594">
        <v>-4.4509896140761596</v>
      </c>
      <c r="AG2594">
        <v>-1.1210975659989999</v>
      </c>
      <c r="AH2594">
        <v>14.8984930188433</v>
      </c>
      <c r="AI2594">
        <v>94.123900944384701</v>
      </c>
      <c r="AJ2594">
        <v>106.63374435223599</v>
      </c>
      <c r="AK2594">
        <v>15.5895241277476</v>
      </c>
      <c r="AL2594">
        <v>94.937282497613793</v>
      </c>
      <c r="AM2594">
        <v>103.34263185937699</v>
      </c>
      <c r="AN2594">
        <v>1.0000000090548</v>
      </c>
    </row>
    <row r="2595" spans="1:40" x14ac:dyDescent="0.25">
      <c r="A2595" t="str">
        <f>"20190305135243912"</f>
        <v>20190305135243912</v>
      </c>
      <c r="B2595" t="str">
        <f>"1551765163902418"</f>
        <v>1551765163902418</v>
      </c>
      <c r="C2595" t="s">
        <v>40</v>
      </c>
      <c r="D2595">
        <v>4.5763499999999997</v>
      </c>
      <c r="E2595">
        <v>0.47978310000000002</v>
      </c>
      <c r="F2595" t="s">
        <v>42</v>
      </c>
      <c r="G2595">
        <v>-484.2475</v>
      </c>
      <c r="H2595" s="1">
        <v>-5.0326169999999997E-6</v>
      </c>
      <c r="I2595">
        <v>258.98540000000003</v>
      </c>
      <c r="J2595">
        <v>-484.47800000000001</v>
      </c>
      <c r="K2595">
        <v>1.1208389999999999</v>
      </c>
      <c r="L2595">
        <v>275.3143</v>
      </c>
      <c r="M2595">
        <v>-0.26820709999999998</v>
      </c>
      <c r="N2595">
        <v>-1.6950989999999999E-2</v>
      </c>
      <c r="O2595">
        <v>-0.96321219999999996</v>
      </c>
      <c r="P2595">
        <v>-3.8591010000000002E-2</v>
      </c>
      <c r="Q2595">
        <v>-9.6213930000000003E-2</v>
      </c>
      <c r="R2595">
        <v>-0.99461250000000001</v>
      </c>
      <c r="S2595">
        <v>3.7597659999999998E-2</v>
      </c>
      <c r="T2595">
        <v>-0.2043643</v>
      </c>
      <c r="U2595">
        <v>-2.9991150000000002</v>
      </c>
      <c r="V2595">
        <v>-0.2272267</v>
      </c>
      <c r="W2595">
        <v>-8.6373899999999906E-2</v>
      </c>
      <c r="X2595">
        <v>0.97000390000000003</v>
      </c>
      <c r="Y2595">
        <v>-0.28006920000000002</v>
      </c>
      <c r="Z2595">
        <v>4.5934349999999999E-2</v>
      </c>
      <c r="AA2595">
        <v>0.95888019999999996</v>
      </c>
      <c r="AB2595">
        <v>23</v>
      </c>
      <c r="AC2595">
        <v>0.23050000000000601</v>
      </c>
      <c r="AD2595">
        <v>-1.1208440326169999</v>
      </c>
      <c r="AE2595">
        <v>-16.328899999999901</v>
      </c>
      <c r="AF2595">
        <v>-4.5806300739729897</v>
      </c>
      <c r="AG2595">
        <v>-1.1208440326169999</v>
      </c>
      <c r="AH2595">
        <v>15.595159321193099</v>
      </c>
      <c r="AI2595">
        <v>93.944770065413394</v>
      </c>
      <c r="AJ2595">
        <v>106.368635783195</v>
      </c>
      <c r="AK2595">
        <v>16.292558346479399</v>
      </c>
      <c r="AL2595">
        <v>94.955034160169603</v>
      </c>
      <c r="AM2595">
        <v>103.18400550742599</v>
      </c>
      <c r="AN2595">
        <v>0.99999999490465497</v>
      </c>
    </row>
    <row r="2596" spans="1:40" x14ac:dyDescent="0.25">
      <c r="A2596" t="str">
        <f>"20190305135243924"</f>
        <v>20190305135243924</v>
      </c>
      <c r="B2596" t="str">
        <f>"1551765163921937"</f>
        <v>1551765163921937</v>
      </c>
      <c r="C2596" t="s">
        <v>40</v>
      </c>
      <c r="D2596">
        <v>4.5752300000000004</v>
      </c>
      <c r="E2596">
        <v>0.48059459999999998</v>
      </c>
      <c r="F2596" t="s">
        <v>42</v>
      </c>
      <c r="G2596">
        <v>-484.2167</v>
      </c>
      <c r="H2596" s="1">
        <v>-4.9584779999999999E-6</v>
      </c>
      <c r="I2596">
        <v>258.7998</v>
      </c>
      <c r="J2596">
        <v>-484.5016</v>
      </c>
      <c r="K2596">
        <v>1.120581</v>
      </c>
      <c r="L2596">
        <v>275.19069999999999</v>
      </c>
      <c r="M2596">
        <v>-0.25848139999999997</v>
      </c>
      <c r="N2596">
        <v>-1.6864759999999999E-2</v>
      </c>
      <c r="O2596">
        <v>-0.96586919999999998</v>
      </c>
      <c r="P2596">
        <v>-3.1581129999999999E-2</v>
      </c>
      <c r="Q2596">
        <v>-9.6524189999999996E-2</v>
      </c>
      <c r="R2596">
        <v>-0.99482999999999999</v>
      </c>
      <c r="S2596">
        <v>4.7454830000000003E-2</v>
      </c>
      <c r="T2596">
        <v>-0.20350489999999999</v>
      </c>
      <c r="U2596">
        <v>-2.9984440000000001</v>
      </c>
      <c r="V2596">
        <v>-0.22432070000000001</v>
      </c>
      <c r="W2596">
        <v>-8.6531339999999998E-2</v>
      </c>
      <c r="X2596">
        <v>0.97066609999999998</v>
      </c>
      <c r="Y2596">
        <v>-0.27354539999999999</v>
      </c>
      <c r="Z2596">
        <v>4.6096239999999997E-2</v>
      </c>
      <c r="AA2596">
        <v>0.96075390000000005</v>
      </c>
      <c r="AB2596">
        <v>23</v>
      </c>
      <c r="AC2596">
        <v>0.28489999999999299</v>
      </c>
      <c r="AD2596">
        <v>-1.120585958478</v>
      </c>
      <c r="AE2596">
        <v>-16.390899999999899</v>
      </c>
      <c r="AF2596">
        <v>-4.49157278666548</v>
      </c>
      <c r="AG2596">
        <v>-1.120585958478</v>
      </c>
      <c r="AH2596">
        <v>15.686765506113</v>
      </c>
      <c r="AI2596">
        <v>93.928643156505998</v>
      </c>
      <c r="AJ2596">
        <v>105.97794254723701</v>
      </c>
      <c r="AK2596">
        <v>16.355566362313201</v>
      </c>
      <c r="AL2596">
        <v>94.964088367093794</v>
      </c>
      <c r="AM2596">
        <v>103.012595729335</v>
      </c>
      <c r="AN2596">
        <v>1.00000006346994</v>
      </c>
    </row>
    <row r="2597" spans="1:40" x14ac:dyDescent="0.25">
      <c r="A2597" t="str">
        <f>"20190305135243942"</f>
        <v>20190305135243942</v>
      </c>
      <c r="B2597" t="str">
        <f>"1551765163931697"</f>
        <v>1551765163931697</v>
      </c>
      <c r="C2597" t="s">
        <v>40</v>
      </c>
      <c r="D2597">
        <v>4.5606159999999996</v>
      </c>
      <c r="E2597">
        <v>0.48123890000000002</v>
      </c>
      <c r="F2597" t="s">
        <v>42</v>
      </c>
      <c r="G2597">
        <v>-484.17160000000001</v>
      </c>
      <c r="H2597" s="1">
        <v>-5.1860799999999997E-6</v>
      </c>
      <c r="I2597">
        <v>259.31169999999997</v>
      </c>
      <c r="J2597">
        <v>-484.53390000000002</v>
      </c>
      <c r="K2597">
        <v>1.1201509999999999</v>
      </c>
      <c r="L2597">
        <v>275.00850000000003</v>
      </c>
      <c r="M2597">
        <v>-0.24473249999999999</v>
      </c>
      <c r="N2597">
        <v>-1.67239E-2</v>
      </c>
      <c r="O2597">
        <v>-0.96944649999999999</v>
      </c>
      <c r="P2597">
        <v>-2.3950039999999999E-2</v>
      </c>
      <c r="Q2597">
        <v>-9.7820920000000006E-2</v>
      </c>
      <c r="R2597">
        <v>-0.99491589999999996</v>
      </c>
      <c r="S2597">
        <v>6.2286380000000002E-2</v>
      </c>
      <c r="T2597">
        <v>-0.2115023</v>
      </c>
      <c r="U2597">
        <v>-2.9970400000000001</v>
      </c>
      <c r="V2597">
        <v>-0.218002</v>
      </c>
      <c r="W2597">
        <v>-8.7534319999999999E-2</v>
      </c>
      <c r="X2597">
        <v>0.97201479999999996</v>
      </c>
      <c r="Y2597">
        <v>-0.26462770000000002</v>
      </c>
      <c r="Z2597">
        <v>4.918637E-2</v>
      </c>
      <c r="AA2597">
        <v>0.96309549999999999</v>
      </c>
      <c r="AB2597">
        <v>23</v>
      </c>
      <c r="AC2597">
        <v>0.36230000000000401</v>
      </c>
      <c r="AD2597">
        <v>-1.12015618608</v>
      </c>
      <c r="AE2597">
        <v>-15.6968</v>
      </c>
      <c r="AF2597">
        <v>-4.1720983177433997</v>
      </c>
      <c r="AG2597">
        <v>-1.12015618608</v>
      </c>
      <c r="AH2597">
        <v>15.054033266804799</v>
      </c>
      <c r="AI2597">
        <v>94.10144245091</v>
      </c>
      <c r="AJ2597">
        <v>105.49026426176199</v>
      </c>
      <c r="AK2597">
        <v>15.661579481399601</v>
      </c>
      <c r="AL2597">
        <v>95.021774347132705</v>
      </c>
      <c r="AM2597">
        <v>102.64102925591099</v>
      </c>
      <c r="AN2597">
        <v>0.99999995030044997</v>
      </c>
    </row>
    <row r="2598" spans="1:40" x14ac:dyDescent="0.25">
      <c r="A2598" t="str">
        <f>"20190305135243965"</f>
        <v>20190305135243965</v>
      </c>
      <c r="B2598" t="str">
        <f>"1551765163962316"</f>
        <v>1551765163962316</v>
      </c>
      <c r="C2598" t="s">
        <v>40</v>
      </c>
      <c r="D2598">
        <v>4.6013320000000002</v>
      </c>
      <c r="E2598">
        <v>0.48370570000000002</v>
      </c>
      <c r="F2598" t="s">
        <v>42</v>
      </c>
      <c r="G2598">
        <v>-484.12819999999999</v>
      </c>
      <c r="H2598" s="1">
        <v>-1.595975E-6</v>
      </c>
      <c r="I2598">
        <v>259.74689999999998</v>
      </c>
      <c r="J2598">
        <v>-484.57080000000002</v>
      </c>
      <c r="K2598">
        <v>1.11955</v>
      </c>
      <c r="L2598">
        <v>274.78590000000003</v>
      </c>
      <c r="M2598">
        <v>-0.2287119</v>
      </c>
      <c r="N2598">
        <v>-1.652911E-2</v>
      </c>
      <c r="O2598">
        <v>-0.97335389999999999</v>
      </c>
      <c r="P2598">
        <v>-1.2972930000000001E-2</v>
      </c>
      <c r="Q2598">
        <v>-0.10011</v>
      </c>
      <c r="R2598">
        <v>-0.994892</v>
      </c>
      <c r="S2598">
        <v>7.9620360000000001E-2</v>
      </c>
      <c r="T2598">
        <v>-0.2198678</v>
      </c>
      <c r="U2598">
        <v>-2.9956049999999999</v>
      </c>
      <c r="V2598">
        <v>-0.21271509999999999</v>
      </c>
      <c r="W2598">
        <v>-8.9533929999999998E-2</v>
      </c>
      <c r="X2598">
        <v>0.97300359999999997</v>
      </c>
      <c r="Y2598">
        <v>-0.25428889999999998</v>
      </c>
      <c r="Z2598">
        <v>5.252776E-2</v>
      </c>
      <c r="AA2598">
        <v>0.96570069999999997</v>
      </c>
      <c r="AB2598">
        <v>23</v>
      </c>
      <c r="AC2598">
        <v>0.44260000000002703</v>
      </c>
      <c r="AD2598">
        <v>-1.119551595975</v>
      </c>
      <c r="AE2598">
        <v>-15.039</v>
      </c>
      <c r="AF2598">
        <v>-3.8496178956467499</v>
      </c>
      <c r="AG2598">
        <v>-1.119551595975</v>
      </c>
      <c r="AH2598">
        <v>14.458967243938901</v>
      </c>
      <c r="AI2598">
        <v>94.279069494911795</v>
      </c>
      <c r="AJ2598">
        <v>104.90882265086699</v>
      </c>
      <c r="AK2598">
        <v>15.004488910983699</v>
      </c>
      <c r="AL2598">
        <v>95.136794887456006</v>
      </c>
      <c r="AM2598">
        <v>102.33181315608699</v>
      </c>
      <c r="AN2598">
        <v>1.0000000220011001</v>
      </c>
    </row>
    <row r="2599" spans="1:40" x14ac:dyDescent="0.25">
      <c r="A2599" t="str">
        <f>"20190305135243978"</f>
        <v>20190305135243978</v>
      </c>
      <c r="B2599" t="str">
        <f>"1551765163972075"</f>
        <v>1551765163972075</v>
      </c>
      <c r="C2599" t="s">
        <v>40</v>
      </c>
      <c r="D2599">
        <v>4.5837019999999997</v>
      </c>
      <c r="E2599">
        <v>0.48454330000000001</v>
      </c>
      <c r="F2599" t="s">
        <v>42</v>
      </c>
      <c r="G2599">
        <v>-484.12630000000001</v>
      </c>
      <c r="H2599" s="1">
        <v>-1.847458E-6</v>
      </c>
      <c r="I2599">
        <v>260.48450000000003</v>
      </c>
      <c r="J2599">
        <v>-484.5899</v>
      </c>
      <c r="K2599">
        <v>1.1191690000000001</v>
      </c>
      <c r="L2599">
        <v>274.66180000000003</v>
      </c>
      <c r="M2599">
        <v>-0.22034480000000001</v>
      </c>
      <c r="N2599">
        <v>-1.6404249999999999E-2</v>
      </c>
      <c r="O2599">
        <v>-0.97528409999999999</v>
      </c>
      <c r="P2599">
        <v>-7.1418599999999999E-3</v>
      </c>
      <c r="Q2599">
        <v>-0.1003267</v>
      </c>
      <c r="R2599">
        <v>-0.99492910000000001</v>
      </c>
      <c r="S2599">
        <v>9.3017580000000002E-2</v>
      </c>
      <c r="T2599">
        <v>-0.23430090000000001</v>
      </c>
      <c r="U2599">
        <v>-2.9930110000000001</v>
      </c>
      <c r="V2599">
        <v>-0.2101373</v>
      </c>
      <c r="W2599">
        <v>-8.9597659999999996E-2</v>
      </c>
      <c r="X2599">
        <v>0.97355769999999997</v>
      </c>
      <c r="Y2599">
        <v>-0.25030809999999998</v>
      </c>
      <c r="Z2599">
        <v>5.7484180000000003E-2</v>
      </c>
      <c r="AA2599">
        <v>0.96645820000000005</v>
      </c>
      <c r="AB2599">
        <v>23</v>
      </c>
      <c r="AC2599">
        <v>0.46359999999998502</v>
      </c>
      <c r="AD2599">
        <v>-1.119170847458</v>
      </c>
      <c r="AE2599">
        <v>-14.177300000000001</v>
      </c>
      <c r="AF2599">
        <v>-3.5543910851565199</v>
      </c>
      <c r="AG2599">
        <v>-1.119170847458</v>
      </c>
      <c r="AH2599">
        <v>13.6416705798688</v>
      </c>
      <c r="AI2599">
        <v>94.539192487883597</v>
      </c>
      <c r="AJ2599">
        <v>104.60394121033799</v>
      </c>
      <c r="AK2599">
        <v>14.1414785500561</v>
      </c>
      <c r="AL2599">
        <v>95.140461142082899</v>
      </c>
      <c r="AM2599">
        <v>102.180133240421</v>
      </c>
      <c r="AN2599">
        <v>1.0000000103790201</v>
      </c>
    </row>
    <row r="2600" spans="1:40" x14ac:dyDescent="0.25">
      <c r="A2600" t="str">
        <f>"20190305135243991"</f>
        <v>20190305135243991</v>
      </c>
      <c r="B2600" t="str">
        <f>"1551765163981835"</f>
        <v>1551765163981835</v>
      </c>
      <c r="C2600" t="s">
        <v>40</v>
      </c>
      <c r="D2600">
        <v>4.6097109999999999</v>
      </c>
      <c r="E2600">
        <v>0.48454330000000001</v>
      </c>
      <c r="F2600" t="s">
        <v>42</v>
      </c>
      <c r="G2600">
        <v>-484.0951</v>
      </c>
      <c r="H2600" s="1">
        <v>-1.8323020000000001E-6</v>
      </c>
      <c r="I2600">
        <v>260.41550000000001</v>
      </c>
      <c r="J2600">
        <v>-484.61110000000002</v>
      </c>
      <c r="K2600">
        <v>1.118717</v>
      </c>
      <c r="L2600">
        <v>274.52</v>
      </c>
      <c r="M2600">
        <v>-0.21103810000000001</v>
      </c>
      <c r="N2600">
        <v>-1.6263159999999999E-2</v>
      </c>
      <c r="O2600">
        <v>-0.9773425</v>
      </c>
      <c r="P2600">
        <v>-5.1724839999999904E-4</v>
      </c>
      <c r="Q2600">
        <v>-9.9862500000000007E-2</v>
      </c>
      <c r="R2600">
        <v>-0.99500129999999998</v>
      </c>
      <c r="S2600">
        <v>0.1039429</v>
      </c>
      <c r="T2600">
        <v>-0.2350785</v>
      </c>
      <c r="U2600">
        <v>-2.9924010000000001</v>
      </c>
      <c r="V2600">
        <v>-0.20745959999999999</v>
      </c>
      <c r="W2600">
        <v>-8.8961449999999997E-2</v>
      </c>
      <c r="X2600">
        <v>0.97419009999999995</v>
      </c>
      <c r="Y2600">
        <v>-0.2446113</v>
      </c>
      <c r="Z2600">
        <v>5.817456E-2</v>
      </c>
      <c r="AA2600">
        <v>0.96787449999999997</v>
      </c>
      <c r="AB2600">
        <v>23</v>
      </c>
      <c r="AC2600">
        <v>0.516000000000019</v>
      </c>
      <c r="AD2600">
        <v>-1.1187188323020001</v>
      </c>
      <c r="AE2600">
        <v>-14.1044999999999</v>
      </c>
      <c r="AF2600">
        <v>-3.4596204292330399</v>
      </c>
      <c r="AG2600">
        <v>-1.1187188323020001</v>
      </c>
      <c r="AH2600">
        <v>13.592443929677099</v>
      </c>
      <c r="AI2600">
        <v>94.560337724232198</v>
      </c>
      <c r="AJ2600">
        <v>104.28000948821099</v>
      </c>
      <c r="AK2600">
        <v>14.0703602413559</v>
      </c>
      <c r="AL2600">
        <v>95.103862956672799</v>
      </c>
      <c r="AM2600">
        <v>102.02189353038899</v>
      </c>
      <c r="AN2600">
        <v>0.99999998807813595</v>
      </c>
    </row>
    <row r="2601" spans="1:40" x14ac:dyDescent="0.25">
      <c r="A2601" t="str">
        <f>"20190305135244004"</f>
        <v>20190305135244004</v>
      </c>
      <c r="B2601" t="str">
        <f>"1551765163992571"</f>
        <v>1551765163992571</v>
      </c>
      <c r="C2601" t="s">
        <v>40</v>
      </c>
      <c r="D2601">
        <v>4.5841529999999997</v>
      </c>
      <c r="E2601">
        <v>0.49577090000000001</v>
      </c>
      <c r="F2601" t="s">
        <v>42</v>
      </c>
      <c r="G2601">
        <v>-484.01600000000002</v>
      </c>
      <c r="H2601" s="1">
        <v>-1.7837890000000001E-6</v>
      </c>
      <c r="I2601">
        <v>260.21109999999999</v>
      </c>
      <c r="J2601">
        <v>-484.63069999999999</v>
      </c>
      <c r="K2601">
        <v>1.118269</v>
      </c>
      <c r="L2601">
        <v>274.3843</v>
      </c>
      <c r="M2601">
        <v>-0.20244899999999999</v>
      </c>
      <c r="N2601">
        <v>-1.6128719999999999E-2</v>
      </c>
      <c r="O2601">
        <v>-0.97916000000000003</v>
      </c>
      <c r="P2601">
        <v>4.9433339999999997E-3</v>
      </c>
      <c r="Q2601">
        <v>-9.9731120000000006E-2</v>
      </c>
      <c r="R2601">
        <v>-0.99500219999999995</v>
      </c>
      <c r="S2601">
        <v>0.12442019999999999</v>
      </c>
      <c r="T2601">
        <v>-0.23389950000000001</v>
      </c>
      <c r="U2601">
        <v>-2.9916689999999999</v>
      </c>
      <c r="V2601">
        <v>-0.20435739999999999</v>
      </c>
      <c r="W2601">
        <v>-8.8648859999999996E-2</v>
      </c>
      <c r="X2601">
        <v>0.97487409999999997</v>
      </c>
      <c r="Y2601">
        <v>-0.24272579999999999</v>
      </c>
      <c r="Z2601">
        <v>5.8167419999999997E-2</v>
      </c>
      <c r="AA2601">
        <v>0.96834949999999997</v>
      </c>
      <c r="AB2601">
        <v>23</v>
      </c>
      <c r="AC2601">
        <v>0.614700000000027</v>
      </c>
      <c r="AD2601">
        <v>-1.118270783789</v>
      </c>
      <c r="AE2601">
        <v>-14.1732</v>
      </c>
      <c r="AF2601">
        <v>-3.45025290925751</v>
      </c>
      <c r="AG2601">
        <v>-1.118270783789</v>
      </c>
      <c r="AH2601">
        <v>13.670232963099</v>
      </c>
      <c r="AI2601">
        <v>94.534981820477796</v>
      </c>
      <c r="AJ2601">
        <v>104.16514249959</v>
      </c>
      <c r="AK2601">
        <v>14.1431977978501</v>
      </c>
      <c r="AL2601">
        <v>95.085881565437205</v>
      </c>
      <c r="AM2601">
        <v>101.83916632611199</v>
      </c>
      <c r="AN2601">
        <v>1.00000003908243</v>
      </c>
    </row>
    <row r="2602" spans="1:40" x14ac:dyDescent="0.25">
      <c r="A2602" t="str">
        <f>"20190305135244021"</f>
        <v>20190305135244021</v>
      </c>
      <c r="B2602" t="str">
        <f>"1551765164012090"</f>
        <v>1551765164012090</v>
      </c>
      <c r="C2602" t="s">
        <v>40</v>
      </c>
      <c r="D2602">
        <v>4.578506</v>
      </c>
      <c r="E2602">
        <v>0.4978688</v>
      </c>
      <c r="F2602" t="s">
        <v>42</v>
      </c>
      <c r="G2602">
        <v>-484.40690000000001</v>
      </c>
      <c r="H2602" s="1">
        <v>-1.9784599999999999E-6</v>
      </c>
      <c r="I2602">
        <v>261.08870000000002</v>
      </c>
      <c r="J2602">
        <v>-484.65410000000003</v>
      </c>
      <c r="K2602">
        <v>1.1177029999999999</v>
      </c>
      <c r="L2602">
        <v>274.2122</v>
      </c>
      <c r="M2602">
        <v>-0.1922364</v>
      </c>
      <c r="N2602">
        <v>-1.5958380000000001E-2</v>
      </c>
      <c r="O2602">
        <v>-0.98121919999999996</v>
      </c>
      <c r="P2602">
        <v>8.7515309999999999E-3</v>
      </c>
      <c r="Q2602">
        <v>-9.9554889999999993E-2</v>
      </c>
      <c r="R2602">
        <v>-0.99499369999999998</v>
      </c>
      <c r="S2602">
        <v>5.0323489999999999E-2</v>
      </c>
      <c r="T2602">
        <v>-0.25145269999999997</v>
      </c>
      <c r="U2602">
        <v>-2.9896240000000001</v>
      </c>
      <c r="V2602">
        <v>-0.19806470000000001</v>
      </c>
      <c r="W2602">
        <v>-8.8197689999999995E-2</v>
      </c>
      <c r="X2602">
        <v>0.97621290000000005</v>
      </c>
      <c r="Y2602">
        <v>-0.208539</v>
      </c>
      <c r="Z2602">
        <v>6.460283E-2</v>
      </c>
      <c r="AA2602">
        <v>0.97587809999999997</v>
      </c>
      <c r="AB2602">
        <v>23</v>
      </c>
      <c r="AC2602">
        <v>0.24720000000001999</v>
      </c>
      <c r="AD2602">
        <v>-1.1177049784599999</v>
      </c>
      <c r="AE2602">
        <v>-13.1234999999999</v>
      </c>
      <c r="AF2602">
        <v>-2.7458130867835102</v>
      </c>
      <c r="AG2602">
        <v>-1.1177049784599999</v>
      </c>
      <c r="AH2602">
        <v>12.7387698311582</v>
      </c>
      <c r="AI2602">
        <v>94.902292760075994</v>
      </c>
      <c r="AJ2602">
        <v>102.163873558277</v>
      </c>
      <c r="AK2602">
        <v>13.079182342090499</v>
      </c>
      <c r="AL2602">
        <v>95.059929761099696</v>
      </c>
      <c r="AM2602">
        <v>101.46910852853399</v>
      </c>
      <c r="AN2602">
        <v>1.00000004201691</v>
      </c>
    </row>
    <row r="2603" spans="1:40" x14ac:dyDescent="0.25">
      <c r="A2603" t="str">
        <f>"20190305135244034"</f>
        <v>20190305135244034</v>
      </c>
      <c r="B2603" t="str">
        <f>"1551765164032587"</f>
        <v>1551765164032587</v>
      </c>
      <c r="C2603" t="s">
        <v>40</v>
      </c>
      <c r="D2603">
        <v>4.6009739999999999</v>
      </c>
      <c r="E2603">
        <v>0.49965399999999999</v>
      </c>
      <c r="F2603" t="s">
        <v>42</v>
      </c>
      <c r="G2603">
        <v>-484.44959999999998</v>
      </c>
      <c r="H2603" s="1">
        <v>-1.83582E-6</v>
      </c>
      <c r="I2603">
        <v>260.70299999999997</v>
      </c>
      <c r="J2603">
        <v>-484.67079999999999</v>
      </c>
      <c r="K2603">
        <v>1.1172850000000001</v>
      </c>
      <c r="L2603">
        <v>274.08359999999999</v>
      </c>
      <c r="M2603">
        <v>-0.1850339</v>
      </c>
      <c r="N2603">
        <v>-1.5831910000000001E-2</v>
      </c>
      <c r="O2603">
        <v>-0.9826047</v>
      </c>
      <c r="P2603">
        <v>1.32362E-2</v>
      </c>
      <c r="Q2603">
        <v>-0.10032729999999999</v>
      </c>
      <c r="R2603">
        <v>-0.99486660000000005</v>
      </c>
      <c r="S2603">
        <v>4.5257569999999997E-2</v>
      </c>
      <c r="T2603">
        <v>-0.2473814</v>
      </c>
      <c r="U2603">
        <v>-2.9899900000000001</v>
      </c>
      <c r="V2603">
        <v>-0.1953667</v>
      </c>
      <c r="W2603">
        <v>-8.8824810000000004E-2</v>
      </c>
      <c r="X2603">
        <v>0.97669950000000005</v>
      </c>
      <c r="Y2603">
        <v>-0.19971459999999999</v>
      </c>
      <c r="Z2603">
        <v>6.3674410000000001E-2</v>
      </c>
      <c r="AA2603">
        <v>0.97778299999999996</v>
      </c>
      <c r="AB2603">
        <v>23</v>
      </c>
      <c r="AC2603">
        <v>0.22120000000001</v>
      </c>
      <c r="AD2603">
        <v>-1.1172868358200001</v>
      </c>
      <c r="AE2603">
        <v>-13.380599999999999</v>
      </c>
      <c r="AF2603">
        <v>-2.6749088335784301</v>
      </c>
      <c r="AG2603">
        <v>-1.1172868358200001</v>
      </c>
      <c r="AH2603">
        <v>13.0178128906638</v>
      </c>
      <c r="AI2603">
        <v>94.805615711725693</v>
      </c>
      <c r="AJ2603">
        <v>101.61155303737</v>
      </c>
      <c r="AK2603">
        <v>13.3366757326474</v>
      </c>
      <c r="AL2603">
        <v>95.096003119845093</v>
      </c>
      <c r="AM2603">
        <v>101.311444157371</v>
      </c>
      <c r="AN2603">
        <v>0.99999995382033702</v>
      </c>
    </row>
    <row r="2604" spans="1:40" x14ac:dyDescent="0.25">
      <c r="A2604" t="str">
        <f>"20190305135244055"</f>
        <v>20190305135244055</v>
      </c>
      <c r="B2604" t="str">
        <f>"1551765164052612"</f>
        <v>1551765164052612</v>
      </c>
      <c r="C2604" t="s">
        <v>40</v>
      </c>
      <c r="D2604">
        <v>4.5925760000000002</v>
      </c>
      <c r="E2604">
        <v>0.5014132</v>
      </c>
      <c r="F2604" t="s">
        <v>42</v>
      </c>
      <c r="G2604">
        <v>-484.4667</v>
      </c>
      <c r="H2604" s="1">
        <v>-1.737911E-6</v>
      </c>
      <c r="I2604">
        <v>260.42860000000002</v>
      </c>
      <c r="J2604">
        <v>-484.69639999999998</v>
      </c>
      <c r="K2604">
        <v>1.116628</v>
      </c>
      <c r="L2604">
        <v>273.87920000000003</v>
      </c>
      <c r="M2604">
        <v>-0.174266899999999</v>
      </c>
      <c r="N2604">
        <v>-1.5633109999999999E-2</v>
      </c>
      <c r="O2604">
        <v>-0.98457450000000002</v>
      </c>
      <c r="P2604">
        <v>1.9981240000000001E-2</v>
      </c>
      <c r="Q2604">
        <v>-0.10175629999999999</v>
      </c>
      <c r="R2604">
        <v>-0.99460859999999995</v>
      </c>
      <c r="S2604">
        <v>4.4708249999999998E-2</v>
      </c>
      <c r="T2604">
        <v>-0.24467030000000001</v>
      </c>
      <c r="U2604">
        <v>-2.9902340000000001</v>
      </c>
      <c r="V2604">
        <v>-0.1913909</v>
      </c>
      <c r="W2604">
        <v>-9.0044330000000006E-2</v>
      </c>
      <c r="X2604">
        <v>0.97737490000000005</v>
      </c>
      <c r="Y2604">
        <v>-0.18880930000000001</v>
      </c>
      <c r="Z2604">
        <v>6.3330490000000003E-2</v>
      </c>
      <c r="AA2604">
        <v>0.9799696</v>
      </c>
      <c r="AB2604">
        <v>23</v>
      </c>
      <c r="AC2604">
        <v>0.229699999999979</v>
      </c>
      <c r="AD2604">
        <v>-1.116629737911</v>
      </c>
      <c r="AE2604">
        <v>-13.4506</v>
      </c>
      <c r="AF2604">
        <v>-2.5528759956904099</v>
      </c>
      <c r="AG2604">
        <v>-1.116629737911</v>
      </c>
      <c r="AH2604">
        <v>13.1143448148672</v>
      </c>
      <c r="AI2604">
        <v>94.777499513912204</v>
      </c>
      <c r="AJ2604">
        <v>101.015599271333</v>
      </c>
      <c r="AK2604">
        <v>13.407090577160799</v>
      </c>
      <c r="AL2604">
        <v>95.166156970891095</v>
      </c>
      <c r="AM2604">
        <v>101.07953954696001</v>
      </c>
      <c r="AN2604">
        <v>1.00000007655898</v>
      </c>
    </row>
    <row r="2605" spans="1:40" x14ac:dyDescent="0.25">
      <c r="A2605" t="str">
        <f>"20190305135244070"</f>
        <v>20190305135244070</v>
      </c>
      <c r="B2605" t="str">
        <f>"1551765164062372"</f>
        <v>1551765164062372</v>
      </c>
      <c r="C2605" t="s">
        <v>40</v>
      </c>
      <c r="D2605">
        <v>4.6028190000000002</v>
      </c>
      <c r="E2605">
        <v>0.5023029</v>
      </c>
      <c r="F2605" t="s">
        <v>42</v>
      </c>
      <c r="G2605">
        <v>-484.46050000000002</v>
      </c>
      <c r="H2605" s="1">
        <v>-1.657439E-6</v>
      </c>
      <c r="I2605">
        <v>260.18740000000003</v>
      </c>
      <c r="J2605">
        <v>-484.71510000000001</v>
      </c>
      <c r="K2605">
        <v>1.1161430000000001</v>
      </c>
      <c r="L2605">
        <v>273.72239999999999</v>
      </c>
      <c r="M2605">
        <v>-0.16658619999999999</v>
      </c>
      <c r="N2605">
        <v>-1.548195E-2</v>
      </c>
      <c r="O2605">
        <v>-0.98590549999999999</v>
      </c>
      <c r="P2605">
        <v>2.564321E-2</v>
      </c>
      <c r="Q2605">
        <v>-0.10190109999999999</v>
      </c>
      <c r="R2605">
        <v>-0.99446420000000002</v>
      </c>
      <c r="S2605">
        <v>5.1513669999999998E-2</v>
      </c>
      <c r="T2605">
        <v>-0.2438689</v>
      </c>
      <c r="U2605">
        <v>-2.990265</v>
      </c>
      <c r="V2605">
        <v>-0.18943879999999999</v>
      </c>
      <c r="W2605">
        <v>-9.0065010000000001E-2</v>
      </c>
      <c r="X2605">
        <v>0.97775319999999999</v>
      </c>
      <c r="Y2605">
        <v>-0.18338699999999999</v>
      </c>
      <c r="Z2605">
        <v>6.3423629999999995E-2</v>
      </c>
      <c r="AA2605">
        <v>0.98099270000000005</v>
      </c>
      <c r="AB2605">
        <v>23</v>
      </c>
      <c r="AC2605">
        <v>0.25459999999998201</v>
      </c>
      <c r="AD2605">
        <v>-1.1161446574389999</v>
      </c>
      <c r="AE2605">
        <v>-13.534999999999901</v>
      </c>
      <c r="AF2605">
        <v>-2.4891349925297299</v>
      </c>
      <c r="AG2605">
        <v>-1.1161446574389999</v>
      </c>
      <c r="AH2605">
        <v>13.2135866756008</v>
      </c>
      <c r="AI2605">
        <v>94.745213573959902</v>
      </c>
      <c r="AJ2605">
        <v>100.66818595072</v>
      </c>
      <c r="AK2605">
        <v>13.492236461794599</v>
      </c>
      <c r="AL2605">
        <v>95.167346857785105</v>
      </c>
      <c r="AM2605">
        <v>100.96514684218999</v>
      </c>
      <c r="AN2605">
        <v>1.0000000425409801</v>
      </c>
    </row>
    <row r="2606" spans="1:40" x14ac:dyDescent="0.25">
      <c r="A2606" t="str">
        <f>"20190305135244090"</f>
        <v>20190305135244090</v>
      </c>
      <c r="B2606" t="str">
        <f>"1551765164081893"</f>
        <v>1551765164081893</v>
      </c>
      <c r="C2606" t="s">
        <v>40</v>
      </c>
      <c r="D2606">
        <v>4.5752430000000004</v>
      </c>
      <c r="E2606">
        <v>0.51232879999999903</v>
      </c>
      <c r="F2606" t="s">
        <v>42</v>
      </c>
      <c r="G2606">
        <v>-484.4314</v>
      </c>
      <c r="H2606" s="1">
        <v>-1.584551E-6</v>
      </c>
      <c r="I2606">
        <v>259.9504</v>
      </c>
      <c r="J2606">
        <v>-484.73849999999999</v>
      </c>
      <c r="K2606">
        <v>1.115551</v>
      </c>
      <c r="L2606">
        <v>273.51760000000002</v>
      </c>
      <c r="M2606">
        <v>-0.15734860000000001</v>
      </c>
      <c r="N2606">
        <v>-1.5288629999999999E-2</v>
      </c>
      <c r="O2606">
        <v>-0.98742490000000005</v>
      </c>
      <c r="P2606">
        <v>2.912265E-2</v>
      </c>
      <c r="Q2606">
        <v>-0.1003035</v>
      </c>
      <c r="R2606">
        <v>-0.99453060000000004</v>
      </c>
      <c r="S2606">
        <v>6.1614990000000001E-2</v>
      </c>
      <c r="T2606">
        <v>-0.2423487</v>
      </c>
      <c r="U2606">
        <v>-2.990326</v>
      </c>
      <c r="V2606">
        <v>-0.1838931</v>
      </c>
      <c r="W2606">
        <v>-8.8266159999999996E-2</v>
      </c>
      <c r="X2606">
        <v>0.97897520000000005</v>
      </c>
      <c r="Y2606">
        <v>-0.17750009999999999</v>
      </c>
      <c r="Z2606">
        <v>6.3347899999999999E-2</v>
      </c>
      <c r="AA2606">
        <v>0.98207979999999995</v>
      </c>
      <c r="AB2606">
        <v>23</v>
      </c>
      <c r="AC2606">
        <v>0.30709999999999099</v>
      </c>
      <c r="AD2606">
        <v>-1.1155525845509999</v>
      </c>
      <c r="AE2606">
        <v>-13.5672</v>
      </c>
      <c r="AF2606">
        <v>-2.4219368788194502</v>
      </c>
      <c r="AG2606">
        <v>-1.1155525845509999</v>
      </c>
      <c r="AH2606">
        <v>13.2602237999512</v>
      </c>
      <c r="AI2606">
        <v>94.730940355891804</v>
      </c>
      <c r="AJ2606">
        <v>100.35079447523501</v>
      </c>
      <c r="AK2606">
        <v>13.5256708165871</v>
      </c>
      <c r="AL2606">
        <v>95.063868301467295</v>
      </c>
      <c r="AM2606">
        <v>100.638608664731</v>
      </c>
      <c r="AN2606">
        <v>1.0000000147218899</v>
      </c>
    </row>
    <row r="2607" spans="1:40" x14ac:dyDescent="0.25">
      <c r="A2607" t="str">
        <f>"20190305135244112"</f>
        <v>20190305135244112</v>
      </c>
      <c r="B2607" t="str">
        <f>"1551765164102388"</f>
        <v>1551765164102388</v>
      </c>
      <c r="C2607" t="s">
        <v>40</v>
      </c>
      <c r="D2607">
        <v>4.5589240000000002</v>
      </c>
      <c r="E2607">
        <v>0.51406909999999995</v>
      </c>
      <c r="F2607" t="s">
        <v>42</v>
      </c>
      <c r="G2607">
        <v>-484.77199999999999</v>
      </c>
      <c r="H2607" s="1">
        <v>-3.9427600000000003E-6</v>
      </c>
      <c r="I2607">
        <v>256.6617</v>
      </c>
      <c r="J2607">
        <v>-484.76280000000003</v>
      </c>
      <c r="K2607">
        <v>1.1149249999999999</v>
      </c>
      <c r="L2607">
        <v>273.29390000000001</v>
      </c>
      <c r="M2607">
        <v>-0.14821409999999999</v>
      </c>
      <c r="N2607">
        <v>-1.508693E-2</v>
      </c>
      <c r="O2607">
        <v>-0.98884019999999995</v>
      </c>
      <c r="P2607">
        <v>3.1720169999999999E-2</v>
      </c>
      <c r="Q2607">
        <v>-9.7906839999999995E-2</v>
      </c>
      <c r="R2607">
        <v>-0.99469010000000002</v>
      </c>
      <c r="S2607">
        <v>-5.9509280000000003E-3</v>
      </c>
      <c r="T2607">
        <v>-0.1983259</v>
      </c>
      <c r="U2607">
        <v>-2.9966740000000001</v>
      </c>
      <c r="V2607">
        <v>-0.17760909999999999</v>
      </c>
      <c r="W2607">
        <v>-8.5669499999999996E-2</v>
      </c>
      <c r="X2607">
        <v>0.98036509999999999</v>
      </c>
      <c r="Y2607">
        <v>-0.14617759999999999</v>
      </c>
      <c r="Z2607">
        <v>4.9530200000000003E-2</v>
      </c>
      <c r="AA2607">
        <v>0.9880177</v>
      </c>
      <c r="AB2607">
        <v>23</v>
      </c>
      <c r="AC2607">
        <v>-9.1999999999643391E-3</v>
      </c>
      <c r="AD2607">
        <v>-1.11492894276</v>
      </c>
      <c r="AE2607">
        <v>-16.632200000000001</v>
      </c>
      <c r="AF2607">
        <v>-2.4453205131152602</v>
      </c>
      <c r="AG2607">
        <v>-1.11492894276</v>
      </c>
      <c r="AH2607">
        <v>16.376235638274299</v>
      </c>
      <c r="AI2607">
        <v>93.852229419025406</v>
      </c>
      <c r="AJ2607">
        <v>98.492729916014795</v>
      </c>
      <c r="AK2607">
        <v>16.5952930868831</v>
      </c>
      <c r="AL2607">
        <v>94.914524866714103</v>
      </c>
      <c r="AM2607">
        <v>100.268686442391</v>
      </c>
      <c r="AN2607">
        <v>0.99999999246553495</v>
      </c>
    </row>
    <row r="2608" spans="1:40" x14ac:dyDescent="0.25">
      <c r="A2608" t="str">
        <f>"20190305135244126"</f>
        <v>20190305135244126</v>
      </c>
      <c r="B2608" t="str">
        <f>"1551765164121910"</f>
        <v>1551765164121910</v>
      </c>
      <c r="C2608" t="s">
        <v>40</v>
      </c>
      <c r="D2608">
        <v>4.5677240000000001</v>
      </c>
      <c r="E2608">
        <v>0.51587929999999904</v>
      </c>
      <c r="F2608" t="s">
        <v>42</v>
      </c>
      <c r="G2608">
        <v>-484.83179999999999</v>
      </c>
      <c r="H2608" s="1">
        <v>-4.0131389999999998E-6</v>
      </c>
      <c r="I2608">
        <v>256.85050000000001</v>
      </c>
      <c r="J2608">
        <v>-484.77800000000002</v>
      </c>
      <c r="K2608">
        <v>1.1145339999999999</v>
      </c>
      <c r="L2608">
        <v>273.14999999999998</v>
      </c>
      <c r="M2608">
        <v>-0.14276469999999999</v>
      </c>
      <c r="N2608">
        <v>-1.4962799999999899E-2</v>
      </c>
      <c r="O2608">
        <v>-0.98964359999999996</v>
      </c>
      <c r="P2608">
        <v>3.4343720000000001E-2</v>
      </c>
      <c r="Q2608">
        <v>-9.783596E-2</v>
      </c>
      <c r="R2608">
        <v>-0.99460999999999999</v>
      </c>
      <c r="S2608">
        <v>-1.2573239999999999E-2</v>
      </c>
      <c r="T2608">
        <v>-0.20317099999999999</v>
      </c>
      <c r="U2608">
        <v>-2.996429</v>
      </c>
      <c r="V2608">
        <v>-0.17488090000000001</v>
      </c>
      <c r="W2608">
        <v>-8.5503199999999904E-2</v>
      </c>
      <c r="X2608">
        <v>0.98086989999999996</v>
      </c>
      <c r="Y2608">
        <v>-0.13854430000000001</v>
      </c>
      <c r="Z2608">
        <v>5.135232E-2</v>
      </c>
      <c r="AA2608">
        <v>0.98902400000000001</v>
      </c>
      <c r="AB2608">
        <v>23</v>
      </c>
      <c r="AC2608">
        <v>-5.3799999999966902E-2</v>
      </c>
      <c r="AD2608">
        <v>-1.1145380131389999</v>
      </c>
      <c r="AE2608">
        <v>-16.299499999999899</v>
      </c>
      <c r="AF2608">
        <v>-2.2634220260678202</v>
      </c>
      <c r="AG2608">
        <v>-1.1145380131389999</v>
      </c>
      <c r="AH2608">
        <v>16.065068983667299</v>
      </c>
      <c r="AI2608">
        <v>93.929930847956399</v>
      </c>
      <c r="AJ2608">
        <v>98.019667816645594</v>
      </c>
      <c r="AK2608">
        <v>16.261971458000101</v>
      </c>
      <c r="AL2608">
        <v>94.904961728599403</v>
      </c>
      <c r="AM2608">
        <v>100.10913541029301</v>
      </c>
      <c r="AN2608">
        <v>0.99999994356052802</v>
      </c>
    </row>
    <row r="2609" spans="1:40" x14ac:dyDescent="0.25">
      <c r="A2609" t="str">
        <f>"20190305135244144"</f>
        <v>20190305135244144</v>
      </c>
      <c r="B2609" t="str">
        <f>"1551765164131668"</f>
        <v>1551765164131668</v>
      </c>
      <c r="C2609" t="s">
        <v>40</v>
      </c>
      <c r="D2609">
        <v>4.5399989999999999</v>
      </c>
      <c r="E2609">
        <v>0.51666749999999995</v>
      </c>
      <c r="F2609" t="s">
        <v>42</v>
      </c>
      <c r="G2609">
        <v>-484.88749999999999</v>
      </c>
      <c r="H2609" s="1">
        <v>-3.6402669999999998E-6</v>
      </c>
      <c r="I2609">
        <v>256.00439999999998</v>
      </c>
      <c r="J2609">
        <v>-484.79700000000003</v>
      </c>
      <c r="K2609">
        <v>1.1140219999999901</v>
      </c>
      <c r="L2609">
        <v>272.96359999999999</v>
      </c>
      <c r="M2609">
        <v>-0.13637769999999999</v>
      </c>
      <c r="N2609">
        <v>-1.480685E-2</v>
      </c>
      <c r="O2609">
        <v>-0.9905465</v>
      </c>
      <c r="P2609">
        <v>3.6152879999999998E-2</v>
      </c>
      <c r="Q2609">
        <v>-9.9767739999999994E-2</v>
      </c>
      <c r="R2609">
        <v>-0.99435390000000001</v>
      </c>
      <c r="S2609">
        <v>-1.9134519999999999E-2</v>
      </c>
      <c r="T2609">
        <v>-0.1948674</v>
      </c>
      <c r="U2609">
        <v>-2.9977719999999999</v>
      </c>
      <c r="V2609">
        <v>-0.17039840000000001</v>
      </c>
      <c r="W2609">
        <v>-8.7302649999999996E-2</v>
      </c>
      <c r="X2609">
        <v>0.98150020000000004</v>
      </c>
      <c r="Y2609">
        <v>-0.1299961</v>
      </c>
      <c r="Z2609">
        <v>4.8906579999999998E-2</v>
      </c>
      <c r="AA2609">
        <v>0.99030759999999995</v>
      </c>
      <c r="AB2609">
        <v>23</v>
      </c>
      <c r="AC2609">
        <v>-9.0500000000019995E-2</v>
      </c>
      <c r="AD2609">
        <v>-1.1140256402669999</v>
      </c>
      <c r="AE2609">
        <v>-16.959199999999999</v>
      </c>
      <c r="AF2609">
        <v>-2.2139027470697799</v>
      </c>
      <c r="AG2609">
        <v>-1.1140256402669999</v>
      </c>
      <c r="AH2609">
        <v>16.7408230462771</v>
      </c>
      <c r="AI2609">
        <v>93.774394641150096</v>
      </c>
      <c r="AJ2609">
        <v>97.533409345949906</v>
      </c>
      <c r="AK2609">
        <v>16.923284987478599</v>
      </c>
      <c r="AL2609">
        <v>95.008449347125506</v>
      </c>
      <c r="AM2609">
        <v>99.848961227722199</v>
      </c>
      <c r="AN2609">
        <v>1.0000000050098099</v>
      </c>
    </row>
    <row r="2610" spans="1:40" x14ac:dyDescent="0.25">
      <c r="A2610" t="str">
        <f>"20190305135244156"</f>
        <v>20190305135244156</v>
      </c>
      <c r="B2610" t="str">
        <f>"1551765164152164"</f>
        <v>1551765164152164</v>
      </c>
      <c r="C2610" t="s">
        <v>40</v>
      </c>
      <c r="D2610">
        <v>4.5674130000000002</v>
      </c>
      <c r="E2610">
        <v>0.51761939999999995</v>
      </c>
      <c r="F2610" t="s">
        <v>42</v>
      </c>
      <c r="G2610">
        <v>-484.90679999999998</v>
      </c>
      <c r="H2610" s="1">
        <v>-3.6698820000000001E-6</v>
      </c>
      <c r="I2610">
        <v>256.08139999999997</v>
      </c>
      <c r="J2610">
        <v>-484.80810000000002</v>
      </c>
      <c r="K2610">
        <v>1.1136870000000001</v>
      </c>
      <c r="L2610">
        <v>272.85129999999998</v>
      </c>
      <c r="M2610">
        <v>-0.13296459999999999</v>
      </c>
      <c r="N2610">
        <v>-1.47157E-2</v>
      </c>
      <c r="O2610">
        <v>-0.99101170000000005</v>
      </c>
      <c r="P2610">
        <v>3.7009640000000003E-2</v>
      </c>
      <c r="Q2610">
        <v>-0.1014531</v>
      </c>
      <c r="R2610">
        <v>-0.99415189999999998</v>
      </c>
      <c r="S2610">
        <v>-1.9500730000000001E-2</v>
      </c>
      <c r="T2610">
        <v>-0.197824</v>
      </c>
      <c r="U2610">
        <v>-2.9978639999999999</v>
      </c>
      <c r="V2610">
        <v>-0.16789389999999901</v>
      </c>
      <c r="W2610">
        <v>-8.8906669999999993E-2</v>
      </c>
      <c r="X2610">
        <v>0.98178779999999999</v>
      </c>
      <c r="Y2610">
        <v>-0.12646099999999999</v>
      </c>
      <c r="Z2610">
        <v>5.0019309999999997E-2</v>
      </c>
      <c r="AA2610">
        <v>0.99070970000000003</v>
      </c>
      <c r="AB2610">
        <v>23</v>
      </c>
      <c r="AC2610">
        <v>-9.8699999999951105E-2</v>
      </c>
      <c r="AD2610">
        <v>-1.1136906698819999</v>
      </c>
      <c r="AE2610">
        <v>-16.7699</v>
      </c>
      <c r="AF2610">
        <v>-2.12285860275817</v>
      </c>
      <c r="AG2610">
        <v>-1.1136906698819999</v>
      </c>
      <c r="AH2610">
        <v>16.5610524751288</v>
      </c>
      <c r="AI2610">
        <v>93.8160800073845</v>
      </c>
      <c r="AJ2610">
        <v>97.304557154028004</v>
      </c>
      <c r="AK2610">
        <v>16.733657539206899</v>
      </c>
      <c r="AL2610">
        <v>95.100711639451006</v>
      </c>
      <c r="AM2610">
        <v>99.704186702754299</v>
      </c>
      <c r="AN2610">
        <v>1.00000002092826</v>
      </c>
    </row>
    <row r="2611" spans="1:40" x14ac:dyDescent="0.25">
      <c r="A2611" t="str">
        <f>"20190305135244169"</f>
        <v>20190305135244169</v>
      </c>
      <c r="B2611" t="str">
        <f>"1551765164161924"</f>
        <v>1551765164161924</v>
      </c>
      <c r="C2611" t="s">
        <v>40</v>
      </c>
      <c r="D2611">
        <v>4.5384070000000003</v>
      </c>
      <c r="E2611">
        <v>0.51814589999999905</v>
      </c>
      <c r="F2611" t="s">
        <v>42</v>
      </c>
      <c r="G2611">
        <v>-484.94310000000002</v>
      </c>
      <c r="H2611" s="1">
        <v>-3.6463550000000002E-6</v>
      </c>
      <c r="I2611">
        <v>256.04160000000002</v>
      </c>
      <c r="J2611">
        <v>-484.82209999999998</v>
      </c>
      <c r="K2611">
        <v>1.1132500000000001</v>
      </c>
      <c r="L2611">
        <v>272.70999999999998</v>
      </c>
      <c r="M2611">
        <v>-0.128896699999999</v>
      </c>
      <c r="N2611">
        <v>-1.4604539999999999E-2</v>
      </c>
      <c r="O2611">
        <v>-0.99155070000000001</v>
      </c>
      <c r="P2611">
        <v>3.8149219999999998E-2</v>
      </c>
      <c r="Q2611">
        <v>-0.1025205</v>
      </c>
      <c r="R2611">
        <v>-0.99399939999999998</v>
      </c>
      <c r="S2611">
        <v>-2.4078370000000002E-2</v>
      </c>
      <c r="T2611">
        <v>-0.19864509999999999</v>
      </c>
      <c r="U2611">
        <v>-2.998291</v>
      </c>
      <c r="V2611">
        <v>-0.1650625</v>
      </c>
      <c r="W2611">
        <v>-8.9869030000000003E-2</v>
      </c>
      <c r="X2611">
        <v>0.98218019999999995</v>
      </c>
      <c r="Y2611">
        <v>-0.1208805</v>
      </c>
      <c r="Z2611">
        <v>5.046581E-2</v>
      </c>
      <c r="AA2611">
        <v>0.99138340000000003</v>
      </c>
      <c r="AB2611">
        <v>23</v>
      </c>
      <c r="AC2611">
        <v>-0.12100000000003699</v>
      </c>
      <c r="AD2611">
        <v>-1.113253646355</v>
      </c>
      <c r="AE2611">
        <v>-16.668399999999899</v>
      </c>
      <c r="AF2611">
        <v>-2.0197311535276099</v>
      </c>
      <c r="AG2611">
        <v>-1.113253646355</v>
      </c>
      <c r="AH2611">
        <v>16.471451183726298</v>
      </c>
      <c r="AI2611">
        <v>93.837903208797499</v>
      </c>
      <c r="AJ2611">
        <v>96.9907174061794</v>
      </c>
      <c r="AK2611">
        <v>16.632118076526801</v>
      </c>
      <c r="AL2611">
        <v>95.156072486902403</v>
      </c>
      <c r="AM2611">
        <v>99.539825679522593</v>
      </c>
      <c r="AN2611">
        <v>1.0000000083657099</v>
      </c>
    </row>
    <row r="2612" spans="1:40" x14ac:dyDescent="0.25">
      <c r="A2612" t="str">
        <f>"20190305135244190"</f>
        <v>20190305135244190</v>
      </c>
      <c r="B2612" t="str">
        <f>"1551765164182420"</f>
        <v>1551765164182420</v>
      </c>
      <c r="C2612" t="s">
        <v>40</v>
      </c>
      <c r="D2612">
        <v>4.4838529999999999</v>
      </c>
      <c r="E2612">
        <v>0.51945070000000004</v>
      </c>
      <c r="F2612" t="s">
        <v>42</v>
      </c>
      <c r="G2612">
        <v>-484.96019999999999</v>
      </c>
      <c r="H2612" s="1">
        <v>-3.6406560000000002E-6</v>
      </c>
      <c r="I2612">
        <v>256.03539999999998</v>
      </c>
      <c r="J2612">
        <v>-484.84309999999999</v>
      </c>
      <c r="K2612">
        <v>1.1125210000000001</v>
      </c>
      <c r="L2612">
        <v>272.49529999999999</v>
      </c>
      <c r="M2612">
        <v>-0.1236563</v>
      </c>
      <c r="N2612">
        <v>-1.4444449999999999E-2</v>
      </c>
      <c r="O2612">
        <v>-0.99222010000000005</v>
      </c>
      <c r="P2612">
        <v>3.7481489999999999E-2</v>
      </c>
      <c r="Q2612">
        <v>-0.10338749999999999</v>
      </c>
      <c r="R2612">
        <v>-0.99393529999999997</v>
      </c>
      <c r="S2612">
        <v>-2.4841309999999998E-2</v>
      </c>
      <c r="T2612">
        <v>-0.200188</v>
      </c>
      <c r="U2612">
        <v>-2.9984739999999999</v>
      </c>
      <c r="V2612">
        <v>-0.1593598</v>
      </c>
      <c r="W2612">
        <v>-9.053514E-2</v>
      </c>
      <c r="X2612">
        <v>0.9830605</v>
      </c>
      <c r="Y2612">
        <v>-0.1153863</v>
      </c>
      <c r="Z2612">
        <v>5.1213250000000002E-2</v>
      </c>
      <c r="AA2612">
        <v>0.99199959999999998</v>
      </c>
      <c r="AB2612">
        <v>23</v>
      </c>
      <c r="AC2612">
        <v>-0.117099999999993</v>
      </c>
      <c r="AD2612">
        <v>-1.1125246406560001</v>
      </c>
      <c r="AE2612">
        <v>-16.459900000000001</v>
      </c>
      <c r="AF2612">
        <v>-1.9106531599327501</v>
      </c>
      <c r="AG2612">
        <v>-1.1125246406560001</v>
      </c>
      <c r="AH2612">
        <v>16.273686192471398</v>
      </c>
      <c r="AI2612">
        <v>93.884252618577605</v>
      </c>
      <c r="AJ2612">
        <v>96.696299313391606</v>
      </c>
      <c r="AK2612">
        <v>16.4231899722515</v>
      </c>
      <c r="AL2612">
        <v>95.194393769778003</v>
      </c>
      <c r="AM2612">
        <v>99.207879442961001</v>
      </c>
      <c r="AN2612">
        <v>1.0000000520455501</v>
      </c>
    </row>
    <row r="2613" spans="1:40" x14ac:dyDescent="0.25">
      <c r="A2613" t="str">
        <f>"20190305135244211"</f>
        <v>20190305135244211</v>
      </c>
      <c r="B2613" t="str">
        <f>"1551765164201943"</f>
        <v>1551765164201943</v>
      </c>
      <c r="C2613" t="s">
        <v>40</v>
      </c>
      <c r="D2613">
        <v>4.5183859999999996</v>
      </c>
      <c r="E2613">
        <v>0.51993880000000003</v>
      </c>
      <c r="F2613" t="s">
        <v>42</v>
      </c>
      <c r="G2613">
        <v>-485.04969999999997</v>
      </c>
      <c r="H2613" s="1">
        <v>-3.4865719999999999E-6</v>
      </c>
      <c r="I2613">
        <v>255.7132</v>
      </c>
      <c r="J2613">
        <v>-484.8648</v>
      </c>
      <c r="K2613">
        <v>1.1117330000000001</v>
      </c>
      <c r="L2613">
        <v>272.2731</v>
      </c>
      <c r="M2613">
        <v>-0.1192869</v>
      </c>
      <c r="N2613">
        <v>-1.4296120000000001E-2</v>
      </c>
      <c r="O2613">
        <v>-0.99275679999999999</v>
      </c>
      <c r="P2613">
        <v>3.6794720000000003E-2</v>
      </c>
      <c r="Q2613">
        <v>-0.1019057</v>
      </c>
      <c r="R2613">
        <v>-0.99411309999999997</v>
      </c>
      <c r="S2613">
        <v>-3.6926269999999997E-2</v>
      </c>
      <c r="T2613">
        <v>-0.19881370000000001</v>
      </c>
      <c r="U2613">
        <v>-2.9990540000000001</v>
      </c>
      <c r="V2613">
        <v>-0.15456029999999901</v>
      </c>
      <c r="W2613">
        <v>-8.8844049999999994E-2</v>
      </c>
      <c r="X2613">
        <v>0.98398059999999998</v>
      </c>
      <c r="Y2613">
        <v>-0.1070198</v>
      </c>
      <c r="Z2613">
        <v>5.0985660000000002E-2</v>
      </c>
      <c r="AA2613">
        <v>0.99294879999999996</v>
      </c>
      <c r="AB2613">
        <v>23</v>
      </c>
      <c r="AC2613">
        <v>-0.18489999999997001</v>
      </c>
      <c r="AD2613">
        <v>-1.1117364865719901</v>
      </c>
      <c r="AE2613">
        <v>-16.559899999999999</v>
      </c>
      <c r="AF2613">
        <v>-1.7839623787457599</v>
      </c>
      <c r="AG2613">
        <v>-1.1117364865719901</v>
      </c>
      <c r="AH2613">
        <v>16.389833669584899</v>
      </c>
      <c r="AI2613">
        <v>93.857762306830494</v>
      </c>
      <c r="AJ2613">
        <v>96.211942619943599</v>
      </c>
      <c r="AK2613">
        <v>16.524077205732699</v>
      </c>
      <c r="AL2613">
        <v>95.0971096999899</v>
      </c>
      <c r="AM2613">
        <v>98.9268837524655</v>
      </c>
      <c r="AN2613">
        <v>0.99999998636642595</v>
      </c>
    </row>
    <row r="2614" spans="1:40" x14ac:dyDescent="0.25">
      <c r="A2614" t="str">
        <f>"20190305135244224"</f>
        <v>20190305135244224</v>
      </c>
      <c r="B2614" t="str">
        <f>"1551765164212676"</f>
        <v>1551765164212676</v>
      </c>
      <c r="C2614" t="s">
        <v>40</v>
      </c>
      <c r="D2614">
        <v>4.4608910000000002</v>
      </c>
      <c r="E2614">
        <v>0.52111409999999903</v>
      </c>
      <c r="F2614" t="s">
        <v>42</v>
      </c>
      <c r="G2614">
        <v>-485.11090000000002</v>
      </c>
      <c r="H2614" s="1">
        <v>-3.1460180000000001E-6</v>
      </c>
      <c r="I2614">
        <v>254.94470000000001</v>
      </c>
      <c r="J2614">
        <v>-484.87740000000002</v>
      </c>
      <c r="K2614">
        <v>1.111283</v>
      </c>
      <c r="L2614">
        <v>272.14510000000001</v>
      </c>
      <c r="M2614">
        <v>-0.1171522</v>
      </c>
      <c r="N2614">
        <v>-1.4218440000000001E-2</v>
      </c>
      <c r="O2614">
        <v>-0.99301249999999996</v>
      </c>
      <c r="P2614">
        <v>3.7135139999999997E-2</v>
      </c>
      <c r="Q2614">
        <v>-0.1014659</v>
      </c>
      <c r="R2614">
        <v>-0.99414599999999997</v>
      </c>
      <c r="S2614">
        <v>-4.2602540000000001E-2</v>
      </c>
      <c r="T2614">
        <v>-0.1924469</v>
      </c>
      <c r="U2614">
        <v>-2.9996339999999999</v>
      </c>
      <c r="V2614">
        <v>-0.1528892</v>
      </c>
      <c r="W2614">
        <v>-8.8295529999999997E-2</v>
      </c>
      <c r="X2614">
        <v>0.98429100000000003</v>
      </c>
      <c r="Y2614">
        <v>-0.1030079</v>
      </c>
      <c r="Z2614">
        <v>4.9007099999999998E-2</v>
      </c>
      <c r="AA2614">
        <v>0.99347249999999998</v>
      </c>
      <c r="AB2614">
        <v>23</v>
      </c>
      <c r="AC2614">
        <v>-0.23349999999999199</v>
      </c>
      <c r="AD2614">
        <v>-1.1112861460179999</v>
      </c>
      <c r="AE2614">
        <v>-17.200399999999998</v>
      </c>
      <c r="AF2614">
        <v>-1.77596411092304</v>
      </c>
      <c r="AG2614">
        <v>-1.1112861460179999</v>
      </c>
      <c r="AH2614">
        <v>17.038183487979399</v>
      </c>
      <c r="AI2614">
        <v>93.711680549628497</v>
      </c>
      <c r="AJ2614">
        <v>95.950699801615698</v>
      </c>
      <c r="AK2614">
        <v>17.166499409945899</v>
      </c>
      <c r="AL2614">
        <v>95.065557798021601</v>
      </c>
      <c r="AM2614">
        <v>98.829155090022596</v>
      </c>
      <c r="AN2614">
        <v>0.99999999038780996</v>
      </c>
    </row>
    <row r="2615" spans="1:40" x14ac:dyDescent="0.25">
      <c r="A2615" t="str">
        <f>"20190305135244237"</f>
        <v>20190305135244237</v>
      </c>
      <c r="B2615" t="str">
        <f>"1551765164232197"</f>
        <v>1551765164232197</v>
      </c>
      <c r="C2615" t="s">
        <v>40</v>
      </c>
      <c r="D2615">
        <v>4.5595059999999998</v>
      </c>
      <c r="E2615">
        <v>0.52243269999999997</v>
      </c>
      <c r="F2615" t="s">
        <v>42</v>
      </c>
      <c r="G2615">
        <v>-485.17270000000002</v>
      </c>
      <c r="H2615" s="1">
        <v>-2.8758250000000001E-6</v>
      </c>
      <c r="I2615">
        <v>254.3245</v>
      </c>
      <c r="J2615">
        <v>-484.89019999999999</v>
      </c>
      <c r="K2615">
        <v>1.1108530000000001</v>
      </c>
      <c r="L2615">
        <v>272.01749999999998</v>
      </c>
      <c r="M2615">
        <v>-0.1155366</v>
      </c>
      <c r="N2615">
        <v>-1.4147099999999999E-2</v>
      </c>
      <c r="O2615">
        <v>-0.99320240000000004</v>
      </c>
      <c r="P2615">
        <v>3.6992850000000001E-2</v>
      </c>
      <c r="Q2615">
        <v>-0.1018333</v>
      </c>
      <c r="R2615">
        <v>-0.99411340000000004</v>
      </c>
      <c r="S2615">
        <v>-4.9713130000000001E-2</v>
      </c>
      <c r="T2615">
        <v>-0.18710550000000001</v>
      </c>
      <c r="U2615">
        <v>-3.0004270000000002</v>
      </c>
      <c r="V2615">
        <v>-0.1512357</v>
      </c>
      <c r="W2615">
        <v>-8.8561399999999998E-2</v>
      </c>
      <c r="X2615">
        <v>0.98452249999999997</v>
      </c>
      <c r="Y2615">
        <v>-9.9041309999999994E-2</v>
      </c>
      <c r="Z2615">
        <v>4.7344539999999997E-2</v>
      </c>
      <c r="AA2615">
        <v>0.99395639999999996</v>
      </c>
      <c r="AB2615">
        <v>23</v>
      </c>
      <c r="AC2615">
        <v>-0.28250000000002701</v>
      </c>
      <c r="AD2615">
        <v>-1.110855875825</v>
      </c>
      <c r="AE2615">
        <v>-17.692999999999898</v>
      </c>
      <c r="AF2615">
        <v>-1.7568623060366899</v>
      </c>
      <c r="AG2615">
        <v>-1.110855875825</v>
      </c>
      <c r="AH2615">
        <v>17.538015899257601</v>
      </c>
      <c r="AI2615">
        <v>93.606265205467295</v>
      </c>
      <c r="AJ2615">
        <v>95.720493163615799</v>
      </c>
      <c r="AK2615">
        <v>17.660763506197501</v>
      </c>
      <c r="AL2615">
        <v>95.080851113903904</v>
      </c>
      <c r="AM2615">
        <v>98.733125887781995</v>
      </c>
      <c r="AN2615">
        <v>0.99999995576534895</v>
      </c>
    </row>
    <row r="2616" spans="1:40" x14ac:dyDescent="0.25">
      <c r="A2616" t="str">
        <f>"20190305135244248"</f>
        <v>20190305135244248</v>
      </c>
      <c r="B2616" t="str">
        <f>"1551765164241957"</f>
        <v>1551765164241957</v>
      </c>
      <c r="C2616" t="s">
        <v>40</v>
      </c>
      <c r="D2616">
        <v>4.5298629999999998</v>
      </c>
      <c r="E2616">
        <v>0.52294629999999998</v>
      </c>
      <c r="F2616" t="s">
        <v>42</v>
      </c>
      <c r="G2616">
        <v>-485.26100000000002</v>
      </c>
      <c r="H2616" s="1">
        <v>-2.7087250000000001E-6</v>
      </c>
      <c r="I2616">
        <v>253.9025</v>
      </c>
      <c r="J2616">
        <v>-484.90249999999997</v>
      </c>
      <c r="K2616">
        <v>1.110447</v>
      </c>
      <c r="L2616">
        <v>271.8956</v>
      </c>
      <c r="M2616">
        <v>-0.1142021</v>
      </c>
      <c r="N2616">
        <v>-1.4079980000000001E-2</v>
      </c>
      <c r="O2616">
        <v>-0.99335779999999996</v>
      </c>
      <c r="P2616">
        <v>3.6778440000000003E-2</v>
      </c>
      <c r="Q2616">
        <v>-0.1025522</v>
      </c>
      <c r="R2616">
        <v>-0.99404749999999997</v>
      </c>
      <c r="S2616">
        <v>-6.1431880000000001E-2</v>
      </c>
      <c r="T2616">
        <v>-0.18404229999999999</v>
      </c>
      <c r="U2616">
        <v>-3.0012210000000001</v>
      </c>
      <c r="V2616">
        <v>-0.14977979999999999</v>
      </c>
      <c r="W2616">
        <v>-8.9187909999999995E-2</v>
      </c>
      <c r="X2616">
        <v>0.98468849999999997</v>
      </c>
      <c r="Y2616">
        <v>-9.3830620000000003E-2</v>
      </c>
      <c r="Z2616">
        <v>4.6422909999999998E-2</v>
      </c>
      <c r="AA2616">
        <v>0.99450530000000004</v>
      </c>
      <c r="AB2616">
        <v>23</v>
      </c>
      <c r="AC2616">
        <v>-0.35849999999999199</v>
      </c>
      <c r="AD2616">
        <v>-1.110449708725</v>
      </c>
      <c r="AE2616">
        <v>-17.993099999999998</v>
      </c>
      <c r="AF2616">
        <v>-1.6924557384948</v>
      </c>
      <c r="AG2616">
        <v>-1.110449708725</v>
      </c>
      <c r="AH2616">
        <v>17.848349485980101</v>
      </c>
      <c r="AI2616">
        <v>93.544257289990796</v>
      </c>
      <c r="AJ2616">
        <v>95.416830709337006</v>
      </c>
      <c r="AK2616">
        <v>17.962769395504001</v>
      </c>
      <c r="AL2616">
        <v>95.116890101935297</v>
      </c>
      <c r="AM2616">
        <v>98.648896279454803</v>
      </c>
      <c r="AN2616">
        <v>0.99999995690522803</v>
      </c>
    </row>
    <row r="2617" spans="1:40" x14ac:dyDescent="0.25">
      <c r="A2617" t="str">
        <f>"20190305135244269"</f>
        <v>20190305135244269</v>
      </c>
      <c r="B2617" t="str">
        <f>"1551765164262453"</f>
        <v>1551765164262453</v>
      </c>
      <c r="C2617" t="s">
        <v>40</v>
      </c>
      <c r="D2617">
        <v>4.5388510000000002</v>
      </c>
      <c r="E2617">
        <v>0.52339290000000005</v>
      </c>
      <c r="F2617" t="s">
        <v>42</v>
      </c>
      <c r="G2617">
        <v>-485.29649999999998</v>
      </c>
      <c r="H2617" s="1">
        <v>-2.677768E-6</v>
      </c>
      <c r="I2617">
        <v>253.83930000000001</v>
      </c>
      <c r="J2617">
        <v>-484.9239</v>
      </c>
      <c r="K2617">
        <v>1.109758</v>
      </c>
      <c r="L2617">
        <v>271.69009999999997</v>
      </c>
      <c r="M2617">
        <v>-0.11285439999999999</v>
      </c>
      <c r="N2617">
        <v>-1.3963079999999999E-2</v>
      </c>
      <c r="O2617">
        <v>-0.99351330000000004</v>
      </c>
      <c r="P2617">
        <v>3.4403879999999998E-2</v>
      </c>
      <c r="Q2617">
        <v>-0.1049042</v>
      </c>
      <c r="R2617">
        <v>-0.99388690000000002</v>
      </c>
      <c r="S2617">
        <v>-6.5490720000000002E-2</v>
      </c>
      <c r="T2617">
        <v>-0.1845783</v>
      </c>
      <c r="U2617">
        <v>-3.001312</v>
      </c>
      <c r="V2617">
        <v>-0.14621289999999901</v>
      </c>
      <c r="W2617">
        <v>-9.1394009999999998E-2</v>
      </c>
      <c r="X2617">
        <v>0.98502230000000002</v>
      </c>
      <c r="Y2617">
        <v>-9.1137919999999997E-2</v>
      </c>
      <c r="Z2617">
        <v>4.6735140000000001E-2</v>
      </c>
      <c r="AA2617">
        <v>0.99474099999999999</v>
      </c>
      <c r="AB2617">
        <v>23</v>
      </c>
      <c r="AC2617">
        <v>-0.37259999999997701</v>
      </c>
      <c r="AD2617">
        <v>-1.109760677768</v>
      </c>
      <c r="AE2617">
        <v>-17.8507999999999</v>
      </c>
      <c r="AF2617">
        <v>-1.6381900299467</v>
      </c>
      <c r="AG2617">
        <v>-1.109760677768</v>
      </c>
      <c r="AH2617">
        <v>17.710372321011</v>
      </c>
      <c r="AI2617">
        <v>93.5703567186643</v>
      </c>
      <c r="AJ2617">
        <v>95.284758831704195</v>
      </c>
      <c r="AK2617">
        <v>17.8205646118457</v>
      </c>
      <c r="AL2617">
        <v>95.243808511858802</v>
      </c>
      <c r="AM2617">
        <v>98.443114230022701</v>
      </c>
      <c r="AN2617">
        <v>1.00000000434379</v>
      </c>
    </row>
    <row r="2618" spans="1:40" x14ac:dyDescent="0.25">
      <c r="A2618" t="str">
        <f>"20190305135244291"</f>
        <v>20190305135244291</v>
      </c>
      <c r="B2618" t="str">
        <f>"1551765164281972"</f>
        <v>1551765164281972</v>
      </c>
      <c r="C2618" t="s">
        <v>40</v>
      </c>
      <c r="D2618">
        <v>4.7932800000000002</v>
      </c>
      <c r="E2618">
        <v>0.53414649999999997</v>
      </c>
      <c r="F2618" t="s">
        <v>42</v>
      </c>
      <c r="G2618">
        <v>-485.36709999999999</v>
      </c>
      <c r="H2618" s="1">
        <v>-2.750409E-6</v>
      </c>
      <c r="I2618">
        <v>254.1079</v>
      </c>
      <c r="J2618">
        <v>-484.94940000000003</v>
      </c>
      <c r="K2618">
        <v>1.108984</v>
      </c>
      <c r="L2618">
        <v>271.45350000000002</v>
      </c>
      <c r="M2618">
        <v>-0.11251369999999999</v>
      </c>
      <c r="N2618">
        <v>-1.381724E-2</v>
      </c>
      <c r="O2618">
        <v>-0.99355420000000005</v>
      </c>
      <c r="P2618">
        <v>3.0790419999999999E-2</v>
      </c>
      <c r="Q2618">
        <v>-0.1067428</v>
      </c>
      <c r="R2618">
        <v>-0.99380990000000002</v>
      </c>
      <c r="S2618">
        <v>-7.5653079999999998E-2</v>
      </c>
      <c r="T2618">
        <v>-0.1894226</v>
      </c>
      <c r="U2618">
        <v>-3.0010680000000001</v>
      </c>
      <c r="V2618">
        <v>-0.1424453</v>
      </c>
      <c r="W2618">
        <v>-9.3101519999999993E-2</v>
      </c>
      <c r="X2618">
        <v>0.98541429999999997</v>
      </c>
      <c r="Y2618">
        <v>-8.7430910000000001E-2</v>
      </c>
      <c r="Z2618">
        <v>4.8487040000000002E-2</v>
      </c>
      <c r="AA2618">
        <v>0.99498989999999998</v>
      </c>
      <c r="AB2618">
        <v>23</v>
      </c>
      <c r="AC2618">
        <v>-0.41769999999996799</v>
      </c>
      <c r="AD2618">
        <v>-1.1089867504090001</v>
      </c>
      <c r="AE2618">
        <v>-17.345600000000001</v>
      </c>
      <c r="AF2618">
        <v>-1.53050405246921</v>
      </c>
      <c r="AG2618">
        <v>-1.1089867504090001</v>
      </c>
      <c r="AH2618">
        <v>17.212122413151601</v>
      </c>
      <c r="AI2618">
        <v>93.672055128497803</v>
      </c>
      <c r="AJ2618">
        <v>95.081383443150798</v>
      </c>
      <c r="AK2618">
        <v>17.315584085803302</v>
      </c>
      <c r="AL2618">
        <v>95.342060872113507</v>
      </c>
      <c r="AM2618">
        <v>98.225342060850096</v>
      </c>
      <c r="AN2618">
        <v>0.999999949581444</v>
      </c>
    </row>
    <row r="2619" spans="1:40" x14ac:dyDescent="0.25">
      <c r="A2619" t="str">
        <f>"20190305135244312"</f>
        <v>20190305135244312</v>
      </c>
      <c r="B2619" t="str">
        <f>"1551765164302472"</f>
        <v>1551765164302472</v>
      </c>
      <c r="C2619" t="s">
        <v>40</v>
      </c>
      <c r="D2619">
        <v>4.7113149999999999</v>
      </c>
      <c r="E2619">
        <v>0.56500319999999904</v>
      </c>
      <c r="F2619" t="s">
        <v>42</v>
      </c>
      <c r="G2619">
        <v>-486.15210000000002</v>
      </c>
      <c r="H2619" s="1">
        <v>-1.2169740000000001E-6</v>
      </c>
      <c r="I2619">
        <v>250.21559999999999</v>
      </c>
      <c r="J2619">
        <v>-484.97399999999999</v>
      </c>
      <c r="K2619">
        <v>1.108312</v>
      </c>
      <c r="L2619">
        <v>271.23480000000001</v>
      </c>
      <c r="M2619">
        <v>-0.11313380000000001</v>
      </c>
      <c r="N2619">
        <v>-1.3668390000000001E-2</v>
      </c>
      <c r="O2619">
        <v>-0.99348590000000003</v>
      </c>
      <c r="P2619">
        <v>2.529551E-2</v>
      </c>
      <c r="Q2619">
        <v>-0.1095768</v>
      </c>
      <c r="R2619">
        <v>-0.9936566</v>
      </c>
      <c r="S2619">
        <v>-0.1702881</v>
      </c>
      <c r="T2619">
        <v>-0.1570232</v>
      </c>
      <c r="U2619">
        <v>-3.0071110000000001</v>
      </c>
      <c r="V2619">
        <v>-0.1377331</v>
      </c>
      <c r="W2619">
        <v>-9.5862429999999998E-2</v>
      </c>
      <c r="X2619">
        <v>0.98581949999999996</v>
      </c>
      <c r="Y2619">
        <v>-5.6803859999999998E-2</v>
      </c>
      <c r="Z2619">
        <v>3.7950610000000003E-2</v>
      </c>
      <c r="AA2619">
        <v>0.99766379999999999</v>
      </c>
      <c r="AB2619">
        <v>23</v>
      </c>
      <c r="AC2619">
        <v>-1.1781000000000199</v>
      </c>
      <c r="AD2619">
        <v>-1.108313216974</v>
      </c>
      <c r="AE2619">
        <v>-21.019200000000001</v>
      </c>
      <c r="AF2619">
        <v>-1.2043309334177801</v>
      </c>
      <c r="AG2619">
        <v>-1.108313216974</v>
      </c>
      <c r="AH2619">
        <v>20.959430689223598</v>
      </c>
      <c r="AI2619">
        <v>93.021947575266694</v>
      </c>
      <c r="AJ2619">
        <v>93.288604976734405</v>
      </c>
      <c r="AK2619">
        <v>21.023237286404701</v>
      </c>
      <c r="AL2619">
        <v>95.500959696618807</v>
      </c>
      <c r="AM2619">
        <v>97.953556095542993</v>
      </c>
      <c r="AN2619">
        <v>1.00000004945068</v>
      </c>
    </row>
    <row r="2620" spans="1:40" x14ac:dyDescent="0.25">
      <c r="A2620" t="str">
        <f>"20190305135244323"</f>
        <v>20190305135244323</v>
      </c>
      <c r="B2620" t="str">
        <f>"1551765164312229"</f>
        <v>1551765164312229</v>
      </c>
      <c r="C2620" t="s">
        <v>40</v>
      </c>
      <c r="D2620">
        <v>4.801285</v>
      </c>
      <c r="E2620">
        <v>0.57294119999999904</v>
      </c>
      <c r="F2620" t="s">
        <v>42</v>
      </c>
      <c r="G2620">
        <v>-487.86009999999999</v>
      </c>
      <c r="H2620" s="1">
        <v>-1.0958120000000001E-6</v>
      </c>
      <c r="I2620">
        <v>251.19499999999999</v>
      </c>
      <c r="J2620">
        <v>-484.98829999999998</v>
      </c>
      <c r="K2620">
        <v>1.1079509999999999</v>
      </c>
      <c r="L2620">
        <v>271.11099999999999</v>
      </c>
      <c r="M2620">
        <v>-0.1137845</v>
      </c>
      <c r="N2620">
        <v>-1.357358E-2</v>
      </c>
      <c r="O2620">
        <v>-0.99341279999999998</v>
      </c>
      <c r="P2620">
        <v>2.1944640000000001E-2</v>
      </c>
      <c r="Q2620">
        <v>-0.1108365</v>
      </c>
      <c r="R2620">
        <v>-0.99359660000000005</v>
      </c>
      <c r="S2620">
        <v>-0.43374629999999997</v>
      </c>
      <c r="T2620">
        <v>-0.16656979999999999</v>
      </c>
      <c r="U2620">
        <v>-3.0118100000000001</v>
      </c>
      <c r="V2620">
        <v>-0.1351252</v>
      </c>
      <c r="W2620">
        <v>-9.7105269999999994E-2</v>
      </c>
      <c r="X2620">
        <v>0.98605869999999995</v>
      </c>
      <c r="Y2620">
        <v>2.8851970000000001E-2</v>
      </c>
      <c r="Z2620">
        <v>4.0946099999999999E-2</v>
      </c>
      <c r="AA2620">
        <v>0.99874470000000004</v>
      </c>
      <c r="AB2620">
        <v>23</v>
      </c>
      <c r="AC2620">
        <v>-2.8717999999999999</v>
      </c>
      <c r="AD2620">
        <v>-1.1079520958119999</v>
      </c>
      <c r="AE2620">
        <v>-19.916</v>
      </c>
      <c r="AF2620">
        <v>0.58503109751850302</v>
      </c>
      <c r="AG2620">
        <v>-1.1079520958119999</v>
      </c>
      <c r="AH2620">
        <v>20.052631605897599</v>
      </c>
      <c r="AI2620">
        <v>93.161160231930893</v>
      </c>
      <c r="AJ2620">
        <v>88.328882315469798</v>
      </c>
      <c r="AK2620">
        <v>20.091735951717101</v>
      </c>
      <c r="AL2620">
        <v>95.572503206116593</v>
      </c>
      <c r="AM2620">
        <v>97.802963544461903</v>
      </c>
      <c r="AN2620">
        <v>1.00000000649125</v>
      </c>
    </row>
    <row r="2621" spans="1:40" x14ac:dyDescent="0.25">
      <c r="A2621" t="str">
        <f>"20190305135244337"</f>
        <v>20190305135244337</v>
      </c>
      <c r="B2621" t="str">
        <f>"1551765164332725"</f>
        <v>1551765164332725</v>
      </c>
      <c r="C2621" t="s">
        <v>40</v>
      </c>
      <c r="D2621">
        <v>4.7874059999999998</v>
      </c>
      <c r="E2621">
        <v>0.58037380000000005</v>
      </c>
      <c r="F2621" t="s">
        <v>42</v>
      </c>
      <c r="G2621">
        <v>-487.9751</v>
      </c>
      <c r="H2621" s="1">
        <v>-1.9922740000000001E-6</v>
      </c>
      <c r="I2621">
        <v>253.43950000000001</v>
      </c>
      <c r="J2621">
        <v>-485.00490000000002</v>
      </c>
      <c r="K2621">
        <v>1.1075889999999999</v>
      </c>
      <c r="L2621">
        <v>270.97309999999999</v>
      </c>
      <c r="M2621">
        <v>-0.114939899999999</v>
      </c>
      <c r="N2621">
        <v>-1.3447529999999999E-2</v>
      </c>
      <c r="O2621">
        <v>-0.99328150000000004</v>
      </c>
      <c r="P2621">
        <v>1.7971419999999998E-2</v>
      </c>
      <c r="Q2621">
        <v>-0.1117547</v>
      </c>
      <c r="R2621">
        <v>-0.9935735</v>
      </c>
      <c r="S2621">
        <v>-0.50866699999999998</v>
      </c>
      <c r="T2621">
        <v>-0.18869320000000001</v>
      </c>
      <c r="U2621">
        <v>-3.0095830000000001</v>
      </c>
      <c r="V2621">
        <v>-0.13240370000000001</v>
      </c>
      <c r="W2621">
        <v>-9.8042580000000004E-2</v>
      </c>
      <c r="X2621">
        <v>0.98633510000000002</v>
      </c>
      <c r="Y2621">
        <v>5.1983759999999997E-2</v>
      </c>
      <c r="Z2621">
        <v>4.8180769999999998E-2</v>
      </c>
      <c r="AA2621">
        <v>0.99748499999999996</v>
      </c>
      <c r="AB2621">
        <v>23</v>
      </c>
      <c r="AC2621">
        <v>-2.97019999999997</v>
      </c>
      <c r="AD2621">
        <v>-1.1075909922739999</v>
      </c>
      <c r="AE2621">
        <v>-17.5335999999999</v>
      </c>
      <c r="AF2621">
        <v>0.93140595114479097</v>
      </c>
      <c r="AG2621">
        <v>-1.1075909922739999</v>
      </c>
      <c r="AH2621">
        <v>17.690177697142801</v>
      </c>
      <c r="AI2621">
        <v>93.577698678977399</v>
      </c>
      <c r="AJ2621">
        <v>86.986101517684602</v>
      </c>
      <c r="AK2621">
        <v>17.749272148696299</v>
      </c>
      <c r="AL2621">
        <v>95.626464592928002</v>
      </c>
      <c r="AM2621">
        <v>97.645568299149005</v>
      </c>
      <c r="AN2621">
        <v>1.0000000083793701</v>
      </c>
    </row>
    <row r="2622" spans="1:40" x14ac:dyDescent="0.25">
      <c r="A2622" t="str">
        <f>"20190305135244351"</f>
        <v>20190305135244351</v>
      </c>
      <c r="B2622" t="str">
        <f>"1551765164342485"</f>
        <v>1551765164342485</v>
      </c>
      <c r="C2622" t="s">
        <v>40</v>
      </c>
      <c r="D2622">
        <v>4.7377929999999999</v>
      </c>
      <c r="E2622">
        <v>0.58222940000000001</v>
      </c>
      <c r="F2622" t="s">
        <v>41</v>
      </c>
      <c r="G2622">
        <v>-485.16079999999999</v>
      </c>
      <c r="H2622">
        <v>1.0521579999999999</v>
      </c>
      <c r="I2622">
        <v>270.16989999999998</v>
      </c>
      <c r="J2622">
        <v>-485.02199999999999</v>
      </c>
      <c r="K2622">
        <v>1.1072470000000001</v>
      </c>
      <c r="L2622">
        <v>270.83530000000002</v>
      </c>
      <c r="M2622">
        <v>-0.11630169999999999</v>
      </c>
      <c r="N2622">
        <v>-1.331391E-2</v>
      </c>
      <c r="O2622">
        <v>-0.99312469999999997</v>
      </c>
      <c r="P2622">
        <v>1.3739929999999999E-2</v>
      </c>
      <c r="Q2622">
        <v>-0.11286110000000001</v>
      </c>
      <c r="R2622">
        <v>-0.99351560000000005</v>
      </c>
      <c r="S2622">
        <v>-0.58157349999999997</v>
      </c>
      <c r="T2622">
        <v>-0.20717940000000001</v>
      </c>
      <c r="U2622">
        <v>-3.006653</v>
      </c>
      <c r="V2622">
        <v>-0.1296253</v>
      </c>
      <c r="W2622">
        <v>-9.9187339999999999E-2</v>
      </c>
      <c r="X2622">
        <v>0.98658970000000001</v>
      </c>
      <c r="Y2622">
        <v>7.4104039999999996E-2</v>
      </c>
      <c r="Z2622">
        <v>5.4191040000000003E-2</v>
      </c>
      <c r="AA2622">
        <v>0.99577709999999997</v>
      </c>
      <c r="AB2622">
        <v>23</v>
      </c>
      <c r="AC2622">
        <v>-0.138800000000003</v>
      </c>
      <c r="AD2622">
        <v>-5.5088999999999902E-2</v>
      </c>
      <c r="AE2622">
        <v>-0.66540000000003297</v>
      </c>
      <c r="AF2622">
        <v>6.0069350028442201E-2</v>
      </c>
      <c r="AG2622">
        <v>-5.5088999999999902E-2</v>
      </c>
      <c r="AH2622">
        <v>0.67260981268668996</v>
      </c>
      <c r="AI2622">
        <v>94.663785788971296</v>
      </c>
      <c r="AJ2622">
        <v>84.896575334235905</v>
      </c>
      <c r="AK2622">
        <v>0.67753013575505505</v>
      </c>
      <c r="AL2622">
        <v>95.692375596818295</v>
      </c>
      <c r="AM2622">
        <v>97.485060410864506</v>
      </c>
      <c r="AN2622">
        <v>1.00000004148122</v>
      </c>
    </row>
    <row r="2623" spans="1:40" x14ac:dyDescent="0.25">
      <c r="A2623" t="str">
        <f>"20190305135244368"</f>
        <v>20190305135244368</v>
      </c>
      <c r="B2623" t="str">
        <f>"1551765164362005"</f>
        <v>1551765164362005</v>
      </c>
      <c r="C2623" t="s">
        <v>40</v>
      </c>
      <c r="D2623">
        <v>4.767163</v>
      </c>
      <c r="E2623">
        <v>0.58422479999999999</v>
      </c>
      <c r="F2623" t="s">
        <v>41</v>
      </c>
      <c r="G2623">
        <v>-485.19779999999997</v>
      </c>
      <c r="H2623">
        <v>1.0462009999999999</v>
      </c>
      <c r="I2623">
        <v>269.96929999999998</v>
      </c>
      <c r="J2623">
        <v>-485.0455</v>
      </c>
      <c r="K2623">
        <v>1.1068389999999999</v>
      </c>
      <c r="L2623">
        <v>270.65089999999998</v>
      </c>
      <c r="M2623">
        <v>-0.1185163</v>
      </c>
      <c r="N2623">
        <v>-1.3125799999999899E-2</v>
      </c>
      <c r="O2623">
        <v>-0.99286549999999996</v>
      </c>
      <c r="P2623">
        <v>6.4464149999999996E-3</v>
      </c>
      <c r="Q2623">
        <v>-0.11513900000000001</v>
      </c>
      <c r="R2623">
        <v>-0.99332869999999995</v>
      </c>
      <c r="S2623">
        <v>-0.60897829999999997</v>
      </c>
      <c r="T2623">
        <v>-0.21156159999999999</v>
      </c>
      <c r="U2623">
        <v>-3.0039669999999998</v>
      </c>
      <c r="V2623">
        <v>-0.1246607</v>
      </c>
      <c r="W2623">
        <v>-0.1015525</v>
      </c>
      <c r="X2623">
        <v>0.98698869999999905</v>
      </c>
      <c r="Y2623">
        <v>8.0764829999999996E-2</v>
      </c>
      <c r="Z2623">
        <v>5.57601E-2</v>
      </c>
      <c r="AA2623">
        <v>0.99517230000000001</v>
      </c>
      <c r="AB2623">
        <v>23</v>
      </c>
      <c r="AC2623">
        <v>-0.15229999999996799</v>
      </c>
      <c r="AD2623">
        <v>-6.06379999999999E-2</v>
      </c>
      <c r="AE2623">
        <v>-0.68160000000000298</v>
      </c>
      <c r="AF2623">
        <v>6.9911749971638196E-2</v>
      </c>
      <c r="AG2623">
        <v>-6.06379999999999E-2</v>
      </c>
      <c r="AH2623">
        <v>0.68964816317769095</v>
      </c>
      <c r="AI2623">
        <v>94.999374359369398</v>
      </c>
      <c r="AJ2623">
        <v>84.211525431669003</v>
      </c>
      <c r="AK2623">
        <v>0.69582987058796197</v>
      </c>
      <c r="AL2623">
        <v>95.828577653409894</v>
      </c>
      <c r="AM2623">
        <v>97.198573286361096</v>
      </c>
      <c r="AN2623">
        <v>0.99999994715421303</v>
      </c>
    </row>
    <row r="2624" spans="1:40" x14ac:dyDescent="0.25">
      <c r="A2624" t="str">
        <f>"20190305135244391"</f>
        <v>20190305135244391</v>
      </c>
      <c r="B2624" t="str">
        <f>"1551765164382504"</f>
        <v>1551765164382504</v>
      </c>
      <c r="C2624" t="s">
        <v>40</v>
      </c>
      <c r="D2624">
        <v>4.8048859999999998</v>
      </c>
      <c r="E2624">
        <v>0.58547340000000003</v>
      </c>
      <c r="F2624" t="s">
        <v>41</v>
      </c>
      <c r="G2624">
        <v>-485.23669999999998</v>
      </c>
      <c r="H2624">
        <v>1.041553</v>
      </c>
      <c r="I2624">
        <v>269.76679999999999</v>
      </c>
      <c r="J2624">
        <v>-485.07600000000002</v>
      </c>
      <c r="K2624">
        <v>1.1064350000000001</v>
      </c>
      <c r="L2624">
        <v>270.42129999999997</v>
      </c>
      <c r="M2624">
        <v>-0.1217854</v>
      </c>
      <c r="N2624">
        <v>-1.2899799999999999E-2</v>
      </c>
      <c r="O2624">
        <v>-0.99247260000000004</v>
      </c>
      <c r="P2624">
        <v>-8.612467E-4</v>
      </c>
      <c r="Q2624">
        <v>-0.11865630000000001</v>
      </c>
      <c r="R2624">
        <v>-0.99293489999999995</v>
      </c>
      <c r="S2624">
        <v>-0.64743039999999996</v>
      </c>
      <c r="T2624">
        <v>-0.2212036</v>
      </c>
      <c r="U2624">
        <v>-2.9987490000000001</v>
      </c>
      <c r="V2624">
        <v>-0.120718699999999</v>
      </c>
      <c r="W2624">
        <v>-0.1052037</v>
      </c>
      <c r="X2624">
        <v>0.98709630000000004</v>
      </c>
      <c r="Y2624">
        <v>8.9994290000000005E-2</v>
      </c>
      <c r="Z2624">
        <v>5.907254E-2</v>
      </c>
      <c r="AA2624">
        <v>0.99418879999999998</v>
      </c>
      <c r="AB2624">
        <v>23</v>
      </c>
      <c r="AC2624">
        <v>-0.16070000000001899</v>
      </c>
      <c r="AD2624">
        <v>-6.4881999999999801E-2</v>
      </c>
      <c r="AE2624">
        <v>-0.65449999999998398</v>
      </c>
      <c r="AF2624">
        <v>7.9055720651907593E-2</v>
      </c>
      <c r="AG2624">
        <v>-6.4881999999999801E-2</v>
      </c>
      <c r="AH2624">
        <v>0.66305445214008696</v>
      </c>
      <c r="AI2624">
        <v>95.549723298157105</v>
      </c>
      <c r="AJ2624">
        <v>83.200744308992697</v>
      </c>
      <c r="AK2624">
        <v>0.67089543700533805</v>
      </c>
      <c r="AL2624">
        <v>96.038902928252099</v>
      </c>
      <c r="AM2624">
        <v>96.972465729728796</v>
      </c>
      <c r="AN2624">
        <v>0.99999996424853399</v>
      </c>
    </row>
    <row r="2625" spans="1:40" x14ac:dyDescent="0.25">
      <c r="A2625" t="str">
        <f>"20190305135244403"</f>
        <v>20190305135244403</v>
      </c>
      <c r="B2625" t="str">
        <f>"1551765164392261"</f>
        <v>1551765164392261</v>
      </c>
      <c r="C2625" t="s">
        <v>40</v>
      </c>
      <c r="D2625">
        <v>4.8030080000000002</v>
      </c>
      <c r="E2625">
        <v>0.58557029999999999</v>
      </c>
      <c r="F2625" t="s">
        <v>41</v>
      </c>
      <c r="G2625">
        <v>-485.27170000000001</v>
      </c>
      <c r="H2625">
        <v>1.0411159999999999</v>
      </c>
      <c r="I2625">
        <v>269.56040000000002</v>
      </c>
      <c r="J2625">
        <v>-485.09469999999999</v>
      </c>
      <c r="K2625">
        <v>1.106244</v>
      </c>
      <c r="L2625">
        <v>270.2851</v>
      </c>
      <c r="M2625">
        <v>-0.123886999999999</v>
      </c>
      <c r="N2625">
        <v>-1.277067E-2</v>
      </c>
      <c r="O2625">
        <v>-0.99221429999999999</v>
      </c>
      <c r="P2625">
        <v>-4.2899849999999996E-3</v>
      </c>
      <c r="Q2625">
        <v>-0.1202703</v>
      </c>
      <c r="R2625">
        <v>-0.99273210000000001</v>
      </c>
      <c r="S2625">
        <v>-0.67938229999999999</v>
      </c>
      <c r="T2625">
        <v>-0.22691420000000001</v>
      </c>
      <c r="U2625">
        <v>-2.9936219999999998</v>
      </c>
      <c r="V2625">
        <v>-0.1194335</v>
      </c>
      <c r="W2625">
        <v>-0.106903399999999</v>
      </c>
      <c r="X2625">
        <v>0.98707009999999995</v>
      </c>
      <c r="Y2625">
        <v>9.8316500000000001E-2</v>
      </c>
      <c r="Z2625">
        <v>6.1036420000000001E-2</v>
      </c>
      <c r="AA2625">
        <v>0.99328170000000005</v>
      </c>
      <c r="AB2625">
        <v>23</v>
      </c>
      <c r="AC2625">
        <v>-0.17700000000002</v>
      </c>
      <c r="AD2625">
        <v>-6.5128000000000005E-2</v>
      </c>
      <c r="AE2625">
        <v>-0.72469999999998402</v>
      </c>
      <c r="AF2625">
        <v>8.5198646403134307E-2</v>
      </c>
      <c r="AG2625">
        <v>-6.5128000000000005E-2</v>
      </c>
      <c r="AH2625">
        <v>0.73544066944195996</v>
      </c>
      <c r="AI2625">
        <v>95.027260295749898</v>
      </c>
      <c r="AJ2625">
        <v>83.391908181513998</v>
      </c>
      <c r="AK2625">
        <v>0.74321830171367897</v>
      </c>
      <c r="AL2625">
        <v>96.136840442391801</v>
      </c>
      <c r="AM2625">
        <v>96.899135752510105</v>
      </c>
      <c r="AN2625">
        <v>1.0000000400839</v>
      </c>
    </row>
    <row r="2626" spans="1:40" x14ac:dyDescent="0.25">
      <c r="A2626" t="str">
        <f>"20190305135244416"</f>
        <v>20190305135244416</v>
      </c>
      <c r="B2626" t="str">
        <f>"1551765164411781"</f>
        <v>1551765164411781</v>
      </c>
      <c r="C2626" t="s">
        <v>40</v>
      </c>
      <c r="D2626">
        <v>4.8659249999999998</v>
      </c>
      <c r="E2626">
        <v>0.58600149999999995</v>
      </c>
      <c r="F2626" t="s">
        <v>41</v>
      </c>
      <c r="G2626">
        <v>-485.26409999999998</v>
      </c>
      <c r="H2626">
        <v>1.049817</v>
      </c>
      <c r="I2626">
        <v>269.55250000000001</v>
      </c>
      <c r="J2626">
        <v>-485.113</v>
      </c>
      <c r="K2626">
        <v>1.106115</v>
      </c>
      <c r="L2626">
        <v>270.15649999999999</v>
      </c>
      <c r="M2626">
        <v>-0.1259969</v>
      </c>
      <c r="N2626">
        <v>-1.264732E-2</v>
      </c>
      <c r="O2626">
        <v>-0.99195009999999995</v>
      </c>
      <c r="P2626">
        <v>-8.0373630000000005E-3</v>
      </c>
      <c r="Q2626">
        <v>-0.121111999999999</v>
      </c>
      <c r="R2626">
        <v>-0.9926064</v>
      </c>
      <c r="S2626">
        <v>-0.69033809999999995</v>
      </c>
      <c r="T2626">
        <v>-0.2301252</v>
      </c>
      <c r="U2626">
        <v>-2.9910890000000001</v>
      </c>
      <c r="V2626">
        <v>-0.11783</v>
      </c>
      <c r="W2626">
        <v>-0.1078456</v>
      </c>
      <c r="X2626">
        <v>0.98716029999999999</v>
      </c>
      <c r="Y2626">
        <v>9.9821579999999993E-2</v>
      </c>
      <c r="Z2626">
        <v>6.2196139999999997E-2</v>
      </c>
      <c r="AA2626">
        <v>0.99305960000000004</v>
      </c>
      <c r="AB2626">
        <v>23</v>
      </c>
      <c r="AC2626">
        <v>-0.15109999999992799</v>
      </c>
      <c r="AD2626">
        <v>-5.6297999999999897E-2</v>
      </c>
      <c r="AE2626">
        <v>-0.60399999999998499</v>
      </c>
      <c r="AF2626">
        <v>7.3189022627501099E-2</v>
      </c>
      <c r="AG2626">
        <v>-5.6297999999999897E-2</v>
      </c>
      <c r="AH2626">
        <v>0.61321166864408105</v>
      </c>
      <c r="AI2626">
        <v>95.208767191620595</v>
      </c>
      <c r="AJ2626">
        <v>83.193739396545496</v>
      </c>
      <c r="AK2626">
        <v>0.62012470390916297</v>
      </c>
      <c r="AL2626">
        <v>96.191138565783902</v>
      </c>
      <c r="AM2626">
        <v>96.806767654144494</v>
      </c>
      <c r="AN2626">
        <v>1.0000000201177199</v>
      </c>
    </row>
    <row r="2627" spans="1:40" x14ac:dyDescent="0.25">
      <c r="A2627" t="str">
        <f>"20190305135244434"</f>
        <v>20190305135244434</v>
      </c>
      <c r="B2627" t="str">
        <f>"1551765164422517"</f>
        <v>1551765164422517</v>
      </c>
      <c r="C2627" t="s">
        <v>40</v>
      </c>
      <c r="D2627">
        <v>4.8487229999999997</v>
      </c>
      <c r="E2627">
        <v>0.58603039999999995</v>
      </c>
      <c r="F2627" t="s">
        <v>41</v>
      </c>
      <c r="G2627">
        <v>-485.30329999999998</v>
      </c>
      <c r="H2627">
        <v>1.0444249999999999</v>
      </c>
      <c r="I2627">
        <v>269.351</v>
      </c>
      <c r="J2627">
        <v>-485.13940000000002</v>
      </c>
      <c r="K2627">
        <v>1.106007</v>
      </c>
      <c r="L2627">
        <v>269.97399999999999</v>
      </c>
      <c r="M2627">
        <v>-0.1290694</v>
      </c>
      <c r="N2627">
        <v>-1.246704E-2</v>
      </c>
      <c r="O2627">
        <v>-0.99155740000000003</v>
      </c>
      <c r="P2627">
        <v>-1.457602E-2</v>
      </c>
      <c r="Q2627">
        <v>-0.11866210000000001</v>
      </c>
      <c r="R2627">
        <v>-0.99282800000000004</v>
      </c>
      <c r="S2627">
        <v>-0.70437620000000001</v>
      </c>
      <c r="T2627">
        <v>-0.2284495</v>
      </c>
      <c r="U2627">
        <v>-2.9887389999999998</v>
      </c>
      <c r="V2627">
        <v>-0.1144392</v>
      </c>
      <c r="W2627">
        <v>-0.10555920000000001</v>
      </c>
      <c r="X2627">
        <v>0.98780610000000002</v>
      </c>
      <c r="Y2627">
        <v>0.10133979999999999</v>
      </c>
      <c r="Z2627">
        <v>6.1808500000000002E-2</v>
      </c>
      <c r="AA2627">
        <v>0.99292999999999998</v>
      </c>
      <c r="AB2627">
        <v>23</v>
      </c>
      <c r="AC2627">
        <v>-0.163899999999955</v>
      </c>
      <c r="AD2627">
        <v>-6.1581999999999998E-2</v>
      </c>
      <c r="AE2627">
        <v>-0.62299999999999001</v>
      </c>
      <c r="AF2627">
        <v>8.1368809729286395E-2</v>
      </c>
      <c r="AG2627">
        <v>-6.1581999999999998E-2</v>
      </c>
      <c r="AH2627">
        <v>0.63315823939401095</v>
      </c>
      <c r="AI2627">
        <v>95.510174605677904</v>
      </c>
      <c r="AJ2627">
        <v>82.676909343494103</v>
      </c>
      <c r="AK2627">
        <v>0.64132876283017604</v>
      </c>
      <c r="AL2627">
        <v>96.059385513737297</v>
      </c>
      <c r="AM2627">
        <v>96.608364142404696</v>
      </c>
      <c r="AN2627">
        <v>0.99999998319924399</v>
      </c>
    </row>
    <row r="2628" spans="1:40" x14ac:dyDescent="0.25">
      <c r="A2628" t="str">
        <f>"20190305135244446"</f>
        <v>20190305135244446</v>
      </c>
      <c r="B2628" t="str">
        <f>"1551765164442036"</f>
        <v>1551765164442036</v>
      </c>
      <c r="C2628" t="s">
        <v>40</v>
      </c>
      <c r="D2628">
        <v>4.8996839999999997</v>
      </c>
      <c r="E2628">
        <v>0.58608229999999994</v>
      </c>
      <c r="F2628" t="s">
        <v>41</v>
      </c>
      <c r="G2628">
        <v>-485.34100000000001</v>
      </c>
      <c r="H2628">
        <v>1.0450999999999999</v>
      </c>
      <c r="I2628">
        <v>269.14370000000002</v>
      </c>
      <c r="J2628">
        <v>-485.15859999999998</v>
      </c>
      <c r="K2628">
        <v>1.1059699999999999</v>
      </c>
      <c r="L2628">
        <v>269.84410000000003</v>
      </c>
      <c r="M2628">
        <v>-0.13130520000000001</v>
      </c>
      <c r="N2628">
        <v>-1.233588E-2</v>
      </c>
      <c r="O2628">
        <v>-0.99126519999999996</v>
      </c>
      <c r="P2628">
        <v>-1.79921E-2</v>
      </c>
      <c r="Q2628">
        <v>-0.11609990000000001</v>
      </c>
      <c r="R2628">
        <v>-0.99307469999999998</v>
      </c>
      <c r="S2628">
        <v>-0.72427369999999902</v>
      </c>
      <c r="T2628">
        <v>-0.21886369999999999</v>
      </c>
      <c r="U2628">
        <v>-2.9848629999999998</v>
      </c>
      <c r="V2628">
        <v>-0.1133025</v>
      </c>
      <c r="W2628">
        <v>-0.1031178</v>
      </c>
      <c r="X2628">
        <v>0.98819489999999999</v>
      </c>
      <c r="Y2628">
        <v>0.1056868</v>
      </c>
      <c r="Z2628">
        <v>5.883977E-2</v>
      </c>
      <c r="AA2628">
        <v>0.99265709999999996</v>
      </c>
      <c r="AB2628">
        <v>23</v>
      </c>
      <c r="AC2628">
        <v>-0.18240000000002901</v>
      </c>
      <c r="AD2628">
        <v>-6.0870000000000202E-2</v>
      </c>
      <c r="AE2628">
        <v>-0.70040000000000102</v>
      </c>
      <c r="AF2628">
        <v>8.8223352124617502E-2</v>
      </c>
      <c r="AG2628">
        <v>-6.0870000000000202E-2</v>
      </c>
      <c r="AH2628">
        <v>0.71324198794958305</v>
      </c>
      <c r="AI2628">
        <v>94.841239313273405</v>
      </c>
      <c r="AJ2628">
        <v>82.948704371665997</v>
      </c>
      <c r="AK2628">
        <v>0.72125075399224203</v>
      </c>
      <c r="AL2628">
        <v>95.918736075559707</v>
      </c>
      <c r="AM2628">
        <v>96.540744614728993</v>
      </c>
      <c r="AN2628">
        <v>0.99999994878454801</v>
      </c>
    </row>
    <row r="2629" spans="1:40" x14ac:dyDescent="0.25">
      <c r="A2629" t="str">
        <f>"20190305135244459"</f>
        <v>20190305135244459</v>
      </c>
      <c r="B2629" t="str">
        <f>"1551765164452773"</f>
        <v>1551765164452773</v>
      </c>
      <c r="C2629" t="s">
        <v>40</v>
      </c>
      <c r="D2629">
        <v>4.8979559999999998</v>
      </c>
      <c r="E2629">
        <v>0.58605609999999997</v>
      </c>
      <c r="F2629" t="s">
        <v>41</v>
      </c>
      <c r="G2629">
        <v>-485.38170000000002</v>
      </c>
      <c r="H2629">
        <v>1.0433110000000001</v>
      </c>
      <c r="I2629">
        <v>268.93819999999999</v>
      </c>
      <c r="J2629">
        <v>-485.17919999999998</v>
      </c>
      <c r="K2629">
        <v>1.1059699999999999</v>
      </c>
      <c r="L2629">
        <v>269.70819999999998</v>
      </c>
      <c r="M2629">
        <v>-0.1336725</v>
      </c>
      <c r="N2629">
        <v>-1.2204619999999999E-2</v>
      </c>
      <c r="O2629">
        <v>-0.99095060000000001</v>
      </c>
      <c r="P2629">
        <v>-2.1449840000000001E-2</v>
      </c>
      <c r="Q2629">
        <v>-0.11341320000000001</v>
      </c>
      <c r="R2629">
        <v>-0.99331689999999995</v>
      </c>
      <c r="S2629">
        <v>-0.73443599999999998</v>
      </c>
      <c r="T2629">
        <v>-0.20624419999999999</v>
      </c>
      <c r="U2629">
        <v>-2.9835210000000001</v>
      </c>
      <c r="V2629">
        <v>-0.11224770000000001</v>
      </c>
      <c r="W2629">
        <v>-0.10056229999999999</v>
      </c>
      <c r="X2629">
        <v>0.98857859999999997</v>
      </c>
      <c r="Y2629">
        <v>0.10666200000000001</v>
      </c>
      <c r="Z2629">
        <v>5.4866850000000002E-2</v>
      </c>
      <c r="AA2629">
        <v>0.99278029999999995</v>
      </c>
      <c r="AB2629">
        <v>23</v>
      </c>
      <c r="AC2629">
        <v>-0.20250000000004301</v>
      </c>
      <c r="AD2629">
        <v>-6.2659000000000006E-2</v>
      </c>
      <c r="AE2629">
        <v>-0.76999999999998103</v>
      </c>
      <c r="AF2629">
        <v>9.7145255855548299E-2</v>
      </c>
      <c r="AG2629">
        <v>-6.2659000000000006E-2</v>
      </c>
      <c r="AH2629">
        <v>0.78529555053924804</v>
      </c>
      <c r="AI2629">
        <v>94.527618453421695</v>
      </c>
      <c r="AJ2629">
        <v>82.948032397270694</v>
      </c>
      <c r="AK2629">
        <v>0.79375843473501495</v>
      </c>
      <c r="AL2629">
        <v>95.771551205606698</v>
      </c>
      <c r="AM2629">
        <v>96.4778794675114</v>
      </c>
      <c r="AN2629">
        <v>0.99999998535726997</v>
      </c>
    </row>
    <row r="2630" spans="1:40" x14ac:dyDescent="0.25">
      <c r="A2630" t="str">
        <f>"20190305135244482"</f>
        <v>20190305135244482</v>
      </c>
      <c r="B2630" t="str">
        <f>"1551765164472292"</f>
        <v>1551765164472292</v>
      </c>
      <c r="C2630" t="s">
        <v>40</v>
      </c>
      <c r="D2630">
        <v>5.0327999999999999</v>
      </c>
      <c r="E2630">
        <v>0.58606819999999904</v>
      </c>
      <c r="F2630" t="s">
        <v>42</v>
      </c>
      <c r="G2630">
        <v>-489.36509999999998</v>
      </c>
      <c r="H2630" s="1">
        <v>-1.536789E-6</v>
      </c>
      <c r="I2630">
        <v>252.95259999999999</v>
      </c>
      <c r="J2630">
        <v>-485.21429999999998</v>
      </c>
      <c r="K2630">
        <v>1.106009</v>
      </c>
      <c r="L2630">
        <v>269.48059999999998</v>
      </c>
      <c r="M2630">
        <v>-0.13762829999999901</v>
      </c>
      <c r="N2630">
        <v>-1.199775E-2</v>
      </c>
      <c r="O2630">
        <v>-0.99041129999999999</v>
      </c>
      <c r="P2630">
        <v>-2.5449920000000001E-2</v>
      </c>
      <c r="Q2630">
        <v>-0.1085623</v>
      </c>
      <c r="R2630">
        <v>-0.99376390000000003</v>
      </c>
      <c r="S2630">
        <v>-0.74487300000000001</v>
      </c>
      <c r="T2630">
        <v>-0.19680320000000001</v>
      </c>
      <c r="U2630">
        <v>-2.981598</v>
      </c>
      <c r="V2630">
        <v>-0.1122466</v>
      </c>
      <c r="W2630">
        <v>-9.5919180000000007E-2</v>
      </c>
      <c r="X2630">
        <v>0.98904009999999998</v>
      </c>
      <c r="Y2630">
        <v>0.1061551</v>
      </c>
      <c r="Z2630">
        <v>5.1992299999999998E-2</v>
      </c>
      <c r="AA2630">
        <v>0.99298940000000002</v>
      </c>
      <c r="AB2630">
        <v>23</v>
      </c>
      <c r="AC2630">
        <v>-4.1508000000000003</v>
      </c>
      <c r="AD2630">
        <v>-1.1060105367890001</v>
      </c>
      <c r="AE2630">
        <v>-16.527999999999899</v>
      </c>
      <c r="AF2630">
        <v>1.82870781503385</v>
      </c>
      <c r="AG2630">
        <v>-1.1060105367890001</v>
      </c>
      <c r="AH2630">
        <v>16.870939673856501</v>
      </c>
      <c r="AI2630">
        <v>93.728999900150001</v>
      </c>
      <c r="AJ2630">
        <v>83.8136369856649</v>
      </c>
      <c r="AK2630">
        <v>17.005764818412601</v>
      </c>
      <c r="AL2630">
        <v>95.504226260521406</v>
      </c>
      <c r="AM2630">
        <v>96.474819559445194</v>
      </c>
      <c r="AN2630">
        <v>1.0000000538557099</v>
      </c>
    </row>
    <row r="2631" spans="1:40" x14ac:dyDescent="0.25">
      <c r="A2631" t="str">
        <f>"20190305135244502"</f>
        <v>20190305135244502</v>
      </c>
      <c r="B2631" t="str">
        <f>"1551765164491813"</f>
        <v>1551765164491813</v>
      </c>
      <c r="C2631" t="s">
        <v>40</v>
      </c>
      <c r="D2631">
        <v>4.9695299999999998</v>
      </c>
      <c r="E2631">
        <v>0.58607730000000002</v>
      </c>
      <c r="F2631" t="s">
        <v>42</v>
      </c>
      <c r="G2631">
        <v>-489.95800000000003</v>
      </c>
      <c r="H2631" s="1">
        <v>-5.0788070000000002E-7</v>
      </c>
      <c r="I2631">
        <v>250.79900000000001</v>
      </c>
      <c r="J2631">
        <v>-485.24829999999997</v>
      </c>
      <c r="K2631">
        <v>1.1060680000000001</v>
      </c>
      <c r="L2631">
        <v>269.26580000000001</v>
      </c>
      <c r="M2631">
        <v>-0.141308399999999</v>
      </c>
      <c r="N2631">
        <v>-1.180995E-2</v>
      </c>
      <c r="O2631">
        <v>-0.98989530000000003</v>
      </c>
      <c r="P2631">
        <v>-2.821253E-2</v>
      </c>
      <c r="Q2631">
        <v>-0.10695449999999999</v>
      </c>
      <c r="R2631">
        <v>-0.99386379999999996</v>
      </c>
      <c r="S2631">
        <v>-0.75674439999999998</v>
      </c>
      <c r="T2631">
        <v>-0.17643729999999999</v>
      </c>
      <c r="U2631">
        <v>-2.980194</v>
      </c>
      <c r="V2631">
        <v>-0.1131702</v>
      </c>
      <c r="W2631">
        <v>-9.4509360000000001E-2</v>
      </c>
      <c r="X2631">
        <v>0.98907049999999996</v>
      </c>
      <c r="Y2631">
        <v>0.1063721</v>
      </c>
      <c r="Z2631">
        <v>4.5558689999999999E-2</v>
      </c>
      <c r="AA2631">
        <v>0.99328209999999995</v>
      </c>
      <c r="AB2631">
        <v>23</v>
      </c>
      <c r="AC2631">
        <v>-4.7097000000000504</v>
      </c>
      <c r="AD2631">
        <v>-1.1060685078807</v>
      </c>
      <c r="AE2631">
        <v>-18.466799999999999</v>
      </c>
      <c r="AF2631">
        <v>2.04584776903907</v>
      </c>
      <c r="AG2631">
        <v>-1.1060685078807</v>
      </c>
      <c r="AH2631">
        <v>18.8834322925095</v>
      </c>
      <c r="AI2631">
        <v>93.332725638195399</v>
      </c>
      <c r="AJ2631">
        <v>83.816642166939104</v>
      </c>
      <c r="AK2631">
        <v>19.0261108948729</v>
      </c>
      <c r="AL2631">
        <v>95.423081244381095</v>
      </c>
      <c r="AM2631">
        <v>96.527439522827606</v>
      </c>
      <c r="AN2631">
        <v>0.99999998363294895</v>
      </c>
    </row>
    <row r="2632" spans="1:40" x14ac:dyDescent="0.25">
      <c r="A2632" t="str">
        <f>"20190305135244514"</f>
        <v>20190305135244514</v>
      </c>
      <c r="B2632" t="str">
        <f>"1551765164502549"</f>
        <v>1551765164502549</v>
      </c>
      <c r="C2632" t="s">
        <v>40</v>
      </c>
      <c r="D2632">
        <v>4.9755260000000003</v>
      </c>
      <c r="E2632">
        <v>0.58599809999999997</v>
      </c>
      <c r="F2632" t="s">
        <v>42</v>
      </c>
      <c r="G2632">
        <v>-490.37450000000001</v>
      </c>
      <c r="H2632" s="1">
        <v>-4.2549700000000004E-6</v>
      </c>
      <c r="I2632">
        <v>249.29499999999999</v>
      </c>
      <c r="J2632">
        <v>-485.26859999999999</v>
      </c>
      <c r="K2632">
        <v>1.1061110000000001</v>
      </c>
      <c r="L2632">
        <v>269.14019999999999</v>
      </c>
      <c r="M2632">
        <v>-0.14341039999999999</v>
      </c>
      <c r="N2632">
        <v>-1.169971E-2</v>
      </c>
      <c r="O2632">
        <v>-0.98959439999999999</v>
      </c>
      <c r="P2632">
        <v>-2.969577E-2</v>
      </c>
      <c r="Q2632">
        <v>-0.1071503</v>
      </c>
      <c r="R2632">
        <v>-0.99379989999999996</v>
      </c>
      <c r="S2632">
        <v>-0.764679</v>
      </c>
      <c r="T2632">
        <v>-0.16499420000000001</v>
      </c>
      <c r="U2632">
        <v>-2.9790649999999999</v>
      </c>
      <c r="V2632">
        <v>-0.1137808</v>
      </c>
      <c r="W2632">
        <v>-9.4825099999999996E-2</v>
      </c>
      <c r="X2632">
        <v>0.98897020000000002</v>
      </c>
      <c r="Y2632">
        <v>0.1068761</v>
      </c>
      <c r="Z2632">
        <v>4.1951380000000003E-2</v>
      </c>
      <c r="AA2632">
        <v>0.99338689999999996</v>
      </c>
      <c r="AB2632">
        <v>23</v>
      </c>
      <c r="AC2632">
        <v>-5.1059000000000196</v>
      </c>
      <c r="AD2632">
        <v>-1.10611525497</v>
      </c>
      <c r="AE2632">
        <v>-19.845199999999998</v>
      </c>
      <c r="AF2632">
        <v>2.20050075784834</v>
      </c>
      <c r="AG2632">
        <v>-1.10611525497</v>
      </c>
      <c r="AH2632">
        <v>20.313139732704801</v>
      </c>
      <c r="AI2632">
        <v>93.098766160348404</v>
      </c>
      <c r="AJ2632">
        <v>83.817319016934803</v>
      </c>
      <c r="AK2632">
        <v>20.4618997246824</v>
      </c>
      <c r="AL2632">
        <v>95.441253537107698</v>
      </c>
      <c r="AM2632">
        <v>96.563011115690003</v>
      </c>
      <c r="AN2632">
        <v>0.99999996326334395</v>
      </c>
    </row>
    <row r="2633" spans="1:40" x14ac:dyDescent="0.25">
      <c r="A2633" t="str">
        <f>"20190305135244528"</f>
        <v>20190305135244528</v>
      </c>
      <c r="B2633" t="str">
        <f>"1551765164522070"</f>
        <v>1551765164522070</v>
      </c>
      <c r="C2633" t="s">
        <v>40</v>
      </c>
      <c r="D2633">
        <v>4.9886059999999999</v>
      </c>
      <c r="E2633">
        <v>0.58573359999999997</v>
      </c>
      <c r="F2633" t="s">
        <v>42</v>
      </c>
      <c r="G2633">
        <v>-490.46350000000001</v>
      </c>
      <c r="H2633" s="1">
        <v>-4.1661900000000002E-6</v>
      </c>
      <c r="I2633">
        <v>249.01310000000001</v>
      </c>
      <c r="J2633">
        <v>-485.2919</v>
      </c>
      <c r="K2633">
        <v>1.1061570000000001</v>
      </c>
      <c r="L2633">
        <v>268.99689999999998</v>
      </c>
      <c r="M2633">
        <v>-0.14577579999999901</v>
      </c>
      <c r="N2633">
        <v>-1.1574559999999999E-2</v>
      </c>
      <c r="O2633">
        <v>-0.98925019999999997</v>
      </c>
      <c r="P2633">
        <v>-3.215817E-2</v>
      </c>
      <c r="Q2633">
        <v>-0.10684250000000001</v>
      </c>
      <c r="R2633">
        <v>-0.99375590000000003</v>
      </c>
      <c r="S2633">
        <v>-0.76867680000000005</v>
      </c>
      <c r="T2633">
        <v>-0.163668799999999</v>
      </c>
      <c r="U2633">
        <v>-2.9781490000000002</v>
      </c>
      <c r="V2633">
        <v>-0.1136836</v>
      </c>
      <c r="W2633">
        <v>-9.4658489999999998E-2</v>
      </c>
      <c r="X2633">
        <v>0.98899740000000003</v>
      </c>
      <c r="Y2633">
        <v>0.10582800000000001</v>
      </c>
      <c r="Z2633">
        <v>4.1632910000000002E-2</v>
      </c>
      <c r="AA2633">
        <v>0.99351250000000002</v>
      </c>
      <c r="AB2633">
        <v>23</v>
      </c>
      <c r="AC2633">
        <v>-5.1716000000000104</v>
      </c>
      <c r="AD2633">
        <v>-1.1061611661899999</v>
      </c>
      <c r="AE2633">
        <v>-19.983799999999899</v>
      </c>
      <c r="AF2633">
        <v>2.1966908402807701</v>
      </c>
      <c r="AG2633">
        <v>-1.1061611661899999</v>
      </c>
      <c r="AH2633">
        <v>20.465472732857901</v>
      </c>
      <c r="AI2633">
        <v>93.076197430656407</v>
      </c>
      <c r="AJ2633">
        <v>83.873531462098398</v>
      </c>
      <c r="AK2633">
        <v>20.612729497878501</v>
      </c>
      <c r="AL2633">
        <v>95.431664023145501</v>
      </c>
      <c r="AM2633">
        <v>96.557274580076097</v>
      </c>
      <c r="AN2633">
        <v>1.0000000239223901</v>
      </c>
    </row>
    <row r="2634" spans="1:40" x14ac:dyDescent="0.25">
      <c r="A2634" t="str">
        <f>"20190305135244546"</f>
        <v>20190305135244546</v>
      </c>
      <c r="B2634" t="str">
        <f>"1551765164542565"</f>
        <v>1551765164542565</v>
      </c>
      <c r="C2634" t="s">
        <v>40</v>
      </c>
      <c r="D2634">
        <v>4.9862479999999998</v>
      </c>
      <c r="E2634">
        <v>0.58557530000000002</v>
      </c>
      <c r="F2634" t="s">
        <v>42</v>
      </c>
      <c r="G2634">
        <v>-490.53050000000002</v>
      </c>
      <c r="H2634" s="1">
        <v>-4.112613E-6</v>
      </c>
      <c r="I2634">
        <v>248.8467</v>
      </c>
      <c r="J2634">
        <v>-485.32420000000002</v>
      </c>
      <c r="K2634">
        <v>1.1062259999999999</v>
      </c>
      <c r="L2634">
        <v>268.80220000000003</v>
      </c>
      <c r="M2634">
        <v>-0.14889379999999999</v>
      </c>
      <c r="N2634">
        <v>-1.1410409999999999E-2</v>
      </c>
      <c r="O2634">
        <v>-0.98878739999999998</v>
      </c>
      <c r="P2634">
        <v>-3.5392359999999998E-2</v>
      </c>
      <c r="Q2634">
        <v>-0.1067565</v>
      </c>
      <c r="R2634">
        <v>-0.99365499999999995</v>
      </c>
      <c r="S2634">
        <v>-0.77374270000000001</v>
      </c>
      <c r="T2634">
        <v>-0.16338179999999999</v>
      </c>
      <c r="U2634">
        <v>-2.9762270000000002</v>
      </c>
      <c r="V2634">
        <v>-0.1135631</v>
      </c>
      <c r="W2634">
        <v>-9.4760689999999995E-2</v>
      </c>
      <c r="X2634">
        <v>0.98900149999999998</v>
      </c>
      <c r="Y2634">
        <v>0.1044337</v>
      </c>
      <c r="Z2634">
        <v>4.1695959999999997E-2</v>
      </c>
      <c r="AA2634">
        <v>0.99365740000000002</v>
      </c>
      <c r="AB2634">
        <v>23</v>
      </c>
      <c r="AC2634">
        <v>-5.2062999999999899</v>
      </c>
      <c r="AD2634">
        <v>-1.1062301126130001</v>
      </c>
      <c r="AE2634">
        <v>-19.955500000000001</v>
      </c>
      <c r="AF2634">
        <v>2.1705701094298702</v>
      </c>
      <c r="AG2634">
        <v>-1.1062301126130001</v>
      </c>
      <c r="AH2634">
        <v>20.449430252557299</v>
      </c>
      <c r="AI2634">
        <v>93.079184530550293</v>
      </c>
      <c r="AJ2634">
        <v>83.941122562032902</v>
      </c>
      <c r="AK2634">
        <v>20.5940359647207</v>
      </c>
      <c r="AL2634">
        <v>95.437545859541302</v>
      </c>
      <c r="AM2634">
        <v>96.550357652830598</v>
      </c>
      <c r="AN2634">
        <v>1.00000006652656</v>
      </c>
    </row>
    <row r="2635" spans="1:40" x14ac:dyDescent="0.25">
      <c r="A2635" t="str">
        <f>"20190305135244558"</f>
        <v>20190305135244558</v>
      </c>
      <c r="B2635" t="str">
        <f>"1551765164552325"</f>
        <v>1551765164552325</v>
      </c>
      <c r="C2635" t="s">
        <v>40</v>
      </c>
      <c r="D2635">
        <v>5.1547080000000003</v>
      </c>
      <c r="E2635">
        <v>0.58548919999999904</v>
      </c>
      <c r="F2635" t="s">
        <v>42</v>
      </c>
      <c r="G2635">
        <v>-490.62979999999999</v>
      </c>
      <c r="H2635" s="1">
        <v>-4.0517230000000001E-6</v>
      </c>
      <c r="I2635">
        <v>248.64320000000001</v>
      </c>
      <c r="J2635">
        <v>-485.34539999999998</v>
      </c>
      <c r="K2635">
        <v>1.1062689999999999</v>
      </c>
      <c r="L2635">
        <v>268.67689999999999</v>
      </c>
      <c r="M2635">
        <v>-0.1508341</v>
      </c>
      <c r="N2635">
        <v>-1.131362E-2</v>
      </c>
      <c r="O2635">
        <v>-0.9884944</v>
      </c>
      <c r="P2635">
        <v>-3.7324129999999997E-2</v>
      </c>
      <c r="Q2635">
        <v>-0.1080774</v>
      </c>
      <c r="R2635">
        <v>-0.99344149999999998</v>
      </c>
      <c r="S2635">
        <v>-0.78265379999999996</v>
      </c>
      <c r="T2635">
        <v>-0.16318659999999999</v>
      </c>
      <c r="U2635">
        <v>-2.9737849999999999</v>
      </c>
      <c r="V2635">
        <v>-0.113554</v>
      </c>
      <c r="W2635">
        <v>-9.6196050000000005E-2</v>
      </c>
      <c r="X2635">
        <v>0.98886390000000002</v>
      </c>
      <c r="Y2635">
        <v>0.10546709999999999</v>
      </c>
      <c r="Z2635">
        <v>4.1728960000000002E-2</v>
      </c>
      <c r="AA2635">
        <v>0.99354690000000001</v>
      </c>
      <c r="AB2635">
        <v>24</v>
      </c>
      <c r="AC2635">
        <v>-5.2843999999999998</v>
      </c>
      <c r="AD2635">
        <v>-1.1062730517229999</v>
      </c>
      <c r="AE2635">
        <v>-20.0336999999999</v>
      </c>
      <c r="AF2635">
        <v>2.1957156318806299</v>
      </c>
      <c r="AG2635">
        <v>-1.1062730517229999</v>
      </c>
      <c r="AH2635">
        <v>20.5430182657697</v>
      </c>
      <c r="AI2635">
        <v>93.065063634977093</v>
      </c>
      <c r="AJ2635">
        <v>83.899171877857995</v>
      </c>
      <c r="AK2635">
        <v>20.689625580681799</v>
      </c>
      <c r="AL2635">
        <v>95.520163727318106</v>
      </c>
      <c r="AM2635">
        <v>96.550740808873599</v>
      </c>
      <c r="AN2635">
        <v>1.0000000018374</v>
      </c>
    </row>
    <row r="2636" spans="1:40" x14ac:dyDescent="0.25">
      <c r="A2636" t="str">
        <f>"20190305135244570"</f>
        <v>20190305135244570</v>
      </c>
      <c r="B2636" t="str">
        <f>"1551765164562085"</f>
        <v>1551765164562085</v>
      </c>
      <c r="C2636" t="s">
        <v>40</v>
      </c>
      <c r="D2636">
        <v>4.9601790000000001</v>
      </c>
      <c r="E2636">
        <v>0.58534889999999995</v>
      </c>
      <c r="F2636" t="s">
        <v>42</v>
      </c>
      <c r="G2636">
        <v>-490.57380000000001</v>
      </c>
      <c r="H2636" s="1">
        <v>-4.168447E-6</v>
      </c>
      <c r="I2636">
        <v>248.95</v>
      </c>
      <c r="J2636">
        <v>-485.36709999999999</v>
      </c>
      <c r="K2636">
        <v>1.1063179999999999</v>
      </c>
      <c r="L2636">
        <v>268.54899999999998</v>
      </c>
      <c r="M2636">
        <v>-0.15278079999999999</v>
      </c>
      <c r="N2636">
        <v>-1.121928E-2</v>
      </c>
      <c r="O2636">
        <v>-0.98819639999999997</v>
      </c>
      <c r="P2636">
        <v>-3.9238670000000003E-2</v>
      </c>
      <c r="Q2636">
        <v>-0.10978839999999999</v>
      </c>
      <c r="R2636">
        <v>-0.99318019999999996</v>
      </c>
      <c r="S2636">
        <v>-0.78771969999999902</v>
      </c>
      <c r="T2636">
        <v>-0.16667209999999999</v>
      </c>
      <c r="U2636">
        <v>-2.9720759999999999</v>
      </c>
      <c r="V2636">
        <v>-0.113563</v>
      </c>
      <c r="W2636">
        <v>-9.8019969999999998E-2</v>
      </c>
      <c r="X2636">
        <v>0.9886838</v>
      </c>
      <c r="Y2636">
        <v>0.10521850000000001</v>
      </c>
      <c r="Z2636">
        <v>4.2945709999999998E-2</v>
      </c>
      <c r="AA2636">
        <v>0.9935214</v>
      </c>
      <c r="AB2636">
        <v>24</v>
      </c>
      <c r="AC2636">
        <v>-5.2067000000000103</v>
      </c>
      <c r="AD2636">
        <v>-1.1063221684469999</v>
      </c>
      <c r="AE2636">
        <v>-19.599</v>
      </c>
      <c r="AF2636">
        <v>2.1446435903520098</v>
      </c>
      <c r="AG2636">
        <v>-1.1063221684469999</v>
      </c>
      <c r="AH2636">
        <v>20.104577031536699</v>
      </c>
      <c r="AI2636">
        <v>93.131982863084701</v>
      </c>
      <c r="AJ2636">
        <v>83.911034030123901</v>
      </c>
      <c r="AK2636">
        <v>20.248887932106999</v>
      </c>
      <c r="AL2636">
        <v>95.625162557503103</v>
      </c>
      <c r="AM2636">
        <v>96.552438499223101</v>
      </c>
      <c r="AN2636">
        <v>1.00000006293511</v>
      </c>
    </row>
    <row r="2637" spans="1:40" x14ac:dyDescent="0.25">
      <c r="A2637" t="str">
        <f>"20190305135244582"</f>
        <v>20190305135244582</v>
      </c>
      <c r="B2637" t="str">
        <f>"1551765164571845"</f>
        <v>1551765164571845</v>
      </c>
      <c r="C2637" t="s">
        <v>40</v>
      </c>
      <c r="D2637">
        <v>5.2003009999999996</v>
      </c>
      <c r="E2637">
        <v>0.58522969999999996</v>
      </c>
      <c r="F2637" t="s">
        <v>42</v>
      </c>
      <c r="G2637">
        <v>-490.47840000000002</v>
      </c>
      <c r="H2637" s="1">
        <v>-4.3094429999999999E-6</v>
      </c>
      <c r="I2637">
        <v>249.40090000000001</v>
      </c>
      <c r="J2637">
        <v>-485.38900000000001</v>
      </c>
      <c r="K2637">
        <v>1.1063689999999999</v>
      </c>
      <c r="L2637">
        <v>268.42149999999998</v>
      </c>
      <c r="M2637">
        <v>-0.15468270000000001</v>
      </c>
      <c r="N2637">
        <v>-1.113043E-2</v>
      </c>
      <c r="O2637">
        <v>-0.98790140000000004</v>
      </c>
      <c r="P2637">
        <v>-4.0672640000000003E-2</v>
      </c>
      <c r="Q2637">
        <v>-0.11169179999999999</v>
      </c>
      <c r="R2637">
        <v>-0.99291030000000002</v>
      </c>
      <c r="S2637">
        <v>-0.79287719999999995</v>
      </c>
      <c r="T2637">
        <v>-0.171616299999999</v>
      </c>
      <c r="U2637">
        <v>-2.9703059999999999</v>
      </c>
      <c r="V2637">
        <v>-0.11400109999999999</v>
      </c>
      <c r="W2637">
        <v>-0.1000293</v>
      </c>
      <c r="X2637">
        <v>0.98843199999999998</v>
      </c>
      <c r="Y2637">
        <v>0.10504230000000001</v>
      </c>
      <c r="Z2637">
        <v>4.4628099999999997E-2</v>
      </c>
      <c r="AA2637">
        <v>0.99346590000000001</v>
      </c>
      <c r="AB2637">
        <v>24</v>
      </c>
      <c r="AC2637">
        <v>-5.0894000000000101</v>
      </c>
      <c r="AD2637">
        <v>-1.1063733094429999</v>
      </c>
      <c r="AE2637">
        <v>-19.020599999999899</v>
      </c>
      <c r="AF2637">
        <v>2.0792321498889801</v>
      </c>
      <c r="AG2637">
        <v>-1.1063733094429999</v>
      </c>
      <c r="AH2637">
        <v>19.517311095076298</v>
      </c>
      <c r="AI2637">
        <v>93.226223368932594</v>
      </c>
      <c r="AJ2637">
        <v>83.919060450205393</v>
      </c>
      <c r="AK2637">
        <v>19.658908937552098</v>
      </c>
      <c r="AL2637">
        <v>95.740857904206194</v>
      </c>
      <c r="AM2637">
        <v>96.579156128825005</v>
      </c>
      <c r="AN2637">
        <v>0.99999996514184897</v>
      </c>
    </row>
    <row r="2638" spans="1:40" x14ac:dyDescent="0.25">
      <c r="A2638" t="str">
        <f>"20190305135244595"</f>
        <v>20190305135244595</v>
      </c>
      <c r="B2638" t="str">
        <f>"1551765164592341"</f>
        <v>1551765164592341</v>
      </c>
      <c r="C2638" t="s">
        <v>40</v>
      </c>
      <c r="D2638">
        <v>5.0368139999999997</v>
      </c>
      <c r="E2638">
        <v>0.58501910000000001</v>
      </c>
      <c r="F2638" t="s">
        <v>42</v>
      </c>
      <c r="G2638">
        <v>-490.37310000000002</v>
      </c>
      <c r="H2638" s="1">
        <v>-2.043791E-7</v>
      </c>
      <c r="I2638">
        <v>249.83410000000001</v>
      </c>
      <c r="J2638">
        <v>-485.41109999999998</v>
      </c>
      <c r="K2638">
        <v>1.1064240000000001</v>
      </c>
      <c r="L2638">
        <v>268.29419999999999</v>
      </c>
      <c r="M2638">
        <v>-0.15651489999999901</v>
      </c>
      <c r="N2638">
        <v>-1.1044679999999999E-2</v>
      </c>
      <c r="O2638">
        <v>-0.98761379999999999</v>
      </c>
      <c r="P2638">
        <v>-4.19374E-2</v>
      </c>
      <c r="Q2638">
        <v>-0.11383219999999999</v>
      </c>
      <c r="R2638">
        <v>-0.99261440000000001</v>
      </c>
      <c r="S2638">
        <v>-0.79611209999999999</v>
      </c>
      <c r="T2638">
        <v>-0.1767204</v>
      </c>
      <c r="U2638">
        <v>-2.9689640000000002</v>
      </c>
      <c r="V2638">
        <v>-0.11453239999999899</v>
      </c>
      <c r="W2638">
        <v>-0.10227410000000001</v>
      </c>
      <c r="X2638">
        <v>0.98814089999999999</v>
      </c>
      <c r="Y2638">
        <v>0.104299</v>
      </c>
      <c r="Z2638">
        <v>4.6356689999999999E-2</v>
      </c>
      <c r="AA2638">
        <v>0.99346509999999999</v>
      </c>
      <c r="AB2638">
        <v>24</v>
      </c>
      <c r="AC2638">
        <v>-4.9620000000000397</v>
      </c>
      <c r="AD2638">
        <v>-1.1064242043790999</v>
      </c>
      <c r="AE2638">
        <v>-18.460099999999901</v>
      </c>
      <c r="AF2638">
        <v>2.0046655832651399</v>
      </c>
      <c r="AG2638">
        <v>-1.1064242043790999</v>
      </c>
      <c r="AH2638">
        <v>18.9457634327572</v>
      </c>
      <c r="AI2638">
        <v>93.323739616268199</v>
      </c>
      <c r="AJ2638">
        <v>83.959964496459307</v>
      </c>
      <c r="AK2638">
        <v>19.083626769321501</v>
      </c>
      <c r="AL2638">
        <v>95.8701380804048</v>
      </c>
      <c r="AM2638">
        <v>96.611477376822293</v>
      </c>
      <c r="AN2638">
        <v>1.0000000502166799</v>
      </c>
    </row>
    <row r="2639" spans="1:40" x14ac:dyDescent="0.25">
      <c r="A2639" t="str">
        <f>"20190305135244613"</f>
        <v>20190305135244613</v>
      </c>
      <c r="B2639" t="str">
        <f>"1551765164602101"</f>
        <v>1551765164602101</v>
      </c>
      <c r="C2639" t="s">
        <v>40</v>
      </c>
      <c r="D2639">
        <v>5.016794</v>
      </c>
      <c r="E2639">
        <v>0.584866</v>
      </c>
      <c r="F2639" t="s">
        <v>42</v>
      </c>
      <c r="G2639">
        <v>-490.31180000000001</v>
      </c>
      <c r="H2639" s="1">
        <v>-2.90406099999999E-7</v>
      </c>
      <c r="I2639">
        <v>250.0727</v>
      </c>
      <c r="J2639">
        <v>-485.4443</v>
      </c>
      <c r="K2639">
        <v>1.106519</v>
      </c>
      <c r="L2639">
        <v>268.10430000000002</v>
      </c>
      <c r="M2639">
        <v>-0.1591563</v>
      </c>
      <c r="N2639">
        <v>-1.0921149999999999E-2</v>
      </c>
      <c r="O2639">
        <v>-0.98719299999999999</v>
      </c>
      <c r="P2639">
        <v>-4.2944839999999998E-2</v>
      </c>
      <c r="Q2639">
        <v>-0.1166392</v>
      </c>
      <c r="R2639">
        <v>-0.99224540000000006</v>
      </c>
      <c r="S2639">
        <v>-0.79821779999999998</v>
      </c>
      <c r="T2639">
        <v>-0.1802125</v>
      </c>
      <c r="U2639">
        <v>-2.9678960000000001</v>
      </c>
      <c r="V2639">
        <v>-0.1161058</v>
      </c>
      <c r="W2639">
        <v>-0.1052318</v>
      </c>
      <c r="X2639">
        <v>0.98764660000000004</v>
      </c>
      <c r="Y2639">
        <v>0.10237060000000001</v>
      </c>
      <c r="Z2639">
        <v>4.7591899999999999E-2</v>
      </c>
      <c r="AA2639">
        <v>0.99360720000000002</v>
      </c>
      <c r="AB2639">
        <v>24</v>
      </c>
      <c r="AC2639">
        <v>-4.8674999999999997</v>
      </c>
      <c r="AD2639">
        <v>-1.1065192904061001</v>
      </c>
      <c r="AE2639">
        <v>-18.031600000000001</v>
      </c>
      <c r="AF2639">
        <v>1.9286650492850499</v>
      </c>
      <c r="AG2639">
        <v>-1.1065192904061001</v>
      </c>
      <c r="AH2639">
        <v>18.5114955805021</v>
      </c>
      <c r="AI2639">
        <v>93.402395284179903</v>
      </c>
      <c r="AJ2639">
        <v>84.051960375502404</v>
      </c>
      <c r="AK2639">
        <v>18.644559593600601</v>
      </c>
      <c r="AL2639">
        <v>96.040521421635006</v>
      </c>
      <c r="AM2639">
        <v>96.704806068327002</v>
      </c>
      <c r="AN2639">
        <v>1.00000004750821</v>
      </c>
    </row>
    <row r="2640" spans="1:40" x14ac:dyDescent="0.25">
      <c r="A2640" t="str">
        <f>"20190305135244627"</f>
        <v>20190305135244627</v>
      </c>
      <c r="B2640" t="str">
        <f>"1551765164622597"</f>
        <v>1551765164622597</v>
      </c>
      <c r="C2640" t="s">
        <v>40</v>
      </c>
      <c r="D2640">
        <v>5.0293269999999897</v>
      </c>
      <c r="E2640">
        <v>0.58454259999999902</v>
      </c>
      <c r="F2640" t="s">
        <v>41</v>
      </c>
      <c r="G2640">
        <v>-485.67349999999999</v>
      </c>
      <c r="H2640">
        <v>1.0532280000000001</v>
      </c>
      <c r="I2640">
        <v>267.25510000000003</v>
      </c>
      <c r="J2640">
        <v>-485.46969999999999</v>
      </c>
      <c r="K2640">
        <v>1.106603</v>
      </c>
      <c r="L2640">
        <v>267.96120000000002</v>
      </c>
      <c r="M2640">
        <v>-0.1610695</v>
      </c>
      <c r="N2640">
        <v>-1.083225E-2</v>
      </c>
      <c r="O2640">
        <v>-0.98688370000000003</v>
      </c>
      <c r="P2640">
        <v>-4.3987180000000001E-2</v>
      </c>
      <c r="Q2640">
        <v>-0.1171748</v>
      </c>
      <c r="R2640">
        <v>-0.99213689999999999</v>
      </c>
      <c r="S2640">
        <v>-0.79949950000000003</v>
      </c>
      <c r="T2640">
        <v>-0.1860783</v>
      </c>
      <c r="U2640">
        <v>-2.9670100000000001</v>
      </c>
      <c r="V2640">
        <v>-0.1169505</v>
      </c>
      <c r="W2640">
        <v>-0.1058793</v>
      </c>
      <c r="X2640">
        <v>0.98747770000000001</v>
      </c>
      <c r="Y2640">
        <v>0.1008917</v>
      </c>
      <c r="Z2640">
        <v>4.9563120000000002E-2</v>
      </c>
      <c r="AA2640">
        <v>0.99366209999999999</v>
      </c>
      <c r="AB2640">
        <v>24</v>
      </c>
      <c r="AC2640">
        <v>-0.20380000000000101</v>
      </c>
      <c r="AD2640">
        <v>-5.3374999999999902E-2</v>
      </c>
      <c r="AE2640">
        <v>-0.70609999999999196</v>
      </c>
      <c r="AF2640">
        <v>8.6942256546889196E-2</v>
      </c>
      <c r="AG2640">
        <v>-5.3374999999999902E-2</v>
      </c>
      <c r="AH2640">
        <v>0.72587855620967501</v>
      </c>
      <c r="AI2640">
        <v>94.175741353085201</v>
      </c>
      <c r="AJ2640">
        <v>83.169923607499499</v>
      </c>
      <c r="AK2640">
        <v>0.733012636291836</v>
      </c>
      <c r="AL2640">
        <v>96.077828985486207</v>
      </c>
      <c r="AM2640">
        <v>96.754280775881099</v>
      </c>
      <c r="AN2640">
        <v>1.00000002680801</v>
      </c>
    </row>
    <row r="2641" spans="1:40" x14ac:dyDescent="0.25">
      <c r="A2641" t="str">
        <f>"20190305135244649"</f>
        <v>20190305135244649</v>
      </c>
      <c r="B2641" t="str">
        <f>"1551765164642117"</f>
        <v>1551765164642117</v>
      </c>
      <c r="C2641" t="s">
        <v>40</v>
      </c>
      <c r="D2641">
        <v>5.0373749999999999</v>
      </c>
      <c r="E2641">
        <v>0.58427759999999995</v>
      </c>
      <c r="F2641" t="s">
        <v>41</v>
      </c>
      <c r="G2641">
        <v>-485.71280000000002</v>
      </c>
      <c r="H2641">
        <v>1.0496219999999901</v>
      </c>
      <c r="I2641">
        <v>267.0591</v>
      </c>
      <c r="J2641">
        <v>-485.50979999999998</v>
      </c>
      <c r="K2641">
        <v>1.106751</v>
      </c>
      <c r="L2641">
        <v>267.73649999999998</v>
      </c>
      <c r="M2641">
        <v>-0.1638907</v>
      </c>
      <c r="N2641">
        <v>-1.0707019999999999E-2</v>
      </c>
      <c r="O2641">
        <v>-0.98642059999999998</v>
      </c>
      <c r="P2641">
        <v>-4.5641950000000001E-2</v>
      </c>
      <c r="Q2641">
        <v>-0.11722109999999999</v>
      </c>
      <c r="R2641">
        <v>-0.99205670000000001</v>
      </c>
      <c r="S2641">
        <v>-0.79928589999999999</v>
      </c>
      <c r="T2641">
        <v>-0.18739030000000001</v>
      </c>
      <c r="U2641">
        <v>-2.9661870000000001</v>
      </c>
      <c r="V2641">
        <v>-0.11808349999999999</v>
      </c>
      <c r="W2641">
        <v>-0.1060909</v>
      </c>
      <c r="X2641">
        <v>0.98732010000000003</v>
      </c>
      <c r="Y2641">
        <v>9.8043619999999998E-2</v>
      </c>
      <c r="Z2641">
        <v>5.0095189999999998E-2</v>
      </c>
      <c r="AA2641">
        <v>0.99392049999999998</v>
      </c>
      <c r="AB2641">
        <v>24</v>
      </c>
      <c r="AC2641">
        <v>-0.20300000000003099</v>
      </c>
      <c r="AD2641">
        <v>-5.71290000000002E-2</v>
      </c>
      <c r="AE2641">
        <v>-0.67739999999997702</v>
      </c>
      <c r="AF2641">
        <v>8.8650350429284999E-2</v>
      </c>
      <c r="AG2641">
        <v>-5.71290000000002E-2</v>
      </c>
      <c r="AH2641">
        <v>0.69696253819542098</v>
      </c>
      <c r="AI2641">
        <v>94.648687507271504</v>
      </c>
      <c r="AJ2641">
        <v>82.7511716752377</v>
      </c>
      <c r="AK2641">
        <v>0.70489672074711696</v>
      </c>
      <c r="AL2641">
        <v>96.090021693258393</v>
      </c>
      <c r="AM2641">
        <v>96.820180289389398</v>
      </c>
      <c r="AN2641">
        <v>0.99999998594953499</v>
      </c>
    </row>
    <row r="2642" spans="1:40" x14ac:dyDescent="0.25">
      <c r="A2642" t="str">
        <f>"20190305135244671"</f>
        <v>20190305135244671</v>
      </c>
      <c r="B2642" t="str">
        <f>"1551765164662625"</f>
        <v>1551765164662625</v>
      </c>
      <c r="C2642" t="s">
        <v>40</v>
      </c>
      <c r="D2642">
        <v>5.0861660000000004</v>
      </c>
      <c r="E2642">
        <v>0.58403470000000002</v>
      </c>
      <c r="F2642" t="s">
        <v>41</v>
      </c>
      <c r="G2642">
        <v>-485.75060000000002</v>
      </c>
      <c r="H2642">
        <v>1.0509040000000001</v>
      </c>
      <c r="I2642">
        <v>266.84870000000001</v>
      </c>
      <c r="J2642">
        <v>-485.55259999999998</v>
      </c>
      <c r="K2642">
        <v>1.1069169999999999</v>
      </c>
      <c r="L2642">
        <v>267.49939999999998</v>
      </c>
      <c r="M2642">
        <v>-0.1666618</v>
      </c>
      <c r="N2642">
        <v>-1.0589899999999999E-2</v>
      </c>
      <c r="O2642">
        <v>-0.98595750000000004</v>
      </c>
      <c r="P2642">
        <v>-4.7097680000000003E-2</v>
      </c>
      <c r="Q2642">
        <v>-0.11680790000000001</v>
      </c>
      <c r="R2642">
        <v>-0.99203759999999996</v>
      </c>
      <c r="S2642">
        <v>-0.80267330000000003</v>
      </c>
      <c r="T2642">
        <v>-0.18648680000000001</v>
      </c>
      <c r="U2642">
        <v>-2.9650880000000002</v>
      </c>
      <c r="V2642">
        <v>-0.11937</v>
      </c>
      <c r="W2642">
        <v>-0.1058374</v>
      </c>
      <c r="X2642">
        <v>0.98719259999999998</v>
      </c>
      <c r="Y2642">
        <v>9.6401970000000003E-2</v>
      </c>
      <c r="Z2642">
        <v>4.9898749999999999E-2</v>
      </c>
      <c r="AA2642">
        <v>0.9940909</v>
      </c>
      <c r="AB2642">
        <v>24</v>
      </c>
      <c r="AC2642">
        <v>-0.19800000000003501</v>
      </c>
      <c r="AD2642">
        <v>-5.6012999999999799E-2</v>
      </c>
      <c r="AE2642">
        <v>-0.65069999999997197</v>
      </c>
      <c r="AF2642">
        <v>8.6193034314026307E-2</v>
      </c>
      <c r="AG2642">
        <v>-5.6012999999999799E-2</v>
      </c>
      <c r="AH2642">
        <v>0.67005492378837805</v>
      </c>
      <c r="AI2642">
        <v>94.739637098661404</v>
      </c>
      <c r="AJ2642">
        <v>82.669966552624999</v>
      </c>
      <c r="AK2642">
        <v>0.67789401548199901</v>
      </c>
      <c r="AL2642">
        <v>96.075414946687303</v>
      </c>
      <c r="AM2642">
        <v>96.894655548120596</v>
      </c>
      <c r="AN2642">
        <v>0.99999999081675905</v>
      </c>
    </row>
    <row r="2643" spans="1:40" x14ac:dyDescent="0.25">
      <c r="A2643" t="str">
        <f>"20190305135244684"</f>
        <v>20190305135244684</v>
      </c>
      <c r="B2643" t="str">
        <f>"1551765164672373"</f>
        <v>1551765164672373</v>
      </c>
      <c r="C2643" t="s">
        <v>40</v>
      </c>
      <c r="D2643">
        <v>5.0248889999999999</v>
      </c>
      <c r="E2643">
        <v>0.5839278</v>
      </c>
      <c r="F2643" t="s">
        <v>41</v>
      </c>
      <c r="G2643">
        <v>-485.78719999999998</v>
      </c>
      <c r="H2643">
        <v>1.0529029999999999</v>
      </c>
      <c r="I2643">
        <v>266.63709999999998</v>
      </c>
      <c r="J2643">
        <v>-485.57810000000001</v>
      </c>
      <c r="K2643">
        <v>1.1070089999999999</v>
      </c>
      <c r="L2643">
        <v>267.35919999999999</v>
      </c>
      <c r="M2643">
        <v>-0.16822119999999999</v>
      </c>
      <c r="N2643">
        <v>-1.05258E-2</v>
      </c>
      <c r="O2643">
        <v>-0.98569300000000004</v>
      </c>
      <c r="P2643">
        <v>-4.7481849999999999E-2</v>
      </c>
      <c r="Q2643">
        <v>-0.11638569999999999</v>
      </c>
      <c r="R2643">
        <v>-0.99206850000000002</v>
      </c>
      <c r="S2643">
        <v>-0.80523679999999997</v>
      </c>
      <c r="T2643">
        <v>-0.1856778</v>
      </c>
      <c r="U2643">
        <v>-2.9639890000000002</v>
      </c>
      <c r="V2643">
        <v>-0.1205299</v>
      </c>
      <c r="W2643">
        <v>-0.105502399999999</v>
      </c>
      <c r="X2643">
        <v>0.98708750000000001</v>
      </c>
      <c r="Y2643">
        <v>9.5724530000000002E-2</v>
      </c>
      <c r="Z2643">
        <v>4.969647E-2</v>
      </c>
      <c r="AA2643">
        <v>0.99416660000000001</v>
      </c>
      <c r="AB2643">
        <v>24</v>
      </c>
      <c r="AC2643">
        <v>-0.209099999999978</v>
      </c>
      <c r="AD2643">
        <v>-5.4105999999999703E-2</v>
      </c>
      <c r="AE2643">
        <v>-0.72210000000001096</v>
      </c>
      <c r="AF2643">
        <v>8.4204397630708097E-2</v>
      </c>
      <c r="AG2643">
        <v>-5.4105999999999703E-2</v>
      </c>
      <c r="AH2643">
        <v>0.74313599099620598</v>
      </c>
      <c r="AI2643">
        <v>94.137839058877603</v>
      </c>
      <c r="AJ2643">
        <v>83.535413848610006</v>
      </c>
      <c r="AK2643">
        <v>0.74984594479817301</v>
      </c>
      <c r="AL2643">
        <v>96.056112901339205</v>
      </c>
      <c r="AM2643">
        <v>96.961729573890196</v>
      </c>
      <c r="AN2643">
        <v>0.99999997292800902</v>
      </c>
    </row>
    <row r="2644" spans="1:40" x14ac:dyDescent="0.25">
      <c r="A2644" t="str">
        <f>"20190305135244703"</f>
        <v>20190305135244703</v>
      </c>
      <c r="B2644" t="str">
        <f>"1551765164691892"</f>
        <v>1551765164691892</v>
      </c>
      <c r="C2644" t="s">
        <v>40</v>
      </c>
      <c r="D2644">
        <v>5.0519179999999997</v>
      </c>
      <c r="E2644">
        <v>0.58368359999999997</v>
      </c>
      <c r="F2644" t="s">
        <v>42</v>
      </c>
      <c r="G2644">
        <v>-490.43220000000002</v>
      </c>
      <c r="H2644" s="1">
        <v>-4.3349770000000004E-6</v>
      </c>
      <c r="I2644">
        <v>249.5</v>
      </c>
      <c r="J2644">
        <v>-485.6148</v>
      </c>
      <c r="K2644">
        <v>1.107132</v>
      </c>
      <c r="L2644">
        <v>267.15910000000002</v>
      </c>
      <c r="M2644">
        <v>-0.1702967</v>
      </c>
      <c r="N2644">
        <v>-1.044286E-2</v>
      </c>
      <c r="O2644">
        <v>-0.98533769999999998</v>
      </c>
      <c r="P2644">
        <v>-4.6326890000000003E-2</v>
      </c>
      <c r="Q2644">
        <v>-0.11557920000000001</v>
      </c>
      <c r="R2644">
        <v>-0.99221780000000004</v>
      </c>
      <c r="S2644">
        <v>-0.80557250000000002</v>
      </c>
      <c r="T2644">
        <v>-0.18371779999999999</v>
      </c>
      <c r="U2644">
        <v>-2.963867</v>
      </c>
      <c r="V2644">
        <v>-0.12373439999999999</v>
      </c>
      <c r="W2644">
        <v>-0.1048052</v>
      </c>
      <c r="X2644">
        <v>0.98676529999999996</v>
      </c>
      <c r="Y2644">
        <v>9.3752240000000001E-2</v>
      </c>
      <c r="Z2644">
        <v>4.9124460000000002E-2</v>
      </c>
      <c r="AA2644">
        <v>0.99438289999999996</v>
      </c>
      <c r="AB2644">
        <v>24</v>
      </c>
      <c r="AC2644">
        <v>-4.8174000000000197</v>
      </c>
      <c r="AD2644">
        <v>-1.107136334977</v>
      </c>
      <c r="AE2644">
        <v>-17.659099999999999</v>
      </c>
      <c r="AF2644">
        <v>1.73323302848967</v>
      </c>
      <c r="AG2644">
        <v>-1.107136334977</v>
      </c>
      <c r="AH2644">
        <v>18.155135489602301</v>
      </c>
      <c r="AI2644">
        <v>93.473933175794699</v>
      </c>
      <c r="AJ2644">
        <v>84.546618608638695</v>
      </c>
      <c r="AK2644">
        <v>18.271255902129202</v>
      </c>
      <c r="AL2644">
        <v>96.015943149969004</v>
      </c>
      <c r="AM2644">
        <v>97.147239760995106</v>
      </c>
      <c r="AN2644">
        <v>1.0000000444872399</v>
      </c>
    </row>
    <row r="2645" spans="1:40" x14ac:dyDescent="0.25">
      <c r="A2645" t="str">
        <f>"20190305135244718"</f>
        <v>20190305135244718</v>
      </c>
      <c r="B2645" t="str">
        <f>"1551765164712390"</f>
        <v>1551765164712390</v>
      </c>
      <c r="C2645" t="s">
        <v>40</v>
      </c>
      <c r="D2645">
        <v>5.0697780000000003</v>
      </c>
      <c r="E2645">
        <v>0.58361339999999995</v>
      </c>
      <c r="F2645" t="s">
        <v>42</v>
      </c>
      <c r="G2645">
        <v>-490.52769999999998</v>
      </c>
      <c r="H2645" s="1">
        <v>-4.1534029999999998E-6</v>
      </c>
      <c r="I2645">
        <v>248.9435</v>
      </c>
      <c r="J2645">
        <v>-485.6422</v>
      </c>
      <c r="K2645">
        <v>1.107221</v>
      </c>
      <c r="L2645">
        <v>267.01060000000001</v>
      </c>
      <c r="M2645">
        <v>-0.17171889999999901</v>
      </c>
      <c r="N2645">
        <v>-1.038704E-2</v>
      </c>
      <c r="O2645">
        <v>-0.9850913</v>
      </c>
      <c r="P2645">
        <v>-4.5847649999999997E-2</v>
      </c>
      <c r="Q2645">
        <v>-0.1150857</v>
      </c>
      <c r="R2645">
        <v>-0.99229719999999999</v>
      </c>
      <c r="S2645">
        <v>-0.79974369999999995</v>
      </c>
      <c r="T2645">
        <v>-0.18022450000000001</v>
      </c>
      <c r="U2645">
        <v>-2.9652099999999999</v>
      </c>
      <c r="V2645">
        <v>-0.12561849999999999</v>
      </c>
      <c r="W2645">
        <v>-0.1043886</v>
      </c>
      <c r="X2645">
        <v>0.98657139999999999</v>
      </c>
      <c r="Y2645">
        <v>9.039527E-2</v>
      </c>
      <c r="Z2645">
        <v>4.8031299999999999E-2</v>
      </c>
      <c r="AA2645">
        <v>0.99474700000000005</v>
      </c>
      <c r="AB2645">
        <v>24</v>
      </c>
      <c r="AC2645">
        <v>-4.8854999999999702</v>
      </c>
      <c r="AD2645">
        <v>-1.107225153403</v>
      </c>
      <c r="AE2645">
        <v>-18.0671</v>
      </c>
      <c r="AF2645">
        <v>1.7043283012597901</v>
      </c>
      <c r="AG2645">
        <v>-1.107225153403</v>
      </c>
      <c r="AH2645">
        <v>18.572678714274701</v>
      </c>
      <c r="AI2645">
        <v>93.3974548079172</v>
      </c>
      <c r="AJ2645">
        <v>84.7569171473843</v>
      </c>
      <c r="AK2645">
        <v>18.683550977329698</v>
      </c>
      <c r="AL2645">
        <v>95.991941998821005</v>
      </c>
      <c r="AM2645">
        <v>97.256330251128503</v>
      </c>
      <c r="AN2645">
        <v>1.00000005732508</v>
      </c>
    </row>
    <row r="2646" spans="1:40" x14ac:dyDescent="0.25">
      <c r="A2646" t="str">
        <f>"20190305135244730"</f>
        <v>20190305135244730</v>
      </c>
      <c r="B2646" t="str">
        <f>"1551765164722149"</f>
        <v>1551765164722149</v>
      </c>
      <c r="C2646" t="s">
        <v>40</v>
      </c>
      <c r="D2646">
        <v>5.006672</v>
      </c>
      <c r="E2646">
        <v>0.58364989999999894</v>
      </c>
      <c r="F2646" t="s">
        <v>42</v>
      </c>
      <c r="G2646">
        <v>-490.60270000000003</v>
      </c>
      <c r="H2646" s="1">
        <v>-4.0149819999999996E-6</v>
      </c>
      <c r="I2646">
        <v>248.57429999999999</v>
      </c>
      <c r="J2646">
        <v>-485.66890000000001</v>
      </c>
      <c r="K2646">
        <v>1.1073029999999999</v>
      </c>
      <c r="L2646">
        <v>266.86630000000002</v>
      </c>
      <c r="M2646">
        <v>-0.1730351</v>
      </c>
      <c r="N2646">
        <v>-1.0336089999999999E-2</v>
      </c>
      <c r="O2646">
        <v>-0.98486130000000005</v>
      </c>
      <c r="P2646">
        <v>-4.5518339999999997E-2</v>
      </c>
      <c r="Q2646">
        <v>-0.1147478</v>
      </c>
      <c r="R2646">
        <v>-0.99235119999999999</v>
      </c>
      <c r="S2646">
        <v>-0.79797359999999995</v>
      </c>
      <c r="T2646">
        <v>-0.178116</v>
      </c>
      <c r="U2646">
        <v>-2.9657900000000001</v>
      </c>
      <c r="V2646">
        <v>-0.1272462</v>
      </c>
      <c r="W2646">
        <v>-0.1041229</v>
      </c>
      <c r="X2646">
        <v>0.98639080000000001</v>
      </c>
      <c r="Y2646">
        <v>8.84712E-2</v>
      </c>
      <c r="Z2646">
        <v>4.7382229999999997E-2</v>
      </c>
      <c r="AA2646">
        <v>0.99495109999999998</v>
      </c>
      <c r="AB2646">
        <v>24</v>
      </c>
      <c r="AC2646">
        <v>-4.9338000000000104</v>
      </c>
      <c r="AD2646">
        <v>-1.1073070149819999</v>
      </c>
      <c r="AE2646">
        <v>-18.292000000000002</v>
      </c>
      <c r="AF2646">
        <v>1.68827422660496</v>
      </c>
      <c r="AG2646">
        <v>-1.1073070149819999</v>
      </c>
      <c r="AH2646">
        <v>18.8055743654369</v>
      </c>
      <c r="AI2646">
        <v>93.356323567523503</v>
      </c>
      <c r="AJ2646">
        <v>84.870012217996901</v>
      </c>
      <c r="AK2646">
        <v>18.9136465522549</v>
      </c>
      <c r="AL2646">
        <v>95.976635488110801</v>
      </c>
      <c r="AM2646">
        <v>97.3506634593613</v>
      </c>
      <c r="AN2646">
        <v>0.99999999202174505</v>
      </c>
    </row>
    <row r="2647" spans="1:40" x14ac:dyDescent="0.25">
      <c r="A2647" t="str">
        <f>"20190305135244748"</f>
        <v>20190305135244748</v>
      </c>
      <c r="B2647" t="str">
        <f>"1551765164742646"</f>
        <v>1551765164742646</v>
      </c>
      <c r="C2647" t="s">
        <v>40</v>
      </c>
      <c r="D2647">
        <v>5.2403380000000004</v>
      </c>
      <c r="E2647">
        <v>0.58377009999999996</v>
      </c>
      <c r="F2647" t="s">
        <v>42</v>
      </c>
      <c r="G2647">
        <v>-490.69310000000002</v>
      </c>
      <c r="H2647" s="1">
        <v>-3.8724289999999997E-6</v>
      </c>
      <c r="I2647">
        <v>248.18600000000001</v>
      </c>
      <c r="J2647">
        <v>-485.70229999999998</v>
      </c>
      <c r="K2647">
        <v>1.1073949999999999</v>
      </c>
      <c r="L2647">
        <v>266.68720000000002</v>
      </c>
      <c r="M2647">
        <v>-0.17456749999999999</v>
      </c>
      <c r="N2647">
        <v>-1.0277990000000001E-2</v>
      </c>
      <c r="O2647">
        <v>-0.98459169999999996</v>
      </c>
      <c r="P2647">
        <v>-4.4374759999999999E-2</v>
      </c>
      <c r="Q2647">
        <v>-0.1135181</v>
      </c>
      <c r="R2647">
        <v>-0.9925448</v>
      </c>
      <c r="S2647">
        <v>-0.79776000000000002</v>
      </c>
      <c r="T2647">
        <v>-0.17582390000000001</v>
      </c>
      <c r="U2647">
        <v>-2.9661559999999998</v>
      </c>
      <c r="V2647">
        <v>-0.12990989999999999</v>
      </c>
      <c r="W2647">
        <v>-0.1029752</v>
      </c>
      <c r="X2647">
        <v>0.98616400000000004</v>
      </c>
      <c r="Y2647">
        <v>8.6833369999999993E-2</v>
      </c>
      <c r="Z2647">
        <v>4.667814E-2</v>
      </c>
      <c r="AA2647">
        <v>0.99512869999999998</v>
      </c>
      <c r="AB2647">
        <v>24</v>
      </c>
      <c r="AC2647">
        <v>-4.9908000000000303</v>
      </c>
      <c r="AD2647">
        <v>-1.107398872429</v>
      </c>
      <c r="AE2647">
        <v>-18.501200000000001</v>
      </c>
      <c r="AF2647">
        <v>1.67867455993739</v>
      </c>
      <c r="AG2647">
        <v>-1.107398872429</v>
      </c>
      <c r="AH2647">
        <v>19.024828656250101</v>
      </c>
      <c r="AI2647">
        <v>93.318454678209804</v>
      </c>
      <c r="AJ2647">
        <v>84.957509460746294</v>
      </c>
      <c r="AK2647">
        <v>19.130822928993801</v>
      </c>
      <c r="AL2647">
        <v>95.910521936109703</v>
      </c>
      <c r="AM2647">
        <v>97.504508564442702</v>
      </c>
      <c r="AN2647">
        <v>0.99999995441452305</v>
      </c>
    </row>
    <row r="2648" spans="1:40" x14ac:dyDescent="0.25">
      <c r="A2648" t="str">
        <f>"20190305135244760"</f>
        <v>20190305135244760</v>
      </c>
      <c r="B2648" t="str">
        <f>"1551765164752406"</f>
        <v>1551765164752406</v>
      </c>
      <c r="C2648" t="s">
        <v>40</v>
      </c>
      <c r="D2648">
        <v>5.1006790000000004</v>
      </c>
      <c r="E2648">
        <v>0.5838508</v>
      </c>
      <c r="F2648" t="s">
        <v>42</v>
      </c>
      <c r="G2648">
        <v>-490.92309999999998</v>
      </c>
      <c r="H2648" s="1">
        <v>-3.5180679999999998E-6</v>
      </c>
      <c r="I2648">
        <v>247.21729999999999</v>
      </c>
      <c r="J2648">
        <v>-485.7269</v>
      </c>
      <c r="K2648">
        <v>1.107456</v>
      </c>
      <c r="L2648">
        <v>266.55529999999999</v>
      </c>
      <c r="M2648">
        <v>-0.1756269</v>
      </c>
      <c r="N2648">
        <v>-1.0239109999999999E-2</v>
      </c>
      <c r="O2648">
        <v>-0.98440369999999999</v>
      </c>
      <c r="P2648">
        <v>-4.4213780000000001E-2</v>
      </c>
      <c r="Q2648">
        <v>-0.113166</v>
      </c>
      <c r="R2648">
        <v>-0.99259189999999997</v>
      </c>
      <c r="S2648">
        <v>-0.79577640000000005</v>
      </c>
      <c r="T2648">
        <v>-0.16879249999999901</v>
      </c>
      <c r="U2648">
        <v>-2.967651</v>
      </c>
      <c r="V2648">
        <v>-0.13111909999999999</v>
      </c>
      <c r="W2648">
        <v>-0.1026798</v>
      </c>
      <c r="X2648">
        <v>0.98603479999999999</v>
      </c>
      <c r="Y2648">
        <v>8.5043770000000005E-2</v>
      </c>
      <c r="Z2648">
        <v>4.4421870000000002E-2</v>
      </c>
      <c r="AA2648">
        <v>0.99538649999999995</v>
      </c>
      <c r="AB2648">
        <v>24</v>
      </c>
      <c r="AC2648">
        <v>-5.19619999999997</v>
      </c>
      <c r="AD2648">
        <v>-1.107459518068</v>
      </c>
      <c r="AE2648">
        <v>-19.337999999999901</v>
      </c>
      <c r="AF2648">
        <v>1.7137333459366599</v>
      </c>
      <c r="AG2648">
        <v>-1.107459518068</v>
      </c>
      <c r="AH2648">
        <v>19.889196369897899</v>
      </c>
      <c r="AI2648">
        <v>93.175280722558696</v>
      </c>
      <c r="AJ2648">
        <v>85.075327920750397</v>
      </c>
      <c r="AK2648">
        <v>19.993585991649802</v>
      </c>
      <c r="AL2648">
        <v>95.893506337228402</v>
      </c>
      <c r="AM2648">
        <v>97.574534145014198</v>
      </c>
      <c r="AN2648">
        <v>0.999999993261945</v>
      </c>
    </row>
    <row r="2649" spans="1:40" x14ac:dyDescent="0.25">
      <c r="A2649" t="str">
        <f>"20190305135244781"</f>
        <v>20190305135244781</v>
      </c>
      <c r="B2649" t="str">
        <f>"1551765164771928"</f>
        <v>1551765164771928</v>
      </c>
      <c r="C2649" t="s">
        <v>40</v>
      </c>
      <c r="D2649">
        <v>5.1705249999999996</v>
      </c>
      <c r="E2649">
        <v>0.58393009999999901</v>
      </c>
      <c r="F2649" t="s">
        <v>42</v>
      </c>
      <c r="G2649">
        <v>-491.03269999999998</v>
      </c>
      <c r="H2649" s="1">
        <v>-3.3558909999999999E-6</v>
      </c>
      <c r="I2649">
        <v>246.7713</v>
      </c>
      <c r="J2649">
        <v>-485.7679</v>
      </c>
      <c r="K2649">
        <v>1.107542</v>
      </c>
      <c r="L2649">
        <v>266.33749999999998</v>
      </c>
      <c r="M2649">
        <v>-0.17729619999999999</v>
      </c>
      <c r="N2649">
        <v>-1.01808E-2</v>
      </c>
      <c r="O2649">
        <v>-0.98410500000000001</v>
      </c>
      <c r="P2649">
        <v>-4.3080399999999998E-2</v>
      </c>
      <c r="Q2649">
        <v>-0.1134532</v>
      </c>
      <c r="R2649">
        <v>-0.99260899999999996</v>
      </c>
      <c r="S2649">
        <v>-0.79595950000000004</v>
      </c>
      <c r="T2649">
        <v>-0.1661388</v>
      </c>
      <c r="U2649">
        <v>-2.9679570000000002</v>
      </c>
      <c r="V2649">
        <v>-0.13388559999999999</v>
      </c>
      <c r="W2649">
        <v>-0.10305010000000001</v>
      </c>
      <c r="X2649">
        <v>0.98562430000000001</v>
      </c>
      <c r="Y2649">
        <v>8.3396079999999997E-2</v>
      </c>
      <c r="Z2649">
        <v>4.360145E-2</v>
      </c>
      <c r="AA2649">
        <v>0.99556210000000001</v>
      </c>
      <c r="AB2649">
        <v>24</v>
      </c>
      <c r="AC2649">
        <v>-5.2647999999999797</v>
      </c>
      <c r="AD2649">
        <v>-1.107545355891</v>
      </c>
      <c r="AE2649">
        <v>-19.566199999999899</v>
      </c>
      <c r="AF2649">
        <v>1.7070911659833801</v>
      </c>
      <c r="AG2649">
        <v>-1.107545355891</v>
      </c>
      <c r="AH2649">
        <v>20.1295250614561</v>
      </c>
      <c r="AI2649">
        <v>93.138050660411906</v>
      </c>
      <c r="AJ2649">
        <v>85.152610599180093</v>
      </c>
      <c r="AK2649">
        <v>20.232117935701201</v>
      </c>
      <c r="AL2649">
        <v>95.914836256808101</v>
      </c>
      <c r="AM2649">
        <v>97.735617903553901</v>
      </c>
      <c r="AN2649">
        <v>0.99999996887392895</v>
      </c>
    </row>
    <row r="2650" spans="1:40" x14ac:dyDescent="0.25">
      <c r="A2650" t="str">
        <f>"20190305135244794"</f>
        <v>20190305135244794</v>
      </c>
      <c r="B2650" t="str">
        <f>"1551765164782662"</f>
        <v>1551765164782662</v>
      </c>
      <c r="C2650" t="s">
        <v>40</v>
      </c>
      <c r="D2650">
        <v>5.3160749999999997</v>
      </c>
      <c r="E2650">
        <v>0.58384550000000002</v>
      </c>
      <c r="F2650" t="s">
        <v>42</v>
      </c>
      <c r="G2650">
        <v>-491.13639999999998</v>
      </c>
      <c r="H2650" s="1">
        <v>-3.1526079999999999E-6</v>
      </c>
      <c r="I2650">
        <v>246.23310000000001</v>
      </c>
      <c r="J2650">
        <v>-485.79250000000002</v>
      </c>
      <c r="K2650">
        <v>1.107577</v>
      </c>
      <c r="L2650">
        <v>266.20699999999999</v>
      </c>
      <c r="M2650">
        <v>-0.1782494</v>
      </c>
      <c r="N2650">
        <v>-1.014958E-2</v>
      </c>
      <c r="O2650">
        <v>-0.9839331</v>
      </c>
      <c r="P2650">
        <v>-4.1857239999999997E-2</v>
      </c>
      <c r="Q2650">
        <v>-0.11398170000000001</v>
      </c>
      <c r="R2650">
        <v>-0.99260099999999996</v>
      </c>
      <c r="S2650">
        <v>-0.79290769999999899</v>
      </c>
      <c r="T2650">
        <v>-0.16357739999999901</v>
      </c>
      <c r="U2650">
        <v>-2.9692989999999999</v>
      </c>
      <c r="V2650">
        <v>-0.1360325</v>
      </c>
      <c r="W2650">
        <v>-0.1036208</v>
      </c>
      <c r="X2650">
        <v>0.98527039999999999</v>
      </c>
      <c r="Y2650">
        <v>8.1373539999999994E-2</v>
      </c>
      <c r="Z2650">
        <v>4.2783469999999997E-2</v>
      </c>
      <c r="AA2650">
        <v>0.99576500000000001</v>
      </c>
      <c r="AB2650">
        <v>24</v>
      </c>
      <c r="AC2650">
        <v>-5.3438999999999597</v>
      </c>
      <c r="AD2650">
        <v>-1.107580152608</v>
      </c>
      <c r="AE2650">
        <v>-19.973899999999901</v>
      </c>
      <c r="AF2650">
        <v>1.6929338718407401</v>
      </c>
      <c r="AG2650">
        <v>-1.107580152608</v>
      </c>
      <c r="AH2650">
        <v>20.547627008143301</v>
      </c>
      <c r="AI2650">
        <v>93.075033106661394</v>
      </c>
      <c r="AJ2650">
        <v>85.289997531655999</v>
      </c>
      <c r="AK2650">
        <v>20.6469788239019</v>
      </c>
      <c r="AL2650">
        <v>95.947711147428194</v>
      </c>
      <c r="AM2650">
        <v>97.860910701764993</v>
      </c>
      <c r="AN2650">
        <v>0.99999993618252203</v>
      </c>
    </row>
    <row r="2651" spans="1:40" x14ac:dyDescent="0.25">
      <c r="A2651" t="str">
        <f>"20190305135244807"</f>
        <v>20190305135244807</v>
      </c>
      <c r="B2651" t="str">
        <f>"1551765164802183"</f>
        <v>1551765164802183</v>
      </c>
      <c r="C2651" t="s">
        <v>40</v>
      </c>
      <c r="D2651">
        <v>5.0645910000000001</v>
      </c>
      <c r="E2651">
        <v>0.52012139999999996</v>
      </c>
      <c r="F2651" t="s">
        <v>42</v>
      </c>
      <c r="G2651">
        <v>-491.12810000000002</v>
      </c>
      <c r="H2651" s="1">
        <v>-3.097017E-6</v>
      </c>
      <c r="I2651">
        <v>246.1086</v>
      </c>
      <c r="J2651">
        <v>-485.8184</v>
      </c>
      <c r="K2651">
        <v>1.1076079999999999</v>
      </c>
      <c r="L2651">
        <v>266.07029999999997</v>
      </c>
      <c r="M2651">
        <v>-0.17922869999999999</v>
      </c>
      <c r="N2651">
        <v>-1.011858E-2</v>
      </c>
      <c r="O2651">
        <v>-0.98375559999999995</v>
      </c>
      <c r="P2651">
        <v>-4.1113070000000002E-2</v>
      </c>
      <c r="Q2651">
        <v>-0.1146731</v>
      </c>
      <c r="R2651">
        <v>-0.99255260000000001</v>
      </c>
      <c r="S2651">
        <v>-0.78854369999999996</v>
      </c>
      <c r="T2651">
        <v>-0.1636871</v>
      </c>
      <c r="U2651">
        <v>-2.9703059999999999</v>
      </c>
      <c r="V2651">
        <v>-0.13772760000000001</v>
      </c>
      <c r="W2651">
        <v>-0.1043538</v>
      </c>
      <c r="X2651">
        <v>0.98495759999999999</v>
      </c>
      <c r="Y2651">
        <v>7.8931219999999996E-2</v>
      </c>
      <c r="Z2651">
        <v>4.2832460000000003E-2</v>
      </c>
      <c r="AA2651">
        <v>0.9959595</v>
      </c>
      <c r="AB2651">
        <v>24</v>
      </c>
      <c r="AC2651">
        <v>-5.3097000000000198</v>
      </c>
      <c r="AD2651">
        <v>-1.1076110970169999</v>
      </c>
      <c r="AE2651">
        <v>-19.961699999999901</v>
      </c>
      <c r="AF2651">
        <v>1.64110276175696</v>
      </c>
      <c r="AG2651">
        <v>-1.1076110970169999</v>
      </c>
      <c r="AH2651">
        <v>20.5311007995696</v>
      </c>
      <c r="AI2651">
        <v>93.078198251947597</v>
      </c>
      <c r="AJ2651">
        <v>85.429920114380906</v>
      </c>
      <c r="AK2651">
        <v>20.626345305433301</v>
      </c>
      <c r="AL2651">
        <v>95.989937256811601</v>
      </c>
      <c r="AM2651">
        <v>97.960112973740493</v>
      </c>
      <c r="AN2651">
        <v>1.00000004058697</v>
      </c>
    </row>
    <row r="2652" spans="1:40" x14ac:dyDescent="0.25">
      <c r="A2652" t="str">
        <f>"20190305135244819"</f>
        <v>20190305135244819</v>
      </c>
      <c r="B2652" t="str">
        <f>"1551765164811941"</f>
        <v>1551765164811941</v>
      </c>
      <c r="C2652" t="s">
        <v>40</v>
      </c>
      <c r="D2652">
        <v>5.0042429999999998</v>
      </c>
      <c r="E2652">
        <v>0.50413969999999997</v>
      </c>
      <c r="F2652" t="s">
        <v>42</v>
      </c>
      <c r="G2652">
        <v>-487.70089999999999</v>
      </c>
      <c r="H2652" s="1">
        <v>-3.0502430000000002E-6</v>
      </c>
      <c r="I2652">
        <v>245.79230000000001</v>
      </c>
      <c r="J2652">
        <v>-485.84469999999999</v>
      </c>
      <c r="K2652">
        <v>1.1076299999999999</v>
      </c>
      <c r="L2652">
        <v>265.93189999999998</v>
      </c>
      <c r="M2652">
        <v>-0.18018439999999999</v>
      </c>
      <c r="N2652">
        <v>-1.009052E-2</v>
      </c>
      <c r="O2652">
        <v>-0.98358140000000005</v>
      </c>
      <c r="P2652">
        <v>-3.9926370000000003E-2</v>
      </c>
      <c r="Q2652">
        <v>-0.1152328</v>
      </c>
      <c r="R2652">
        <v>-0.99253619999999998</v>
      </c>
      <c r="S2652">
        <v>-0.27777099999999999</v>
      </c>
      <c r="T2652">
        <v>-0.16343450000000001</v>
      </c>
      <c r="U2652">
        <v>-2.9921259999999998</v>
      </c>
      <c r="V2652">
        <v>-0.1398432</v>
      </c>
      <c r="W2652">
        <v>-0.1049476</v>
      </c>
      <c r="X2652">
        <v>0.98459629999999998</v>
      </c>
      <c r="Y2652">
        <v>-8.8556040000000003E-2</v>
      </c>
      <c r="Z2652">
        <v>4.2991109999999999E-2</v>
      </c>
      <c r="AA2652">
        <v>0.995143</v>
      </c>
      <c r="AB2652">
        <v>24</v>
      </c>
      <c r="AC2652">
        <v>-1.8562000000000001</v>
      </c>
      <c r="AD2652">
        <v>-1.1076330502430001</v>
      </c>
      <c r="AE2652">
        <v>-20.139599999999898</v>
      </c>
      <c r="AF2652">
        <v>-1.7978170521582499</v>
      </c>
      <c r="AG2652">
        <v>-1.1076330502430001</v>
      </c>
      <c r="AH2652">
        <v>20.084175699157701</v>
      </c>
      <c r="AI2652">
        <v>93.144092250705498</v>
      </c>
      <c r="AJ2652">
        <v>95.115147431767198</v>
      </c>
      <c r="AK2652">
        <v>20.194878326983201</v>
      </c>
      <c r="AL2652">
        <v>96.024147601628201</v>
      </c>
      <c r="AM2652">
        <v>98.083709355709701</v>
      </c>
      <c r="AN2652">
        <v>0.999999996652845</v>
      </c>
    </row>
    <row r="2653" spans="1:40" x14ac:dyDescent="0.25">
      <c r="A2653" t="str">
        <f>"20190305135244837"</f>
        <v>20190305135244837</v>
      </c>
      <c r="B2653" t="str">
        <f>"1551765164832437"</f>
        <v>1551765164832437</v>
      </c>
      <c r="C2653" t="s">
        <v>40</v>
      </c>
      <c r="D2653">
        <v>5.1221579999999998</v>
      </c>
      <c r="E2653">
        <v>0.44744509999999998</v>
      </c>
      <c r="F2653" t="s">
        <v>42</v>
      </c>
      <c r="G2653">
        <v>-486.69740000000002</v>
      </c>
      <c r="H2653" s="1">
        <v>-4.4756629999999998E-6</v>
      </c>
      <c r="I2653">
        <v>248.70009999999999</v>
      </c>
      <c r="J2653">
        <v>-485.87909999999999</v>
      </c>
      <c r="K2653">
        <v>1.107637</v>
      </c>
      <c r="L2653">
        <v>265.75200000000001</v>
      </c>
      <c r="M2653">
        <v>-0.18140600000000001</v>
      </c>
      <c r="N2653">
        <v>-1.0057E-2</v>
      </c>
      <c r="O2653">
        <v>-0.98335700000000004</v>
      </c>
      <c r="P2653">
        <v>-3.7138980000000002E-2</v>
      </c>
      <c r="Q2653">
        <v>-0.11597540000000001</v>
      </c>
      <c r="R2653">
        <v>-0.99255749999999998</v>
      </c>
      <c r="S2653">
        <v>-0.14816279999999901</v>
      </c>
      <c r="T2653">
        <v>-0.19246859999999999</v>
      </c>
      <c r="U2653">
        <v>-2.9942929999999999</v>
      </c>
      <c r="V2653">
        <v>-0.1438063</v>
      </c>
      <c r="W2653">
        <v>-0.1057273</v>
      </c>
      <c r="X2653">
        <v>0.98394179999999998</v>
      </c>
      <c r="Y2653">
        <v>-0.13260939999999999</v>
      </c>
      <c r="Z2653">
        <v>5.2237800000000001E-2</v>
      </c>
      <c r="AA2653">
        <v>0.98979090000000003</v>
      </c>
      <c r="AB2653">
        <v>24</v>
      </c>
      <c r="AC2653">
        <v>-0.81830000000002101</v>
      </c>
      <c r="AD2653">
        <v>-1.107641475663</v>
      </c>
      <c r="AE2653">
        <v>-17.0519</v>
      </c>
      <c r="AF2653">
        <v>-2.2791567523589502</v>
      </c>
      <c r="AG2653">
        <v>-1.107641475663</v>
      </c>
      <c r="AH2653">
        <v>16.846483952545601</v>
      </c>
      <c r="AI2653">
        <v>93.727868250895298</v>
      </c>
      <c r="AJ2653">
        <v>97.704751950395206</v>
      </c>
      <c r="AK2653">
        <v>17.0360044230978</v>
      </c>
      <c r="AL2653">
        <v>96.069071093832406</v>
      </c>
      <c r="AM2653">
        <v>98.315092776955296</v>
      </c>
      <c r="AN2653">
        <v>0.99999998983610905</v>
      </c>
    </row>
    <row r="2654" spans="1:40" x14ac:dyDescent="0.25">
      <c r="A2654" t="str">
        <f>"20190305135244850"</f>
        <v>20190305135244850</v>
      </c>
      <c r="B2654" t="str">
        <f>"1551765164842198"</f>
        <v>1551765164842198</v>
      </c>
      <c r="C2654" t="s">
        <v>40</v>
      </c>
      <c r="D2654">
        <v>5.2547420000000002</v>
      </c>
      <c r="E2654">
        <v>0.45175189999999998</v>
      </c>
      <c r="F2654" t="s">
        <v>42</v>
      </c>
      <c r="G2654">
        <v>-483.01100000000002</v>
      </c>
      <c r="H2654" s="1">
        <v>-4.9461129999999997E-6</v>
      </c>
      <c r="I2654">
        <v>238.2724</v>
      </c>
      <c r="J2654">
        <v>-485.90480000000002</v>
      </c>
      <c r="K2654">
        <v>1.1076360000000001</v>
      </c>
      <c r="L2654">
        <v>265.61810000000003</v>
      </c>
      <c r="M2654">
        <v>-0.1823014</v>
      </c>
      <c r="N2654">
        <v>-1.0034070000000001E-2</v>
      </c>
      <c r="O2654">
        <v>-0.9831917</v>
      </c>
      <c r="P2654">
        <v>-3.6058760000000002E-2</v>
      </c>
      <c r="Q2654">
        <v>-0.1164511</v>
      </c>
      <c r="R2654">
        <v>-0.99254189999999998</v>
      </c>
      <c r="S2654">
        <v>0.315216099999999</v>
      </c>
      <c r="T2654">
        <v>-0.1217319</v>
      </c>
      <c r="U2654">
        <v>-3.0200499999999999</v>
      </c>
      <c r="V2654">
        <v>-0.1457589</v>
      </c>
      <c r="W2654">
        <v>-0.1062279</v>
      </c>
      <c r="X2654">
        <v>0.98360049999999999</v>
      </c>
      <c r="Y2654">
        <v>-0.28327989999999997</v>
      </c>
      <c r="Z2654">
        <v>2.8206579999999998E-2</v>
      </c>
      <c r="AA2654">
        <v>0.95862239999999999</v>
      </c>
      <c r="AB2654">
        <v>24</v>
      </c>
      <c r="AC2654">
        <v>2.8938000000000499</v>
      </c>
      <c r="AD2654">
        <v>-1.1076409461129999</v>
      </c>
      <c r="AE2654">
        <v>-27.345700000000001</v>
      </c>
      <c r="AF2654">
        <v>-7.8180274650113502</v>
      </c>
      <c r="AG2654">
        <v>-1.1076409461129999</v>
      </c>
      <c r="AH2654">
        <v>26.3171437551335</v>
      </c>
      <c r="AI2654">
        <v>92.310377672339698</v>
      </c>
      <c r="AJ2654">
        <v>106.54509217943099</v>
      </c>
      <c r="AK2654">
        <v>27.476180180977501</v>
      </c>
      <c r="AL2654">
        <v>96.097915838091495</v>
      </c>
      <c r="AM2654">
        <v>98.429266531594905</v>
      </c>
      <c r="AN2654">
        <v>0.99999998363393405</v>
      </c>
    </row>
    <row r="2655" spans="1:40" x14ac:dyDescent="0.25">
      <c r="A2655" t="str">
        <f>"20190305135244862"</f>
        <v>20190305135244862</v>
      </c>
      <c r="B2655" t="str">
        <f>"1551765164851957"</f>
        <v>1551765164851957</v>
      </c>
      <c r="C2655" t="s">
        <v>40</v>
      </c>
      <c r="D2655">
        <v>4.965433</v>
      </c>
      <c r="E2655">
        <v>0.45317350000000001</v>
      </c>
      <c r="F2655" t="s">
        <v>42</v>
      </c>
      <c r="G2655">
        <v>-483.57080000000002</v>
      </c>
      <c r="H2655" s="1">
        <v>-2.1039249999999999E-6</v>
      </c>
      <c r="I2655">
        <v>240.8038</v>
      </c>
      <c r="J2655">
        <v>-485.9316</v>
      </c>
      <c r="K2655">
        <v>1.1076360000000001</v>
      </c>
      <c r="L2655">
        <v>265.47949999999997</v>
      </c>
      <c r="M2655">
        <v>-0.18321699999999999</v>
      </c>
      <c r="N2655">
        <v>-1.001227E-2</v>
      </c>
      <c r="O2655">
        <v>-0.9830217</v>
      </c>
      <c r="P2655">
        <v>-3.5164910000000001E-2</v>
      </c>
      <c r="Q2655">
        <v>-0.1167513</v>
      </c>
      <c r="R2655">
        <v>-0.99253880000000005</v>
      </c>
      <c r="S2655">
        <v>0.28378300000000001</v>
      </c>
      <c r="T2655">
        <v>-0.13467379999999901</v>
      </c>
      <c r="U2655">
        <v>-3.01709</v>
      </c>
      <c r="V2655">
        <v>-0.1475503</v>
      </c>
      <c r="W2655">
        <v>-0.1065508</v>
      </c>
      <c r="X2655">
        <v>0.98329849999999996</v>
      </c>
      <c r="Y2655">
        <v>-0.27435229999999999</v>
      </c>
      <c r="Z2655">
        <v>3.2416479999999998E-2</v>
      </c>
      <c r="AA2655">
        <v>0.96108269999999996</v>
      </c>
      <c r="AB2655">
        <v>24</v>
      </c>
      <c r="AC2655">
        <v>2.3607999999999798</v>
      </c>
      <c r="AD2655">
        <v>-1.1076381039250001</v>
      </c>
      <c r="AE2655">
        <v>-24.6756999999999</v>
      </c>
      <c r="AF2655">
        <v>-6.8284330983639903</v>
      </c>
      <c r="AG2655">
        <v>-1.1076381039250001</v>
      </c>
      <c r="AH2655">
        <v>23.777923658337802</v>
      </c>
      <c r="AI2655">
        <v>92.563591224927904</v>
      </c>
      <c r="AJ2655">
        <v>106.02275986142401</v>
      </c>
      <c r="AK2655">
        <v>24.763764137340701</v>
      </c>
      <c r="AL2655">
        <v>96.116521825358504</v>
      </c>
      <c r="AM2655">
        <v>98.533929773388294</v>
      </c>
      <c r="AN2655">
        <v>1.00000005205648</v>
      </c>
    </row>
    <row r="2656" spans="1:40" x14ac:dyDescent="0.25">
      <c r="A2656" t="str">
        <f>"20190305135244875"</f>
        <v>20190305135244875</v>
      </c>
      <c r="B2656" t="str">
        <f>"1551765164862694"</f>
        <v>1551765164862694</v>
      </c>
      <c r="C2656" t="s">
        <v>40</v>
      </c>
      <c r="D2656">
        <v>4.9615099999999996</v>
      </c>
      <c r="E2656">
        <v>0.45428259999999998</v>
      </c>
      <c r="F2656" t="s">
        <v>42</v>
      </c>
      <c r="G2656">
        <v>-483.86279999999999</v>
      </c>
      <c r="H2656" s="1">
        <v>-2.7054399999999998E-6</v>
      </c>
      <c r="I2656">
        <v>242.7996</v>
      </c>
      <c r="J2656">
        <v>-485.95620000000002</v>
      </c>
      <c r="K2656">
        <v>1.107637</v>
      </c>
      <c r="L2656">
        <v>265.3528</v>
      </c>
      <c r="M2656">
        <v>-0.18404470000000001</v>
      </c>
      <c r="N2656">
        <v>-9.9940849999999998E-3</v>
      </c>
      <c r="O2656">
        <v>-0.9828673</v>
      </c>
      <c r="P2656">
        <v>-3.4100279999999997E-2</v>
      </c>
      <c r="Q2656">
        <v>-0.11700339999999999</v>
      </c>
      <c r="R2656">
        <v>-0.99254629999999999</v>
      </c>
      <c r="S2656">
        <v>0.2750244</v>
      </c>
      <c r="T2656">
        <v>-0.14724719999999999</v>
      </c>
      <c r="U2656">
        <v>-3.015015</v>
      </c>
      <c r="V2656">
        <v>-0.14942440000000001</v>
      </c>
      <c r="W2656">
        <v>-0.1068216</v>
      </c>
      <c r="X2656">
        <v>0.98298600000000003</v>
      </c>
      <c r="Y2656">
        <v>-0.27243650000000003</v>
      </c>
      <c r="Z2656">
        <v>3.6438499999999999E-2</v>
      </c>
      <c r="AA2656">
        <v>0.96148350000000005</v>
      </c>
      <c r="AB2656">
        <v>24</v>
      </c>
      <c r="AC2656">
        <v>2.0934000000000301</v>
      </c>
      <c r="AD2656">
        <v>-1.10763970544</v>
      </c>
      <c r="AE2656">
        <v>-22.5532</v>
      </c>
      <c r="AF2656">
        <v>-6.19382795557026</v>
      </c>
      <c r="AG2656">
        <v>-1.10763970544</v>
      </c>
      <c r="AH2656">
        <v>21.7306394631443</v>
      </c>
      <c r="AI2656">
        <v>92.806337986119999</v>
      </c>
      <c r="AJ2656">
        <v>105.90900459314</v>
      </c>
      <c r="AK2656">
        <v>22.623241631946499</v>
      </c>
      <c r="AL2656">
        <v>96.132126958721003</v>
      </c>
      <c r="AM2656">
        <v>98.6434023720509</v>
      </c>
      <c r="AN2656">
        <v>0.99999999086895897</v>
      </c>
    </row>
    <row r="2657" spans="1:40" x14ac:dyDescent="0.25">
      <c r="A2657" t="str">
        <f>"20190305135244893"</f>
        <v>20190305135244893</v>
      </c>
      <c r="B2657" t="str">
        <f>"1551765164882213"</f>
        <v>1551765164882213</v>
      </c>
      <c r="C2657" t="s">
        <v>40</v>
      </c>
      <c r="D2657">
        <v>4.9711999999999996</v>
      </c>
      <c r="E2657">
        <v>0.45557350000000002</v>
      </c>
      <c r="F2657" t="s">
        <v>42</v>
      </c>
      <c r="G2657">
        <v>-483.99720000000002</v>
      </c>
      <c r="H2657" s="1">
        <v>-2.885825E-6</v>
      </c>
      <c r="I2657">
        <v>243.43469999999999</v>
      </c>
      <c r="J2657">
        <v>-485.99560000000002</v>
      </c>
      <c r="K2657">
        <v>1.10765</v>
      </c>
      <c r="L2657">
        <v>265.15019999999998</v>
      </c>
      <c r="M2657">
        <v>-0.18535180000000001</v>
      </c>
      <c r="N2657">
        <v>-9.9672900000000002E-3</v>
      </c>
      <c r="O2657">
        <v>-0.98262179999999999</v>
      </c>
      <c r="P2657">
        <v>-3.1618540000000001E-2</v>
      </c>
      <c r="Q2657">
        <v>-0.11785959999999999</v>
      </c>
      <c r="R2657">
        <v>-0.99252669999999998</v>
      </c>
      <c r="S2657">
        <v>0.26937870000000003</v>
      </c>
      <c r="T2657">
        <v>-0.1523051</v>
      </c>
      <c r="U2657">
        <v>-3.0138240000000001</v>
      </c>
      <c r="V2657">
        <v>-0.15316399999999999</v>
      </c>
      <c r="W2657">
        <v>-0.1077066</v>
      </c>
      <c r="X2657">
        <v>0.98231360000000001</v>
      </c>
      <c r="Y2657">
        <v>-0.27195619999999998</v>
      </c>
      <c r="Z2657">
        <v>3.806872E-2</v>
      </c>
      <c r="AA2657">
        <v>0.96155639999999998</v>
      </c>
      <c r="AB2657">
        <v>24</v>
      </c>
      <c r="AC2657">
        <v>1.9984</v>
      </c>
      <c r="AD2657">
        <v>-1.1076528858249901</v>
      </c>
      <c r="AE2657">
        <v>-21.715499999999899</v>
      </c>
      <c r="AF2657">
        <v>-5.97356392389913</v>
      </c>
      <c r="AG2657">
        <v>-1.1076528858249901</v>
      </c>
      <c r="AH2657">
        <v>20.914797400790299</v>
      </c>
      <c r="AI2657">
        <v>92.915205975447194</v>
      </c>
      <c r="AJ2657">
        <v>105.94009607981501</v>
      </c>
      <c r="AK2657">
        <v>21.779327610936299</v>
      </c>
      <c r="AL2657">
        <v>96.183128129381899</v>
      </c>
      <c r="AM2657">
        <v>98.862295949174793</v>
      </c>
      <c r="AN2657">
        <v>0.99999996566225902</v>
      </c>
    </row>
    <row r="2658" spans="1:40" x14ac:dyDescent="0.25">
      <c r="A2658" t="str">
        <f>"20190305135244914"</f>
        <v>20190305135244914</v>
      </c>
      <c r="B2658" t="str">
        <f>"1551765164912469"</f>
        <v>1551765164912469</v>
      </c>
      <c r="C2658" t="s">
        <v>40</v>
      </c>
      <c r="D2658">
        <v>4.9943799999999996</v>
      </c>
      <c r="E2658">
        <v>0.4576578</v>
      </c>
      <c r="F2658" t="s">
        <v>42</v>
      </c>
      <c r="G2658">
        <v>-484.16059999999999</v>
      </c>
      <c r="H2658" s="1">
        <v>-3.1773920000000001E-6</v>
      </c>
      <c r="I2658">
        <v>244.41929999999999</v>
      </c>
      <c r="J2658">
        <v>-486.04</v>
      </c>
      <c r="K2658">
        <v>1.107666</v>
      </c>
      <c r="L2658">
        <v>264.9239</v>
      </c>
      <c r="M2658">
        <v>-0.18677650000000001</v>
      </c>
      <c r="N2658">
        <v>-9.940908E-3</v>
      </c>
      <c r="O2658">
        <v>-0.982352</v>
      </c>
      <c r="P2658">
        <v>-2.941322E-2</v>
      </c>
      <c r="Q2658">
        <v>-0.118205</v>
      </c>
      <c r="R2658">
        <v>-0.99255360000000004</v>
      </c>
      <c r="S2658">
        <v>0.26660159999999899</v>
      </c>
      <c r="T2658">
        <v>-0.1609294</v>
      </c>
      <c r="U2658">
        <v>-3.0119630000000002</v>
      </c>
      <c r="V2658">
        <v>-0.15675339999999999</v>
      </c>
      <c r="W2658">
        <v>-0.1080841</v>
      </c>
      <c r="X2658">
        <v>0.98170579999999996</v>
      </c>
      <c r="Y2658">
        <v>-0.27251039999999999</v>
      </c>
      <c r="Z2658">
        <v>4.0821040000000003E-2</v>
      </c>
      <c r="AA2658">
        <v>0.96128650000000004</v>
      </c>
      <c r="AB2658">
        <v>24</v>
      </c>
      <c r="AC2658">
        <v>1.8794000000000299</v>
      </c>
      <c r="AD2658">
        <v>-1.107669177392</v>
      </c>
      <c r="AE2658">
        <v>-20.5046</v>
      </c>
      <c r="AF2658">
        <v>-5.6599117559583503</v>
      </c>
      <c r="AG2658">
        <v>-1.107669177392</v>
      </c>
      <c r="AH2658">
        <v>19.735574816395602</v>
      </c>
      <c r="AI2658">
        <v>93.088153691601704</v>
      </c>
      <c r="AJ2658">
        <v>106.002217794682</v>
      </c>
      <c r="AK2658">
        <v>20.560993298606199</v>
      </c>
      <c r="AL2658">
        <v>96.204883834479503</v>
      </c>
      <c r="AM2658">
        <v>99.072092719843894</v>
      </c>
      <c r="AN2658">
        <v>1.0000000394190001</v>
      </c>
    </row>
    <row r="2659" spans="1:40" x14ac:dyDescent="0.25">
      <c r="A2659" t="str">
        <f>"20190305135244928"</f>
        <v>20190305135244928</v>
      </c>
      <c r="B2659" t="str">
        <f>"1551765164922231"</f>
        <v>1551765164922231</v>
      </c>
      <c r="C2659" t="s">
        <v>40</v>
      </c>
      <c r="D2659">
        <v>4.9715639999999999</v>
      </c>
      <c r="E2659">
        <v>0.45815230000000001</v>
      </c>
      <c r="F2659" t="s">
        <v>42</v>
      </c>
      <c r="G2659">
        <v>-484.37110000000001</v>
      </c>
      <c r="H2659" s="1">
        <v>-3.445046E-6</v>
      </c>
      <c r="I2659">
        <v>245.33580000000001</v>
      </c>
      <c r="J2659">
        <v>-486.06619999999998</v>
      </c>
      <c r="K2659">
        <v>1.10768</v>
      </c>
      <c r="L2659">
        <v>264.79070000000002</v>
      </c>
      <c r="M2659">
        <v>-0.1875975</v>
      </c>
      <c r="N2659">
        <v>-9.9266909999999996E-3</v>
      </c>
      <c r="O2659">
        <v>-0.98219579999999995</v>
      </c>
      <c r="P2659">
        <v>-2.8414499999999999E-2</v>
      </c>
      <c r="Q2659">
        <v>-0.117865</v>
      </c>
      <c r="R2659">
        <v>-0.99262289999999997</v>
      </c>
      <c r="S2659">
        <v>0.25643919999999998</v>
      </c>
      <c r="T2659">
        <v>-0.17019960000000001</v>
      </c>
      <c r="U2659">
        <v>-3.009827</v>
      </c>
      <c r="V2659">
        <v>-0.15856139999999999</v>
      </c>
      <c r="W2659">
        <v>-0.1077631</v>
      </c>
      <c r="X2659">
        <v>0.98145070000000001</v>
      </c>
      <c r="Y2659">
        <v>-0.27013749999999997</v>
      </c>
      <c r="Z2659">
        <v>4.3810349999999998E-2</v>
      </c>
      <c r="AA2659">
        <v>0.96182449999999997</v>
      </c>
      <c r="AB2659">
        <v>24</v>
      </c>
      <c r="AC2659">
        <v>1.6950999999999601</v>
      </c>
      <c r="AD2659">
        <v>-1.107683445046</v>
      </c>
      <c r="AE2659">
        <v>-19.454899999999999</v>
      </c>
      <c r="AF2659">
        <v>-5.2978281085891803</v>
      </c>
      <c r="AG2659">
        <v>-1.107683445046</v>
      </c>
      <c r="AH2659">
        <v>18.731187414867001</v>
      </c>
      <c r="AI2659">
        <v>93.256821359499298</v>
      </c>
      <c r="AJ2659">
        <v>105.79273925795999</v>
      </c>
      <c r="AK2659">
        <v>19.497469765419801</v>
      </c>
      <c r="AL2659">
        <v>96.186383831882594</v>
      </c>
      <c r="AM2659">
        <v>99.177305024229099</v>
      </c>
      <c r="AN2659">
        <v>1.00000003991102</v>
      </c>
    </row>
    <row r="2660" spans="1:40" x14ac:dyDescent="0.25">
      <c r="A2660" t="str">
        <f>"20190305135244940"</f>
        <v>20190305135244940</v>
      </c>
      <c r="B2660" t="str">
        <f>"1551765164931990"</f>
        <v>1551765164931990</v>
      </c>
      <c r="C2660" t="s">
        <v>40</v>
      </c>
      <c r="D2660">
        <v>4.9767939999999999</v>
      </c>
      <c r="E2660">
        <v>0.45841589999999999</v>
      </c>
      <c r="F2660" t="s">
        <v>42</v>
      </c>
      <c r="G2660">
        <v>-484.40230000000003</v>
      </c>
      <c r="H2660" s="1">
        <v>-3.3756139999999999E-6</v>
      </c>
      <c r="I2660">
        <v>245.18680000000001</v>
      </c>
      <c r="J2660">
        <v>-486.09519999999998</v>
      </c>
      <c r="K2660">
        <v>1.1077049999999999</v>
      </c>
      <c r="L2660">
        <v>264.64429999999999</v>
      </c>
      <c r="M2660">
        <v>-0.18846840000000001</v>
      </c>
      <c r="N2660">
        <v>-9.9125659999999994E-3</v>
      </c>
      <c r="O2660">
        <v>-0.98202929999999999</v>
      </c>
      <c r="P2660">
        <v>-2.7615979999999998E-2</v>
      </c>
      <c r="Q2660">
        <v>-0.1177882</v>
      </c>
      <c r="R2660">
        <v>-0.99265460000000005</v>
      </c>
      <c r="S2660">
        <v>0.2554321</v>
      </c>
      <c r="T2660">
        <v>-0.1700431</v>
      </c>
      <c r="U2660">
        <v>-3.00943</v>
      </c>
      <c r="V2660">
        <v>-0.16021369999999999</v>
      </c>
      <c r="W2660">
        <v>-0.1077089</v>
      </c>
      <c r="X2660">
        <v>0.98118819999999995</v>
      </c>
      <c r="Y2660">
        <v>-0.27068239999999999</v>
      </c>
      <c r="Z2660">
        <v>4.376451E-2</v>
      </c>
      <c r="AA2660">
        <v>0.96167340000000001</v>
      </c>
      <c r="AB2660">
        <v>24</v>
      </c>
      <c r="AC2660">
        <v>1.6928999999999499</v>
      </c>
      <c r="AD2660">
        <v>-1.107708375614</v>
      </c>
      <c r="AE2660">
        <v>-19.4574999999999</v>
      </c>
      <c r="AF2660">
        <v>-5.3127735270075496</v>
      </c>
      <c r="AG2660">
        <v>-1.107708375614</v>
      </c>
      <c r="AH2660">
        <v>18.729452966977401</v>
      </c>
      <c r="AI2660">
        <v>93.256493164799494</v>
      </c>
      <c r="AJ2660">
        <v>105.83645280351401</v>
      </c>
      <c r="AK2660">
        <v>19.499871508215001</v>
      </c>
      <c r="AL2660">
        <v>96.183260713988403</v>
      </c>
      <c r="AM2660">
        <v>99.273722737718202</v>
      </c>
      <c r="AN2660">
        <v>0.99999996031306904</v>
      </c>
    </row>
    <row r="2661" spans="1:40" x14ac:dyDescent="0.25">
      <c r="A2661" t="str">
        <f>"20190305135244953"</f>
        <v>20190305135244953</v>
      </c>
      <c r="B2661" t="str">
        <f>"1551765164942726"</f>
        <v>1551765164942726</v>
      </c>
      <c r="C2661" t="s">
        <v>40</v>
      </c>
      <c r="D2661">
        <v>4.8546120000000004</v>
      </c>
      <c r="E2661">
        <v>0.4593177</v>
      </c>
      <c r="F2661" t="s">
        <v>42</v>
      </c>
      <c r="G2661">
        <v>-484.435</v>
      </c>
      <c r="H2661" s="1">
        <v>-3.3457859999999998E-6</v>
      </c>
      <c r="I2661">
        <v>245.12870000000001</v>
      </c>
      <c r="J2661">
        <v>-486.12009999999998</v>
      </c>
      <c r="K2661">
        <v>1.107739</v>
      </c>
      <c r="L2661">
        <v>264.51850000000002</v>
      </c>
      <c r="M2661">
        <v>-0.18918869999999999</v>
      </c>
      <c r="N2661">
        <v>-9.9012019999999996E-3</v>
      </c>
      <c r="O2661">
        <v>-0.98189110000000002</v>
      </c>
      <c r="P2661">
        <v>-2.630418E-2</v>
      </c>
      <c r="Q2661">
        <v>-0.11737350000000001</v>
      </c>
      <c r="R2661">
        <v>-0.9927397</v>
      </c>
      <c r="S2661">
        <v>0.25598140000000003</v>
      </c>
      <c r="T2661">
        <v>-0.1707958</v>
      </c>
      <c r="U2661">
        <v>-3.0090940000000002</v>
      </c>
      <c r="V2661">
        <v>-0.16222839999999999</v>
      </c>
      <c r="W2661">
        <v>-0.1073142</v>
      </c>
      <c r="X2661">
        <v>0.98090040000000001</v>
      </c>
      <c r="Y2661">
        <v>-0.27157009999999998</v>
      </c>
      <c r="Z2661">
        <v>4.3999429999999999E-2</v>
      </c>
      <c r="AA2661">
        <v>0.96141239999999994</v>
      </c>
      <c r="AB2661">
        <v>24</v>
      </c>
      <c r="AC2661">
        <v>1.6850999999999701</v>
      </c>
      <c r="AD2661">
        <v>-1.1077423457860001</v>
      </c>
      <c r="AE2661">
        <v>-19.389800000000001</v>
      </c>
      <c r="AF2661">
        <v>-5.3059871135299304</v>
      </c>
      <c r="AG2661">
        <v>-1.1077423457860001</v>
      </c>
      <c r="AH2661">
        <v>18.660334787659899</v>
      </c>
      <c r="AI2661">
        <v>93.268040377288401</v>
      </c>
      <c r="AJ2661">
        <v>105.87287687247201</v>
      </c>
      <c r="AK2661">
        <v>19.431641380520102</v>
      </c>
      <c r="AL2661">
        <v>96.160514024196203</v>
      </c>
      <c r="AM2661">
        <v>99.390982370815394</v>
      </c>
      <c r="AN2661">
        <v>0.99999999300417997</v>
      </c>
    </row>
    <row r="2662" spans="1:40" x14ac:dyDescent="0.25">
      <c r="A2662" t="str">
        <f>"20190305135244967"</f>
        <v>20190305135244967</v>
      </c>
      <c r="B2662" t="str">
        <f>"1551765164962245"</f>
        <v>1551765164962245</v>
      </c>
      <c r="C2662" t="s">
        <v>40</v>
      </c>
      <c r="D2662">
        <v>4.948976</v>
      </c>
      <c r="E2662">
        <v>0.45974510000000002</v>
      </c>
      <c r="F2662" t="s">
        <v>42</v>
      </c>
      <c r="G2662">
        <v>-484.3725</v>
      </c>
      <c r="H2662" s="1">
        <v>-2.900721E-6</v>
      </c>
      <c r="I2662">
        <v>243.77199999999999</v>
      </c>
      <c r="J2662">
        <v>-486.14850000000001</v>
      </c>
      <c r="K2662">
        <v>1.1077760000000001</v>
      </c>
      <c r="L2662">
        <v>264.37540000000001</v>
      </c>
      <c r="M2662">
        <v>-0.18998319999999999</v>
      </c>
      <c r="N2662">
        <v>-9.8889189999999995E-3</v>
      </c>
      <c r="O2662">
        <v>-0.98173739999999998</v>
      </c>
      <c r="P2662">
        <v>-2.5218560000000001E-2</v>
      </c>
      <c r="Q2662">
        <v>-0.1170254</v>
      </c>
      <c r="R2662">
        <v>-0.99280860000000004</v>
      </c>
      <c r="S2662">
        <v>0.25353999999999999</v>
      </c>
      <c r="T2662">
        <v>-0.16070219999999999</v>
      </c>
      <c r="U2662">
        <v>-3.009735</v>
      </c>
      <c r="V2662">
        <v>-0.16409070000000001</v>
      </c>
      <c r="W2662">
        <v>-0.10699069999999999</v>
      </c>
      <c r="X2662">
        <v>0.98062590000000005</v>
      </c>
      <c r="Y2662">
        <v>-0.27157419999999999</v>
      </c>
      <c r="Z2662">
        <v>4.0809159999999997E-2</v>
      </c>
      <c r="AA2662">
        <v>0.96155190000000001</v>
      </c>
      <c r="AB2662">
        <v>24</v>
      </c>
      <c r="AC2662">
        <v>1.77600000000001</v>
      </c>
      <c r="AD2662">
        <v>-1.1077789007209999</v>
      </c>
      <c r="AE2662">
        <v>-20.603399999999901</v>
      </c>
      <c r="AF2662">
        <v>-5.64195306366467</v>
      </c>
      <c r="AG2662">
        <v>-1.1077789007209999</v>
      </c>
      <c r="AH2662">
        <v>19.8337794942939</v>
      </c>
      <c r="AI2662">
        <v>93.075080468588197</v>
      </c>
      <c r="AJ2662">
        <v>105.87902903574501</v>
      </c>
      <c r="AK2662">
        <v>20.650366037766702</v>
      </c>
      <c r="AL2662">
        <v>96.1418716997335</v>
      </c>
      <c r="AM2662">
        <v>99.499443195851995</v>
      </c>
      <c r="AN2662">
        <v>0.99999996173189398</v>
      </c>
    </row>
    <row r="2663" spans="1:40" x14ac:dyDescent="0.25">
      <c r="A2663" t="str">
        <f>"20190305135244982"</f>
        <v>20190305135244982</v>
      </c>
      <c r="B2663" t="str">
        <f>"1551765164972006"</f>
        <v>1551765164972006</v>
      </c>
      <c r="C2663" t="s">
        <v>40</v>
      </c>
      <c r="D2663">
        <v>4.9499719999999998</v>
      </c>
      <c r="E2663">
        <v>0.45974510000000002</v>
      </c>
      <c r="F2663" t="s">
        <v>42</v>
      </c>
      <c r="G2663">
        <v>-484.40989999999999</v>
      </c>
      <c r="H2663" s="1">
        <v>-2.8689409999999998E-6</v>
      </c>
      <c r="I2663">
        <v>243.70779999999999</v>
      </c>
      <c r="J2663">
        <v>-486.18299999999999</v>
      </c>
      <c r="K2663">
        <v>1.1078380000000001</v>
      </c>
      <c r="L2663">
        <v>264.20229999999998</v>
      </c>
      <c r="M2663">
        <v>-0.19086149999999999</v>
      </c>
      <c r="N2663">
        <v>-9.8755960000000004E-3</v>
      </c>
      <c r="O2663">
        <v>-0.98156759999999998</v>
      </c>
      <c r="P2663">
        <v>-2.2507409999999999E-2</v>
      </c>
      <c r="Q2663">
        <v>-0.1160976</v>
      </c>
      <c r="R2663">
        <v>-0.99298330000000001</v>
      </c>
      <c r="S2663">
        <v>0.25314330000000002</v>
      </c>
      <c r="T2663">
        <v>-0.16128979999999901</v>
      </c>
      <c r="U2663">
        <v>-3.0091549999999998</v>
      </c>
      <c r="V2663">
        <v>-0.16764509999999999</v>
      </c>
      <c r="W2663">
        <v>-0.1060965</v>
      </c>
      <c r="X2663">
        <v>0.98012169999999998</v>
      </c>
      <c r="Y2663">
        <v>-0.2723236</v>
      </c>
      <c r="Z2663">
        <v>4.0998199999999999E-2</v>
      </c>
      <c r="AA2663">
        <v>0.96133190000000002</v>
      </c>
      <c r="AB2663">
        <v>24</v>
      </c>
      <c r="AC2663">
        <v>1.7731000000000501</v>
      </c>
      <c r="AD2663">
        <v>-1.107840868941</v>
      </c>
      <c r="AE2663">
        <v>-20.494499999999899</v>
      </c>
      <c r="AF2663">
        <v>-5.6359565692606104</v>
      </c>
      <c r="AG2663">
        <v>-1.107840868941</v>
      </c>
      <c r="AH2663">
        <v>19.722079559747201</v>
      </c>
      <c r="AI2663">
        <v>93.091572133925894</v>
      </c>
      <c r="AJ2663">
        <v>105.948287756423</v>
      </c>
      <c r="AK2663">
        <v>20.541463920628601</v>
      </c>
      <c r="AL2663">
        <v>96.090344609876396</v>
      </c>
      <c r="AM2663">
        <v>99.706238022028202</v>
      </c>
      <c r="AN2663">
        <v>0.99999994683857296</v>
      </c>
    </row>
    <row r="2664" spans="1:40" x14ac:dyDescent="0.25">
      <c r="A2664" t="str">
        <f>"20190305135244995"</f>
        <v>20190305135244995</v>
      </c>
      <c r="B2664" t="str">
        <f>"1551765164992501"</f>
        <v>1551765164992501</v>
      </c>
      <c r="C2664" t="s">
        <v>40</v>
      </c>
      <c r="D2664">
        <v>4.8645199999999997</v>
      </c>
      <c r="E2664">
        <v>0.47466999999999998</v>
      </c>
      <c r="F2664" t="s">
        <v>42</v>
      </c>
      <c r="G2664">
        <v>-484.36200000000002</v>
      </c>
      <c r="H2664" s="1">
        <v>-2.7274930000000002E-6</v>
      </c>
      <c r="I2664">
        <v>243.25479999999999</v>
      </c>
      <c r="J2664">
        <v>-486.21080000000001</v>
      </c>
      <c r="K2664">
        <v>1.107891</v>
      </c>
      <c r="L2664">
        <v>264.06380000000001</v>
      </c>
      <c r="M2664">
        <v>-0.19150439999999999</v>
      </c>
      <c r="N2664">
        <v>-9.8658549999999998E-3</v>
      </c>
      <c r="O2664">
        <v>-0.98144219999999904</v>
      </c>
      <c r="P2664">
        <v>-2.1364399999999999E-2</v>
      </c>
      <c r="Q2664">
        <v>-0.1160118</v>
      </c>
      <c r="R2664">
        <v>-0.99301810000000001</v>
      </c>
      <c r="S2664">
        <v>0.26153559999999998</v>
      </c>
      <c r="T2664">
        <v>-0.15910940000000001</v>
      </c>
      <c r="U2664">
        <v>-3.0085139999999999</v>
      </c>
      <c r="V2664">
        <v>-0.16940169999999999</v>
      </c>
      <c r="W2664">
        <v>-0.10604089999999999</v>
      </c>
      <c r="X2664">
        <v>0.97982570000000002</v>
      </c>
      <c r="Y2664">
        <v>-0.27563409999999999</v>
      </c>
      <c r="Z2664">
        <v>4.0287700000000003E-2</v>
      </c>
      <c r="AA2664">
        <v>0.96041799999999999</v>
      </c>
      <c r="AB2664">
        <v>24</v>
      </c>
      <c r="AC2664">
        <v>1.84880000000004</v>
      </c>
      <c r="AD2664">
        <v>-1.1078937274930001</v>
      </c>
      <c r="AE2664">
        <v>-20.809000000000001</v>
      </c>
      <c r="AF2664">
        <v>-5.7835218353147297</v>
      </c>
      <c r="AG2664">
        <v>-1.1078937274930001</v>
      </c>
      <c r="AH2664">
        <v>20.0134674158876</v>
      </c>
      <c r="AI2664">
        <v>93.0441983280665</v>
      </c>
      <c r="AJ2664">
        <v>106.118315611968</v>
      </c>
      <c r="AK2664">
        <v>20.861817546363799</v>
      </c>
      <c r="AL2664">
        <v>96.087140533692093</v>
      </c>
      <c r="AM2664">
        <v>99.8088811601516</v>
      </c>
      <c r="AN2664">
        <v>1.00000000540809</v>
      </c>
    </row>
    <row r="2665" spans="1:40" x14ac:dyDescent="0.25">
      <c r="A2665" t="str">
        <f>"20190305135245009"</f>
        <v>20190305135245009</v>
      </c>
      <c r="B2665" t="str">
        <f>"1551765165002261"</f>
        <v>1551765165002261</v>
      </c>
      <c r="C2665" t="s">
        <v>40</v>
      </c>
      <c r="D2665">
        <v>4.864617</v>
      </c>
      <c r="E2665">
        <v>0.47418110000000002</v>
      </c>
      <c r="F2665" t="s">
        <v>55</v>
      </c>
      <c r="G2665">
        <v>-484.42880000000002</v>
      </c>
      <c r="H2665" s="1">
        <v>4.6928519999999999E-6</v>
      </c>
      <c r="I2665">
        <v>228.1028</v>
      </c>
      <c r="J2665">
        <v>-486.23880000000003</v>
      </c>
      <c r="K2665">
        <v>1.107947</v>
      </c>
      <c r="L2665">
        <v>263.92340000000002</v>
      </c>
      <c r="M2665">
        <v>-0.19211439999999999</v>
      </c>
      <c r="N2665">
        <v>-9.8565240000000002E-3</v>
      </c>
      <c r="O2665">
        <v>-0.9813231</v>
      </c>
      <c r="P2665">
        <v>-2.0087770000000001E-2</v>
      </c>
      <c r="Q2665">
        <v>-0.1156903</v>
      </c>
      <c r="R2665">
        <v>-0.99308249999999998</v>
      </c>
      <c r="S2665">
        <v>0.1493225</v>
      </c>
      <c r="T2665">
        <v>-9.2839599999999994E-2</v>
      </c>
      <c r="U2665">
        <v>-3.0134889999999999</v>
      </c>
      <c r="V2665">
        <v>-0.17125969999999999</v>
      </c>
      <c r="W2665">
        <v>-0.10575180000000001</v>
      </c>
      <c r="X2665">
        <v>0.97953389999999996</v>
      </c>
      <c r="Y2665">
        <v>-0.24039759999999999</v>
      </c>
      <c r="Z2665">
        <v>1.9561370000000002E-2</v>
      </c>
      <c r="AA2665">
        <v>0.97047740000000005</v>
      </c>
      <c r="AB2665">
        <v>24</v>
      </c>
      <c r="AC2665">
        <v>1.81</v>
      </c>
      <c r="AD2665">
        <v>-1.1079423071479999</v>
      </c>
      <c r="AE2665">
        <v>-35.820599999999999</v>
      </c>
      <c r="AF2665">
        <v>-8.6500137008600397</v>
      </c>
      <c r="AG2665">
        <v>-1.1079423071479999</v>
      </c>
      <c r="AH2665">
        <v>34.772362368380698</v>
      </c>
      <c r="AI2665">
        <v>91.771042892855903</v>
      </c>
      <c r="AJ2665">
        <v>103.96941980713299</v>
      </c>
      <c r="AK2665">
        <v>35.849232318963402</v>
      </c>
      <c r="AL2665">
        <v>96.070482725090699</v>
      </c>
      <c r="AM2665">
        <v>99.917236429802102</v>
      </c>
      <c r="AN2665">
        <v>0.99999999464826905</v>
      </c>
    </row>
    <row r="2666" spans="1:40" x14ac:dyDescent="0.25">
      <c r="A2666" t="str">
        <f>"20190305135245027"</f>
        <v>20190305135245027</v>
      </c>
      <c r="B2666" t="str">
        <f>"1551765165022759"</f>
        <v>1551765165022759</v>
      </c>
      <c r="C2666" t="s">
        <v>40</v>
      </c>
      <c r="D2666">
        <v>4.8803409999999996</v>
      </c>
      <c r="E2666">
        <v>0.47365269999999998</v>
      </c>
      <c r="F2666" t="s">
        <v>55</v>
      </c>
      <c r="G2666">
        <v>-484.06979999999999</v>
      </c>
      <c r="H2666" s="1">
        <v>3.1071950000000002E-6</v>
      </c>
      <c r="I2666">
        <v>222.40539999999999</v>
      </c>
      <c r="J2666">
        <v>-486.27760000000001</v>
      </c>
      <c r="K2666">
        <v>1.108031</v>
      </c>
      <c r="L2666">
        <v>263.7294</v>
      </c>
      <c r="M2666">
        <v>-0.1928445</v>
      </c>
      <c r="N2666">
        <v>-9.8447529999999995E-3</v>
      </c>
      <c r="O2666">
        <v>-0.98118019999999995</v>
      </c>
      <c r="P2666">
        <v>-1.7078299999999901E-2</v>
      </c>
      <c r="Q2666">
        <v>-0.11624089999999999</v>
      </c>
      <c r="R2666">
        <v>-0.99307449999999997</v>
      </c>
      <c r="S2666">
        <v>0.15750120000000001</v>
      </c>
      <c r="T2666">
        <v>-8.0450060000000004E-2</v>
      </c>
      <c r="U2666">
        <v>-3.0147089999999999</v>
      </c>
      <c r="V2666">
        <v>-0.17491599999999999</v>
      </c>
      <c r="W2666">
        <v>-0.1063545</v>
      </c>
      <c r="X2666">
        <v>0.97882230000000003</v>
      </c>
      <c r="Y2666">
        <v>-0.24373330000000001</v>
      </c>
      <c r="Z2666">
        <v>1.5611710000000001E-2</v>
      </c>
      <c r="AA2666">
        <v>0.96971669999999999</v>
      </c>
      <c r="AB2666">
        <v>24</v>
      </c>
      <c r="AC2666">
        <v>2.20780000000001</v>
      </c>
      <c r="AD2666">
        <v>-1.108027892805</v>
      </c>
      <c r="AE2666">
        <v>-41.323999999999998</v>
      </c>
      <c r="AF2666">
        <v>-10.1285832088069</v>
      </c>
      <c r="AG2666">
        <v>-1.108027892805</v>
      </c>
      <c r="AH2666">
        <v>40.093719524999699</v>
      </c>
      <c r="AI2666">
        <v>91.534826773841601</v>
      </c>
      <c r="AJ2666">
        <v>104.17758557566</v>
      </c>
      <c r="AK2666">
        <v>41.368131079108501</v>
      </c>
      <c r="AL2666">
        <v>96.105210765357697</v>
      </c>
      <c r="AM2666">
        <v>100.131836260358</v>
      </c>
      <c r="AN2666">
        <v>0.99999999085177005</v>
      </c>
    </row>
    <row r="2667" spans="1:40" x14ac:dyDescent="0.25">
      <c r="A2667" t="str">
        <f>"20190305135245039"</f>
        <v>20190305135245039</v>
      </c>
      <c r="B2667" t="str">
        <f>"1551765165032518"</f>
        <v>1551765165032518</v>
      </c>
      <c r="C2667" t="s">
        <v>40</v>
      </c>
      <c r="D2667">
        <v>4.8220780000000003</v>
      </c>
      <c r="E2667">
        <v>0.47338930000000001</v>
      </c>
      <c r="F2667" t="s">
        <v>55</v>
      </c>
      <c r="G2667">
        <v>-483.66699999999997</v>
      </c>
      <c r="H2667" s="1">
        <v>2.3431430000000002E-6</v>
      </c>
      <c r="I2667">
        <v>217.87870000000001</v>
      </c>
      <c r="J2667">
        <v>-486.30599999999998</v>
      </c>
      <c r="K2667">
        <v>1.1081099999999999</v>
      </c>
      <c r="L2667">
        <v>263.58769999999998</v>
      </c>
      <c r="M2667">
        <v>-0.1932779</v>
      </c>
      <c r="N2667">
        <v>-9.837017E-3</v>
      </c>
      <c r="O2667">
        <v>-0.98109480000000004</v>
      </c>
      <c r="P2667">
        <v>-1.570448E-2</v>
      </c>
      <c r="Q2667">
        <v>-0.1166427</v>
      </c>
      <c r="R2667">
        <v>-0.99304959999999998</v>
      </c>
      <c r="S2667">
        <v>0.17169189999999901</v>
      </c>
      <c r="T2667">
        <v>-7.2869779999999995E-2</v>
      </c>
      <c r="U2667">
        <v>-3.0153810000000001</v>
      </c>
      <c r="V2667">
        <v>-0.17667160000000001</v>
      </c>
      <c r="W2667">
        <v>-0.106797699999999</v>
      </c>
      <c r="X2667">
        <v>0.97845870000000001</v>
      </c>
      <c r="Y2667">
        <v>-0.2487017</v>
      </c>
      <c r="Z2667">
        <v>1.3186160000000001E-2</v>
      </c>
      <c r="AA2667">
        <v>0.96849039999999997</v>
      </c>
      <c r="AB2667">
        <v>24</v>
      </c>
      <c r="AC2667">
        <v>2.63900000000001</v>
      </c>
      <c r="AD2667">
        <v>-1.1081076568570001</v>
      </c>
      <c r="AE2667">
        <v>-45.708999999999897</v>
      </c>
      <c r="AF2667">
        <v>-11.4175129242353</v>
      </c>
      <c r="AG2667">
        <v>-1.1081076568570001</v>
      </c>
      <c r="AH2667">
        <v>44.310989060604399</v>
      </c>
      <c r="AI2667">
        <v>91.387233903260295</v>
      </c>
      <c r="AJ2667">
        <v>104.448978546191</v>
      </c>
      <c r="AK2667">
        <v>45.771729872086603</v>
      </c>
      <c r="AL2667">
        <v>96.130749560729001</v>
      </c>
      <c r="AM2667">
        <v>100.23511158796499</v>
      </c>
      <c r="AN2667">
        <v>1.00000001528876</v>
      </c>
    </row>
    <row r="2668" spans="1:40" x14ac:dyDescent="0.25">
      <c r="A2668" t="str">
        <f>"20190305135245060"</f>
        <v>20190305135245060</v>
      </c>
      <c r="B2668" t="str">
        <f>"1551765165052037"</f>
        <v>1551765165052037</v>
      </c>
      <c r="C2668" t="s">
        <v>40</v>
      </c>
      <c r="D2668">
        <v>4.9359780000000004</v>
      </c>
      <c r="E2668">
        <v>0.47130149999999998</v>
      </c>
      <c r="F2668" t="s">
        <v>55</v>
      </c>
      <c r="G2668">
        <v>-483.63249999999999</v>
      </c>
      <c r="H2668" s="1">
        <v>2.3545640000000001E-6</v>
      </c>
      <c r="I2668">
        <v>218.2799</v>
      </c>
      <c r="J2668">
        <v>-486.35019999999997</v>
      </c>
      <c r="K2668">
        <v>1.1082289999999999</v>
      </c>
      <c r="L2668">
        <v>263.36739999999998</v>
      </c>
      <c r="M2668">
        <v>-0.1938319</v>
      </c>
      <c r="N2668">
        <v>-9.8261459999999991E-3</v>
      </c>
      <c r="O2668">
        <v>-0.98098580000000002</v>
      </c>
      <c r="P2668">
        <v>-1.2011590000000001E-2</v>
      </c>
      <c r="Q2668">
        <v>-0.11772729999999999</v>
      </c>
      <c r="R2668">
        <v>-0.99297340000000001</v>
      </c>
      <c r="S2668">
        <v>0.17791750000000001</v>
      </c>
      <c r="T2668">
        <v>-7.3742870000000002E-2</v>
      </c>
      <c r="U2668">
        <v>-3.0151669999999999</v>
      </c>
      <c r="V2668">
        <v>-0.1808012</v>
      </c>
      <c r="W2668">
        <v>-0.10795009999999999</v>
      </c>
      <c r="X2668">
        <v>0.97757740000000004</v>
      </c>
      <c r="Y2668">
        <v>-0.25124360000000001</v>
      </c>
      <c r="Z2668">
        <v>1.3459499999999999E-2</v>
      </c>
      <c r="AA2668">
        <v>0.96783030000000003</v>
      </c>
      <c r="AB2668">
        <v>24</v>
      </c>
      <c r="AC2668">
        <v>2.7176999999999798</v>
      </c>
      <c r="AD2668">
        <v>-1.1082266454359999</v>
      </c>
      <c r="AE2668">
        <v>-45.087499999999899</v>
      </c>
      <c r="AF2668">
        <v>-11.3991068705052</v>
      </c>
      <c r="AG2668">
        <v>-1.1082266454359999</v>
      </c>
      <c r="AH2668">
        <v>43.679226133860197</v>
      </c>
      <c r="AI2668">
        <v>91.406311985305095</v>
      </c>
      <c r="AJ2668">
        <v>104.626432671595</v>
      </c>
      <c r="AK2668">
        <v>45.155759315902898</v>
      </c>
      <c r="AL2668">
        <v>96.197161660903006</v>
      </c>
      <c r="AM2668">
        <v>100.478349517463</v>
      </c>
      <c r="AN2668">
        <v>0.999999935501103</v>
      </c>
    </row>
    <row r="2669" spans="1:40" x14ac:dyDescent="0.25">
      <c r="A2669" t="str">
        <f>"20190305135245072"</f>
        <v>20190305135245072</v>
      </c>
      <c r="B2669" t="str">
        <f>"1551765165061799"</f>
        <v>1551765165061799</v>
      </c>
      <c r="C2669" t="s">
        <v>40</v>
      </c>
      <c r="D2669">
        <v>4.9418199999999999</v>
      </c>
      <c r="E2669">
        <v>0.47081030000000001</v>
      </c>
      <c r="F2669" t="s">
        <v>55</v>
      </c>
      <c r="G2669">
        <v>-483.9359</v>
      </c>
      <c r="H2669" s="1">
        <v>4.5370900000000003E-6</v>
      </c>
      <c r="I2669">
        <v>228.02340000000001</v>
      </c>
      <c r="J2669">
        <v>-486.37569999999999</v>
      </c>
      <c r="K2669">
        <v>1.108303</v>
      </c>
      <c r="L2669">
        <v>263.24009999999998</v>
      </c>
      <c r="M2669">
        <v>-0.19406229999999999</v>
      </c>
      <c r="N2669">
        <v>-9.8205319999999999E-3</v>
      </c>
      <c r="O2669">
        <v>-0.98094000000000003</v>
      </c>
      <c r="P2669">
        <v>-1.0144179999999999E-2</v>
      </c>
      <c r="Q2669">
        <v>-0.117755399999999</v>
      </c>
      <c r="R2669">
        <v>-0.99299099999999996</v>
      </c>
      <c r="S2669">
        <v>0.20577999999999999</v>
      </c>
      <c r="T2669">
        <v>-9.4457390000000002E-2</v>
      </c>
      <c r="U2669">
        <v>-3.0124819999999999</v>
      </c>
      <c r="V2669">
        <v>-0.18284619999999999</v>
      </c>
      <c r="W2669">
        <v>-0.108019</v>
      </c>
      <c r="X2669">
        <v>0.97718939999999999</v>
      </c>
      <c r="Y2669">
        <v>-0.26040679999999999</v>
      </c>
      <c r="Z2669">
        <v>1.9985889999999999E-2</v>
      </c>
      <c r="AA2669">
        <v>0.96529209999999999</v>
      </c>
      <c r="AB2669">
        <v>24</v>
      </c>
      <c r="AC2669">
        <v>2.4397999999999902</v>
      </c>
      <c r="AD2669">
        <v>-1.1082984629099999</v>
      </c>
      <c r="AE2669">
        <v>-35.216699999999904</v>
      </c>
      <c r="AF2669">
        <v>-9.2188897678281592</v>
      </c>
      <c r="AG2669">
        <v>-1.1082984629099999</v>
      </c>
      <c r="AH2669">
        <v>34.040088584766004</v>
      </c>
      <c r="AI2669">
        <v>91.800014142110101</v>
      </c>
      <c r="AJ2669">
        <v>105.15359620480901</v>
      </c>
      <c r="AK2669">
        <v>35.283762340387803</v>
      </c>
      <c r="AL2669">
        <v>96.201132280747899</v>
      </c>
      <c r="AM2669">
        <v>100.59831040230701</v>
      </c>
      <c r="AN2669">
        <v>0.99999998034389903</v>
      </c>
    </row>
    <row r="2670" spans="1:40" x14ac:dyDescent="0.25">
      <c r="A2670" t="str">
        <f>"20190305135245087"</f>
        <v>20190305135245087</v>
      </c>
      <c r="B2670" t="str">
        <f>"1551765165082293"</f>
        <v>1551765165082293</v>
      </c>
      <c r="C2670" t="s">
        <v>40</v>
      </c>
      <c r="D2670">
        <v>4.9095649999999997</v>
      </c>
      <c r="E2670">
        <v>0.46999400000000002</v>
      </c>
      <c r="F2670" t="s">
        <v>42</v>
      </c>
      <c r="G2670">
        <v>-484.05779999999999</v>
      </c>
      <c r="H2670" s="1">
        <v>-1.936613E-6</v>
      </c>
      <c r="I2670">
        <v>230.69280000000001</v>
      </c>
      <c r="J2670">
        <v>-486.40690000000001</v>
      </c>
      <c r="K2670">
        <v>1.1083959999999999</v>
      </c>
      <c r="L2670">
        <v>263.08339999999998</v>
      </c>
      <c r="M2670">
        <v>-0.1942757</v>
      </c>
      <c r="N2670">
        <v>-9.8141210000000003E-3</v>
      </c>
      <c r="O2670">
        <v>-0.98089800000000005</v>
      </c>
      <c r="P2670">
        <v>-8.2925829999999992E-3</v>
      </c>
      <c r="Q2670">
        <v>-0.117715899999999</v>
      </c>
      <c r="R2670">
        <v>-0.99301300000000003</v>
      </c>
      <c r="S2670">
        <v>0.214447</v>
      </c>
      <c r="T2670">
        <v>-0.102538</v>
      </c>
      <c r="U2670">
        <v>-3.0112000000000001</v>
      </c>
      <c r="V2670">
        <v>-0.1848534</v>
      </c>
      <c r="W2670">
        <v>-0.1080311</v>
      </c>
      <c r="X2670">
        <v>0.97681039999999997</v>
      </c>
      <c r="Y2670">
        <v>-0.26339990000000002</v>
      </c>
      <c r="Z2670">
        <v>2.2537060000000001E-2</v>
      </c>
      <c r="AA2670">
        <v>0.96442349999999999</v>
      </c>
      <c r="AB2670">
        <v>24</v>
      </c>
      <c r="AC2670">
        <v>2.3491000000000199</v>
      </c>
      <c r="AD2670">
        <v>-1.1083979366129999</v>
      </c>
      <c r="AE2670">
        <v>-32.3905999999999</v>
      </c>
      <c r="AF2670">
        <v>-8.5873438606992405</v>
      </c>
      <c r="AG2670">
        <v>-1.1083979366129999</v>
      </c>
      <c r="AH2670">
        <v>31.280568396754902</v>
      </c>
      <c r="AI2670">
        <v>91.957027200357501</v>
      </c>
      <c r="AJ2670">
        <v>105.351024196205</v>
      </c>
      <c r="AK2670">
        <v>32.456817154364302</v>
      </c>
      <c r="AL2670">
        <v>96.201829345031996</v>
      </c>
      <c r="AM2670">
        <v>100.716035566569</v>
      </c>
      <c r="AN2670">
        <v>1.00000002780346</v>
      </c>
    </row>
    <row r="2671" spans="1:40" x14ac:dyDescent="0.25">
      <c r="A2671" t="str">
        <f>"20190305135245105"</f>
        <v>20190305135245105</v>
      </c>
      <c r="B2671" t="str">
        <f>"1551765165101813"</f>
        <v>1551765165101813</v>
      </c>
      <c r="C2671" t="s">
        <v>40</v>
      </c>
      <c r="D2671">
        <v>4.9335570000000004</v>
      </c>
      <c r="E2671">
        <v>0.46970840000000003</v>
      </c>
      <c r="F2671" t="s">
        <v>42</v>
      </c>
      <c r="G2671">
        <v>-484.20760000000001</v>
      </c>
      <c r="H2671" s="1">
        <v>-2.9831150000000001E-6</v>
      </c>
      <c r="I2671">
        <v>233.8852</v>
      </c>
      <c r="J2671">
        <v>-486.44650000000001</v>
      </c>
      <c r="K2671">
        <v>1.1085160000000001</v>
      </c>
      <c r="L2671">
        <v>262.88479999999998</v>
      </c>
      <c r="M2671">
        <v>-0.1943956</v>
      </c>
      <c r="N2671">
        <v>-9.8070259999999999E-3</v>
      </c>
      <c r="O2671">
        <v>-0.98087420000000003</v>
      </c>
      <c r="P2671">
        <v>-3.6428039999999999E-3</v>
      </c>
      <c r="Q2671">
        <v>-0.1184011</v>
      </c>
      <c r="R2671">
        <v>-0.99295940000000005</v>
      </c>
      <c r="S2671">
        <v>0.22668460000000001</v>
      </c>
      <c r="T2671">
        <v>-0.11424239999999999</v>
      </c>
      <c r="U2671">
        <v>-3.0094599999999998</v>
      </c>
      <c r="V2671">
        <v>-0.18949060000000001</v>
      </c>
      <c r="W2671">
        <v>-0.1087881</v>
      </c>
      <c r="X2671">
        <v>0.97583730000000002</v>
      </c>
      <c r="Y2671">
        <v>-0.26744220000000002</v>
      </c>
      <c r="Z2671">
        <v>2.6229430000000001E-2</v>
      </c>
      <c r="AA2671">
        <v>0.96321679999999998</v>
      </c>
      <c r="AB2671">
        <v>24</v>
      </c>
      <c r="AC2671">
        <v>2.2389000000000001</v>
      </c>
      <c r="AD2671">
        <v>-1.108518983115</v>
      </c>
      <c r="AE2671">
        <v>-28.999599999999901</v>
      </c>
      <c r="AF2671">
        <v>-7.8224882276969101</v>
      </c>
      <c r="AG2671">
        <v>-1.108518983115</v>
      </c>
      <c r="AH2671">
        <v>27.970446312070901</v>
      </c>
      <c r="AI2671">
        <v>92.185762135870405</v>
      </c>
      <c r="AJ2671">
        <v>105.62469960223</v>
      </c>
      <c r="AK2671">
        <v>29.0648585633033</v>
      </c>
      <c r="AL2671">
        <v>96.245459646923905</v>
      </c>
      <c r="AM2671">
        <v>100.989082760622</v>
      </c>
      <c r="AN2671">
        <v>0.99999998713062899</v>
      </c>
    </row>
    <row r="2672" spans="1:40" x14ac:dyDescent="0.25">
      <c r="A2672" t="str">
        <f>"20190305135245121"</f>
        <v>20190305135245121</v>
      </c>
      <c r="B2672" t="str">
        <f>"1551765165112550"</f>
        <v>1551765165112550</v>
      </c>
      <c r="C2672" t="s">
        <v>40</v>
      </c>
      <c r="D2672">
        <v>5.0514449999999904</v>
      </c>
      <c r="E2672">
        <v>0.46938020000000003</v>
      </c>
      <c r="F2672" t="s">
        <v>42</v>
      </c>
      <c r="G2672">
        <v>-484.22680000000003</v>
      </c>
      <c r="H2672" s="1">
        <v>-3.4933390000000001E-6</v>
      </c>
      <c r="I2672">
        <v>235.3887</v>
      </c>
      <c r="J2672">
        <v>-486.4812</v>
      </c>
      <c r="K2672">
        <v>1.108609</v>
      </c>
      <c r="L2672">
        <v>262.70999999999998</v>
      </c>
      <c r="M2672">
        <v>-0.19436580000000001</v>
      </c>
      <c r="N2672">
        <v>-9.8016170000000003E-3</v>
      </c>
      <c r="O2672">
        <v>-0.98088010000000003</v>
      </c>
      <c r="P2672">
        <v>-8.3926369999999897E-4</v>
      </c>
      <c r="Q2672">
        <v>-0.1187921</v>
      </c>
      <c r="R2672">
        <v>-0.99291890000000005</v>
      </c>
      <c r="S2672">
        <v>0.24279790000000001</v>
      </c>
      <c r="T2672">
        <v>-0.1212568</v>
      </c>
      <c r="U2672">
        <v>-3.0076900000000002</v>
      </c>
      <c r="V2672">
        <v>-0.1921754</v>
      </c>
      <c r="W2672">
        <v>-0.109239</v>
      </c>
      <c r="X2672">
        <v>0.97526170000000001</v>
      </c>
      <c r="Y2672">
        <v>-0.2725709</v>
      </c>
      <c r="Z2672">
        <v>2.8429490000000002E-2</v>
      </c>
      <c r="AA2672">
        <v>0.9617156</v>
      </c>
      <c r="AB2672">
        <v>25</v>
      </c>
      <c r="AC2672">
        <v>2.2543999999999702</v>
      </c>
      <c r="AD2672">
        <v>-1.108612493339</v>
      </c>
      <c r="AE2672">
        <v>-27.321299999999901</v>
      </c>
      <c r="AF2672">
        <v>-7.5097031445615201</v>
      </c>
      <c r="AG2672">
        <v>-1.108612493339</v>
      </c>
      <c r="AH2672">
        <v>26.3189681583358</v>
      </c>
      <c r="AI2672">
        <v>92.319529353546599</v>
      </c>
      <c r="AJ2672">
        <v>105.925263002333</v>
      </c>
      <c r="AK2672">
        <v>27.391837249431099</v>
      </c>
      <c r="AL2672">
        <v>96.271449354264305</v>
      </c>
      <c r="AM2672">
        <v>101.14732361444599</v>
      </c>
      <c r="AN2672">
        <v>0.99999996348652398</v>
      </c>
    </row>
    <row r="2673" spans="1:40" x14ac:dyDescent="0.25">
      <c r="A2673" t="str">
        <f>"20190305135245138"</f>
        <v>20190305135245138</v>
      </c>
      <c r="B2673" t="str">
        <f>"1551765165132069"</f>
        <v>1551765165132069</v>
      </c>
      <c r="C2673" t="s">
        <v>40</v>
      </c>
      <c r="D2673">
        <v>4.9253220000000004</v>
      </c>
      <c r="E2673">
        <v>0.46954079999999898</v>
      </c>
      <c r="F2673" t="s">
        <v>42</v>
      </c>
      <c r="G2673">
        <v>-484.19909999999999</v>
      </c>
      <c r="H2673" s="1">
        <v>-3.6347710000000002E-6</v>
      </c>
      <c r="I2673">
        <v>235.70689999999999</v>
      </c>
      <c r="J2673">
        <v>-486.51780000000002</v>
      </c>
      <c r="K2673">
        <v>1.108711</v>
      </c>
      <c r="L2673">
        <v>262.52499999999998</v>
      </c>
      <c r="M2673">
        <v>-0.19423299999999999</v>
      </c>
      <c r="N2673">
        <v>-9.7964880000000008E-3</v>
      </c>
      <c r="O2673">
        <v>-0.98090650000000001</v>
      </c>
      <c r="P2673">
        <v>4.4942460000000004E-3</v>
      </c>
      <c r="Q2673">
        <v>-0.1190243</v>
      </c>
      <c r="R2673">
        <v>-0.99288109999999996</v>
      </c>
      <c r="S2673">
        <v>0.25411990000000001</v>
      </c>
      <c r="T2673">
        <v>-0.1234469</v>
      </c>
      <c r="U2673">
        <v>-3.006866</v>
      </c>
      <c r="V2673">
        <v>-0.19723940000000001</v>
      </c>
      <c r="W2673">
        <v>-0.1095373</v>
      </c>
      <c r="X2673">
        <v>0.97421670000000005</v>
      </c>
      <c r="Y2673">
        <v>-0.27605289999999999</v>
      </c>
      <c r="Z2673">
        <v>2.910774E-2</v>
      </c>
      <c r="AA2673">
        <v>0.96070160000000004</v>
      </c>
      <c r="AB2673">
        <v>25</v>
      </c>
      <c r="AC2673">
        <v>2.31870000000003</v>
      </c>
      <c r="AD2673">
        <v>-1.108714634771</v>
      </c>
      <c r="AE2673">
        <v>-26.818099999999902</v>
      </c>
      <c r="AF2673">
        <v>-7.4710725366194097</v>
      </c>
      <c r="AG2673">
        <v>-1.108714634771</v>
      </c>
      <c r="AH2673">
        <v>25.813129958189101</v>
      </c>
      <c r="AI2673">
        <v>92.362583090790196</v>
      </c>
      <c r="AJ2673">
        <v>106.141984973086</v>
      </c>
      <c r="AK2673">
        <v>26.895424354844199</v>
      </c>
      <c r="AL2673">
        <v>96.288643702336401</v>
      </c>
      <c r="AM2673">
        <v>101.44536570556799</v>
      </c>
      <c r="AN2673">
        <v>0.99999998978127003</v>
      </c>
    </row>
    <row r="2674" spans="1:40" x14ac:dyDescent="0.25">
      <c r="A2674" t="str">
        <f>"20190305135245152"</f>
        <v>20190305135245152</v>
      </c>
      <c r="B2674" t="str">
        <f>"1551765165142808"</f>
        <v>1551765165142808</v>
      </c>
      <c r="C2674" t="s">
        <v>40</v>
      </c>
      <c r="D2674">
        <v>5.3316919999999897</v>
      </c>
      <c r="E2674">
        <v>0.46954079999999898</v>
      </c>
      <c r="F2674" t="s">
        <v>42</v>
      </c>
      <c r="G2674">
        <v>-484.15690000000001</v>
      </c>
      <c r="H2674" s="1">
        <v>-3.8339489999999997E-6</v>
      </c>
      <c r="I2674">
        <v>236.15379999999999</v>
      </c>
      <c r="J2674">
        <v>-486.54649999999998</v>
      </c>
      <c r="K2674">
        <v>1.1087899999999999</v>
      </c>
      <c r="L2674">
        <v>262.37950000000001</v>
      </c>
      <c r="M2674">
        <v>-0.1940452</v>
      </c>
      <c r="N2674">
        <v>-9.7928749999999995E-3</v>
      </c>
      <c r="O2674">
        <v>-0.98094389999999998</v>
      </c>
      <c r="P2674">
        <v>7.1041680000000001E-3</v>
      </c>
      <c r="Q2674">
        <v>-0.118893</v>
      </c>
      <c r="R2674">
        <v>-0.99288200000000004</v>
      </c>
      <c r="S2674">
        <v>0.26904299999999998</v>
      </c>
      <c r="T2674">
        <v>-0.1263444</v>
      </c>
      <c r="U2674">
        <v>-3.0051570000000001</v>
      </c>
      <c r="V2674">
        <v>-0.1995912</v>
      </c>
      <c r="W2674">
        <v>-0.1094552</v>
      </c>
      <c r="X2674">
        <v>0.97374680000000002</v>
      </c>
      <c r="Y2674">
        <v>-0.28064109999999998</v>
      </c>
      <c r="Z2674">
        <v>3.0008610000000002E-2</v>
      </c>
      <c r="AA2674">
        <v>0.95934359999999996</v>
      </c>
      <c r="AB2674">
        <v>25</v>
      </c>
      <c r="AC2674">
        <v>2.38959999999997</v>
      </c>
      <c r="AD2674">
        <v>-1.108793833949</v>
      </c>
      <c r="AE2674">
        <v>-26.2257</v>
      </c>
      <c r="AF2674">
        <v>-7.4202352918170602</v>
      </c>
      <c r="AG2674">
        <v>-1.108793833949</v>
      </c>
      <c r="AH2674">
        <v>25.218749224177799</v>
      </c>
      <c r="AI2674">
        <v>92.415254256718995</v>
      </c>
      <c r="AJ2674">
        <v>106.39572154879799</v>
      </c>
      <c r="AK2674">
        <v>26.311112252888499</v>
      </c>
      <c r="AL2674">
        <v>96.283911456457105</v>
      </c>
      <c r="AM2674">
        <v>101.58360758004299</v>
      </c>
      <c r="AN2674">
        <v>0.99999995921735896</v>
      </c>
    </row>
    <row r="2675" spans="1:40" x14ac:dyDescent="0.25">
      <c r="A2675" t="str">
        <f>"20190305135245172"</f>
        <v>20190305135245172</v>
      </c>
      <c r="B2675" t="str">
        <f>"1551765165162341"</f>
        <v>1551765165162341</v>
      </c>
      <c r="C2675" t="s">
        <v>40</v>
      </c>
      <c r="D2675">
        <v>4.7154930000000004</v>
      </c>
      <c r="E2675">
        <v>0.46961320000000001</v>
      </c>
      <c r="F2675" t="s">
        <v>42</v>
      </c>
      <c r="G2675">
        <v>-484.1078</v>
      </c>
      <c r="H2675" s="1">
        <v>-3.7388909999999999E-6</v>
      </c>
      <c r="I2675">
        <v>235.9119</v>
      </c>
      <c r="J2675">
        <v>-486.58969999999999</v>
      </c>
      <c r="K2675">
        <v>1.108908</v>
      </c>
      <c r="L2675">
        <v>262.15949999999998</v>
      </c>
      <c r="M2675">
        <v>-0.19361</v>
      </c>
      <c r="N2675">
        <v>-9.7862959999999999E-3</v>
      </c>
      <c r="O2675">
        <v>-0.98102990000000001</v>
      </c>
      <c r="P2675">
        <v>1.299636E-2</v>
      </c>
      <c r="Q2675">
        <v>-0.1191557</v>
      </c>
      <c r="R2675">
        <v>-0.99279079999999997</v>
      </c>
      <c r="S2675">
        <v>0.27682499999999999</v>
      </c>
      <c r="T2675">
        <v>-0.125864</v>
      </c>
      <c r="U2675">
        <v>-3.0044559999999998</v>
      </c>
      <c r="V2675">
        <v>-0.2048884</v>
      </c>
      <c r="W2675">
        <v>-0.10980280000000001</v>
      </c>
      <c r="X2675">
        <v>0.97260679999999999</v>
      </c>
      <c r="Y2675">
        <v>-0.28269919999999998</v>
      </c>
      <c r="Z2675">
        <v>2.985879E-2</v>
      </c>
      <c r="AA2675">
        <v>0.95874380000000003</v>
      </c>
      <c r="AB2675">
        <v>25</v>
      </c>
      <c r="AC2675">
        <v>2.4818999999999898</v>
      </c>
      <c r="AD2675">
        <v>-1.1089117388909999</v>
      </c>
      <c r="AE2675">
        <v>-26.247599999999899</v>
      </c>
      <c r="AF2675">
        <v>-7.5037002094248697</v>
      </c>
      <c r="AG2675">
        <v>-1.1089117388909999</v>
      </c>
      <c r="AH2675">
        <v>25.225739968232102</v>
      </c>
      <c r="AI2675">
        <v>92.412725582794593</v>
      </c>
      <c r="AJ2675">
        <v>106.565743806963</v>
      </c>
      <c r="AK2675">
        <v>26.341472225796998</v>
      </c>
      <c r="AL2675">
        <v>96.303948302832794</v>
      </c>
      <c r="AM2675">
        <v>101.895938808894</v>
      </c>
      <c r="AN2675">
        <v>0.99999994937431802</v>
      </c>
    </row>
    <row r="2676" spans="1:40" x14ac:dyDescent="0.25">
      <c r="A2676" t="str">
        <f>"20190305135245184"</f>
        <v>20190305135245184</v>
      </c>
      <c r="B2676" t="str">
        <f>"1551765165181846"</f>
        <v>1551765165181846</v>
      </c>
      <c r="C2676" t="s">
        <v>40</v>
      </c>
      <c r="D2676">
        <v>4.7982820000000004</v>
      </c>
      <c r="E2676">
        <v>0.404974</v>
      </c>
      <c r="F2676" t="s">
        <v>42</v>
      </c>
      <c r="G2676">
        <v>-483.98</v>
      </c>
      <c r="H2676" s="1">
        <v>-3.5825329999999999E-6</v>
      </c>
      <c r="I2676">
        <v>235.46860000000001</v>
      </c>
      <c r="J2676">
        <v>-486.61619999999999</v>
      </c>
      <c r="K2676">
        <v>1.1089850000000001</v>
      </c>
      <c r="L2676">
        <v>262.02350000000001</v>
      </c>
      <c r="M2676">
        <v>-0.19327069999999999</v>
      </c>
      <c r="N2676">
        <v>-9.7804640000000009E-3</v>
      </c>
      <c r="O2676">
        <v>-0.98109679999999999</v>
      </c>
      <c r="P2676">
        <v>1.5886299999999999E-2</v>
      </c>
      <c r="Q2676">
        <v>-0.11914569999999999</v>
      </c>
      <c r="R2676">
        <v>-0.99274980000000002</v>
      </c>
      <c r="S2676">
        <v>0.29360960000000003</v>
      </c>
      <c r="T2676">
        <v>-0.1247622</v>
      </c>
      <c r="U2676">
        <v>-3.0029599999999999</v>
      </c>
      <c r="V2676">
        <v>-0.20735770000000001</v>
      </c>
      <c r="W2676">
        <v>-0.10984679999999999</v>
      </c>
      <c r="X2676">
        <v>0.97207840000000001</v>
      </c>
      <c r="Y2676">
        <v>-0.28771829999999998</v>
      </c>
      <c r="Z2676">
        <v>2.9494280000000001E-2</v>
      </c>
      <c r="AA2676">
        <v>0.95726080000000002</v>
      </c>
      <c r="AB2676">
        <v>25</v>
      </c>
      <c r="AC2676">
        <v>2.6361999999999699</v>
      </c>
      <c r="AD2676">
        <v>-1.1089885825329999</v>
      </c>
      <c r="AE2676">
        <v>-26.5549</v>
      </c>
      <c r="AF2676">
        <v>-7.70571193553205</v>
      </c>
      <c r="AG2676">
        <v>-1.1089885825329999</v>
      </c>
      <c r="AH2676">
        <v>25.500606151632802</v>
      </c>
      <c r="AI2676">
        <v>92.383823982020502</v>
      </c>
      <c r="AJ2676">
        <v>106.813640861037</v>
      </c>
      <c r="AK2676">
        <v>26.662497373844801</v>
      </c>
      <c r="AL2676">
        <v>96.306484494459895</v>
      </c>
      <c r="AM2676">
        <v>102.041502570291</v>
      </c>
      <c r="AN2676">
        <v>0.99999997548304398</v>
      </c>
    </row>
    <row r="2677" spans="1:40" x14ac:dyDescent="0.25">
      <c r="A2677" t="str">
        <f>"20190305135245204"</f>
        <v>20190305135245204</v>
      </c>
      <c r="B2677" t="str">
        <f>"1551765165192581"</f>
        <v>1551765165192581</v>
      </c>
      <c r="C2677" t="s">
        <v>40</v>
      </c>
      <c r="D2677">
        <v>4.7171159999999999</v>
      </c>
      <c r="E2677">
        <v>0.40626129999999999</v>
      </c>
      <c r="F2677" t="s">
        <v>47</v>
      </c>
      <c r="G2677">
        <v>-467.73570000000001</v>
      </c>
      <c r="H2677">
        <v>-0.05</v>
      </c>
      <c r="I2677">
        <v>193.10740000000001</v>
      </c>
      <c r="J2677">
        <v>-486.65690000000001</v>
      </c>
      <c r="K2677">
        <v>1.1091040000000001</v>
      </c>
      <c r="L2677">
        <v>261.81389999999999</v>
      </c>
      <c r="M2677">
        <v>-0.19260679999999999</v>
      </c>
      <c r="N2677">
        <v>-9.7703340000000003E-3</v>
      </c>
      <c r="O2677">
        <v>-0.98122759999999998</v>
      </c>
      <c r="P2677">
        <v>2.1540650000000001E-2</v>
      </c>
      <c r="Q2677">
        <v>-0.11988890000000001</v>
      </c>
      <c r="R2677">
        <v>-0.99255369999999998</v>
      </c>
      <c r="S2677">
        <v>0.82263180000000002</v>
      </c>
      <c r="T2677">
        <v>-5.0497649999999998E-2</v>
      </c>
      <c r="U2677">
        <v>-3.0027159999999999</v>
      </c>
      <c r="V2677">
        <v>-0.21217739999999999</v>
      </c>
      <c r="W2677">
        <v>-0.1106789</v>
      </c>
      <c r="X2677">
        <v>0.97094329999999995</v>
      </c>
      <c r="Y2677">
        <v>-0.44498870000000001</v>
      </c>
      <c r="Z2677">
        <v>5.1520009999999998E-3</v>
      </c>
      <c r="AA2677">
        <v>0.89552140000000002</v>
      </c>
      <c r="AB2677">
        <v>25</v>
      </c>
      <c r="AC2677">
        <v>18.921199999999999</v>
      </c>
      <c r="AD2677">
        <v>-1.1591039999999999</v>
      </c>
      <c r="AE2677">
        <v>-68.706499999999906</v>
      </c>
      <c r="AF2677">
        <v>-31.792443061192699</v>
      </c>
      <c r="AG2677">
        <v>-1.1591039999999999</v>
      </c>
      <c r="AH2677">
        <v>63.758525215216999</v>
      </c>
      <c r="AI2677">
        <v>90.932072750731606</v>
      </c>
      <c r="AJ2677">
        <v>116.502601771082</v>
      </c>
      <c r="AK2677">
        <v>71.254841909174601</v>
      </c>
      <c r="AL2677">
        <v>96.354452775656398</v>
      </c>
      <c r="AM2677">
        <v>102.326897367661</v>
      </c>
      <c r="AN2677">
        <v>0.99999997989542899</v>
      </c>
    </row>
    <row r="2678" spans="1:40" x14ac:dyDescent="0.25">
      <c r="A2678" t="str">
        <f>"20190305135245218"</f>
        <v>20190305135245218</v>
      </c>
      <c r="B2678" t="str">
        <f>"1551765165212102"</f>
        <v>1551765165212102</v>
      </c>
      <c r="C2678" t="s">
        <v>40</v>
      </c>
      <c r="D2678">
        <v>4.7635800000000001</v>
      </c>
      <c r="E2678">
        <v>0.40807909999999997</v>
      </c>
      <c r="F2678" t="s">
        <v>70</v>
      </c>
      <c r="G2678">
        <v>-468.81729999999999</v>
      </c>
      <c r="H2678">
        <v>0.23289009999999999</v>
      </c>
      <c r="I2678">
        <v>197.345</v>
      </c>
      <c r="J2678">
        <v>-486.68599999999998</v>
      </c>
      <c r="K2678">
        <v>1.1091879999999901</v>
      </c>
      <c r="L2678">
        <v>261.6628</v>
      </c>
      <c r="M2678">
        <v>-0.19203200000000001</v>
      </c>
      <c r="N2678">
        <v>-9.7608690000000001E-3</v>
      </c>
      <c r="O2678">
        <v>-0.98134030000000005</v>
      </c>
      <c r="P2678">
        <v>2.480367E-2</v>
      </c>
      <c r="Q2678">
        <v>-0.1199829</v>
      </c>
      <c r="R2678">
        <v>-0.99246630000000002</v>
      </c>
      <c r="S2678">
        <v>0.8300476</v>
      </c>
      <c r="T2678">
        <v>-4.0766719999999999E-2</v>
      </c>
      <c r="U2678">
        <v>-2.999603</v>
      </c>
      <c r="V2678">
        <v>-0.21477209999999999</v>
      </c>
      <c r="W2678">
        <v>-0.1108353</v>
      </c>
      <c r="X2678">
        <v>0.97035490000000002</v>
      </c>
      <c r="Y2678">
        <v>-0.44676759999999899</v>
      </c>
      <c r="Z2678">
        <v>2.239558E-3</v>
      </c>
      <c r="AA2678">
        <v>0.89464719999999998</v>
      </c>
      <c r="AB2678">
        <v>25</v>
      </c>
      <c r="AC2678">
        <v>17.868699999999901</v>
      </c>
      <c r="AD2678">
        <v>-0.87629789999999896</v>
      </c>
      <c r="AE2678">
        <v>-64.317800000000005</v>
      </c>
      <c r="AF2678">
        <v>-29.882620232382099</v>
      </c>
      <c r="AG2678">
        <v>-0.87629789999999896</v>
      </c>
      <c r="AH2678">
        <v>59.678835825223601</v>
      </c>
      <c r="AI2678">
        <v>90.7522259118482</v>
      </c>
      <c r="AJ2678">
        <v>116.598223322216</v>
      </c>
      <c r="AK2678">
        <v>66.748051173171405</v>
      </c>
      <c r="AL2678">
        <v>96.363468700267305</v>
      </c>
      <c r="AM2678">
        <v>102.480277816195</v>
      </c>
      <c r="AN2678">
        <v>1.0000000753092499</v>
      </c>
    </row>
    <row r="2679" spans="1:40" x14ac:dyDescent="0.25">
      <c r="A2679" t="str">
        <f>"20190305135245230"</f>
        <v>20190305135245230</v>
      </c>
      <c r="B2679" t="str">
        <f>"1551765165221861"</f>
        <v>1551765165221861</v>
      </c>
      <c r="C2679" t="s">
        <v>40</v>
      </c>
      <c r="D2679">
        <v>4.7321900000000001</v>
      </c>
      <c r="E2679">
        <v>0.40940460000000001</v>
      </c>
      <c r="F2679" t="s">
        <v>70</v>
      </c>
      <c r="G2679">
        <v>-468.95670000000001</v>
      </c>
      <c r="H2679">
        <v>0.88063049999999998</v>
      </c>
      <c r="I2679">
        <v>197.345</v>
      </c>
      <c r="J2679">
        <v>-486.71100000000001</v>
      </c>
      <c r="K2679">
        <v>1.109259</v>
      </c>
      <c r="L2679">
        <v>261.53230000000002</v>
      </c>
      <c r="M2679">
        <v>-0.19149669999999999</v>
      </c>
      <c r="N2679">
        <v>-9.7509450000000004E-3</v>
      </c>
      <c r="O2679">
        <v>-0.98144500000000001</v>
      </c>
      <c r="P2679">
        <v>2.7733379999999998E-2</v>
      </c>
      <c r="Q2679">
        <v>-0.1199148</v>
      </c>
      <c r="R2679">
        <v>-0.99239690000000003</v>
      </c>
      <c r="S2679">
        <v>0.827179</v>
      </c>
      <c r="T2679">
        <v>-1.0661840000000001E-2</v>
      </c>
      <c r="U2679">
        <v>-3.0007929999999998</v>
      </c>
      <c r="V2679">
        <v>-0.21708710000000001</v>
      </c>
      <c r="W2679">
        <v>-0.1108223</v>
      </c>
      <c r="X2679">
        <v>0.96984099999999995</v>
      </c>
      <c r="Y2679">
        <v>-0.44540950000000001</v>
      </c>
      <c r="Z2679">
        <v>-6.8017279999999999E-3</v>
      </c>
      <c r="AA2679">
        <v>0.89530109999999996</v>
      </c>
      <c r="AB2679">
        <v>25</v>
      </c>
      <c r="AC2679">
        <v>17.754300000000001</v>
      </c>
      <c r="AD2679">
        <v>-0.22862849999999901</v>
      </c>
      <c r="AE2679">
        <v>-64.187299999999993</v>
      </c>
      <c r="AF2679">
        <v>-29.717582422940598</v>
      </c>
      <c r="AG2679">
        <v>-0.22862849999999901</v>
      </c>
      <c r="AH2679">
        <v>59.598535255338099</v>
      </c>
      <c r="AI2679">
        <v>90.1966973914422</v>
      </c>
      <c r="AJ2679">
        <v>116.502193486316</v>
      </c>
      <c r="AK2679">
        <v>66.597089881143205</v>
      </c>
      <c r="AL2679">
        <v>96.362719858427198</v>
      </c>
      <c r="AM2679">
        <v>102.616988584412</v>
      </c>
      <c r="AN2679">
        <v>0.99999997822234898</v>
      </c>
    </row>
    <row r="2680" spans="1:40" x14ac:dyDescent="0.25">
      <c r="A2680" t="str">
        <f>"20190305135245251"</f>
        <v>20190305135245251</v>
      </c>
      <c r="B2680" t="str">
        <f>"1551765165242357"</f>
        <v>1551765165242357</v>
      </c>
      <c r="C2680" t="s">
        <v>40</v>
      </c>
      <c r="D2680">
        <v>4.8059789999999998</v>
      </c>
      <c r="E2680">
        <v>0.41090739999999998</v>
      </c>
      <c r="F2680" t="s">
        <v>70</v>
      </c>
      <c r="G2680">
        <v>-469.03210000000001</v>
      </c>
      <c r="H2680">
        <v>0.95749379999999995</v>
      </c>
      <c r="I2680">
        <v>197.345</v>
      </c>
      <c r="J2680">
        <v>-486.75479999999999</v>
      </c>
      <c r="K2680">
        <v>1.1093679999999999</v>
      </c>
      <c r="L2680">
        <v>261.3021</v>
      </c>
      <c r="M2680">
        <v>-0.1904381</v>
      </c>
      <c r="N2680">
        <v>-9.7276340000000006E-3</v>
      </c>
      <c r="O2680">
        <v>-0.98165119999999895</v>
      </c>
      <c r="P2680">
        <v>3.3629829999999999E-2</v>
      </c>
      <c r="Q2680">
        <v>-0.1186605</v>
      </c>
      <c r="R2680">
        <v>-0.99236539999999995</v>
      </c>
      <c r="S2680">
        <v>0.82601930000000001</v>
      </c>
      <c r="T2680">
        <v>-7.0892569999999999E-3</v>
      </c>
      <c r="U2680">
        <v>-2.9990230000000002</v>
      </c>
      <c r="V2680">
        <v>-0.22179740000000001</v>
      </c>
      <c r="W2680">
        <v>-0.109666899999999</v>
      </c>
      <c r="X2680">
        <v>0.96890620000000005</v>
      </c>
      <c r="Y2680">
        <v>-0.44425769999999998</v>
      </c>
      <c r="Z2680">
        <v>-7.8482259999999998E-3</v>
      </c>
      <c r="AA2680">
        <v>0.89586469999999896</v>
      </c>
      <c r="AB2680">
        <v>25</v>
      </c>
      <c r="AC2680">
        <v>17.7226999999999</v>
      </c>
      <c r="AD2680">
        <v>-0.15187419999999999</v>
      </c>
      <c r="AE2680">
        <v>-63.957099999999997</v>
      </c>
      <c r="AF2680">
        <v>-29.578617388458301</v>
      </c>
      <c r="AG2680">
        <v>-0.15187419999999999</v>
      </c>
      <c r="AH2680">
        <v>59.410975399367899</v>
      </c>
      <c r="AI2680">
        <v>90.131115694951404</v>
      </c>
      <c r="AJ2680">
        <v>116.46708489050999</v>
      </c>
      <c r="AK2680">
        <v>66.367022460629698</v>
      </c>
      <c r="AL2680">
        <v>96.296113734274698</v>
      </c>
      <c r="AM2680">
        <v>102.893721298082</v>
      </c>
      <c r="AN2680">
        <v>1.0000000700003999</v>
      </c>
    </row>
    <row r="2681" spans="1:40" x14ac:dyDescent="0.25">
      <c r="A2681" t="str">
        <f>"20190305135245263"</f>
        <v>20190305135245263</v>
      </c>
      <c r="B2681" t="str">
        <f>"1551765165252276"</f>
        <v>1551765165252276</v>
      </c>
      <c r="C2681" t="s">
        <v>40</v>
      </c>
      <c r="D2681">
        <v>4.7947379999999997</v>
      </c>
      <c r="E2681">
        <v>0.41159069999999998</v>
      </c>
      <c r="F2681" t="s">
        <v>70</v>
      </c>
      <c r="G2681">
        <v>-468.9898</v>
      </c>
      <c r="H2681">
        <v>0.98936080000000004</v>
      </c>
      <c r="I2681">
        <v>197.345</v>
      </c>
      <c r="J2681">
        <v>-486.77969999999999</v>
      </c>
      <c r="K2681">
        <v>1.109423</v>
      </c>
      <c r="L2681">
        <v>261.1705</v>
      </c>
      <c r="M2681">
        <v>-0.18978529999999999</v>
      </c>
      <c r="N2681">
        <v>-9.7116149999999998E-3</v>
      </c>
      <c r="O2681">
        <v>-0.98177780000000003</v>
      </c>
      <c r="P2681">
        <v>3.6511670000000003E-2</v>
      </c>
      <c r="Q2681">
        <v>-0.117912</v>
      </c>
      <c r="R2681">
        <v>-0.99235269999999998</v>
      </c>
      <c r="S2681">
        <v>0.83169559999999998</v>
      </c>
      <c r="T2681">
        <v>-5.6166649999999999E-3</v>
      </c>
      <c r="U2681">
        <v>-2.9942319999999998</v>
      </c>
      <c r="V2681">
        <v>-0.22396750000000001</v>
      </c>
      <c r="W2681">
        <v>-0.1089719</v>
      </c>
      <c r="X2681">
        <v>0.96848520000000005</v>
      </c>
      <c r="Y2681">
        <v>-0.4456059</v>
      </c>
      <c r="Z2681">
        <v>-8.2746599999999997E-3</v>
      </c>
      <c r="AA2681">
        <v>0.89519099999999996</v>
      </c>
      <c r="AB2681">
        <v>25</v>
      </c>
      <c r="AC2681">
        <v>17.7898999999999</v>
      </c>
      <c r="AD2681">
        <v>-0.12006219999999999</v>
      </c>
      <c r="AE2681">
        <v>-63.825499999999998</v>
      </c>
      <c r="AF2681">
        <v>-29.580162121861701</v>
      </c>
      <c r="AG2681">
        <v>-0.12006219999999999</v>
      </c>
      <c r="AH2681">
        <v>59.2887862195089</v>
      </c>
      <c r="AI2681">
        <v>90.103821898055301</v>
      </c>
      <c r="AJ2681">
        <v>116.515372183148</v>
      </c>
      <c r="AK2681">
        <v>66.258286858853495</v>
      </c>
      <c r="AL2681">
        <v>96.256053830826701</v>
      </c>
      <c r="AM2681">
        <v>103.021064797568</v>
      </c>
      <c r="AN2681">
        <v>0.99999994933244796</v>
      </c>
    </row>
    <row r="2682" spans="1:40" x14ac:dyDescent="0.25">
      <c r="A2682" t="str">
        <f>"20190305135245277"</f>
        <v>20190305135245277</v>
      </c>
      <c r="B2682" t="str">
        <f>"1551765165272771"</f>
        <v>1551765165272771</v>
      </c>
      <c r="C2682" t="s">
        <v>40</v>
      </c>
      <c r="D2682">
        <v>4.7598279999999997</v>
      </c>
      <c r="E2682">
        <v>0.41313490000000003</v>
      </c>
      <c r="F2682" t="s">
        <v>70</v>
      </c>
      <c r="G2682">
        <v>-468.96519999999998</v>
      </c>
      <c r="H2682">
        <v>1.019825</v>
      </c>
      <c r="I2682">
        <v>197.345</v>
      </c>
      <c r="J2682">
        <v>-486.80779999999999</v>
      </c>
      <c r="K2682">
        <v>1.109472</v>
      </c>
      <c r="L2682">
        <v>261.02080000000001</v>
      </c>
      <c r="M2682">
        <v>-0.1889904</v>
      </c>
      <c r="N2682">
        <v>-9.690242E-3</v>
      </c>
      <c r="O2682">
        <v>-0.9819312</v>
      </c>
      <c r="P2682">
        <v>3.9465430000000003E-2</v>
      </c>
      <c r="Q2682">
        <v>-0.11708780000000001</v>
      </c>
      <c r="R2682">
        <v>-0.99233729999999998</v>
      </c>
      <c r="S2682">
        <v>0.83508300000000002</v>
      </c>
      <c r="T2682">
        <v>-4.1984320000000002E-3</v>
      </c>
      <c r="U2682">
        <v>-2.9919129999999998</v>
      </c>
      <c r="V2682">
        <v>-0.22607060000000001</v>
      </c>
      <c r="W2682">
        <v>-0.1082038</v>
      </c>
      <c r="X2682">
        <v>0.96808269999999996</v>
      </c>
      <c r="Y2682">
        <v>-0.44600070000000003</v>
      </c>
      <c r="Z2682">
        <v>-8.6795859999999996E-3</v>
      </c>
      <c r="AA2682">
        <v>0.89499050000000002</v>
      </c>
      <c r="AB2682">
        <v>25</v>
      </c>
      <c r="AC2682">
        <v>17.842600000000001</v>
      </c>
      <c r="AD2682">
        <v>-8.9647000000000004E-2</v>
      </c>
      <c r="AE2682">
        <v>-63.675800000000002</v>
      </c>
      <c r="AF2682">
        <v>-29.5556516388462</v>
      </c>
      <c r="AG2682">
        <v>-8.9647000000000004E-2</v>
      </c>
      <c r="AH2682">
        <v>59.155838794477802</v>
      </c>
      <c r="AI2682">
        <v>90.077673143313703</v>
      </c>
      <c r="AJ2682">
        <v>116.547794511346</v>
      </c>
      <c r="AK2682">
        <v>66.128343725362498</v>
      </c>
      <c r="AL2682">
        <v>96.211782555795907</v>
      </c>
      <c r="AM2682">
        <v>103.144385320464</v>
      </c>
      <c r="AN2682">
        <v>1.0000000462790399</v>
      </c>
    </row>
    <row r="2683" spans="1:40" x14ac:dyDescent="0.25">
      <c r="A2683" t="str">
        <f>"20190305135245295"</f>
        <v>20190305135245295</v>
      </c>
      <c r="B2683" t="str">
        <f>"1551765165292292"</f>
        <v>1551765165292292</v>
      </c>
      <c r="C2683" t="s">
        <v>40</v>
      </c>
      <c r="D2683">
        <v>4.7363799999999996</v>
      </c>
      <c r="E2683">
        <v>0.4146649</v>
      </c>
      <c r="F2683" t="s">
        <v>70</v>
      </c>
      <c r="G2683">
        <v>-469.08929999999998</v>
      </c>
      <c r="H2683">
        <v>0.99206300000000003</v>
      </c>
      <c r="I2683">
        <v>197.345</v>
      </c>
      <c r="J2683">
        <v>-486.84309999999999</v>
      </c>
      <c r="K2683">
        <v>1.1095250000000001</v>
      </c>
      <c r="L2683">
        <v>260.83100000000002</v>
      </c>
      <c r="M2683">
        <v>-0.1879353</v>
      </c>
      <c r="N2683">
        <v>-9.6552819999999994E-3</v>
      </c>
      <c r="O2683">
        <v>-0.98213399999999995</v>
      </c>
      <c r="P2683">
        <v>4.3963990000000001E-2</v>
      </c>
      <c r="Q2683">
        <v>-0.1162535</v>
      </c>
      <c r="R2683">
        <v>-0.99224630000000003</v>
      </c>
      <c r="S2683">
        <v>0.83184809999999998</v>
      </c>
      <c r="T2683">
        <v>-5.5104489999999997E-3</v>
      </c>
      <c r="U2683">
        <v>-2.9894409999999998</v>
      </c>
      <c r="V2683">
        <v>-0.22942019999999999</v>
      </c>
      <c r="W2683">
        <v>-0.1074471</v>
      </c>
      <c r="X2683">
        <v>0.96737870000000004</v>
      </c>
      <c r="Y2683">
        <v>-0.44433159999999999</v>
      </c>
      <c r="Z2683">
        <v>-8.242638E-3</v>
      </c>
      <c r="AA2683">
        <v>0.89582450000000002</v>
      </c>
      <c r="AB2683">
        <v>25</v>
      </c>
      <c r="AC2683">
        <v>17.753799999999998</v>
      </c>
      <c r="AD2683">
        <v>-0.117462</v>
      </c>
      <c r="AE2683">
        <v>-63.485999999999898</v>
      </c>
      <c r="AF2683">
        <v>-29.369145415782398</v>
      </c>
      <c r="AG2683">
        <v>-0.117462</v>
      </c>
      <c r="AH2683">
        <v>59.0177542225655</v>
      </c>
      <c r="AI2683">
        <v>90.102092206526805</v>
      </c>
      <c r="AJ2683">
        <v>116.45642466340399</v>
      </c>
      <c r="AK2683">
        <v>65.921588370199004</v>
      </c>
      <c r="AL2683">
        <v>96.168172698405598</v>
      </c>
      <c r="AM2683">
        <v>103.34158975883</v>
      </c>
      <c r="AN2683">
        <v>1.0000000283400601</v>
      </c>
    </row>
    <row r="2684" spans="1:40" x14ac:dyDescent="0.25">
      <c r="A2684" t="str">
        <f>"20190305135245318"</f>
        <v>20190305135245318</v>
      </c>
      <c r="B2684" t="str">
        <f>"1551765165311811"</f>
        <v>1551765165311811</v>
      </c>
      <c r="C2684" t="s">
        <v>40</v>
      </c>
      <c r="D2684">
        <v>4.7652799999999997</v>
      </c>
      <c r="E2684">
        <v>0.41580600000000001</v>
      </c>
      <c r="F2684" t="s">
        <v>70</v>
      </c>
      <c r="G2684">
        <v>-469.14249999999998</v>
      </c>
      <c r="H2684">
        <v>1.002537</v>
      </c>
      <c r="I2684">
        <v>197.345</v>
      </c>
      <c r="J2684">
        <v>-486.89030000000002</v>
      </c>
      <c r="K2684">
        <v>1.1095740000000001</v>
      </c>
      <c r="L2684">
        <v>260.57600000000002</v>
      </c>
      <c r="M2684">
        <v>-0.1864355</v>
      </c>
      <c r="N2684">
        <v>-9.5939110000000001E-3</v>
      </c>
      <c r="O2684">
        <v>-0.98242050000000003</v>
      </c>
      <c r="P2684">
        <v>4.8893029999999997E-2</v>
      </c>
      <c r="Q2684">
        <v>-0.11626160000000001</v>
      </c>
      <c r="R2684">
        <v>-0.99201479999999997</v>
      </c>
      <c r="S2684">
        <v>0.83251949999999997</v>
      </c>
      <c r="T2684">
        <v>-5.0302740000000004E-3</v>
      </c>
      <c r="U2684">
        <v>-2.9859309999999999</v>
      </c>
      <c r="V2684">
        <v>-0.23272889999999999</v>
      </c>
      <c r="W2684">
        <v>-0.1075619</v>
      </c>
      <c r="X2684">
        <v>0.96657530000000003</v>
      </c>
      <c r="Y2684">
        <v>-0.44342280000000001</v>
      </c>
      <c r="Z2684">
        <v>-8.3204679999999993E-3</v>
      </c>
      <c r="AA2684">
        <v>0.89627400000000002</v>
      </c>
      <c r="AB2684">
        <v>25</v>
      </c>
      <c r="AC2684">
        <v>17.747800000000002</v>
      </c>
      <c r="AD2684">
        <v>-0.10703699999999999</v>
      </c>
      <c r="AE2684">
        <v>-63.230999999999902</v>
      </c>
      <c r="AF2684">
        <v>-29.225569003180802</v>
      </c>
      <c r="AG2684">
        <v>-0.10703699999999999</v>
      </c>
      <c r="AH2684">
        <v>58.813153023221503</v>
      </c>
      <c r="AI2684">
        <v>90.093381396116897</v>
      </c>
      <c r="AJ2684">
        <v>116.423807556165</v>
      </c>
      <c r="AK2684">
        <v>65.674441824898096</v>
      </c>
      <c r="AL2684">
        <v>96.174788418464999</v>
      </c>
      <c r="AM2684">
        <v>103.537808785111</v>
      </c>
      <c r="AN2684">
        <v>1.00000005689845</v>
      </c>
    </row>
    <row r="2685" spans="1:40" x14ac:dyDescent="0.25">
      <c r="A2685" t="str">
        <f>"20190305135245331"</f>
        <v>20190305135245331</v>
      </c>
      <c r="B2685" t="str">
        <f>"1551765165322548"</f>
        <v>1551765165322548</v>
      </c>
      <c r="C2685" t="s">
        <v>40</v>
      </c>
      <c r="D2685">
        <v>5.1959</v>
      </c>
      <c r="E2685">
        <v>0.41611880000000001</v>
      </c>
      <c r="F2685" t="s">
        <v>70</v>
      </c>
      <c r="G2685">
        <v>-469.1114</v>
      </c>
      <c r="H2685">
        <v>0.92586230000000003</v>
      </c>
      <c r="I2685">
        <v>197.345</v>
      </c>
      <c r="J2685">
        <v>-486.9178</v>
      </c>
      <c r="K2685">
        <v>1.109591</v>
      </c>
      <c r="L2685">
        <v>260.42599999999999</v>
      </c>
      <c r="M2685">
        <v>-0.18551860000000001</v>
      </c>
      <c r="N2685">
        <v>-9.5525969999999995E-3</v>
      </c>
      <c r="O2685">
        <v>-0.98259459999999998</v>
      </c>
      <c r="P2685">
        <v>5.1510189999999997E-2</v>
      </c>
      <c r="Q2685">
        <v>-0.11635429999999999</v>
      </c>
      <c r="R2685">
        <v>-0.99187159999999996</v>
      </c>
      <c r="S2685">
        <v>0.83840939999999997</v>
      </c>
      <c r="T2685">
        <v>-8.6616279999999993E-3</v>
      </c>
      <c r="U2685">
        <v>-2.9818120000000001</v>
      </c>
      <c r="V2685">
        <v>-0.2343653</v>
      </c>
      <c r="W2685">
        <v>-0.1077183</v>
      </c>
      <c r="X2685">
        <v>0.96616230000000003</v>
      </c>
      <c r="Y2685">
        <v>-0.44454769999999999</v>
      </c>
      <c r="Z2685">
        <v>-7.1762719999999896E-3</v>
      </c>
      <c r="AA2685">
        <v>0.89572640000000003</v>
      </c>
      <c r="AB2685">
        <v>25</v>
      </c>
      <c r="AC2685">
        <v>17.806399999999901</v>
      </c>
      <c r="AD2685">
        <v>-0.18372869999999999</v>
      </c>
      <c r="AE2685">
        <v>-63.080999999999896</v>
      </c>
      <c r="AF2685">
        <v>-29.200266151739001</v>
      </c>
      <c r="AG2685">
        <v>-0.18372869999999999</v>
      </c>
      <c r="AH2685">
        <v>58.681831830242501</v>
      </c>
      <c r="AI2685">
        <v>90.160603719154494</v>
      </c>
      <c r="AJ2685">
        <v>116.455083766317</v>
      </c>
      <c r="AK2685">
        <v>65.545760248245301</v>
      </c>
      <c r="AL2685">
        <v>96.183802460698701</v>
      </c>
      <c r="AM2685">
        <v>103.635067764884</v>
      </c>
      <c r="AN2685">
        <v>0.99999995797013397</v>
      </c>
    </row>
    <row r="2686" spans="1:40" x14ac:dyDescent="0.25">
      <c r="A2686" t="str">
        <f>"20190305135245343"</f>
        <v>20190305135245343</v>
      </c>
      <c r="B2686" t="str">
        <f>"1551765165332308"</f>
        <v>1551765165332308</v>
      </c>
      <c r="C2686" t="s">
        <v>40</v>
      </c>
      <c r="D2686">
        <v>4.7668910000000002</v>
      </c>
      <c r="E2686">
        <v>0.41649540000000002</v>
      </c>
      <c r="F2686" t="s">
        <v>70</v>
      </c>
      <c r="G2686">
        <v>-469.0505</v>
      </c>
      <c r="H2686">
        <v>0.87140319999999905</v>
      </c>
      <c r="I2686">
        <v>197.345</v>
      </c>
      <c r="J2686">
        <v>-486.9418</v>
      </c>
      <c r="K2686">
        <v>1.1096029999999999</v>
      </c>
      <c r="L2686">
        <v>260.29410000000001</v>
      </c>
      <c r="M2686">
        <v>-0.18469740000000001</v>
      </c>
      <c r="N2686">
        <v>-9.514069E-3</v>
      </c>
      <c r="O2686">
        <v>-0.9827494</v>
      </c>
      <c r="P2686">
        <v>5.2149300000000003E-2</v>
      </c>
      <c r="Q2686">
        <v>-0.1167214</v>
      </c>
      <c r="R2686">
        <v>-0.99179430000000002</v>
      </c>
      <c r="S2686">
        <v>0.84390259999999995</v>
      </c>
      <c r="T2686">
        <v>-1.124823E-2</v>
      </c>
      <c r="U2686">
        <v>-2.9794010000000002</v>
      </c>
      <c r="V2686">
        <v>-0.23416580000000001</v>
      </c>
      <c r="W2686">
        <v>-0.1081347</v>
      </c>
      <c r="X2686">
        <v>0.96616420000000003</v>
      </c>
      <c r="Y2686">
        <v>-0.4455173</v>
      </c>
      <c r="Z2686">
        <v>-6.3513619999999897E-3</v>
      </c>
      <c r="AA2686">
        <v>0.89525080000000001</v>
      </c>
      <c r="AB2686">
        <v>25</v>
      </c>
      <c r="AC2686">
        <v>17.891300000000001</v>
      </c>
      <c r="AD2686">
        <v>-0.23819979999999999</v>
      </c>
      <c r="AE2686">
        <v>-62.949100000000001</v>
      </c>
      <c r="AF2686">
        <v>-29.210134071912499</v>
      </c>
      <c r="AG2686">
        <v>-0.23819979999999999</v>
      </c>
      <c r="AH2686">
        <v>58.560587411385598</v>
      </c>
      <c r="AI2686">
        <v>90.208549739732405</v>
      </c>
      <c r="AJ2686">
        <v>116.510109419144</v>
      </c>
      <c r="AK2686">
        <v>65.441814382017</v>
      </c>
      <c r="AL2686">
        <v>96.207800349265995</v>
      </c>
      <c r="AM2686">
        <v>103.623868068937</v>
      </c>
      <c r="AN2686">
        <v>0.99999999829768405</v>
      </c>
    </row>
    <row r="2687" spans="1:40" x14ac:dyDescent="0.25">
      <c r="A2687" t="str">
        <f>"20190305135245362"</f>
        <v>20190305135245362</v>
      </c>
      <c r="B2687" t="str">
        <f>"1551765165352803"</f>
        <v>1551765165352803</v>
      </c>
      <c r="C2687" t="s">
        <v>40</v>
      </c>
      <c r="D2687">
        <v>4.7840319999999998</v>
      </c>
      <c r="E2687">
        <v>0.4172805</v>
      </c>
      <c r="F2687" t="s">
        <v>70</v>
      </c>
      <c r="G2687">
        <v>-469.13639999999998</v>
      </c>
      <c r="H2687">
        <v>0.82508230000000005</v>
      </c>
      <c r="I2687">
        <v>197.345</v>
      </c>
      <c r="J2687">
        <v>-486.9796</v>
      </c>
      <c r="K2687">
        <v>1.1096189999999999</v>
      </c>
      <c r="L2687">
        <v>260.08550000000002</v>
      </c>
      <c r="M2687">
        <v>-0.1833642</v>
      </c>
      <c r="N2687">
        <v>-9.4355770000000005E-3</v>
      </c>
      <c r="O2687">
        <v>-0.98299990000000004</v>
      </c>
      <c r="P2687">
        <v>5.6875809999999999E-2</v>
      </c>
      <c r="Q2687">
        <v>-0.1171896</v>
      </c>
      <c r="R2687">
        <v>-0.99147960000000002</v>
      </c>
      <c r="S2687">
        <v>0.84262079999999995</v>
      </c>
      <c r="T2687">
        <v>-1.34629E-2</v>
      </c>
      <c r="U2687">
        <v>-2.9789729999999999</v>
      </c>
      <c r="V2687">
        <v>-0.23743510000000001</v>
      </c>
      <c r="W2687">
        <v>-0.10871359999999999</v>
      </c>
      <c r="X2687">
        <v>0.96530099999999996</v>
      </c>
      <c r="Y2687">
        <v>-0.44397930000000002</v>
      </c>
      <c r="Z2687">
        <v>-5.5926469999999897E-3</v>
      </c>
      <c r="AA2687">
        <v>0.89601960000000003</v>
      </c>
      <c r="AB2687">
        <v>25</v>
      </c>
      <c r="AC2687">
        <v>17.8432</v>
      </c>
      <c r="AD2687">
        <v>-0.28453669999999998</v>
      </c>
      <c r="AE2687">
        <v>-62.740499999999997</v>
      </c>
      <c r="AF2687">
        <v>-29.0449618930068</v>
      </c>
      <c r="AG2687">
        <v>-0.28453669999999998</v>
      </c>
      <c r="AH2687">
        <v>58.403582060333001</v>
      </c>
      <c r="AI2687">
        <v>90.249936337757902</v>
      </c>
      <c r="AJ2687">
        <v>116.44183550573401</v>
      </c>
      <c r="AK2687">
        <v>65.227825120709994</v>
      </c>
      <c r="AL2687">
        <v>96.241165268152599</v>
      </c>
      <c r="AM2687">
        <v>103.818719455332</v>
      </c>
      <c r="AN2687">
        <v>1.00000004706898</v>
      </c>
    </row>
    <row r="2688" spans="1:40" x14ac:dyDescent="0.25">
      <c r="A2688" t="str">
        <f>"20190305135245383"</f>
        <v>20190305135245383</v>
      </c>
      <c r="B2688" t="str">
        <f>"1551765165371855"</f>
        <v>1551765165371855</v>
      </c>
      <c r="C2688" t="s">
        <v>40</v>
      </c>
      <c r="D2688">
        <v>4.7867579999999998</v>
      </c>
      <c r="E2688">
        <v>0.41789500000000002</v>
      </c>
      <c r="F2688" t="s">
        <v>70</v>
      </c>
      <c r="G2688">
        <v>-469.03590000000003</v>
      </c>
      <c r="H2688">
        <v>0.78377249999999998</v>
      </c>
      <c r="I2688">
        <v>197.345</v>
      </c>
      <c r="J2688">
        <v>-487.02159999999998</v>
      </c>
      <c r="K2688">
        <v>1.1096239999999999</v>
      </c>
      <c r="L2688">
        <v>259.85109999999997</v>
      </c>
      <c r="M2688">
        <v>-0.18182680000000001</v>
      </c>
      <c r="N2688">
        <v>-9.3220569999999999E-3</v>
      </c>
      <c r="O2688">
        <v>-0.98328629999999995</v>
      </c>
      <c r="P2688">
        <v>6.1063060000000002E-2</v>
      </c>
      <c r="Q2688">
        <v>-0.11707089999999901</v>
      </c>
      <c r="R2688">
        <v>-0.99124460000000003</v>
      </c>
      <c r="S2688">
        <v>0.85089110000000001</v>
      </c>
      <c r="T2688">
        <v>-1.545E-2</v>
      </c>
      <c r="U2688">
        <v>-2.9751590000000001</v>
      </c>
      <c r="V2688">
        <v>-0.23999239999999999</v>
      </c>
      <c r="W2688">
        <v>-0.10873770000000001</v>
      </c>
      <c r="X2688">
        <v>0.96466569999999996</v>
      </c>
      <c r="Y2688">
        <v>-0.44518279999999899</v>
      </c>
      <c r="Z2688">
        <v>-4.8685689999999997E-3</v>
      </c>
      <c r="AA2688">
        <v>0.89542649999999901</v>
      </c>
      <c r="AB2688">
        <v>25</v>
      </c>
      <c r="AC2688">
        <v>17.985699999999898</v>
      </c>
      <c r="AD2688">
        <v>-0.32585150000000002</v>
      </c>
      <c r="AE2688">
        <v>-62.506099999999897</v>
      </c>
      <c r="AF2688">
        <v>-29.050912162396401</v>
      </c>
      <c r="AG2688">
        <v>-0.32585150000000002</v>
      </c>
      <c r="AH2688">
        <v>58.1921824116192</v>
      </c>
      <c r="AI2688">
        <v>90.287047573095407</v>
      </c>
      <c r="AJ2688">
        <v>116.529453649014</v>
      </c>
      <c r="AK2688">
        <v>65.041461933865605</v>
      </c>
      <c r="AL2688">
        <v>96.242554149026105</v>
      </c>
      <c r="AM2688">
        <v>103.970595937382</v>
      </c>
      <c r="AN2688">
        <v>1.0000000761077601</v>
      </c>
    </row>
    <row r="2689" spans="1:40" x14ac:dyDescent="0.25">
      <c r="A2689" t="str">
        <f>"20190305135245396"</f>
        <v>20190305135245396</v>
      </c>
      <c r="B2689" t="str">
        <f>"1551765165392351"</f>
        <v>1551765165392351</v>
      </c>
      <c r="C2689" t="s">
        <v>40</v>
      </c>
      <c r="D2689">
        <v>4.7994839999999996</v>
      </c>
      <c r="E2689">
        <v>0.41849779999999998</v>
      </c>
      <c r="F2689" t="s">
        <v>70</v>
      </c>
      <c r="G2689">
        <v>-468.9597</v>
      </c>
      <c r="H2689">
        <v>0.8244553</v>
      </c>
      <c r="I2689">
        <v>197.345</v>
      </c>
      <c r="J2689">
        <v>-487.04669999999999</v>
      </c>
      <c r="K2689">
        <v>1.109626</v>
      </c>
      <c r="L2689">
        <v>259.7099</v>
      </c>
      <c r="M2689">
        <v>-0.1808777</v>
      </c>
      <c r="N2689">
        <v>-9.2425089999999994E-3</v>
      </c>
      <c r="O2689">
        <v>-0.98346219999999995</v>
      </c>
      <c r="P2689">
        <v>6.3176560000000007E-2</v>
      </c>
      <c r="Q2689">
        <v>-0.1170474</v>
      </c>
      <c r="R2689">
        <v>-0.99111490000000002</v>
      </c>
      <c r="S2689">
        <v>0.85879519999999998</v>
      </c>
      <c r="T2689">
        <v>-1.35572E-2</v>
      </c>
      <c r="U2689">
        <v>-2.9719850000000001</v>
      </c>
      <c r="V2689">
        <v>-0.2411113</v>
      </c>
      <c r="W2689">
        <v>-0.10880869999999999</v>
      </c>
      <c r="X2689">
        <v>0.96437850000000003</v>
      </c>
      <c r="Y2689">
        <v>-0.44677080000000002</v>
      </c>
      <c r="Z2689">
        <v>-5.3612570000000003E-3</v>
      </c>
      <c r="AA2689">
        <v>0.89463239999999999</v>
      </c>
      <c r="AB2689">
        <v>25</v>
      </c>
      <c r="AC2689">
        <v>18.0869999999999</v>
      </c>
      <c r="AD2689">
        <v>-0.2851707</v>
      </c>
      <c r="AE2689">
        <v>-62.364899999999999</v>
      </c>
      <c r="AF2689">
        <v>-29.0689805396715</v>
      </c>
      <c r="AG2689">
        <v>-0.2851707</v>
      </c>
      <c r="AH2689">
        <v>58.063345162357699</v>
      </c>
      <c r="AI2689">
        <v>90.251626292744106</v>
      </c>
      <c r="AJ2689">
        <v>116.594495421014</v>
      </c>
      <c r="AK2689">
        <v>64.9341127866319</v>
      </c>
      <c r="AL2689">
        <v>96.246647273026994</v>
      </c>
      <c r="AM2689">
        <v>104.037175885069</v>
      </c>
      <c r="AN2689">
        <v>0.99999994172281303</v>
      </c>
    </row>
    <row r="2690" spans="1:40" x14ac:dyDescent="0.25">
      <c r="A2690" t="str">
        <f>"20190305135245409"</f>
        <v>20190305135245409</v>
      </c>
      <c r="B2690" t="str">
        <f>"1551765165402112"</f>
        <v>1551765165402112</v>
      </c>
      <c r="C2690" t="s">
        <v>40</v>
      </c>
      <c r="D2690">
        <v>4.8288520000000004</v>
      </c>
      <c r="E2690">
        <v>0.4187226</v>
      </c>
      <c r="F2690" t="s">
        <v>70</v>
      </c>
      <c r="G2690">
        <v>-468.9948</v>
      </c>
      <c r="H2690">
        <v>0.80468649999999997</v>
      </c>
      <c r="I2690">
        <v>197.345</v>
      </c>
      <c r="J2690">
        <v>-487.07389999999998</v>
      </c>
      <c r="K2690">
        <v>1.1096299999999999</v>
      </c>
      <c r="L2690">
        <v>259.55560000000003</v>
      </c>
      <c r="M2690">
        <v>-0.17982999999999999</v>
      </c>
      <c r="N2690">
        <v>-9.1527120000000003E-3</v>
      </c>
      <c r="O2690">
        <v>-0.98365539999999996</v>
      </c>
      <c r="P2690">
        <v>6.5199859999999998E-2</v>
      </c>
      <c r="Q2690">
        <v>-0.1170771</v>
      </c>
      <c r="R2690">
        <v>-0.99098059999999999</v>
      </c>
      <c r="S2690">
        <v>0.85980219999999896</v>
      </c>
      <c r="T2690">
        <v>-1.452231E-2</v>
      </c>
      <c r="U2690">
        <v>-2.9703979999999999</v>
      </c>
      <c r="V2690">
        <v>-0.2420448</v>
      </c>
      <c r="W2690">
        <v>-0.1089426</v>
      </c>
      <c r="X2690">
        <v>0.96412960000000003</v>
      </c>
      <c r="Y2690">
        <v>-0.44622529999999999</v>
      </c>
      <c r="Z2690">
        <v>-4.9704459999999999E-3</v>
      </c>
      <c r="AA2690">
        <v>0.89490689999999995</v>
      </c>
      <c r="AB2690">
        <v>25</v>
      </c>
      <c r="AC2690">
        <v>18.079099999999901</v>
      </c>
      <c r="AD2690">
        <v>-0.30494349999999898</v>
      </c>
      <c r="AE2690">
        <v>-62.210599999999999</v>
      </c>
      <c r="AF2690">
        <v>-28.9715002675769</v>
      </c>
      <c r="AG2690">
        <v>-0.30494349999999898</v>
      </c>
      <c r="AH2690">
        <v>57.943755543804798</v>
      </c>
      <c r="AI2690">
        <v>90.269698350794599</v>
      </c>
      <c r="AJ2690">
        <v>116.564752550097</v>
      </c>
      <c r="AK2690">
        <v>64.783637014392895</v>
      </c>
      <c r="AL2690">
        <v>96.254364500540802</v>
      </c>
      <c r="AM2690">
        <v>104.092854748975</v>
      </c>
      <c r="AN2690">
        <v>1.00000003044897</v>
      </c>
    </row>
    <row r="2691" spans="1:40" x14ac:dyDescent="0.25">
      <c r="A2691" t="str">
        <f>"20190305135245422"</f>
        <v>20190305135245422</v>
      </c>
      <c r="B2691" t="str">
        <f>"1551765165411871"</f>
        <v>1551765165411871</v>
      </c>
      <c r="C2691" t="s">
        <v>40</v>
      </c>
      <c r="D2691">
        <v>4.7825100000000003</v>
      </c>
      <c r="E2691">
        <v>0.4190199</v>
      </c>
      <c r="F2691" t="s">
        <v>70</v>
      </c>
      <c r="G2691">
        <v>-468.9556</v>
      </c>
      <c r="H2691">
        <v>0.78670839999999997</v>
      </c>
      <c r="I2691">
        <v>197.345</v>
      </c>
      <c r="J2691">
        <v>-487.09789999999998</v>
      </c>
      <c r="K2691">
        <v>1.109634</v>
      </c>
      <c r="L2691">
        <v>259.41950000000003</v>
      </c>
      <c r="M2691">
        <v>-0.17889360000000001</v>
      </c>
      <c r="N2691">
        <v>-9.0711239999999999E-3</v>
      </c>
      <c r="O2691">
        <v>-0.98382670000000005</v>
      </c>
      <c r="P2691">
        <v>6.7026150000000007E-2</v>
      </c>
      <c r="Q2691">
        <v>-0.11718480000000001</v>
      </c>
      <c r="R2691">
        <v>-0.99084570000000005</v>
      </c>
      <c r="S2691">
        <v>0.86459349999999902</v>
      </c>
      <c r="T2691">
        <v>-1.5407799999999999E-2</v>
      </c>
      <c r="U2691">
        <v>-2.9686279999999998</v>
      </c>
      <c r="V2691">
        <v>-0.24289530000000001</v>
      </c>
      <c r="W2691">
        <v>-0.10914409999999999</v>
      </c>
      <c r="X2691">
        <v>0.96389290000000005</v>
      </c>
      <c r="Y2691">
        <v>-0.44684800000000002</v>
      </c>
      <c r="Z2691">
        <v>-4.6151539999999998E-3</v>
      </c>
      <c r="AA2691">
        <v>0.894598</v>
      </c>
      <c r="AB2691">
        <v>25</v>
      </c>
      <c r="AC2691">
        <v>18.142299999999899</v>
      </c>
      <c r="AD2691">
        <v>-0.32292559999999998</v>
      </c>
      <c r="AE2691">
        <v>-62.0745</v>
      </c>
      <c r="AF2691">
        <v>-28.954076670600401</v>
      </c>
      <c r="AG2691">
        <v>-0.32292559999999998</v>
      </c>
      <c r="AH2691">
        <v>57.825941320541297</v>
      </c>
      <c r="AI2691">
        <v>90.286101568694804</v>
      </c>
      <c r="AJ2691">
        <v>116.597625223984</v>
      </c>
      <c r="AK2691">
        <v>64.670567698117694</v>
      </c>
      <c r="AL2691">
        <v>96.265978783576301</v>
      </c>
      <c r="AM2691">
        <v>104.143724298116</v>
      </c>
      <c r="AN2691">
        <v>1.0000000419986499</v>
      </c>
    </row>
    <row r="2692" spans="1:40" x14ac:dyDescent="0.25">
      <c r="A2692" t="str">
        <f>"20190305135245441"</f>
        <v>20190305135245441</v>
      </c>
      <c r="B2692" t="str">
        <f>"1551765165432367"</f>
        <v>1551765165432367</v>
      </c>
      <c r="C2692" t="s">
        <v>40</v>
      </c>
      <c r="D2692">
        <v>4.772087</v>
      </c>
      <c r="E2692">
        <v>0.4196453</v>
      </c>
      <c r="F2692" t="s">
        <v>70</v>
      </c>
      <c r="G2692">
        <v>-468.94889999999998</v>
      </c>
      <c r="H2692">
        <v>0.75842480000000001</v>
      </c>
      <c r="I2692">
        <v>197.345</v>
      </c>
      <c r="J2692">
        <v>-487.13350000000003</v>
      </c>
      <c r="K2692">
        <v>1.109634</v>
      </c>
      <c r="L2692">
        <v>259.21510000000001</v>
      </c>
      <c r="M2692">
        <v>-0.1774683</v>
      </c>
      <c r="N2692">
        <v>-8.952659E-3</v>
      </c>
      <c r="O2692">
        <v>-0.98408589999999996</v>
      </c>
      <c r="P2692">
        <v>6.9747600000000007E-2</v>
      </c>
      <c r="Q2692">
        <v>-0.1173791</v>
      </c>
      <c r="R2692">
        <v>-0.99063489999999998</v>
      </c>
      <c r="S2692">
        <v>0.86749270000000001</v>
      </c>
      <c r="T2692">
        <v>-1.6785379999999999E-2</v>
      </c>
      <c r="U2692">
        <v>-2.967041</v>
      </c>
      <c r="V2692">
        <v>-0.24413409999999999</v>
      </c>
      <c r="W2692">
        <v>-0.1094729</v>
      </c>
      <c r="X2692">
        <v>0.96354249999999997</v>
      </c>
      <c r="Y2692">
        <v>-0.4464863</v>
      </c>
      <c r="Z2692">
        <v>-4.0684120000000004E-3</v>
      </c>
      <c r="AA2692">
        <v>0.89478119999999906</v>
      </c>
      <c r="AB2692">
        <v>25</v>
      </c>
      <c r="AC2692">
        <v>18.1846</v>
      </c>
      <c r="AD2692">
        <v>-0.3512092</v>
      </c>
      <c r="AE2692">
        <v>-61.870100000000001</v>
      </c>
      <c r="AF2692">
        <v>-28.875487716252799</v>
      </c>
      <c r="AG2692">
        <v>-0.3512092</v>
      </c>
      <c r="AH2692">
        <v>57.658897626382299</v>
      </c>
      <c r="AI2692">
        <v>90.312049941782504</v>
      </c>
      <c r="AJ2692">
        <v>116.60163865779801</v>
      </c>
      <c r="AK2692">
        <v>64.486166068725694</v>
      </c>
      <c r="AL2692">
        <v>96.284931705508896</v>
      </c>
      <c r="AM2692">
        <v>104.217902299629</v>
      </c>
      <c r="AN2692">
        <v>0.99999996196173402</v>
      </c>
    </row>
    <row r="2693" spans="1:40" x14ac:dyDescent="0.25">
      <c r="A2693" t="str">
        <f>"20190305135245453"</f>
        <v>20190305135245453</v>
      </c>
      <c r="B2693" t="str">
        <f>"1551765165442127"</f>
        <v>1551765165442127</v>
      </c>
      <c r="C2693" t="s">
        <v>40</v>
      </c>
      <c r="D2693">
        <v>4.7758779999999996</v>
      </c>
      <c r="E2693">
        <v>0.4199599</v>
      </c>
      <c r="F2693" t="s">
        <v>70</v>
      </c>
      <c r="G2693">
        <v>-468.96109999999999</v>
      </c>
      <c r="H2693">
        <v>0.75064469999999905</v>
      </c>
      <c r="I2693">
        <v>197.345</v>
      </c>
      <c r="J2693">
        <v>-487.1583</v>
      </c>
      <c r="K2693">
        <v>1.1096349999999999</v>
      </c>
      <c r="L2693">
        <v>259.07150000000001</v>
      </c>
      <c r="M2693">
        <v>-0.1764558</v>
      </c>
      <c r="N2693">
        <v>-8.8713950000000007E-3</v>
      </c>
      <c r="O2693">
        <v>-0.98426880000000005</v>
      </c>
      <c r="P2693">
        <v>7.1374510000000002E-2</v>
      </c>
      <c r="Q2693">
        <v>-0.1172931</v>
      </c>
      <c r="R2693">
        <v>-0.99052969999999896</v>
      </c>
      <c r="S2693">
        <v>0.87088009999999905</v>
      </c>
      <c r="T2693">
        <v>-1.7202140000000001E-2</v>
      </c>
      <c r="U2693">
        <v>-2.9649960000000002</v>
      </c>
      <c r="V2693">
        <v>-0.24472260000000001</v>
      </c>
      <c r="W2693">
        <v>-0.10947610000000001</v>
      </c>
      <c r="X2693">
        <v>0.9633929</v>
      </c>
      <c r="Y2693">
        <v>-0.4466735</v>
      </c>
      <c r="Z2693">
        <v>-3.8537250000000001E-3</v>
      </c>
      <c r="AA2693">
        <v>0.894688699999999</v>
      </c>
      <c r="AB2693">
        <v>25</v>
      </c>
      <c r="AC2693">
        <v>18.197199999999999</v>
      </c>
      <c r="AD2693">
        <v>-0.35899029999999998</v>
      </c>
      <c r="AE2693">
        <v>-61.726500000000001</v>
      </c>
      <c r="AF2693">
        <v>-28.803166226656199</v>
      </c>
      <c r="AG2693">
        <v>-0.35899029999999998</v>
      </c>
      <c r="AH2693">
        <v>57.544928268002003</v>
      </c>
      <c r="AI2693">
        <v>90.319628920425302</v>
      </c>
      <c r="AJ2693">
        <v>116.58950128856701</v>
      </c>
      <c r="AK2693">
        <v>64.351923266405805</v>
      </c>
      <c r="AL2693">
        <v>96.285115771717798</v>
      </c>
      <c r="AM2693">
        <v>104.25290363612601</v>
      </c>
      <c r="AN2693">
        <v>1.0000000235961799</v>
      </c>
    </row>
    <row r="2694" spans="1:40" x14ac:dyDescent="0.25">
      <c r="A2694" t="str">
        <f>"20190305135245468"</f>
        <v>20190305135245468</v>
      </c>
      <c r="B2694" t="str">
        <f>"1551765165462623"</f>
        <v>1551765165462623</v>
      </c>
      <c r="C2694" t="s">
        <v>40</v>
      </c>
      <c r="D2694">
        <v>4.7774799999999997</v>
      </c>
      <c r="E2694">
        <v>0.42028209999999999</v>
      </c>
      <c r="F2694" t="s">
        <v>70</v>
      </c>
      <c r="G2694">
        <v>-468.97129999999999</v>
      </c>
      <c r="H2694">
        <v>0.76855609999999996</v>
      </c>
      <c r="I2694">
        <v>197.345</v>
      </c>
      <c r="J2694">
        <v>-487.18459999999999</v>
      </c>
      <c r="K2694">
        <v>1.1096349999999999</v>
      </c>
      <c r="L2694">
        <v>258.91820000000001</v>
      </c>
      <c r="M2694">
        <v>-0.17536779999999999</v>
      </c>
      <c r="N2694">
        <v>-8.785958E-3</v>
      </c>
      <c r="O2694">
        <v>-0.98446400000000001</v>
      </c>
      <c r="P2694">
        <v>7.2931060000000006E-2</v>
      </c>
      <c r="Q2694">
        <v>-0.1174309</v>
      </c>
      <c r="R2694">
        <v>-0.99039969999999999</v>
      </c>
      <c r="S2694">
        <v>0.8732605</v>
      </c>
      <c r="T2694">
        <v>-1.6375299999999999E-2</v>
      </c>
      <c r="U2694">
        <v>-2.9638369999999998</v>
      </c>
      <c r="V2694">
        <v>-0.24516460000000001</v>
      </c>
      <c r="W2694">
        <v>-0.1097059</v>
      </c>
      <c r="X2694">
        <v>0.96325430000000001</v>
      </c>
      <c r="Y2694">
        <v>-0.44644129999999899</v>
      </c>
      <c r="Z2694">
        <v>-4.0143130000000003E-3</v>
      </c>
      <c r="AA2694">
        <v>0.89480389999999999</v>
      </c>
      <c r="AB2694">
        <v>25</v>
      </c>
      <c r="AC2694">
        <v>18.2133</v>
      </c>
      <c r="AD2694">
        <v>-0.34107890000000002</v>
      </c>
      <c r="AE2694">
        <v>-61.5732</v>
      </c>
      <c r="AF2694">
        <v>-28.728586945461899</v>
      </c>
      <c r="AG2694">
        <v>-0.34107890000000002</v>
      </c>
      <c r="AH2694">
        <v>57.423156369727501</v>
      </c>
      <c r="AI2694">
        <v>90.304354599738801</v>
      </c>
      <c r="AJ2694">
        <v>116.57862639365</v>
      </c>
      <c r="AK2694">
        <v>64.209554819833201</v>
      </c>
      <c r="AL2694">
        <v>96.298362554746902</v>
      </c>
      <c r="AM2694">
        <v>104.279564904155</v>
      </c>
      <c r="AN2694">
        <v>0.999999956028229</v>
      </c>
    </row>
    <row r="2695" spans="1:40" x14ac:dyDescent="0.25">
      <c r="A2695" t="str">
        <f>"20190305135245484"</f>
        <v>20190305135245484</v>
      </c>
      <c r="B2695" t="str">
        <f>"1551765165472383"</f>
        <v>1551765165472383</v>
      </c>
      <c r="C2695" t="s">
        <v>40</v>
      </c>
      <c r="D2695">
        <v>4.8171049999999997</v>
      </c>
      <c r="E2695">
        <v>0.42051240000000001</v>
      </c>
      <c r="F2695" t="s">
        <v>70</v>
      </c>
      <c r="G2695">
        <v>-468.99639999999999</v>
      </c>
      <c r="H2695">
        <v>0.70267009999999996</v>
      </c>
      <c r="I2695">
        <v>197.345</v>
      </c>
      <c r="J2695">
        <v>-487.21710000000002</v>
      </c>
      <c r="K2695">
        <v>1.109632</v>
      </c>
      <c r="L2695">
        <v>258.7276</v>
      </c>
      <c r="M2695">
        <v>-0.17400539999999901</v>
      </c>
      <c r="N2695">
        <v>-8.6832560000000003E-3</v>
      </c>
      <c r="O2695">
        <v>-0.98470630000000003</v>
      </c>
      <c r="P2695">
        <v>7.3812849999999999E-2</v>
      </c>
      <c r="Q2695">
        <v>-0.1178486</v>
      </c>
      <c r="R2695">
        <v>-0.99028459999999996</v>
      </c>
      <c r="S2695">
        <v>0.87506099999999998</v>
      </c>
      <c r="T2695">
        <v>-1.9577859999999999E-2</v>
      </c>
      <c r="U2695">
        <v>-2.9623569999999999</v>
      </c>
      <c r="V2695">
        <v>-0.24467639999999999</v>
      </c>
      <c r="W2695">
        <v>-0.1102268</v>
      </c>
      <c r="X2695">
        <v>0.96331900000000004</v>
      </c>
      <c r="Y2695">
        <v>-0.445824</v>
      </c>
      <c r="Z2695">
        <v>-2.9244200000000001E-3</v>
      </c>
      <c r="AA2695">
        <v>0.89511589999999996</v>
      </c>
      <c r="AB2695">
        <v>25</v>
      </c>
      <c r="AC2695">
        <v>18.220700000000001</v>
      </c>
      <c r="AD2695">
        <v>-0.40696189999999999</v>
      </c>
      <c r="AE2695">
        <v>-61.382599999999996</v>
      </c>
      <c r="AF2695">
        <v>-28.622868029854001</v>
      </c>
      <c r="AG2695">
        <v>-0.40696189999999999</v>
      </c>
      <c r="AH2695">
        <v>57.273184834523498</v>
      </c>
      <c r="AI2695">
        <v>90.364171385060899</v>
      </c>
      <c r="AJ2695">
        <v>116.554066282866</v>
      </c>
      <c r="AK2695">
        <v>64.028524060234204</v>
      </c>
      <c r="AL2695">
        <v>96.328389807010396</v>
      </c>
      <c r="AM2695">
        <v>104.251371173723</v>
      </c>
      <c r="AN2695">
        <v>0.99999999195809997</v>
      </c>
    </row>
    <row r="2696" spans="1:40" x14ac:dyDescent="0.25">
      <c r="A2696" t="str">
        <f>"20190305135245508"</f>
        <v>20190305135245508</v>
      </c>
      <c r="B2696" t="str">
        <f>"1551765165502639"</f>
        <v>1551765165502639</v>
      </c>
      <c r="C2696" t="s">
        <v>40</v>
      </c>
      <c r="D2696">
        <v>4.8345019999999996</v>
      </c>
      <c r="E2696">
        <v>0.4213015</v>
      </c>
      <c r="F2696" t="s">
        <v>70</v>
      </c>
      <c r="G2696">
        <v>-469.04930000000002</v>
      </c>
      <c r="H2696">
        <v>0.68867109999999998</v>
      </c>
      <c r="I2696">
        <v>197.345</v>
      </c>
      <c r="J2696">
        <v>-487.26069999999999</v>
      </c>
      <c r="K2696">
        <v>1.1096200000000001</v>
      </c>
      <c r="L2696">
        <v>258.46949999999998</v>
      </c>
      <c r="M2696">
        <v>-0.1721511</v>
      </c>
      <c r="N2696">
        <v>-8.5549319999999995E-3</v>
      </c>
      <c r="O2696">
        <v>-0.98503370000000001</v>
      </c>
      <c r="P2696">
        <v>7.4369179999999993E-2</v>
      </c>
      <c r="Q2696">
        <v>-0.11826440000000001</v>
      </c>
      <c r="R2696">
        <v>-0.99019369999999995</v>
      </c>
      <c r="S2696">
        <v>0.87658689999999995</v>
      </c>
      <c r="T2696">
        <v>-2.030933E-2</v>
      </c>
      <c r="U2696">
        <v>-2.9616699999999998</v>
      </c>
      <c r="V2696">
        <v>-0.24339240000000001</v>
      </c>
      <c r="W2696">
        <v>-0.1107653</v>
      </c>
      <c r="X2696">
        <v>0.96358250000000001</v>
      </c>
      <c r="Y2696">
        <v>-0.44461899999999999</v>
      </c>
      <c r="Z2696">
        <v>-2.5610419999999999E-3</v>
      </c>
      <c r="AA2696">
        <v>0.89571610000000002</v>
      </c>
      <c r="AB2696">
        <v>25</v>
      </c>
      <c r="AC2696">
        <v>18.211399999999902</v>
      </c>
      <c r="AD2696">
        <v>-0.42094890000000001</v>
      </c>
      <c r="AE2696">
        <v>-61.124499999999898</v>
      </c>
      <c r="AF2696">
        <v>-28.461286179732198</v>
      </c>
      <c r="AG2696">
        <v>-0.42094890000000001</v>
      </c>
      <c r="AH2696">
        <v>57.074165840664797</v>
      </c>
      <c r="AI2696">
        <v>90.378165273532204</v>
      </c>
      <c r="AJ2696">
        <v>116.50414600438801</v>
      </c>
      <c r="AK2696">
        <v>63.778385173887301</v>
      </c>
      <c r="AL2696">
        <v>96.359433480716007</v>
      </c>
      <c r="AM2696">
        <v>104.175886296481</v>
      </c>
      <c r="AN2696">
        <v>1.00000002318404</v>
      </c>
    </row>
    <row r="2697" spans="1:40" x14ac:dyDescent="0.25">
      <c r="A2697" t="str">
        <f>"20190305135245531"</f>
        <v>20190305135245531</v>
      </c>
      <c r="B2697" t="str">
        <f>"1551765165522158"</f>
        <v>1551765165522158</v>
      </c>
      <c r="C2697" t="s">
        <v>40</v>
      </c>
      <c r="D2697">
        <v>4.8340909999999999</v>
      </c>
      <c r="E2697">
        <v>0.42169909999999999</v>
      </c>
      <c r="F2697" t="s">
        <v>70</v>
      </c>
      <c r="G2697">
        <v>-469.2647</v>
      </c>
      <c r="H2697">
        <v>0.70533659999999998</v>
      </c>
      <c r="I2697">
        <v>197.345</v>
      </c>
      <c r="J2697">
        <v>-487.30540000000002</v>
      </c>
      <c r="K2697">
        <v>1.109612</v>
      </c>
      <c r="L2697">
        <v>258.20139999999998</v>
      </c>
      <c r="M2697">
        <v>-0.1702236</v>
      </c>
      <c r="N2697">
        <v>-8.4353499999999994E-3</v>
      </c>
      <c r="O2697">
        <v>-0.98536970000000002</v>
      </c>
      <c r="P2697">
        <v>7.3873969999999997E-2</v>
      </c>
      <c r="Q2697">
        <v>-0.1181133</v>
      </c>
      <c r="R2697">
        <v>-0.99024880000000004</v>
      </c>
      <c r="S2697">
        <v>0.87200929999999999</v>
      </c>
      <c r="T2697">
        <v>-1.958799E-2</v>
      </c>
      <c r="U2697">
        <v>-2.9618229999999999</v>
      </c>
      <c r="V2697">
        <v>-0.24102879999999999</v>
      </c>
      <c r="W2697">
        <v>-0.1107202</v>
      </c>
      <c r="X2697">
        <v>0.96418159999999997</v>
      </c>
      <c r="Y2697">
        <v>-0.44157920000000001</v>
      </c>
      <c r="Z2697">
        <v>-2.6463200000000002E-3</v>
      </c>
      <c r="AA2697">
        <v>0.89721839999999997</v>
      </c>
      <c r="AB2697">
        <v>26</v>
      </c>
      <c r="AC2697">
        <v>18.040700000000001</v>
      </c>
      <c r="AD2697">
        <v>-0.40427540000000001</v>
      </c>
      <c r="AE2697">
        <v>-60.856399999999901</v>
      </c>
      <c r="AF2697">
        <v>-28.135804852485901</v>
      </c>
      <c r="AG2697">
        <v>-0.40427540000000001</v>
      </c>
      <c r="AH2697">
        <v>56.894796822238</v>
      </c>
      <c r="AI2697">
        <v>90.364934370423796</v>
      </c>
      <c r="AJ2697">
        <v>116.313469976169</v>
      </c>
      <c r="AK2697">
        <v>63.472867106661901</v>
      </c>
      <c r="AL2697">
        <v>96.356833587337604</v>
      </c>
      <c r="AM2697">
        <v>104.035315047468</v>
      </c>
      <c r="AN2697">
        <v>1.0000000014480199</v>
      </c>
    </row>
    <row r="2698" spans="1:40" x14ac:dyDescent="0.25">
      <c r="A2698" t="str">
        <f>"20190305135245551"</f>
        <v>20190305135245551</v>
      </c>
      <c r="B2698" t="str">
        <f>"1551765165542658"</f>
        <v>1551765165542658</v>
      </c>
      <c r="C2698" t="s">
        <v>40</v>
      </c>
      <c r="D2698">
        <v>4.7798160000000003</v>
      </c>
      <c r="E2698">
        <v>0.42188389999999998</v>
      </c>
      <c r="F2698" t="s">
        <v>70</v>
      </c>
      <c r="G2698">
        <v>-469.55439999999999</v>
      </c>
      <c r="H2698">
        <v>0.73962969999999995</v>
      </c>
      <c r="I2698">
        <v>197.51820000000001</v>
      </c>
      <c r="J2698">
        <v>-487.34399999999999</v>
      </c>
      <c r="K2698">
        <v>1.1096010000000001</v>
      </c>
      <c r="L2698">
        <v>257.96690000000001</v>
      </c>
      <c r="M2698">
        <v>-0.168539299999999</v>
      </c>
      <c r="N2698">
        <v>-8.3408479999999997E-3</v>
      </c>
      <c r="O2698">
        <v>-0.98565979999999997</v>
      </c>
      <c r="P2698">
        <v>7.2877739999999996E-2</v>
      </c>
      <c r="Q2698">
        <v>-0.1184755</v>
      </c>
      <c r="R2698">
        <v>-0.99027929999999997</v>
      </c>
      <c r="S2698">
        <v>0.86666869999999996</v>
      </c>
      <c r="T2698">
        <v>-1.8062109999999999E-2</v>
      </c>
      <c r="U2698">
        <v>-2.9627690000000002</v>
      </c>
      <c r="V2698">
        <v>-0.2384029</v>
      </c>
      <c r="W2698">
        <v>-0.1111621</v>
      </c>
      <c r="X2698">
        <v>0.96478339999999996</v>
      </c>
      <c r="Y2698">
        <v>-0.43847760000000002</v>
      </c>
      <c r="Z2698">
        <v>-3.0065859999999999E-3</v>
      </c>
      <c r="AA2698">
        <v>0.89873709999999996</v>
      </c>
      <c r="AB2698">
        <v>26</v>
      </c>
      <c r="AC2698">
        <v>17.7896</v>
      </c>
      <c r="AD2698">
        <v>-0.3699713</v>
      </c>
      <c r="AE2698">
        <v>-60.448700000000002</v>
      </c>
      <c r="AF2698">
        <v>-27.722479583706502</v>
      </c>
      <c r="AG2698">
        <v>-0.3699713</v>
      </c>
      <c r="AH2698">
        <v>56.583615846028003</v>
      </c>
      <c r="AI2698">
        <v>90.336416445000907</v>
      </c>
      <c r="AJ2698">
        <v>116.10200244889501</v>
      </c>
      <c r="AK2698">
        <v>63.010938219032397</v>
      </c>
      <c r="AL2698">
        <v>96.382309982329303</v>
      </c>
      <c r="AM2698">
        <v>103.880028775637</v>
      </c>
      <c r="AN2698">
        <v>0.99999998206018903</v>
      </c>
    </row>
    <row r="2699" spans="1:40" x14ac:dyDescent="0.25">
      <c r="A2699" t="str">
        <f>"20190305135245564"</f>
        <v>20190305135245564</v>
      </c>
      <c r="B2699" t="str">
        <f>"1551765165552416"</f>
        <v>1551765165552416</v>
      </c>
      <c r="C2699" t="s">
        <v>40</v>
      </c>
      <c r="D2699">
        <v>5.8501260000000004</v>
      </c>
      <c r="E2699">
        <v>0.42188389999999998</v>
      </c>
      <c r="F2699" t="s">
        <v>70</v>
      </c>
      <c r="G2699">
        <v>-469.75299999999999</v>
      </c>
      <c r="H2699">
        <v>0.75319429999999998</v>
      </c>
      <c r="I2699">
        <v>197.51820000000001</v>
      </c>
      <c r="J2699">
        <v>-487.36660000000001</v>
      </c>
      <c r="K2699">
        <v>1.1095969999999999</v>
      </c>
      <c r="L2699">
        <v>257.82870000000003</v>
      </c>
      <c r="M2699">
        <v>-0.167548</v>
      </c>
      <c r="N2699">
        <v>-8.2888609999999998E-3</v>
      </c>
      <c r="O2699">
        <v>-0.98582919999999996</v>
      </c>
      <c r="P2699">
        <v>7.2166149999999998E-2</v>
      </c>
      <c r="Q2699">
        <v>-0.11842610000000001</v>
      </c>
      <c r="R2699">
        <v>-0.99033729999999998</v>
      </c>
      <c r="S2699">
        <v>0.86251829999999996</v>
      </c>
      <c r="T2699">
        <v>-1.747334E-2</v>
      </c>
      <c r="U2699">
        <v>-2.9638819999999999</v>
      </c>
      <c r="V2699">
        <v>-0.23674100000000001</v>
      </c>
      <c r="W2699">
        <v>-0.1111554</v>
      </c>
      <c r="X2699">
        <v>0.96519330000000003</v>
      </c>
      <c r="Y2699">
        <v>-0.4363223</v>
      </c>
      <c r="Z2699">
        <v>-3.1280320000000002E-3</v>
      </c>
      <c r="AA2699">
        <v>0.89978499999999995</v>
      </c>
      <c r="AB2699">
        <v>26</v>
      </c>
      <c r="AC2699">
        <v>17.613599999999899</v>
      </c>
      <c r="AD2699">
        <v>-0.35640270000000002</v>
      </c>
      <c r="AE2699">
        <v>-60.310499999999998</v>
      </c>
      <c r="AF2699">
        <v>-27.468961230274299</v>
      </c>
      <c r="AG2699">
        <v>-0.35640270000000002</v>
      </c>
      <c r="AH2699">
        <v>56.504844488165503</v>
      </c>
      <c r="AI2699">
        <v>90.325017407050893</v>
      </c>
      <c r="AJ2699">
        <v>115.925991107106</v>
      </c>
      <c r="AK2699">
        <v>62.828881134289297</v>
      </c>
      <c r="AL2699">
        <v>96.381923814782894</v>
      </c>
      <c r="AM2699">
        <v>103.781343786859</v>
      </c>
      <c r="AN2699">
        <v>0.99999996519752399</v>
      </c>
    </row>
    <row r="2700" spans="1:40" x14ac:dyDescent="0.25">
      <c r="A2700" t="str">
        <f>"20190305135245575"</f>
        <v>20190305135245575</v>
      </c>
      <c r="B2700" t="str">
        <f>"1551765165571936"</f>
        <v>1551765165571936</v>
      </c>
      <c r="C2700" t="s">
        <v>40</v>
      </c>
      <c r="D2700">
        <v>5.4261670000000004</v>
      </c>
      <c r="E2700">
        <v>0.46117560000000002</v>
      </c>
      <c r="F2700" t="s">
        <v>70</v>
      </c>
      <c r="G2700">
        <v>-469.85649999999998</v>
      </c>
      <c r="H2700">
        <v>0.7538958</v>
      </c>
      <c r="I2700">
        <v>197.51820000000001</v>
      </c>
      <c r="J2700">
        <v>-487.38830000000002</v>
      </c>
      <c r="K2700">
        <v>1.109599</v>
      </c>
      <c r="L2700">
        <v>257.69499999999999</v>
      </c>
      <c r="M2700">
        <v>-0.16659270000000001</v>
      </c>
      <c r="N2700">
        <v>-8.2433899999999997E-3</v>
      </c>
      <c r="O2700">
        <v>-0.98599150000000002</v>
      </c>
      <c r="P2700">
        <v>7.109103E-2</v>
      </c>
      <c r="Q2700">
        <v>-0.1182613</v>
      </c>
      <c r="R2700">
        <v>-0.9904345</v>
      </c>
      <c r="S2700">
        <v>0.86068729999999904</v>
      </c>
      <c r="T2700">
        <v>-1.748216E-2</v>
      </c>
      <c r="U2700">
        <v>-2.9644620000000002</v>
      </c>
      <c r="V2700">
        <v>-0.23476259999999999</v>
      </c>
      <c r="W2700">
        <v>-0.1110254</v>
      </c>
      <c r="X2700">
        <v>0.96569139999999998</v>
      </c>
      <c r="Y2700">
        <v>-0.43489060000000002</v>
      </c>
      <c r="Z2700">
        <v>-3.0742529999999999E-3</v>
      </c>
      <c r="AA2700">
        <v>0.90047809999999995</v>
      </c>
      <c r="AB2700">
        <v>26</v>
      </c>
      <c r="AC2700">
        <v>17.5318</v>
      </c>
      <c r="AD2700">
        <v>-0.3557032</v>
      </c>
      <c r="AE2700">
        <v>-60.176799999999901</v>
      </c>
      <c r="AF2700">
        <v>-27.311265416685099</v>
      </c>
      <c r="AG2700">
        <v>-0.3557032</v>
      </c>
      <c r="AH2700">
        <v>56.413234382637803</v>
      </c>
      <c r="AI2700">
        <v>90.325162309644995</v>
      </c>
      <c r="AJ2700">
        <v>115.832955909082</v>
      </c>
      <c r="AK2700">
        <v>62.677625648532199</v>
      </c>
      <c r="AL2700">
        <v>96.374428756546294</v>
      </c>
      <c r="AM2700">
        <v>103.663727336345</v>
      </c>
      <c r="AN2700">
        <v>0.99999999891893998</v>
      </c>
    </row>
    <row r="2701" spans="1:40" x14ac:dyDescent="0.25">
      <c r="A2701" t="str">
        <f>"20190305135245589"</f>
        <v>20190305135245589</v>
      </c>
      <c r="B2701" t="str">
        <f>"1551765165582672"</f>
        <v>1551765165582672</v>
      </c>
      <c r="C2701" t="s">
        <v>40</v>
      </c>
      <c r="D2701">
        <v>5.5231370000000002</v>
      </c>
      <c r="E2701">
        <v>0.54032089999999999</v>
      </c>
      <c r="F2701" t="s">
        <v>42</v>
      </c>
      <c r="G2701">
        <v>-485.3861</v>
      </c>
      <c r="H2701" s="1">
        <v>-3.7448309999999999E-6</v>
      </c>
      <c r="I2701">
        <v>246.45429999999999</v>
      </c>
      <c r="J2701">
        <v>-487.41219999999998</v>
      </c>
      <c r="K2701">
        <v>1.1095999999999999</v>
      </c>
      <c r="L2701">
        <v>257.5471</v>
      </c>
      <c r="M2701">
        <v>-0.16553660000000001</v>
      </c>
      <c r="N2701">
        <v>-8.1951060000000006E-3</v>
      </c>
      <c r="O2701">
        <v>-0.98616979999999999</v>
      </c>
      <c r="P2701">
        <v>7.0145319999999997E-2</v>
      </c>
      <c r="Q2701">
        <v>-0.11814089999999999</v>
      </c>
      <c r="R2701">
        <v>-0.99051670000000003</v>
      </c>
      <c r="S2701">
        <v>0.52658079999999996</v>
      </c>
      <c r="T2701">
        <v>-0.2918268</v>
      </c>
      <c r="U2701">
        <v>-2.9563290000000002</v>
      </c>
      <c r="V2701">
        <v>-0.23280960000000001</v>
      </c>
      <c r="W2701">
        <v>-0.110943</v>
      </c>
      <c r="X2701">
        <v>0.96617350000000002</v>
      </c>
      <c r="Y2701">
        <v>-0.335117</v>
      </c>
      <c r="Z2701">
        <v>8.4350530000000007E-2</v>
      </c>
      <c r="AA2701">
        <v>0.93839309999999998</v>
      </c>
      <c r="AB2701">
        <v>26</v>
      </c>
      <c r="AC2701">
        <v>2.02609999999998</v>
      </c>
      <c r="AD2701">
        <v>-1.1096037448310001</v>
      </c>
      <c r="AE2701">
        <v>-11.0928</v>
      </c>
      <c r="AF2701">
        <v>-3.79769863220071</v>
      </c>
      <c r="AG2701">
        <v>-1.1096037448310001</v>
      </c>
      <c r="AH2701">
        <v>10.5026494757637</v>
      </c>
      <c r="AI2701">
        <v>95.673948056766804</v>
      </c>
      <c r="AJ2701">
        <v>109.87970376823699</v>
      </c>
      <c r="AK2701">
        <v>11.2231627174483</v>
      </c>
      <c r="AL2701">
        <v>96.369678577426001</v>
      </c>
      <c r="AM2701">
        <v>103.54775450400901</v>
      </c>
      <c r="AN2701">
        <v>0.99999994560170302</v>
      </c>
    </row>
    <row r="2702" spans="1:40" x14ac:dyDescent="0.25">
      <c r="A2702" t="str">
        <f>"20190305135245609"</f>
        <v>20190305135245609</v>
      </c>
      <c r="B2702" t="str">
        <f>"1551765165602192"</f>
        <v>1551765165602192</v>
      </c>
      <c r="C2702" t="s">
        <v>40</v>
      </c>
      <c r="D2702">
        <v>5.2709669999999997</v>
      </c>
      <c r="E2702">
        <v>0.56567119999999904</v>
      </c>
      <c r="F2702" t="s">
        <v>42</v>
      </c>
      <c r="G2702">
        <v>-488.09339999999997</v>
      </c>
      <c r="H2702" s="1">
        <v>-3.3603139999999998E-6</v>
      </c>
      <c r="I2702">
        <v>236.67740000000001</v>
      </c>
      <c r="J2702">
        <v>-487.44889999999998</v>
      </c>
      <c r="K2702">
        <v>1.109599</v>
      </c>
      <c r="L2702">
        <v>257.31790000000001</v>
      </c>
      <c r="M2702">
        <v>-0.1639033</v>
      </c>
      <c r="N2702">
        <v>-8.1276230000000005E-3</v>
      </c>
      <c r="O2702">
        <v>-0.98644319999999996</v>
      </c>
      <c r="P2702">
        <v>6.6607479999999997E-2</v>
      </c>
      <c r="Q2702">
        <v>-0.1171555</v>
      </c>
      <c r="R2702">
        <v>-0.99087760000000003</v>
      </c>
      <c r="S2702">
        <v>-9.8449709999999996E-2</v>
      </c>
      <c r="T2702">
        <v>-0.1603849</v>
      </c>
      <c r="U2702">
        <v>-3.0165709999999999</v>
      </c>
      <c r="V2702">
        <v>-0.2277816</v>
      </c>
      <c r="W2702">
        <v>-0.109999</v>
      </c>
      <c r="X2702">
        <v>0.96747910000000004</v>
      </c>
      <c r="Y2702">
        <v>-0.13164120000000001</v>
      </c>
      <c r="Z2702">
        <v>4.3676569999999998E-2</v>
      </c>
      <c r="AA2702">
        <v>0.99033470000000001</v>
      </c>
      <c r="AB2702">
        <v>26</v>
      </c>
      <c r="AC2702">
        <v>-0.64449999999999297</v>
      </c>
      <c r="AD2702">
        <v>-1.1096023603139999</v>
      </c>
      <c r="AE2702">
        <v>-20.640499999999999</v>
      </c>
      <c r="AF2702">
        <v>-2.7394641530663799</v>
      </c>
      <c r="AG2702">
        <v>-1.1096023603139999</v>
      </c>
      <c r="AH2702">
        <v>20.408065687958299</v>
      </c>
      <c r="AI2702">
        <v>93.084539942231203</v>
      </c>
      <c r="AJ2702">
        <v>97.645362071520097</v>
      </c>
      <c r="AK2702">
        <v>20.6209850969339</v>
      </c>
      <c r="AL2702">
        <v>96.315257777172306</v>
      </c>
      <c r="AM2702">
        <v>103.248345396909</v>
      </c>
      <c r="AN2702">
        <v>1.00000002311818</v>
      </c>
    </row>
    <row r="2703" spans="1:40" x14ac:dyDescent="0.25">
      <c r="A2703" t="str">
        <f>"20190305135245622"</f>
        <v>20190305135245622</v>
      </c>
      <c r="B2703" t="str">
        <f>"1551765165611952"</f>
        <v>1551765165611952</v>
      </c>
      <c r="C2703" t="s">
        <v>40</v>
      </c>
      <c r="D2703">
        <v>5.3023369999999996</v>
      </c>
      <c r="E2703">
        <v>0.57022119999999998</v>
      </c>
      <c r="F2703" t="s">
        <v>42</v>
      </c>
      <c r="G2703">
        <v>-490.2235</v>
      </c>
      <c r="H2703" s="1">
        <v>-2.79913599999999E-7</v>
      </c>
      <c r="I2703">
        <v>230.10300000000001</v>
      </c>
      <c r="J2703">
        <v>-487.47519999999997</v>
      </c>
      <c r="K2703">
        <v>1.1096010000000001</v>
      </c>
      <c r="L2703">
        <v>257.15280000000001</v>
      </c>
      <c r="M2703">
        <v>-0.16272890000000001</v>
      </c>
      <c r="N2703">
        <v>-8.0834369999999902E-3</v>
      </c>
      <c r="O2703">
        <v>-0.98663789999999996</v>
      </c>
      <c r="P2703">
        <v>6.5134899999999996E-2</v>
      </c>
      <c r="Q2703">
        <v>-0.1168698</v>
      </c>
      <c r="R2703">
        <v>-0.99100929999999998</v>
      </c>
      <c r="S2703">
        <v>-0.30929570000000001</v>
      </c>
      <c r="T2703">
        <v>-0.123693899999999</v>
      </c>
      <c r="U2703">
        <v>-3.0338129999999999</v>
      </c>
      <c r="V2703">
        <v>-0.2251996</v>
      </c>
      <c r="W2703">
        <v>-0.1097447</v>
      </c>
      <c r="X2703">
        <v>0.96811219999999998</v>
      </c>
      <c r="Y2703">
        <v>-6.1862830000000001E-2</v>
      </c>
      <c r="Z2703">
        <v>3.17729E-2</v>
      </c>
      <c r="AA2703">
        <v>0.99757879999999999</v>
      </c>
      <c r="AB2703">
        <v>26</v>
      </c>
      <c r="AC2703">
        <v>-2.7483000000000199</v>
      </c>
      <c r="AD2703">
        <v>-1.1096012799135999</v>
      </c>
      <c r="AE2703">
        <v>-27.049800000000001</v>
      </c>
      <c r="AF2703">
        <v>-1.6874517016961099</v>
      </c>
      <c r="AG2703">
        <v>-1.1096012799135999</v>
      </c>
      <c r="AH2703">
        <v>27.091346364298101</v>
      </c>
      <c r="AI2703">
        <v>92.340865251248403</v>
      </c>
      <c r="AJ2703">
        <v>93.564205109455401</v>
      </c>
      <c r="AK2703">
        <v>27.166519027588201</v>
      </c>
      <c r="AL2703">
        <v>96.300598886585107</v>
      </c>
      <c r="AM2703">
        <v>103.095106164105</v>
      </c>
      <c r="AN2703">
        <v>0.99999999540354401</v>
      </c>
    </row>
    <row r="2704" spans="1:40" x14ac:dyDescent="0.25">
      <c r="A2704" t="str">
        <f>"20190305135245636"</f>
        <v>20190305135245636</v>
      </c>
      <c r="B2704" t="str">
        <f>"1551765165632447"</f>
        <v>1551765165632447</v>
      </c>
      <c r="C2704" t="s">
        <v>40</v>
      </c>
      <c r="D2704">
        <v>5.212739</v>
      </c>
      <c r="E2704">
        <v>0.57452990000000004</v>
      </c>
      <c r="F2704" t="s">
        <v>42</v>
      </c>
      <c r="G2704">
        <v>-490.3218</v>
      </c>
      <c r="H2704" s="1">
        <v>-1.3533630000000001E-6</v>
      </c>
      <c r="I2704">
        <v>232.54429999999999</v>
      </c>
      <c r="J2704">
        <v>-487.49799999999999</v>
      </c>
      <c r="K2704">
        <v>1.109602</v>
      </c>
      <c r="L2704">
        <v>257.00740000000002</v>
      </c>
      <c r="M2704">
        <v>-0.161696799999999</v>
      </c>
      <c r="N2704">
        <v>-8.0482239999999997E-3</v>
      </c>
      <c r="O2704">
        <v>-0.98680780000000001</v>
      </c>
      <c r="P2704">
        <v>6.3361089999999995E-2</v>
      </c>
      <c r="Q2704">
        <v>-0.11655260000000001</v>
      </c>
      <c r="R2704">
        <v>-0.99116139999999997</v>
      </c>
      <c r="S2704">
        <v>-0.35098269999999998</v>
      </c>
      <c r="T2704">
        <v>-0.13681170000000001</v>
      </c>
      <c r="U2704">
        <v>-3.0341800000000001</v>
      </c>
      <c r="V2704">
        <v>-0.22246199999999999</v>
      </c>
      <c r="W2704">
        <v>-0.1094494</v>
      </c>
      <c r="X2704">
        <v>0.96877840000000004</v>
      </c>
      <c r="Y2704">
        <v>-4.7298470000000002E-2</v>
      </c>
      <c r="Z2704">
        <v>3.6020389999999999E-2</v>
      </c>
      <c r="AA2704">
        <v>0.99823110000000004</v>
      </c>
      <c r="AB2704">
        <v>26</v>
      </c>
      <c r="AC2704">
        <v>-2.8237999999999399</v>
      </c>
      <c r="AD2704">
        <v>-1.1096033533630001</v>
      </c>
      <c r="AE2704">
        <v>-24.463100000000001</v>
      </c>
      <c r="AF2704">
        <v>-1.16672600775234</v>
      </c>
      <c r="AG2704">
        <v>-1.1096033533630001</v>
      </c>
      <c r="AH2704">
        <v>24.5479306321633</v>
      </c>
      <c r="AI2704">
        <v>92.585179357901197</v>
      </c>
      <c r="AJ2704">
        <v>92.721133983181801</v>
      </c>
      <c r="AK2704">
        <v>24.600678191880501</v>
      </c>
      <c r="AL2704">
        <v>96.283576556708198</v>
      </c>
      <c r="AM2704">
        <v>102.932708105692</v>
      </c>
      <c r="AN2704">
        <v>1.00000005045545</v>
      </c>
    </row>
    <row r="2705" spans="1:40" x14ac:dyDescent="0.25">
      <c r="A2705" t="str">
        <f>"20190305135245652"</f>
        <v>20190305135245652</v>
      </c>
      <c r="B2705" t="str">
        <f>"1551765165642207"</f>
        <v>1551765165642207</v>
      </c>
      <c r="C2705" t="s">
        <v>40</v>
      </c>
      <c r="D2705">
        <v>5.1961349999999999</v>
      </c>
      <c r="E2705">
        <v>0.57550330000000005</v>
      </c>
      <c r="F2705" t="s">
        <v>42</v>
      </c>
      <c r="G2705">
        <v>-490.76479999999998</v>
      </c>
      <c r="H2705" s="1">
        <v>-1.0637169999999999E-6</v>
      </c>
      <c r="I2705">
        <v>231.5943</v>
      </c>
      <c r="J2705">
        <v>-487.52850000000001</v>
      </c>
      <c r="K2705">
        <v>1.1096029999999999</v>
      </c>
      <c r="L2705">
        <v>256.81259999999997</v>
      </c>
      <c r="M2705">
        <v>-0.16031389999999901</v>
      </c>
      <c r="N2705">
        <v>-8.0042280000000004E-3</v>
      </c>
      <c r="O2705">
        <v>-0.98703379999999996</v>
      </c>
      <c r="P2705">
        <v>5.9497830000000002E-2</v>
      </c>
      <c r="Q2705">
        <v>-0.1163986</v>
      </c>
      <c r="R2705">
        <v>-0.99141900000000005</v>
      </c>
      <c r="S2705">
        <v>-0.39028930000000001</v>
      </c>
      <c r="T2705">
        <v>-0.1325662</v>
      </c>
      <c r="U2705">
        <v>-3.0361479999999998</v>
      </c>
      <c r="V2705">
        <v>-0.21733259999999999</v>
      </c>
      <c r="W2705">
        <v>-0.10931490000000001</v>
      </c>
      <c r="X2705">
        <v>0.96995710000000002</v>
      </c>
      <c r="Y2705">
        <v>-3.3232209999999998E-2</v>
      </c>
      <c r="Z2705">
        <v>3.4675209999999998E-2</v>
      </c>
      <c r="AA2705">
        <v>0.99884589999999995</v>
      </c>
      <c r="AB2705">
        <v>26</v>
      </c>
      <c r="AC2705">
        <v>-3.2362999999999702</v>
      </c>
      <c r="AD2705">
        <v>-1.1096040637169999</v>
      </c>
      <c r="AE2705">
        <v>-25.2182999999999</v>
      </c>
      <c r="AF2705">
        <v>-0.84692050767268401</v>
      </c>
      <c r="AG2705">
        <v>-1.1096040637169999</v>
      </c>
      <c r="AH2705">
        <v>25.362641682444099</v>
      </c>
      <c r="AI2705">
        <v>92.503673214682294</v>
      </c>
      <c r="AJ2705">
        <v>91.912535268679505</v>
      </c>
      <c r="AK2705">
        <v>25.4010253461663</v>
      </c>
      <c r="AL2705">
        <v>96.275824130096495</v>
      </c>
      <c r="AM2705">
        <v>102.62933600412499</v>
      </c>
      <c r="AN2705">
        <v>0.99999999111258997</v>
      </c>
    </row>
    <row r="2706" spans="1:40" x14ac:dyDescent="0.25">
      <c r="A2706" t="str">
        <f>"20190305135245668"</f>
        <v>20190305135245668</v>
      </c>
      <c r="B2706" t="str">
        <f>"1551765165661728"</f>
        <v>1551765165661728</v>
      </c>
      <c r="C2706" t="s">
        <v>40</v>
      </c>
      <c r="D2706">
        <v>5.2294109999999998</v>
      </c>
      <c r="E2706">
        <v>0.57608479999999995</v>
      </c>
      <c r="F2706" t="s">
        <v>42</v>
      </c>
      <c r="G2706">
        <v>-490.98689999999999</v>
      </c>
      <c r="H2706" s="1">
        <v>-9.509463E-7</v>
      </c>
      <c r="I2706">
        <v>231.19370000000001</v>
      </c>
      <c r="J2706">
        <v>-487.55459999999999</v>
      </c>
      <c r="K2706">
        <v>1.109604</v>
      </c>
      <c r="L2706">
        <v>256.64420000000001</v>
      </c>
      <c r="M2706">
        <v>-0.15911929999999999</v>
      </c>
      <c r="N2706">
        <v>-7.9692430000000009E-3</v>
      </c>
      <c r="O2706">
        <v>-0.98722730000000003</v>
      </c>
      <c r="P2706">
        <v>5.7953949999999997E-2</v>
      </c>
      <c r="Q2706">
        <v>-0.1162847</v>
      </c>
      <c r="R2706">
        <v>-0.99152390000000001</v>
      </c>
      <c r="S2706">
        <v>-0.40972900000000001</v>
      </c>
      <c r="T2706">
        <v>-0.13145860000000001</v>
      </c>
      <c r="U2706">
        <v>-3.0351560000000002</v>
      </c>
      <c r="V2706">
        <v>-0.21465139999999999</v>
      </c>
      <c r="W2706">
        <v>-0.1092236</v>
      </c>
      <c r="X2706">
        <v>0.97056419999999999</v>
      </c>
      <c r="Y2706">
        <v>-2.5692489999999998E-2</v>
      </c>
      <c r="Z2706">
        <v>3.4371359999999997E-2</v>
      </c>
      <c r="AA2706">
        <v>0.99907880000000004</v>
      </c>
      <c r="AB2706">
        <v>26</v>
      </c>
      <c r="AC2706">
        <v>-3.4322999999999899</v>
      </c>
      <c r="AD2706">
        <v>-1.1096049509463</v>
      </c>
      <c r="AE2706">
        <v>-25.450500000000002</v>
      </c>
      <c r="AF2706">
        <v>-0.65999428336010202</v>
      </c>
      <c r="AG2706">
        <v>-1.1096049509463</v>
      </c>
      <c r="AH2706">
        <v>25.624548255586699</v>
      </c>
      <c r="AI2706">
        <v>92.478675914717201</v>
      </c>
      <c r="AJ2706">
        <v>91.475402723296497</v>
      </c>
      <c r="AK2706">
        <v>25.657051446027999</v>
      </c>
      <c r="AL2706">
        <v>96.270561821006694</v>
      </c>
      <c r="AM2706">
        <v>102.470877874492</v>
      </c>
      <c r="AN2706">
        <v>0.999999942320278</v>
      </c>
    </row>
    <row r="2707" spans="1:40" x14ac:dyDescent="0.25">
      <c r="A2707" t="str">
        <f>"20190305135245685"</f>
        <v>20190305135245685</v>
      </c>
      <c r="B2707" t="str">
        <f>"1551765165681755"</f>
        <v>1551765165681755</v>
      </c>
      <c r="C2707" t="s">
        <v>40</v>
      </c>
      <c r="D2707">
        <v>5.2054839999999896</v>
      </c>
      <c r="E2707">
        <v>0.57656339999999995</v>
      </c>
      <c r="F2707" t="s">
        <v>42</v>
      </c>
      <c r="G2707">
        <v>-490.6866</v>
      </c>
      <c r="H2707" s="1">
        <v>-2.1010689999999999E-6</v>
      </c>
      <c r="I2707">
        <v>234.0609</v>
      </c>
      <c r="J2707">
        <v>-487.58699999999999</v>
      </c>
      <c r="K2707">
        <v>1.1096079999999999</v>
      </c>
      <c r="L2707">
        <v>256.43349999999998</v>
      </c>
      <c r="M2707">
        <v>-0.15762570000000001</v>
      </c>
      <c r="N2707">
        <v>-7.9300050000000004E-3</v>
      </c>
      <c r="O2707">
        <v>-0.98746710000000004</v>
      </c>
      <c r="P2707">
        <v>5.398244E-2</v>
      </c>
      <c r="Q2707">
        <v>-0.1158896</v>
      </c>
      <c r="R2707">
        <v>-0.99179419999999996</v>
      </c>
      <c r="S2707">
        <v>-0.4205933</v>
      </c>
      <c r="T2707">
        <v>-0.14901110000000001</v>
      </c>
      <c r="U2707">
        <v>-3.0327449999999998</v>
      </c>
      <c r="V2707">
        <v>-0.20930509999999999</v>
      </c>
      <c r="W2707">
        <v>-0.1088428</v>
      </c>
      <c r="X2707">
        <v>0.97177389999999997</v>
      </c>
      <c r="Y2707">
        <v>-2.0591640000000001E-2</v>
      </c>
      <c r="Z2707">
        <v>4.0088680000000002E-2</v>
      </c>
      <c r="AA2707">
        <v>0.99898390000000004</v>
      </c>
      <c r="AB2707">
        <v>26</v>
      </c>
      <c r="AC2707">
        <v>-3.0996000000000001</v>
      </c>
      <c r="AD2707">
        <v>-1.1096101010689901</v>
      </c>
      <c r="AE2707">
        <v>-22.372599999999899</v>
      </c>
      <c r="AF2707">
        <v>-0.46463694261248401</v>
      </c>
      <c r="AG2707">
        <v>-1.1096101010689901</v>
      </c>
      <c r="AH2707">
        <v>22.527123218519801</v>
      </c>
      <c r="AI2707">
        <v>92.819319062818295</v>
      </c>
      <c r="AJ2707">
        <v>91.1815961318962</v>
      </c>
      <c r="AK2707">
        <v>22.5592199015659</v>
      </c>
      <c r="AL2707">
        <v>96.248612703310499</v>
      </c>
      <c r="AM2707">
        <v>102.154939009948</v>
      </c>
      <c r="AN2707">
        <v>0.99999994635952805</v>
      </c>
    </row>
    <row r="2708" spans="1:40" x14ac:dyDescent="0.25">
      <c r="A2708" t="str">
        <f>"20190305135245698"</f>
        <v>20190305135245698</v>
      </c>
      <c r="B2708" t="str">
        <f>"1551765165692491"</f>
        <v>1551765165692491</v>
      </c>
      <c r="C2708" t="s">
        <v>40</v>
      </c>
      <c r="D2708">
        <v>5.2129839999999996</v>
      </c>
      <c r="E2708">
        <v>0.57655880000000004</v>
      </c>
      <c r="F2708" t="s">
        <v>42</v>
      </c>
      <c r="G2708">
        <v>-490.87360000000001</v>
      </c>
      <c r="H2708" s="1">
        <v>-1.9534409999999999E-6</v>
      </c>
      <c r="I2708">
        <v>233.60079999999999</v>
      </c>
      <c r="J2708">
        <v>-487.60919999999999</v>
      </c>
      <c r="K2708">
        <v>1.1096109999999999</v>
      </c>
      <c r="L2708">
        <v>256.2876</v>
      </c>
      <c r="M2708">
        <v>-0.1565926</v>
      </c>
      <c r="N2708">
        <v>-7.912311E-3</v>
      </c>
      <c r="O2708">
        <v>-0.98763179999999995</v>
      </c>
      <c r="P2708">
        <v>5.223908E-2</v>
      </c>
      <c r="Q2708">
        <v>-0.1158184</v>
      </c>
      <c r="R2708">
        <v>-0.99189609999999995</v>
      </c>
      <c r="S2708">
        <v>-0.43634030000000001</v>
      </c>
      <c r="T2708">
        <v>-0.14731629999999901</v>
      </c>
      <c r="U2708">
        <v>-3.0313569999999999</v>
      </c>
      <c r="V2708">
        <v>-0.2065825</v>
      </c>
      <c r="W2708">
        <v>-0.108777399999999</v>
      </c>
      <c r="X2708">
        <v>0.97236369999999905</v>
      </c>
      <c r="Y2708">
        <v>-1.439376E-2</v>
      </c>
      <c r="Z2708">
        <v>3.9583720000000003E-2</v>
      </c>
      <c r="AA2708">
        <v>0.99911260000000002</v>
      </c>
      <c r="AB2708">
        <v>26</v>
      </c>
      <c r="AC2708">
        <v>-3.2644000000000202</v>
      </c>
      <c r="AD2708">
        <v>-1.109612953441</v>
      </c>
      <c r="AE2708">
        <v>-22.686800000000002</v>
      </c>
      <c r="AF2708">
        <v>-0.32780170672759601</v>
      </c>
      <c r="AG2708">
        <v>-1.109612953441</v>
      </c>
      <c r="AH2708">
        <v>22.8645117097556</v>
      </c>
      <c r="AI2708">
        <v>92.778094823370196</v>
      </c>
      <c r="AJ2708">
        <v>90.821376284325098</v>
      </c>
      <c r="AK2708">
        <v>22.8937675053917</v>
      </c>
      <c r="AL2708">
        <v>96.244842787749803</v>
      </c>
      <c r="AM2708">
        <v>101.99437430758999</v>
      </c>
      <c r="AN2708">
        <v>1.0000000085673399</v>
      </c>
    </row>
    <row r="2709" spans="1:40" x14ac:dyDescent="0.25">
      <c r="A2709" t="str">
        <f>"20190305135245721"</f>
        <v>20190305135245721</v>
      </c>
      <c r="B2709" t="str">
        <f>"1551765165712012"</f>
        <v>1551765165712012</v>
      </c>
      <c r="C2709" t="s">
        <v>40</v>
      </c>
      <c r="D2709">
        <v>5.2084140000000003</v>
      </c>
      <c r="E2709">
        <v>0.57668079999999999</v>
      </c>
      <c r="F2709" t="s">
        <v>42</v>
      </c>
      <c r="G2709">
        <v>-490.94920000000002</v>
      </c>
      <c r="H2709" s="1">
        <v>-1.8791539999999999E-6</v>
      </c>
      <c r="I2709">
        <v>233.38069999999999</v>
      </c>
      <c r="J2709">
        <v>-487.6499</v>
      </c>
      <c r="K2709">
        <v>1.1096220000000001</v>
      </c>
      <c r="L2709">
        <v>256.01749999999998</v>
      </c>
      <c r="M2709">
        <v>-0.1546796</v>
      </c>
      <c r="N2709">
        <v>-7.8953300000000008E-3</v>
      </c>
      <c r="O2709">
        <v>-0.98793319999999996</v>
      </c>
      <c r="P2709">
        <v>4.8985279999999999E-2</v>
      </c>
      <c r="Q2709">
        <v>-0.1153178</v>
      </c>
      <c r="R2709">
        <v>-0.99212029999999995</v>
      </c>
      <c r="S2709">
        <v>-0.44189450000000002</v>
      </c>
      <c r="T2709">
        <v>-0.14680460000000001</v>
      </c>
      <c r="U2709">
        <v>-3.03064</v>
      </c>
      <c r="V2709">
        <v>-0.2015208</v>
      </c>
      <c r="W2709">
        <v>-0.1082718</v>
      </c>
      <c r="X2709">
        <v>0.97348170000000001</v>
      </c>
      <c r="Y2709">
        <v>-1.06306E-2</v>
      </c>
      <c r="Z2709">
        <v>3.9463860000000003E-2</v>
      </c>
      <c r="AA2709">
        <v>0.99916450000000001</v>
      </c>
      <c r="AB2709">
        <v>26</v>
      </c>
      <c r="AC2709">
        <v>-3.2993000000000099</v>
      </c>
      <c r="AD2709">
        <v>-1.1096238791539901</v>
      </c>
      <c r="AE2709">
        <v>-22.636799999999901</v>
      </c>
      <c r="AF2709">
        <v>-0.24140270752833801</v>
      </c>
      <c r="AG2709">
        <v>-1.1096238791539901</v>
      </c>
      <c r="AH2709">
        <v>22.820998069393799</v>
      </c>
      <c r="AI2709">
        <v>92.783541064244204</v>
      </c>
      <c r="AJ2709">
        <v>90.606057649420293</v>
      </c>
      <c r="AK2709">
        <v>22.8492339762992</v>
      </c>
      <c r="AL2709">
        <v>96.215701870700002</v>
      </c>
      <c r="AM2709">
        <v>101.695622257994</v>
      </c>
      <c r="AN2709">
        <v>1.0000000178713799</v>
      </c>
    </row>
    <row r="2710" spans="1:40" x14ac:dyDescent="0.25">
      <c r="A2710" t="str">
        <f>"20190305135245742"</f>
        <v>20190305135245742</v>
      </c>
      <c r="B2710" t="str">
        <f>"1551765165732506"</f>
        <v>1551765165732506</v>
      </c>
      <c r="C2710" t="s">
        <v>40</v>
      </c>
      <c r="D2710">
        <v>5.198372</v>
      </c>
      <c r="E2710">
        <v>0.57656660000000004</v>
      </c>
      <c r="F2710" t="s">
        <v>42</v>
      </c>
      <c r="G2710">
        <v>-491.07940000000002</v>
      </c>
      <c r="H2710" s="1">
        <v>-1.790213E-6</v>
      </c>
      <c r="I2710">
        <v>233.09270000000001</v>
      </c>
      <c r="J2710">
        <v>-487.68540000000002</v>
      </c>
      <c r="K2710">
        <v>1.10964</v>
      </c>
      <c r="L2710">
        <v>255.77959999999999</v>
      </c>
      <c r="M2710">
        <v>-0.15299699999999999</v>
      </c>
      <c r="N2710">
        <v>-7.9261590000000003E-3</v>
      </c>
      <c r="O2710">
        <v>-0.98819500000000005</v>
      </c>
      <c r="P2710">
        <v>4.5955160000000002E-2</v>
      </c>
      <c r="Q2710">
        <v>-0.114784999999999</v>
      </c>
      <c r="R2710">
        <v>-0.99232719999999996</v>
      </c>
      <c r="S2710">
        <v>-0.45315549999999999</v>
      </c>
      <c r="T2710">
        <v>-0.14661930000000001</v>
      </c>
      <c r="U2710">
        <v>-3.0291600000000001</v>
      </c>
      <c r="V2710">
        <v>-0.1969012</v>
      </c>
      <c r="W2710">
        <v>-0.10768949999999999</v>
      </c>
      <c r="X2710">
        <v>0.97449110000000005</v>
      </c>
      <c r="Y2710">
        <v>-5.2236840000000001E-3</v>
      </c>
      <c r="Z2710">
        <v>3.9405089999999997E-2</v>
      </c>
      <c r="AA2710">
        <v>0.99920960000000003</v>
      </c>
      <c r="AB2710">
        <v>26</v>
      </c>
      <c r="AC2710">
        <v>-3.3940000000000001</v>
      </c>
      <c r="AD2710">
        <v>-1.109641790213</v>
      </c>
      <c r="AE2710">
        <v>-22.686899999999898</v>
      </c>
      <c r="AF2710">
        <v>-0.116824112049495</v>
      </c>
      <c r="AG2710">
        <v>-1.109641790213</v>
      </c>
      <c r="AH2710">
        <v>22.885520019024401</v>
      </c>
      <c r="AI2710">
        <v>92.775869294114798</v>
      </c>
      <c r="AJ2710">
        <v>90.292476221682605</v>
      </c>
      <c r="AK2710">
        <v>22.912703448456501</v>
      </c>
      <c r="AL2710">
        <v>96.182142380061606</v>
      </c>
      <c r="AM2710">
        <v>101.42312450008799</v>
      </c>
      <c r="AN2710">
        <v>1.00000000747544</v>
      </c>
    </row>
    <row r="2711" spans="1:40" x14ac:dyDescent="0.25">
      <c r="A2711" t="str">
        <f>"20190305135245763"</f>
        <v>20190305135245763</v>
      </c>
      <c r="B2711" t="str">
        <f>"1551765165752026"</f>
        <v>1551765165752026</v>
      </c>
      <c r="C2711" t="s">
        <v>40</v>
      </c>
      <c r="D2711">
        <v>5.253139</v>
      </c>
      <c r="E2711">
        <v>0.57622340000000005</v>
      </c>
      <c r="F2711" t="s">
        <v>42</v>
      </c>
      <c r="G2711">
        <v>-491.19920000000002</v>
      </c>
      <c r="H2711" s="1">
        <v>-1.6688720000000001E-6</v>
      </c>
      <c r="I2711">
        <v>232.7355</v>
      </c>
      <c r="J2711">
        <v>-487.72300000000001</v>
      </c>
      <c r="K2711">
        <v>1.1096779999999999</v>
      </c>
      <c r="L2711">
        <v>255.52379999999999</v>
      </c>
      <c r="M2711">
        <v>-0.15119050000000001</v>
      </c>
      <c r="N2711">
        <v>-8.035515E-3</v>
      </c>
      <c r="O2711">
        <v>-0.98847200000000002</v>
      </c>
      <c r="P2711">
        <v>4.3427790000000001E-2</v>
      </c>
      <c r="Q2711">
        <v>-0.1139025</v>
      </c>
      <c r="R2711">
        <v>-0.99254240000000005</v>
      </c>
      <c r="S2711">
        <v>-0.46166990000000002</v>
      </c>
      <c r="T2711">
        <v>-0.14579249999999999</v>
      </c>
      <c r="U2711">
        <v>-3.027695</v>
      </c>
      <c r="V2711">
        <v>-0.19265699999999999</v>
      </c>
      <c r="W2711">
        <v>-0.10668279999999999</v>
      </c>
      <c r="X2711">
        <v>0.97544969999999998</v>
      </c>
      <c r="Y2711">
        <v>-5.7699710000000003E-4</v>
      </c>
      <c r="Z2711">
        <v>3.9064670000000003E-2</v>
      </c>
      <c r="AA2711">
        <v>0.99923649999999997</v>
      </c>
      <c r="AB2711">
        <v>26</v>
      </c>
      <c r="AC2711">
        <v>-3.4762</v>
      </c>
      <c r="AD2711">
        <v>-1.1096796688719901</v>
      </c>
      <c r="AE2711">
        <v>-22.7882999999999</v>
      </c>
      <c r="AF2711">
        <v>-9.2270214565819408E-3</v>
      </c>
      <c r="AG2711">
        <v>-1.1096796688719901</v>
      </c>
      <c r="AH2711">
        <v>22.9986141834673</v>
      </c>
      <c r="AI2711">
        <v>92.762370191663294</v>
      </c>
      <c r="AJ2711">
        <v>90.022987009319607</v>
      </c>
      <c r="AK2711">
        <v>23.025371407762702</v>
      </c>
      <c r="AL2711">
        <v>96.124128368672999</v>
      </c>
      <c r="AM2711">
        <v>101.172457597711</v>
      </c>
      <c r="AN2711">
        <v>1.0000000283474599</v>
      </c>
    </row>
    <row r="2712" spans="1:40" x14ac:dyDescent="0.25">
      <c r="A2712" t="str">
        <f>"20190305135245776"</f>
        <v>20190305135245776</v>
      </c>
      <c r="B2712" t="str">
        <f>"1551765165772522"</f>
        <v>1551765165772522</v>
      </c>
      <c r="C2712" t="s">
        <v>40</v>
      </c>
      <c r="D2712">
        <v>5.2235589999999998</v>
      </c>
      <c r="E2712">
        <v>0.57582029999999995</v>
      </c>
      <c r="F2712" t="s">
        <v>42</v>
      </c>
      <c r="G2712">
        <v>-491.23840000000001</v>
      </c>
      <c r="H2712" s="1">
        <v>-1.6814910000000001E-6</v>
      </c>
      <c r="I2712">
        <v>232.7406</v>
      </c>
      <c r="J2712">
        <v>-487.74450000000002</v>
      </c>
      <c r="K2712">
        <v>1.1097159999999999</v>
      </c>
      <c r="L2712">
        <v>255.37569999999999</v>
      </c>
      <c r="M2712">
        <v>-0.15014479999999999</v>
      </c>
      <c r="N2712">
        <v>-8.1511090000000001E-3</v>
      </c>
      <c r="O2712">
        <v>-0.98863040000000002</v>
      </c>
      <c r="P2712">
        <v>4.2129899999999998E-2</v>
      </c>
      <c r="Q2712">
        <v>-0.1137257</v>
      </c>
      <c r="R2712">
        <v>-0.99261869999999996</v>
      </c>
      <c r="S2712">
        <v>-0.46691890000000003</v>
      </c>
      <c r="T2712">
        <v>-0.147387299999999</v>
      </c>
      <c r="U2712">
        <v>-3.026062</v>
      </c>
      <c r="V2712">
        <v>-0.1903541</v>
      </c>
      <c r="W2712">
        <v>-0.1063843</v>
      </c>
      <c r="X2712">
        <v>0.97593430000000003</v>
      </c>
      <c r="Y2712">
        <v>2.251219E-3</v>
      </c>
      <c r="Z2712">
        <v>3.9494609999999999E-2</v>
      </c>
      <c r="AA2712">
        <v>0.99921729999999997</v>
      </c>
      <c r="AB2712">
        <v>26</v>
      </c>
      <c r="AC2712">
        <v>-3.4938999999999898</v>
      </c>
      <c r="AD2712">
        <v>-1.1097176814909999</v>
      </c>
      <c r="AE2712">
        <v>-22.635099999999898</v>
      </c>
      <c r="AF2712">
        <v>5.5504735316725701E-2</v>
      </c>
      <c r="AG2712">
        <v>-1.1097176814909999</v>
      </c>
      <c r="AH2712">
        <v>22.849457497408</v>
      </c>
      <c r="AI2712">
        <v>92.780461314223302</v>
      </c>
      <c r="AJ2712">
        <v>89.860820292042206</v>
      </c>
      <c r="AK2712">
        <v>22.8764565008244</v>
      </c>
      <c r="AL2712">
        <v>96.106927679783496</v>
      </c>
      <c r="AM2712">
        <v>101.03686220109</v>
      </c>
      <c r="AN2712">
        <v>1.0000000302948899</v>
      </c>
    </row>
    <row r="2713" spans="1:40" x14ac:dyDescent="0.25">
      <c r="A2713" t="str">
        <f>"20190305135245789"</f>
        <v>20190305135245789</v>
      </c>
      <c r="B2713" t="str">
        <f>"1551765165782283"</f>
        <v>1551765165782283</v>
      </c>
      <c r="C2713" t="s">
        <v>40</v>
      </c>
      <c r="D2713">
        <v>5.2244250000000001</v>
      </c>
      <c r="E2713">
        <v>0.57565259999999996</v>
      </c>
      <c r="F2713" t="s">
        <v>42</v>
      </c>
      <c r="G2713">
        <v>-491.1635</v>
      </c>
      <c r="H2713" s="1">
        <v>-1.892664E-6</v>
      </c>
      <c r="I2713">
        <v>233.27940000000001</v>
      </c>
      <c r="J2713">
        <v>-487.76620000000003</v>
      </c>
      <c r="K2713">
        <v>1.109753</v>
      </c>
      <c r="L2713">
        <v>255.2259</v>
      </c>
      <c r="M2713">
        <v>-0.14908879999999999</v>
      </c>
      <c r="N2713">
        <v>-8.2951789999999997E-3</v>
      </c>
      <c r="O2713">
        <v>-0.98878900000000003</v>
      </c>
      <c r="P2713">
        <v>4.0867609999999999E-2</v>
      </c>
      <c r="Q2713">
        <v>-0.113523</v>
      </c>
      <c r="R2713">
        <v>-0.99269459999999998</v>
      </c>
      <c r="S2713">
        <v>-0.46801759999999898</v>
      </c>
      <c r="T2713">
        <v>-0.15190919999999999</v>
      </c>
      <c r="U2713">
        <v>-3.0247649999999999</v>
      </c>
      <c r="V2713">
        <v>-0.18807579999999999</v>
      </c>
      <c r="W2713">
        <v>-0.106032399999999</v>
      </c>
      <c r="X2713">
        <v>0.97641409999999995</v>
      </c>
      <c r="Y2713">
        <v>3.729413E-3</v>
      </c>
      <c r="Z2713">
        <v>4.0838739999999998E-2</v>
      </c>
      <c r="AA2713">
        <v>0.99915880000000001</v>
      </c>
      <c r="AB2713">
        <v>26</v>
      </c>
      <c r="AC2713">
        <v>-3.3972999999999698</v>
      </c>
      <c r="AD2713">
        <v>-1.109754892664</v>
      </c>
      <c r="AE2713">
        <v>-21.946499999999901</v>
      </c>
      <c r="AF2713">
        <v>8.7021221003086499E-2</v>
      </c>
      <c r="AG2713">
        <v>-1.109754892664</v>
      </c>
      <c r="AH2713">
        <v>22.152404393432001</v>
      </c>
      <c r="AI2713">
        <v>92.867890535529497</v>
      </c>
      <c r="AJ2713">
        <v>89.774926325994997</v>
      </c>
      <c r="AK2713">
        <v>22.180355024770101</v>
      </c>
      <c r="AL2713">
        <v>96.086651185211593</v>
      </c>
      <c r="AM2713">
        <v>100.90272048079601</v>
      </c>
      <c r="AN2713">
        <v>0.99999993553710198</v>
      </c>
    </row>
    <row r="2714" spans="1:40" x14ac:dyDescent="0.25">
      <c r="A2714" t="str">
        <f>"20190305135245808"</f>
        <v>20190305135245808</v>
      </c>
      <c r="B2714" t="str">
        <f>"1551765165801806"</f>
        <v>1551765165801806</v>
      </c>
      <c r="C2714" t="s">
        <v>40</v>
      </c>
      <c r="D2714">
        <v>5.5104129999999998</v>
      </c>
      <c r="E2714">
        <v>0.57522329999999999</v>
      </c>
      <c r="F2714" t="s">
        <v>42</v>
      </c>
      <c r="G2714">
        <v>-491.1669</v>
      </c>
      <c r="H2714" s="1">
        <v>-1.9418280000000001E-6</v>
      </c>
      <c r="I2714">
        <v>233.39179999999999</v>
      </c>
      <c r="J2714">
        <v>-487.79950000000002</v>
      </c>
      <c r="K2714">
        <v>1.1098300000000001</v>
      </c>
      <c r="L2714">
        <v>254.99299999999999</v>
      </c>
      <c r="M2714">
        <v>-0.14745050000000001</v>
      </c>
      <c r="N2714">
        <v>-8.605896E-3</v>
      </c>
      <c r="O2714">
        <v>-0.98903220000000003</v>
      </c>
      <c r="P2714">
        <v>3.787103E-2</v>
      </c>
      <c r="Q2714">
        <v>-0.1135457</v>
      </c>
      <c r="R2714">
        <v>-0.992811</v>
      </c>
      <c r="S2714">
        <v>-0.4709778</v>
      </c>
      <c r="T2714">
        <v>-0.15369530000000001</v>
      </c>
      <c r="U2714">
        <v>-3.023911</v>
      </c>
      <c r="V2714">
        <v>-0.1835117</v>
      </c>
      <c r="W2714">
        <v>-0.1057332</v>
      </c>
      <c r="X2714">
        <v>0.97731469999999998</v>
      </c>
      <c r="Y2714">
        <v>6.3808249999999997E-3</v>
      </c>
      <c r="Z2714">
        <v>4.113493E-2</v>
      </c>
      <c r="AA2714">
        <v>0.99913320000000005</v>
      </c>
      <c r="AB2714">
        <v>26</v>
      </c>
      <c r="AC2714">
        <v>-3.3673999999999702</v>
      </c>
      <c r="AD2714">
        <v>-1.1098319418279901</v>
      </c>
      <c r="AE2714">
        <v>-21.601199999999999</v>
      </c>
      <c r="AF2714">
        <v>0.14499098744871999</v>
      </c>
      <c r="AG2714">
        <v>-1.1098319418279901</v>
      </c>
      <c r="AH2714">
        <v>21.805417633244801</v>
      </c>
      <c r="AI2714">
        <v>92.913608964082698</v>
      </c>
      <c r="AJ2714">
        <v>89.619028199365999</v>
      </c>
      <c r="AK2714">
        <v>21.8341243810181</v>
      </c>
      <c r="AL2714">
        <v>96.069410749598106</v>
      </c>
      <c r="AM2714">
        <v>100.634673695348</v>
      </c>
      <c r="AN2714">
        <v>1.0000000382276</v>
      </c>
    </row>
    <row r="2715" spans="1:40" x14ac:dyDescent="0.25">
      <c r="A2715" t="str">
        <f>"20190305135245821"</f>
        <v>20190305135245821</v>
      </c>
      <c r="B2715" t="str">
        <f>"1551765165812539"</f>
        <v>1551765165812539</v>
      </c>
      <c r="C2715" t="s">
        <v>40</v>
      </c>
      <c r="D2715">
        <v>5.2197760000000004</v>
      </c>
      <c r="E2715">
        <v>0.575090199999999</v>
      </c>
      <c r="F2715" t="s">
        <v>42</v>
      </c>
      <c r="G2715">
        <v>-491.19900000000001</v>
      </c>
      <c r="H2715" s="1">
        <v>-1.9664189999999998E-6</v>
      </c>
      <c r="I2715">
        <v>233.42920000000001</v>
      </c>
      <c r="J2715">
        <v>-487.81990000000002</v>
      </c>
      <c r="K2715">
        <v>1.1098790000000001</v>
      </c>
      <c r="L2715">
        <v>254.84870000000001</v>
      </c>
      <c r="M2715">
        <v>-0.1464384</v>
      </c>
      <c r="N2715">
        <v>-8.8328809999999904E-3</v>
      </c>
      <c r="O2715">
        <v>-0.98918059999999997</v>
      </c>
      <c r="P2715">
        <v>3.6874749999999998E-2</v>
      </c>
      <c r="Q2715">
        <v>-0.1138503</v>
      </c>
      <c r="R2715">
        <v>-0.99281379999999997</v>
      </c>
      <c r="S2715">
        <v>-0.47644039999999999</v>
      </c>
      <c r="T2715">
        <v>-0.1555426</v>
      </c>
      <c r="U2715">
        <v>-3.0221559999999998</v>
      </c>
      <c r="V2715">
        <v>-0.18152650000000001</v>
      </c>
      <c r="W2715">
        <v>-0.10580820000000001</v>
      </c>
      <c r="X2715">
        <v>0.97767720000000002</v>
      </c>
      <c r="Y2715">
        <v>9.2511499999999997E-3</v>
      </c>
      <c r="Z2715">
        <v>4.1539180000000002E-2</v>
      </c>
      <c r="AA2715">
        <v>0.99909409999999998</v>
      </c>
      <c r="AB2715">
        <v>26</v>
      </c>
      <c r="AC2715">
        <v>-3.37909999999999</v>
      </c>
      <c r="AD2715">
        <v>-1.1098809664189999</v>
      </c>
      <c r="AE2715">
        <v>-21.419499999999999</v>
      </c>
      <c r="AF2715">
        <v>0.205372816501109</v>
      </c>
      <c r="AG2715">
        <v>-1.1098809664189999</v>
      </c>
      <c r="AH2715">
        <v>21.626768022584098</v>
      </c>
      <c r="AI2715">
        <v>92.937697217058997</v>
      </c>
      <c r="AJ2715">
        <v>89.455922313063894</v>
      </c>
      <c r="AK2715">
        <v>21.656202549293901</v>
      </c>
      <c r="AL2715">
        <v>96.073732550693904</v>
      </c>
      <c r="AM2715">
        <v>100.51839802995801</v>
      </c>
      <c r="AN2715">
        <v>0.99999997639466398</v>
      </c>
    </row>
    <row r="2716" spans="1:40" x14ac:dyDescent="0.25">
      <c r="A2716" t="str">
        <f>"20190305135245833"</f>
        <v>20190305135245833</v>
      </c>
      <c r="B2716" t="str">
        <f>"1551765165822299"</f>
        <v>1551765165822299</v>
      </c>
      <c r="C2716" t="s">
        <v>40</v>
      </c>
      <c r="D2716">
        <v>5.2040819999999997</v>
      </c>
      <c r="E2716">
        <v>0.57495160000000001</v>
      </c>
      <c r="F2716" t="s">
        <v>42</v>
      </c>
      <c r="G2716">
        <v>-491.2192</v>
      </c>
      <c r="H2716" s="1">
        <v>-1.9578429999999998E-6</v>
      </c>
      <c r="I2716">
        <v>233.39670000000001</v>
      </c>
      <c r="J2716">
        <v>-487.839</v>
      </c>
      <c r="K2716">
        <v>1.1099209999999999</v>
      </c>
      <c r="L2716">
        <v>254.71340000000001</v>
      </c>
      <c r="M2716">
        <v>-0.1454898</v>
      </c>
      <c r="N2716">
        <v>-9.0565490000000005E-3</v>
      </c>
      <c r="O2716">
        <v>-0.98931840000000004</v>
      </c>
      <c r="P2716">
        <v>3.5695650000000002E-2</v>
      </c>
      <c r="Q2716">
        <v>-0.1140345</v>
      </c>
      <c r="R2716">
        <v>-0.99283560000000004</v>
      </c>
      <c r="S2716">
        <v>-0.4787903</v>
      </c>
      <c r="T2716">
        <v>-0.1563301</v>
      </c>
      <c r="U2716">
        <v>-3.021576</v>
      </c>
      <c r="V2716">
        <v>-0.179426799999999</v>
      </c>
      <c r="W2716">
        <v>-0.105764</v>
      </c>
      <c r="X2716">
        <v>0.97806950000000004</v>
      </c>
      <c r="Y2716">
        <v>1.099637E-2</v>
      </c>
      <c r="Z2716">
        <v>4.1588809999999997E-2</v>
      </c>
      <c r="AA2716">
        <v>0.99907429999999997</v>
      </c>
      <c r="AB2716">
        <v>26</v>
      </c>
      <c r="AC2716">
        <v>-3.3801999999999999</v>
      </c>
      <c r="AD2716">
        <v>-1.1099229578430001</v>
      </c>
      <c r="AE2716">
        <v>-21.316700000000001</v>
      </c>
      <c r="AF2716">
        <v>0.24210130497243801</v>
      </c>
      <c r="AG2716">
        <v>-1.1099229578430001</v>
      </c>
      <c r="AH2716">
        <v>21.5247466764291</v>
      </c>
      <c r="AI2716">
        <v>92.951654483836805</v>
      </c>
      <c r="AJ2716">
        <v>89.355588323744996</v>
      </c>
      <c r="AK2716">
        <v>21.554703929738</v>
      </c>
      <c r="AL2716">
        <v>96.071185804437306</v>
      </c>
      <c r="AM2716">
        <v>100.395322000562</v>
      </c>
      <c r="AN2716">
        <v>0.99999997354224401</v>
      </c>
    </row>
    <row r="2717" spans="1:40" x14ac:dyDescent="0.25">
      <c r="A2717" t="str">
        <f>"20190305135245845"</f>
        <v>20190305135245845</v>
      </c>
      <c r="B2717" t="str">
        <f>"1551765165841819"</f>
        <v>1551765165841819</v>
      </c>
      <c r="C2717" t="s">
        <v>40</v>
      </c>
      <c r="D2717">
        <v>5.157394</v>
      </c>
      <c r="E2717">
        <v>0.57449910000000004</v>
      </c>
      <c r="F2717" t="s">
        <v>42</v>
      </c>
      <c r="G2717">
        <v>-491.22089999999997</v>
      </c>
      <c r="H2717" s="1">
        <v>-1.9944950000000002E-6</v>
      </c>
      <c r="I2717">
        <v>233.4811</v>
      </c>
      <c r="J2717">
        <v>-487.85919999999999</v>
      </c>
      <c r="K2717">
        <v>1.109958</v>
      </c>
      <c r="L2717">
        <v>254.56880000000001</v>
      </c>
      <c r="M2717">
        <v>-0.14447570000000001</v>
      </c>
      <c r="N2717">
        <v>-9.3011980000000001E-3</v>
      </c>
      <c r="O2717">
        <v>-0.98946460000000003</v>
      </c>
      <c r="P2717">
        <v>3.4781470000000002E-2</v>
      </c>
      <c r="Q2717">
        <v>-0.11461490000000001</v>
      </c>
      <c r="R2717">
        <v>-0.99280100000000004</v>
      </c>
      <c r="S2717">
        <v>-0.48117070000000001</v>
      </c>
      <c r="T2717">
        <v>-0.157914</v>
      </c>
      <c r="U2717">
        <v>-3.0208279999999998</v>
      </c>
      <c r="V2717">
        <v>-0.17751500000000001</v>
      </c>
      <c r="W2717">
        <v>-0.1060961</v>
      </c>
      <c r="X2717">
        <v>0.97838230000000004</v>
      </c>
      <c r="Y2717">
        <v>1.2824530000000001E-2</v>
      </c>
      <c r="Z2717">
        <v>4.187809E-2</v>
      </c>
      <c r="AA2717">
        <v>0.99904040000000005</v>
      </c>
      <c r="AB2717">
        <v>26</v>
      </c>
      <c r="AC2717">
        <v>-3.3616999999999799</v>
      </c>
      <c r="AD2717">
        <v>-1.109959994495</v>
      </c>
      <c r="AE2717">
        <v>-21.087700000000002</v>
      </c>
      <c r="AF2717">
        <v>0.27888154293804501</v>
      </c>
      <c r="AG2717">
        <v>-1.109959994495</v>
      </c>
      <c r="AH2717">
        <v>21.294606619318099</v>
      </c>
      <c r="AI2717">
        <v>92.983529337088399</v>
      </c>
      <c r="AJ2717">
        <v>89.249677524128799</v>
      </c>
      <c r="AK2717">
        <v>21.325338383619599</v>
      </c>
      <c r="AL2717">
        <v>96.090321595293005</v>
      </c>
      <c r="AM2717">
        <v>100.283718035238</v>
      </c>
      <c r="AN2717">
        <v>0.99999994130674796</v>
      </c>
    </row>
    <row r="2718" spans="1:40" x14ac:dyDescent="0.25">
      <c r="A2718" t="str">
        <f>"20190305135245857"</f>
        <v>20190305135245857</v>
      </c>
      <c r="B2718" t="str">
        <f>"1551765165852086"</f>
        <v>1551765165852086</v>
      </c>
      <c r="C2718" t="s">
        <v>40</v>
      </c>
      <c r="D2718">
        <v>5.1818580000000001</v>
      </c>
      <c r="E2718">
        <v>0.57420280000000001</v>
      </c>
      <c r="F2718" t="s">
        <v>42</v>
      </c>
      <c r="G2718">
        <v>-491.12279999999998</v>
      </c>
      <c r="H2718" s="1">
        <v>-2.2289139999999999E-6</v>
      </c>
      <c r="I2718">
        <v>234.08840000000001</v>
      </c>
      <c r="J2718">
        <v>-487.88010000000003</v>
      </c>
      <c r="K2718">
        <v>1.1099920000000001</v>
      </c>
      <c r="L2718">
        <v>254.41730000000001</v>
      </c>
      <c r="M2718">
        <v>-0.14341870000000001</v>
      </c>
      <c r="N2718">
        <v>-9.5503050000000003E-3</v>
      </c>
      <c r="O2718">
        <v>-0.98961619999999995</v>
      </c>
      <c r="P2718">
        <v>3.3924780000000002E-2</v>
      </c>
      <c r="Q2718">
        <v>-0.11512360000000001</v>
      </c>
      <c r="R2718">
        <v>-0.99277190000000004</v>
      </c>
      <c r="S2718">
        <v>-0.4812012</v>
      </c>
      <c r="T2718">
        <v>-0.16365729999999901</v>
      </c>
      <c r="U2718">
        <v>-3.019714</v>
      </c>
      <c r="V2718">
        <v>-0.17561940000000001</v>
      </c>
      <c r="W2718">
        <v>-0.10635029999999999</v>
      </c>
      <c r="X2718">
        <v>0.97869680000000003</v>
      </c>
      <c r="Y2718">
        <v>1.394769E-2</v>
      </c>
      <c r="Z2718">
        <v>4.3515150000000002E-2</v>
      </c>
      <c r="AA2718">
        <v>0.99895540000000005</v>
      </c>
      <c r="AB2718">
        <v>26</v>
      </c>
      <c r="AC2718">
        <v>-3.24269999999995</v>
      </c>
      <c r="AD2718">
        <v>-1.1099942289139999</v>
      </c>
      <c r="AE2718">
        <v>-20.328900000000001</v>
      </c>
      <c r="AF2718">
        <v>0.29264653964776</v>
      </c>
      <c r="AG2718">
        <v>-1.1099942289139999</v>
      </c>
      <c r="AH2718">
        <v>20.524136207249899</v>
      </c>
      <c r="AI2718">
        <v>93.095362521003693</v>
      </c>
      <c r="AJ2718">
        <v>89.183094710673402</v>
      </c>
      <c r="AK2718">
        <v>20.556213081186399</v>
      </c>
      <c r="AL2718">
        <v>96.104968736420503</v>
      </c>
      <c r="AM2718">
        <v>100.173008057177</v>
      </c>
      <c r="AN2718">
        <v>0.99999999314834498</v>
      </c>
    </row>
    <row r="2719" spans="1:40" x14ac:dyDescent="0.25">
      <c r="A2719" t="str">
        <f>"20190305135245874"</f>
        <v>20190305135245874</v>
      </c>
      <c r="B2719" t="str">
        <f>"1551765165872582"</f>
        <v>1551765165872582</v>
      </c>
      <c r="C2719" t="s">
        <v>40</v>
      </c>
      <c r="D2719">
        <v>5.1725349999999999</v>
      </c>
      <c r="E2719">
        <v>0.5737797</v>
      </c>
      <c r="F2719" t="s">
        <v>42</v>
      </c>
      <c r="G2719">
        <v>-491.07580000000002</v>
      </c>
      <c r="H2719" s="1">
        <v>-2.3349299999999999E-6</v>
      </c>
      <c r="I2719">
        <v>234.3646</v>
      </c>
      <c r="J2719">
        <v>-487.90620000000001</v>
      </c>
      <c r="K2719">
        <v>1.110028</v>
      </c>
      <c r="L2719">
        <v>254.22730000000001</v>
      </c>
      <c r="M2719">
        <v>-0.14210130000000001</v>
      </c>
      <c r="N2719">
        <v>-9.8534030000000002E-3</v>
      </c>
      <c r="O2719">
        <v>-0.98980319999999999</v>
      </c>
      <c r="P2719">
        <v>3.1347449999999999E-2</v>
      </c>
      <c r="Q2719">
        <v>-0.115082</v>
      </c>
      <c r="R2719">
        <v>-0.99286160000000001</v>
      </c>
      <c r="S2719">
        <v>-0.48110960000000003</v>
      </c>
      <c r="T2719">
        <v>-0.16710820000000001</v>
      </c>
      <c r="U2719">
        <v>-3.0189059999999999</v>
      </c>
      <c r="V2719">
        <v>-0.17178350000000001</v>
      </c>
      <c r="W2719">
        <v>-0.1059895</v>
      </c>
      <c r="X2719">
        <v>0.97941650000000002</v>
      </c>
      <c r="Y2719">
        <v>1.528377E-2</v>
      </c>
      <c r="Z2719">
        <v>4.4357809999999998E-2</v>
      </c>
      <c r="AA2719">
        <v>0.99889879999999998</v>
      </c>
      <c r="AB2719">
        <v>26</v>
      </c>
      <c r="AC2719">
        <v>-3.1696</v>
      </c>
      <c r="AD2719">
        <v>-1.11003033492999</v>
      </c>
      <c r="AE2719">
        <v>-19.8627</v>
      </c>
      <c r="AF2719">
        <v>0.31382419183287102</v>
      </c>
      <c r="AG2719">
        <v>-1.11003033492999</v>
      </c>
      <c r="AH2719">
        <v>20.0504764944207</v>
      </c>
      <c r="AI2719">
        <v>93.168375126799702</v>
      </c>
      <c r="AJ2719">
        <v>89.103296441162101</v>
      </c>
      <c r="AK2719">
        <v>20.083631659168699</v>
      </c>
      <c r="AL2719">
        <v>96.084178795344002</v>
      </c>
      <c r="AM2719">
        <v>99.9481320205701</v>
      </c>
      <c r="AN2719">
        <v>1.00000001272737</v>
      </c>
    </row>
    <row r="2720" spans="1:40" x14ac:dyDescent="0.25">
      <c r="A2720" t="str">
        <f>"20190305135245888"</f>
        <v>20190305135245888</v>
      </c>
      <c r="B2720" t="str">
        <f>"1551765165882342"</f>
        <v>1551765165882342</v>
      </c>
      <c r="C2720" t="s">
        <v>40</v>
      </c>
      <c r="D2720">
        <v>5.3544320000000001</v>
      </c>
      <c r="E2720">
        <v>0.57352510000000001</v>
      </c>
      <c r="F2720" t="s">
        <v>42</v>
      </c>
      <c r="G2720">
        <v>-491.06139999999999</v>
      </c>
      <c r="H2720" s="1">
        <v>-2.448196E-6</v>
      </c>
      <c r="I2720">
        <v>234.63759999999999</v>
      </c>
      <c r="J2720">
        <v>-487.9271</v>
      </c>
      <c r="K2720">
        <v>1.1100490000000001</v>
      </c>
      <c r="L2720">
        <v>254.07409999999999</v>
      </c>
      <c r="M2720">
        <v>-0.141047799999999</v>
      </c>
      <c r="N2720">
        <v>-1.009004E-2</v>
      </c>
      <c r="O2720">
        <v>-0.98995140000000004</v>
      </c>
      <c r="P2720">
        <v>3.0355589999999998E-2</v>
      </c>
      <c r="Q2720">
        <v>-0.1150969</v>
      </c>
      <c r="R2720">
        <v>-0.9928903</v>
      </c>
      <c r="S2720">
        <v>-0.4859619</v>
      </c>
      <c r="T2720">
        <v>-0.17096159999999999</v>
      </c>
      <c r="U2720">
        <v>-3.0171199999999998</v>
      </c>
      <c r="V2720">
        <v>-0.16976749999999999</v>
      </c>
      <c r="W2720">
        <v>-0.10575909999999999</v>
      </c>
      <c r="X2720">
        <v>0.97979280000000002</v>
      </c>
      <c r="Y2720">
        <v>1.7996939999999999E-2</v>
      </c>
      <c r="Z2720">
        <v>4.540508E-2</v>
      </c>
      <c r="AA2720">
        <v>0.99880650000000004</v>
      </c>
      <c r="AB2720">
        <v>26</v>
      </c>
      <c r="AC2720">
        <v>-3.1342999999999899</v>
      </c>
      <c r="AD2720">
        <v>-1.110051448196</v>
      </c>
      <c r="AE2720">
        <v>-19.436499999999899</v>
      </c>
      <c r="AF2720">
        <v>0.36020238046161202</v>
      </c>
      <c r="AG2720">
        <v>-1.110051448196</v>
      </c>
      <c r="AH2720">
        <v>19.621898400548101</v>
      </c>
      <c r="AI2720">
        <v>93.237345461499899</v>
      </c>
      <c r="AJ2720">
        <v>88.948330178110396</v>
      </c>
      <c r="AK2720">
        <v>19.656572865430199</v>
      </c>
      <c r="AL2720">
        <v>96.070903547408193</v>
      </c>
      <c r="AM2720">
        <v>99.829972997288607</v>
      </c>
      <c r="AN2720">
        <v>0.99999996111044898</v>
      </c>
    </row>
    <row r="2721" spans="1:40" x14ac:dyDescent="0.25">
      <c r="A2721" t="str">
        <f>"20190305135245902"</f>
        <v>20190305135245902</v>
      </c>
      <c r="B2721" t="str">
        <f>"1551765165892102"</f>
        <v>1551765165892102</v>
      </c>
      <c r="C2721" t="s">
        <v>40</v>
      </c>
      <c r="D2721">
        <v>5.3732329999999999</v>
      </c>
      <c r="E2721">
        <v>0.57320199999999999</v>
      </c>
      <c r="F2721" t="s">
        <v>42</v>
      </c>
      <c r="G2721">
        <v>-491.09789999999998</v>
      </c>
      <c r="H2721" s="1">
        <v>-2.3691650000000002E-6</v>
      </c>
      <c r="I2721">
        <v>234.4307</v>
      </c>
      <c r="J2721">
        <v>-487.95069999999998</v>
      </c>
      <c r="K2721">
        <v>1.110063</v>
      </c>
      <c r="L2721">
        <v>253.89859999999999</v>
      </c>
      <c r="M2721">
        <v>-0.13985799999999901</v>
      </c>
      <c r="N2721">
        <v>-1.035056E-2</v>
      </c>
      <c r="O2721">
        <v>-0.99011780000000005</v>
      </c>
      <c r="P2721">
        <v>2.9520210000000002E-2</v>
      </c>
      <c r="Q2721">
        <v>-0.11533309999999999</v>
      </c>
      <c r="R2721">
        <v>-0.99288829999999995</v>
      </c>
      <c r="S2721">
        <v>-0.4869385</v>
      </c>
      <c r="T2721">
        <v>-0.1704677</v>
      </c>
      <c r="U2721">
        <v>-3.0165860000000002</v>
      </c>
      <c r="V2721">
        <v>-0.16776759999999999</v>
      </c>
      <c r="W2721">
        <v>-0.1057244</v>
      </c>
      <c r="X2721">
        <v>0.98014100000000004</v>
      </c>
      <c r="Y2721">
        <v>1.9543209999999998E-2</v>
      </c>
      <c r="Z2721">
        <v>4.5008989999999999E-2</v>
      </c>
      <c r="AA2721">
        <v>0.9987954</v>
      </c>
      <c r="AB2721">
        <v>26</v>
      </c>
      <c r="AC2721">
        <v>-3.14719999999999</v>
      </c>
      <c r="AD2721">
        <v>-1.110065369165</v>
      </c>
      <c r="AE2721">
        <v>-19.467899999999901</v>
      </c>
      <c r="AF2721">
        <v>0.39213564174481402</v>
      </c>
      <c r="AG2721">
        <v>-1.110065369165</v>
      </c>
      <c r="AH2721">
        <v>19.654449915593499</v>
      </c>
      <c r="AI2721">
        <v>93.231937168205505</v>
      </c>
      <c r="AJ2721">
        <v>88.857015236012501</v>
      </c>
      <c r="AK2721">
        <v>19.689677929563</v>
      </c>
      <c r="AL2721">
        <v>96.068903949077793</v>
      </c>
      <c r="AM2721">
        <v>99.713007788410394</v>
      </c>
      <c r="AN2721">
        <v>0.99999999812305995</v>
      </c>
    </row>
    <row r="2722" spans="1:40" x14ac:dyDescent="0.25">
      <c r="A2722" t="str">
        <f>"20190305135245918"</f>
        <v>20190305135245918</v>
      </c>
      <c r="B2722" t="str">
        <f>"1551765165912598"</f>
        <v>1551765165912598</v>
      </c>
      <c r="C2722" t="s">
        <v>40</v>
      </c>
      <c r="D2722">
        <v>5.1904879999999904</v>
      </c>
      <c r="E2722">
        <v>0.57267250000000003</v>
      </c>
      <c r="F2722" t="s">
        <v>42</v>
      </c>
      <c r="G2722">
        <v>-491.11009999999999</v>
      </c>
      <c r="H2722" s="1">
        <v>-2.3230679999999998E-6</v>
      </c>
      <c r="I2722">
        <v>234.31569999999999</v>
      </c>
      <c r="J2722">
        <v>-487.97309999999999</v>
      </c>
      <c r="K2722">
        <v>1.1100639999999999</v>
      </c>
      <c r="L2722">
        <v>253.73099999999999</v>
      </c>
      <c r="M2722">
        <v>-0.13874129999999901</v>
      </c>
      <c r="N2722">
        <v>-1.058652E-2</v>
      </c>
      <c r="O2722">
        <v>-0.99027200000000004</v>
      </c>
      <c r="P2722">
        <v>2.8358930000000001E-2</v>
      </c>
      <c r="Q2722">
        <v>-0.11569110000000001</v>
      </c>
      <c r="R2722">
        <v>-0.9928806</v>
      </c>
      <c r="S2722">
        <v>-0.4866028</v>
      </c>
      <c r="T2722">
        <v>-0.170967799999999</v>
      </c>
      <c r="U2722">
        <v>-3.0160830000000001</v>
      </c>
      <c r="V2722">
        <v>-0.16551679999999999</v>
      </c>
      <c r="W2722">
        <v>-0.10583289999999999</v>
      </c>
      <c r="X2722">
        <v>0.98051189999999999</v>
      </c>
      <c r="Y2722">
        <v>2.058807E-2</v>
      </c>
      <c r="Z2722">
        <v>4.4958659999999998E-2</v>
      </c>
      <c r="AA2722">
        <v>0.99877669999999996</v>
      </c>
      <c r="AB2722">
        <v>26</v>
      </c>
      <c r="AC2722">
        <v>-3.137</v>
      </c>
      <c r="AD2722">
        <v>-1.1100663230679999</v>
      </c>
      <c r="AE2722">
        <v>-19.415299999999998</v>
      </c>
      <c r="AF2722">
        <v>0.41149153821928502</v>
      </c>
      <c r="AG2722">
        <v>-1.1100663230679999</v>
      </c>
      <c r="AH2722">
        <v>19.600320164309</v>
      </c>
      <c r="AI2722">
        <v>93.240777513422202</v>
      </c>
      <c r="AJ2722">
        <v>88.797302017323005</v>
      </c>
      <c r="AK2722">
        <v>19.636041430773499</v>
      </c>
      <c r="AL2722">
        <v>96.075155603908399</v>
      </c>
      <c r="AM2722">
        <v>99.581571489572198</v>
      </c>
      <c r="AN2722">
        <v>0.99999999992312905</v>
      </c>
    </row>
    <row r="2723" spans="1:40" x14ac:dyDescent="0.25">
      <c r="A2723" t="str">
        <f>"20190305135245933"</f>
        <v>20190305135245933</v>
      </c>
      <c r="B2723" t="str">
        <f>"1551765165922357"</f>
        <v>1551765165922357</v>
      </c>
      <c r="C2723" t="s">
        <v>40</v>
      </c>
      <c r="D2723">
        <v>5.1745809999999999</v>
      </c>
      <c r="E2723">
        <v>0.57243959999999905</v>
      </c>
      <c r="F2723" t="s">
        <v>42</v>
      </c>
      <c r="G2723">
        <v>-491.12209999999999</v>
      </c>
      <c r="H2723" s="1">
        <v>-2.2786609999999999E-6</v>
      </c>
      <c r="I2723">
        <v>234.20480000000001</v>
      </c>
      <c r="J2723">
        <v>-487.99680000000001</v>
      </c>
      <c r="K2723">
        <v>1.1100559999999999</v>
      </c>
      <c r="L2723">
        <v>253.55260000000001</v>
      </c>
      <c r="M2723">
        <v>-0.13757349999999999</v>
      </c>
      <c r="N2723">
        <v>-1.082526E-2</v>
      </c>
      <c r="O2723">
        <v>-0.9904328</v>
      </c>
      <c r="P2723">
        <v>2.4993990000000001E-2</v>
      </c>
      <c r="Q2723">
        <v>-0.1164173</v>
      </c>
      <c r="R2723">
        <v>-0.99288639999999995</v>
      </c>
      <c r="S2723">
        <v>-0.4862976</v>
      </c>
      <c r="T2723">
        <v>-0.17142669999999999</v>
      </c>
      <c r="U2723">
        <v>-3.0154269999999999</v>
      </c>
      <c r="V2723">
        <v>-0.16103509999999999</v>
      </c>
      <c r="W2723">
        <v>-0.1062941</v>
      </c>
      <c r="X2723">
        <v>0.98120810000000003</v>
      </c>
      <c r="Y2723">
        <v>2.1702300000000001E-2</v>
      </c>
      <c r="Z2723">
        <v>4.4895450000000003E-2</v>
      </c>
      <c r="AA2723">
        <v>0.99875590000000003</v>
      </c>
      <c r="AB2723">
        <v>26</v>
      </c>
      <c r="AC2723">
        <v>-3.1252999999999802</v>
      </c>
      <c r="AD2723">
        <v>-1.110058278661</v>
      </c>
      <c r="AE2723">
        <v>-19.347799999999999</v>
      </c>
      <c r="AF2723">
        <v>0.43229348652637201</v>
      </c>
      <c r="AG2723">
        <v>-1.110058278661</v>
      </c>
      <c r="AH2723">
        <v>19.531137630998799</v>
      </c>
      <c r="AI2723">
        <v>93.252129071164305</v>
      </c>
      <c r="AJ2723">
        <v>88.732047805816194</v>
      </c>
      <c r="AK2723">
        <v>19.567433255323401</v>
      </c>
      <c r="AL2723">
        <v>96.101730087060403</v>
      </c>
      <c r="AM2723">
        <v>99.320250219551397</v>
      </c>
      <c r="AN2723">
        <v>1.0000000373162099</v>
      </c>
    </row>
    <row r="2724" spans="1:40" x14ac:dyDescent="0.25">
      <c r="A2724" t="str">
        <f>"20190305135245949"</f>
        <v>20190305135245949</v>
      </c>
      <c r="B2724" t="str">
        <f>"1551765165941877"</f>
        <v>1551765165941877</v>
      </c>
      <c r="C2724" t="s">
        <v>40</v>
      </c>
      <c r="D2724">
        <v>5.3370680000000004</v>
      </c>
      <c r="E2724">
        <v>0.57200240000000002</v>
      </c>
      <c r="F2724" t="s">
        <v>42</v>
      </c>
      <c r="G2724">
        <v>-491.1669</v>
      </c>
      <c r="H2724" s="1">
        <v>-2.3022709999999998E-6</v>
      </c>
      <c r="I2724">
        <v>234.232</v>
      </c>
      <c r="J2724">
        <v>-488.02280000000002</v>
      </c>
      <c r="K2724">
        <v>1.110044</v>
      </c>
      <c r="L2724">
        <v>253.35550000000001</v>
      </c>
      <c r="M2724">
        <v>-0.1363142</v>
      </c>
      <c r="N2724">
        <v>-1.10714E-2</v>
      </c>
      <c r="O2724">
        <v>-0.99060400000000004</v>
      </c>
      <c r="P2724">
        <v>2.376317E-2</v>
      </c>
      <c r="Q2724">
        <v>-0.117077</v>
      </c>
      <c r="R2724">
        <v>-0.99283900000000003</v>
      </c>
      <c r="S2724">
        <v>-0.49447629999999998</v>
      </c>
      <c r="T2724">
        <v>-0.17314760000000001</v>
      </c>
      <c r="U2724">
        <v>-3.0136409999999998</v>
      </c>
      <c r="V2724">
        <v>-0.15857099999999999</v>
      </c>
      <c r="W2724">
        <v>-0.1066878</v>
      </c>
      <c r="X2724">
        <v>0.98156659999999996</v>
      </c>
      <c r="Y2724">
        <v>2.5702019999999999E-2</v>
      </c>
      <c r="Z2724">
        <v>4.524251E-2</v>
      </c>
      <c r="AA2724">
        <v>0.99864540000000002</v>
      </c>
      <c r="AB2724">
        <v>26</v>
      </c>
      <c r="AC2724">
        <v>-3.1440999999999799</v>
      </c>
      <c r="AD2724">
        <v>-1.1100463022710001</v>
      </c>
      <c r="AE2724">
        <v>-19.1235</v>
      </c>
      <c r="AF2724">
        <v>0.506124016237392</v>
      </c>
      <c r="AG2724">
        <v>-1.1100463022710001</v>
      </c>
      <c r="AH2724">
        <v>19.310233673230101</v>
      </c>
      <c r="AI2724">
        <v>93.288892731903999</v>
      </c>
      <c r="AJ2724">
        <v>88.498613076238101</v>
      </c>
      <c r="AK2724">
        <v>19.348733519994202</v>
      </c>
      <c r="AL2724">
        <v>96.1244165464893</v>
      </c>
      <c r="AM2724">
        <v>99.176785953030901</v>
      </c>
      <c r="AN2724">
        <v>1.0000000194726899</v>
      </c>
    </row>
    <row r="2725" spans="1:40" x14ac:dyDescent="0.25">
      <c r="A2725" t="str">
        <f>"20190305135245963"</f>
        <v>20190305135245963</v>
      </c>
      <c r="B2725" t="str">
        <f>"1551765165952146"</f>
        <v>1551765165952146</v>
      </c>
      <c r="C2725" t="s">
        <v>40</v>
      </c>
      <c r="D2725">
        <v>5.1155540000000004</v>
      </c>
      <c r="E2725">
        <v>0.57176249999999995</v>
      </c>
      <c r="F2725" t="s">
        <v>42</v>
      </c>
      <c r="G2725">
        <v>-491.17579999999998</v>
      </c>
      <c r="H2725" s="1">
        <v>-2.2671150000000001E-6</v>
      </c>
      <c r="I2725">
        <v>234.14449999999999</v>
      </c>
      <c r="J2725">
        <v>-488.04500000000002</v>
      </c>
      <c r="K2725">
        <v>1.1100239999999999</v>
      </c>
      <c r="L2725">
        <v>253.1849</v>
      </c>
      <c r="M2725">
        <v>-0.1352525</v>
      </c>
      <c r="N2725">
        <v>-1.1269309999999999E-2</v>
      </c>
      <c r="O2725">
        <v>-0.99074720000000005</v>
      </c>
      <c r="P2725">
        <v>2.0284480000000001E-2</v>
      </c>
      <c r="Q2725">
        <v>-0.1171249</v>
      </c>
      <c r="R2725">
        <v>-0.99290999999999996</v>
      </c>
      <c r="S2725">
        <v>-0.49450680000000002</v>
      </c>
      <c r="T2725">
        <v>-0.1740949</v>
      </c>
      <c r="U2725">
        <v>-3.0129700000000001</v>
      </c>
      <c r="V2725">
        <v>-0.1540936</v>
      </c>
      <c r="W2725">
        <v>-0.1065067</v>
      </c>
      <c r="X2725">
        <v>0.98229909999999998</v>
      </c>
      <c r="Y2725">
        <v>2.6816799999999998E-2</v>
      </c>
      <c r="Z2725">
        <v>4.5376519999999997E-2</v>
      </c>
      <c r="AA2725">
        <v>0.99861</v>
      </c>
      <c r="AB2725">
        <v>26</v>
      </c>
      <c r="AC2725">
        <v>-3.1307999999999598</v>
      </c>
      <c r="AD2725">
        <v>-1.1100262671150001</v>
      </c>
      <c r="AE2725">
        <v>-19.040400000000002</v>
      </c>
      <c r="AF2725">
        <v>0.52486609850515897</v>
      </c>
      <c r="AG2725">
        <v>-1.1100262671150001</v>
      </c>
      <c r="AH2725">
        <v>19.225272911539101</v>
      </c>
      <c r="AI2725">
        <v>93.303239358679804</v>
      </c>
      <c r="AJ2725">
        <v>88.436165544549596</v>
      </c>
      <c r="AK2725">
        <v>19.264442926236001</v>
      </c>
      <c r="AL2725">
        <v>96.113980828479697</v>
      </c>
      <c r="AM2725">
        <v>98.915352015234802</v>
      </c>
      <c r="AN2725">
        <v>1.00000001828333</v>
      </c>
    </row>
    <row r="2726" spans="1:40" x14ac:dyDescent="0.25">
      <c r="A2726" t="str">
        <f>"20190305135245976"</f>
        <v>20190305135245976</v>
      </c>
      <c r="B2726" t="str">
        <f>"1551765165972641"</f>
        <v>1551765165972641</v>
      </c>
      <c r="C2726" t="s">
        <v>40</v>
      </c>
      <c r="D2726">
        <v>5.155341</v>
      </c>
      <c r="E2726">
        <v>0.57119869999999995</v>
      </c>
      <c r="F2726" t="s">
        <v>42</v>
      </c>
      <c r="G2726">
        <v>-491.25150000000002</v>
      </c>
      <c r="H2726" s="1">
        <v>-2.2231590000000001E-6</v>
      </c>
      <c r="I2726">
        <v>233.99510000000001</v>
      </c>
      <c r="J2726">
        <v>-488.06290000000001</v>
      </c>
      <c r="K2726">
        <v>1.109998</v>
      </c>
      <c r="L2726">
        <v>253.047</v>
      </c>
      <c r="M2726">
        <v>-0.13442879999999999</v>
      </c>
      <c r="N2726">
        <v>-1.141469E-2</v>
      </c>
      <c r="O2726">
        <v>-0.99085749999999995</v>
      </c>
      <c r="P2726">
        <v>1.870057E-2</v>
      </c>
      <c r="Q2726">
        <v>-0.1169789</v>
      </c>
      <c r="R2726">
        <v>-0.99295820000000001</v>
      </c>
      <c r="S2726">
        <v>-0.50314329999999996</v>
      </c>
      <c r="T2726">
        <v>-0.17417929999999901</v>
      </c>
      <c r="U2726">
        <v>-3.0111539999999999</v>
      </c>
      <c r="V2726">
        <v>-0.15172449999999901</v>
      </c>
      <c r="W2726">
        <v>-0.10619439999999999</v>
      </c>
      <c r="X2726">
        <v>0.98270159999999995</v>
      </c>
      <c r="Y2726">
        <v>3.0530370000000001E-2</v>
      </c>
      <c r="Z2726">
        <v>4.528865E-2</v>
      </c>
      <c r="AA2726">
        <v>0.99850729999999999</v>
      </c>
      <c r="AB2726">
        <v>26</v>
      </c>
      <c r="AC2726">
        <v>-3.1886000000000001</v>
      </c>
      <c r="AD2726">
        <v>-1.110000223159</v>
      </c>
      <c r="AE2726">
        <v>-19.0518999999999</v>
      </c>
      <c r="AF2726">
        <v>0.59639388883895905</v>
      </c>
      <c r="AG2726">
        <v>-1.110000223159</v>
      </c>
      <c r="AH2726">
        <v>19.244072553340501</v>
      </c>
      <c r="AI2726">
        <v>93.299588467084604</v>
      </c>
      <c r="AJ2726">
        <v>88.224912152868001</v>
      </c>
      <c r="AK2726">
        <v>19.285282331464401</v>
      </c>
      <c r="AL2726">
        <v>96.095985382647299</v>
      </c>
      <c r="AM2726">
        <v>98.776895519296204</v>
      </c>
      <c r="AN2726">
        <v>1.00000000456708</v>
      </c>
    </row>
    <row r="2727" spans="1:40" x14ac:dyDescent="0.25">
      <c r="A2727" t="str">
        <f>"20190305135245988"</f>
        <v>20190305135245988</v>
      </c>
      <c r="B2727" t="str">
        <f>"1551765165982401"</f>
        <v>1551765165982401</v>
      </c>
      <c r="C2727" t="s">
        <v>40</v>
      </c>
      <c r="D2727">
        <v>5.1051440000000001</v>
      </c>
      <c r="E2727">
        <v>0.57090019999999997</v>
      </c>
      <c r="F2727" t="s">
        <v>42</v>
      </c>
      <c r="G2727">
        <v>-491.24450000000002</v>
      </c>
      <c r="H2727" s="1">
        <v>-2.2386040000000002E-6</v>
      </c>
      <c r="I2727">
        <v>234.03550000000001</v>
      </c>
      <c r="J2727">
        <v>-488.08109999999999</v>
      </c>
      <c r="K2727">
        <v>1.1099699999999999</v>
      </c>
      <c r="L2727">
        <v>252.90639999999999</v>
      </c>
      <c r="M2727">
        <v>-0.13360540000000001</v>
      </c>
      <c r="N2727">
        <v>-1.1557960000000001E-2</v>
      </c>
      <c r="O2727">
        <v>-0.99096740000000005</v>
      </c>
      <c r="P2727">
        <v>1.7000790000000002E-2</v>
      </c>
      <c r="Q2727">
        <v>-0.1167603</v>
      </c>
      <c r="R2727">
        <v>-0.99301490000000003</v>
      </c>
      <c r="S2727">
        <v>-0.50372309999999998</v>
      </c>
      <c r="T2727">
        <v>-0.17574310000000001</v>
      </c>
      <c r="U2727">
        <v>-3.01004</v>
      </c>
      <c r="V2727">
        <v>-0.14924279999999901</v>
      </c>
      <c r="W2727">
        <v>-0.1058101</v>
      </c>
      <c r="X2727">
        <v>0.98312299999999997</v>
      </c>
      <c r="Y2727">
        <v>3.160429E-2</v>
      </c>
      <c r="Z2727">
        <v>4.5681479999999997E-2</v>
      </c>
      <c r="AA2727">
        <v>0.99845600000000001</v>
      </c>
      <c r="AB2727">
        <v>26</v>
      </c>
      <c r="AC2727">
        <v>-3.1634000000000202</v>
      </c>
      <c r="AD2727">
        <v>-1.1099722386040001</v>
      </c>
      <c r="AE2727">
        <v>-18.870899999999899</v>
      </c>
      <c r="AF2727">
        <v>0.61155503255357502</v>
      </c>
      <c r="AG2727">
        <v>-1.1099722386040001</v>
      </c>
      <c r="AH2727">
        <v>19.060227502423999</v>
      </c>
      <c r="AI2727">
        <v>93.331144846331597</v>
      </c>
      <c r="AJ2727">
        <v>88.162272426042705</v>
      </c>
      <c r="AK2727">
        <v>19.102311649967302</v>
      </c>
      <c r="AL2727">
        <v>96.073841810937907</v>
      </c>
      <c r="AM2727">
        <v>98.631871237438205</v>
      </c>
      <c r="AN2727">
        <v>1.0000000118714201</v>
      </c>
    </row>
    <row r="2728" spans="1:40" x14ac:dyDescent="0.25">
      <c r="A2728" t="str">
        <f>"20190305135246000"</f>
        <v>20190305135246000</v>
      </c>
      <c r="B2728" t="str">
        <f>"1551765165992161"</f>
        <v>1551765165992161</v>
      </c>
      <c r="C2728" t="s">
        <v>40</v>
      </c>
      <c r="D2728">
        <v>5.0785330000000002</v>
      </c>
      <c r="E2728">
        <v>0.5706078</v>
      </c>
      <c r="F2728" t="s">
        <v>42</v>
      </c>
      <c r="G2728">
        <v>-491.27249999999998</v>
      </c>
      <c r="H2728" s="1">
        <v>-2.2053869999999999E-6</v>
      </c>
      <c r="I2728">
        <v>233.94069999999999</v>
      </c>
      <c r="J2728">
        <v>-488.10039999999998</v>
      </c>
      <c r="K2728">
        <v>1.1099289999999999</v>
      </c>
      <c r="L2728">
        <v>252.7559</v>
      </c>
      <c r="M2728">
        <v>-0.1327699</v>
      </c>
      <c r="N2728">
        <v>-1.169888E-2</v>
      </c>
      <c r="O2728">
        <v>-0.99107809999999996</v>
      </c>
      <c r="P2728">
        <v>1.52654E-2</v>
      </c>
      <c r="Q2728">
        <v>-0.11672399999999999</v>
      </c>
      <c r="R2728">
        <v>-0.99304740000000002</v>
      </c>
      <c r="S2728">
        <v>-0.50634769999999996</v>
      </c>
      <c r="T2728">
        <v>-0.17610689999999901</v>
      </c>
      <c r="U2728">
        <v>-3.0090789999999998</v>
      </c>
      <c r="V2728">
        <v>-0.14671219999999999</v>
      </c>
      <c r="W2728">
        <v>-0.1056069</v>
      </c>
      <c r="X2728">
        <v>0.9835256</v>
      </c>
      <c r="Y2728">
        <v>3.334463E-2</v>
      </c>
      <c r="Z2728">
        <v>4.5682E-2</v>
      </c>
      <c r="AA2728">
        <v>0.99839940000000005</v>
      </c>
      <c r="AB2728">
        <v>26</v>
      </c>
      <c r="AC2728">
        <v>-3.1720999999999999</v>
      </c>
      <c r="AD2728">
        <v>-1.1099312053870001</v>
      </c>
      <c r="AE2728">
        <v>-18.815200000000001</v>
      </c>
      <c r="AF2728">
        <v>0.64357293405986904</v>
      </c>
      <c r="AG2728">
        <v>-1.1099312053870001</v>
      </c>
      <c r="AH2728">
        <v>19.005481801528799</v>
      </c>
      <c r="AI2728">
        <v>93.340400270443098</v>
      </c>
      <c r="AJ2728">
        <v>88.060563319678195</v>
      </c>
      <c r="AK2728">
        <v>19.048739378509701</v>
      </c>
      <c r="AL2728">
        <v>96.062134108399107</v>
      </c>
      <c r="AM2728">
        <v>98.484233033078098</v>
      </c>
      <c r="AN2728">
        <v>0.99999994640590295</v>
      </c>
    </row>
    <row r="2729" spans="1:40" x14ac:dyDescent="0.25">
      <c r="A2729" t="str">
        <f>"20190305135246013"</f>
        <v>20190305135246013</v>
      </c>
      <c r="B2729" t="str">
        <f>"1551765166001920"</f>
        <v>1551765166001920</v>
      </c>
      <c r="C2729" t="s">
        <v>40</v>
      </c>
      <c r="D2729">
        <v>5.0804830000000001</v>
      </c>
      <c r="E2729">
        <v>0.57036319999999996</v>
      </c>
      <c r="F2729" t="s">
        <v>42</v>
      </c>
      <c r="G2729">
        <v>-491.303</v>
      </c>
      <c r="H2729" s="1">
        <v>-2.169533E-6</v>
      </c>
      <c r="I2729">
        <v>233.8382</v>
      </c>
      <c r="J2729">
        <v>-488.11849999999998</v>
      </c>
      <c r="K2729">
        <v>1.1098859999999999</v>
      </c>
      <c r="L2729">
        <v>252.6146</v>
      </c>
      <c r="M2729">
        <v>-0.13202800000000001</v>
      </c>
      <c r="N2729">
        <v>-1.182155E-2</v>
      </c>
      <c r="O2729">
        <v>-0.99117549999999999</v>
      </c>
      <c r="P2729">
        <v>1.330449E-2</v>
      </c>
      <c r="Q2729">
        <v>-0.1170267</v>
      </c>
      <c r="R2729">
        <v>-0.99303960000000002</v>
      </c>
      <c r="S2729">
        <v>-0.5092468</v>
      </c>
      <c r="T2729">
        <v>-0.176488899999999</v>
      </c>
      <c r="U2729">
        <v>-3.0080870000000002</v>
      </c>
      <c r="V2729">
        <v>-0.14404449999999999</v>
      </c>
      <c r="W2729">
        <v>-0.1057604</v>
      </c>
      <c r="X2729">
        <v>0.98390339999999998</v>
      </c>
      <c r="Y2729">
        <v>3.5080890000000003E-2</v>
      </c>
      <c r="Z2729">
        <v>4.5705559999999999E-2</v>
      </c>
      <c r="AA2729">
        <v>0.99833879999999997</v>
      </c>
      <c r="AB2729">
        <v>26</v>
      </c>
      <c r="AC2729">
        <v>-3.1845000000000701</v>
      </c>
      <c r="AD2729">
        <v>-1.1098881695330001</v>
      </c>
      <c r="AE2729">
        <v>-18.776399999999899</v>
      </c>
      <c r="AF2729">
        <v>0.67514212583715305</v>
      </c>
      <c r="AG2729">
        <v>-1.1098881695330001</v>
      </c>
      <c r="AH2729">
        <v>18.968057670099402</v>
      </c>
      <c r="AI2729">
        <v>93.346645955322401</v>
      </c>
      <c r="AJ2729">
        <v>87.961495497947993</v>
      </c>
      <c r="AK2729">
        <v>19.012492745959602</v>
      </c>
      <c r="AL2729">
        <v>96.070978273770294</v>
      </c>
      <c r="AM2729">
        <v>98.328993300990007</v>
      </c>
      <c r="AN2729">
        <v>0.99999999035998399</v>
      </c>
    </row>
    <row r="2730" spans="1:40" x14ac:dyDescent="0.25">
      <c r="A2730" t="str">
        <f>"20190305135246026"</f>
        <v>20190305135246026</v>
      </c>
      <c r="B2730" t="str">
        <f>"1551765166022419"</f>
        <v>1551765166022419</v>
      </c>
      <c r="C2730" t="s">
        <v>40</v>
      </c>
      <c r="D2730">
        <v>5.0940260000000004</v>
      </c>
      <c r="E2730">
        <v>0.56976450000000001</v>
      </c>
      <c r="F2730" t="s">
        <v>42</v>
      </c>
      <c r="G2730">
        <v>-491.31880000000001</v>
      </c>
      <c r="H2730" s="1">
        <v>-2.1802349999999998E-6</v>
      </c>
      <c r="I2730">
        <v>233.85329999999999</v>
      </c>
      <c r="J2730">
        <v>-488.13690000000003</v>
      </c>
      <c r="K2730">
        <v>1.1098349999999999</v>
      </c>
      <c r="L2730">
        <v>252.47040000000001</v>
      </c>
      <c r="M2730">
        <v>-0.131296</v>
      </c>
      <c r="N2730">
        <v>-1.1941230000000001E-2</v>
      </c>
      <c r="O2730">
        <v>-0.99127160000000003</v>
      </c>
      <c r="P2730">
        <v>1.1349140000000001E-2</v>
      </c>
      <c r="Q2730">
        <v>-0.11728089999999999</v>
      </c>
      <c r="R2730">
        <v>-0.99303430000000004</v>
      </c>
      <c r="S2730">
        <v>-0.51293949999999999</v>
      </c>
      <c r="T2730">
        <v>-0.1778872</v>
      </c>
      <c r="U2730">
        <v>-3.006958</v>
      </c>
      <c r="V2730">
        <v>-0.14139309999999999</v>
      </c>
      <c r="W2730">
        <v>-0.1058675</v>
      </c>
      <c r="X2730">
        <v>0.98427640000000005</v>
      </c>
      <c r="Y2730">
        <v>3.70681E-2</v>
      </c>
      <c r="Z2730">
        <v>4.6062829999999999E-2</v>
      </c>
      <c r="AA2730">
        <v>0.99825050000000004</v>
      </c>
      <c r="AB2730">
        <v>26</v>
      </c>
      <c r="AC2730">
        <v>-3.1818999999999802</v>
      </c>
      <c r="AD2730">
        <v>-1.109837180235</v>
      </c>
      <c r="AE2730">
        <v>-18.617100000000001</v>
      </c>
      <c r="AF2730">
        <v>0.70738417273822296</v>
      </c>
      <c r="AG2730">
        <v>-1.109837180235</v>
      </c>
      <c r="AH2730">
        <v>18.808767408157401</v>
      </c>
      <c r="AI2730">
        <v>93.374520502394702</v>
      </c>
      <c r="AJ2730">
        <v>87.846162189741307</v>
      </c>
      <c r="AK2730">
        <v>18.854757021734201</v>
      </c>
      <c r="AL2730">
        <v>96.077149335437397</v>
      </c>
      <c r="AM2730">
        <v>98.1747186090968</v>
      </c>
      <c r="AN2730">
        <v>0.99999998394040901</v>
      </c>
    </row>
    <row r="2731" spans="1:40" x14ac:dyDescent="0.25">
      <c r="A2731" t="str">
        <f>"20190305135246041"</f>
        <v>20190305135246041</v>
      </c>
      <c r="B2731" t="str">
        <f>"1551765166032177"</f>
        <v>1551765166032177</v>
      </c>
      <c r="C2731" t="s">
        <v>40</v>
      </c>
      <c r="D2731">
        <v>4.8861589999999904</v>
      </c>
      <c r="E2731">
        <v>0.5696715</v>
      </c>
      <c r="F2731" t="s">
        <v>41</v>
      </c>
      <c r="G2731">
        <v>-488.30020000000002</v>
      </c>
      <c r="H2731">
        <v>1.0525690000000001</v>
      </c>
      <c r="I2731">
        <v>251.51759999999999</v>
      </c>
      <c r="J2731">
        <v>-488.16090000000003</v>
      </c>
      <c r="K2731">
        <v>1.1097520000000001</v>
      </c>
      <c r="L2731">
        <v>252.2807</v>
      </c>
      <c r="M2731">
        <v>-0.13043099999999999</v>
      </c>
      <c r="N2731">
        <v>-1.2081639999999999E-2</v>
      </c>
      <c r="O2731">
        <v>-0.99138400000000004</v>
      </c>
      <c r="P2731">
        <v>6.6373780000000002E-3</v>
      </c>
      <c r="Q2731">
        <v>-0.11798359999999999</v>
      </c>
      <c r="R2731">
        <v>-0.99299369999999998</v>
      </c>
      <c r="S2731">
        <v>-0.51446530000000001</v>
      </c>
      <c r="T2731">
        <v>-0.18076439999999999</v>
      </c>
      <c r="U2731">
        <v>-3.005585</v>
      </c>
      <c r="V2731">
        <v>-0.13587939999999901</v>
      </c>
      <c r="W2731">
        <v>-0.10638300000000001</v>
      </c>
      <c r="X2731">
        <v>0.98499720000000002</v>
      </c>
      <c r="Y2731">
        <v>3.8500239999999998E-2</v>
      </c>
      <c r="Z2731">
        <v>4.6889229999999997E-2</v>
      </c>
      <c r="AA2731">
        <v>0.99815790000000004</v>
      </c>
      <c r="AB2731">
        <v>26</v>
      </c>
      <c r="AC2731">
        <v>-0.13929999999999099</v>
      </c>
      <c r="AD2731">
        <v>-5.7182999999999901E-2</v>
      </c>
      <c r="AE2731">
        <v>-0.76310000000000799</v>
      </c>
      <c r="AF2731">
        <v>3.8362233817705003E-2</v>
      </c>
      <c r="AG2731">
        <v>-5.7182999999999901E-2</v>
      </c>
      <c r="AH2731">
        <v>0.77056315258671304</v>
      </c>
      <c r="AI2731">
        <v>94.238873223551096</v>
      </c>
      <c r="AJ2731">
        <v>87.149901524123607</v>
      </c>
      <c r="AK2731">
        <v>0.77363371733454001</v>
      </c>
      <c r="AL2731">
        <v>96.1068528392845</v>
      </c>
      <c r="AM2731">
        <v>97.8543246435393</v>
      </c>
      <c r="AN2731">
        <v>1.0000000190206</v>
      </c>
    </row>
    <row r="2732" spans="1:40" x14ac:dyDescent="0.25">
      <c r="A2732" t="str">
        <f>"20190305135246055"</f>
        <v>20190305135246055</v>
      </c>
      <c r="B2732" t="str">
        <f>"1551765166052205"</f>
        <v>1551765166052205</v>
      </c>
      <c r="C2732" t="s">
        <v>40</v>
      </c>
      <c r="D2732">
        <v>4.8413519999999997</v>
      </c>
      <c r="E2732">
        <v>0.56938829999999996</v>
      </c>
      <c r="F2732" t="s">
        <v>42</v>
      </c>
      <c r="G2732">
        <v>-491.40120000000002</v>
      </c>
      <c r="H2732" s="1">
        <v>-2.2035420000000001E-6</v>
      </c>
      <c r="I2732">
        <v>233.85659999999999</v>
      </c>
      <c r="J2732">
        <v>-488.17919999999998</v>
      </c>
      <c r="K2732">
        <v>1.1096889999999999</v>
      </c>
      <c r="L2732">
        <v>252.136</v>
      </c>
      <c r="M2732">
        <v>-0.12983069999999999</v>
      </c>
      <c r="N2732">
        <v>-1.217967E-2</v>
      </c>
      <c r="O2732">
        <v>-0.99146160000000005</v>
      </c>
      <c r="P2732">
        <v>4.383947E-3</v>
      </c>
      <c r="Q2732">
        <v>-0.1181562</v>
      </c>
      <c r="R2732">
        <v>-0.99298569999999997</v>
      </c>
      <c r="S2732">
        <v>-0.52816770000000002</v>
      </c>
      <c r="T2732">
        <v>-0.1808939</v>
      </c>
      <c r="U2732">
        <v>-3.0032040000000002</v>
      </c>
      <c r="V2732">
        <v>-0.133065299999999</v>
      </c>
      <c r="W2732">
        <v>-0.1064268</v>
      </c>
      <c r="X2732">
        <v>0.98537649999999999</v>
      </c>
      <c r="Y2732">
        <v>4.3655020000000003E-2</v>
      </c>
      <c r="Z2732">
        <v>4.6861260000000002E-2</v>
      </c>
      <c r="AA2732">
        <v>0.99794700000000003</v>
      </c>
      <c r="AB2732">
        <v>26</v>
      </c>
      <c r="AC2732">
        <v>-3.2220000000000302</v>
      </c>
      <c r="AD2732">
        <v>-1.1096912035419999</v>
      </c>
      <c r="AE2732">
        <v>-18.279399999999999</v>
      </c>
      <c r="AF2732">
        <v>0.818397501004965</v>
      </c>
      <c r="AG2732">
        <v>-1.1096912035419999</v>
      </c>
      <c r="AH2732">
        <v>18.476966376912401</v>
      </c>
      <c r="AI2732">
        <v>93.433588008854898</v>
      </c>
      <c r="AJ2732">
        <v>87.463864274587706</v>
      </c>
      <c r="AK2732">
        <v>18.528342492797901</v>
      </c>
      <c r="AL2732">
        <v>96.1093771933364</v>
      </c>
      <c r="AM2732">
        <v>97.6907018482257</v>
      </c>
      <c r="AN2732">
        <v>0.99999994228728795</v>
      </c>
    </row>
    <row r="2733" spans="1:40" x14ac:dyDescent="0.25">
      <c r="A2733" t="str">
        <f>"20190305135246076"</f>
        <v>20190305135246076</v>
      </c>
      <c r="B2733" t="str">
        <f>"1551765166072700"</f>
        <v>1551765166072700</v>
      </c>
      <c r="C2733" t="s">
        <v>40</v>
      </c>
      <c r="D2733">
        <v>5.2669750000000004</v>
      </c>
      <c r="E2733">
        <v>0.56942190000000004</v>
      </c>
      <c r="F2733" t="s">
        <v>42</v>
      </c>
      <c r="G2733">
        <v>-491.49369999999999</v>
      </c>
      <c r="H2733" s="1">
        <v>-2.0508330000000002E-6</v>
      </c>
      <c r="I2733">
        <v>233.44319999999999</v>
      </c>
      <c r="J2733">
        <v>-488.21100000000001</v>
      </c>
      <c r="K2733">
        <v>1.1095729999999999</v>
      </c>
      <c r="L2733">
        <v>251.88460000000001</v>
      </c>
      <c r="M2733">
        <v>-0.12890289999999999</v>
      </c>
      <c r="N2733">
        <v>-1.2334889999999999E-2</v>
      </c>
      <c r="O2733">
        <v>-0.99158060000000003</v>
      </c>
      <c r="P2733" s="1">
        <v>-4.874566E-5</v>
      </c>
      <c r="Q2733">
        <v>-0.1179612</v>
      </c>
      <c r="R2733">
        <v>-0.99301850000000003</v>
      </c>
      <c r="S2733">
        <v>-0.53234859999999995</v>
      </c>
      <c r="T2733">
        <v>-0.17823220000000001</v>
      </c>
      <c r="U2733">
        <v>-3.002319</v>
      </c>
      <c r="V2733">
        <v>-0.1277858</v>
      </c>
      <c r="W2733">
        <v>-0.1060212</v>
      </c>
      <c r="X2733">
        <v>0.98611879999999996</v>
      </c>
      <c r="Y2733">
        <v>4.5994390000000003E-2</v>
      </c>
      <c r="Z2733">
        <v>4.5861430000000002E-2</v>
      </c>
      <c r="AA2733">
        <v>0.99788840000000001</v>
      </c>
      <c r="AB2733">
        <v>26</v>
      </c>
      <c r="AC2733">
        <v>-3.28269999999997</v>
      </c>
      <c r="AD2733">
        <v>-1.109575050833</v>
      </c>
      <c r="AE2733">
        <v>-18.441400000000002</v>
      </c>
      <c r="AF2733">
        <v>0.87490839076478599</v>
      </c>
      <c r="AG2733">
        <v>-1.109575050833</v>
      </c>
      <c r="AH2733">
        <v>18.645280229117201</v>
      </c>
      <c r="AI2733">
        <v>93.401903874676805</v>
      </c>
      <c r="AJ2733">
        <v>87.3134319064241</v>
      </c>
      <c r="AK2733">
        <v>18.698745848531399</v>
      </c>
      <c r="AL2733">
        <v>96.086005461605495</v>
      </c>
      <c r="AM2733">
        <v>97.383505180795495</v>
      </c>
      <c r="AN2733">
        <v>0.99999999662225902</v>
      </c>
    </row>
    <row r="2734" spans="1:40" x14ac:dyDescent="0.25">
      <c r="A2734" t="str">
        <f>"20190305135246089"</f>
        <v>20190305135246089</v>
      </c>
      <c r="B2734" t="str">
        <f>"1551765166082463"</f>
        <v>1551765166082463</v>
      </c>
      <c r="C2734" t="s">
        <v>40</v>
      </c>
      <c r="D2734">
        <v>5.1932519999999904</v>
      </c>
      <c r="E2734">
        <v>0.56942190000000004</v>
      </c>
      <c r="F2734" t="s">
        <v>42</v>
      </c>
      <c r="G2734">
        <v>-491.7029</v>
      </c>
      <c r="H2734" s="1">
        <v>-1.7869640000000001E-6</v>
      </c>
      <c r="I2734">
        <v>232.69839999999999</v>
      </c>
      <c r="J2734">
        <v>-488.22919999999999</v>
      </c>
      <c r="K2734">
        <v>1.109507</v>
      </c>
      <c r="L2734">
        <v>251.74039999999999</v>
      </c>
      <c r="M2734">
        <v>-0.12843950000000001</v>
      </c>
      <c r="N2734">
        <v>-1.241574E-2</v>
      </c>
      <c r="O2734">
        <v>-0.99163979999999996</v>
      </c>
      <c r="P2734">
        <v>-2.0188150000000002E-3</v>
      </c>
      <c r="Q2734">
        <v>-0.1173553</v>
      </c>
      <c r="R2734">
        <v>-0.99308819999999998</v>
      </c>
      <c r="S2734">
        <v>-0.5460815</v>
      </c>
      <c r="T2734">
        <v>-0.1735227</v>
      </c>
      <c r="U2734">
        <v>-3.0004580000000001</v>
      </c>
      <c r="V2734">
        <v>-0.1254007</v>
      </c>
      <c r="W2734">
        <v>-0.1053046</v>
      </c>
      <c r="X2734">
        <v>0.98650170000000004</v>
      </c>
      <c r="Y2734">
        <v>5.1002539999999999E-2</v>
      </c>
      <c r="Z2734">
        <v>4.4265180000000001E-2</v>
      </c>
      <c r="AA2734">
        <v>0.99771710000000002</v>
      </c>
      <c r="AB2734">
        <v>26</v>
      </c>
      <c r="AC2734">
        <v>-3.4737</v>
      </c>
      <c r="AD2734">
        <v>-1.1095087869639999</v>
      </c>
      <c r="AE2734">
        <v>-19.042000000000002</v>
      </c>
      <c r="AF2734">
        <v>0.99571947134686001</v>
      </c>
      <c r="AG2734">
        <v>-1.1095087869639999</v>
      </c>
      <c r="AH2734">
        <v>19.267147166322701</v>
      </c>
      <c r="AI2734">
        <v>93.291385055543003</v>
      </c>
      <c r="AJ2734">
        <v>87.041605894876398</v>
      </c>
      <c r="AK2734">
        <v>19.324736141606301</v>
      </c>
      <c r="AL2734">
        <v>96.044716151995701</v>
      </c>
      <c r="AM2734">
        <v>97.244389197903004</v>
      </c>
      <c r="AN2734">
        <v>0.99999999922227001</v>
      </c>
    </row>
    <row r="2735" spans="1:40" x14ac:dyDescent="0.25">
      <c r="A2735" t="str">
        <f>"20190305135246101"</f>
        <v>20190305135246101</v>
      </c>
      <c r="B2735" t="str">
        <f>"1551765166092220"</f>
        <v>1551765166092220</v>
      </c>
      <c r="C2735" t="s">
        <v>40</v>
      </c>
      <c r="D2735">
        <v>4.9830160000000001</v>
      </c>
      <c r="E2735">
        <v>0.60939960000000004</v>
      </c>
      <c r="F2735" t="s">
        <v>42</v>
      </c>
      <c r="G2735">
        <v>-491.79450000000003</v>
      </c>
      <c r="H2735" s="1">
        <v>-1.6659579999999999E-6</v>
      </c>
      <c r="I2735">
        <v>232.3595</v>
      </c>
      <c r="J2735">
        <v>-488.2473</v>
      </c>
      <c r="K2735">
        <v>1.109442</v>
      </c>
      <c r="L2735">
        <v>251.5967</v>
      </c>
      <c r="M2735">
        <v>-0.1280395</v>
      </c>
      <c r="N2735">
        <v>-1.2489220000000001E-2</v>
      </c>
      <c r="O2735">
        <v>-0.99169039999999997</v>
      </c>
      <c r="P2735">
        <v>-4.0841300000000001E-3</v>
      </c>
      <c r="Q2735">
        <v>-0.1169174</v>
      </c>
      <c r="R2735">
        <v>-0.9931333</v>
      </c>
      <c r="S2735">
        <v>-0.55178830000000001</v>
      </c>
      <c r="T2735">
        <v>-0.171711999999999</v>
      </c>
      <c r="U2735">
        <v>-2.999466</v>
      </c>
      <c r="V2735">
        <v>-0.12297959999999999</v>
      </c>
      <c r="W2735">
        <v>-0.1047647</v>
      </c>
      <c r="X2735">
        <v>0.98686390000000002</v>
      </c>
      <c r="Y2735">
        <v>5.3304160000000003E-2</v>
      </c>
      <c r="Z2735">
        <v>4.3615059999999997E-2</v>
      </c>
      <c r="AA2735">
        <v>0.9976254</v>
      </c>
      <c r="AB2735">
        <v>26</v>
      </c>
      <c r="AC2735">
        <v>-3.5472000000000299</v>
      </c>
      <c r="AD2735">
        <v>-1.109443665958</v>
      </c>
      <c r="AE2735">
        <v>-19.237200000000001</v>
      </c>
      <c r="AF2735">
        <v>1.05130331403239</v>
      </c>
      <c r="AG2735">
        <v>-1.109443665958</v>
      </c>
      <c r="AH2735">
        <v>19.470422430815201</v>
      </c>
      <c r="AI2735">
        <v>93.256509492207499</v>
      </c>
      <c r="AJ2735">
        <v>86.9093219366017</v>
      </c>
      <c r="AK2735">
        <v>19.5303213885594</v>
      </c>
      <c r="AL2735">
        <v>96.013610150160005</v>
      </c>
      <c r="AM2735">
        <v>97.103384719056706</v>
      </c>
      <c r="AN2735">
        <v>0.99999999075273005</v>
      </c>
    </row>
    <row r="2736" spans="1:40" x14ac:dyDescent="0.25">
      <c r="A2736" t="str">
        <f>"20190305135246113"</f>
        <v>20190305135246113</v>
      </c>
      <c r="B2736" t="str">
        <f>"1551765166101981"</f>
        <v>1551765166101981</v>
      </c>
      <c r="C2736" t="s">
        <v>40</v>
      </c>
      <c r="D2736">
        <v>4.9757930000000004</v>
      </c>
      <c r="E2736">
        <v>0.61740680000000003</v>
      </c>
      <c r="F2736" t="s">
        <v>42</v>
      </c>
      <c r="G2736">
        <v>-493.017</v>
      </c>
      <c r="H2736" s="1">
        <v>-3.2720120000000001E-6</v>
      </c>
      <c r="I2736">
        <v>235.345</v>
      </c>
      <c r="J2736">
        <v>-488.26530000000002</v>
      </c>
      <c r="K2736">
        <v>1.1093850000000001</v>
      </c>
      <c r="L2736">
        <v>251.4537</v>
      </c>
      <c r="M2736">
        <v>-0.12769629999999901</v>
      </c>
      <c r="N2736">
        <v>-1.255646E-2</v>
      </c>
      <c r="O2736">
        <v>-0.9917338</v>
      </c>
      <c r="P2736">
        <v>-6.6070139999999996E-3</v>
      </c>
      <c r="Q2736">
        <v>-0.1167463</v>
      </c>
      <c r="R2736">
        <v>-0.99314000000000002</v>
      </c>
      <c r="S2736">
        <v>-0.87841800000000003</v>
      </c>
      <c r="T2736">
        <v>-0.20432500000000001</v>
      </c>
      <c r="U2736">
        <v>-2.993042</v>
      </c>
      <c r="V2736">
        <v>-0.12015530000000001</v>
      </c>
      <c r="W2736">
        <v>-0.1044988</v>
      </c>
      <c r="X2736">
        <v>0.98724000000000001</v>
      </c>
      <c r="Y2736">
        <v>0.1562896</v>
      </c>
      <c r="Z2736">
        <v>5.3180379999999999E-2</v>
      </c>
      <c r="AA2736">
        <v>0.98627849999999995</v>
      </c>
      <c r="AB2736">
        <v>26</v>
      </c>
      <c r="AC2736">
        <v>-4.7516999999999703</v>
      </c>
      <c r="AD2736">
        <v>-1.1093882720119901</v>
      </c>
      <c r="AE2736">
        <v>-16.108699999999999</v>
      </c>
      <c r="AF2736">
        <v>2.64407274525872</v>
      </c>
      <c r="AG2736">
        <v>-1.1093882720119901</v>
      </c>
      <c r="AH2736">
        <v>16.511580184391502</v>
      </c>
      <c r="AI2736">
        <v>93.795626639682396</v>
      </c>
      <c r="AJ2736">
        <v>80.902212328173803</v>
      </c>
      <c r="AK2736">
        <v>16.758703506115499</v>
      </c>
      <c r="AL2736">
        <v>95.998290720968498</v>
      </c>
      <c r="AM2736">
        <v>96.939242646125706</v>
      </c>
      <c r="AN2736">
        <v>1.00000005645976</v>
      </c>
    </row>
    <row r="2737" spans="1:40" x14ac:dyDescent="0.25">
      <c r="A2737" t="str">
        <f>"20190305135246127"</f>
        <v>20190305135246127</v>
      </c>
      <c r="B2737" t="str">
        <f>"1551765166122478"</f>
        <v>1551765166122478</v>
      </c>
      <c r="C2737" t="s">
        <v>40</v>
      </c>
      <c r="D2737">
        <v>4.9302390000000003</v>
      </c>
      <c r="E2737">
        <v>0.62251800000000002</v>
      </c>
      <c r="F2737" t="s">
        <v>42</v>
      </c>
      <c r="G2737">
        <v>-493.79250000000002</v>
      </c>
      <c r="H2737" s="1">
        <v>-2.9183979999999998E-6</v>
      </c>
      <c r="I2737">
        <v>234.03970000000001</v>
      </c>
      <c r="J2737">
        <v>-488.28500000000003</v>
      </c>
      <c r="K2737">
        <v>1.1093189999999999</v>
      </c>
      <c r="L2737">
        <v>251.2978</v>
      </c>
      <c r="M2737">
        <v>-0.12736230000000001</v>
      </c>
      <c r="N2737">
        <v>-1.2625519999999999E-2</v>
      </c>
      <c r="O2737">
        <v>-0.99177599999999999</v>
      </c>
      <c r="P2737">
        <v>-8.8538190000000006E-3</v>
      </c>
      <c r="Q2737">
        <v>-0.1165749</v>
      </c>
      <c r="R2737">
        <v>-0.99314259999999999</v>
      </c>
      <c r="S2737">
        <v>-0.94967650000000003</v>
      </c>
      <c r="T2737">
        <v>-0.19061210000000001</v>
      </c>
      <c r="U2737">
        <v>-2.9920200000000001</v>
      </c>
      <c r="V2737">
        <v>-0.1176138</v>
      </c>
      <c r="W2737">
        <v>-0.1042315</v>
      </c>
      <c r="X2737">
        <v>0.98757419999999996</v>
      </c>
      <c r="Y2737">
        <v>0.17822440000000001</v>
      </c>
      <c r="Z2737">
        <v>4.8451029999999999E-2</v>
      </c>
      <c r="AA2737">
        <v>0.98279629999999996</v>
      </c>
      <c r="AB2737">
        <v>26</v>
      </c>
      <c r="AC2737">
        <v>-5.5074999999999896</v>
      </c>
      <c r="AD2737">
        <v>-1.1093219183980001</v>
      </c>
      <c r="AE2737">
        <v>-17.258099999999899</v>
      </c>
      <c r="AF2737">
        <v>3.2522395781337301</v>
      </c>
      <c r="AG2737">
        <v>-1.1093219183980001</v>
      </c>
      <c r="AH2737">
        <v>17.752467264673001</v>
      </c>
      <c r="AI2737">
        <v>93.517282208839404</v>
      </c>
      <c r="AJ2737">
        <v>79.618572174781903</v>
      </c>
      <c r="AK2737">
        <v>18.0819731051538</v>
      </c>
      <c r="AL2737">
        <v>95.982891768167903</v>
      </c>
      <c r="AM2737">
        <v>96.791574161819099</v>
      </c>
      <c r="AN2737">
        <v>1.0000000060241601</v>
      </c>
    </row>
    <row r="2738" spans="1:40" x14ac:dyDescent="0.25">
      <c r="A2738" t="str">
        <f>"20190305135246142"</f>
        <v>20190305135246142</v>
      </c>
      <c r="B2738" t="str">
        <f>"1551765166132237"</f>
        <v>1551765166132237</v>
      </c>
      <c r="C2738" t="s">
        <v>40</v>
      </c>
      <c r="D2738">
        <v>4.9160149999999998</v>
      </c>
      <c r="E2738">
        <v>0.62317259999999997</v>
      </c>
      <c r="F2738" t="s">
        <v>42</v>
      </c>
      <c r="G2738">
        <v>-494.58449999999999</v>
      </c>
      <c r="H2738" s="1">
        <v>-2.417834E-6</v>
      </c>
      <c r="I2738">
        <v>232.3817</v>
      </c>
      <c r="J2738">
        <v>-488.30900000000003</v>
      </c>
      <c r="K2738">
        <v>1.1092489999999999</v>
      </c>
      <c r="L2738">
        <v>251.10720000000001</v>
      </c>
      <c r="M2738">
        <v>-0.1270432</v>
      </c>
      <c r="N2738">
        <v>-1.2700909999999999E-2</v>
      </c>
      <c r="O2738">
        <v>-0.99181620000000004</v>
      </c>
      <c r="P2738">
        <v>-1.347163E-2</v>
      </c>
      <c r="Q2738">
        <v>-0.1163341</v>
      </c>
      <c r="R2738">
        <v>-0.99311939999999999</v>
      </c>
      <c r="S2738">
        <v>-0.99615480000000001</v>
      </c>
      <c r="T2738">
        <v>-0.17542089999999999</v>
      </c>
      <c r="U2738">
        <v>-2.9912570000000001</v>
      </c>
      <c r="V2738">
        <v>-0.1127341</v>
      </c>
      <c r="W2738">
        <v>-0.1038813</v>
      </c>
      <c r="X2738">
        <v>0.98817999999999995</v>
      </c>
      <c r="Y2738">
        <v>0.19247710000000001</v>
      </c>
      <c r="Z2738">
        <v>4.3364699999999999E-2</v>
      </c>
      <c r="AA2738">
        <v>0.98034279999999996</v>
      </c>
      <c r="AB2738">
        <v>26</v>
      </c>
      <c r="AC2738">
        <v>-6.2754999999999601</v>
      </c>
      <c r="AD2738">
        <v>-1.1092514178339901</v>
      </c>
      <c r="AE2738">
        <v>-18.7255</v>
      </c>
      <c r="AF2738">
        <v>3.8334105402003802</v>
      </c>
      <c r="AG2738">
        <v>-1.1092514178339901</v>
      </c>
      <c r="AH2738">
        <v>19.310151038629101</v>
      </c>
      <c r="AI2738">
        <v>93.224888402480005</v>
      </c>
      <c r="AJ2738">
        <v>78.771743009238406</v>
      </c>
      <c r="AK2738">
        <v>19.7181999232272</v>
      </c>
      <c r="AL2738">
        <v>95.962717260442702</v>
      </c>
      <c r="AM2738">
        <v>96.508311439328807</v>
      </c>
      <c r="AN2738">
        <v>1.00000000709624</v>
      </c>
    </row>
    <row r="2739" spans="1:40" x14ac:dyDescent="0.25">
      <c r="A2739" t="str">
        <f>"20190305135246164"</f>
        <v>20190305135246164</v>
      </c>
      <c r="B2739" t="str">
        <f>"1551765166162024"</f>
        <v>1551765166162024</v>
      </c>
      <c r="C2739" t="s">
        <v>40</v>
      </c>
      <c r="D2739">
        <v>4.9077449999999896</v>
      </c>
      <c r="E2739">
        <v>0.62387119999999996</v>
      </c>
      <c r="F2739" t="s">
        <v>42</v>
      </c>
      <c r="G2739">
        <v>-494.94720000000001</v>
      </c>
      <c r="H2739" s="1">
        <v>-2.167877E-6</v>
      </c>
      <c r="I2739">
        <v>231.57409999999999</v>
      </c>
      <c r="J2739">
        <v>-488.34050000000002</v>
      </c>
      <c r="K2739">
        <v>1.109167</v>
      </c>
      <c r="L2739">
        <v>250.85749999999999</v>
      </c>
      <c r="M2739">
        <v>-0.1267249</v>
      </c>
      <c r="N2739">
        <v>-1.2788529999999999E-2</v>
      </c>
      <c r="O2739">
        <v>-0.99185590000000001</v>
      </c>
      <c r="P2739">
        <v>-1.7421499999999999E-2</v>
      </c>
      <c r="Q2739">
        <v>-0.1159847</v>
      </c>
      <c r="R2739">
        <v>-0.9930985</v>
      </c>
      <c r="S2739">
        <v>-1.0151669999999999</v>
      </c>
      <c r="T2739">
        <v>-0.16963619999999999</v>
      </c>
      <c r="U2739">
        <v>-2.9871669999999999</v>
      </c>
      <c r="V2739">
        <v>-0.1085212</v>
      </c>
      <c r="W2739">
        <v>-0.10341060000000001</v>
      </c>
      <c r="X2739">
        <v>0.98870089999999999</v>
      </c>
      <c r="Y2739">
        <v>0.19881989999999999</v>
      </c>
      <c r="Z2739">
        <v>4.1433240000000003E-2</v>
      </c>
      <c r="AA2739">
        <v>0.97915980000000002</v>
      </c>
      <c r="AB2739">
        <v>26</v>
      </c>
      <c r="AC2739">
        <v>-6.6066999999999796</v>
      </c>
      <c r="AD2739">
        <v>-1.1091691678769999</v>
      </c>
      <c r="AE2739">
        <v>-19.2834</v>
      </c>
      <c r="AF2739">
        <v>4.0974096068324801</v>
      </c>
      <c r="AG2739">
        <v>-1.1091691678769999</v>
      </c>
      <c r="AH2739">
        <v>19.9062705589029</v>
      </c>
      <c r="AI2739">
        <v>93.123844013592503</v>
      </c>
      <c r="AJ2739">
        <v>78.368962178288498</v>
      </c>
      <c r="AK2739">
        <v>20.3538357390782</v>
      </c>
      <c r="AL2739">
        <v>95.935601927369206</v>
      </c>
      <c r="AM2739">
        <v>96.263791093608901</v>
      </c>
      <c r="AN2739">
        <v>1.0000000363513</v>
      </c>
    </row>
    <row r="2740" spans="1:40" x14ac:dyDescent="0.25">
      <c r="A2740" t="str">
        <f>"20190305135246177"</f>
        <v>20190305135246177</v>
      </c>
      <c r="B2740" t="str">
        <f>"1551765166171784"</f>
        <v>1551765166171784</v>
      </c>
      <c r="C2740" t="s">
        <v>40</v>
      </c>
      <c r="D2740">
        <v>4.8869930000000004</v>
      </c>
      <c r="E2740">
        <v>0.62408739999999996</v>
      </c>
      <c r="F2740" t="s">
        <v>55</v>
      </c>
      <c r="G2740">
        <v>-495.76130000000001</v>
      </c>
      <c r="H2740" s="1">
        <v>5.0409850000000003E-6</v>
      </c>
      <c r="I2740">
        <v>229.4007</v>
      </c>
      <c r="J2740">
        <v>-488.358</v>
      </c>
      <c r="K2740">
        <v>1.109132</v>
      </c>
      <c r="L2740">
        <v>250.71879999999999</v>
      </c>
      <c r="M2740">
        <v>-0.12659909999999999</v>
      </c>
      <c r="N2740">
        <v>-1.283071E-2</v>
      </c>
      <c r="O2740">
        <v>-0.9918709</v>
      </c>
      <c r="P2740">
        <v>-1.9457740000000001E-2</v>
      </c>
      <c r="Q2740">
        <v>-0.1158472</v>
      </c>
      <c r="R2740">
        <v>-0.99307670000000003</v>
      </c>
      <c r="S2740">
        <v>-1.032257</v>
      </c>
      <c r="T2740">
        <v>-0.15428829999999999</v>
      </c>
      <c r="U2740">
        <v>-2.9847109999999999</v>
      </c>
      <c r="V2740">
        <v>-0.1063837</v>
      </c>
      <c r="W2740">
        <v>-0.1032165</v>
      </c>
      <c r="X2740">
        <v>0.98895339999999998</v>
      </c>
      <c r="Y2740">
        <v>0.2042698</v>
      </c>
      <c r="Z2740">
        <v>3.6492650000000001E-2</v>
      </c>
      <c r="AA2740">
        <v>0.97823419999999905</v>
      </c>
      <c r="AB2740">
        <v>26</v>
      </c>
      <c r="AC2740">
        <v>-7.4032999999999998</v>
      </c>
      <c r="AD2740">
        <v>-1.1091269590149999</v>
      </c>
      <c r="AE2740">
        <v>-21.318099999999902</v>
      </c>
      <c r="AF2740">
        <v>4.6334559636005599</v>
      </c>
      <c r="AG2740">
        <v>-1.1091269590149999</v>
      </c>
      <c r="AH2740">
        <v>22.030657843265601</v>
      </c>
      <c r="AI2740">
        <v>92.820502757365702</v>
      </c>
      <c r="AJ2740">
        <v>78.122741450005407</v>
      </c>
      <c r="AK2740">
        <v>22.539941476962198</v>
      </c>
      <c r="AL2740">
        <v>95.924421306491695</v>
      </c>
      <c r="AM2740">
        <v>96.139811754845994</v>
      </c>
      <c r="AN2740">
        <v>0.99999998243474897</v>
      </c>
    </row>
    <row r="2741" spans="1:40" x14ac:dyDescent="0.25">
      <c r="A2741" t="str">
        <f>"20190305135246188"</f>
        <v>20190305135246188</v>
      </c>
      <c r="B2741" t="str">
        <f>"1551765166182521"</f>
        <v>1551765166182521</v>
      </c>
      <c r="C2741" t="s">
        <v>40</v>
      </c>
      <c r="D2741">
        <v>4.9066340000000004</v>
      </c>
      <c r="E2741">
        <v>0.62420439999999999</v>
      </c>
      <c r="F2741" t="s">
        <v>55</v>
      </c>
      <c r="G2741">
        <v>-495.90620000000001</v>
      </c>
      <c r="H2741" s="1">
        <v>4.9275520000000004E-6</v>
      </c>
      <c r="I2741">
        <v>229.06200000000001</v>
      </c>
      <c r="J2741">
        <v>-488.37490000000003</v>
      </c>
      <c r="K2741">
        <v>1.109103</v>
      </c>
      <c r="L2741">
        <v>250.58510000000001</v>
      </c>
      <c r="M2741">
        <v>-0.12648670000000001</v>
      </c>
      <c r="N2741">
        <v>-1.286984E-2</v>
      </c>
      <c r="O2741">
        <v>-0.99188509999999996</v>
      </c>
      <c r="P2741">
        <v>-2.167146E-2</v>
      </c>
      <c r="Q2741">
        <v>-0.1152753</v>
      </c>
      <c r="R2741">
        <v>-0.99309749999999997</v>
      </c>
      <c r="S2741">
        <v>-1.0395810000000001</v>
      </c>
      <c r="T2741">
        <v>-0.15275629999999901</v>
      </c>
      <c r="U2741">
        <v>-2.9827270000000001</v>
      </c>
      <c r="V2741">
        <v>-0.1040875</v>
      </c>
      <c r="W2741">
        <v>-0.1025918</v>
      </c>
      <c r="X2741">
        <v>0.98926270000000005</v>
      </c>
      <c r="Y2741">
        <v>0.20673030000000001</v>
      </c>
      <c r="Z2741">
        <v>3.5969840000000003E-2</v>
      </c>
      <c r="AA2741">
        <v>0.97773650000000001</v>
      </c>
      <c r="AB2741">
        <v>26</v>
      </c>
      <c r="AC2741">
        <v>-7.5312999999999803</v>
      </c>
      <c r="AD2741">
        <v>-1.109098072448</v>
      </c>
      <c r="AE2741">
        <v>-21.523099999999999</v>
      </c>
      <c r="AF2741">
        <v>4.7369837973000397</v>
      </c>
      <c r="AG2741">
        <v>-1.109098072448</v>
      </c>
      <c r="AH2741">
        <v>22.250254010809599</v>
      </c>
      <c r="AI2741">
        <v>92.791182818547597</v>
      </c>
      <c r="AJ2741">
        <v>77.981409073564805</v>
      </c>
      <c r="AK2741">
        <v>22.775928467918501</v>
      </c>
      <c r="AL2741">
        <v>95.888437575238299</v>
      </c>
      <c r="AM2741">
        <v>96.006404394904095</v>
      </c>
      <c r="AN2741">
        <v>0.99999998734738904</v>
      </c>
    </row>
    <row r="2742" spans="1:40" x14ac:dyDescent="0.25">
      <c r="A2742" t="str">
        <f>"20190305135246200"</f>
        <v>20190305135246200</v>
      </c>
      <c r="B2742" t="str">
        <f>"1551765166192280"</f>
        <v>1551765166192280</v>
      </c>
      <c r="C2742" t="s">
        <v>40</v>
      </c>
      <c r="D2742">
        <v>4.8527649999999998</v>
      </c>
      <c r="E2742">
        <v>0.62422259999999996</v>
      </c>
      <c r="F2742" t="s">
        <v>55</v>
      </c>
      <c r="G2742">
        <v>-496.02600000000001</v>
      </c>
      <c r="H2742" s="1">
        <v>4.8424539999999998E-6</v>
      </c>
      <c r="I2742">
        <v>228.8212</v>
      </c>
      <c r="J2742">
        <v>-488.39170000000001</v>
      </c>
      <c r="K2742">
        <v>1.109084</v>
      </c>
      <c r="L2742">
        <v>250.4522</v>
      </c>
      <c r="M2742">
        <v>-0.12639429999999999</v>
      </c>
      <c r="N2742">
        <v>-1.2905150000000001E-2</v>
      </c>
      <c r="O2742">
        <v>-0.99189620000000001</v>
      </c>
      <c r="P2742">
        <v>-2.4135650000000002E-2</v>
      </c>
      <c r="Q2742">
        <v>-0.11489190000000001</v>
      </c>
      <c r="R2742">
        <v>-0.99308490000000005</v>
      </c>
      <c r="S2742">
        <v>-1.0477289999999999</v>
      </c>
      <c r="T2742">
        <v>-0.15187979999999901</v>
      </c>
      <c r="U2742">
        <v>-2.9803470000000001</v>
      </c>
      <c r="V2742">
        <v>-0.1015567</v>
      </c>
      <c r="W2742">
        <v>-0.10216169999999999</v>
      </c>
      <c r="X2742">
        <v>0.98957019999999996</v>
      </c>
      <c r="Y2742">
        <v>0.2094471</v>
      </c>
      <c r="Z2742">
        <v>3.5661020000000002E-2</v>
      </c>
      <c r="AA2742">
        <v>0.97716950000000002</v>
      </c>
      <c r="AB2742">
        <v>26</v>
      </c>
      <c r="AC2742">
        <v>-7.6342999999999899</v>
      </c>
      <c r="AD2742">
        <v>-1.1090791575459999</v>
      </c>
      <c r="AE2742">
        <v>-21.631</v>
      </c>
      <c r="AF2742">
        <v>4.8275154077406697</v>
      </c>
      <c r="AG2742">
        <v>-1.1090791575459999</v>
      </c>
      <c r="AH2742">
        <v>22.370209632847001</v>
      </c>
      <c r="AI2742">
        <v>92.774542006791094</v>
      </c>
      <c r="AJ2742">
        <v>77.822256451201795</v>
      </c>
      <c r="AK2742">
        <v>22.9120326598754</v>
      </c>
      <c r="AL2742">
        <v>95.863664546767097</v>
      </c>
      <c r="AM2742">
        <v>95.859584336805995</v>
      </c>
      <c r="AN2742">
        <v>0.99999997849490896</v>
      </c>
    </row>
    <row r="2743" spans="1:40" x14ac:dyDescent="0.25">
      <c r="A2743" t="str">
        <f>"20190305135246221"</f>
        <v>20190305135246221</v>
      </c>
      <c r="B2743" t="str">
        <f>"1551765166211799"</f>
        <v>1551765166211799</v>
      </c>
      <c r="C2743" t="s">
        <v>40</v>
      </c>
      <c r="D2743">
        <v>4.8547580000000004</v>
      </c>
      <c r="E2743">
        <v>0.62416759999999905</v>
      </c>
      <c r="F2743" t="s">
        <v>55</v>
      </c>
      <c r="G2743">
        <v>-496.15449999999998</v>
      </c>
      <c r="H2743" s="1">
        <v>4.7482630000000004E-6</v>
      </c>
      <c r="I2743">
        <v>228.54990000000001</v>
      </c>
      <c r="J2743">
        <v>-488.42250000000001</v>
      </c>
      <c r="K2743">
        <v>1.1090690000000001</v>
      </c>
      <c r="L2743">
        <v>250.20859999999999</v>
      </c>
      <c r="M2743">
        <v>-0.12624349999999901</v>
      </c>
      <c r="N2743">
        <v>-1.2963880000000001E-2</v>
      </c>
      <c r="O2743">
        <v>-0.99191450000000003</v>
      </c>
      <c r="P2743">
        <v>-2.8393330000000001E-2</v>
      </c>
      <c r="Q2743">
        <v>-0.1146568</v>
      </c>
      <c r="R2743">
        <v>-0.99299939999999998</v>
      </c>
      <c r="S2743">
        <v>-1.05542</v>
      </c>
      <c r="T2743">
        <v>-0.15078900000000001</v>
      </c>
      <c r="U2743">
        <v>-2.977814</v>
      </c>
      <c r="V2743">
        <v>-9.7180840000000004E-2</v>
      </c>
      <c r="W2743">
        <v>-0.1018526</v>
      </c>
      <c r="X2743">
        <v>0.99004139999999996</v>
      </c>
      <c r="Y2743">
        <v>0.2121025</v>
      </c>
      <c r="Z2743">
        <v>3.5265079999999997E-2</v>
      </c>
      <c r="AA2743">
        <v>0.97661100000000001</v>
      </c>
      <c r="AB2743">
        <v>26</v>
      </c>
      <c r="AC2743">
        <v>-7.73199999999997</v>
      </c>
      <c r="AD2743">
        <v>-1.109064251737</v>
      </c>
      <c r="AE2743">
        <v>-21.6586999999999</v>
      </c>
      <c r="AF2743">
        <v>4.9241757764796503</v>
      </c>
      <c r="AG2743">
        <v>-1.109064251737</v>
      </c>
      <c r="AH2743">
        <v>22.4094647648229</v>
      </c>
      <c r="AI2743">
        <v>92.767390534303303</v>
      </c>
      <c r="AJ2743">
        <v>77.606986572730605</v>
      </c>
      <c r="AK2743">
        <v>22.970886827416699</v>
      </c>
      <c r="AL2743">
        <v>95.8458613066109</v>
      </c>
      <c r="AM2743">
        <v>95.606100726436694</v>
      </c>
      <c r="AN2743">
        <v>1.00000002075191</v>
      </c>
    </row>
    <row r="2744" spans="1:40" x14ac:dyDescent="0.25">
      <c r="A2744" t="str">
        <f>"20190305135246233"</f>
        <v>20190305135246233</v>
      </c>
      <c r="B2744" t="str">
        <f>"1551765166222536"</f>
        <v>1551765166222536</v>
      </c>
      <c r="C2744" t="s">
        <v>40</v>
      </c>
      <c r="D2744">
        <v>4.9028650000000003</v>
      </c>
      <c r="E2744">
        <v>0.62422569999999999</v>
      </c>
      <c r="F2744" t="s">
        <v>55</v>
      </c>
      <c r="G2744">
        <v>-496.26639999999998</v>
      </c>
      <c r="H2744" s="1">
        <v>4.6791099999999997E-6</v>
      </c>
      <c r="I2744">
        <v>228.3717</v>
      </c>
      <c r="J2744">
        <v>-488.43970000000002</v>
      </c>
      <c r="K2744">
        <v>1.1090679999999999</v>
      </c>
      <c r="L2744">
        <v>250.07300000000001</v>
      </c>
      <c r="M2744">
        <v>-0.12616469999999999</v>
      </c>
      <c r="N2744">
        <v>-1.299291E-2</v>
      </c>
      <c r="O2744">
        <v>-0.99192420000000003</v>
      </c>
      <c r="P2744">
        <v>-3.0486510000000001E-2</v>
      </c>
      <c r="Q2744">
        <v>-0.1146982</v>
      </c>
      <c r="R2744">
        <v>-0.99293240000000005</v>
      </c>
      <c r="S2744">
        <v>-1.067963</v>
      </c>
      <c r="T2744">
        <v>-0.151003</v>
      </c>
      <c r="U2744">
        <v>-2.9731749999999999</v>
      </c>
      <c r="V2744">
        <v>-9.5020240000000006E-2</v>
      </c>
      <c r="W2744">
        <v>-0.10185950000000001</v>
      </c>
      <c r="X2744">
        <v>0.99025030000000003</v>
      </c>
      <c r="Y2744">
        <v>0.21630920000000001</v>
      </c>
      <c r="Z2744">
        <v>3.5323470000000003E-2</v>
      </c>
      <c r="AA2744">
        <v>0.97568569999999999</v>
      </c>
      <c r="AB2744">
        <v>26</v>
      </c>
      <c r="AC2744">
        <v>-7.8266999999999598</v>
      </c>
      <c r="AD2744">
        <v>-1.10906332089</v>
      </c>
      <c r="AE2744">
        <v>-21.7012999999999</v>
      </c>
      <c r="AF2744">
        <v>5.0143902812141103</v>
      </c>
      <c r="AG2744">
        <v>-1.10906332089</v>
      </c>
      <c r="AH2744">
        <v>22.463481564678201</v>
      </c>
      <c r="AI2744">
        <v>92.758715002576693</v>
      </c>
      <c r="AJ2744">
        <v>77.416502299998101</v>
      </c>
      <c r="AK2744">
        <v>23.043049610429499</v>
      </c>
      <c r="AL2744">
        <v>95.846259245574899</v>
      </c>
      <c r="AM2744">
        <v>95.481079955058902</v>
      </c>
      <c r="AN2744">
        <v>0.999999930199996</v>
      </c>
    </row>
    <row r="2745" spans="1:40" x14ac:dyDescent="0.25">
      <c r="A2745" t="str">
        <f>"20190305135246244"</f>
        <v>20190305135246244</v>
      </c>
      <c r="B2745" t="str">
        <f>"1551765166232296"</f>
        <v>1551765166232296</v>
      </c>
      <c r="C2745" t="s">
        <v>40</v>
      </c>
      <c r="D2745">
        <v>4.8524760000000002</v>
      </c>
      <c r="E2745">
        <v>0.62423490000000004</v>
      </c>
      <c r="F2745" t="s">
        <v>55</v>
      </c>
      <c r="G2745">
        <v>-496.3075</v>
      </c>
      <c r="H2745" s="1">
        <v>4.658318E-6</v>
      </c>
      <c r="I2745">
        <v>228.3272</v>
      </c>
      <c r="J2745">
        <v>-488.4554</v>
      </c>
      <c r="K2745">
        <v>1.1090660000000001</v>
      </c>
      <c r="L2745">
        <v>249.94909999999999</v>
      </c>
      <c r="M2745">
        <v>-0.1260935</v>
      </c>
      <c r="N2745">
        <v>-1.301825E-2</v>
      </c>
      <c r="O2745">
        <v>-0.99193290000000001</v>
      </c>
      <c r="P2745">
        <v>-3.2413049999999999E-2</v>
      </c>
      <c r="Q2745">
        <v>-0.1147107</v>
      </c>
      <c r="R2745">
        <v>-0.99286989999999997</v>
      </c>
      <c r="S2745">
        <v>-1.0748899999999999</v>
      </c>
      <c r="T2745">
        <v>-0.15151829999999999</v>
      </c>
      <c r="U2745">
        <v>-2.9708709999999998</v>
      </c>
      <c r="V2745">
        <v>-9.3032320000000002E-2</v>
      </c>
      <c r="W2745">
        <v>-0.1018424</v>
      </c>
      <c r="X2745">
        <v>0.99044080000000001</v>
      </c>
      <c r="Y2745">
        <v>0.21862960000000001</v>
      </c>
      <c r="Z2745">
        <v>3.5468640000000003E-2</v>
      </c>
      <c r="AA2745">
        <v>0.97516309999999995</v>
      </c>
      <c r="AB2745">
        <v>26</v>
      </c>
      <c r="AC2745">
        <v>-7.8521000000000001</v>
      </c>
      <c r="AD2745">
        <v>-1.1090613416820001</v>
      </c>
      <c r="AE2745">
        <v>-21.621899999999901</v>
      </c>
      <c r="AF2745">
        <v>5.0510634914768398</v>
      </c>
      <c r="AG2745">
        <v>-1.1090613416820001</v>
      </c>
      <c r="AH2745">
        <v>22.387436395956801</v>
      </c>
      <c r="AI2745">
        <v>92.766651557775901</v>
      </c>
      <c r="AJ2745">
        <v>77.285784756575794</v>
      </c>
      <c r="AK2745">
        <v>22.9769573233175</v>
      </c>
      <c r="AL2745">
        <v>95.845274351586198</v>
      </c>
      <c r="AM2745">
        <v>95.366060624391295</v>
      </c>
      <c r="AN2745">
        <v>0.99999993265348897</v>
      </c>
    </row>
    <row r="2746" spans="1:40" x14ac:dyDescent="0.25">
      <c r="A2746" t="str">
        <f>"20190305135246255"</f>
        <v>20190305135246255</v>
      </c>
      <c r="B2746" t="str">
        <f>"1551765166252322"</f>
        <v>1551765166252322</v>
      </c>
      <c r="C2746" t="s">
        <v>40</v>
      </c>
      <c r="D2746">
        <v>4.827496</v>
      </c>
      <c r="E2746">
        <v>0.62389879999999998</v>
      </c>
      <c r="F2746" t="s">
        <v>55</v>
      </c>
      <c r="G2746">
        <v>-496.29590000000002</v>
      </c>
      <c r="H2746" s="1">
        <v>4.6810459999999997E-6</v>
      </c>
      <c r="I2746">
        <v>228.416</v>
      </c>
      <c r="J2746">
        <v>-488.47120000000001</v>
      </c>
      <c r="K2746">
        <v>1.1090709999999999</v>
      </c>
      <c r="L2746">
        <v>249.82380000000001</v>
      </c>
      <c r="M2746">
        <v>-0.1260184</v>
      </c>
      <c r="N2746">
        <v>-1.304101E-2</v>
      </c>
      <c r="O2746">
        <v>-0.9919422</v>
      </c>
      <c r="P2746">
        <v>-3.4194740000000001E-2</v>
      </c>
      <c r="Q2746">
        <v>-0.1142645</v>
      </c>
      <c r="R2746">
        <v>-0.99286189999999996</v>
      </c>
      <c r="S2746">
        <v>-1.080902</v>
      </c>
      <c r="T2746">
        <v>-0.152896799999999</v>
      </c>
      <c r="U2746">
        <v>-2.9685820000000001</v>
      </c>
      <c r="V2746">
        <v>-9.1189480000000003E-2</v>
      </c>
      <c r="W2746">
        <v>-0.1013699</v>
      </c>
      <c r="X2746">
        <v>0.99066069999999995</v>
      </c>
      <c r="Y2746">
        <v>0.2206815</v>
      </c>
      <c r="Z2746">
        <v>3.5893630000000003E-2</v>
      </c>
      <c r="AA2746">
        <v>0.97468529999999998</v>
      </c>
      <c r="AB2746">
        <v>26</v>
      </c>
      <c r="AC2746">
        <v>-7.8247</v>
      </c>
      <c r="AD2746">
        <v>-1.109066318954</v>
      </c>
      <c r="AE2746">
        <v>-21.407800000000002</v>
      </c>
      <c r="AF2746">
        <v>5.0523419501597102</v>
      </c>
      <c r="AG2746">
        <v>-1.109066318954</v>
      </c>
      <c r="AH2746">
        <v>22.170753816357099</v>
      </c>
      <c r="AI2746">
        <v>92.792300124961898</v>
      </c>
      <c r="AJ2746">
        <v>77.162479690932003</v>
      </c>
      <c r="AK2746">
        <v>22.7661703425652</v>
      </c>
      <c r="AL2746">
        <v>95.818060863442497</v>
      </c>
      <c r="AM2746">
        <v>95.259207646504507</v>
      </c>
      <c r="AN2746">
        <v>1.0000000002065801</v>
      </c>
    </row>
    <row r="2747" spans="1:40" x14ac:dyDescent="0.25">
      <c r="A2747" t="str">
        <f>"20190305135246265"</f>
        <v>20190305135246265</v>
      </c>
      <c r="B2747" t="str">
        <f>"1551765166262083"</f>
        <v>1551765166262083</v>
      </c>
      <c r="C2747" t="s">
        <v>40</v>
      </c>
      <c r="D2747">
        <v>4.8915470000000001</v>
      </c>
      <c r="E2747">
        <v>0.62383319999999998</v>
      </c>
      <c r="F2747" t="s">
        <v>55</v>
      </c>
      <c r="G2747">
        <v>-496.39760000000001</v>
      </c>
      <c r="H2747" s="1">
        <v>4.5875739999999996E-6</v>
      </c>
      <c r="I2747">
        <v>228.1156</v>
      </c>
      <c r="J2747">
        <v>-488.4873</v>
      </c>
      <c r="K2747">
        <v>1.109075</v>
      </c>
      <c r="L2747">
        <v>249.69640000000001</v>
      </c>
      <c r="M2747">
        <v>-0.12594130000000001</v>
      </c>
      <c r="N2747">
        <v>-1.306359E-2</v>
      </c>
      <c r="O2747">
        <v>-0.99195169999999999</v>
      </c>
      <c r="P2747">
        <v>-3.5862570000000003E-2</v>
      </c>
      <c r="Q2747">
        <v>-0.11365450000000001</v>
      </c>
      <c r="R2747">
        <v>-0.99287309999999995</v>
      </c>
      <c r="S2747">
        <v>-1.0832820000000001</v>
      </c>
      <c r="T2747">
        <v>-0.15157379999999901</v>
      </c>
      <c r="U2747">
        <v>-2.966812</v>
      </c>
      <c r="V2747">
        <v>-8.9460109999999995E-2</v>
      </c>
      <c r="W2747">
        <v>-0.100734</v>
      </c>
      <c r="X2747">
        <v>0.99088319999999996</v>
      </c>
      <c r="Y2747">
        <v>0.22163949999999999</v>
      </c>
      <c r="Z2747">
        <v>3.5468020000000003E-2</v>
      </c>
      <c r="AA2747">
        <v>0.9744834</v>
      </c>
      <c r="AB2747">
        <v>26</v>
      </c>
      <c r="AC2747">
        <v>-7.9103000000000003</v>
      </c>
      <c r="AD2747">
        <v>-1.109070412426</v>
      </c>
      <c r="AE2747">
        <v>-21.5808</v>
      </c>
      <c r="AF2747">
        <v>5.11724473699807</v>
      </c>
      <c r="AG2747">
        <v>-1.109070412426</v>
      </c>
      <c r="AH2747">
        <v>22.353211663596301</v>
      </c>
      <c r="AI2747">
        <v>92.768927573591199</v>
      </c>
      <c r="AJ2747">
        <v>77.105660516161393</v>
      </c>
      <c r="AK2747">
        <v>22.9582730743318</v>
      </c>
      <c r="AL2747">
        <v>95.781439114470501</v>
      </c>
      <c r="AM2747">
        <v>95.158860161796795</v>
      </c>
      <c r="AN2747">
        <v>0.99999998303972504</v>
      </c>
    </row>
    <row r="2748" spans="1:40" x14ac:dyDescent="0.25">
      <c r="A2748" t="str">
        <f>"20190305135246277"</f>
        <v>20190305135246277</v>
      </c>
      <c r="B2748" t="str">
        <f>"1551765166271842"</f>
        <v>1551765166271842</v>
      </c>
      <c r="C2748" t="s">
        <v>40</v>
      </c>
      <c r="D2748">
        <v>4.8541780000000001</v>
      </c>
      <c r="E2748">
        <v>0.62364209999999998</v>
      </c>
      <c r="F2748" t="s">
        <v>55</v>
      </c>
      <c r="G2748">
        <v>-496.553</v>
      </c>
      <c r="H2748" s="1">
        <v>4.4581170000000004E-6</v>
      </c>
      <c r="I2748">
        <v>227.71709999999999</v>
      </c>
      <c r="J2748">
        <v>-488.50470000000001</v>
      </c>
      <c r="K2748">
        <v>1.1090850000000001</v>
      </c>
      <c r="L2748">
        <v>249.55840000000001</v>
      </c>
      <c r="M2748">
        <v>-0.12585099999999999</v>
      </c>
      <c r="N2748">
        <v>-1.308511E-2</v>
      </c>
      <c r="O2748">
        <v>-0.99196289999999998</v>
      </c>
      <c r="P2748">
        <v>-3.7784930000000001E-2</v>
      </c>
      <c r="Q2748">
        <v>-0.113298</v>
      </c>
      <c r="R2748">
        <v>-0.99284249999999996</v>
      </c>
      <c r="S2748">
        <v>-1.088104</v>
      </c>
      <c r="T2748">
        <v>-0.1496198</v>
      </c>
      <c r="U2748">
        <v>-2.9651339999999999</v>
      </c>
      <c r="V2748">
        <v>-8.7458519999999998E-2</v>
      </c>
      <c r="W2748">
        <v>-0.1003537</v>
      </c>
      <c r="X2748">
        <v>0.99110050000000005</v>
      </c>
      <c r="Y2748">
        <v>0.2233108</v>
      </c>
      <c r="Z2748">
        <v>3.4831429999999997E-2</v>
      </c>
      <c r="AA2748">
        <v>0.97412469999999995</v>
      </c>
      <c r="AB2748">
        <v>26</v>
      </c>
      <c r="AC2748">
        <v>-8.0483000000000402</v>
      </c>
      <c r="AD2748">
        <v>-1.1090805418830001</v>
      </c>
      <c r="AE2748">
        <v>-21.8413</v>
      </c>
      <c r="AF2748">
        <v>5.2234550091251197</v>
      </c>
      <c r="AG2748">
        <v>-1.1090805418830001</v>
      </c>
      <c r="AH2748">
        <v>22.629212743303</v>
      </c>
      <c r="AI2748">
        <v>92.7340988681742</v>
      </c>
      <c r="AJ2748">
        <v>77.002188460986204</v>
      </c>
      <c r="AK2748">
        <v>23.250716360198499</v>
      </c>
      <c r="AL2748">
        <v>95.759538282431095</v>
      </c>
      <c r="AM2748">
        <v>95.042937276432298</v>
      </c>
      <c r="AN2748">
        <v>1.00000002946226</v>
      </c>
    </row>
    <row r="2749" spans="1:40" x14ac:dyDescent="0.25">
      <c r="A2749" t="str">
        <f>"20190305135246289"</f>
        <v>20190305135246289</v>
      </c>
      <c r="B2749" t="str">
        <f>"1551765166282578"</f>
        <v>1551765166282578</v>
      </c>
      <c r="C2749" t="s">
        <v>40</v>
      </c>
      <c r="D2749">
        <v>4.8639659999999996</v>
      </c>
      <c r="E2749">
        <v>0.623583</v>
      </c>
      <c r="F2749" t="s">
        <v>55</v>
      </c>
      <c r="G2749">
        <v>-496.5924</v>
      </c>
      <c r="H2749" s="1">
        <v>4.4257739999999998E-6</v>
      </c>
      <c r="I2749">
        <v>227.6183</v>
      </c>
      <c r="J2749">
        <v>-488.52109999999999</v>
      </c>
      <c r="K2749">
        <v>1.109092</v>
      </c>
      <c r="L2749">
        <v>249.428</v>
      </c>
      <c r="M2749">
        <v>-0.12576279999999901</v>
      </c>
      <c r="N2749">
        <v>-1.3104569999999999E-2</v>
      </c>
      <c r="O2749">
        <v>-0.99197420000000003</v>
      </c>
      <c r="P2749">
        <v>-3.9587289999999997E-2</v>
      </c>
      <c r="Q2749">
        <v>-0.1128513</v>
      </c>
      <c r="R2749">
        <v>-0.99282340000000002</v>
      </c>
      <c r="S2749">
        <v>-1.0922240000000001</v>
      </c>
      <c r="T2749">
        <v>-0.14977799999999999</v>
      </c>
      <c r="U2749">
        <v>-2.962952</v>
      </c>
      <c r="V2749">
        <v>-8.5579139999999998E-2</v>
      </c>
      <c r="W2749">
        <v>-9.9885399999999999E-2</v>
      </c>
      <c r="X2749">
        <v>0.99131179999999997</v>
      </c>
      <c r="Y2749">
        <v>0.22482079999999999</v>
      </c>
      <c r="Z2749">
        <v>3.4877850000000002E-2</v>
      </c>
      <c r="AA2749">
        <v>0.97377570000000002</v>
      </c>
      <c r="AB2749">
        <v>26</v>
      </c>
      <c r="AC2749">
        <v>-8.0713000000000008</v>
      </c>
      <c r="AD2749">
        <v>-1.109087574226</v>
      </c>
      <c r="AE2749">
        <v>-21.8096999999999</v>
      </c>
      <c r="AF2749">
        <v>5.2521761448873798</v>
      </c>
      <c r="AG2749">
        <v>-1.109087574226</v>
      </c>
      <c r="AH2749">
        <v>22.6002601998592</v>
      </c>
      <c r="AI2749">
        <v>92.736672334153795</v>
      </c>
      <c r="AJ2749">
        <v>76.917002109710594</v>
      </c>
      <c r="AK2749">
        <v>23.229016135117799</v>
      </c>
      <c r="AL2749">
        <v>95.732571434791495</v>
      </c>
      <c r="AM2749">
        <v>94.934064813294896</v>
      </c>
      <c r="AN2749">
        <v>0.99999998357776898</v>
      </c>
    </row>
    <row r="2750" spans="1:40" x14ac:dyDescent="0.25">
      <c r="A2750" t="str">
        <f>"20190305135246301"</f>
        <v>20190305135246301</v>
      </c>
      <c r="B2750" t="str">
        <f>"1551765166292338"</f>
        <v>1551765166292338</v>
      </c>
      <c r="C2750" t="s">
        <v>40</v>
      </c>
      <c r="D2750">
        <v>4.8950979999999999</v>
      </c>
      <c r="E2750">
        <v>0.62351190000000001</v>
      </c>
      <c r="F2750" t="s">
        <v>55</v>
      </c>
      <c r="G2750">
        <v>-496.66820000000001</v>
      </c>
      <c r="H2750" s="1">
        <v>4.3666370000000002E-6</v>
      </c>
      <c r="I2750">
        <v>227.44200000000001</v>
      </c>
      <c r="J2750">
        <v>-488.53829999999999</v>
      </c>
      <c r="K2750">
        <v>1.109102</v>
      </c>
      <c r="L2750">
        <v>249.29249999999999</v>
      </c>
      <c r="M2750">
        <v>-0.12566540000000001</v>
      </c>
      <c r="N2750">
        <v>-1.3123040000000001E-2</v>
      </c>
      <c r="O2750">
        <v>-0.99198600000000003</v>
      </c>
      <c r="P2750">
        <v>-4.1641039999999997E-2</v>
      </c>
      <c r="Q2750">
        <v>-0.11261</v>
      </c>
      <c r="R2750">
        <v>-0.99276679999999995</v>
      </c>
      <c r="S2750">
        <v>-1.0971979999999999</v>
      </c>
      <c r="T2750">
        <v>-0.14936640000000001</v>
      </c>
      <c r="U2750">
        <v>-2.9609679999999998</v>
      </c>
      <c r="V2750">
        <v>-8.3436049999999998E-2</v>
      </c>
      <c r="W2750">
        <v>-9.9623649999999994E-2</v>
      </c>
      <c r="X2750">
        <v>0.99152079999999998</v>
      </c>
      <c r="Y2750">
        <v>0.22656799999999999</v>
      </c>
      <c r="Z2750">
        <v>3.473768E-2</v>
      </c>
      <c r="AA2750">
        <v>0.97337569999999995</v>
      </c>
      <c r="AB2750">
        <v>26</v>
      </c>
      <c r="AC2750">
        <v>-8.1299000000000099</v>
      </c>
      <c r="AD2750">
        <v>-1.109097633363</v>
      </c>
      <c r="AE2750">
        <v>-21.850499999999901</v>
      </c>
      <c r="AF2750">
        <v>5.3073414259259399</v>
      </c>
      <c r="AG2750">
        <v>-1.109097633363</v>
      </c>
      <c r="AH2750">
        <v>22.647734601678099</v>
      </c>
      <c r="AI2750">
        <v>92.729793380325205</v>
      </c>
      <c r="AJ2750">
        <v>76.811119245578098</v>
      </c>
      <c r="AK2750">
        <v>23.287718934230799</v>
      </c>
      <c r="AL2750">
        <v>95.717499154036702</v>
      </c>
      <c r="AM2750">
        <v>94.810082988375598</v>
      </c>
      <c r="AN2750">
        <v>0.99999997145578201</v>
      </c>
    </row>
    <row r="2751" spans="1:40" x14ac:dyDescent="0.25">
      <c r="A2751" t="str">
        <f>"20190305135246312"</f>
        <v>20190305135246312</v>
      </c>
      <c r="B2751" t="str">
        <f>"1551765166302099"</f>
        <v>1551765166302099</v>
      </c>
      <c r="C2751" t="s">
        <v>40</v>
      </c>
      <c r="D2751">
        <v>4.8468549999999997</v>
      </c>
      <c r="E2751">
        <v>0.62330819999999998</v>
      </c>
      <c r="F2751" t="s">
        <v>55</v>
      </c>
      <c r="G2751">
        <v>-496.62270000000001</v>
      </c>
      <c r="H2751" s="1">
        <v>4.4175849999999997E-6</v>
      </c>
      <c r="I2751">
        <v>227.61770000000001</v>
      </c>
      <c r="J2751">
        <v>-488.55470000000003</v>
      </c>
      <c r="K2751">
        <v>1.1091120000000001</v>
      </c>
      <c r="L2751">
        <v>249.16210000000001</v>
      </c>
      <c r="M2751">
        <v>-0.1255674</v>
      </c>
      <c r="N2751">
        <v>-1.3139390000000001E-2</v>
      </c>
      <c r="O2751">
        <v>-0.99199809999999999</v>
      </c>
      <c r="P2751">
        <v>-4.3544359999999997E-2</v>
      </c>
      <c r="Q2751">
        <v>-0.1128797</v>
      </c>
      <c r="R2751">
        <v>-0.99265409999999998</v>
      </c>
      <c r="S2751">
        <v>-1.1034550000000001</v>
      </c>
      <c r="T2751">
        <v>-0.15138219999999999</v>
      </c>
      <c r="U2751">
        <v>-2.9584199999999998</v>
      </c>
      <c r="V2751">
        <v>-8.1434370000000006E-2</v>
      </c>
      <c r="W2751">
        <v>-9.9876090000000001E-2</v>
      </c>
      <c r="X2751">
        <v>0.99166180000000004</v>
      </c>
      <c r="Y2751">
        <v>0.2287353</v>
      </c>
      <c r="Z2751">
        <v>3.5374000000000003E-2</v>
      </c>
      <c r="AA2751">
        <v>0.97284570000000004</v>
      </c>
      <c r="AB2751">
        <v>26</v>
      </c>
      <c r="AC2751">
        <v>-8.0679999999999801</v>
      </c>
      <c r="AD2751">
        <v>-1.1091075824150001</v>
      </c>
      <c r="AE2751">
        <v>-21.5444</v>
      </c>
      <c r="AF2751">
        <v>5.28633687954843</v>
      </c>
      <c r="AG2751">
        <v>-1.1091075824150001</v>
      </c>
      <c r="AH2751">
        <v>22.335101282960402</v>
      </c>
      <c r="AI2751">
        <v>92.766526666623193</v>
      </c>
      <c r="AJ2751">
        <v>76.684105518016395</v>
      </c>
      <c r="AK2751">
        <v>22.978951815814899</v>
      </c>
      <c r="AL2751">
        <v>95.732035478636405</v>
      </c>
      <c r="AM2751">
        <v>94.694543872130097</v>
      </c>
      <c r="AN2751">
        <v>0.99999995777511097</v>
      </c>
    </row>
    <row r="2752" spans="1:40" x14ac:dyDescent="0.25">
      <c r="A2752" t="str">
        <f>"20190305135246326"</f>
        <v>20190305135246326</v>
      </c>
      <c r="B2752" t="str">
        <f>"1551765166322594"</f>
        <v>1551765166322594</v>
      </c>
      <c r="C2752" t="s">
        <v>40</v>
      </c>
      <c r="D2752">
        <v>4.8425349999999998</v>
      </c>
      <c r="E2752">
        <v>0.62293050000000005</v>
      </c>
      <c r="F2752" t="s">
        <v>55</v>
      </c>
      <c r="G2752">
        <v>-496.51159999999999</v>
      </c>
      <c r="H2752" s="1">
        <v>4.5153510000000001E-6</v>
      </c>
      <c r="I2752">
        <v>227.92609999999999</v>
      </c>
      <c r="J2752">
        <v>-488.57429999999999</v>
      </c>
      <c r="K2752">
        <v>1.1091230000000001</v>
      </c>
      <c r="L2752">
        <v>249.0061</v>
      </c>
      <c r="M2752">
        <v>-0.12544629999999901</v>
      </c>
      <c r="N2752">
        <v>-1.3157820000000001E-2</v>
      </c>
      <c r="O2752">
        <v>-0.99201320000000004</v>
      </c>
      <c r="P2752">
        <v>-4.5550720000000003E-2</v>
      </c>
      <c r="Q2752">
        <v>-0.11293549999999999</v>
      </c>
      <c r="R2752">
        <v>-0.99255749999999998</v>
      </c>
      <c r="S2752">
        <v>-1.107605</v>
      </c>
      <c r="T2752">
        <v>-0.15438869999999999</v>
      </c>
      <c r="U2752">
        <v>-2.95607</v>
      </c>
      <c r="V2752">
        <v>-7.9309309999999994E-2</v>
      </c>
      <c r="W2752">
        <v>-9.9912379999999995E-2</v>
      </c>
      <c r="X2752">
        <v>0.9918304</v>
      </c>
      <c r="Y2752">
        <v>0.2302911</v>
      </c>
      <c r="Z2752">
        <v>3.6329279999999999E-2</v>
      </c>
      <c r="AA2752">
        <v>0.97244339999999996</v>
      </c>
      <c r="AB2752">
        <v>26</v>
      </c>
      <c r="AC2752">
        <v>-7.9372999999999898</v>
      </c>
      <c r="AD2752">
        <v>-1.1091184846490001</v>
      </c>
      <c r="AE2752">
        <v>-21.08</v>
      </c>
      <c r="AF2752">
        <v>5.2173011971271501</v>
      </c>
      <c r="AG2752">
        <v>-1.1091184846490001</v>
      </c>
      <c r="AH2752">
        <v>21.856246949773901</v>
      </c>
      <c r="AI2752">
        <v>92.825782866744305</v>
      </c>
      <c r="AJ2752">
        <v>76.574181975117995</v>
      </c>
      <c r="AK2752">
        <v>22.497686688280599</v>
      </c>
      <c r="AL2752">
        <v>95.734124973280302</v>
      </c>
      <c r="AM2752">
        <v>94.5717904375324</v>
      </c>
      <c r="AN2752">
        <v>0.99999999634704995</v>
      </c>
    </row>
    <row r="2753" spans="1:40" x14ac:dyDescent="0.25">
      <c r="A2753" t="str">
        <f>"20190305135246339"</f>
        <v>20190305135246339</v>
      </c>
      <c r="B2753" t="str">
        <f>"1551765166332355"</f>
        <v>1551765166332355</v>
      </c>
      <c r="C2753" t="s">
        <v>40</v>
      </c>
      <c r="D2753">
        <v>4.8374199999999998</v>
      </c>
      <c r="E2753">
        <v>0.622776</v>
      </c>
      <c r="F2753" t="s">
        <v>55</v>
      </c>
      <c r="G2753">
        <v>-496.48450000000003</v>
      </c>
      <c r="H2753" s="1">
        <v>4.5318399999999998E-6</v>
      </c>
      <c r="I2753">
        <v>227.96809999999999</v>
      </c>
      <c r="J2753">
        <v>-488.59350000000001</v>
      </c>
      <c r="K2753">
        <v>1.1091340000000001</v>
      </c>
      <c r="L2753">
        <v>248.85339999999999</v>
      </c>
      <c r="M2753">
        <v>-0.12532099999999999</v>
      </c>
      <c r="N2753">
        <v>-1.317362E-2</v>
      </c>
      <c r="O2753">
        <v>-0.99202900000000005</v>
      </c>
      <c r="P2753">
        <v>-4.7386749999999998E-2</v>
      </c>
      <c r="Q2753">
        <v>-0.1135594</v>
      </c>
      <c r="R2753">
        <v>-0.99240070000000002</v>
      </c>
      <c r="S2753">
        <v>-1.1106259999999999</v>
      </c>
      <c r="T2753">
        <v>-0.155724799999999</v>
      </c>
      <c r="U2753">
        <v>-2.9538120000000001</v>
      </c>
      <c r="V2753">
        <v>-7.7341229999999997E-2</v>
      </c>
      <c r="W2753">
        <v>-0.10052030000000001</v>
      </c>
      <c r="X2753">
        <v>0.99192440000000004</v>
      </c>
      <c r="Y2753">
        <v>0.23152300000000001</v>
      </c>
      <c r="Z2753">
        <v>3.675987E-2</v>
      </c>
      <c r="AA2753">
        <v>0.97213459999999996</v>
      </c>
      <c r="AB2753">
        <v>26</v>
      </c>
      <c r="AC2753">
        <v>-7.8910000000000098</v>
      </c>
      <c r="AD2753">
        <v>-1.1091294681599999</v>
      </c>
      <c r="AE2753">
        <v>-20.885300000000001</v>
      </c>
      <c r="AF2753">
        <v>5.1983561067721098</v>
      </c>
      <c r="AG2753">
        <v>-1.1091294681599999</v>
      </c>
      <c r="AH2753">
        <v>21.656164769264802</v>
      </c>
      <c r="AI2753">
        <v>92.851018075088007</v>
      </c>
      <c r="AJ2753">
        <v>76.502073922513802</v>
      </c>
      <c r="AK2753">
        <v>22.298936003843401</v>
      </c>
      <c r="AL2753">
        <v>95.769132407948007</v>
      </c>
      <c r="AM2753">
        <v>94.458382768762405</v>
      </c>
      <c r="AN2753">
        <v>1.0000000059426799</v>
      </c>
    </row>
    <row r="2754" spans="1:40" x14ac:dyDescent="0.25">
      <c r="A2754" t="str">
        <f>"20190305135246355"</f>
        <v>20190305135246355</v>
      </c>
      <c r="B2754" t="str">
        <f>"1551765166352382"</f>
        <v>1551765166352382</v>
      </c>
      <c r="C2754" t="s">
        <v>40</v>
      </c>
      <c r="D2754">
        <v>4.8235340000000004</v>
      </c>
      <c r="E2754">
        <v>0.62243009999999999</v>
      </c>
      <c r="F2754" t="s">
        <v>55</v>
      </c>
      <c r="G2754">
        <v>-496.3802</v>
      </c>
      <c r="H2754" s="1">
        <v>4.6209780000000001E-6</v>
      </c>
      <c r="I2754">
        <v>228.2458</v>
      </c>
      <c r="J2754">
        <v>-488.61630000000002</v>
      </c>
      <c r="K2754">
        <v>1.1091549999999999</v>
      </c>
      <c r="L2754">
        <v>248.67140000000001</v>
      </c>
      <c r="M2754">
        <v>-0.12516859999999999</v>
      </c>
      <c r="N2754">
        <v>-1.319095E-2</v>
      </c>
      <c r="O2754">
        <v>-0.99204809999999999</v>
      </c>
      <c r="P2754">
        <v>-5.1387149999999999E-2</v>
      </c>
      <c r="Q2754">
        <v>-0.1139974</v>
      </c>
      <c r="R2754">
        <v>-0.99215169999999997</v>
      </c>
      <c r="S2754">
        <v>-1.115265</v>
      </c>
      <c r="T2754">
        <v>-0.15885779999999999</v>
      </c>
      <c r="U2754">
        <v>-2.951584</v>
      </c>
      <c r="V2754">
        <v>-7.3186989999999993E-2</v>
      </c>
      <c r="W2754">
        <v>-0.1009379</v>
      </c>
      <c r="X2754">
        <v>0.9921972</v>
      </c>
      <c r="Y2754">
        <v>0.2332359</v>
      </c>
      <c r="Z2754">
        <v>3.7753290000000002E-2</v>
      </c>
      <c r="AA2754">
        <v>0.97168699999999997</v>
      </c>
      <c r="AB2754">
        <v>26</v>
      </c>
      <c r="AC2754">
        <v>-7.7638999999999703</v>
      </c>
      <c r="AD2754">
        <v>-1.1091503790220001</v>
      </c>
      <c r="AE2754">
        <v>-20.425599999999999</v>
      </c>
      <c r="AF2754">
        <v>5.1327403545766197</v>
      </c>
      <c r="AG2754">
        <v>-1.1091503790220001</v>
      </c>
      <c r="AH2754">
        <v>21.1822402525295</v>
      </c>
      <c r="AI2754">
        <v>92.913244919693298</v>
      </c>
      <c r="AJ2754">
        <v>76.379004347109301</v>
      </c>
      <c r="AK2754">
        <v>21.823440155636899</v>
      </c>
      <c r="AL2754">
        <v>95.793181246910095</v>
      </c>
      <c r="AM2754">
        <v>94.218642459907898</v>
      </c>
      <c r="AN2754">
        <v>1.0000000394247499</v>
      </c>
    </row>
    <row r="2755" spans="1:40" x14ac:dyDescent="0.25">
      <c r="A2755" t="str">
        <f>"20190305135246377"</f>
        <v>20190305135246377</v>
      </c>
      <c r="B2755" t="str">
        <f>"1551765166371902"</f>
        <v>1551765166371902</v>
      </c>
      <c r="C2755" t="s">
        <v>40</v>
      </c>
      <c r="D2755">
        <v>4.8922809999999997</v>
      </c>
      <c r="E2755">
        <v>0.6221641</v>
      </c>
      <c r="F2755" t="s">
        <v>55</v>
      </c>
      <c r="G2755">
        <v>-496.30869999999999</v>
      </c>
      <c r="H2755" s="1">
        <v>4.6999139999999996E-6</v>
      </c>
      <c r="I2755">
        <v>228.51679999999999</v>
      </c>
      <c r="J2755">
        <v>-488.64920000000001</v>
      </c>
      <c r="K2755">
        <v>1.1091819999999999</v>
      </c>
      <c r="L2755">
        <v>248.40960000000001</v>
      </c>
      <c r="M2755">
        <v>-0.12494479999999999</v>
      </c>
      <c r="N2755">
        <v>-1.321281E-2</v>
      </c>
      <c r="O2755">
        <v>-0.99207590000000001</v>
      </c>
      <c r="P2755">
        <v>-5.5587820000000003E-2</v>
      </c>
      <c r="Q2755">
        <v>-0.1128536</v>
      </c>
      <c r="R2755">
        <v>-0.99205569999999998</v>
      </c>
      <c r="S2755">
        <v>-1.124725</v>
      </c>
      <c r="T2755">
        <v>-0.16217110000000001</v>
      </c>
      <c r="U2755">
        <v>-2.9468380000000001</v>
      </c>
      <c r="V2755">
        <v>-6.8781700000000001E-2</v>
      </c>
      <c r="W2755">
        <v>-9.9767099999999997E-2</v>
      </c>
      <c r="X2755">
        <v>0.99263069999999998</v>
      </c>
      <c r="Y2755">
        <v>0.2366791</v>
      </c>
      <c r="Z2755">
        <v>3.881739E-2</v>
      </c>
      <c r="AA2755">
        <v>0.97081209999999996</v>
      </c>
      <c r="AB2755">
        <v>26</v>
      </c>
      <c r="AC2755">
        <v>-7.65949999999998</v>
      </c>
      <c r="AD2755">
        <v>-1.1091773000859999</v>
      </c>
      <c r="AE2755">
        <v>-19.892800000000001</v>
      </c>
      <c r="AF2755">
        <v>5.0999406840266399</v>
      </c>
      <c r="AG2755">
        <v>-1.1091773000859999</v>
      </c>
      <c r="AH2755">
        <v>20.638106637237499</v>
      </c>
      <c r="AI2755">
        <v>92.986683452700007</v>
      </c>
      <c r="AJ2755">
        <v>76.119554559906604</v>
      </c>
      <c r="AK2755">
        <v>21.287816112358801</v>
      </c>
      <c r="AL2755">
        <v>95.725758926205003</v>
      </c>
      <c r="AM2755">
        <v>93.963822505885801</v>
      </c>
      <c r="AN2755">
        <v>1.0000000515398899</v>
      </c>
    </row>
    <row r="2756" spans="1:40" x14ac:dyDescent="0.25">
      <c r="A2756" t="str">
        <f>"20190305135246389"</f>
        <v>20190305135246389</v>
      </c>
      <c r="B2756" t="str">
        <f>"1551765166382637"</f>
        <v>1551765166382637</v>
      </c>
      <c r="C2756" t="s">
        <v>40</v>
      </c>
      <c r="D2756">
        <v>4.8751610000000003</v>
      </c>
      <c r="E2756">
        <v>0.62195719999999899</v>
      </c>
      <c r="F2756" t="s">
        <v>55</v>
      </c>
      <c r="G2756">
        <v>-496.43729999999999</v>
      </c>
      <c r="H2756" s="1">
        <v>4.600591E-6</v>
      </c>
      <c r="I2756">
        <v>228.22239999999999</v>
      </c>
      <c r="J2756">
        <v>-488.66559999999998</v>
      </c>
      <c r="K2756">
        <v>1.109194</v>
      </c>
      <c r="L2756">
        <v>248.27889999999999</v>
      </c>
      <c r="M2756">
        <v>-0.124832</v>
      </c>
      <c r="N2756">
        <v>-1.322252E-2</v>
      </c>
      <c r="O2756">
        <v>-0.99209020000000003</v>
      </c>
      <c r="P2756">
        <v>-5.7641150000000002E-2</v>
      </c>
      <c r="Q2756">
        <v>-0.1116182</v>
      </c>
      <c r="R2756">
        <v>-0.99207829999999997</v>
      </c>
      <c r="S2756">
        <v>-1.13504</v>
      </c>
      <c r="T2756">
        <v>-0.16165009999999999</v>
      </c>
      <c r="U2756">
        <v>-2.942062</v>
      </c>
      <c r="V2756">
        <v>-6.6633880000000006E-2</v>
      </c>
      <c r="W2756">
        <v>-9.8518350000000005E-2</v>
      </c>
      <c r="X2756">
        <v>0.9929019</v>
      </c>
      <c r="Y2756">
        <v>0.24027979999999999</v>
      </c>
      <c r="Z2756">
        <v>3.8669349999999998E-2</v>
      </c>
      <c r="AA2756">
        <v>0.96993320000000005</v>
      </c>
      <c r="AB2756">
        <v>26</v>
      </c>
      <c r="AC2756">
        <v>-7.7717000000000098</v>
      </c>
      <c r="AD2756">
        <v>-1.1091893994090001</v>
      </c>
      <c r="AE2756">
        <v>-20.0565</v>
      </c>
      <c r="AF2756">
        <v>5.1931778699927396</v>
      </c>
      <c r="AG2756">
        <v>-1.1091893994090001</v>
      </c>
      <c r="AH2756">
        <v>20.8144804062396</v>
      </c>
      <c r="AI2756">
        <v>92.959804060129699</v>
      </c>
      <c r="AJ2756">
        <v>75.990813098082896</v>
      </c>
      <c r="AK2756">
        <v>21.481200899737299</v>
      </c>
      <c r="AL2756">
        <v>95.653856519166695</v>
      </c>
      <c r="AM2756">
        <v>93.839376236372701</v>
      </c>
      <c r="AN2756">
        <v>1.0000000611370901</v>
      </c>
    </row>
    <row r="2757" spans="1:40" x14ac:dyDescent="0.25">
      <c r="A2757" t="str">
        <f>"20190305135246401"</f>
        <v>20190305135246401</v>
      </c>
      <c r="B2757" t="str">
        <f>"1551765166392397"</f>
        <v>1551765166392397</v>
      </c>
      <c r="C2757" t="s">
        <v>40</v>
      </c>
      <c r="D2757">
        <v>4.8522939999999997</v>
      </c>
      <c r="E2757">
        <v>0.62177009999999999</v>
      </c>
      <c r="F2757" t="s">
        <v>55</v>
      </c>
      <c r="G2757">
        <v>-496.59780000000001</v>
      </c>
      <c r="H2757" s="1">
        <v>4.4681609999999998E-6</v>
      </c>
      <c r="I2757">
        <v>227.81639999999999</v>
      </c>
      <c r="J2757">
        <v>-488.68279999999999</v>
      </c>
      <c r="K2757">
        <v>1.109208</v>
      </c>
      <c r="L2757">
        <v>248.14080000000001</v>
      </c>
      <c r="M2757">
        <v>-0.12471260000000001</v>
      </c>
      <c r="N2757">
        <v>-1.323185E-2</v>
      </c>
      <c r="O2757">
        <v>-0.99210489999999996</v>
      </c>
      <c r="P2757">
        <v>-5.9777759999999999E-2</v>
      </c>
      <c r="Q2757">
        <v>-0.1107959</v>
      </c>
      <c r="R2757">
        <v>-0.99204400000000004</v>
      </c>
      <c r="S2757">
        <v>-1.139618</v>
      </c>
      <c r="T2757">
        <v>-0.15935679999999999</v>
      </c>
      <c r="U2757">
        <v>-2.939835</v>
      </c>
      <c r="V2757">
        <v>-6.4389660000000001E-2</v>
      </c>
      <c r="W2757">
        <v>-9.7683530000000005E-2</v>
      </c>
      <c r="X2757">
        <v>0.99313240000000003</v>
      </c>
      <c r="Y2757">
        <v>0.24196719999999999</v>
      </c>
      <c r="Z2757">
        <v>3.7943530000000003E-2</v>
      </c>
      <c r="AA2757">
        <v>0.96954229999999997</v>
      </c>
      <c r="AB2757">
        <v>26</v>
      </c>
      <c r="AC2757">
        <v>-7.9150000000000098</v>
      </c>
      <c r="AD2757">
        <v>-1.1092035318389999</v>
      </c>
      <c r="AE2757">
        <v>-20.324400000000001</v>
      </c>
      <c r="AF2757">
        <v>5.3045472540018901</v>
      </c>
      <c r="AG2757">
        <v>-1.1092035318389999</v>
      </c>
      <c r="AH2757">
        <v>21.098319523479301</v>
      </c>
      <c r="AI2757">
        <v>92.918771704277304</v>
      </c>
      <c r="AJ2757">
        <v>75.887188210610702</v>
      </c>
      <c r="AK2757">
        <v>21.783196293469199</v>
      </c>
      <c r="AL2757">
        <v>95.605793185360994</v>
      </c>
      <c r="AM2757">
        <v>93.709575295919393</v>
      </c>
      <c r="AN2757">
        <v>1.0000000321389599</v>
      </c>
    </row>
    <row r="2758" spans="1:40" x14ac:dyDescent="0.25">
      <c r="A2758" t="str">
        <f>"20190305135246411"</f>
        <v>20190305135246411</v>
      </c>
      <c r="B2758" t="str">
        <f>"1551765166402158"</f>
        <v>1551765166402158</v>
      </c>
      <c r="C2758" t="s">
        <v>40</v>
      </c>
      <c r="D2758">
        <v>4.8885680000000002</v>
      </c>
      <c r="E2758">
        <v>0.62150749999999999</v>
      </c>
      <c r="F2758" t="s">
        <v>55</v>
      </c>
      <c r="G2758">
        <v>-496.72379999999998</v>
      </c>
      <c r="H2758" s="1">
        <v>4.3661699999999901E-6</v>
      </c>
      <c r="I2758">
        <v>227.5068</v>
      </c>
      <c r="J2758">
        <v>-488.69760000000002</v>
      </c>
      <c r="K2758">
        <v>1.109221</v>
      </c>
      <c r="L2758">
        <v>248.02209999999999</v>
      </c>
      <c r="M2758">
        <v>-0.1246101</v>
      </c>
      <c r="N2758">
        <v>-1.323915E-2</v>
      </c>
      <c r="O2758">
        <v>-0.99211769999999999</v>
      </c>
      <c r="P2758">
        <v>-6.1803940000000002E-2</v>
      </c>
      <c r="Q2758">
        <v>-0.11027530000000001</v>
      </c>
      <c r="R2758">
        <v>-0.99197789999999997</v>
      </c>
      <c r="S2758">
        <v>-1.144714</v>
      </c>
      <c r="T2758">
        <v>-0.1579062</v>
      </c>
      <c r="U2758">
        <v>-2.9374539999999998</v>
      </c>
      <c r="V2758">
        <v>-6.2268360000000002E-2</v>
      </c>
      <c r="W2758">
        <v>-9.7152870000000002E-2</v>
      </c>
      <c r="X2758">
        <v>0.99331970000000003</v>
      </c>
      <c r="Y2758">
        <v>0.24379909999999999</v>
      </c>
      <c r="Z2758">
        <v>3.74875E-2</v>
      </c>
      <c r="AA2758">
        <v>0.96910099999999999</v>
      </c>
      <c r="AB2758">
        <v>26</v>
      </c>
      <c r="AC2758">
        <v>-8.0261999999999603</v>
      </c>
      <c r="AD2758">
        <v>-1.10921663382999</v>
      </c>
      <c r="AE2758">
        <v>-20.5153</v>
      </c>
      <c r="AF2758">
        <v>5.3933205294348996</v>
      </c>
      <c r="AG2758">
        <v>-1.10921663382999</v>
      </c>
      <c r="AH2758">
        <v>21.301598942096899</v>
      </c>
      <c r="AI2758">
        <v>92.889789450565203</v>
      </c>
      <c r="AJ2758">
        <v>75.791943050681795</v>
      </c>
      <c r="AK2758">
        <v>22.001735962508398</v>
      </c>
      <c r="AL2758">
        <v>95.575243323502406</v>
      </c>
      <c r="AM2758">
        <v>93.5870142238022</v>
      </c>
      <c r="AN2758">
        <v>1.0000000276072001</v>
      </c>
    </row>
    <row r="2759" spans="1:40" x14ac:dyDescent="0.25">
      <c r="A2759" t="str">
        <f>"20190305135246423"</f>
        <v>20190305135246423</v>
      </c>
      <c r="B2759" t="str">
        <f>"1551765166412894"</f>
        <v>1551765166412894</v>
      </c>
      <c r="C2759" t="s">
        <v>40</v>
      </c>
      <c r="D2759">
        <v>4.8893680000000002</v>
      </c>
      <c r="E2759">
        <v>0.62134019999999901</v>
      </c>
      <c r="F2759" t="s">
        <v>55</v>
      </c>
      <c r="G2759">
        <v>-496.77569999999997</v>
      </c>
      <c r="H2759" s="1">
        <v>4.3230979999999997E-6</v>
      </c>
      <c r="I2759">
        <v>227.37450000000001</v>
      </c>
      <c r="J2759">
        <v>-488.71449999999999</v>
      </c>
      <c r="K2759">
        <v>1.1092310000000001</v>
      </c>
      <c r="L2759">
        <v>247.88650000000001</v>
      </c>
      <c r="M2759">
        <v>-0.1244929</v>
      </c>
      <c r="N2759">
        <v>-1.324704E-2</v>
      </c>
      <c r="O2759">
        <v>-0.99213200000000001</v>
      </c>
      <c r="P2759">
        <v>-6.3779470000000005E-2</v>
      </c>
      <c r="Q2759">
        <v>-0.1098137</v>
      </c>
      <c r="R2759">
        <v>-0.99190400000000001</v>
      </c>
      <c r="S2759">
        <v>-1.1483460000000001</v>
      </c>
      <c r="T2759">
        <v>-0.1576815</v>
      </c>
      <c r="U2759">
        <v>-2.935181</v>
      </c>
      <c r="V2759">
        <v>-6.0181720000000001E-2</v>
      </c>
      <c r="W2759">
        <v>-9.6680829999999995E-2</v>
      </c>
      <c r="X2759">
        <v>0.99349430000000005</v>
      </c>
      <c r="Y2759">
        <v>0.2452078</v>
      </c>
      <c r="Z2759">
        <v>3.7426349999999997E-2</v>
      </c>
      <c r="AA2759">
        <v>0.9687479</v>
      </c>
      <c r="AB2759">
        <v>26</v>
      </c>
      <c r="AC2759">
        <v>-8.0611999999999799</v>
      </c>
      <c r="AD2759">
        <v>-1.1092266769019901</v>
      </c>
      <c r="AE2759">
        <v>-20.511999999999901</v>
      </c>
      <c r="AF2759">
        <v>5.4308972747656101</v>
      </c>
      <c r="AG2759">
        <v>-1.1092266769019901</v>
      </c>
      <c r="AH2759">
        <v>21.302088984817001</v>
      </c>
      <c r="AI2759">
        <v>92.888538951979498</v>
      </c>
      <c r="AJ2759">
        <v>75.697315639510293</v>
      </c>
      <c r="AK2759">
        <v>22.011452113544699</v>
      </c>
      <c r="AL2759">
        <v>95.548069805656596</v>
      </c>
      <c r="AM2759">
        <v>93.466502254521998</v>
      </c>
      <c r="AN2759">
        <v>0.99999997322206802</v>
      </c>
    </row>
    <row r="2760" spans="1:40" x14ac:dyDescent="0.25">
      <c r="A2760" t="str">
        <f>"20190305135246435"</f>
        <v>20190305135246435</v>
      </c>
      <c r="B2760" t="str">
        <f>"1551765166432413"</f>
        <v>1551765166432413</v>
      </c>
      <c r="C2760" t="s">
        <v>40</v>
      </c>
      <c r="D2760">
        <v>7.8582320000000001</v>
      </c>
      <c r="E2760">
        <v>0.62109799999999904</v>
      </c>
      <c r="F2760" t="s">
        <v>55</v>
      </c>
      <c r="G2760">
        <v>-496.84379999999999</v>
      </c>
      <c r="H2760" s="1">
        <v>4.2673730000000003E-6</v>
      </c>
      <c r="I2760">
        <v>227.20429999999999</v>
      </c>
      <c r="J2760">
        <v>-488.73039999999997</v>
      </c>
      <c r="K2760">
        <v>1.109243</v>
      </c>
      <c r="L2760">
        <v>247.75899999999999</v>
      </c>
      <c r="M2760">
        <v>-0.1243832</v>
      </c>
      <c r="N2760">
        <v>-1.3253600000000001E-2</v>
      </c>
      <c r="O2760">
        <v>-0.99214579999999997</v>
      </c>
      <c r="P2760">
        <v>-6.5244419999999997E-2</v>
      </c>
      <c r="Q2760">
        <v>-0.10968840000000001</v>
      </c>
      <c r="R2760">
        <v>-0.9918228</v>
      </c>
      <c r="S2760">
        <v>-1.1528020000000001</v>
      </c>
      <c r="T2760">
        <v>-0.15729939999999901</v>
      </c>
      <c r="U2760">
        <v>-2.932938</v>
      </c>
      <c r="V2760">
        <v>-5.8608189999999998E-2</v>
      </c>
      <c r="W2760">
        <v>-9.6547240000000006E-2</v>
      </c>
      <c r="X2760">
        <v>0.99360139999999997</v>
      </c>
      <c r="Y2760">
        <v>0.24684239999999999</v>
      </c>
      <c r="Z2760">
        <v>3.7311869999999997E-2</v>
      </c>
      <c r="AA2760">
        <v>0.96833709999999995</v>
      </c>
      <c r="AB2760">
        <v>26</v>
      </c>
      <c r="AC2760">
        <v>-8.1134000000000093</v>
      </c>
      <c r="AD2760">
        <v>-1.1092387326269999</v>
      </c>
      <c r="AE2760">
        <v>-20.5547</v>
      </c>
      <c r="AF2760">
        <v>5.4796915432219402</v>
      </c>
      <c r="AG2760">
        <v>-1.1092387326269999</v>
      </c>
      <c r="AH2760">
        <v>21.350512420804701</v>
      </c>
      <c r="AI2760">
        <v>92.880850972830302</v>
      </c>
      <c r="AJ2760">
        <v>75.605509463350401</v>
      </c>
      <c r="AK2760">
        <v>22.0703831096281</v>
      </c>
      <c r="AL2760">
        <v>95.5403794507356</v>
      </c>
      <c r="AM2760">
        <v>93.375715392488601</v>
      </c>
      <c r="AN2760">
        <v>1.0000000157843201</v>
      </c>
    </row>
    <row r="2761" spans="1:40" x14ac:dyDescent="0.25">
      <c r="A2761" t="str">
        <f>"20190305135246447"</f>
        <v>20190305135246447</v>
      </c>
      <c r="B2761" t="str">
        <f>"1551765166442173"</f>
        <v>1551765166442173</v>
      </c>
      <c r="C2761" t="s">
        <v>40</v>
      </c>
      <c r="D2761">
        <v>4.9179760000000003</v>
      </c>
      <c r="E2761">
        <v>0.62095119999999904</v>
      </c>
      <c r="F2761" t="s">
        <v>55</v>
      </c>
      <c r="G2761">
        <v>-496.89850000000001</v>
      </c>
      <c r="H2761" s="1">
        <v>4.2153930000000004E-6</v>
      </c>
      <c r="I2761">
        <v>227.0351</v>
      </c>
      <c r="J2761">
        <v>-488.74680000000001</v>
      </c>
      <c r="K2761">
        <v>1.1092599999999999</v>
      </c>
      <c r="L2761">
        <v>247.62710000000001</v>
      </c>
      <c r="M2761">
        <v>-0.1242699</v>
      </c>
      <c r="N2761">
        <v>-1.326016E-2</v>
      </c>
      <c r="O2761">
        <v>-0.99215989999999998</v>
      </c>
      <c r="P2761">
        <v>-6.5941970000000003E-2</v>
      </c>
      <c r="Q2761">
        <v>-0.10927249999999999</v>
      </c>
      <c r="R2761">
        <v>-0.99182239999999999</v>
      </c>
      <c r="S2761">
        <v>-1.155365</v>
      </c>
      <c r="T2761">
        <v>-0.15690029999999999</v>
      </c>
      <c r="U2761">
        <v>-2.9313660000000001</v>
      </c>
      <c r="V2761">
        <v>-5.7802270000000003E-2</v>
      </c>
      <c r="W2761">
        <v>-9.6123559999999997E-2</v>
      </c>
      <c r="X2761">
        <v>0.99368970000000001</v>
      </c>
      <c r="Y2761">
        <v>0.24786430000000001</v>
      </c>
      <c r="Z2761">
        <v>3.7190380000000002E-2</v>
      </c>
      <c r="AA2761">
        <v>0.96808059999999996</v>
      </c>
      <c r="AB2761">
        <v>26</v>
      </c>
      <c r="AC2761">
        <v>-8.1516999999999999</v>
      </c>
      <c r="AD2761">
        <v>-1.1092557846069999</v>
      </c>
      <c r="AE2761">
        <v>-20.591999999999999</v>
      </c>
      <c r="AF2761">
        <v>5.51547347774234</v>
      </c>
      <c r="AG2761">
        <v>-1.1092557846069999</v>
      </c>
      <c r="AH2761">
        <v>21.391787252604502</v>
      </c>
      <c r="AI2761">
        <v>92.874530517844704</v>
      </c>
      <c r="AJ2761">
        <v>75.542231661636293</v>
      </c>
      <c r="AK2761">
        <v>22.1192101563337</v>
      </c>
      <c r="AL2761">
        <v>95.515990860715902</v>
      </c>
      <c r="AM2761">
        <v>93.329105962548098</v>
      </c>
      <c r="AN2761">
        <v>1.00000003054515</v>
      </c>
    </row>
    <row r="2762" spans="1:40" x14ac:dyDescent="0.25">
      <c r="A2762" t="str">
        <f>"20190305135246457"</f>
        <v>20190305135246457</v>
      </c>
      <c r="B2762" t="str">
        <f>"1551765166452441"</f>
        <v>1551765166452441</v>
      </c>
      <c r="C2762" t="s">
        <v>40</v>
      </c>
      <c r="D2762">
        <v>4.9443599999999996</v>
      </c>
      <c r="E2762">
        <v>0.62076809999999905</v>
      </c>
      <c r="F2762" t="s">
        <v>55</v>
      </c>
      <c r="G2762">
        <v>-497.06209999999999</v>
      </c>
      <c r="H2762" s="1">
        <v>4.0643890000000003E-6</v>
      </c>
      <c r="I2762">
        <v>226.54900000000001</v>
      </c>
      <c r="J2762">
        <v>-488.76280000000003</v>
      </c>
      <c r="K2762">
        <v>1.109273</v>
      </c>
      <c r="L2762">
        <v>247.4984</v>
      </c>
      <c r="M2762">
        <v>-0.1241601</v>
      </c>
      <c r="N2762">
        <v>-1.326579E-2</v>
      </c>
      <c r="O2762">
        <v>-0.99217359999999999</v>
      </c>
      <c r="P2762">
        <v>-6.5524289999999999E-2</v>
      </c>
      <c r="Q2762">
        <v>-0.108193899999999</v>
      </c>
      <c r="R2762">
        <v>-0.99196799999999996</v>
      </c>
      <c r="S2762">
        <v>-1.1562190000000001</v>
      </c>
      <c r="T2762">
        <v>-0.15424009999999999</v>
      </c>
      <c r="U2762">
        <v>-2.9308779999999999</v>
      </c>
      <c r="V2762">
        <v>-5.8124870000000002E-2</v>
      </c>
      <c r="W2762">
        <v>-9.5038289999999997E-2</v>
      </c>
      <c r="X2762">
        <v>0.99377519999999997</v>
      </c>
      <c r="Y2762">
        <v>0.24828330000000001</v>
      </c>
      <c r="Z2762">
        <v>3.6340049999999999E-2</v>
      </c>
      <c r="AA2762">
        <v>0.96800560000000002</v>
      </c>
      <c r="AB2762">
        <v>26</v>
      </c>
      <c r="AC2762">
        <v>-8.2992999999999597</v>
      </c>
      <c r="AD2762">
        <v>-1.1092689356109999</v>
      </c>
      <c r="AE2762">
        <v>-20.949400000000001</v>
      </c>
      <c r="AF2762">
        <v>5.6201423797378496</v>
      </c>
      <c r="AG2762">
        <v>-1.1092689356109999</v>
      </c>
      <c r="AH2762">
        <v>21.765056908041501</v>
      </c>
      <c r="AI2762">
        <v>92.825082235056101</v>
      </c>
      <c r="AJ2762">
        <v>75.521429442287101</v>
      </c>
      <c r="AK2762">
        <v>22.506314228463101</v>
      </c>
      <c r="AL2762">
        <v>95.453523843692693</v>
      </c>
      <c r="AM2762">
        <v>93.347356520475401</v>
      </c>
      <c r="AN2762">
        <v>0.99999996260683899</v>
      </c>
    </row>
    <row r="2763" spans="1:40" x14ac:dyDescent="0.25">
      <c r="A2763" t="str">
        <f>"20190305135246469"</f>
        <v>20190305135246469</v>
      </c>
      <c r="B2763" t="str">
        <f>"1551765166462201"</f>
        <v>1551765166462201</v>
      </c>
      <c r="C2763" t="s">
        <v>40</v>
      </c>
      <c r="D2763">
        <v>4.9413669999999996</v>
      </c>
      <c r="E2763">
        <v>0.62055380000000004</v>
      </c>
      <c r="F2763" t="s">
        <v>55</v>
      </c>
      <c r="G2763">
        <v>-497.16860000000003</v>
      </c>
      <c r="H2763" s="1">
        <v>3.9436410000000003E-6</v>
      </c>
      <c r="I2763">
        <v>226.1311</v>
      </c>
      <c r="J2763">
        <v>-488.77800000000002</v>
      </c>
      <c r="K2763">
        <v>1.109289</v>
      </c>
      <c r="L2763">
        <v>247.37629999999999</v>
      </c>
      <c r="M2763">
        <v>-0.1240561</v>
      </c>
      <c r="N2763">
        <v>-1.327091E-2</v>
      </c>
      <c r="O2763">
        <v>-0.99218649999999997</v>
      </c>
      <c r="P2763">
        <v>-6.4603530000000006E-2</v>
      </c>
      <c r="Q2763">
        <v>-0.1073456</v>
      </c>
      <c r="R2763">
        <v>-0.99212069999999997</v>
      </c>
      <c r="S2763">
        <v>-1.153259</v>
      </c>
      <c r="T2763">
        <v>-0.15218899999999999</v>
      </c>
      <c r="U2763">
        <v>-2.931549</v>
      </c>
      <c r="V2763">
        <v>-5.8953709999999999E-2</v>
      </c>
      <c r="W2763">
        <v>-9.4184740000000003E-2</v>
      </c>
      <c r="X2763">
        <v>0.99380769999999996</v>
      </c>
      <c r="Y2763">
        <v>0.2474729</v>
      </c>
      <c r="Z2763">
        <v>3.5684319999999999E-2</v>
      </c>
      <c r="AA2763">
        <v>0.96823749999999997</v>
      </c>
      <c r="AB2763">
        <v>26</v>
      </c>
      <c r="AC2763">
        <v>-8.3905999999999992</v>
      </c>
      <c r="AD2763">
        <v>-1.109285056359</v>
      </c>
      <c r="AE2763">
        <v>-21.245199999999901</v>
      </c>
      <c r="AF2763">
        <v>5.6765567086350597</v>
      </c>
      <c r="AG2763">
        <v>-1.109285056359</v>
      </c>
      <c r="AH2763">
        <v>22.0700033403505</v>
      </c>
      <c r="AI2763">
        <v>92.786829972687897</v>
      </c>
      <c r="AJ2763">
        <v>75.575786176438896</v>
      </c>
      <c r="AK2763">
        <v>22.815320660593301</v>
      </c>
      <c r="AL2763">
        <v>95.404398327880102</v>
      </c>
      <c r="AM2763">
        <v>93.394867006821499</v>
      </c>
      <c r="AN2763">
        <v>1.0000000248754599</v>
      </c>
    </row>
    <row r="2764" spans="1:40" x14ac:dyDescent="0.25">
      <c r="A2764" t="str">
        <f>"20190305135246479"</f>
        <v>20190305135246479</v>
      </c>
      <c r="B2764" t="str">
        <f>"1551765166471961"</f>
        <v>1551765166471961</v>
      </c>
      <c r="C2764" t="s">
        <v>40</v>
      </c>
      <c r="D2764">
        <v>5.142334</v>
      </c>
      <c r="E2764">
        <v>0.62055380000000004</v>
      </c>
      <c r="F2764" t="s">
        <v>55</v>
      </c>
      <c r="G2764">
        <v>-497.23750000000001</v>
      </c>
      <c r="H2764" s="1">
        <v>3.832977E-6</v>
      </c>
      <c r="I2764">
        <v>225.78870000000001</v>
      </c>
      <c r="J2764">
        <v>-488.79390000000001</v>
      </c>
      <c r="K2764">
        <v>1.109297</v>
      </c>
      <c r="L2764">
        <v>247.24789999999999</v>
      </c>
      <c r="M2764">
        <v>-0.1239473</v>
      </c>
      <c r="N2764">
        <v>-1.3275759999999999E-2</v>
      </c>
      <c r="O2764">
        <v>-0.99220010000000003</v>
      </c>
      <c r="P2764">
        <v>-6.1833779999999998E-2</v>
      </c>
      <c r="Q2764">
        <v>-0.1062454</v>
      </c>
      <c r="R2764">
        <v>-0.99241550000000001</v>
      </c>
      <c r="S2764">
        <v>-1.1492309999999999</v>
      </c>
      <c r="T2764">
        <v>-0.15069689999999999</v>
      </c>
      <c r="U2764">
        <v>-2.9326780000000001</v>
      </c>
      <c r="V2764">
        <v>-6.1630259999999999E-2</v>
      </c>
      <c r="W2764">
        <v>-9.308131E-2</v>
      </c>
      <c r="X2764">
        <v>0.99374929999999995</v>
      </c>
      <c r="Y2764">
        <v>0.246307</v>
      </c>
      <c r="Z2764">
        <v>3.5205010000000002E-2</v>
      </c>
      <c r="AA2764">
        <v>0.96855230000000003</v>
      </c>
      <c r="AB2764">
        <v>26</v>
      </c>
      <c r="AC2764">
        <v>-8.4436</v>
      </c>
      <c r="AD2764">
        <v>-1.109293167023</v>
      </c>
      <c r="AE2764">
        <v>-21.4591999999999</v>
      </c>
      <c r="AF2764">
        <v>5.7052326518850203</v>
      </c>
      <c r="AG2764">
        <v>-1.109293167023</v>
      </c>
      <c r="AH2764">
        <v>22.2887733883518</v>
      </c>
      <c r="AI2764">
        <v>92.760360432560205</v>
      </c>
      <c r="AJ2764">
        <v>75.642336144136195</v>
      </c>
      <c r="AK2764">
        <v>23.034097119267301</v>
      </c>
      <c r="AL2764">
        <v>95.3408973617491</v>
      </c>
      <c r="AM2764">
        <v>93.548819613746204</v>
      </c>
      <c r="AN2764">
        <v>1.00000004523473</v>
      </c>
    </row>
    <row r="2765" spans="1:40" x14ac:dyDescent="0.25">
      <c r="A2765" t="str">
        <f>"20190305135246490"</f>
        <v>20190305135246490</v>
      </c>
      <c r="B2765" t="str">
        <f>"1551765166482697"</f>
        <v>1551765166482697</v>
      </c>
      <c r="C2765" t="s">
        <v>40</v>
      </c>
      <c r="D2765">
        <v>5.2786</v>
      </c>
      <c r="E2765">
        <v>0.61895199999999995</v>
      </c>
      <c r="F2765" t="s">
        <v>55</v>
      </c>
      <c r="G2765">
        <v>-497.38799999999998</v>
      </c>
      <c r="H2765" s="1">
        <v>3.594919E-6</v>
      </c>
      <c r="I2765">
        <v>225.12799999999999</v>
      </c>
      <c r="J2765">
        <v>-488.80959999999999</v>
      </c>
      <c r="K2765">
        <v>1.10931</v>
      </c>
      <c r="L2765">
        <v>247.12090000000001</v>
      </c>
      <c r="M2765">
        <v>-0.12384000000000001</v>
      </c>
      <c r="N2765">
        <v>-1.3280190000000001E-2</v>
      </c>
      <c r="O2765">
        <v>-0.99221340000000002</v>
      </c>
      <c r="P2765">
        <v>-5.8279989999999997E-2</v>
      </c>
      <c r="Q2765">
        <v>-0.1050156</v>
      </c>
      <c r="R2765">
        <v>-0.99276169999999997</v>
      </c>
      <c r="S2765">
        <v>-1.140747</v>
      </c>
      <c r="T2765">
        <v>-0.14724279999999901</v>
      </c>
      <c r="U2765">
        <v>-2.936096</v>
      </c>
      <c r="V2765">
        <v>-6.5092709999999998E-2</v>
      </c>
      <c r="W2765">
        <v>-9.184958E-2</v>
      </c>
      <c r="X2765">
        <v>0.9936431</v>
      </c>
      <c r="Y2765">
        <v>0.2436152</v>
      </c>
      <c r="Z2765">
        <v>3.4086249999999998E-2</v>
      </c>
      <c r="AA2765">
        <v>0.96927280000000005</v>
      </c>
      <c r="AB2765">
        <v>26</v>
      </c>
      <c r="AC2765">
        <v>-8.5784000000000393</v>
      </c>
      <c r="AD2765">
        <v>-1.109306405081</v>
      </c>
      <c r="AE2765">
        <v>-21.992899999999999</v>
      </c>
      <c r="AF2765">
        <v>5.7757589026966496</v>
      </c>
      <c r="AG2765">
        <v>-1.109306405081</v>
      </c>
      <c r="AH2765">
        <v>22.835590918323</v>
      </c>
      <c r="AI2765">
        <v>92.696347846875</v>
      </c>
      <c r="AJ2765">
        <v>75.805975337481399</v>
      </c>
      <c r="AK2765">
        <v>23.580800753821599</v>
      </c>
      <c r="AL2765">
        <v>95.270020982767605</v>
      </c>
      <c r="AM2765">
        <v>93.748042145293795</v>
      </c>
      <c r="AN2765">
        <v>1.00000000820946</v>
      </c>
    </row>
    <row r="2766" spans="1:40" x14ac:dyDescent="0.25">
      <c r="A2766" t="str">
        <f>"20190305135246503"</f>
        <v>20190305135246503</v>
      </c>
      <c r="B2766" t="str">
        <f>"1551765166492458"</f>
        <v>1551765166492458</v>
      </c>
      <c r="C2766" t="s">
        <v>40</v>
      </c>
      <c r="D2766">
        <v>5.1138909999999997</v>
      </c>
      <c r="E2766">
        <v>0.61895199999999995</v>
      </c>
      <c r="F2766" t="s">
        <v>55</v>
      </c>
      <c r="G2766">
        <v>-497.62279999999998</v>
      </c>
      <c r="H2766" s="1">
        <v>3.230828E-6</v>
      </c>
      <c r="I2766">
        <v>223.922</v>
      </c>
      <c r="J2766">
        <v>-488.82709999999997</v>
      </c>
      <c r="K2766">
        <v>1.109324</v>
      </c>
      <c r="L2766">
        <v>246.97989999999999</v>
      </c>
      <c r="M2766">
        <v>-0.1237212</v>
      </c>
      <c r="N2766">
        <v>-1.328475E-2</v>
      </c>
      <c r="O2766">
        <v>-0.99222829999999995</v>
      </c>
      <c r="P2766">
        <v>-5.2560370000000002E-2</v>
      </c>
      <c r="Q2766">
        <v>-0.1047172</v>
      </c>
      <c r="R2766">
        <v>-0.99311269999999996</v>
      </c>
      <c r="S2766">
        <v>-1.117432</v>
      </c>
      <c r="T2766">
        <v>-0.14065</v>
      </c>
      <c r="U2766">
        <v>-2.9414220000000002</v>
      </c>
      <c r="V2766">
        <v>-7.0693049999999993E-2</v>
      </c>
      <c r="W2766">
        <v>-9.1553079999999995E-2</v>
      </c>
      <c r="X2766">
        <v>0.9932877</v>
      </c>
      <c r="Y2766">
        <v>0.23646619999999999</v>
      </c>
      <c r="Z2766">
        <v>3.1999449999999999E-2</v>
      </c>
      <c r="AA2766">
        <v>0.97111270000000005</v>
      </c>
      <c r="AB2766">
        <v>26</v>
      </c>
      <c r="AC2766">
        <v>-8.7957000000000001</v>
      </c>
      <c r="AD2766">
        <v>-1.109320769172</v>
      </c>
      <c r="AE2766">
        <v>-23.057899999999901</v>
      </c>
      <c r="AF2766">
        <v>5.8632614696968002</v>
      </c>
      <c r="AG2766">
        <v>-1.109320769172</v>
      </c>
      <c r="AH2766">
        <v>23.920692092104201</v>
      </c>
      <c r="AI2766">
        <v>92.578951946535497</v>
      </c>
      <c r="AJ2766">
        <v>76.227616822353994</v>
      </c>
      <c r="AK2766">
        <v>24.653761128805499</v>
      </c>
      <c r="AL2766">
        <v>95.252961133449602</v>
      </c>
      <c r="AM2766">
        <v>94.070920531315807</v>
      </c>
      <c r="AN2766">
        <v>0.999999964373538</v>
      </c>
    </row>
    <row r="2767" spans="1:40" x14ac:dyDescent="0.25">
      <c r="A2767" t="str">
        <f>"20190305135246513"</f>
        <v>20190305135246513</v>
      </c>
      <c r="B2767" t="str">
        <f>"1551765166502217"</f>
        <v>1551765166502217</v>
      </c>
      <c r="C2767" t="s">
        <v>40</v>
      </c>
      <c r="D2767">
        <v>4.9927840000000003</v>
      </c>
      <c r="E2767">
        <v>0.48568169999999999</v>
      </c>
      <c r="F2767" t="s">
        <v>55</v>
      </c>
      <c r="G2767">
        <v>-497.54700000000003</v>
      </c>
      <c r="H2767" s="1">
        <v>3.1830650000000002E-6</v>
      </c>
      <c r="I2767">
        <v>223.62989999999999</v>
      </c>
      <c r="J2767">
        <v>-488.84219999999999</v>
      </c>
      <c r="K2767">
        <v>1.1093409999999999</v>
      </c>
      <c r="L2767">
        <v>246.85749999999999</v>
      </c>
      <c r="M2767">
        <v>-0.12361850000000001</v>
      </c>
      <c r="N2767">
        <v>-1.328826E-2</v>
      </c>
      <c r="O2767">
        <v>-0.99224069999999998</v>
      </c>
      <c r="P2767">
        <v>-4.6628639999999999E-2</v>
      </c>
      <c r="Q2767">
        <v>-0.1045051</v>
      </c>
      <c r="R2767">
        <v>-0.9934307</v>
      </c>
      <c r="S2767">
        <v>-1.10083</v>
      </c>
      <c r="T2767">
        <v>-0.14004420000000001</v>
      </c>
      <c r="U2767">
        <v>-2.947784</v>
      </c>
      <c r="V2767">
        <v>-7.6516150000000005E-2</v>
      </c>
      <c r="W2767">
        <v>-9.1344969999999998E-2</v>
      </c>
      <c r="X2767">
        <v>0.99287530000000002</v>
      </c>
      <c r="Y2767">
        <v>0.23108090000000001</v>
      </c>
      <c r="Z2767">
        <v>3.1780750000000003E-2</v>
      </c>
      <c r="AA2767">
        <v>0.97241529999999998</v>
      </c>
      <c r="AB2767">
        <v>26</v>
      </c>
      <c r="AC2767">
        <v>-8.7047999999999703</v>
      </c>
      <c r="AD2767">
        <v>-1.1093378169350001</v>
      </c>
      <c r="AE2767">
        <v>-23.227599999999899</v>
      </c>
      <c r="AF2767">
        <v>5.7548955498401302</v>
      </c>
      <c r="AG2767">
        <v>-1.1093378169350001</v>
      </c>
      <c r="AH2767">
        <v>24.077421490046799</v>
      </c>
      <c r="AI2767">
        <v>92.565795749071199</v>
      </c>
      <c r="AJ2767">
        <v>76.557572288232507</v>
      </c>
      <c r="AK2767">
        <v>24.780469704810301</v>
      </c>
      <c r="AL2767">
        <v>95.240986983653599</v>
      </c>
      <c r="AM2767">
        <v>94.406801361685297</v>
      </c>
      <c r="AN2767">
        <v>0.99999999305260601</v>
      </c>
    </row>
    <row r="2768" spans="1:40" x14ac:dyDescent="0.25">
      <c r="A2768" t="str">
        <f>"20190305135246528"</f>
        <v>20190305135246528</v>
      </c>
      <c r="B2768" t="str">
        <f>"1551765166522713"</f>
        <v>1551765166522713</v>
      </c>
      <c r="C2768" t="s">
        <v>40</v>
      </c>
      <c r="D2768">
        <v>4.7524189999999997</v>
      </c>
      <c r="E2768">
        <v>0.4096127</v>
      </c>
      <c r="F2768" t="s">
        <v>42</v>
      </c>
      <c r="G2768">
        <v>-488.94659999999999</v>
      </c>
      <c r="H2768" s="1">
        <v>-1.969516E-6</v>
      </c>
      <c r="I2768">
        <v>233.78819999999999</v>
      </c>
      <c r="J2768">
        <v>-488.86160000000001</v>
      </c>
      <c r="K2768">
        <v>1.109359</v>
      </c>
      <c r="L2768">
        <v>246.7003</v>
      </c>
      <c r="M2768">
        <v>-0.12348679999999999</v>
      </c>
      <c r="N2768">
        <v>-1.32925E-2</v>
      </c>
      <c r="O2768">
        <v>-0.99225719999999995</v>
      </c>
      <c r="P2768">
        <v>-3.8276129999999998E-2</v>
      </c>
      <c r="Q2768">
        <v>-0.104765899999999</v>
      </c>
      <c r="R2768">
        <v>-0.99376030000000004</v>
      </c>
      <c r="S2768">
        <v>-2.3895260000000001E-2</v>
      </c>
      <c r="T2768">
        <v>-0.25396679999999999</v>
      </c>
      <c r="U2768">
        <v>-2.9920040000000001</v>
      </c>
      <c r="V2768">
        <v>-8.4713689999999994E-2</v>
      </c>
      <c r="W2768">
        <v>-9.1613390000000003E-2</v>
      </c>
      <c r="X2768">
        <v>0.99218479999999998</v>
      </c>
      <c r="Y2768">
        <v>-0.11551160000000001</v>
      </c>
      <c r="Z2768">
        <v>7.0077760000000003E-2</v>
      </c>
      <c r="AA2768">
        <v>0.99083109999999996</v>
      </c>
      <c r="AB2768">
        <v>26</v>
      </c>
      <c r="AC2768">
        <v>-8.4999999999979495E-2</v>
      </c>
      <c r="AD2768">
        <v>-1.1093609695160001</v>
      </c>
      <c r="AE2768">
        <v>-12.912100000000001</v>
      </c>
      <c r="AF2768">
        <v>-1.49919940649421</v>
      </c>
      <c r="AG2768">
        <v>-1.1093609695160001</v>
      </c>
      <c r="AH2768">
        <v>12.729790861878101</v>
      </c>
      <c r="AI2768">
        <v>94.946548007336403</v>
      </c>
      <c r="AJ2768">
        <v>96.716837546297</v>
      </c>
      <c r="AK2768">
        <v>12.865685213321299</v>
      </c>
      <c r="AL2768">
        <v>95.256430774393394</v>
      </c>
      <c r="AM2768">
        <v>94.880133008391098</v>
      </c>
      <c r="AN2768">
        <v>1.0000000499258701</v>
      </c>
    </row>
    <row r="2769" spans="1:40" x14ac:dyDescent="0.25">
      <c r="A2769" t="str">
        <f>"20190305135246547"</f>
        <v>20190305135246547</v>
      </c>
      <c r="B2769" t="str">
        <f>"1551765166542234"</f>
        <v>1551765166542234</v>
      </c>
      <c r="C2769" t="s">
        <v>40</v>
      </c>
      <c r="D2769">
        <v>4.8242839999999996</v>
      </c>
      <c r="E2769">
        <v>0.39365640000000002</v>
      </c>
      <c r="F2769" t="s">
        <v>71</v>
      </c>
      <c r="G2769">
        <v>-473.7099</v>
      </c>
      <c r="H2769">
        <v>0.47525580000000001</v>
      </c>
      <c r="I2769">
        <v>171.7294</v>
      </c>
      <c r="J2769">
        <v>-488.88740000000001</v>
      </c>
      <c r="K2769">
        <v>1.1094010000000001</v>
      </c>
      <c r="L2769">
        <v>246.4905</v>
      </c>
      <c r="M2769">
        <v>-0.1233112</v>
      </c>
      <c r="N2769">
        <v>-1.329747E-2</v>
      </c>
      <c r="O2769">
        <v>-0.99227909999999997</v>
      </c>
      <c r="P2769">
        <v>-1.884274E-2</v>
      </c>
      <c r="Q2769">
        <v>-0.10489039999999999</v>
      </c>
      <c r="R2769">
        <v>-0.99430540000000001</v>
      </c>
      <c r="S2769">
        <v>0.61434940000000005</v>
      </c>
      <c r="T2769">
        <v>-2.571058E-2</v>
      </c>
      <c r="U2769">
        <v>-3.0397949999999998</v>
      </c>
      <c r="V2769">
        <v>-0.1038907</v>
      </c>
      <c r="W2769">
        <v>-9.1763549999999999E-2</v>
      </c>
      <c r="X2769">
        <v>0.99034650000000002</v>
      </c>
      <c r="Y2769">
        <v>-0.31741510000000001</v>
      </c>
      <c r="Z2769">
        <v>-5.4031249999999999E-3</v>
      </c>
      <c r="AA2769">
        <v>0.94827130000000004</v>
      </c>
      <c r="AB2769">
        <v>26</v>
      </c>
      <c r="AC2769">
        <v>15.1775</v>
      </c>
      <c r="AD2769">
        <v>-0.63414519999999996</v>
      </c>
      <c r="AE2769">
        <v>-74.761099999999999</v>
      </c>
      <c r="AF2769">
        <v>-24.279662595410699</v>
      </c>
      <c r="AG2769">
        <v>-0.63414519999999996</v>
      </c>
      <c r="AH2769">
        <v>72.3137080144637</v>
      </c>
      <c r="AI2769">
        <v>90.476305480153698</v>
      </c>
      <c r="AJ2769">
        <v>108.559715294478</v>
      </c>
      <c r="AK2769">
        <v>76.283527203995902</v>
      </c>
      <c r="AL2769">
        <v>95.265070921307597</v>
      </c>
      <c r="AM2769">
        <v>95.988617617371901</v>
      </c>
      <c r="AN2769">
        <v>1.00000000835867</v>
      </c>
    </row>
    <row r="2770" spans="1:40" x14ac:dyDescent="0.25">
      <c r="A2770" t="str">
        <f>"20190305135246568"</f>
        <v>20190305135246568</v>
      </c>
      <c r="B2770" t="str">
        <f>"1551765166562260"</f>
        <v>1551765166562260</v>
      </c>
      <c r="C2770" t="s">
        <v>40</v>
      </c>
      <c r="D2770">
        <v>4.6806640000000002</v>
      </c>
      <c r="E2770">
        <v>0.38992060000000001</v>
      </c>
      <c r="F2770" t="s">
        <v>42</v>
      </c>
      <c r="G2770">
        <v>-476.11559999999997</v>
      </c>
      <c r="H2770">
        <v>7.9986559999999998E-2</v>
      </c>
      <c r="I2770">
        <v>198.16050000000001</v>
      </c>
      <c r="J2770">
        <v>-488.91699999999997</v>
      </c>
      <c r="K2770">
        <v>1.1094409999999999</v>
      </c>
      <c r="L2770">
        <v>246.24969999999999</v>
      </c>
      <c r="M2770">
        <v>-0.1231071</v>
      </c>
      <c r="N2770">
        <v>-1.330216E-2</v>
      </c>
      <c r="O2770">
        <v>-0.99230430000000003</v>
      </c>
      <c r="P2770">
        <v>2.8880059999999998E-3</v>
      </c>
      <c r="Q2770">
        <v>-0.10330110000000001</v>
      </c>
      <c r="R2770">
        <v>-0.99464589999999997</v>
      </c>
      <c r="S2770">
        <v>0.79952999999999996</v>
      </c>
      <c r="T2770">
        <v>-6.4442749999999993E-2</v>
      </c>
      <c r="U2770">
        <v>-3.025528</v>
      </c>
      <c r="V2770">
        <v>-0.12529509999999999</v>
      </c>
      <c r="W2770">
        <v>-9.0207670000000004E-2</v>
      </c>
      <c r="X2770">
        <v>0.98801000000000005</v>
      </c>
      <c r="Y2770">
        <v>-0.3724904</v>
      </c>
      <c r="Z2770">
        <v>6.4259269999999997E-3</v>
      </c>
      <c r="AA2770">
        <v>0.9280138</v>
      </c>
      <c r="AB2770">
        <v>26</v>
      </c>
      <c r="AC2770">
        <v>12.801399999999999</v>
      </c>
      <c r="AD2770">
        <v>-1.0294544400000001</v>
      </c>
      <c r="AE2770">
        <v>-48.089199999999899</v>
      </c>
      <c r="AF2770">
        <v>-18.616686012712201</v>
      </c>
      <c r="AG2770">
        <v>-1.0294544400000001</v>
      </c>
      <c r="AH2770">
        <v>46.127516813824101</v>
      </c>
      <c r="AI2770">
        <v>91.185602388001897</v>
      </c>
      <c r="AJ2770">
        <v>111.97859729695</v>
      </c>
      <c r="AK2770">
        <v>49.753277097590001</v>
      </c>
      <c r="AL2770">
        <v>95.175554183024005</v>
      </c>
      <c r="AM2770">
        <v>97.227420257908094</v>
      </c>
      <c r="AN2770">
        <v>1.00000002295541</v>
      </c>
    </row>
    <row r="2771" spans="1:40" x14ac:dyDescent="0.25">
      <c r="A2771" t="str">
        <f>"20190305135246579"</f>
        <v>20190305135246579</v>
      </c>
      <c r="B2771" t="str">
        <f>"1551765166572020"</f>
        <v>1551765166572020</v>
      </c>
      <c r="C2771" t="s">
        <v>40</v>
      </c>
      <c r="D2771">
        <v>4.670839</v>
      </c>
      <c r="E2771">
        <v>0.38987179999999999</v>
      </c>
      <c r="F2771" t="s">
        <v>55</v>
      </c>
      <c r="G2771">
        <v>-477.91329999999999</v>
      </c>
      <c r="H2771">
        <v>7.6134469999999996E-2</v>
      </c>
      <c r="I2771">
        <v>209.3126</v>
      </c>
      <c r="J2771">
        <v>-488.93459999999999</v>
      </c>
      <c r="K2771">
        <v>1.1094619999999999</v>
      </c>
      <c r="L2771">
        <v>246.1063</v>
      </c>
      <c r="M2771">
        <v>-0.1229785</v>
      </c>
      <c r="N2771">
        <v>-1.330456E-2</v>
      </c>
      <c r="O2771">
        <v>-0.99232019999999999</v>
      </c>
      <c r="P2771">
        <v>1.3198639999999999E-2</v>
      </c>
      <c r="Q2771">
        <v>-0.10194590000000001</v>
      </c>
      <c r="R2771">
        <v>-0.9947028</v>
      </c>
      <c r="S2771">
        <v>0.89514159999999898</v>
      </c>
      <c r="T2771">
        <v>-8.4058759999999996E-2</v>
      </c>
      <c r="U2771">
        <v>-3.004807</v>
      </c>
      <c r="V2771">
        <v>-0.13540650000000001</v>
      </c>
      <c r="W2771">
        <v>-8.8870530000000003E-2</v>
      </c>
      <c r="X2771">
        <v>0.98679640000000002</v>
      </c>
      <c r="Y2771">
        <v>-0.4010782</v>
      </c>
      <c r="Z2771">
        <v>1.236407E-2</v>
      </c>
      <c r="AA2771">
        <v>0.91596040000000001</v>
      </c>
      <c r="AB2771">
        <v>26</v>
      </c>
      <c r="AC2771">
        <v>11.021299999999901</v>
      </c>
      <c r="AD2771">
        <v>-1.03332753</v>
      </c>
      <c r="AE2771">
        <v>-36.793700000000001</v>
      </c>
      <c r="AF2771">
        <v>-15.451676730247801</v>
      </c>
      <c r="AG2771">
        <v>-1.03332753</v>
      </c>
      <c r="AH2771">
        <v>35.133429725974501</v>
      </c>
      <c r="AI2771">
        <v>91.542189783350096</v>
      </c>
      <c r="AJ2771">
        <v>113.739885547074</v>
      </c>
      <c r="AK2771">
        <v>38.3950512940187</v>
      </c>
      <c r="AL2771">
        <v>95.098632780370195</v>
      </c>
      <c r="AM2771">
        <v>97.813233782384799</v>
      </c>
      <c r="AN2771">
        <v>1.00000001319884</v>
      </c>
    </row>
    <row r="2772" spans="1:40" x14ac:dyDescent="0.25">
      <c r="A2772" t="str">
        <f>"20190305135246591"</f>
        <v>20190305135246591</v>
      </c>
      <c r="B2772" t="str">
        <f>"1551765166582755"</f>
        <v>1551765166582755</v>
      </c>
      <c r="C2772" t="s">
        <v>40</v>
      </c>
      <c r="D2772">
        <v>4.6925520000000001</v>
      </c>
      <c r="E2772">
        <v>0.39008540000000003</v>
      </c>
      <c r="F2772" t="s">
        <v>55</v>
      </c>
      <c r="G2772">
        <v>-477.84320000000002</v>
      </c>
      <c r="H2772" s="1">
        <v>2.2899930000000001E-6</v>
      </c>
      <c r="I2772">
        <v>210.26249999999999</v>
      </c>
      <c r="J2772">
        <v>-488.95069999999998</v>
      </c>
      <c r="K2772">
        <v>1.10948</v>
      </c>
      <c r="L2772">
        <v>245.97559999999999</v>
      </c>
      <c r="M2772">
        <v>-0.12284829999999999</v>
      </c>
      <c r="N2772">
        <v>-1.330657E-2</v>
      </c>
      <c r="O2772">
        <v>-0.99233629999999995</v>
      </c>
      <c r="P2772">
        <v>2.289389E-2</v>
      </c>
      <c r="Q2772">
        <v>-0.10095700000000001</v>
      </c>
      <c r="R2772">
        <v>-0.99462740000000005</v>
      </c>
      <c r="S2772">
        <v>0.9265137</v>
      </c>
      <c r="T2772">
        <v>-9.2677830000000003E-2</v>
      </c>
      <c r="U2772">
        <v>-2.994186</v>
      </c>
      <c r="V2772">
        <v>-0.14488789999999999</v>
      </c>
      <c r="W2772">
        <v>-8.790249E-2</v>
      </c>
      <c r="X2772">
        <v>0.98553570000000001</v>
      </c>
      <c r="Y2772">
        <v>-0.41058749999999999</v>
      </c>
      <c r="Z2772">
        <v>1.4999459999999999E-2</v>
      </c>
      <c r="AA2772">
        <v>0.9116978</v>
      </c>
      <c r="AB2772">
        <v>26</v>
      </c>
      <c r="AC2772">
        <v>11.1074999999999</v>
      </c>
      <c r="AD2772">
        <v>-1.1094777100069999</v>
      </c>
      <c r="AE2772">
        <v>-35.713099999999997</v>
      </c>
      <c r="AF2772">
        <v>-15.397482996091201</v>
      </c>
      <c r="AG2772">
        <v>-1.1094777100069999</v>
      </c>
      <c r="AH2772">
        <v>34.047921368693501</v>
      </c>
      <c r="AI2772">
        <v>91.700660099222802</v>
      </c>
      <c r="AJ2772">
        <v>114.333898043215</v>
      </c>
      <c r="AK2772">
        <v>37.384146010476897</v>
      </c>
      <c r="AL2772">
        <v>95.042950394585802</v>
      </c>
      <c r="AM2772">
        <v>98.363392452826403</v>
      </c>
      <c r="AN2772">
        <v>0.99999998364454901</v>
      </c>
    </row>
    <row r="2773" spans="1:40" x14ac:dyDescent="0.25">
      <c r="A2773" t="str">
        <f>"20190305135246604"</f>
        <v>20190305135246604</v>
      </c>
      <c r="B2773" t="str">
        <f>"1551765166592516"</f>
        <v>1551765166592516</v>
      </c>
      <c r="C2773" t="s">
        <v>40</v>
      </c>
      <c r="D2773">
        <v>4.7131100000000004</v>
      </c>
      <c r="E2773">
        <v>0.39090849999999999</v>
      </c>
      <c r="F2773" t="s">
        <v>55</v>
      </c>
      <c r="G2773">
        <v>-477.9984</v>
      </c>
      <c r="H2773" s="1">
        <v>2.2851209999999999E-6</v>
      </c>
      <c r="I2773">
        <v>211.72579999999999</v>
      </c>
      <c r="J2773">
        <v>-488.96879999999999</v>
      </c>
      <c r="K2773">
        <v>1.109502</v>
      </c>
      <c r="L2773">
        <v>245.8271</v>
      </c>
      <c r="M2773">
        <v>-0.1226884</v>
      </c>
      <c r="N2773">
        <v>-1.330869E-2</v>
      </c>
      <c r="O2773">
        <v>-0.99235620000000002</v>
      </c>
      <c r="P2773">
        <v>3.209381E-2</v>
      </c>
      <c r="Q2773">
        <v>-0.1008429</v>
      </c>
      <c r="R2773">
        <v>-0.99438490000000002</v>
      </c>
      <c r="S2773">
        <v>0.95434569999999996</v>
      </c>
      <c r="T2773">
        <v>-9.667647E-2</v>
      </c>
      <c r="U2773">
        <v>-2.9844210000000002</v>
      </c>
      <c r="V2773">
        <v>-0.15382689999999999</v>
      </c>
      <c r="W2773">
        <v>-8.7812749999999995E-2</v>
      </c>
      <c r="X2773">
        <v>0.98418810000000001</v>
      </c>
      <c r="Y2773">
        <v>-0.4189871</v>
      </c>
      <c r="Z2773">
        <v>1.6213370000000001E-2</v>
      </c>
      <c r="AA2773">
        <v>0.90784750000000003</v>
      </c>
      <c r="AB2773">
        <v>26</v>
      </c>
      <c r="AC2773">
        <v>10.9703999999999</v>
      </c>
      <c r="AD2773">
        <v>-1.109499714879</v>
      </c>
      <c r="AE2773">
        <v>-34.101300000000002</v>
      </c>
      <c r="AF2773">
        <v>-15.0572661756746</v>
      </c>
      <c r="AG2773">
        <v>-1.109499714879</v>
      </c>
      <c r="AH2773">
        <v>32.466423147334901</v>
      </c>
      <c r="AI2773">
        <v>91.7757090280965</v>
      </c>
      <c r="AJ2773">
        <v>114.880910458841</v>
      </c>
      <c r="AK2773">
        <v>35.8053192456685</v>
      </c>
      <c r="AL2773">
        <v>95.037788602344094</v>
      </c>
      <c r="AM2773">
        <v>98.883359034553195</v>
      </c>
      <c r="AN2773">
        <v>1.00000000520389</v>
      </c>
    </row>
    <row r="2774" spans="1:40" x14ac:dyDescent="0.25">
      <c r="A2774" t="str">
        <f>"20190305135246619"</f>
        <v>20190305135246619</v>
      </c>
      <c r="B2774" t="str">
        <f>"1551765166612544"</f>
        <v>1551765166612544</v>
      </c>
      <c r="C2774" t="s">
        <v>40</v>
      </c>
      <c r="D2774">
        <v>4.6687890000000003</v>
      </c>
      <c r="E2774">
        <v>0.39291019999999999</v>
      </c>
      <c r="F2774" t="s">
        <v>55</v>
      </c>
      <c r="G2774">
        <v>-477.98489999999998</v>
      </c>
      <c r="H2774" s="1">
        <v>2.3162949999999998E-6</v>
      </c>
      <c r="I2774">
        <v>212.30170000000001</v>
      </c>
      <c r="J2774">
        <v>-488.98770000000002</v>
      </c>
      <c r="K2774">
        <v>1.109558</v>
      </c>
      <c r="L2774">
        <v>245.672</v>
      </c>
      <c r="M2774">
        <v>-0.1224243</v>
      </c>
      <c r="N2774">
        <v>-1.331066E-2</v>
      </c>
      <c r="O2774">
        <v>-0.99238850000000001</v>
      </c>
      <c r="P2774">
        <v>4.0668200000000002E-2</v>
      </c>
      <c r="Q2774">
        <v>-0.1012366</v>
      </c>
      <c r="R2774">
        <v>-0.994031</v>
      </c>
      <c r="S2774">
        <v>0.97485350000000004</v>
      </c>
      <c r="T2774">
        <v>-9.8471050000000004E-2</v>
      </c>
      <c r="U2774">
        <v>-2.9754640000000001</v>
      </c>
      <c r="V2774">
        <v>-0.1620209</v>
      </c>
      <c r="W2774">
        <v>-8.8246809999999995E-2</v>
      </c>
      <c r="X2774">
        <v>0.98283350000000003</v>
      </c>
      <c r="Y2774">
        <v>-0.42518359999999999</v>
      </c>
      <c r="Z2774">
        <v>1.6768660000000001E-2</v>
      </c>
      <c r="AA2774">
        <v>0.90495179999999997</v>
      </c>
      <c r="AB2774">
        <v>26</v>
      </c>
      <c r="AC2774">
        <v>11.002800000000001</v>
      </c>
      <c r="AD2774">
        <v>-1.109555683705</v>
      </c>
      <c r="AE2774">
        <v>-33.370299999999901</v>
      </c>
      <c r="AF2774">
        <v>-14.9907705669018</v>
      </c>
      <c r="AG2774">
        <v>-1.109555683705</v>
      </c>
      <c r="AH2774">
        <v>31.7404596377751</v>
      </c>
      <c r="AI2774">
        <v>91.8104647926788</v>
      </c>
      <c r="AJ2774">
        <v>115.280999127196</v>
      </c>
      <c r="AK2774">
        <v>35.119952933082899</v>
      </c>
      <c r="AL2774">
        <v>95.062755460570699</v>
      </c>
      <c r="AM2774">
        <v>99.361063571239399</v>
      </c>
      <c r="AN2774">
        <v>0.99999998011711699</v>
      </c>
    </row>
    <row r="2775" spans="1:40" x14ac:dyDescent="0.25">
      <c r="A2775" t="str">
        <f>"20190305135246635"</f>
        <v>20190305135246635</v>
      </c>
      <c r="B2775" t="str">
        <f>"1551765166632063"</f>
        <v>1551765166632063</v>
      </c>
      <c r="C2775" t="s">
        <v>40</v>
      </c>
      <c r="D2775">
        <v>4.6997330000000002</v>
      </c>
      <c r="E2775">
        <v>0.39529560000000002</v>
      </c>
      <c r="F2775" t="s">
        <v>55</v>
      </c>
      <c r="G2775">
        <v>-479.30279999999999</v>
      </c>
      <c r="H2775" s="1">
        <v>1.9143820000000002E-6</v>
      </c>
      <c r="I2775">
        <v>216.4768</v>
      </c>
      <c r="J2775">
        <v>-489.01060000000001</v>
      </c>
      <c r="K2775">
        <v>1.109658</v>
      </c>
      <c r="L2775">
        <v>245.483</v>
      </c>
      <c r="M2775">
        <v>-0.1219693</v>
      </c>
      <c r="N2775">
        <v>-1.3313449999999999E-2</v>
      </c>
      <c r="O2775">
        <v>-0.99244460000000001</v>
      </c>
      <c r="P2775">
        <v>5.5865629999999999E-2</v>
      </c>
      <c r="Q2775">
        <v>-0.1040524</v>
      </c>
      <c r="R2775">
        <v>-0.99300189999999999</v>
      </c>
      <c r="S2775">
        <v>0.98400880000000002</v>
      </c>
      <c r="T2775">
        <v>-0.1127326</v>
      </c>
      <c r="U2775">
        <v>-2.966278</v>
      </c>
      <c r="V2775">
        <v>-0.1765022</v>
      </c>
      <c r="W2775">
        <v>-9.1153020000000001E-2</v>
      </c>
      <c r="X2775">
        <v>0.98007049999999996</v>
      </c>
      <c r="Y2775">
        <v>-0.42807240000000002</v>
      </c>
      <c r="Z2775">
        <v>2.1217440000000001E-2</v>
      </c>
      <c r="AA2775">
        <v>0.90349539999999995</v>
      </c>
      <c r="AB2775">
        <v>26</v>
      </c>
      <c r="AC2775">
        <v>9.7078000000000095</v>
      </c>
      <c r="AD2775">
        <v>-1.109656085618</v>
      </c>
      <c r="AE2775">
        <v>-29.0062</v>
      </c>
      <c r="AF2775">
        <v>-13.156172130884</v>
      </c>
      <c r="AG2775">
        <v>-1.109656085618</v>
      </c>
      <c r="AH2775">
        <v>27.569155482604302</v>
      </c>
      <c r="AI2775">
        <v>92.080395796569505</v>
      </c>
      <c r="AJ2775">
        <v>115.510766146622</v>
      </c>
      <c r="AK2775">
        <v>30.567540558406201</v>
      </c>
      <c r="AL2775">
        <v>95.229942725952398</v>
      </c>
      <c r="AM2775">
        <v>100.209042251014</v>
      </c>
      <c r="AN2775">
        <v>1.0000000423151001</v>
      </c>
    </row>
    <row r="2776" spans="1:40" x14ac:dyDescent="0.25">
      <c r="A2776" t="str">
        <f>"20190305135246649"</f>
        <v>20190305135246649</v>
      </c>
      <c r="B2776" t="str">
        <f>"1551765166642799"</f>
        <v>1551765166642799</v>
      </c>
      <c r="C2776" t="s">
        <v>40</v>
      </c>
      <c r="D2776">
        <v>4.690099</v>
      </c>
      <c r="E2776">
        <v>0.39644889999999999</v>
      </c>
      <c r="F2776" t="s">
        <v>55</v>
      </c>
      <c r="G2776">
        <v>-480.60059999999999</v>
      </c>
      <c r="H2776" s="1">
        <v>2.1612659999999999E-6</v>
      </c>
      <c r="I2776">
        <v>220.9102</v>
      </c>
      <c r="J2776">
        <v>-489.03019999999998</v>
      </c>
      <c r="K2776">
        <v>1.109791</v>
      </c>
      <c r="L2776">
        <v>245.31890000000001</v>
      </c>
      <c r="M2776">
        <v>-0.1214254</v>
      </c>
      <c r="N2776">
        <v>-1.3316700000000001E-2</v>
      </c>
      <c r="O2776">
        <v>-0.99251140000000004</v>
      </c>
      <c r="P2776">
        <v>6.3877240000000002E-2</v>
      </c>
      <c r="Q2776">
        <v>-0.1057232</v>
      </c>
      <c r="R2776">
        <v>-0.9923419</v>
      </c>
      <c r="S2776">
        <v>1.0097659999999999</v>
      </c>
      <c r="T2776">
        <v>-0.13323370000000001</v>
      </c>
      <c r="U2776">
        <v>-2.9503940000000002</v>
      </c>
      <c r="V2776">
        <v>-0.18380440000000001</v>
      </c>
      <c r="W2776">
        <v>-9.2911170000000001E-2</v>
      </c>
      <c r="X2776">
        <v>0.97856189999999998</v>
      </c>
      <c r="Y2776">
        <v>-0.43601800000000002</v>
      </c>
      <c r="Z2776">
        <v>2.7600630000000001E-2</v>
      </c>
      <c r="AA2776">
        <v>0.89951460000000005</v>
      </c>
      <c r="AB2776">
        <v>26</v>
      </c>
      <c r="AC2776">
        <v>8.42959999999999</v>
      </c>
      <c r="AD2776">
        <v>-1.109788838734</v>
      </c>
      <c r="AE2776">
        <v>-24.4087</v>
      </c>
      <c r="AF2776">
        <v>-11.3104231975183</v>
      </c>
      <c r="AG2776">
        <v>-1.109788838734</v>
      </c>
      <c r="AH2776">
        <v>23.161620495123898</v>
      </c>
      <c r="AI2776">
        <v>92.465383533329899</v>
      </c>
      <c r="AJ2776">
        <v>116.027463209838</v>
      </c>
      <c r="AK2776">
        <v>25.7995730223134</v>
      </c>
      <c r="AL2776">
        <v>95.331107045065707</v>
      </c>
      <c r="AM2776">
        <v>100.63798289343499</v>
      </c>
      <c r="AN2776">
        <v>0.99999996755086795</v>
      </c>
    </row>
    <row r="2777" spans="1:40" x14ac:dyDescent="0.25">
      <c r="A2777" t="str">
        <f>"20190305135246669"</f>
        <v>20190305135246669</v>
      </c>
      <c r="B2777" t="str">
        <f>"1551765166662319"</f>
        <v>1551765166662319</v>
      </c>
      <c r="C2777" t="s">
        <v>40</v>
      </c>
      <c r="D2777">
        <v>4.7078059999999997</v>
      </c>
      <c r="E2777">
        <v>0.39876200000000001</v>
      </c>
      <c r="F2777" t="s">
        <v>41</v>
      </c>
      <c r="G2777">
        <v>-488.69869999999997</v>
      </c>
      <c r="H2777">
        <v>1.0637299999999901</v>
      </c>
      <c r="I2777">
        <v>244.3663</v>
      </c>
      <c r="J2777">
        <v>-489.05619999999999</v>
      </c>
      <c r="K2777">
        <v>1.110031</v>
      </c>
      <c r="L2777">
        <v>245.09829999999999</v>
      </c>
      <c r="M2777">
        <v>-0.12039710000000001</v>
      </c>
      <c r="N2777">
        <v>-1.3323679999999999E-2</v>
      </c>
      <c r="O2777">
        <v>-0.99263659999999998</v>
      </c>
      <c r="P2777">
        <v>7.9100190000000001E-2</v>
      </c>
      <c r="Q2777">
        <v>-0.1102438</v>
      </c>
      <c r="R2777">
        <v>-0.99075210000000002</v>
      </c>
      <c r="S2777">
        <v>1.0241089999999999</v>
      </c>
      <c r="T2777">
        <v>-0.14224909999999999</v>
      </c>
      <c r="U2777">
        <v>-2.942062</v>
      </c>
      <c r="V2777">
        <v>-0.1976454</v>
      </c>
      <c r="W2777">
        <v>-9.7608570000000006E-2</v>
      </c>
      <c r="X2777">
        <v>0.97540190000000004</v>
      </c>
      <c r="Y2777">
        <v>-0.4397414</v>
      </c>
      <c r="Z2777">
        <v>3.0423510000000001E-2</v>
      </c>
      <c r="AA2777">
        <v>0.89760899999999999</v>
      </c>
      <c r="AB2777">
        <v>26</v>
      </c>
      <c r="AC2777">
        <v>0.35750000000001497</v>
      </c>
      <c r="AD2777">
        <v>-4.6301000000000099E-2</v>
      </c>
      <c r="AE2777">
        <v>-0.73199999999999898</v>
      </c>
      <c r="AF2777">
        <v>-0.44161092430517801</v>
      </c>
      <c r="AG2777">
        <v>-4.6301000000000099E-2</v>
      </c>
      <c r="AH2777">
        <v>0.68142729836010896</v>
      </c>
      <c r="AI2777">
        <v>93.263477205238502</v>
      </c>
      <c r="AJ2777">
        <v>122.945963420502</v>
      </c>
      <c r="AK2777">
        <v>0.813330900689891</v>
      </c>
      <c r="AL2777">
        <v>95.601477841392807</v>
      </c>
      <c r="AM2777">
        <v>101.454734938786</v>
      </c>
      <c r="AN2777">
        <v>1.0000000018010999</v>
      </c>
    </row>
    <row r="2778" spans="1:40" x14ac:dyDescent="0.25">
      <c r="A2778" t="str">
        <f>"20190305135246691"</f>
        <v>20190305135246691</v>
      </c>
      <c r="B2778" t="str">
        <f>"1551765166682815"</f>
        <v>1551765166682815</v>
      </c>
      <c r="C2778" t="s">
        <v>40</v>
      </c>
      <c r="D2778">
        <v>4.7272720000000001</v>
      </c>
      <c r="E2778">
        <v>0.39993109999999998</v>
      </c>
      <c r="F2778" t="s">
        <v>41</v>
      </c>
      <c r="G2778">
        <v>-488.7133</v>
      </c>
      <c r="H2778">
        <v>1.057264</v>
      </c>
      <c r="I2778">
        <v>244.1431</v>
      </c>
      <c r="J2778">
        <v>-489.08510000000001</v>
      </c>
      <c r="K2778">
        <v>1.1103700000000001</v>
      </c>
      <c r="L2778">
        <v>244.84639999999999</v>
      </c>
      <c r="M2778">
        <v>-0.11874800000000001</v>
      </c>
      <c r="N2778">
        <v>-1.333555E-2</v>
      </c>
      <c r="O2778">
        <v>-0.99283500000000002</v>
      </c>
      <c r="P2778">
        <v>9.3063069999999998E-2</v>
      </c>
      <c r="Q2778">
        <v>-0.1115244</v>
      </c>
      <c r="R2778">
        <v>-0.98939460000000001</v>
      </c>
      <c r="S2778">
        <v>1.050446</v>
      </c>
      <c r="T2778">
        <v>-0.1616359</v>
      </c>
      <c r="U2778">
        <v>-2.926132</v>
      </c>
      <c r="V2778">
        <v>-0.2096412</v>
      </c>
      <c r="W2778">
        <v>-9.9118810000000002E-2</v>
      </c>
      <c r="X2778">
        <v>0.97274150000000004</v>
      </c>
      <c r="Y2778">
        <v>-0.44683600000000001</v>
      </c>
      <c r="Z2778">
        <v>3.6498549999999998E-2</v>
      </c>
      <c r="AA2778">
        <v>0.89387099999999897</v>
      </c>
      <c r="AB2778">
        <v>25</v>
      </c>
      <c r="AC2778">
        <v>0.37180000000000701</v>
      </c>
      <c r="AD2778">
        <v>-5.3106000000000098E-2</v>
      </c>
      <c r="AE2778">
        <v>-0.70329999999998405</v>
      </c>
      <c r="AF2778">
        <v>-0.45068333227581298</v>
      </c>
      <c r="AG2778">
        <v>-5.3106000000000098E-2</v>
      </c>
      <c r="AH2778">
        <v>0.65126619015153198</v>
      </c>
      <c r="AI2778">
        <v>93.836116016166997</v>
      </c>
      <c r="AJ2778">
        <v>124.683658368633</v>
      </c>
      <c r="AK2778">
        <v>0.79377790575306495</v>
      </c>
      <c r="AL2778">
        <v>95.688429917598995</v>
      </c>
      <c r="AM2778">
        <v>102.16212670739</v>
      </c>
      <c r="AN2778">
        <v>0.99999999852775301</v>
      </c>
    </row>
    <row r="2779" spans="1:40" x14ac:dyDescent="0.25">
      <c r="A2779" t="str">
        <f>"20190305135246703"</f>
        <v>20190305135246703</v>
      </c>
      <c r="B2779" t="str">
        <f>"1551765166692575"</f>
        <v>1551765166692575</v>
      </c>
      <c r="C2779" t="s">
        <v>40</v>
      </c>
      <c r="D2779">
        <v>4.6770370000000003</v>
      </c>
      <c r="E2779">
        <v>0.43147669999999999</v>
      </c>
      <c r="F2779" t="s">
        <v>41</v>
      </c>
      <c r="G2779">
        <v>-488.74040000000002</v>
      </c>
      <c r="H2779">
        <v>1.057253</v>
      </c>
      <c r="I2779">
        <v>243.91810000000001</v>
      </c>
      <c r="J2779">
        <v>-489.1003</v>
      </c>
      <c r="K2779">
        <v>1.110565</v>
      </c>
      <c r="L2779">
        <v>244.71039999999999</v>
      </c>
      <c r="M2779">
        <v>-0.1176738</v>
      </c>
      <c r="N2779">
        <v>-1.334311E-2</v>
      </c>
      <c r="O2779">
        <v>-0.99296269999999998</v>
      </c>
      <c r="P2779">
        <v>9.8821539999999999E-2</v>
      </c>
      <c r="Q2779">
        <v>-0.1111383</v>
      </c>
      <c r="R2779">
        <v>-0.98887950000000002</v>
      </c>
      <c r="S2779">
        <v>1.0820920000000001</v>
      </c>
      <c r="T2779">
        <v>-0.16656480000000001</v>
      </c>
      <c r="U2779">
        <v>-2.9116209999999998</v>
      </c>
      <c r="V2779">
        <v>-0.2141989</v>
      </c>
      <c r="W2779">
        <v>-9.885824E-2</v>
      </c>
      <c r="X2779">
        <v>0.97177460000000004</v>
      </c>
      <c r="Y2779">
        <v>-0.45579779999999998</v>
      </c>
      <c r="Z2779">
        <v>3.8041609999999997E-2</v>
      </c>
      <c r="AA2779">
        <v>0.88927009999999995</v>
      </c>
      <c r="AB2779">
        <v>25</v>
      </c>
      <c r="AC2779">
        <v>0.35989999999998101</v>
      </c>
      <c r="AD2779">
        <v>-5.3311999999999998E-2</v>
      </c>
      <c r="AE2779">
        <v>-0.79229999999998302</v>
      </c>
      <c r="AF2779">
        <v>-0.44895531035460001</v>
      </c>
      <c r="AG2779">
        <v>-5.3311999999999998E-2</v>
      </c>
      <c r="AH2779">
        <v>0.74165620933097598</v>
      </c>
      <c r="AI2779">
        <v>93.518871630043904</v>
      </c>
      <c r="AJ2779">
        <v>121.188261305178</v>
      </c>
      <c r="AK2779">
        <v>0.86859482664749299</v>
      </c>
      <c r="AL2779">
        <v>95.673426678818103</v>
      </c>
      <c r="AM2779">
        <v>102.43038905919499</v>
      </c>
      <c r="AN2779">
        <v>0.99999999679113305</v>
      </c>
    </row>
    <row r="2780" spans="1:40" x14ac:dyDescent="0.25">
      <c r="A2780" t="str">
        <f>"20190305135246724"</f>
        <v>20190305135246724</v>
      </c>
      <c r="B2780" t="str">
        <f>"1551765166722831"</f>
        <v>1551765166722831</v>
      </c>
      <c r="C2780" t="s">
        <v>40</v>
      </c>
      <c r="D2780">
        <v>4.7030589999999997</v>
      </c>
      <c r="E2780">
        <v>0.43306060000000002</v>
      </c>
      <c r="F2780" t="s">
        <v>42</v>
      </c>
      <c r="G2780">
        <v>-485.09649999999999</v>
      </c>
      <c r="H2780" s="1">
        <v>-1.717031E-6</v>
      </c>
      <c r="I2780">
        <v>230.8597</v>
      </c>
      <c r="J2780">
        <v>-489.12619999999998</v>
      </c>
      <c r="K2780">
        <v>1.1109100000000001</v>
      </c>
      <c r="L2780">
        <v>244.47120000000001</v>
      </c>
      <c r="M2780">
        <v>-0.1153276</v>
      </c>
      <c r="N2780">
        <v>-1.3358220000000001E-2</v>
      </c>
      <c r="O2780">
        <v>-0.99323799999999995</v>
      </c>
      <c r="P2780">
        <v>0.1085492</v>
      </c>
      <c r="Q2780">
        <v>-0.1103503</v>
      </c>
      <c r="R2780">
        <v>-0.98794769999999998</v>
      </c>
      <c r="S2780">
        <v>0.84494020000000003</v>
      </c>
      <c r="T2780">
        <v>-0.23436679999999999</v>
      </c>
      <c r="U2780">
        <v>-2.922974</v>
      </c>
      <c r="V2780">
        <v>-0.22137470000000001</v>
      </c>
      <c r="W2780">
        <v>-9.8299310000000001E-2</v>
      </c>
      <c r="X2780">
        <v>0.97022189999999997</v>
      </c>
      <c r="Y2780">
        <v>-0.38588600000000001</v>
      </c>
      <c r="Z2780">
        <v>6.0965369999999998E-2</v>
      </c>
      <c r="AA2780">
        <v>0.92052979999999995</v>
      </c>
      <c r="AB2780">
        <v>25</v>
      </c>
      <c r="AC2780">
        <v>4.0296999999999903</v>
      </c>
      <c r="AD2780">
        <v>-1.1109117170309999</v>
      </c>
      <c r="AE2780">
        <v>-13.611499999999999</v>
      </c>
      <c r="AF2780">
        <v>-5.5388067419567699</v>
      </c>
      <c r="AG2780">
        <v>-1.1109117170309999</v>
      </c>
      <c r="AH2780">
        <v>12.9764122695177</v>
      </c>
      <c r="AI2780">
        <v>94.502035657754206</v>
      </c>
      <c r="AJ2780">
        <v>113.11455976819499</v>
      </c>
      <c r="AK2780">
        <v>14.1527304911905</v>
      </c>
      <c r="AL2780">
        <v>95.641245450021103</v>
      </c>
      <c r="AM2780">
        <v>102.85309482880901</v>
      </c>
      <c r="AN2780">
        <v>1.0000000236930799</v>
      </c>
    </row>
    <row r="2781" spans="1:40" x14ac:dyDescent="0.25">
      <c r="A2781" t="str">
        <f>"20190305135246740"</f>
        <v>20190305135246740</v>
      </c>
      <c r="B2781" t="str">
        <f>"1551765166732591"</f>
        <v>1551765166732591</v>
      </c>
      <c r="C2781" t="s">
        <v>40</v>
      </c>
      <c r="D2781">
        <v>4.715681</v>
      </c>
      <c r="E2781">
        <v>0.4310001</v>
      </c>
      <c r="F2781" t="s">
        <v>55</v>
      </c>
      <c r="G2781">
        <v>-484.36219999999997</v>
      </c>
      <c r="H2781" s="1">
        <v>4.7476920000000001E-6</v>
      </c>
      <c r="I2781">
        <v>228.33699999999999</v>
      </c>
      <c r="J2781">
        <v>-489.1431</v>
      </c>
      <c r="K2781">
        <v>1.1111580000000001</v>
      </c>
      <c r="L2781">
        <v>244.3083</v>
      </c>
      <c r="M2781">
        <v>-0.11334089999999999</v>
      </c>
      <c r="N2781">
        <v>-1.337058E-2</v>
      </c>
      <c r="O2781">
        <v>-0.99346610000000002</v>
      </c>
      <c r="P2781">
        <v>0.1136786</v>
      </c>
      <c r="Q2781">
        <v>-0.1108518</v>
      </c>
      <c r="R2781">
        <v>-0.98731409999999997</v>
      </c>
      <c r="S2781">
        <v>0.86202999999999996</v>
      </c>
      <c r="T2781">
        <v>-0.20101579999999999</v>
      </c>
      <c r="U2781">
        <v>-2.9194490000000002</v>
      </c>
      <c r="V2781">
        <v>-0.22439619999999999</v>
      </c>
      <c r="W2781">
        <v>-9.895487E-2</v>
      </c>
      <c r="X2781">
        <v>0.96946080000000001</v>
      </c>
      <c r="Y2781">
        <v>-0.38949669999999997</v>
      </c>
      <c r="Z2781">
        <v>5.0385930000000002E-2</v>
      </c>
      <c r="AA2781">
        <v>0.91964860000000004</v>
      </c>
      <c r="AB2781">
        <v>25</v>
      </c>
      <c r="AC2781">
        <v>4.7809000000000301</v>
      </c>
      <c r="AD2781">
        <v>-1.1111532523080001</v>
      </c>
      <c r="AE2781">
        <v>-15.9712999999999</v>
      </c>
      <c r="AF2781">
        <v>-6.5314366864069999</v>
      </c>
      <c r="AG2781">
        <v>-1.1111532523080001</v>
      </c>
      <c r="AH2781">
        <v>15.2586630188302</v>
      </c>
      <c r="AI2781">
        <v>93.830001287163796</v>
      </c>
      <c r="AJ2781">
        <v>113.17323801187899</v>
      </c>
      <c r="AK2781">
        <v>16.634936845713401</v>
      </c>
      <c r="AL2781">
        <v>95.678990536104905</v>
      </c>
      <c r="AM2781">
        <v>103.032457557763</v>
      </c>
      <c r="AN2781">
        <v>0.99999998180389804</v>
      </c>
    </row>
    <row r="2782" spans="1:40" x14ac:dyDescent="0.25">
      <c r="A2782" t="str">
        <f>"20190305135246754"</f>
        <v>20190305135246754</v>
      </c>
      <c r="B2782" t="str">
        <f>"1551765166742351"</f>
        <v>1551765166742351</v>
      </c>
      <c r="C2782" t="s">
        <v>40</v>
      </c>
      <c r="D2782">
        <v>4.68276</v>
      </c>
      <c r="E2782">
        <v>0.42835830000000003</v>
      </c>
      <c r="F2782" t="s">
        <v>55</v>
      </c>
      <c r="G2782">
        <v>-484.29759999999999</v>
      </c>
      <c r="H2782" s="1">
        <v>4.7833929999999998E-6</v>
      </c>
      <c r="I2782">
        <v>228.5077</v>
      </c>
      <c r="J2782">
        <v>-489.15949999999998</v>
      </c>
      <c r="K2782">
        <v>1.1114010000000001</v>
      </c>
      <c r="L2782">
        <v>244.1464</v>
      </c>
      <c r="M2782">
        <v>-0.1111533</v>
      </c>
      <c r="N2782">
        <v>-1.338435E-2</v>
      </c>
      <c r="O2782">
        <v>-0.99371319999999996</v>
      </c>
      <c r="P2782">
        <v>0.1190653</v>
      </c>
      <c r="Q2782">
        <v>-0.1121538</v>
      </c>
      <c r="R2782">
        <v>-0.98653190000000002</v>
      </c>
      <c r="S2782">
        <v>0.89321899999999999</v>
      </c>
      <c r="T2782">
        <v>-0.20483100000000001</v>
      </c>
      <c r="U2782">
        <v>-2.9126889999999999</v>
      </c>
      <c r="V2782">
        <v>-0.2274612</v>
      </c>
      <c r="W2782">
        <v>-0.10041319999999999</v>
      </c>
      <c r="X2782">
        <v>0.96859620000000002</v>
      </c>
      <c r="Y2782">
        <v>-0.3970379</v>
      </c>
      <c r="Z2782">
        <v>5.1538550000000002E-2</v>
      </c>
      <c r="AA2782">
        <v>0.91635409999999995</v>
      </c>
      <c r="AB2782">
        <v>25</v>
      </c>
      <c r="AC2782">
        <v>4.8618999999999897</v>
      </c>
      <c r="AD2782">
        <v>-1.1113962166069999</v>
      </c>
      <c r="AE2782">
        <v>-15.6387</v>
      </c>
      <c r="AF2782">
        <v>-6.5400956655343903</v>
      </c>
      <c r="AG2782">
        <v>-1.1113962166069999</v>
      </c>
      <c r="AH2782">
        <v>14.9325388496777</v>
      </c>
      <c r="AI2782">
        <v>93.900142637121107</v>
      </c>
      <c r="AJ2782">
        <v>113.652271525986</v>
      </c>
      <c r="AK2782">
        <v>16.339790982805301</v>
      </c>
      <c r="AL2782">
        <v>95.762964839022999</v>
      </c>
      <c r="AM2782">
        <v>103.21564291562601</v>
      </c>
      <c r="AN2782">
        <v>1.00000000344706</v>
      </c>
    </row>
    <row r="2783" spans="1:40" x14ac:dyDescent="0.25">
      <c r="A2783" t="str">
        <f>"20190305135246771"</f>
        <v>20190305135246771</v>
      </c>
      <c r="B2783" t="str">
        <f>"1551765166762379"</f>
        <v>1551765166762379</v>
      </c>
      <c r="C2783" t="s">
        <v>40</v>
      </c>
      <c r="D2783">
        <v>4.6499920000000001</v>
      </c>
      <c r="E2783">
        <v>0.42545169999999999</v>
      </c>
      <c r="F2783" t="s">
        <v>55</v>
      </c>
      <c r="G2783">
        <v>-484.08150000000001</v>
      </c>
      <c r="H2783" s="1">
        <v>4.6577119999999998E-6</v>
      </c>
      <c r="I2783">
        <v>228.2876</v>
      </c>
      <c r="J2783">
        <v>-489.17770000000002</v>
      </c>
      <c r="K2783">
        <v>1.111667</v>
      </c>
      <c r="L2783">
        <v>243.9572</v>
      </c>
      <c r="M2783">
        <v>-0.1083242</v>
      </c>
      <c r="N2783">
        <v>-1.340185E-2</v>
      </c>
      <c r="O2783">
        <v>-0.99402520000000005</v>
      </c>
      <c r="P2783">
        <v>0.1294766</v>
      </c>
      <c r="Q2783">
        <v>-0.116102</v>
      </c>
      <c r="R2783">
        <v>-0.98476200000000003</v>
      </c>
      <c r="S2783">
        <v>0.93032840000000006</v>
      </c>
      <c r="T2783">
        <v>-0.20361969999999999</v>
      </c>
      <c r="U2783">
        <v>-2.9055019999999998</v>
      </c>
      <c r="V2783">
        <v>-0.2347697</v>
      </c>
      <c r="W2783">
        <v>-0.1045807</v>
      </c>
      <c r="X2783">
        <v>0.96640879999999996</v>
      </c>
      <c r="Y2783">
        <v>-0.40570099999999998</v>
      </c>
      <c r="Z2783">
        <v>5.106815E-2</v>
      </c>
      <c r="AA2783">
        <v>0.912578</v>
      </c>
      <c r="AB2783">
        <v>25</v>
      </c>
      <c r="AC2783">
        <v>5.0961999999999996</v>
      </c>
      <c r="AD2783">
        <v>-1.1116623422880001</v>
      </c>
      <c r="AE2783">
        <v>-15.669600000000001</v>
      </c>
      <c r="AF2783">
        <v>-6.7331096948418399</v>
      </c>
      <c r="AG2783">
        <v>-1.1116623422880001</v>
      </c>
      <c r="AH2783">
        <v>14.957206917681299</v>
      </c>
      <c r="AI2783">
        <v>93.877154980473904</v>
      </c>
      <c r="AJ2783">
        <v>114.235283781951</v>
      </c>
      <c r="AK2783">
        <v>16.440456140398499</v>
      </c>
      <c r="AL2783">
        <v>96.003009729086003</v>
      </c>
      <c r="AM2783">
        <v>103.654361555112</v>
      </c>
      <c r="AN2783">
        <v>0.99999995178400802</v>
      </c>
    </row>
    <row r="2784" spans="1:40" x14ac:dyDescent="0.25">
      <c r="A2784" t="str">
        <f>"20190305135246791"</f>
        <v>20190305135246791</v>
      </c>
      <c r="B2784" t="str">
        <f>"1551765166782888"</f>
        <v>1551765166782888</v>
      </c>
      <c r="C2784" t="s">
        <v>40</v>
      </c>
      <c r="D2784">
        <v>4.6831129999999996</v>
      </c>
      <c r="E2784">
        <v>0.42461110000000002</v>
      </c>
      <c r="F2784" t="s">
        <v>41</v>
      </c>
      <c r="G2784">
        <v>-488.84699999999998</v>
      </c>
      <c r="H2784">
        <v>1.04509599999999</v>
      </c>
      <c r="I2784">
        <v>242.98580000000001</v>
      </c>
      <c r="J2784">
        <v>-489.1995</v>
      </c>
      <c r="K2784">
        <v>1.1119790000000001</v>
      </c>
      <c r="L2784">
        <v>243.71979999999999</v>
      </c>
      <c r="M2784">
        <v>-0.1043882</v>
      </c>
      <c r="N2784">
        <v>-1.342348E-2</v>
      </c>
      <c r="O2784">
        <v>-0.99444619999999995</v>
      </c>
      <c r="P2784">
        <v>0.1415585</v>
      </c>
      <c r="Q2784">
        <v>-0.1187117</v>
      </c>
      <c r="R2784">
        <v>-0.98278639999999995</v>
      </c>
      <c r="S2784">
        <v>0.98568730000000004</v>
      </c>
      <c r="T2784">
        <v>-0.19826189999999999</v>
      </c>
      <c r="U2784">
        <v>-2.893478</v>
      </c>
      <c r="V2784">
        <v>-0.2426566</v>
      </c>
      <c r="W2784">
        <v>-0.10744099999999999</v>
      </c>
      <c r="X2784">
        <v>0.96414429999999995</v>
      </c>
      <c r="Y2784">
        <v>-0.41890309999999997</v>
      </c>
      <c r="Z2784">
        <v>4.9253089999999999E-2</v>
      </c>
      <c r="AA2784">
        <v>0.90669420000000001</v>
      </c>
      <c r="AB2784">
        <v>25</v>
      </c>
      <c r="AC2784">
        <v>0.35250000000002002</v>
      </c>
      <c r="AD2784">
        <v>-6.6883000000000206E-2</v>
      </c>
      <c r="AE2784">
        <v>-0.73399999999998</v>
      </c>
      <c r="AF2784">
        <v>-0.42433863637525598</v>
      </c>
      <c r="AG2784">
        <v>-6.6883000000000206E-2</v>
      </c>
      <c r="AH2784">
        <v>0.68854341707992806</v>
      </c>
      <c r="AI2784">
        <v>94.7272754681359</v>
      </c>
      <c r="AJ2784">
        <v>121.64488457670799</v>
      </c>
      <c r="AK2784">
        <v>0.81155939475426897</v>
      </c>
      <c r="AL2784">
        <v>96.167821256521407</v>
      </c>
      <c r="AM2784">
        <v>104.126844951263</v>
      </c>
      <c r="AN2784">
        <v>1.00000001261352</v>
      </c>
    </row>
    <row r="2785" spans="1:40" x14ac:dyDescent="0.25">
      <c r="A2785" t="str">
        <f>"20190305135246804"</f>
        <v>20190305135246804</v>
      </c>
      <c r="B2785" t="str">
        <f>"1551765166792635"</f>
        <v>1551765166792635</v>
      </c>
      <c r="C2785" t="s">
        <v>40</v>
      </c>
      <c r="D2785">
        <v>4.6582670000000004</v>
      </c>
      <c r="E2785">
        <v>0.42377579999999998</v>
      </c>
      <c r="F2785" t="s">
        <v>41</v>
      </c>
      <c r="G2785">
        <v>-488.86590000000001</v>
      </c>
      <c r="H2785">
        <v>1.0450060000000001</v>
      </c>
      <c r="I2785">
        <v>242.78540000000001</v>
      </c>
      <c r="J2785">
        <v>-489.21210000000002</v>
      </c>
      <c r="K2785">
        <v>1.1121540000000001</v>
      </c>
      <c r="L2785">
        <v>243.57599999999999</v>
      </c>
      <c r="M2785">
        <v>-0.1018662</v>
      </c>
      <c r="N2785">
        <v>-1.343482E-2</v>
      </c>
      <c r="O2785">
        <v>-0.99470760000000003</v>
      </c>
      <c r="P2785">
        <v>0.14781150000000001</v>
      </c>
      <c r="Q2785">
        <v>-0.1190605</v>
      </c>
      <c r="R2785">
        <v>-0.98182340000000001</v>
      </c>
      <c r="S2785">
        <v>1.028259</v>
      </c>
      <c r="T2785">
        <v>-0.20635629999999999</v>
      </c>
      <c r="U2785">
        <v>-2.8795169999999999</v>
      </c>
      <c r="V2785">
        <v>-0.24628949999999999</v>
      </c>
      <c r="W2785">
        <v>-0.10792060000000001</v>
      </c>
      <c r="X2785">
        <v>0.96316900000000005</v>
      </c>
      <c r="Y2785">
        <v>-0.42979709999999899</v>
      </c>
      <c r="Z2785">
        <v>5.1788849999999997E-2</v>
      </c>
      <c r="AA2785">
        <v>0.90143899999999999</v>
      </c>
      <c r="AB2785">
        <v>25</v>
      </c>
      <c r="AC2785">
        <v>0.34620000000001</v>
      </c>
      <c r="AD2785">
        <v>-6.7148000000000194E-2</v>
      </c>
      <c r="AE2785">
        <v>-0.79059999999998298</v>
      </c>
      <c r="AF2785">
        <v>-0.42238477886942499</v>
      </c>
      <c r="AG2785">
        <v>-6.7148000000000194E-2</v>
      </c>
      <c r="AH2785">
        <v>0.74669767004671195</v>
      </c>
      <c r="AI2785">
        <v>94.475506570605106</v>
      </c>
      <c r="AJ2785">
        <v>119.495556854375</v>
      </c>
      <c r="AK2785">
        <v>0.86050866688125904</v>
      </c>
      <c r="AL2785">
        <v>96.195461424232505</v>
      </c>
      <c r="AM2785">
        <v>104.34360512059</v>
      </c>
      <c r="AN2785">
        <v>0.99999994813780302</v>
      </c>
    </row>
    <row r="2786" spans="1:40" x14ac:dyDescent="0.25">
      <c r="A2786" t="str">
        <f>"20190305135246826"</f>
        <v>20190305135246826</v>
      </c>
      <c r="B2786" t="str">
        <f>"1551765166822891"</f>
        <v>1551765166822891</v>
      </c>
      <c r="C2786" t="s">
        <v>40</v>
      </c>
      <c r="D2786">
        <v>4.6457839999999999</v>
      </c>
      <c r="E2786">
        <v>0.42452109999999899</v>
      </c>
      <c r="F2786" t="s">
        <v>55</v>
      </c>
      <c r="G2786">
        <v>-483.19830000000002</v>
      </c>
      <c r="H2786" s="1">
        <v>4.15374E-6</v>
      </c>
      <c r="I2786">
        <v>227.18809999999999</v>
      </c>
      <c r="J2786">
        <v>-489.2319</v>
      </c>
      <c r="K2786">
        <v>1.1123700000000001</v>
      </c>
      <c r="L2786">
        <v>243.33609999999999</v>
      </c>
      <c r="M2786">
        <v>-9.7419190000000003E-2</v>
      </c>
      <c r="N2786">
        <v>-1.344915E-2</v>
      </c>
      <c r="O2786">
        <v>-0.99515279999999995</v>
      </c>
      <c r="P2786">
        <v>0.1596989</v>
      </c>
      <c r="Q2786">
        <v>-0.11855739999999899</v>
      </c>
      <c r="R2786">
        <v>-0.98002089999999997</v>
      </c>
      <c r="S2786">
        <v>1.054352</v>
      </c>
      <c r="T2786">
        <v>-0.1949823</v>
      </c>
      <c r="U2786">
        <v>-2.8731230000000001</v>
      </c>
      <c r="V2786">
        <v>-0.25359199999999998</v>
      </c>
      <c r="W2786">
        <v>-0.1076125</v>
      </c>
      <c r="X2786">
        <v>0.96130680000000002</v>
      </c>
      <c r="Y2786">
        <v>-0.43370160000000002</v>
      </c>
      <c r="Z2786">
        <v>4.8204370000000003E-2</v>
      </c>
      <c r="AA2786">
        <v>0.89976619999999996</v>
      </c>
      <c r="AB2786">
        <v>25</v>
      </c>
      <c r="AC2786">
        <v>6.0335999999999697</v>
      </c>
      <c r="AD2786">
        <v>-1.1123658462599999</v>
      </c>
      <c r="AE2786">
        <v>-16.1479999999999</v>
      </c>
      <c r="AF2786">
        <v>-7.5467386528131097</v>
      </c>
      <c r="AG2786">
        <v>-1.1123658462599999</v>
      </c>
      <c r="AH2786">
        <v>15.4191317685575</v>
      </c>
      <c r="AI2786">
        <v>93.707416396718301</v>
      </c>
      <c r="AJ2786">
        <v>116.078971260461</v>
      </c>
      <c r="AK2786">
        <v>17.202913897532898</v>
      </c>
      <c r="AL2786">
        <v>96.177704502850403</v>
      </c>
      <c r="AM2786">
        <v>104.77792365785</v>
      </c>
      <c r="AN2786">
        <v>1.00000005817324</v>
      </c>
    </row>
    <row r="2787" spans="1:40" x14ac:dyDescent="0.25">
      <c r="A2787" t="str">
        <f>"20190305135246840"</f>
        <v>20190305135246840</v>
      </c>
      <c r="B2787" t="str">
        <f>"1551765166832651"</f>
        <v>1551765166832651</v>
      </c>
      <c r="C2787" t="s">
        <v>40</v>
      </c>
      <c r="D2787">
        <v>4.6398849999999996</v>
      </c>
      <c r="E2787">
        <v>0.42475200000000002</v>
      </c>
      <c r="F2787" t="s">
        <v>41</v>
      </c>
      <c r="G2787">
        <v>-488.86149999999998</v>
      </c>
      <c r="H2787">
        <v>1.0503</v>
      </c>
      <c r="I2787">
        <v>242.35820000000001</v>
      </c>
      <c r="J2787">
        <v>-489.24450000000002</v>
      </c>
      <c r="K2787">
        <v>1.112471</v>
      </c>
      <c r="L2787">
        <v>243.17349999999999</v>
      </c>
      <c r="M2787">
        <v>-9.4290509999999994E-2</v>
      </c>
      <c r="N2787">
        <v>-1.3456600000000001E-2</v>
      </c>
      <c r="O2787">
        <v>-0.99545380000000006</v>
      </c>
      <c r="P2787">
        <v>0.16663020000000001</v>
      </c>
      <c r="Q2787">
        <v>-0.1177612</v>
      </c>
      <c r="R2787">
        <v>-0.97896209999999995</v>
      </c>
      <c r="S2787">
        <v>1.0842290000000001</v>
      </c>
      <c r="T2787">
        <v>-0.18170810000000001</v>
      </c>
      <c r="U2787">
        <v>-2.8624879999999999</v>
      </c>
      <c r="V2787">
        <v>-0.25735570000000002</v>
      </c>
      <c r="W2787">
        <v>-0.1069093</v>
      </c>
      <c r="X2787">
        <v>0.96038449999999997</v>
      </c>
      <c r="Y2787">
        <v>-0.44025910000000001</v>
      </c>
      <c r="Z2787">
        <v>4.4027629999999998E-2</v>
      </c>
      <c r="AA2787">
        <v>0.89679069999999905</v>
      </c>
      <c r="AB2787">
        <v>25</v>
      </c>
      <c r="AC2787">
        <v>0.38300000000003798</v>
      </c>
      <c r="AD2787">
        <v>-6.21709999999999E-2</v>
      </c>
      <c r="AE2787">
        <v>-0.81529999999997904</v>
      </c>
      <c r="AF2787">
        <v>-0.45600309706077502</v>
      </c>
      <c r="AG2787">
        <v>-6.21709999999999E-2</v>
      </c>
      <c r="AH2787">
        <v>0.77187349220977097</v>
      </c>
      <c r="AI2787">
        <v>93.966991966247804</v>
      </c>
      <c r="AJ2787">
        <v>120.573506453973</v>
      </c>
      <c r="AK2787">
        <v>0.89866164141245497</v>
      </c>
      <c r="AL2787">
        <v>96.1371808597426</v>
      </c>
      <c r="AM2787">
        <v>105.001193893682</v>
      </c>
      <c r="AN2787">
        <v>0.99999997129461404</v>
      </c>
    </row>
    <row r="2788" spans="1:40" x14ac:dyDescent="0.25">
      <c r="A2788" t="str">
        <f>"20190305135246852"</f>
        <v>20190305135246852</v>
      </c>
      <c r="B2788" t="str">
        <f>"1551765166842411"</f>
        <v>1551765166842411</v>
      </c>
      <c r="C2788" t="s">
        <v>40</v>
      </c>
      <c r="D2788">
        <v>4.6766079999999999</v>
      </c>
      <c r="E2788">
        <v>0.42489529999999998</v>
      </c>
      <c r="F2788" t="s">
        <v>55</v>
      </c>
      <c r="G2788">
        <v>-482.18189999999998</v>
      </c>
      <c r="H2788" s="1">
        <v>3.4200829999999998E-6</v>
      </c>
      <c r="I2788">
        <v>224.88910000000001</v>
      </c>
      <c r="J2788">
        <v>-489.25439999999998</v>
      </c>
      <c r="K2788">
        <v>1.1125339999999999</v>
      </c>
      <c r="L2788">
        <v>243.04079999999999</v>
      </c>
      <c r="M2788">
        <v>-9.1707010000000005E-2</v>
      </c>
      <c r="N2788">
        <v>-1.3461829999999999E-2</v>
      </c>
      <c r="O2788">
        <v>-0.9956952</v>
      </c>
      <c r="P2788">
        <v>0.1730391</v>
      </c>
      <c r="Q2788">
        <v>-0.1170662</v>
      </c>
      <c r="R2788">
        <v>-0.9779331</v>
      </c>
      <c r="S2788">
        <v>1.103119</v>
      </c>
      <c r="T2788">
        <v>-0.17375679999999999</v>
      </c>
      <c r="U2788">
        <v>-2.8558349999999999</v>
      </c>
      <c r="V2788">
        <v>-0.26114599999999999</v>
      </c>
      <c r="W2788">
        <v>-0.1062868</v>
      </c>
      <c r="X2788">
        <v>0.95943000000000001</v>
      </c>
      <c r="Y2788">
        <v>-0.44383630000000002</v>
      </c>
      <c r="Z2788">
        <v>4.1533279999999999E-2</v>
      </c>
      <c r="AA2788">
        <v>0.89514490000000002</v>
      </c>
      <c r="AB2788">
        <v>25</v>
      </c>
      <c r="AC2788">
        <v>7.07249999999999</v>
      </c>
      <c r="AD2788">
        <v>-1.112530579917</v>
      </c>
      <c r="AE2788">
        <v>-18.151699999999899</v>
      </c>
      <c r="AF2788">
        <v>-8.6791735830029495</v>
      </c>
      <c r="AG2788">
        <v>-1.112530579917</v>
      </c>
      <c r="AH2788">
        <v>17.369888435155001</v>
      </c>
      <c r="AI2788">
        <v>93.279183393159002</v>
      </c>
      <c r="AJ2788">
        <v>116.549821283448</v>
      </c>
      <c r="AK2788">
        <v>19.449390803438501</v>
      </c>
      <c r="AL2788">
        <v>96.101309544714098</v>
      </c>
      <c r="AM2788">
        <v>105.22639290632701</v>
      </c>
      <c r="AN2788">
        <v>1.0000000210351101</v>
      </c>
    </row>
    <row r="2789" spans="1:40" x14ac:dyDescent="0.25">
      <c r="A2789" t="str">
        <f>"20190305135246871"</f>
        <v>20190305135246871</v>
      </c>
      <c r="B2789" t="str">
        <f>"1551765166862438"</f>
        <v>1551765166862438</v>
      </c>
      <c r="C2789" t="s">
        <v>40</v>
      </c>
      <c r="D2789">
        <v>4.6655819999999997</v>
      </c>
      <c r="E2789">
        <v>0.42535859999999898</v>
      </c>
      <c r="F2789" t="s">
        <v>41</v>
      </c>
      <c r="G2789">
        <v>-488.89780000000002</v>
      </c>
      <c r="H2789">
        <v>1.058994</v>
      </c>
      <c r="I2789">
        <v>242.1336</v>
      </c>
      <c r="J2789">
        <v>-489.26929999999999</v>
      </c>
      <c r="K2789">
        <v>1.112606</v>
      </c>
      <c r="L2789">
        <v>242.83179999999999</v>
      </c>
      <c r="M2789">
        <v>-8.758734E-2</v>
      </c>
      <c r="N2789">
        <v>-1.3468900000000001E-2</v>
      </c>
      <c r="O2789">
        <v>-0.99606600000000001</v>
      </c>
      <c r="P2789">
        <v>0.18508530000000001</v>
      </c>
      <c r="Q2789">
        <v>-0.1157489</v>
      </c>
      <c r="R2789">
        <v>-0.97588209999999997</v>
      </c>
      <c r="S2789">
        <v>1.120789</v>
      </c>
      <c r="T2789">
        <v>-0.1681231</v>
      </c>
      <c r="U2789">
        <v>-2.8492739999999999</v>
      </c>
      <c r="V2789">
        <v>-0.26899800000000001</v>
      </c>
      <c r="W2789">
        <v>-0.1050889</v>
      </c>
      <c r="X2789">
        <v>0.95739039999999997</v>
      </c>
      <c r="Y2789">
        <v>-0.44567020000000002</v>
      </c>
      <c r="Z2789">
        <v>3.9809709999999998E-2</v>
      </c>
      <c r="AA2789">
        <v>0.89431159999999998</v>
      </c>
      <c r="AB2789">
        <v>25</v>
      </c>
      <c r="AC2789">
        <v>0.37149999999996902</v>
      </c>
      <c r="AD2789">
        <v>-5.3611999999999903E-2</v>
      </c>
      <c r="AE2789">
        <v>-0.69819999999998505</v>
      </c>
      <c r="AF2789">
        <v>-0.42925851605857901</v>
      </c>
      <c r="AG2789">
        <v>-5.3611999999999903E-2</v>
      </c>
      <c r="AH2789">
        <v>0.65994204648686705</v>
      </c>
      <c r="AI2789">
        <v>93.895772872886994</v>
      </c>
      <c r="AJ2789">
        <v>123.041940952598</v>
      </c>
      <c r="AK2789">
        <v>0.78908847721538</v>
      </c>
      <c r="AL2789">
        <v>96.032288555695601</v>
      </c>
      <c r="AM2789">
        <v>105.693770986636</v>
      </c>
      <c r="AN2789">
        <v>0.99999998945968405</v>
      </c>
    </row>
    <row r="2790" spans="1:40" x14ac:dyDescent="0.25">
      <c r="A2790" t="str">
        <f>"20190305135246883"</f>
        <v>20190305135246883</v>
      </c>
      <c r="B2790" t="str">
        <f>"1551765166872198"</f>
        <v>1551765166872198</v>
      </c>
      <c r="C2790" t="s">
        <v>40</v>
      </c>
      <c r="D2790">
        <v>4.6556170000000003</v>
      </c>
      <c r="E2790">
        <v>0.4257261</v>
      </c>
      <c r="F2790" t="s">
        <v>41</v>
      </c>
      <c r="G2790">
        <v>-488.89600000000002</v>
      </c>
      <c r="H2790">
        <v>1.0625279999999999</v>
      </c>
      <c r="I2790">
        <v>241.9136</v>
      </c>
      <c r="J2790">
        <v>-489.27870000000001</v>
      </c>
      <c r="K2790">
        <v>1.1126419999999999</v>
      </c>
      <c r="L2790">
        <v>242.6917</v>
      </c>
      <c r="M2790">
        <v>-8.4801699999999994E-2</v>
      </c>
      <c r="N2790">
        <v>-1.347302E-2</v>
      </c>
      <c r="O2790">
        <v>-0.99630680000000005</v>
      </c>
      <c r="P2790">
        <v>0.1919505</v>
      </c>
      <c r="Q2790">
        <v>-0.11520420000000001</v>
      </c>
      <c r="R2790">
        <v>-0.97461949999999997</v>
      </c>
      <c r="S2790">
        <v>1.153748</v>
      </c>
      <c r="T2790">
        <v>-0.15471860000000001</v>
      </c>
      <c r="U2790">
        <v>-2.8369749999999998</v>
      </c>
      <c r="V2790">
        <v>-0.27305580000000002</v>
      </c>
      <c r="W2790">
        <v>-0.1046026</v>
      </c>
      <c r="X2790">
        <v>0.95629430000000004</v>
      </c>
      <c r="Y2790">
        <v>-0.45349240000000002</v>
      </c>
      <c r="Z2790">
        <v>3.5562009999999998E-2</v>
      </c>
      <c r="AA2790">
        <v>0.89055039999999996</v>
      </c>
      <c r="AB2790">
        <v>25</v>
      </c>
      <c r="AC2790">
        <v>0.382700000000056</v>
      </c>
      <c r="AD2790">
        <v>-5.01139999999997E-2</v>
      </c>
      <c r="AE2790">
        <v>-0.77809999999999402</v>
      </c>
      <c r="AF2790">
        <v>-0.44582230685316798</v>
      </c>
      <c r="AG2790">
        <v>-5.01139999999997E-2</v>
      </c>
      <c r="AH2790">
        <v>0.74036720496046304</v>
      </c>
      <c r="AI2790">
        <v>93.318670139998801</v>
      </c>
      <c r="AJ2790">
        <v>121.05482749832601</v>
      </c>
      <c r="AK2790">
        <v>0.86568616742145599</v>
      </c>
      <c r="AL2790">
        <v>96.004271250587294</v>
      </c>
      <c r="AM2790">
        <v>105.935915415366</v>
      </c>
      <c r="AN2790">
        <v>0.99999998102644505</v>
      </c>
    </row>
    <row r="2791" spans="1:40" x14ac:dyDescent="0.25">
      <c r="A2791" t="str">
        <f>"20190305135246908"</f>
        <v>20190305135246908</v>
      </c>
      <c r="B2791" t="str">
        <f>"1551765166902454"</f>
        <v>1551765166902454</v>
      </c>
      <c r="C2791" t="s">
        <v>40</v>
      </c>
      <c r="D2791">
        <v>4.6419249999999996</v>
      </c>
      <c r="E2791">
        <v>0.42731710000000001</v>
      </c>
      <c r="F2791" t="s">
        <v>55</v>
      </c>
      <c r="G2791">
        <v>-480.5301</v>
      </c>
      <c r="H2791" s="1">
        <v>2.2892750000000002E-6</v>
      </c>
      <c r="I2791">
        <v>221.54589999999999</v>
      </c>
      <c r="J2791">
        <v>-489.29430000000002</v>
      </c>
      <c r="K2791">
        <v>1.1126830000000001</v>
      </c>
      <c r="L2791">
        <v>242.44460000000001</v>
      </c>
      <c r="M2791">
        <v>-7.9859159999999998E-2</v>
      </c>
      <c r="N2791">
        <v>-1.3480209999999999E-2</v>
      </c>
      <c r="O2791">
        <v>-0.99671509999999996</v>
      </c>
      <c r="P2791">
        <v>0.2044184</v>
      </c>
      <c r="Q2791">
        <v>-0.1145359</v>
      </c>
      <c r="R2791">
        <v>-0.97216020000000003</v>
      </c>
      <c r="S2791">
        <v>1.1708369999999999</v>
      </c>
      <c r="T2791">
        <v>-0.14890499999999901</v>
      </c>
      <c r="U2791">
        <v>-2.8299560000000001</v>
      </c>
      <c r="V2791">
        <v>-0.28054709999999899</v>
      </c>
      <c r="W2791">
        <v>-0.104035199999999</v>
      </c>
      <c r="X2791">
        <v>0.95418550000000002</v>
      </c>
      <c r="Y2791">
        <v>-0.45447399999999999</v>
      </c>
      <c r="Z2791">
        <v>3.3792639999999999E-2</v>
      </c>
      <c r="AA2791">
        <v>0.89011879999999999</v>
      </c>
      <c r="AB2791">
        <v>25</v>
      </c>
      <c r="AC2791">
        <v>8.7642000000000095</v>
      </c>
      <c r="AD2791">
        <v>-1.1126807107250001</v>
      </c>
      <c r="AE2791">
        <v>-20.898700000000002</v>
      </c>
      <c r="AF2791">
        <v>-10.3802837507299</v>
      </c>
      <c r="AG2791">
        <v>-1.1126807107250001</v>
      </c>
      <c r="AH2791">
        <v>20.083559966910101</v>
      </c>
      <c r="AI2791">
        <v>92.817669741856193</v>
      </c>
      <c r="AJ2791">
        <v>117.332397319609</v>
      </c>
      <c r="AK2791">
        <v>22.634878618056799</v>
      </c>
      <c r="AL2791">
        <v>95.971583261789704</v>
      </c>
      <c r="AM2791">
        <v>106.384251559585</v>
      </c>
      <c r="AN2791">
        <v>0.99999998328384898</v>
      </c>
    </row>
    <row r="2792" spans="1:40" x14ac:dyDescent="0.25">
      <c r="A2792" t="str">
        <f>"20190305135246925"</f>
        <v>20190305135246925</v>
      </c>
      <c r="B2792" t="str">
        <f>"1551765166921974"</f>
        <v>1551765166921974</v>
      </c>
      <c r="C2792" t="s">
        <v>40</v>
      </c>
      <c r="D2792">
        <v>4.7519400000000003</v>
      </c>
      <c r="E2792">
        <v>0.4278827</v>
      </c>
      <c r="F2792" t="s">
        <v>41</v>
      </c>
      <c r="G2792">
        <v>-488.88339999999999</v>
      </c>
      <c r="H2792">
        <v>1.065418</v>
      </c>
      <c r="I2792">
        <v>241.47540000000001</v>
      </c>
      <c r="J2792">
        <v>-489.30700000000002</v>
      </c>
      <c r="K2792">
        <v>1.112733</v>
      </c>
      <c r="L2792">
        <v>242.22800000000001</v>
      </c>
      <c r="M2792">
        <v>-7.5479190000000002E-2</v>
      </c>
      <c r="N2792">
        <v>-1.348707E-2</v>
      </c>
      <c r="O2792">
        <v>-0.99705639999999995</v>
      </c>
      <c r="P2792">
        <v>0.21583559999999999</v>
      </c>
      <c r="Q2792">
        <v>-0.11318019999999999</v>
      </c>
      <c r="R2792">
        <v>-0.9698483</v>
      </c>
      <c r="S2792">
        <v>1.195465</v>
      </c>
      <c r="T2792">
        <v>-0.13741610000000001</v>
      </c>
      <c r="U2792">
        <v>-2.8183590000000001</v>
      </c>
      <c r="V2792">
        <v>-0.28757120000000003</v>
      </c>
      <c r="W2792">
        <v>-0.1027811</v>
      </c>
      <c r="X2792">
        <v>0.95222839999999997</v>
      </c>
      <c r="Y2792">
        <v>-0.45851720000000001</v>
      </c>
      <c r="Z2792">
        <v>3.020656E-2</v>
      </c>
      <c r="AA2792">
        <v>0.88817199999999996</v>
      </c>
      <c r="AB2792">
        <v>25</v>
      </c>
      <c r="AC2792">
        <v>0.42359999999996401</v>
      </c>
      <c r="AD2792">
        <v>-4.7315000000000003E-2</v>
      </c>
      <c r="AE2792">
        <v>-0.75259999999997196</v>
      </c>
      <c r="AF2792">
        <v>-0.47776814247241201</v>
      </c>
      <c r="AG2792">
        <v>-4.7315000000000003E-2</v>
      </c>
      <c r="AH2792">
        <v>0.71632672866700897</v>
      </c>
      <c r="AI2792">
        <v>93.1453038785844</v>
      </c>
      <c r="AJ2792">
        <v>123.70208158297</v>
      </c>
      <c r="AK2792">
        <v>0.86233699293798005</v>
      </c>
      <c r="AL2792">
        <v>95.899341008073705</v>
      </c>
      <c r="AM2792">
        <v>106.804218174271</v>
      </c>
      <c r="AN2792">
        <v>1.0000000376766001</v>
      </c>
    </row>
    <row r="2793" spans="1:40" x14ac:dyDescent="0.25">
      <c r="A2793" t="str">
        <f>"20190305135246949"</f>
        <v>20190305135246949</v>
      </c>
      <c r="B2793" t="str">
        <f>"1551765166942470"</f>
        <v>1551765166942470</v>
      </c>
      <c r="C2793" t="s">
        <v>40</v>
      </c>
      <c r="D2793">
        <v>4.7110219999999998</v>
      </c>
      <c r="E2793">
        <v>0.4289558</v>
      </c>
      <c r="F2793" t="s">
        <v>41</v>
      </c>
      <c r="G2793">
        <v>-488.88299999999998</v>
      </c>
      <c r="H2793">
        <v>1.066716</v>
      </c>
      <c r="I2793">
        <v>241.25569999999999</v>
      </c>
      <c r="J2793">
        <v>-489.32119999999998</v>
      </c>
      <c r="K2793">
        <v>1.112816</v>
      </c>
      <c r="L2793">
        <v>241.9572</v>
      </c>
      <c r="M2793">
        <v>-6.9945919999999995E-2</v>
      </c>
      <c r="N2793">
        <v>-1.349677E-2</v>
      </c>
      <c r="O2793">
        <v>-0.99745950000000005</v>
      </c>
      <c r="P2793">
        <v>0.2306058</v>
      </c>
      <c r="Q2793">
        <v>-0.1118878</v>
      </c>
      <c r="R2793">
        <v>-0.96659309999999998</v>
      </c>
      <c r="S2793">
        <v>1.2239990000000001</v>
      </c>
      <c r="T2793">
        <v>-0.1327604</v>
      </c>
      <c r="U2793">
        <v>-2.8053889999999999</v>
      </c>
      <c r="V2793">
        <v>-0.29679430000000001</v>
      </c>
      <c r="W2793">
        <v>-0.1016341</v>
      </c>
      <c r="X2793">
        <v>0.94951750000000001</v>
      </c>
      <c r="Y2793">
        <v>-0.4626942</v>
      </c>
      <c r="Z2793">
        <v>2.8799000000000002E-2</v>
      </c>
      <c r="AA2793">
        <v>0.88605</v>
      </c>
      <c r="AB2793">
        <v>25</v>
      </c>
      <c r="AC2793">
        <v>0.43819999999993797</v>
      </c>
      <c r="AD2793">
        <v>-4.6100000000000002E-2</v>
      </c>
      <c r="AE2793">
        <v>-0.70150000000001</v>
      </c>
      <c r="AF2793">
        <v>-0.48469240212075099</v>
      </c>
      <c r="AG2793">
        <v>-4.6100000000000002E-2</v>
      </c>
      <c r="AH2793">
        <v>0.66705627152317104</v>
      </c>
      <c r="AI2793">
        <v>93.200015498552204</v>
      </c>
      <c r="AJ2793">
        <v>126.002678825601</v>
      </c>
      <c r="AK2793">
        <v>0.82584260246852104</v>
      </c>
      <c r="AL2793">
        <v>95.833277494575398</v>
      </c>
      <c r="AM2793">
        <v>107.357877166158</v>
      </c>
      <c r="AN2793">
        <v>0.99999991480077099</v>
      </c>
    </row>
    <row r="2794" spans="1:40" x14ac:dyDescent="0.25">
      <c r="A2794" t="str">
        <f>"20190305135246973"</f>
        <v>20190305135246973</v>
      </c>
      <c r="B2794" t="str">
        <f>"1551765166962496"</f>
        <v>1551765166962496</v>
      </c>
      <c r="C2794" t="s">
        <v>40</v>
      </c>
      <c r="D2794">
        <v>4.752275</v>
      </c>
      <c r="E2794">
        <v>0.43015150000000002</v>
      </c>
      <c r="F2794" t="s">
        <v>41</v>
      </c>
      <c r="G2794">
        <v>-488.90370000000001</v>
      </c>
      <c r="H2794">
        <v>1.0709610000000001</v>
      </c>
      <c r="I2794">
        <v>241.03210000000001</v>
      </c>
      <c r="J2794">
        <v>-489.3331</v>
      </c>
      <c r="K2794">
        <v>1.112892</v>
      </c>
      <c r="L2794">
        <v>241.70099999999999</v>
      </c>
      <c r="M2794">
        <v>-6.4600329999999997E-2</v>
      </c>
      <c r="N2794">
        <v>-1.350639E-2</v>
      </c>
      <c r="O2794">
        <v>-0.99781989999999998</v>
      </c>
      <c r="P2794">
        <v>0.2398092</v>
      </c>
      <c r="Q2794">
        <v>-0.1115418</v>
      </c>
      <c r="R2794">
        <v>-0.96439140000000001</v>
      </c>
      <c r="S2794">
        <v>1.258362</v>
      </c>
      <c r="T2794">
        <v>-0.1261755</v>
      </c>
      <c r="U2794">
        <v>-2.788818</v>
      </c>
      <c r="V2794">
        <v>-0.30073640000000001</v>
      </c>
      <c r="W2794">
        <v>-0.1013834</v>
      </c>
      <c r="X2794">
        <v>0.94830329999999996</v>
      </c>
      <c r="Y2794">
        <v>-0.4690008</v>
      </c>
      <c r="Z2794">
        <v>2.6768920000000002E-2</v>
      </c>
      <c r="AA2794">
        <v>0.88279189999999996</v>
      </c>
      <c r="AB2794">
        <v>25</v>
      </c>
      <c r="AC2794">
        <v>0.42939999999998602</v>
      </c>
      <c r="AD2794">
        <v>-4.1930999999999899E-2</v>
      </c>
      <c r="AE2794">
        <v>-0.66889999999997896</v>
      </c>
      <c r="AF2794">
        <v>-0.47040895510470998</v>
      </c>
      <c r="AG2794">
        <v>-4.1930999999999899E-2</v>
      </c>
      <c r="AH2794">
        <v>0.63798525956419105</v>
      </c>
      <c r="AI2794">
        <v>93.0280729691424</v>
      </c>
      <c r="AJ2794">
        <v>126.40265623737</v>
      </c>
      <c r="AK2794">
        <v>0.79376821883021598</v>
      </c>
      <c r="AL2794">
        <v>95.818837998696793</v>
      </c>
      <c r="AM2794">
        <v>107.595436640477</v>
      </c>
      <c r="AN2794">
        <v>1.0000000624356999</v>
      </c>
    </row>
    <row r="2795" spans="1:40" x14ac:dyDescent="0.25">
      <c r="A2795" t="str">
        <f>"20190305135246993"</f>
        <v>20190305135246993</v>
      </c>
      <c r="B2795" t="str">
        <f>"1551765166982017"</f>
        <v>1551765166982017</v>
      </c>
      <c r="C2795" t="s">
        <v>40</v>
      </c>
      <c r="D2795">
        <v>4.7526960000000003</v>
      </c>
      <c r="E2795">
        <v>0.43127569999999998</v>
      </c>
      <c r="F2795" t="s">
        <v>41</v>
      </c>
      <c r="G2795">
        <v>-488.90629999999999</v>
      </c>
      <c r="H2795">
        <v>1.0716540000000001</v>
      </c>
      <c r="I2795">
        <v>240.7704</v>
      </c>
      <c r="J2795">
        <v>-489.34230000000002</v>
      </c>
      <c r="K2795">
        <v>1.1129869999999999</v>
      </c>
      <c r="L2795">
        <v>241.47380000000001</v>
      </c>
      <c r="M2795">
        <v>-5.9704210000000001E-2</v>
      </c>
      <c r="N2795">
        <v>-1.3516719999999999E-2</v>
      </c>
      <c r="O2795">
        <v>-0.99812460000000003</v>
      </c>
      <c r="P2795">
        <v>0.24933749999999999</v>
      </c>
      <c r="Q2795">
        <v>-0.11233600000000001</v>
      </c>
      <c r="R2795">
        <v>-0.96187900000000004</v>
      </c>
      <c r="S2795">
        <v>1.2750549999999901</v>
      </c>
      <c r="T2795">
        <v>-0.1231469</v>
      </c>
      <c r="U2795">
        <v>-2.7794650000000001</v>
      </c>
      <c r="V2795">
        <v>-0.30541869999999999</v>
      </c>
      <c r="W2795">
        <v>-0.1022991</v>
      </c>
      <c r="X2795">
        <v>0.94670710000000002</v>
      </c>
      <c r="Y2795">
        <v>-0.47018379999999999</v>
      </c>
      <c r="Z2795">
        <v>2.588056E-2</v>
      </c>
      <c r="AA2795">
        <v>0.882188999999999</v>
      </c>
      <c r="AB2795">
        <v>25</v>
      </c>
      <c r="AC2795">
        <v>0.43600000000003503</v>
      </c>
      <c r="AD2795">
        <v>-4.1333000000000002E-2</v>
      </c>
      <c r="AE2795">
        <v>-0.70340000000001601</v>
      </c>
      <c r="AF2795">
        <v>-0.47603438275224902</v>
      </c>
      <c r="AG2795">
        <v>-4.1333000000000002E-2</v>
      </c>
      <c r="AH2795">
        <v>0.67442919221868602</v>
      </c>
      <c r="AI2795">
        <v>92.866393045340502</v>
      </c>
      <c r="AJ2795">
        <v>125.215705758268</v>
      </c>
      <c r="AK2795">
        <v>0.82654212582787601</v>
      </c>
      <c r="AL2795">
        <v>95.871578260340399</v>
      </c>
      <c r="AM2795">
        <v>107.88030342575099</v>
      </c>
      <c r="AN2795">
        <v>1.0000000106804501</v>
      </c>
    </row>
    <row r="2796" spans="1:40" x14ac:dyDescent="0.25">
      <c r="A2796" t="str">
        <f>"20190305135247008"</f>
        <v>20190305135247008</v>
      </c>
      <c r="B2796" t="str">
        <f>"1551765167002513"</f>
        <v>1551765167002513</v>
      </c>
      <c r="C2796" t="s">
        <v>40</v>
      </c>
      <c r="D2796">
        <v>4.7822300000000002</v>
      </c>
      <c r="E2796">
        <v>0.44946849999999999</v>
      </c>
      <c r="F2796" t="s">
        <v>41</v>
      </c>
      <c r="G2796">
        <v>-488.9221</v>
      </c>
      <c r="H2796">
        <v>1.0720799999999999</v>
      </c>
      <c r="I2796">
        <v>240.57419999999999</v>
      </c>
      <c r="J2796">
        <v>-489.34809999999999</v>
      </c>
      <c r="K2796">
        <v>1.1130639999999901</v>
      </c>
      <c r="L2796">
        <v>241.3142</v>
      </c>
      <c r="M2796">
        <v>-5.6155120000000003E-2</v>
      </c>
      <c r="N2796">
        <v>-1.352563E-2</v>
      </c>
      <c r="O2796">
        <v>-0.99833050000000001</v>
      </c>
      <c r="P2796">
        <v>0.25567469999999998</v>
      </c>
      <c r="Q2796">
        <v>-0.11247939999999999</v>
      </c>
      <c r="R2796">
        <v>-0.96019770000000004</v>
      </c>
      <c r="S2796">
        <v>1.2935490000000001</v>
      </c>
      <c r="T2796">
        <v>-0.12589929999999999</v>
      </c>
      <c r="U2796">
        <v>-2.7688600000000001</v>
      </c>
      <c r="V2796">
        <v>-0.3082664</v>
      </c>
      <c r="W2796">
        <v>-0.1025351</v>
      </c>
      <c r="X2796">
        <v>0.94575810000000005</v>
      </c>
      <c r="Y2796">
        <v>-0.47315760000000001</v>
      </c>
      <c r="Z2796">
        <v>2.6828040000000001E-2</v>
      </c>
      <c r="AA2796">
        <v>0.88056919999999905</v>
      </c>
      <c r="AB2796">
        <v>25</v>
      </c>
      <c r="AC2796">
        <v>0.425999999999987</v>
      </c>
      <c r="AD2796">
        <v>-4.0983999999999902E-2</v>
      </c>
      <c r="AE2796">
        <v>-0.74000000000000898</v>
      </c>
      <c r="AF2796">
        <v>-0.465813093063075</v>
      </c>
      <c r="AG2796">
        <v>-4.0983999999999902E-2</v>
      </c>
      <c r="AH2796">
        <v>0.71326457892863504</v>
      </c>
      <c r="AI2796">
        <v>92.754325455605098</v>
      </c>
      <c r="AJ2796">
        <v>123.147426831413</v>
      </c>
      <c r="AK2796">
        <v>0.85288210526381303</v>
      </c>
      <c r="AL2796">
        <v>95.885171595695596</v>
      </c>
      <c r="AM2796">
        <v>108.053189736946</v>
      </c>
      <c r="AN2796">
        <v>1.00000000190829</v>
      </c>
    </row>
    <row r="2797" spans="1:40" x14ac:dyDescent="0.25">
      <c r="A2797" t="str">
        <f>"20190305135247021"</f>
        <v>20190305135247021</v>
      </c>
      <c r="B2797" t="str">
        <f>"1551765167012275"</f>
        <v>1551765167012275</v>
      </c>
      <c r="C2797" t="s">
        <v>40</v>
      </c>
      <c r="D2797">
        <v>4.9469969999999996</v>
      </c>
      <c r="E2797">
        <v>0.44946849999999999</v>
      </c>
      <c r="F2797" t="s">
        <v>41</v>
      </c>
      <c r="G2797">
        <v>-488.9522</v>
      </c>
      <c r="H2797">
        <v>1.06406</v>
      </c>
      <c r="I2797">
        <v>240.36750000000001</v>
      </c>
      <c r="J2797">
        <v>-489.35309999999998</v>
      </c>
      <c r="K2797">
        <v>1.1131580000000001</v>
      </c>
      <c r="L2797">
        <v>241.15620000000001</v>
      </c>
      <c r="M2797">
        <v>-5.2497479999999999E-2</v>
      </c>
      <c r="N2797">
        <v>-1.3537159999999999E-2</v>
      </c>
      <c r="O2797">
        <v>-0.99852940000000001</v>
      </c>
      <c r="P2797">
        <v>0.2625014</v>
      </c>
      <c r="Q2797">
        <v>-0.1130713</v>
      </c>
      <c r="R2797">
        <v>-0.95828400000000002</v>
      </c>
      <c r="S2797">
        <v>1.1701349999999999</v>
      </c>
      <c r="T2797">
        <v>-0.14469699999999999</v>
      </c>
      <c r="U2797">
        <v>-2.7958219999999998</v>
      </c>
      <c r="V2797">
        <v>-0.31148959999999998</v>
      </c>
      <c r="W2797">
        <v>-0.1032425</v>
      </c>
      <c r="X2797">
        <v>0.94462440000000003</v>
      </c>
      <c r="Y2797">
        <v>-0.43358809999999898</v>
      </c>
      <c r="Z2797">
        <v>3.3382509999999997E-2</v>
      </c>
      <c r="AA2797">
        <v>0.90049269999999904</v>
      </c>
      <c r="AB2797">
        <v>25</v>
      </c>
      <c r="AC2797">
        <v>0.400899999999978</v>
      </c>
      <c r="AD2797">
        <v>-4.9098000000000003E-2</v>
      </c>
      <c r="AE2797">
        <v>-0.78870000000000495</v>
      </c>
      <c r="AF2797">
        <v>-0.440399379120061</v>
      </c>
      <c r="AG2797">
        <v>-4.9098000000000003E-2</v>
      </c>
      <c r="AH2797">
        <v>0.76421059907558897</v>
      </c>
      <c r="AI2797">
        <v>93.186083804413201</v>
      </c>
      <c r="AJ2797">
        <v>119.953992606708</v>
      </c>
      <c r="AK2797">
        <v>0.883391230697253</v>
      </c>
      <c r="AL2797">
        <v>95.925918769378796</v>
      </c>
      <c r="AM2797">
        <v>108.249955538059</v>
      </c>
      <c r="AN2797">
        <v>1.00000002089488</v>
      </c>
    </row>
    <row r="2798" spans="1:40" x14ac:dyDescent="0.25">
      <c r="A2798" t="str">
        <f>"20190305135247041"</f>
        <v>20190305135247041</v>
      </c>
      <c r="B2798" t="str">
        <f>"1551765167032769"</f>
        <v>1551765167032769</v>
      </c>
      <c r="C2798" t="s">
        <v>40</v>
      </c>
      <c r="D2798">
        <v>4.8023889999999998</v>
      </c>
      <c r="E2798">
        <v>0.40739429999999999</v>
      </c>
      <c r="F2798" t="s">
        <v>55</v>
      </c>
      <c r="G2798">
        <v>-480.3159</v>
      </c>
      <c r="H2798" s="1">
        <v>1.9066779999999999E-6</v>
      </c>
      <c r="I2798">
        <v>219.9872</v>
      </c>
      <c r="J2798">
        <v>-489.35890000000001</v>
      </c>
      <c r="K2798">
        <v>1.113324</v>
      </c>
      <c r="L2798">
        <v>240.9348</v>
      </c>
      <c r="M2798">
        <v>-4.7132189999999997E-2</v>
      </c>
      <c r="N2798">
        <v>-1.3557319999999999E-2</v>
      </c>
      <c r="O2798">
        <v>-0.99879669999999998</v>
      </c>
      <c r="P2798">
        <v>0.27345520000000001</v>
      </c>
      <c r="Q2798">
        <v>-0.1140395</v>
      </c>
      <c r="R2798">
        <v>-0.95510059999999997</v>
      </c>
      <c r="S2798">
        <v>1.1899409999999999</v>
      </c>
      <c r="T2798">
        <v>-0.14657020000000001</v>
      </c>
      <c r="U2798">
        <v>-2.7873380000000001</v>
      </c>
      <c r="V2798">
        <v>-0.31715310000000002</v>
      </c>
      <c r="W2798">
        <v>-0.1044152</v>
      </c>
      <c r="X2798">
        <v>0.94260880000000002</v>
      </c>
      <c r="Y2798">
        <v>-0.4351373</v>
      </c>
      <c r="Z2798">
        <v>3.4054210000000001E-2</v>
      </c>
      <c r="AA2798">
        <v>0.89971979999999996</v>
      </c>
      <c r="AB2798">
        <v>25</v>
      </c>
      <c r="AC2798">
        <v>9.0429999999999993</v>
      </c>
      <c r="AD2798">
        <v>-1.1133220933220001</v>
      </c>
      <c r="AE2798">
        <v>-20.947599999999898</v>
      </c>
      <c r="AF2798">
        <v>-9.9965436907961696</v>
      </c>
      <c r="AG2798">
        <v>-1.1133220933220001</v>
      </c>
      <c r="AH2798">
        <v>20.4493707088435</v>
      </c>
      <c r="AI2798">
        <v>92.800189940541401</v>
      </c>
      <c r="AJ2798">
        <v>116.051400286128</v>
      </c>
      <c r="AK2798">
        <v>22.7891889770825</v>
      </c>
      <c r="AL2798">
        <v>95.993474868015397</v>
      </c>
      <c r="AM2798">
        <v>108.596188334318</v>
      </c>
      <c r="AN2798">
        <v>0.99999998633404497</v>
      </c>
    </row>
    <row r="2799" spans="1:40" x14ac:dyDescent="0.25">
      <c r="A2799" t="str">
        <f>"20190305135247063"</f>
        <v>20190305135247063</v>
      </c>
      <c r="B2799" t="str">
        <f>"1551765167052800"</f>
        <v>1551765167052800</v>
      </c>
      <c r="C2799" t="s">
        <v>40</v>
      </c>
      <c r="D2799">
        <v>4.7926419999999998</v>
      </c>
      <c r="E2799">
        <v>0.39492100000000002</v>
      </c>
      <c r="F2799" t="s">
        <v>41</v>
      </c>
      <c r="G2799">
        <v>-488.90989999999999</v>
      </c>
      <c r="H2799">
        <v>1.0610470000000001</v>
      </c>
      <c r="I2799">
        <v>240.15530000000001</v>
      </c>
      <c r="J2799">
        <v>-489.36349999999999</v>
      </c>
      <c r="K2799">
        <v>1.113542</v>
      </c>
      <c r="L2799">
        <v>240.69460000000001</v>
      </c>
      <c r="M2799">
        <v>-4.0939330000000003E-2</v>
      </c>
      <c r="N2799">
        <v>-1.358431E-2</v>
      </c>
      <c r="O2799">
        <v>-0.99906930000000005</v>
      </c>
      <c r="P2799">
        <v>0.28444950000000002</v>
      </c>
      <c r="Q2799">
        <v>-0.11619599999999999</v>
      </c>
      <c r="R2799">
        <v>-0.95162360000000001</v>
      </c>
      <c r="S2799">
        <v>1.5425719999999901</v>
      </c>
      <c r="T2799">
        <v>-0.17960719999999999</v>
      </c>
      <c r="U2799">
        <v>-2.677902</v>
      </c>
      <c r="V2799">
        <v>-0.3220691</v>
      </c>
      <c r="W2799">
        <v>-0.1068166</v>
      </c>
      <c r="X2799">
        <v>0.94067089999999998</v>
      </c>
      <c r="Y2799">
        <v>-0.53348609999999996</v>
      </c>
      <c r="Z2799">
        <v>4.3570789999999998E-2</v>
      </c>
      <c r="AA2799">
        <v>0.84468589999999999</v>
      </c>
      <c r="AB2799">
        <v>25</v>
      </c>
      <c r="AC2799">
        <v>0.45359999999999401</v>
      </c>
      <c r="AD2799">
        <v>-5.2495000000000097E-2</v>
      </c>
      <c r="AE2799">
        <v>-0.539299999999997</v>
      </c>
      <c r="AF2799">
        <v>-0.47267727792766601</v>
      </c>
      <c r="AG2799">
        <v>-5.2495000000000097E-2</v>
      </c>
      <c r="AH2799">
        <v>0.51740480293346003</v>
      </c>
      <c r="AI2799">
        <v>94.283821411746203</v>
      </c>
      <c r="AJ2799">
        <v>132.41338900474301</v>
      </c>
      <c r="AK2799">
        <v>0.702771132156637</v>
      </c>
      <c r="AL2799">
        <v>96.131838672547204</v>
      </c>
      <c r="AM2799">
        <v>108.90029796623701</v>
      </c>
      <c r="AN2799">
        <v>1.0000000166585801</v>
      </c>
    </row>
    <row r="2800" spans="1:40" x14ac:dyDescent="0.25">
      <c r="A2800" t="str">
        <f>"20190305135247083"</f>
        <v>20190305135247083</v>
      </c>
      <c r="B2800" t="str">
        <f>"1551765167072316"</f>
        <v>1551765167072316</v>
      </c>
      <c r="C2800" t="s">
        <v>40</v>
      </c>
      <c r="D2800">
        <v>4.7904640000000001</v>
      </c>
      <c r="E2800">
        <v>0.39221909999999999</v>
      </c>
      <c r="F2800" t="s">
        <v>41</v>
      </c>
      <c r="G2800">
        <v>-488.88549999999998</v>
      </c>
      <c r="H2800">
        <v>1.066395</v>
      </c>
      <c r="I2800">
        <v>239.9408</v>
      </c>
      <c r="J2800">
        <v>-489.36590000000001</v>
      </c>
      <c r="K2800">
        <v>1.1137840000000001</v>
      </c>
      <c r="L2800">
        <v>240.4796</v>
      </c>
      <c r="M2800">
        <v>-3.5003859999999998E-2</v>
      </c>
      <c r="N2800">
        <v>-1.3614909999999999E-2</v>
      </c>
      <c r="O2800">
        <v>-0.99929449999999997</v>
      </c>
      <c r="P2800">
        <v>0.29498279999999999</v>
      </c>
      <c r="Q2800">
        <v>-0.1178802</v>
      </c>
      <c r="R2800">
        <v>-0.94820309999999997</v>
      </c>
      <c r="S2800">
        <v>1.67038</v>
      </c>
      <c r="T2800">
        <v>-0.16466069999999999</v>
      </c>
      <c r="U2800">
        <v>-2.6331180000000001</v>
      </c>
      <c r="V2800">
        <v>-0.3268047</v>
      </c>
      <c r="W2800">
        <v>-0.1087547</v>
      </c>
      <c r="X2800">
        <v>0.93881369999999997</v>
      </c>
      <c r="Y2800">
        <v>-0.56427899999999998</v>
      </c>
      <c r="Z2800">
        <v>3.8391979999999999E-2</v>
      </c>
      <c r="AA2800">
        <v>0.82469099999999995</v>
      </c>
      <c r="AB2800">
        <v>25</v>
      </c>
      <c r="AC2800">
        <v>0.48040000000003102</v>
      </c>
      <c r="AD2800">
        <v>-4.7389000000000098E-2</v>
      </c>
      <c r="AE2800">
        <v>-0.53880000000000805</v>
      </c>
      <c r="AF2800">
        <v>-0.496826221595986</v>
      </c>
      <c r="AG2800">
        <v>-4.7389000000000098E-2</v>
      </c>
      <c r="AH2800">
        <v>0.51941384247947897</v>
      </c>
      <c r="AI2800">
        <v>93.772102791852902</v>
      </c>
      <c r="AJ2800">
        <v>133.726715924009</v>
      </c>
      <c r="AK2800">
        <v>0.72032822487088599</v>
      </c>
      <c r="AL2800">
        <v>96.243534277044205</v>
      </c>
      <c r="AM2800">
        <v>109.193205842903</v>
      </c>
      <c r="AN2800">
        <v>1.00000003001093</v>
      </c>
    </row>
    <row r="2801" spans="1:40" x14ac:dyDescent="0.25">
      <c r="A2801" t="str">
        <f>"20190305135247096"</f>
        <v>20190305135247096</v>
      </c>
      <c r="B2801" t="str">
        <f>"1551765167092813"</f>
        <v>1551765167092813</v>
      </c>
      <c r="C2801" t="s">
        <v>40</v>
      </c>
      <c r="D2801">
        <v>4.7206849999999996</v>
      </c>
      <c r="E2801">
        <v>0.39148749999999999</v>
      </c>
      <c r="F2801" t="s">
        <v>41</v>
      </c>
      <c r="G2801">
        <v>-488.86849999999998</v>
      </c>
      <c r="H2801">
        <v>1.0674889999999999</v>
      </c>
      <c r="I2801">
        <v>239.72540000000001</v>
      </c>
      <c r="J2801">
        <v>-489.36649999999997</v>
      </c>
      <c r="K2801">
        <v>1.1139669999999999</v>
      </c>
      <c r="L2801">
        <v>240.33179999999999</v>
      </c>
      <c r="M2801">
        <v>-3.067193E-2</v>
      </c>
      <c r="N2801">
        <v>-1.363966E-2</v>
      </c>
      <c r="O2801">
        <v>-0.99943660000000001</v>
      </c>
      <c r="P2801">
        <v>0.30106630000000001</v>
      </c>
      <c r="Q2801">
        <v>-0.1185235</v>
      </c>
      <c r="R2801">
        <v>-0.94620910000000003</v>
      </c>
      <c r="S2801">
        <v>1.7207030000000001</v>
      </c>
      <c r="T2801">
        <v>-0.16014529999999999</v>
      </c>
      <c r="U2801">
        <v>-2.6087039999999999</v>
      </c>
      <c r="V2801">
        <v>-0.32869959999999998</v>
      </c>
      <c r="W2801">
        <v>-0.1095623</v>
      </c>
      <c r="X2801">
        <v>0.93805799999999995</v>
      </c>
      <c r="Y2801">
        <v>-0.57534739999999995</v>
      </c>
      <c r="Z2801">
        <v>3.6907200000000001E-2</v>
      </c>
      <c r="AA2801">
        <v>0.81707600000000002</v>
      </c>
      <c r="AB2801">
        <v>25</v>
      </c>
      <c r="AC2801">
        <v>0.49799999999999001</v>
      </c>
      <c r="AD2801">
        <v>-4.6477999999999998E-2</v>
      </c>
      <c r="AE2801">
        <v>-0.60639999999997896</v>
      </c>
      <c r="AF2801">
        <v>-0.51456155238628698</v>
      </c>
      <c r="AG2801">
        <v>-4.6477999999999998E-2</v>
      </c>
      <c r="AH2801">
        <v>0.58877295324768997</v>
      </c>
      <c r="AI2801">
        <v>93.401629527193805</v>
      </c>
      <c r="AJ2801">
        <v>131.15202342582</v>
      </c>
      <c r="AK2801">
        <v>0.78331818959742805</v>
      </c>
      <c r="AL2801">
        <v>96.290084276239497</v>
      </c>
      <c r="AM2801">
        <v>109.310682653724</v>
      </c>
      <c r="AN2801">
        <v>1.0000000679927199</v>
      </c>
    </row>
    <row r="2802" spans="1:40" x14ac:dyDescent="0.25">
      <c r="A2802" t="str">
        <f>"20190305135247116"</f>
        <v>20190305135247116</v>
      </c>
      <c r="B2802" t="str">
        <f>"1551765167112333"</f>
        <v>1551765167112333</v>
      </c>
      <c r="C2802" t="s">
        <v>40</v>
      </c>
      <c r="D2802">
        <v>4.7557400000000003</v>
      </c>
      <c r="E2802">
        <v>0.3910073</v>
      </c>
      <c r="F2802" t="s">
        <v>41</v>
      </c>
      <c r="G2802">
        <v>-488.81950000000001</v>
      </c>
      <c r="H2802">
        <v>1.0610010000000001</v>
      </c>
      <c r="I2802">
        <v>239.51660000000001</v>
      </c>
      <c r="J2802">
        <v>-489.36599999999999</v>
      </c>
      <c r="K2802">
        <v>1.1142399999999999</v>
      </c>
      <c r="L2802">
        <v>240.119</v>
      </c>
      <c r="M2802">
        <v>-2.413262E-2</v>
      </c>
      <c r="N2802">
        <v>-1.367823E-2</v>
      </c>
      <c r="O2802">
        <v>-0.99961520000000004</v>
      </c>
      <c r="P2802">
        <v>0.31113800000000003</v>
      </c>
      <c r="Q2802">
        <v>-0.1197501</v>
      </c>
      <c r="R2802">
        <v>-0.94278989999999996</v>
      </c>
      <c r="S2802">
        <v>1.7422489999999999</v>
      </c>
      <c r="T2802">
        <v>-0.168546</v>
      </c>
      <c r="U2802">
        <v>-2.595078</v>
      </c>
      <c r="V2802">
        <v>-0.3324587</v>
      </c>
      <c r="W2802">
        <v>-0.1110546</v>
      </c>
      <c r="X2802">
        <v>0.93655650000000001</v>
      </c>
      <c r="Y2802">
        <v>-0.57659139999999998</v>
      </c>
      <c r="Z2802">
        <v>3.9655540000000003E-2</v>
      </c>
      <c r="AA2802">
        <v>0.81606969999999901</v>
      </c>
      <c r="AB2802">
        <v>25</v>
      </c>
      <c r="AC2802">
        <v>0.54649999999998</v>
      </c>
      <c r="AD2802">
        <v>-5.32389999999998E-2</v>
      </c>
      <c r="AE2802">
        <v>-0.60240000000001703</v>
      </c>
      <c r="AF2802">
        <v>-0.55848683374672003</v>
      </c>
      <c r="AG2802">
        <v>-5.32389999999998E-2</v>
      </c>
      <c r="AH2802">
        <v>0.58652187425348101</v>
      </c>
      <c r="AI2802">
        <v>93.761007420714094</v>
      </c>
      <c r="AJ2802">
        <v>133.597417978777</v>
      </c>
      <c r="AK2802">
        <v>0.81163405766838903</v>
      </c>
      <c r="AL2802">
        <v>96.376112231891994</v>
      </c>
      <c r="AM2802">
        <v>109.54383778999799</v>
      </c>
      <c r="AN2802">
        <v>0.99999999453954902</v>
      </c>
    </row>
    <row r="2803" spans="1:40" x14ac:dyDescent="0.25">
      <c r="A2803" t="str">
        <f>"20190305135247129"</f>
        <v>20190305135247129</v>
      </c>
      <c r="B2803" t="str">
        <f>"1551765167122093"</f>
        <v>1551765167122093</v>
      </c>
      <c r="C2803" t="s">
        <v>40</v>
      </c>
      <c r="D2803">
        <v>4.7737280000000002</v>
      </c>
      <c r="E2803">
        <v>0.39104240000000001</v>
      </c>
      <c r="F2803" t="s">
        <v>41</v>
      </c>
      <c r="G2803">
        <v>-488.80380000000002</v>
      </c>
      <c r="H2803">
        <v>1.060654</v>
      </c>
      <c r="I2803">
        <v>239.3021</v>
      </c>
      <c r="J2803">
        <v>-489.3646</v>
      </c>
      <c r="K2803">
        <v>1.114457</v>
      </c>
      <c r="L2803">
        <v>239.9573</v>
      </c>
      <c r="M2803">
        <v>-1.8913820000000001E-2</v>
      </c>
      <c r="N2803">
        <v>-1.3709819999999999E-2</v>
      </c>
      <c r="O2803">
        <v>-0.99972709999999998</v>
      </c>
      <c r="P2803">
        <v>0.31702520000000001</v>
      </c>
      <c r="Q2803">
        <v>-0.1203423</v>
      </c>
      <c r="R2803">
        <v>-0.94075160000000002</v>
      </c>
      <c r="S2803">
        <v>1.773163</v>
      </c>
      <c r="T2803">
        <v>-0.1689447</v>
      </c>
      <c r="U2803">
        <v>-2.5754389999999998</v>
      </c>
      <c r="V2803">
        <v>-0.33335160000000003</v>
      </c>
      <c r="W2803">
        <v>-0.1118181</v>
      </c>
      <c r="X2803">
        <v>0.93614819999999999</v>
      </c>
      <c r="Y2803">
        <v>-0.58186450000000001</v>
      </c>
      <c r="Z2803">
        <v>3.9842469999999998E-2</v>
      </c>
      <c r="AA2803">
        <v>0.81230930000000001</v>
      </c>
      <c r="AB2803">
        <v>25</v>
      </c>
      <c r="AC2803">
        <v>0.56079999999997199</v>
      </c>
      <c r="AD2803">
        <v>-5.3802999999999997E-2</v>
      </c>
      <c r="AE2803">
        <v>-0.655200000000007</v>
      </c>
      <c r="AF2803">
        <v>-0.57087136566821095</v>
      </c>
      <c r="AG2803">
        <v>-5.3802999999999997E-2</v>
      </c>
      <c r="AH2803">
        <v>0.64197637218697801</v>
      </c>
      <c r="AI2803">
        <v>93.583652767138702</v>
      </c>
      <c r="AJ2803">
        <v>131.64479002864601</v>
      </c>
      <c r="AK2803">
        <v>0.86076857598035095</v>
      </c>
      <c r="AL2803">
        <v>96.420131604221098</v>
      </c>
      <c r="AM2803">
        <v>109.600229243939</v>
      </c>
      <c r="AN2803">
        <v>1.0000000145367001</v>
      </c>
    </row>
    <row r="2804" spans="1:40" x14ac:dyDescent="0.25">
      <c r="A2804" t="str">
        <f>"20190305135247152"</f>
        <v>20190305135247152</v>
      </c>
      <c r="B2804" t="str">
        <f>"1551765167142588"</f>
        <v>1551765167142588</v>
      </c>
      <c r="C2804" t="s">
        <v>40</v>
      </c>
      <c r="D2804">
        <v>4.7779860000000003</v>
      </c>
      <c r="E2804">
        <v>0.39124569999999997</v>
      </c>
      <c r="F2804" t="s">
        <v>55</v>
      </c>
      <c r="G2804">
        <v>-478.512</v>
      </c>
      <c r="H2804">
        <v>8.0000310000000005E-2</v>
      </c>
      <c r="I2804">
        <v>224.39789999999999</v>
      </c>
      <c r="J2804">
        <v>-489.36020000000002</v>
      </c>
      <c r="K2804">
        <v>1.1147659999999999</v>
      </c>
      <c r="L2804">
        <v>239.7193</v>
      </c>
      <c r="M2804">
        <v>-1.0790350000000001E-2</v>
      </c>
      <c r="N2804">
        <v>-1.3759779999999999E-2</v>
      </c>
      <c r="O2804">
        <v>-0.99984720000000005</v>
      </c>
      <c r="P2804">
        <v>0.32644529999999999</v>
      </c>
      <c r="Q2804">
        <v>-0.1216134</v>
      </c>
      <c r="R2804">
        <v>-0.93736019999999998</v>
      </c>
      <c r="S2804">
        <v>1.7886660000000001</v>
      </c>
      <c r="T2804">
        <v>-0.17049400000000001</v>
      </c>
      <c r="U2804">
        <v>-2.5644230000000001</v>
      </c>
      <c r="V2804">
        <v>-0.33502389999999999</v>
      </c>
      <c r="W2804">
        <v>-0.11334320000000001</v>
      </c>
      <c r="X2804">
        <v>0.93536750000000002</v>
      </c>
      <c r="Y2804">
        <v>-0.58018349999999996</v>
      </c>
      <c r="Z2804">
        <v>4.0470319999999997E-2</v>
      </c>
      <c r="AA2804">
        <v>0.81347969999999903</v>
      </c>
      <c r="AB2804">
        <v>25</v>
      </c>
      <c r="AC2804">
        <v>10.8482</v>
      </c>
      <c r="AD2804">
        <v>-1.03476569</v>
      </c>
      <c r="AE2804">
        <v>-15.321400000000001</v>
      </c>
      <c r="AF2804">
        <v>-10.979549443228001</v>
      </c>
      <c r="AG2804">
        <v>-1.03476569</v>
      </c>
      <c r="AH2804">
        <v>15.1573901136833</v>
      </c>
      <c r="AI2804">
        <v>93.1644959419543</v>
      </c>
      <c r="AJ2804">
        <v>125.918421860564</v>
      </c>
      <c r="AK2804">
        <v>18.744805175511299</v>
      </c>
      <c r="AL2804">
        <v>96.508072397895106</v>
      </c>
      <c r="AM2804">
        <v>109.706181052094</v>
      </c>
      <c r="AN2804">
        <v>1.0000000273068399</v>
      </c>
    </row>
    <row r="2805" spans="1:40" x14ac:dyDescent="0.25">
      <c r="A2805" t="str">
        <f>"20190305135247175"</f>
        <v>20190305135247175</v>
      </c>
      <c r="B2805" t="str">
        <f>"1551765167162616"</f>
        <v>1551765167162616</v>
      </c>
      <c r="C2805" t="s">
        <v>40</v>
      </c>
      <c r="D2805">
        <v>4.8093389999999996</v>
      </c>
      <c r="E2805">
        <v>0.39165739999999999</v>
      </c>
      <c r="F2805" t="s">
        <v>41</v>
      </c>
      <c r="G2805">
        <v>-488.76069999999999</v>
      </c>
      <c r="H2805">
        <v>1.05793</v>
      </c>
      <c r="I2805">
        <v>238.87690000000001</v>
      </c>
      <c r="J2805">
        <v>-489.35329999999999</v>
      </c>
      <c r="K2805">
        <v>1.1150770000000001</v>
      </c>
      <c r="L2805">
        <v>239.47389999999999</v>
      </c>
      <c r="M2805">
        <v>-1.90697E-3</v>
      </c>
      <c r="N2805">
        <v>-1.381338E-2</v>
      </c>
      <c r="O2805">
        <v>-0.99990279999999998</v>
      </c>
      <c r="P2805">
        <v>0.33537790000000001</v>
      </c>
      <c r="Q2805">
        <v>-0.1218615</v>
      </c>
      <c r="R2805">
        <v>-0.93416889999999997</v>
      </c>
      <c r="S2805">
        <v>1.812592</v>
      </c>
      <c r="T2805">
        <v>-0.1718315</v>
      </c>
      <c r="U2805">
        <v>-2.5468899999999999</v>
      </c>
      <c r="V2805">
        <v>-0.3355477</v>
      </c>
      <c r="W2805">
        <v>-0.1138195</v>
      </c>
      <c r="X2805">
        <v>0.9351218</v>
      </c>
      <c r="Y2805">
        <v>-0.5806521</v>
      </c>
      <c r="Z2805">
        <v>4.1048429999999997E-2</v>
      </c>
      <c r="AA2805">
        <v>0.81311639999999996</v>
      </c>
      <c r="AB2805">
        <v>25</v>
      </c>
      <c r="AC2805">
        <v>0.59260000000000401</v>
      </c>
      <c r="AD2805">
        <v>-5.7147000000000003E-2</v>
      </c>
      <c r="AE2805">
        <v>-0.59699999999997999</v>
      </c>
      <c r="AF2805">
        <v>-0.59100974765630299</v>
      </c>
      <c r="AG2805">
        <v>-5.7147000000000003E-2</v>
      </c>
      <c r="AH2805">
        <v>0.59313120040009204</v>
      </c>
      <c r="AI2805">
        <v>93.904397255057901</v>
      </c>
      <c r="AJ2805">
        <v>134.897351612736</v>
      </c>
      <c r="AK2805">
        <v>0.83926332120605696</v>
      </c>
      <c r="AL2805">
        <v>96.535540576219901</v>
      </c>
      <c r="AM2805">
        <v>109.739397707747</v>
      </c>
      <c r="AN2805">
        <v>0.99999995919538898</v>
      </c>
    </row>
    <row r="2806" spans="1:40" x14ac:dyDescent="0.25">
      <c r="A2806" t="str">
        <f>"20190305135247195"</f>
        <v>20190305135247195</v>
      </c>
      <c r="B2806" t="str">
        <f>"1551765167191896"</f>
        <v>1551765167191896</v>
      </c>
      <c r="C2806" t="s">
        <v>40</v>
      </c>
      <c r="D2806">
        <v>4.7586199999999996</v>
      </c>
      <c r="E2806">
        <v>0.39162550000000002</v>
      </c>
      <c r="F2806" t="s">
        <v>41</v>
      </c>
      <c r="G2806">
        <v>-488.76369999999997</v>
      </c>
      <c r="H2806">
        <v>1.0637299999999901</v>
      </c>
      <c r="I2806">
        <v>238.65960000000001</v>
      </c>
      <c r="J2806">
        <v>-489.3442</v>
      </c>
      <c r="K2806">
        <v>1.1153660000000001</v>
      </c>
      <c r="L2806">
        <v>239.24090000000001</v>
      </c>
      <c r="M2806">
        <v>6.9909489999999998E-3</v>
      </c>
      <c r="N2806">
        <v>-1.386654E-2</v>
      </c>
      <c r="O2806">
        <v>-0.99987939999999997</v>
      </c>
      <c r="P2806">
        <v>0.34334959999999998</v>
      </c>
      <c r="Q2806">
        <v>-0.1229084</v>
      </c>
      <c r="R2806">
        <v>-0.93113089999999998</v>
      </c>
      <c r="S2806">
        <v>1.834106</v>
      </c>
      <c r="T2806">
        <v>-0.1596253</v>
      </c>
      <c r="U2806">
        <v>-2.532089</v>
      </c>
      <c r="V2806">
        <v>-0.33512199999999998</v>
      </c>
      <c r="W2806">
        <v>-0.11505700000000001</v>
      </c>
      <c r="X2806">
        <v>0.93512309999999998</v>
      </c>
      <c r="Y2806">
        <v>-0.5803024</v>
      </c>
      <c r="Z2806">
        <v>3.7281830000000002E-2</v>
      </c>
      <c r="AA2806">
        <v>0.81354740000000003</v>
      </c>
      <c r="AB2806">
        <v>25</v>
      </c>
      <c r="AC2806">
        <v>0.58050000000002899</v>
      </c>
      <c r="AD2806">
        <v>-5.1636000000000203E-2</v>
      </c>
      <c r="AE2806">
        <v>-0.58129999999999804</v>
      </c>
      <c r="AF2806">
        <v>-0.57415328426984802</v>
      </c>
      <c r="AG2806">
        <v>-5.1636000000000203E-2</v>
      </c>
      <c r="AH2806">
        <v>0.58304101774357997</v>
      </c>
      <c r="AI2806">
        <v>93.610735462211395</v>
      </c>
      <c r="AJ2806">
        <v>134.55995323861799</v>
      </c>
      <c r="AK2806">
        <v>0.81991164079144696</v>
      </c>
      <c r="AL2806">
        <v>96.606912464766694</v>
      </c>
      <c r="AM2806">
        <v>109.71626132698</v>
      </c>
      <c r="AN2806">
        <v>1.0000000401433</v>
      </c>
    </row>
    <row r="2807" spans="1:40" x14ac:dyDescent="0.25">
      <c r="A2807" t="str">
        <f>"20190305135247221"</f>
        <v>20190305135247221</v>
      </c>
      <c r="B2807" t="str">
        <f>"1551765167212391"</f>
        <v>1551765167212391</v>
      </c>
      <c r="C2807" t="s">
        <v>40</v>
      </c>
      <c r="D2807">
        <v>4.7703850000000001</v>
      </c>
      <c r="E2807">
        <v>0.39162269999999999</v>
      </c>
      <c r="F2807" t="s">
        <v>41</v>
      </c>
      <c r="G2807">
        <v>-488.75670000000002</v>
      </c>
      <c r="H2807">
        <v>1.0734900000000001</v>
      </c>
      <c r="I2807">
        <v>238.4444</v>
      </c>
      <c r="J2807">
        <v>-489.33030000000002</v>
      </c>
      <c r="K2807">
        <v>1.1157079999999999</v>
      </c>
      <c r="L2807">
        <v>238.9684</v>
      </c>
      <c r="M2807">
        <v>1.7981440000000001E-2</v>
      </c>
      <c r="N2807">
        <v>-1.393369E-2</v>
      </c>
      <c r="O2807">
        <v>-0.9997414</v>
      </c>
      <c r="P2807">
        <v>0.35329460000000001</v>
      </c>
      <c r="Q2807">
        <v>-0.1237631</v>
      </c>
      <c r="R2807">
        <v>-0.92728949999999999</v>
      </c>
      <c r="S2807">
        <v>1.8578190000000001</v>
      </c>
      <c r="T2807">
        <v>-0.13245319999999999</v>
      </c>
      <c r="U2807">
        <v>-2.5193180000000002</v>
      </c>
      <c r="V2807">
        <v>-0.33474029999999999</v>
      </c>
      <c r="W2807">
        <v>-0.11613370000000001</v>
      </c>
      <c r="X2807">
        <v>0.93512669999999998</v>
      </c>
      <c r="Y2807">
        <v>-0.57849050000000002</v>
      </c>
      <c r="Z2807">
        <v>2.8670569999999999E-2</v>
      </c>
      <c r="AA2807">
        <v>0.8151851</v>
      </c>
      <c r="AB2807">
        <v>25</v>
      </c>
      <c r="AC2807">
        <v>0.573599999999999</v>
      </c>
      <c r="AD2807">
        <v>-4.2217999999999797E-2</v>
      </c>
      <c r="AE2807">
        <v>-0.52400000000000002</v>
      </c>
      <c r="AF2807">
        <v>-0.562423266277019</v>
      </c>
      <c r="AG2807">
        <v>-4.2217999999999797E-2</v>
      </c>
      <c r="AH2807">
        <v>0.53265752415604495</v>
      </c>
      <c r="AI2807">
        <v>93.119602763184702</v>
      </c>
      <c r="AJ2807">
        <v>136.55699158364101</v>
      </c>
      <c r="AK2807">
        <v>0.77577466316821597</v>
      </c>
      <c r="AL2807">
        <v>96.669019272649706</v>
      </c>
      <c r="AM2807">
        <v>109.695463334845</v>
      </c>
      <c r="AN2807">
        <v>1.0000000248863301</v>
      </c>
    </row>
    <row r="2808" spans="1:40" x14ac:dyDescent="0.25">
      <c r="A2808" t="str">
        <f>"20190305135247240"</f>
        <v>20190305135247240</v>
      </c>
      <c r="B2808" t="str">
        <f>"1551765167231913"</f>
        <v>1551765167231913</v>
      </c>
      <c r="C2808" t="s">
        <v>40</v>
      </c>
      <c r="D2808">
        <v>4.792198</v>
      </c>
      <c r="E2808">
        <v>0.3916675</v>
      </c>
      <c r="F2808" t="s">
        <v>41</v>
      </c>
      <c r="G2808">
        <v>-488.76889999999997</v>
      </c>
      <c r="H2808">
        <v>1.0796730000000001</v>
      </c>
      <c r="I2808">
        <v>238.22329999999999</v>
      </c>
      <c r="J2808">
        <v>-489.31700000000001</v>
      </c>
      <c r="K2808">
        <v>1.115982</v>
      </c>
      <c r="L2808">
        <v>238.75749999999999</v>
      </c>
      <c r="M2808">
        <v>2.6958309999999999E-2</v>
      </c>
      <c r="N2808">
        <v>-1.399222E-2</v>
      </c>
      <c r="O2808">
        <v>-0.9995387</v>
      </c>
      <c r="P2808">
        <v>0.3612995</v>
      </c>
      <c r="Q2808">
        <v>-0.1251061</v>
      </c>
      <c r="R2808">
        <v>-0.92401940000000005</v>
      </c>
      <c r="S2808">
        <v>1.885254</v>
      </c>
      <c r="T2808">
        <v>-0.1209133</v>
      </c>
      <c r="U2808">
        <v>-2.5008240000000002</v>
      </c>
      <c r="V2808">
        <v>-0.33433200000000002</v>
      </c>
      <c r="W2808">
        <v>-0.1176502</v>
      </c>
      <c r="X2808">
        <v>0.9350832</v>
      </c>
      <c r="Y2808">
        <v>-0.57984230000000003</v>
      </c>
      <c r="Z2808">
        <v>2.503963E-2</v>
      </c>
      <c r="AA2808">
        <v>0.81434390000000001</v>
      </c>
      <c r="AB2808">
        <v>25</v>
      </c>
      <c r="AC2808">
        <v>0.54809999999997605</v>
      </c>
      <c r="AD2808">
        <v>-3.6309000000000098E-2</v>
      </c>
      <c r="AE2808">
        <v>-0.53419999999999801</v>
      </c>
      <c r="AF2808">
        <v>-0.53230024426090705</v>
      </c>
      <c r="AG2808">
        <v>-3.6309000000000098E-2</v>
      </c>
      <c r="AH2808">
        <v>0.54755080806922496</v>
      </c>
      <c r="AI2808">
        <v>92.722186055918996</v>
      </c>
      <c r="AJ2808">
        <v>134.19087465584599</v>
      </c>
      <c r="AK2808">
        <v>0.76450884948343301</v>
      </c>
      <c r="AL2808">
        <v>96.756508106844905</v>
      </c>
      <c r="AM2808">
        <v>109.67412989449799</v>
      </c>
      <c r="AN2808">
        <v>1.0000000233531301</v>
      </c>
    </row>
    <row r="2809" spans="1:40" x14ac:dyDescent="0.25">
      <c r="A2809" t="str">
        <f>"20190305135247265"</f>
        <v>20190305135247265</v>
      </c>
      <c r="B2809" t="str">
        <f>"1551765167262676"</f>
        <v>1551765167262676</v>
      </c>
      <c r="C2809" t="s">
        <v>40</v>
      </c>
      <c r="D2809">
        <v>4.7929199999999996</v>
      </c>
      <c r="E2809">
        <v>0.3918026</v>
      </c>
      <c r="F2809" t="s">
        <v>41</v>
      </c>
      <c r="G2809">
        <v>-488.72250000000003</v>
      </c>
      <c r="H2809">
        <v>1.0803259999999999</v>
      </c>
      <c r="I2809">
        <v>237.98269999999999</v>
      </c>
      <c r="J2809">
        <v>-489.29660000000001</v>
      </c>
      <c r="K2809">
        <v>1.1163609999999999</v>
      </c>
      <c r="L2809">
        <v>238.48650000000001</v>
      </c>
      <c r="M2809">
        <v>3.9049500000000001E-2</v>
      </c>
      <c r="N2809">
        <v>-1.4074700000000001E-2</v>
      </c>
      <c r="O2809">
        <v>-0.99913810000000003</v>
      </c>
      <c r="P2809">
        <v>0.3726833</v>
      </c>
      <c r="Q2809">
        <v>-0.12591189999999999</v>
      </c>
      <c r="R2809">
        <v>-0.91937639999999998</v>
      </c>
      <c r="S2809">
        <v>1.9073789999999999</v>
      </c>
      <c r="T2809">
        <v>-0.11437559999999999</v>
      </c>
      <c r="U2809">
        <v>-2.485382</v>
      </c>
      <c r="V2809">
        <v>-0.33444740000000001</v>
      </c>
      <c r="W2809">
        <v>-0.118698</v>
      </c>
      <c r="X2809">
        <v>0.93490949999999995</v>
      </c>
      <c r="Y2809">
        <v>-0.57702929999999997</v>
      </c>
      <c r="Z2809">
        <v>2.3026270000000001E-2</v>
      </c>
      <c r="AA2809">
        <v>0.81639879999999998</v>
      </c>
      <c r="AB2809">
        <v>25</v>
      </c>
      <c r="AC2809">
        <v>0.57409999999998695</v>
      </c>
      <c r="AD2809">
        <v>-3.6034999999999998E-2</v>
      </c>
      <c r="AE2809">
        <v>-0.50380000000001202</v>
      </c>
      <c r="AF2809">
        <v>-0.55275664146827796</v>
      </c>
      <c r="AG2809">
        <v>-3.6034999999999998E-2</v>
      </c>
      <c r="AH2809">
        <v>0.524668417002632</v>
      </c>
      <c r="AI2809">
        <v>92.707099504990197</v>
      </c>
      <c r="AJ2809">
        <v>136.49334959843</v>
      </c>
      <c r="AK2809">
        <v>0.762964857455662</v>
      </c>
      <c r="AL2809">
        <v>96.816966245664005</v>
      </c>
      <c r="AM2809">
        <v>109.68377465913299</v>
      </c>
      <c r="AN2809">
        <v>1.0000000258805</v>
      </c>
    </row>
    <row r="2810" spans="1:40" x14ac:dyDescent="0.25">
      <c r="A2810" t="str">
        <f>"20190305135247287"</f>
        <v>20190305135247287</v>
      </c>
      <c r="B2810" t="str">
        <f>"1551765167282195"</f>
        <v>1551765167282195</v>
      </c>
      <c r="C2810" t="s">
        <v>40</v>
      </c>
      <c r="D2810">
        <v>4.8067909999999996</v>
      </c>
      <c r="E2810">
        <v>0.39191989999999999</v>
      </c>
      <c r="F2810" t="s">
        <v>56</v>
      </c>
      <c r="G2810">
        <v>-467.9239</v>
      </c>
      <c r="H2810" s="1">
        <v>2.8233900000000001E-6</v>
      </c>
      <c r="I2810">
        <v>211.33359999999999</v>
      </c>
      <c r="J2810">
        <v>-489.27609999999999</v>
      </c>
      <c r="K2810">
        <v>1.116682</v>
      </c>
      <c r="L2810">
        <v>238.2585</v>
      </c>
      <c r="M2810">
        <v>4.9798370000000002E-2</v>
      </c>
      <c r="N2810">
        <v>-1.4152100000000001E-2</v>
      </c>
      <c r="O2810">
        <v>-0.99865910000000002</v>
      </c>
      <c r="P2810">
        <v>0.38353359999999997</v>
      </c>
      <c r="Q2810">
        <v>-0.12525169999999999</v>
      </c>
      <c r="R2810">
        <v>-0.91499410000000003</v>
      </c>
      <c r="S2810">
        <v>1.9388730000000001</v>
      </c>
      <c r="T2810">
        <v>-0.10127269999999999</v>
      </c>
      <c r="U2810">
        <v>-2.4632260000000001</v>
      </c>
      <c r="V2810">
        <v>-0.33535789999999999</v>
      </c>
      <c r="W2810">
        <v>-0.11825869999999999</v>
      </c>
      <c r="X2810">
        <v>0.93463890000000005</v>
      </c>
      <c r="Y2810">
        <v>-0.57832950000000005</v>
      </c>
      <c r="Z2810">
        <v>1.8857349999999998E-2</v>
      </c>
      <c r="AA2810">
        <v>0.81558529999999996</v>
      </c>
      <c r="AB2810">
        <v>25</v>
      </c>
      <c r="AC2810">
        <v>21.3521999999999</v>
      </c>
      <c r="AD2810">
        <v>-1.1166791766099999</v>
      </c>
      <c r="AE2810">
        <v>-26.924900000000001</v>
      </c>
      <c r="AF2810">
        <v>-19.963671269493499</v>
      </c>
      <c r="AG2810">
        <v>-1.1166791766099999</v>
      </c>
      <c r="AH2810">
        <v>27.9254098324121</v>
      </c>
      <c r="AI2810">
        <v>91.863184479660902</v>
      </c>
      <c r="AJ2810">
        <v>125.560699176952</v>
      </c>
      <c r="AK2810">
        <v>34.345649757255302</v>
      </c>
      <c r="AL2810">
        <v>96.791618138854602</v>
      </c>
      <c r="AM2810">
        <v>109.738500393295</v>
      </c>
      <c r="AN2810">
        <v>0.99999995730565405</v>
      </c>
    </row>
    <row r="2811" spans="1:40" x14ac:dyDescent="0.25">
      <c r="A2811" t="str">
        <f>"20190305135247301"</f>
        <v>20190305135247301</v>
      </c>
      <c r="B2811" t="str">
        <f>"1551765167291955"</f>
        <v>1551765167291955</v>
      </c>
      <c r="C2811" t="s">
        <v>40</v>
      </c>
      <c r="D2811">
        <v>4.8169440000000003</v>
      </c>
      <c r="E2811">
        <v>0.39197670000000001</v>
      </c>
      <c r="F2811" t="s">
        <v>56</v>
      </c>
      <c r="G2811">
        <v>-466.1893</v>
      </c>
      <c r="H2811">
        <v>4.4326600000000001E-2</v>
      </c>
      <c r="I2811">
        <v>209.6163</v>
      </c>
      <c r="J2811">
        <v>-489.25819999999999</v>
      </c>
      <c r="K2811">
        <v>1.1169370000000001</v>
      </c>
      <c r="L2811">
        <v>238.08320000000001</v>
      </c>
      <c r="M2811">
        <v>5.8412209999999999E-2</v>
      </c>
      <c r="N2811">
        <v>-1.4215520000000001E-2</v>
      </c>
      <c r="O2811">
        <v>-0.99819150000000001</v>
      </c>
      <c r="P2811">
        <v>0.39226080000000002</v>
      </c>
      <c r="Q2811">
        <v>-0.1251679</v>
      </c>
      <c r="R2811">
        <v>-0.91129850000000001</v>
      </c>
      <c r="S2811">
        <v>1.967865</v>
      </c>
      <c r="T2811">
        <v>-9.1405029999999998E-2</v>
      </c>
      <c r="U2811">
        <v>-2.4413909999999999</v>
      </c>
      <c r="V2811">
        <v>-0.33615289999999998</v>
      </c>
      <c r="W2811">
        <v>-0.1183477</v>
      </c>
      <c r="X2811">
        <v>0.93434209999999995</v>
      </c>
      <c r="Y2811">
        <v>-0.58077159999999906</v>
      </c>
      <c r="Z2811">
        <v>1.5711349999999999E-2</v>
      </c>
      <c r="AA2811">
        <v>0.81391499999999894</v>
      </c>
      <c r="AB2811">
        <v>25</v>
      </c>
      <c r="AC2811">
        <v>23.0688999999999</v>
      </c>
      <c r="AD2811">
        <v>-1.0726103999999901</v>
      </c>
      <c r="AE2811">
        <v>-28.466899999999999</v>
      </c>
      <c r="AF2811">
        <v>-21.348226299030902</v>
      </c>
      <c r="AG2811">
        <v>-1.0726103999999901</v>
      </c>
      <c r="AH2811">
        <v>29.7404395553623</v>
      </c>
      <c r="AI2811">
        <v>91.678220578643206</v>
      </c>
      <c r="AJ2811">
        <v>125.671470160222</v>
      </c>
      <c r="AK2811">
        <v>36.625005175849203</v>
      </c>
      <c r="AL2811">
        <v>96.796752859118897</v>
      </c>
      <c r="AM2811">
        <v>109.78746146874199</v>
      </c>
      <c r="AN2811">
        <v>1.0000000550530499</v>
      </c>
    </row>
    <row r="2812" spans="1:40" x14ac:dyDescent="0.25">
      <c r="A2812" t="str">
        <f>"20190305135247318"</f>
        <v>20190305135247318</v>
      </c>
      <c r="B2812" t="str">
        <f>"1551765167312451"</f>
        <v>1551765167312451</v>
      </c>
      <c r="C2812" t="s">
        <v>40</v>
      </c>
      <c r="D2812">
        <v>5.0336069999999999</v>
      </c>
      <c r="E2812">
        <v>0.39227200000000001</v>
      </c>
      <c r="F2812" t="s">
        <v>56</v>
      </c>
      <c r="G2812">
        <v>-465.43560000000002</v>
      </c>
      <c r="H2812">
        <v>8.0001569999999994E-2</v>
      </c>
      <c r="I2812">
        <v>209.09360000000001</v>
      </c>
      <c r="J2812">
        <v>-489.23950000000002</v>
      </c>
      <c r="K2812">
        <v>1.117156</v>
      </c>
      <c r="L2812">
        <v>237.91739999999999</v>
      </c>
      <c r="M2812">
        <v>6.6814070000000003E-2</v>
      </c>
      <c r="N2812">
        <v>-1.427726E-2</v>
      </c>
      <c r="O2812">
        <v>-0.99766330000000003</v>
      </c>
      <c r="P2812">
        <v>0.40161019999999997</v>
      </c>
      <c r="Q2812">
        <v>-0.1257673</v>
      </c>
      <c r="R2812">
        <v>-0.90713379999999999</v>
      </c>
      <c r="S2812">
        <v>1.99115</v>
      </c>
      <c r="T2812">
        <v>-8.6669449999999995E-2</v>
      </c>
      <c r="U2812">
        <v>-2.423019</v>
      </c>
      <c r="V2812">
        <v>-0.33781830000000002</v>
      </c>
      <c r="W2812">
        <v>-0.119120699999999</v>
      </c>
      <c r="X2812">
        <v>0.93364290000000005</v>
      </c>
      <c r="Y2812">
        <v>-0.58163390000000004</v>
      </c>
      <c r="Z2812">
        <v>1.4219620000000001E-2</v>
      </c>
      <c r="AA2812">
        <v>0.8133264</v>
      </c>
      <c r="AB2812">
        <v>25</v>
      </c>
      <c r="AC2812">
        <v>23.803899999999999</v>
      </c>
      <c r="AD2812">
        <v>-1.03715443</v>
      </c>
      <c r="AE2812">
        <v>-28.823799999999899</v>
      </c>
      <c r="AF2812">
        <v>-21.807879495702899</v>
      </c>
      <c r="AG2812">
        <v>-1.03715443</v>
      </c>
      <c r="AH2812">
        <v>30.326631801833798</v>
      </c>
      <c r="AI2812">
        <v>91.590459187970296</v>
      </c>
      <c r="AJ2812">
        <v>125.719910093466</v>
      </c>
      <c r="AK2812">
        <v>37.367952765100199</v>
      </c>
      <c r="AL2812">
        <v>96.841358374102796</v>
      </c>
      <c r="AM2812">
        <v>109.891550948984</v>
      </c>
      <c r="AN2812">
        <v>1.00000000485189</v>
      </c>
    </row>
    <row r="2813" spans="1:40" x14ac:dyDescent="0.25">
      <c r="A2813" t="str">
        <f>"20190305135247340"</f>
        <v>20190305135247340</v>
      </c>
      <c r="B2813" t="str">
        <f>"1551765167331970"</f>
        <v>1551765167331970</v>
      </c>
      <c r="C2813" t="s">
        <v>40</v>
      </c>
      <c r="D2813">
        <v>4.8150519999999997</v>
      </c>
      <c r="E2813">
        <v>0.3923336</v>
      </c>
      <c r="F2813" t="s">
        <v>56</v>
      </c>
      <c r="G2813">
        <v>-464.22460000000001</v>
      </c>
      <c r="H2813">
        <v>8.0000500000000002E-2</v>
      </c>
      <c r="I2813">
        <v>208.05959999999999</v>
      </c>
      <c r="J2813">
        <v>-489.20929999999998</v>
      </c>
      <c r="K2813">
        <v>1.1174729999999999</v>
      </c>
      <c r="L2813">
        <v>237.67429999999999</v>
      </c>
      <c r="M2813">
        <v>7.9526040000000006E-2</v>
      </c>
      <c r="N2813">
        <v>-1.4366149999999999E-2</v>
      </c>
      <c r="O2813">
        <v>-0.99672939999999999</v>
      </c>
      <c r="P2813">
        <v>0.4167111</v>
      </c>
      <c r="Q2813">
        <v>-0.12547510000000001</v>
      </c>
      <c r="R2813">
        <v>-0.90033770000000002</v>
      </c>
      <c r="S2813">
        <v>2.014008</v>
      </c>
      <c r="T2813">
        <v>-8.3503720000000003E-2</v>
      </c>
      <c r="U2813">
        <v>-2.403915</v>
      </c>
      <c r="V2813">
        <v>-0.34141870000000002</v>
      </c>
      <c r="W2813">
        <v>-0.11910080000000001</v>
      </c>
      <c r="X2813">
        <v>0.93233480000000002</v>
      </c>
      <c r="Y2813">
        <v>-0.57899990000000001</v>
      </c>
      <c r="Z2813">
        <v>1.3255629999999999E-2</v>
      </c>
      <c r="AA2813">
        <v>0.81521980000000005</v>
      </c>
      <c r="AB2813">
        <v>25</v>
      </c>
      <c r="AC2813">
        <v>24.984699999999901</v>
      </c>
      <c r="AD2813">
        <v>-1.0374725</v>
      </c>
      <c r="AE2813">
        <v>-29.614699999999999</v>
      </c>
      <c r="AF2813">
        <v>-22.534013262696099</v>
      </c>
      <c r="AG2813">
        <v>-1.0374725</v>
      </c>
      <c r="AH2813">
        <v>31.485449829574701</v>
      </c>
      <c r="AI2813">
        <v>91.534891920162593</v>
      </c>
      <c r="AJ2813">
        <v>125.591150400896</v>
      </c>
      <c r="AK2813">
        <v>38.7323076240273</v>
      </c>
      <c r="AL2813">
        <v>96.840210360453696</v>
      </c>
      <c r="AM2813">
        <v>110.112605766455</v>
      </c>
      <c r="AN2813">
        <v>0.999999954280683</v>
      </c>
    </row>
    <row r="2814" spans="1:40" x14ac:dyDescent="0.25">
      <c r="A2814" t="str">
        <f>"20190305135247370"</f>
        <v>20190305135247370</v>
      </c>
      <c r="B2814" t="str">
        <f>"1551765167362734"</f>
        <v>1551765167362734</v>
      </c>
      <c r="C2814" t="s">
        <v>40</v>
      </c>
      <c r="D2814">
        <v>4.9601329999999999</v>
      </c>
      <c r="E2814">
        <v>0.37100759999999999</v>
      </c>
      <c r="F2814" t="s">
        <v>56</v>
      </c>
      <c r="G2814">
        <v>-461.17989999999998</v>
      </c>
      <c r="H2814">
        <v>8.0001530000000001E-2</v>
      </c>
      <c r="I2814">
        <v>205.3192</v>
      </c>
      <c r="J2814">
        <v>-489.16660000000002</v>
      </c>
      <c r="K2814">
        <v>1.1178399999999999</v>
      </c>
      <c r="L2814">
        <v>237.37219999999999</v>
      </c>
      <c r="M2814">
        <v>9.6053700000000006E-2</v>
      </c>
      <c r="N2814">
        <v>-1.447697E-2</v>
      </c>
      <c r="O2814">
        <v>-0.99527100000000002</v>
      </c>
      <c r="P2814">
        <v>0.4356951</v>
      </c>
      <c r="Q2814">
        <v>-0.12538469999999999</v>
      </c>
      <c r="R2814">
        <v>-0.89131859999999996</v>
      </c>
      <c r="S2814">
        <v>2.0538940000000001</v>
      </c>
      <c r="T2814">
        <v>-7.6022030000000004E-2</v>
      </c>
      <c r="U2814">
        <v>-2.3708649999999998</v>
      </c>
      <c r="V2814">
        <v>-0.34558990000000001</v>
      </c>
      <c r="W2814">
        <v>-0.1193212</v>
      </c>
      <c r="X2814">
        <v>0.9307685</v>
      </c>
      <c r="Y2814">
        <v>-0.57896049999999999</v>
      </c>
      <c r="Z2814">
        <v>1.08951E-2</v>
      </c>
      <c r="AA2814">
        <v>0.81528279999999997</v>
      </c>
      <c r="AB2814">
        <v>25</v>
      </c>
      <c r="AC2814">
        <v>27.986699999999999</v>
      </c>
      <c r="AD2814">
        <v>-1.0378384699999901</v>
      </c>
      <c r="AE2814">
        <v>-32.052999999999997</v>
      </c>
      <c r="AF2814">
        <v>-24.763404000726201</v>
      </c>
      <c r="AG2814">
        <v>-1.0378384699999901</v>
      </c>
      <c r="AH2814">
        <v>34.572701825507998</v>
      </c>
      <c r="AI2814">
        <v>91.398000082584204</v>
      </c>
      <c r="AJ2814">
        <v>125.61290545142499</v>
      </c>
      <c r="AK2814">
        <v>42.539099636786901</v>
      </c>
      <c r="AL2814">
        <v>96.852928980455602</v>
      </c>
      <c r="AM2814">
        <v>110.369721003485</v>
      </c>
      <c r="AN2814">
        <v>0.999999964171849</v>
      </c>
    </row>
    <row r="2815" spans="1:40" x14ac:dyDescent="0.25">
      <c r="A2815" t="str">
        <f>"20190305135247387"</f>
        <v>20190305135247387</v>
      </c>
      <c r="B2815" t="str">
        <f>"1551765167382254"</f>
        <v>1551765167382254</v>
      </c>
      <c r="C2815" t="s">
        <v>40</v>
      </c>
      <c r="D2815">
        <v>4.9183690000000002</v>
      </c>
      <c r="E2815">
        <v>0.36723030000000001</v>
      </c>
      <c r="F2815" t="s">
        <v>55</v>
      </c>
      <c r="G2815">
        <v>-478.28070000000002</v>
      </c>
      <c r="H2815">
        <v>8.0000710000000003E-2</v>
      </c>
      <c r="I2815">
        <v>226.5196</v>
      </c>
      <c r="J2815">
        <v>-489.13749999999999</v>
      </c>
      <c r="K2815">
        <v>1.1180559999999999</v>
      </c>
      <c r="L2815">
        <v>237.18700000000001</v>
      </c>
      <c r="M2815">
        <v>0.1065393</v>
      </c>
      <c r="N2815">
        <v>-1.4546440000000001E-2</v>
      </c>
      <c r="O2815">
        <v>-0.99420209999999998</v>
      </c>
      <c r="P2815">
        <v>0.4496038</v>
      </c>
      <c r="Q2815">
        <v>-0.1242457</v>
      </c>
      <c r="R2815">
        <v>-0.88454489999999997</v>
      </c>
      <c r="S2815">
        <v>2.2450869999999998</v>
      </c>
      <c r="T2815">
        <v>-0.21404329999999999</v>
      </c>
      <c r="U2815">
        <v>-2.238235</v>
      </c>
      <c r="V2815">
        <v>-0.35029450000000001</v>
      </c>
      <c r="W2815">
        <v>-0.1184164</v>
      </c>
      <c r="X2815">
        <v>0.9291239</v>
      </c>
      <c r="Y2815">
        <v>-0.62753169999999903</v>
      </c>
      <c r="Z2815">
        <v>5.5631439999999997E-2</v>
      </c>
      <c r="AA2815">
        <v>0.77660099999999999</v>
      </c>
      <c r="AB2815">
        <v>25</v>
      </c>
      <c r="AC2815">
        <v>10.8567999999999</v>
      </c>
      <c r="AD2815">
        <v>-1.03805529</v>
      </c>
      <c r="AE2815">
        <v>-10.667400000000001</v>
      </c>
      <c r="AF2815">
        <v>-9.6136608145943399</v>
      </c>
      <c r="AG2815">
        <v>-1.03805529</v>
      </c>
      <c r="AH2815">
        <v>11.7090085367805</v>
      </c>
      <c r="AI2815">
        <v>93.9196872655465</v>
      </c>
      <c r="AJ2815">
        <v>129.38764636459601</v>
      </c>
      <c r="AK2815">
        <v>15.185549511214999</v>
      </c>
      <c r="AL2815">
        <v>96.800717664722896</v>
      </c>
      <c r="AM2815">
        <v>110.65724146382099</v>
      </c>
      <c r="AN2815">
        <v>0.999999951035208</v>
      </c>
    </row>
    <row r="2816" spans="1:40" x14ac:dyDescent="0.25">
      <c r="A2816" t="str">
        <f>"20190305135247408"</f>
        <v>20190305135247408</v>
      </c>
      <c r="B2816" t="str">
        <f>"1551765167402750"</f>
        <v>1551765167402750</v>
      </c>
      <c r="C2816" t="s">
        <v>40</v>
      </c>
      <c r="D2816">
        <v>4.9248050000000001</v>
      </c>
      <c r="E2816">
        <v>0.36685620000000002</v>
      </c>
      <c r="F2816" t="s">
        <v>55</v>
      </c>
      <c r="G2816">
        <v>-477.28910000000002</v>
      </c>
      <c r="H2816">
        <v>8.0000539999999995E-2</v>
      </c>
      <c r="I2816">
        <v>225.9375</v>
      </c>
      <c r="J2816">
        <v>-489.0992</v>
      </c>
      <c r="K2816">
        <v>1.118285</v>
      </c>
      <c r="L2816">
        <v>236.96350000000001</v>
      </c>
      <c r="M2816">
        <v>0.1195358</v>
      </c>
      <c r="N2816">
        <v>-1.4629029999999999E-2</v>
      </c>
      <c r="O2816">
        <v>-0.9927222</v>
      </c>
      <c r="P2816">
        <v>0.46516980000000002</v>
      </c>
      <c r="Q2816">
        <v>-0.121544899999999</v>
      </c>
      <c r="R2816">
        <v>-0.87683750000000005</v>
      </c>
      <c r="S2816">
        <v>2.3070979999999999</v>
      </c>
      <c r="T2816">
        <v>-0.20212830000000001</v>
      </c>
      <c r="U2816">
        <v>-2.1904750000000002</v>
      </c>
      <c r="V2816">
        <v>-0.35450710000000002</v>
      </c>
      <c r="W2816">
        <v>-0.11593349999999999</v>
      </c>
      <c r="X2816">
        <v>0.92783839999999995</v>
      </c>
      <c r="Y2816">
        <v>-0.63642219999999905</v>
      </c>
      <c r="Z2816">
        <v>5.1812289999999997E-2</v>
      </c>
      <c r="AA2816">
        <v>0.76959880000000003</v>
      </c>
      <c r="AB2816">
        <v>24</v>
      </c>
      <c r="AC2816">
        <v>11.810099999999901</v>
      </c>
      <c r="AD2816">
        <v>-1.0382844600000001</v>
      </c>
      <c r="AE2816">
        <v>-11.026</v>
      </c>
      <c r="AF2816">
        <v>-10.364458473027099</v>
      </c>
      <c r="AG2816">
        <v>-1.0382844600000001</v>
      </c>
      <c r="AH2816">
        <v>12.307979188324801</v>
      </c>
      <c r="AI2816">
        <v>93.692021950462603</v>
      </c>
      <c r="AJ2816">
        <v>130.10048379083301</v>
      </c>
      <c r="AK2816">
        <v>16.124093331385101</v>
      </c>
      <c r="AL2816">
        <v>96.657470960841096</v>
      </c>
      <c r="AM2816">
        <v>110.910781538941</v>
      </c>
      <c r="AN2816">
        <v>0.99999997844360899</v>
      </c>
    </row>
    <row r="2817" spans="1:40" x14ac:dyDescent="0.25">
      <c r="A2817" t="str">
        <f>"20190305135247431"</f>
        <v>20190305135247431</v>
      </c>
      <c r="B2817" t="str">
        <f>"1551765167422270"</f>
        <v>1551765167422270</v>
      </c>
      <c r="C2817" t="s">
        <v>40</v>
      </c>
      <c r="D2817">
        <v>4.8910099999999996</v>
      </c>
      <c r="E2817">
        <v>0.36729270000000003</v>
      </c>
      <c r="F2817" t="s">
        <v>55</v>
      </c>
      <c r="G2817">
        <v>-475.93639999999999</v>
      </c>
      <c r="H2817">
        <v>8.000024E-2</v>
      </c>
      <c r="I2817">
        <v>224.91849999999999</v>
      </c>
      <c r="J2817">
        <v>-489.05360000000002</v>
      </c>
      <c r="K2817">
        <v>1.1184989999999999</v>
      </c>
      <c r="L2817">
        <v>236.72040000000001</v>
      </c>
      <c r="M2817">
        <v>0.13403899999999999</v>
      </c>
      <c r="N2817">
        <v>-1.4712390000000001E-2</v>
      </c>
      <c r="O2817">
        <v>-0.99086700000000005</v>
      </c>
      <c r="P2817">
        <v>0.4828402</v>
      </c>
      <c r="Q2817">
        <v>-0.11799900000000001</v>
      </c>
      <c r="R2817">
        <v>-0.8677222</v>
      </c>
      <c r="S2817">
        <v>2.34903</v>
      </c>
      <c r="T2817">
        <v>-0.1852916</v>
      </c>
      <c r="U2817">
        <v>-2.1495359999999999</v>
      </c>
      <c r="V2817">
        <v>-0.35968329999999998</v>
      </c>
      <c r="W2817">
        <v>-0.112625</v>
      </c>
      <c r="X2817">
        <v>0.92625239999999998</v>
      </c>
      <c r="Y2817">
        <v>-0.63951380000000002</v>
      </c>
      <c r="Z2817">
        <v>4.6545709999999997E-2</v>
      </c>
      <c r="AA2817">
        <v>0.76736930000000003</v>
      </c>
      <c r="AB2817">
        <v>24</v>
      </c>
      <c r="AC2817">
        <v>13.1172</v>
      </c>
      <c r="AD2817">
        <v>-1.03849876</v>
      </c>
      <c r="AE2817">
        <v>-11.8019</v>
      </c>
      <c r="AF2817">
        <v>-11.377309388183299</v>
      </c>
      <c r="AG2817">
        <v>-1.03849876</v>
      </c>
      <c r="AH2817">
        <v>13.407341532865701</v>
      </c>
      <c r="AI2817">
        <v>93.379906726705499</v>
      </c>
      <c r="AJ2817">
        <v>130.31753688888401</v>
      </c>
      <c r="AK2817">
        <v>17.6147226934707</v>
      </c>
      <c r="AL2817">
        <v>96.4666576375745</v>
      </c>
      <c r="AM2817">
        <v>111.222239076929</v>
      </c>
      <c r="AN2817">
        <v>0.99999998771482401</v>
      </c>
    </row>
    <row r="2818" spans="1:40" x14ac:dyDescent="0.25">
      <c r="A2818" t="str">
        <f>"20190305135247464"</f>
        <v>20190305135247464</v>
      </c>
      <c r="B2818" t="str">
        <f>"1551765167452529"</f>
        <v>1551765167452529</v>
      </c>
      <c r="C2818" t="s">
        <v>40</v>
      </c>
      <c r="D2818">
        <v>4.9423059999999897</v>
      </c>
      <c r="E2818">
        <v>0.36792780000000003</v>
      </c>
      <c r="F2818" t="s">
        <v>55</v>
      </c>
      <c r="G2818">
        <v>-474.66039999999998</v>
      </c>
      <c r="H2818">
        <v>8.0000109999999999E-2</v>
      </c>
      <c r="I2818">
        <v>224.0376</v>
      </c>
      <c r="J2818">
        <v>-488.98270000000002</v>
      </c>
      <c r="K2818">
        <v>1.1187389999999999</v>
      </c>
      <c r="L2818">
        <v>236.37710000000001</v>
      </c>
      <c r="M2818">
        <v>0.1550753</v>
      </c>
      <c r="N2818">
        <v>-1.482312E-2</v>
      </c>
      <c r="O2818">
        <v>-0.98779150000000004</v>
      </c>
      <c r="P2818">
        <v>0.5030192</v>
      </c>
      <c r="Q2818">
        <v>-0.116213</v>
      </c>
      <c r="R2818">
        <v>-0.85642669999999999</v>
      </c>
      <c r="S2818">
        <v>2.3886409999999998</v>
      </c>
      <c r="T2818">
        <v>-0.1723452</v>
      </c>
      <c r="U2818">
        <v>-2.1047820000000002</v>
      </c>
      <c r="V2818">
        <v>-0.36160560000000003</v>
      </c>
      <c r="W2818">
        <v>-0.11100649999999999</v>
      </c>
      <c r="X2818">
        <v>0.92569920000000006</v>
      </c>
      <c r="Y2818">
        <v>-0.63773100000000005</v>
      </c>
      <c r="Z2818">
        <v>4.2628239999999998E-2</v>
      </c>
      <c r="AA2818">
        <v>0.769078699999999</v>
      </c>
      <c r="AB2818">
        <v>24</v>
      </c>
      <c r="AC2818">
        <v>14.3223</v>
      </c>
      <c r="AD2818">
        <v>-1.0387388900000001</v>
      </c>
      <c r="AE2818">
        <v>-12.339499999999999</v>
      </c>
      <c r="AF2818">
        <v>-12.1984106026128</v>
      </c>
      <c r="AG2818">
        <v>-1.0387388900000001</v>
      </c>
      <c r="AH2818">
        <v>14.3680928653301</v>
      </c>
      <c r="AI2818">
        <v>93.154473999301899</v>
      </c>
      <c r="AJ2818">
        <v>130.331024709556</v>
      </c>
      <c r="AK2818">
        <v>18.876501060797398</v>
      </c>
      <c r="AL2818">
        <v>96.373338926018903</v>
      </c>
      <c r="AM2818">
        <v>111.337092888803</v>
      </c>
      <c r="AN2818">
        <v>1.00000003093712</v>
      </c>
    </row>
    <row r="2819" spans="1:40" x14ac:dyDescent="0.25">
      <c r="A2819" t="str">
        <f>"20190305135247486"</f>
        <v>20190305135247486</v>
      </c>
      <c r="B2819" t="str">
        <f>"1551765167482782"</f>
        <v>1551765167482782</v>
      </c>
      <c r="C2819" t="s">
        <v>40</v>
      </c>
      <c r="D2819">
        <v>4.9054900000000004</v>
      </c>
      <c r="E2819">
        <v>0.36892740000000002</v>
      </c>
      <c r="F2819" t="s">
        <v>55</v>
      </c>
      <c r="G2819">
        <v>-474.4538</v>
      </c>
      <c r="H2819">
        <v>8.0000050000000003E-2</v>
      </c>
      <c r="I2819">
        <v>224.12729999999999</v>
      </c>
      <c r="J2819">
        <v>-488.92970000000003</v>
      </c>
      <c r="K2819">
        <v>1.1188720000000001</v>
      </c>
      <c r="L2819">
        <v>236.14439999999999</v>
      </c>
      <c r="M2819">
        <v>0.16973940000000001</v>
      </c>
      <c r="N2819">
        <v>-1.4898440000000001E-2</v>
      </c>
      <c r="O2819">
        <v>-0.98537640000000004</v>
      </c>
      <c r="P2819">
        <v>0.51536340000000003</v>
      </c>
      <c r="Q2819">
        <v>-0.1173178</v>
      </c>
      <c r="R2819">
        <v>-0.84890370000000004</v>
      </c>
      <c r="S2819">
        <v>2.4322810000000001</v>
      </c>
      <c r="T2819">
        <v>-0.17389579999999999</v>
      </c>
      <c r="U2819">
        <v>-2.050735</v>
      </c>
      <c r="V2819">
        <v>-0.36120629999999998</v>
      </c>
      <c r="W2819">
        <v>-0.112170699999999</v>
      </c>
      <c r="X2819">
        <v>0.9257147</v>
      </c>
      <c r="Y2819">
        <v>-0.64302380000000003</v>
      </c>
      <c r="Z2819">
        <v>4.3422339999999997E-2</v>
      </c>
      <c r="AA2819">
        <v>0.76461420000000002</v>
      </c>
      <c r="AB2819">
        <v>24</v>
      </c>
      <c r="AC2819">
        <v>14.475899999999999</v>
      </c>
      <c r="AD2819">
        <v>-1.0388719500000001</v>
      </c>
      <c r="AE2819">
        <v>-12.017099999999999</v>
      </c>
      <c r="AF2819">
        <v>-12.1886273893649</v>
      </c>
      <c r="AG2819">
        <v>-1.0388719500000001</v>
      </c>
      <c r="AH2819">
        <v>14.2566145316943</v>
      </c>
      <c r="AI2819">
        <v>93.1701862470576</v>
      </c>
      <c r="AJ2819">
        <v>130.52863612207199</v>
      </c>
      <c r="AK2819">
        <v>18.7854451762685</v>
      </c>
      <c r="AL2819">
        <v>96.440462211706802</v>
      </c>
      <c r="AM2819">
        <v>111.315322321344</v>
      </c>
      <c r="AN2819">
        <v>0.99999998144713398</v>
      </c>
    </row>
    <row r="2820" spans="1:40" x14ac:dyDescent="0.25">
      <c r="A2820" t="str">
        <f>"20190305135247509"</f>
        <v>20190305135247509</v>
      </c>
      <c r="B2820" t="str">
        <f>"1551765167502302"</f>
        <v>1551765167502302</v>
      </c>
      <c r="C2820" t="s">
        <v>40</v>
      </c>
      <c r="D2820">
        <v>4.8691779999999998</v>
      </c>
      <c r="E2820">
        <v>0.36955009999999999</v>
      </c>
      <c r="F2820" t="s">
        <v>55</v>
      </c>
      <c r="G2820">
        <v>-475.36079999999998</v>
      </c>
      <c r="H2820">
        <v>8.0000219999999997E-2</v>
      </c>
      <c r="I2820">
        <v>224.9812</v>
      </c>
      <c r="J2820">
        <v>-488.87459999999999</v>
      </c>
      <c r="K2820">
        <v>1.119016</v>
      </c>
      <c r="L2820">
        <v>235.91990000000001</v>
      </c>
      <c r="M2820">
        <v>0.1842027</v>
      </c>
      <c r="N2820">
        <v>-1.49727E-2</v>
      </c>
      <c r="O2820">
        <v>-0.98277440000000005</v>
      </c>
      <c r="P2820">
        <v>0.52603759999999999</v>
      </c>
      <c r="Q2820">
        <v>-0.1204345</v>
      </c>
      <c r="R2820">
        <v>-0.8418911</v>
      </c>
      <c r="S2820">
        <v>2.4534910000000001</v>
      </c>
      <c r="T2820">
        <v>-0.18784690000000001</v>
      </c>
      <c r="U2820">
        <v>-2.0185089999999999</v>
      </c>
      <c r="V2820">
        <v>-0.35925449999999998</v>
      </c>
      <c r="W2820">
        <v>-0.1153035</v>
      </c>
      <c r="X2820">
        <v>0.92608919999999995</v>
      </c>
      <c r="Y2820">
        <v>-0.6408085</v>
      </c>
      <c r="Z2820">
        <v>4.8266169999999997E-2</v>
      </c>
      <c r="AA2820">
        <v>0.76618189999999997</v>
      </c>
      <c r="AB2820">
        <v>24</v>
      </c>
      <c r="AC2820">
        <v>13.5138</v>
      </c>
      <c r="AD2820">
        <v>-1.0390157799999999</v>
      </c>
      <c r="AE2820">
        <v>-10.938700000000001</v>
      </c>
      <c r="AF2820">
        <v>-11.227242833184301</v>
      </c>
      <c r="AG2820">
        <v>-1.0390157799999999</v>
      </c>
      <c r="AH2820">
        <v>13.193914150715401</v>
      </c>
      <c r="AI2820">
        <v>93.432178882821702</v>
      </c>
      <c r="AJ2820">
        <v>130.39582350417101</v>
      </c>
      <c r="AK2820">
        <v>17.3553999101958</v>
      </c>
      <c r="AL2820">
        <v>96.621131102534505</v>
      </c>
      <c r="AM2820">
        <v>111.202590559944</v>
      </c>
      <c r="AN2820">
        <v>0.99999994961956795</v>
      </c>
    </row>
    <row r="2821" spans="1:40" x14ac:dyDescent="0.25">
      <c r="A2821" t="str">
        <f>"20190305135247533"</f>
        <v>20190305135247533</v>
      </c>
      <c r="B2821" t="str">
        <f>"1551765167522798"</f>
        <v>1551765167522798</v>
      </c>
      <c r="C2821" t="s">
        <v>40</v>
      </c>
      <c r="D2821">
        <v>4.8788169999999997</v>
      </c>
      <c r="E2821">
        <v>0.37030689999999999</v>
      </c>
      <c r="F2821" t="s">
        <v>55</v>
      </c>
      <c r="G2821">
        <v>-476.27440000000001</v>
      </c>
      <c r="H2821">
        <v>8.0000479999999999E-2</v>
      </c>
      <c r="I2821">
        <v>225.79769999999999</v>
      </c>
      <c r="J2821">
        <v>-488.80889999999999</v>
      </c>
      <c r="K2821">
        <v>1.1191739999999999</v>
      </c>
      <c r="L2821">
        <v>235.6703</v>
      </c>
      <c r="M2821">
        <v>0.20058690000000001</v>
      </c>
      <c r="N2821">
        <v>-1.5054680000000001E-2</v>
      </c>
      <c r="O2821">
        <v>-0.9795604</v>
      </c>
      <c r="P2821">
        <v>0.53813549999999999</v>
      </c>
      <c r="Q2821">
        <v>-0.1206016</v>
      </c>
      <c r="R2821">
        <v>-0.83418599999999998</v>
      </c>
      <c r="S2821">
        <v>2.47464</v>
      </c>
      <c r="T2821">
        <v>-0.20405999999999999</v>
      </c>
      <c r="U2821">
        <v>-1.9879610000000001</v>
      </c>
      <c r="V2821">
        <v>-0.35711989999999999</v>
      </c>
      <c r="W2821">
        <v>-0.11547159999999999</v>
      </c>
      <c r="X2821">
        <v>0.92689359999999998</v>
      </c>
      <c r="Y2821">
        <v>-0.63669229999999999</v>
      </c>
      <c r="Z2821">
        <v>5.384945E-2</v>
      </c>
      <c r="AA2821">
        <v>0.76923540000000001</v>
      </c>
      <c r="AB2821">
        <v>24</v>
      </c>
      <c r="AC2821">
        <v>12.5344999999999</v>
      </c>
      <c r="AD2821">
        <v>-1.0391735200000001</v>
      </c>
      <c r="AE2821">
        <v>-9.8726000000000003</v>
      </c>
      <c r="AF2821">
        <v>-10.2556488632948</v>
      </c>
      <c r="AG2821">
        <v>-1.0391735200000001</v>
      </c>
      <c r="AH2821">
        <v>12.134969664486</v>
      </c>
      <c r="AI2821">
        <v>93.742114529516897</v>
      </c>
      <c r="AJ2821">
        <v>130.20221568116199</v>
      </c>
      <c r="AK2821">
        <v>15.922176483441699</v>
      </c>
      <c r="AL2821">
        <v>96.630826756378596</v>
      </c>
      <c r="AM2821">
        <v>111.071017036488</v>
      </c>
      <c r="AN2821">
        <v>1.0000000295517599</v>
      </c>
    </row>
    <row r="2822" spans="1:40" x14ac:dyDescent="0.25">
      <c r="A2822" t="str">
        <f>"20190305135247555"</f>
        <v>20190305135247555</v>
      </c>
      <c r="B2822" t="str">
        <f>"1551765167552077"</f>
        <v>1551765167552077</v>
      </c>
      <c r="C2822" t="s">
        <v>40</v>
      </c>
      <c r="D2822">
        <v>4.9231259999999999</v>
      </c>
      <c r="E2822">
        <v>0.37076369999999997</v>
      </c>
      <c r="F2822" t="s">
        <v>55</v>
      </c>
      <c r="G2822">
        <v>-476.43270000000001</v>
      </c>
      <c r="H2822">
        <v>8.0000509999999997E-2</v>
      </c>
      <c r="I2822">
        <v>225.9871</v>
      </c>
      <c r="J2822">
        <v>-488.74579999999997</v>
      </c>
      <c r="K2822">
        <v>1.11931</v>
      </c>
      <c r="L2822">
        <v>235.44589999999999</v>
      </c>
      <c r="M2822">
        <v>0.2155773</v>
      </c>
      <c r="N2822">
        <v>-1.512432E-2</v>
      </c>
      <c r="O2822">
        <v>-0.97636990000000001</v>
      </c>
      <c r="P2822">
        <v>0.54818049999999996</v>
      </c>
      <c r="Q2822">
        <v>-0.1189664</v>
      </c>
      <c r="R2822">
        <v>-0.82785609999999998</v>
      </c>
      <c r="S2822">
        <v>2.4980470000000001</v>
      </c>
      <c r="T2822">
        <v>-0.20974989999999999</v>
      </c>
      <c r="U2822">
        <v>-1.954483</v>
      </c>
      <c r="V2822">
        <v>-0.35407670000000002</v>
      </c>
      <c r="W2822">
        <v>-0.1137924</v>
      </c>
      <c r="X2822">
        <v>0.92826770000000003</v>
      </c>
      <c r="Y2822">
        <v>-0.63467259999999903</v>
      </c>
      <c r="Z2822">
        <v>5.5965620000000001E-2</v>
      </c>
      <c r="AA2822">
        <v>0.77075199999999999</v>
      </c>
      <c r="AB2822">
        <v>24</v>
      </c>
      <c r="AC2822">
        <v>12.313099999999899</v>
      </c>
      <c r="AD2822">
        <v>-1.0393094899999999</v>
      </c>
      <c r="AE2822">
        <v>-9.4587999999999894</v>
      </c>
      <c r="AF2822">
        <v>-9.9396425995346895</v>
      </c>
      <c r="AG2822">
        <v>-1.0393094899999999</v>
      </c>
      <c r="AH2822">
        <v>11.838029328241699</v>
      </c>
      <c r="AI2822">
        <v>93.846573900879406</v>
      </c>
      <c r="AJ2822">
        <v>130.01804921122101</v>
      </c>
      <c r="AK2822">
        <v>15.492436786987399</v>
      </c>
      <c r="AL2822">
        <v>96.533977626982505</v>
      </c>
      <c r="AM2822">
        <v>110.878758573276</v>
      </c>
      <c r="AN2822">
        <v>0.99999997132196905</v>
      </c>
    </row>
    <row r="2823" spans="1:40" x14ac:dyDescent="0.25">
      <c r="A2823" t="str">
        <f>"20190305135247599"</f>
        <v>20190305135247599</v>
      </c>
      <c r="B2823" t="str">
        <f>"1551765167592094"</f>
        <v>1551765167592094</v>
      </c>
      <c r="C2823" t="s">
        <v>40</v>
      </c>
      <c r="D2823">
        <v>4.9850130000000004</v>
      </c>
      <c r="E2823">
        <v>0.46899780000000002</v>
      </c>
      <c r="F2823" t="s">
        <v>55</v>
      </c>
      <c r="G2823">
        <v>-476.28829999999999</v>
      </c>
      <c r="H2823">
        <v>8.0000489999999994E-2</v>
      </c>
      <c r="I2823">
        <v>225.9145</v>
      </c>
      <c r="J2823">
        <v>-488.60829999999999</v>
      </c>
      <c r="K2823">
        <v>1.119561</v>
      </c>
      <c r="L2823">
        <v>234.9999</v>
      </c>
      <c r="M2823">
        <v>0.24615790000000001</v>
      </c>
      <c r="N2823">
        <v>-1.525837E-2</v>
      </c>
      <c r="O2823">
        <v>-0.96910969999999996</v>
      </c>
      <c r="P2823">
        <v>0.56862979999999996</v>
      </c>
      <c r="Q2823">
        <v>-0.1181218</v>
      </c>
      <c r="R2823">
        <v>-0.81406849999999997</v>
      </c>
      <c r="S2823">
        <v>2.517792</v>
      </c>
      <c r="T2823">
        <v>-0.2100561</v>
      </c>
      <c r="U2823">
        <v>-1.926407</v>
      </c>
      <c r="V2823">
        <v>-0.34795009999999998</v>
      </c>
      <c r="W2823">
        <v>-0.1128473</v>
      </c>
      <c r="X2823">
        <v>0.93069659999999999</v>
      </c>
      <c r="Y2823">
        <v>-0.61860219999999999</v>
      </c>
      <c r="Z2823">
        <v>5.6271210000000002E-2</v>
      </c>
      <c r="AA2823">
        <v>0.78368680000000002</v>
      </c>
      <c r="AB2823">
        <v>24</v>
      </c>
      <c r="AC2823">
        <v>12.319999999999901</v>
      </c>
      <c r="AD2823">
        <v>-1.03956051</v>
      </c>
      <c r="AE2823">
        <v>-9.0853999999999893</v>
      </c>
      <c r="AF2823">
        <v>-9.6595688383438301</v>
      </c>
      <c r="AG2823">
        <v>-1.03956051</v>
      </c>
      <c r="AH2823">
        <v>11.784443621038699</v>
      </c>
      <c r="AI2823">
        <v>93.902897909714497</v>
      </c>
      <c r="AJ2823">
        <v>129.34106727081601</v>
      </c>
      <c r="AK2823">
        <v>15.272886683731199</v>
      </c>
      <c r="AL2823">
        <v>96.479476302712598</v>
      </c>
      <c r="AM2823">
        <v>110.49875231470099</v>
      </c>
      <c r="AN2823">
        <v>0.99999997322942902</v>
      </c>
    </row>
    <row r="2824" spans="1:40" x14ac:dyDescent="0.25">
      <c r="A2824" t="str">
        <f>"20190305135247622"</f>
        <v>20190305135247622</v>
      </c>
      <c r="B2824" t="str">
        <f>"1551765167612591"</f>
        <v>1551765167612591</v>
      </c>
      <c r="C2824" t="s">
        <v>40</v>
      </c>
      <c r="D2824">
        <v>4.8930030000000002</v>
      </c>
      <c r="E2824">
        <v>0.46647670000000002</v>
      </c>
      <c r="F2824" t="s">
        <v>55</v>
      </c>
      <c r="G2824">
        <v>-479.57440000000003</v>
      </c>
      <c r="H2824">
        <v>8.000053E-2</v>
      </c>
      <c r="I2824">
        <v>224.1327</v>
      </c>
      <c r="J2824">
        <v>-488.53269999999998</v>
      </c>
      <c r="K2824">
        <v>1.1196740000000001</v>
      </c>
      <c r="L2824">
        <v>234.7748</v>
      </c>
      <c r="M2824">
        <v>0.26199070000000002</v>
      </c>
      <c r="N2824">
        <v>-1.532757E-2</v>
      </c>
      <c r="O2824">
        <v>-0.96494880000000005</v>
      </c>
      <c r="P2824">
        <v>0.57957999999999998</v>
      </c>
      <c r="Q2824">
        <v>-0.1178019</v>
      </c>
      <c r="R2824">
        <v>-0.80635590000000001</v>
      </c>
      <c r="S2824">
        <v>1.9212340000000001</v>
      </c>
      <c r="T2824">
        <v>-0.22108230000000001</v>
      </c>
      <c r="U2824">
        <v>-2.3111109999999999</v>
      </c>
      <c r="V2824">
        <v>-0.3452595</v>
      </c>
      <c r="W2824">
        <v>-0.11248329999999999</v>
      </c>
      <c r="X2824">
        <v>0.93174210000000002</v>
      </c>
      <c r="Y2824">
        <v>-0.41397610000000001</v>
      </c>
      <c r="Z2824">
        <v>6.1088549999999998E-2</v>
      </c>
      <c r="AA2824">
        <v>0.90823569999999998</v>
      </c>
      <c r="AB2824">
        <v>24</v>
      </c>
      <c r="AC2824">
        <v>8.9582999999999497</v>
      </c>
      <c r="AD2824">
        <v>-1.0396734700000001</v>
      </c>
      <c r="AE2824">
        <v>-10.642099999999999</v>
      </c>
      <c r="AF2824">
        <v>-5.8243222578581104</v>
      </c>
      <c r="AG2824">
        <v>-1.0396734700000001</v>
      </c>
      <c r="AH2824">
        <v>12.5474634797761</v>
      </c>
      <c r="AI2824">
        <v>94.298099956847395</v>
      </c>
      <c r="AJ2824">
        <v>114.89993849086601</v>
      </c>
      <c r="AK2824">
        <v>13.872364270877499</v>
      </c>
      <c r="AL2824">
        <v>96.458486968254306</v>
      </c>
      <c r="AM2824">
        <v>110.332320093448</v>
      </c>
      <c r="AN2824">
        <v>0.999999978015774</v>
      </c>
    </row>
    <row r="2825" spans="1:40" x14ac:dyDescent="0.25">
      <c r="A2825" t="str">
        <f>"20190305135247644"</f>
        <v>20190305135247644</v>
      </c>
      <c r="B2825" t="str">
        <f>"1551765167632110"</f>
        <v>1551765167632110</v>
      </c>
      <c r="C2825" t="s">
        <v>40</v>
      </c>
      <c r="D2825">
        <v>4.8789179999999996</v>
      </c>
      <c r="E2825">
        <v>0.46618039999999999</v>
      </c>
      <c r="F2825" t="s">
        <v>55</v>
      </c>
      <c r="G2825">
        <v>-478.68299999999999</v>
      </c>
      <c r="H2825">
        <v>8.0000360000000006E-2</v>
      </c>
      <c r="I2825">
        <v>223.40100000000001</v>
      </c>
      <c r="J2825">
        <v>-488.45519999999999</v>
      </c>
      <c r="K2825">
        <v>1.1197839999999999</v>
      </c>
      <c r="L2825">
        <v>234.5566</v>
      </c>
      <c r="M2825">
        <v>0.27760390000000001</v>
      </c>
      <c r="N2825">
        <v>-1.539539E-2</v>
      </c>
      <c r="O2825">
        <v>-0.96057239999999999</v>
      </c>
      <c r="P2825">
        <v>0.59097230000000001</v>
      </c>
      <c r="Q2825">
        <v>-0.11787259999999999</v>
      </c>
      <c r="R2825">
        <v>-0.79803409999999997</v>
      </c>
      <c r="S2825">
        <v>1.9695739999999999</v>
      </c>
      <c r="T2825">
        <v>-0.20789589999999999</v>
      </c>
      <c r="U2825">
        <v>-2.2743380000000002</v>
      </c>
      <c r="V2825">
        <v>-0.34335389999999999</v>
      </c>
      <c r="W2825">
        <v>-0.1125341</v>
      </c>
      <c r="X2825">
        <v>0.93243989999999999</v>
      </c>
      <c r="Y2825">
        <v>-0.41772290000000001</v>
      </c>
      <c r="Z2825">
        <v>5.6598219999999998E-2</v>
      </c>
      <c r="AA2825">
        <v>0.90680989999999995</v>
      </c>
      <c r="AB2825">
        <v>24</v>
      </c>
      <c r="AC2825">
        <v>9.7721999999999394</v>
      </c>
      <c r="AD2825">
        <v>-1.03978364</v>
      </c>
      <c r="AE2825">
        <v>-11.1556</v>
      </c>
      <c r="AF2825">
        <v>-6.26004046369561</v>
      </c>
      <c r="AG2825">
        <v>-1.03978364</v>
      </c>
      <c r="AH2825">
        <v>13.364457982071601</v>
      </c>
      <c r="AI2825">
        <v>94.030164244451498</v>
      </c>
      <c r="AJ2825">
        <v>115.098842910968</v>
      </c>
      <c r="AK2825">
        <v>14.794525804488501</v>
      </c>
      <c r="AL2825">
        <v>96.461416077507906</v>
      </c>
      <c r="AM2825">
        <v>110.215304740793</v>
      </c>
      <c r="AN2825">
        <v>0.99999999571001497</v>
      </c>
    </row>
    <row r="2826" spans="1:40" x14ac:dyDescent="0.25">
      <c r="A2826" t="str">
        <f>"20190305135247667"</f>
        <v>20190305135247667</v>
      </c>
      <c r="B2826" t="str">
        <f>"1551765167662366"</f>
        <v>1551765167662366</v>
      </c>
      <c r="C2826" t="s">
        <v>40</v>
      </c>
      <c r="D2826">
        <v>4.9108679999999998</v>
      </c>
      <c r="E2826">
        <v>0.46598719999999999</v>
      </c>
      <c r="F2826" t="s">
        <v>55</v>
      </c>
      <c r="G2826">
        <v>-478.49849999999998</v>
      </c>
      <c r="H2826">
        <v>8.0000379999999996E-2</v>
      </c>
      <c r="I2826">
        <v>223.39940000000001</v>
      </c>
      <c r="J2826">
        <v>-488.37150000000003</v>
      </c>
      <c r="K2826">
        <v>1.1198950000000001</v>
      </c>
      <c r="L2826">
        <v>234.334</v>
      </c>
      <c r="M2826">
        <v>0.29382599999999998</v>
      </c>
      <c r="N2826">
        <v>-1.546583E-2</v>
      </c>
      <c r="O2826">
        <v>-0.95573399999999997</v>
      </c>
      <c r="P2826">
        <v>0.60344849999999906</v>
      </c>
      <c r="Q2826">
        <v>-0.1185339</v>
      </c>
      <c r="R2826">
        <v>-0.78854329999999995</v>
      </c>
      <c r="S2826">
        <v>2.0032960000000002</v>
      </c>
      <c r="T2826">
        <v>-0.20920559999999999</v>
      </c>
      <c r="U2826">
        <v>-2.2448429999999999</v>
      </c>
      <c r="V2826">
        <v>-0.34221109999999999</v>
      </c>
      <c r="W2826">
        <v>-0.11320230000000001</v>
      </c>
      <c r="X2826">
        <v>0.93277909999999997</v>
      </c>
      <c r="Y2826">
        <v>-0.41583140000000002</v>
      </c>
      <c r="Z2826">
        <v>5.6988339999999998E-2</v>
      </c>
      <c r="AA2826">
        <v>0.90765439999999997</v>
      </c>
      <c r="AB2826">
        <v>24</v>
      </c>
      <c r="AC2826">
        <v>9.8730000000000402</v>
      </c>
      <c r="AD2826">
        <v>-1.0398946200000001</v>
      </c>
      <c r="AE2826">
        <v>-10.9345999999999</v>
      </c>
      <c r="AF2826">
        <v>-6.1929794885866496</v>
      </c>
      <c r="AG2826">
        <v>-1.0398946200000001</v>
      </c>
      <c r="AH2826">
        <v>13.2869073289172</v>
      </c>
      <c r="AI2826">
        <v>94.057626003758799</v>
      </c>
      <c r="AJ2826">
        <v>114.990056226291</v>
      </c>
      <c r="AK2826">
        <v>14.6961315363599</v>
      </c>
      <c r="AL2826">
        <v>96.499947152549197</v>
      </c>
      <c r="AM2826">
        <v>110.14670386340001</v>
      </c>
      <c r="AN2826">
        <v>1.0000000235426501</v>
      </c>
    </row>
    <row r="2827" spans="1:40" x14ac:dyDescent="0.25">
      <c r="A2827" t="str">
        <f>"20190305135247687"</f>
        <v>20190305135247687</v>
      </c>
      <c r="B2827" t="str">
        <f>"1551765167681887"</f>
        <v>1551765167681887</v>
      </c>
      <c r="C2827" t="s">
        <v>40</v>
      </c>
      <c r="D2827">
        <v>5.1896940000000003</v>
      </c>
      <c r="E2827">
        <v>0.4664026</v>
      </c>
      <c r="F2827" t="s">
        <v>41</v>
      </c>
      <c r="G2827">
        <v>-487.65660000000003</v>
      </c>
      <c r="H2827">
        <v>1.045434</v>
      </c>
      <c r="I2827">
        <v>233.55840000000001</v>
      </c>
      <c r="J2827">
        <v>-488.29160000000002</v>
      </c>
      <c r="K2827">
        <v>1.1199950000000001</v>
      </c>
      <c r="L2827">
        <v>234.13229999999999</v>
      </c>
      <c r="M2827">
        <v>0.3087742</v>
      </c>
      <c r="N2827">
        <v>-1.5530520000000001E-2</v>
      </c>
      <c r="O2827">
        <v>-0.95100870000000004</v>
      </c>
      <c r="P2827">
        <v>0.61517480000000002</v>
      </c>
      <c r="Q2827">
        <v>-0.1191362</v>
      </c>
      <c r="R2827">
        <v>-0.77933750000000002</v>
      </c>
      <c r="S2827">
        <v>2.0392459999999999</v>
      </c>
      <c r="T2827">
        <v>-0.21237149999999999</v>
      </c>
      <c r="U2827">
        <v>-2.2120359999999999</v>
      </c>
      <c r="V2827">
        <v>-0.34152070000000001</v>
      </c>
      <c r="W2827">
        <v>-0.1138219</v>
      </c>
      <c r="X2827">
        <v>0.93295669999999997</v>
      </c>
      <c r="Y2827">
        <v>-0.41621360000000002</v>
      </c>
      <c r="Z2827">
        <v>5.8028099999999902E-2</v>
      </c>
      <c r="AA2827">
        <v>0.90741340000000004</v>
      </c>
      <c r="AB2827">
        <v>24</v>
      </c>
      <c r="AC2827">
        <v>0.63499999999999002</v>
      </c>
      <c r="AD2827">
        <v>-7.4561000000000099E-2</v>
      </c>
      <c r="AE2827">
        <v>-0.57389999999997998</v>
      </c>
      <c r="AF2827">
        <v>-0.42352245933523103</v>
      </c>
      <c r="AG2827">
        <v>-7.4561000000000099E-2</v>
      </c>
      <c r="AH2827">
        <v>0.73635694212041503</v>
      </c>
      <c r="AI2827">
        <v>95.0162209104993</v>
      </c>
      <c r="AJ2827">
        <v>119.905755798792</v>
      </c>
      <c r="AK2827">
        <v>0.85273217512375499</v>
      </c>
      <c r="AL2827">
        <v>96.535678660215694</v>
      </c>
      <c r="AM2827">
        <v>110.10579657039401</v>
      </c>
      <c r="AN2827">
        <v>1.00000000876149</v>
      </c>
    </row>
    <row r="2828" spans="1:40" x14ac:dyDescent="0.25">
      <c r="A2828" t="str">
        <f>"20190305135247711"</f>
        <v>20190305135247711</v>
      </c>
      <c r="B2828" t="str">
        <f>"1551765167702382"</f>
        <v>1551765167702382</v>
      </c>
      <c r="C2828" t="s">
        <v>40</v>
      </c>
      <c r="D2828">
        <v>4.8905760000000003</v>
      </c>
      <c r="E2828">
        <v>0.46579569999999998</v>
      </c>
      <c r="F2828" t="s">
        <v>41</v>
      </c>
      <c r="G2828">
        <v>-487.55700000000002</v>
      </c>
      <c r="H2828">
        <v>1.0429619999999999</v>
      </c>
      <c r="I2828">
        <v>233.35740000000001</v>
      </c>
      <c r="J2828">
        <v>-488.19589999999999</v>
      </c>
      <c r="K2828">
        <v>1.1201129999999999</v>
      </c>
      <c r="L2828">
        <v>233.9034</v>
      </c>
      <c r="M2828">
        <v>0.3260014</v>
      </c>
      <c r="N2828">
        <v>-1.56025E-2</v>
      </c>
      <c r="O2828">
        <v>-0.94524059999999999</v>
      </c>
      <c r="P2828">
        <v>0.62915889999999997</v>
      </c>
      <c r="Q2828">
        <v>-0.1191289</v>
      </c>
      <c r="R2828">
        <v>-0.76809349999999998</v>
      </c>
      <c r="S2828">
        <v>2.0693359999999998</v>
      </c>
      <c r="T2828">
        <v>-0.21697949999999999</v>
      </c>
      <c r="U2828">
        <v>-2.1828460000000001</v>
      </c>
      <c r="V2828">
        <v>-0.34139930000000002</v>
      </c>
      <c r="W2828">
        <v>-0.1138445</v>
      </c>
      <c r="X2828">
        <v>0.93299840000000001</v>
      </c>
      <c r="Y2828">
        <v>-0.41227390000000003</v>
      </c>
      <c r="Z2828">
        <v>5.9473730000000002E-2</v>
      </c>
      <c r="AA2828">
        <v>0.9091167</v>
      </c>
      <c r="AB2828">
        <v>24</v>
      </c>
      <c r="AC2828">
        <v>0.638900000000035</v>
      </c>
      <c r="AD2828">
        <v>-7.7150999999999706E-2</v>
      </c>
      <c r="AE2828">
        <v>-0.54599999999999205</v>
      </c>
      <c r="AF2828">
        <v>-0.422409506300439</v>
      </c>
      <c r="AG2828">
        <v>-7.7150999999999706E-2</v>
      </c>
      <c r="AH2828">
        <v>0.71841748093172197</v>
      </c>
      <c r="AI2828">
        <v>95.289021205114395</v>
      </c>
      <c r="AJ2828">
        <v>120.454344531928</v>
      </c>
      <c r="AK2828">
        <v>0.83696221224274003</v>
      </c>
      <c r="AL2828">
        <v>96.536981855617398</v>
      </c>
      <c r="AM2828">
        <v>110.09839531837</v>
      </c>
      <c r="AN2828">
        <v>1.0000000333116399</v>
      </c>
    </row>
    <row r="2829" spans="1:40" x14ac:dyDescent="0.25">
      <c r="A2829" t="str">
        <f>"20190305135247733"</f>
        <v>20190305135247733</v>
      </c>
      <c r="B2829" t="str">
        <f>"1551765167721905"</f>
        <v>1551765167721905</v>
      </c>
      <c r="C2829" t="s">
        <v>40</v>
      </c>
      <c r="D2829">
        <v>4.8809649999999998</v>
      </c>
      <c r="E2829">
        <v>0.46568809999999999</v>
      </c>
      <c r="F2829" t="s">
        <v>41</v>
      </c>
      <c r="G2829">
        <v>-487.44200000000001</v>
      </c>
      <c r="H2829">
        <v>1.0432520000000001</v>
      </c>
      <c r="I2829">
        <v>233.1388</v>
      </c>
      <c r="J2829">
        <v>-488.10469999999998</v>
      </c>
      <c r="K2829">
        <v>1.1202030000000001</v>
      </c>
      <c r="L2829">
        <v>233.69550000000001</v>
      </c>
      <c r="M2829">
        <v>0.34186460000000002</v>
      </c>
      <c r="N2829">
        <v>-1.5664150000000002E-2</v>
      </c>
      <c r="O2829">
        <v>-0.93961859999999997</v>
      </c>
      <c r="P2829">
        <v>0.64135659999999906</v>
      </c>
      <c r="Q2829">
        <v>-0.118754399999999</v>
      </c>
      <c r="R2829">
        <v>-0.75799669999999997</v>
      </c>
      <c r="S2829">
        <v>2.1123050000000001</v>
      </c>
      <c r="T2829">
        <v>-0.21535019999999999</v>
      </c>
      <c r="U2829">
        <v>-2.1422119999999998</v>
      </c>
      <c r="V2829">
        <v>-0.3405763</v>
      </c>
      <c r="W2829">
        <v>-0.1134667</v>
      </c>
      <c r="X2829">
        <v>0.93334510000000004</v>
      </c>
      <c r="Y2829">
        <v>-0.41483930000000002</v>
      </c>
      <c r="Z2829">
        <v>5.8886859999999999E-2</v>
      </c>
      <c r="AA2829">
        <v>0.90798719999999999</v>
      </c>
      <c r="AB2829">
        <v>24</v>
      </c>
      <c r="AC2829">
        <v>0.66270000000002904</v>
      </c>
      <c r="AD2829">
        <v>-7.6950999999999894E-2</v>
      </c>
      <c r="AE2829">
        <v>-0.55670000000000597</v>
      </c>
      <c r="AF2829">
        <v>-0.429030853669155</v>
      </c>
      <c r="AG2829">
        <v>-7.6950999999999894E-2</v>
      </c>
      <c r="AH2829">
        <v>0.74385129824317997</v>
      </c>
      <c r="AI2829">
        <v>95.120732353540006</v>
      </c>
      <c r="AJ2829">
        <v>119.97504349747101</v>
      </c>
      <c r="AK2829">
        <v>0.86215061543743499</v>
      </c>
      <c r="AL2829">
        <v>96.515194602994896</v>
      </c>
      <c r="AM2829">
        <v>110.04695410140199</v>
      </c>
      <c r="AN2829">
        <v>0.99999999191229505</v>
      </c>
    </row>
    <row r="2830" spans="1:40" x14ac:dyDescent="0.25">
      <c r="A2830" t="str">
        <f>"20190305135247755"</f>
        <v>20190305135247755</v>
      </c>
      <c r="B2830" t="str">
        <f>"1551765167742401"</f>
        <v>1551765167742401</v>
      </c>
      <c r="C2830" t="s">
        <v>40</v>
      </c>
      <c r="D2830">
        <v>4.911143</v>
      </c>
      <c r="E2830">
        <v>0.46553749999999999</v>
      </c>
      <c r="F2830" t="s">
        <v>55</v>
      </c>
      <c r="G2830">
        <v>-477.63200000000001</v>
      </c>
      <c r="H2830">
        <v>8.0000360000000006E-2</v>
      </c>
      <c r="I2830">
        <v>223.41229999999999</v>
      </c>
      <c r="J2830">
        <v>-488.01080000000002</v>
      </c>
      <c r="K2830">
        <v>1.120287</v>
      </c>
      <c r="L2830">
        <v>233.4915</v>
      </c>
      <c r="M2830">
        <v>0.35764459999999998</v>
      </c>
      <c r="N2830">
        <v>-1.5722030000000001E-2</v>
      </c>
      <c r="O2830">
        <v>-0.93372569999999999</v>
      </c>
      <c r="P2830">
        <v>0.65330180000000004</v>
      </c>
      <c r="Q2830">
        <v>-0.11810379999999999</v>
      </c>
      <c r="R2830">
        <v>-0.74782930000000003</v>
      </c>
      <c r="S2830">
        <v>2.1467900000000002</v>
      </c>
      <c r="T2830">
        <v>-0.21323049999999999</v>
      </c>
      <c r="U2830">
        <v>-2.1079560000000002</v>
      </c>
      <c r="V2830">
        <v>-0.33962150000000002</v>
      </c>
      <c r="W2830">
        <v>-0.1128016</v>
      </c>
      <c r="X2830">
        <v>0.93377359999999998</v>
      </c>
      <c r="Y2830">
        <v>-0.41422150000000002</v>
      </c>
      <c r="Z2830">
        <v>5.808373E-2</v>
      </c>
      <c r="AA2830">
        <v>0.90832089999999999</v>
      </c>
      <c r="AB2830">
        <v>24</v>
      </c>
      <c r="AC2830">
        <v>10.3788</v>
      </c>
      <c r="AD2830">
        <v>-1.0402866399999999</v>
      </c>
      <c r="AE2830">
        <v>-10.0792</v>
      </c>
      <c r="AF2830">
        <v>-6.0556221401444699</v>
      </c>
      <c r="AG2830">
        <v>-1.0402866399999999</v>
      </c>
      <c r="AH2830">
        <v>13.057238639344</v>
      </c>
      <c r="AI2830">
        <v>94.133957726297496</v>
      </c>
      <c r="AJ2830">
        <v>114.88069612762401</v>
      </c>
      <c r="AK2830">
        <v>14.4306700011589</v>
      </c>
      <c r="AL2830">
        <v>96.476840559047105</v>
      </c>
      <c r="AM2830">
        <v>109.986762516225</v>
      </c>
      <c r="AN2830">
        <v>1.0000000501408799</v>
      </c>
    </row>
    <row r="2831" spans="1:40" x14ac:dyDescent="0.25">
      <c r="A2831" t="str">
        <f>"20190305135247779"</f>
        <v>20190305135247779</v>
      </c>
      <c r="B2831" t="str">
        <f>"1551765167772655"</f>
        <v>1551765167772655</v>
      </c>
      <c r="C2831" t="s">
        <v>40</v>
      </c>
      <c r="D2831">
        <v>4.8791599999999997</v>
      </c>
      <c r="E2831">
        <v>0.46581899999999998</v>
      </c>
      <c r="F2831" t="s">
        <v>55</v>
      </c>
      <c r="G2831">
        <v>-477.22910000000002</v>
      </c>
      <c r="H2831">
        <v>8.0000360000000006E-2</v>
      </c>
      <c r="I2831">
        <v>223.24180000000001</v>
      </c>
      <c r="J2831">
        <v>-487.90050000000002</v>
      </c>
      <c r="K2831">
        <v>1.1203719999999999</v>
      </c>
      <c r="L2831">
        <v>233.26310000000001</v>
      </c>
      <c r="M2831">
        <v>0.37553789999999998</v>
      </c>
      <c r="N2831">
        <v>-1.5785460000000001E-2</v>
      </c>
      <c r="O2831">
        <v>-0.92667259999999996</v>
      </c>
      <c r="P2831">
        <v>0.66604619999999903</v>
      </c>
      <c r="Q2831">
        <v>-0.1163638</v>
      </c>
      <c r="R2831">
        <v>-0.73677809999999999</v>
      </c>
      <c r="S2831">
        <v>2.1808169999999998</v>
      </c>
      <c r="T2831">
        <v>-0.21041940000000001</v>
      </c>
      <c r="U2831">
        <v>-2.0732119999999998</v>
      </c>
      <c r="V2831">
        <v>-0.33761940000000001</v>
      </c>
      <c r="W2831">
        <v>-0.11100400000000001</v>
      </c>
      <c r="X2831">
        <v>0.93471459999999995</v>
      </c>
      <c r="Y2831">
        <v>-0.41144829999999999</v>
      </c>
      <c r="Z2831">
        <v>5.6983199999999998E-2</v>
      </c>
      <c r="AA2831">
        <v>0.90964999999999996</v>
      </c>
      <c r="AB2831">
        <v>24</v>
      </c>
      <c r="AC2831">
        <v>10.6714</v>
      </c>
      <c r="AD2831">
        <v>-1.04037163999999</v>
      </c>
      <c r="AE2831">
        <v>-10.021299999999901</v>
      </c>
      <c r="AF2831">
        <v>-6.0954933529432198</v>
      </c>
      <c r="AG2831">
        <v>-1.04037163999999</v>
      </c>
      <c r="AH2831">
        <v>13.2288221825685</v>
      </c>
      <c r="AI2831">
        <v>94.085505095540398</v>
      </c>
      <c r="AJ2831">
        <v>114.73900728351801</v>
      </c>
      <c r="AK2831">
        <v>14.6027103204545</v>
      </c>
      <c r="AL2831">
        <v>96.373194575513395</v>
      </c>
      <c r="AM2831">
        <v>109.85974606281501</v>
      </c>
      <c r="AN2831">
        <v>1.0000000653627501</v>
      </c>
    </row>
    <row r="2832" spans="1:40" x14ac:dyDescent="0.25">
      <c r="A2832" t="str">
        <f>"20190305135247801"</f>
        <v>20190305135247801</v>
      </c>
      <c r="B2832" t="str">
        <f>"1551765167792174"</f>
        <v>1551765167792174</v>
      </c>
      <c r="C2832" t="s">
        <v>40</v>
      </c>
      <c r="D2832">
        <v>4.8953939999999996</v>
      </c>
      <c r="E2832">
        <v>0.46577879999999999</v>
      </c>
      <c r="F2832" t="s">
        <v>55</v>
      </c>
      <c r="G2832">
        <v>-476.74020000000002</v>
      </c>
      <c r="H2832">
        <v>8.0000360000000006E-2</v>
      </c>
      <c r="I2832">
        <v>222.9907</v>
      </c>
      <c r="J2832">
        <v>-487.79469999999998</v>
      </c>
      <c r="K2832">
        <v>1.1204449999999999</v>
      </c>
      <c r="L2832">
        <v>233.05439999999999</v>
      </c>
      <c r="M2832">
        <v>0.39209719999999998</v>
      </c>
      <c r="N2832">
        <v>-1.5841310000000001E-2</v>
      </c>
      <c r="O2832">
        <v>-0.91978749999999998</v>
      </c>
      <c r="P2832">
        <v>0.67733569999999999</v>
      </c>
      <c r="Q2832">
        <v>-0.1157035</v>
      </c>
      <c r="R2832">
        <v>-0.72651869999999996</v>
      </c>
      <c r="S2832">
        <v>2.2139280000000001</v>
      </c>
      <c r="T2832">
        <v>-0.2063844</v>
      </c>
      <c r="U2832">
        <v>-2.037811</v>
      </c>
      <c r="V2832">
        <v>-0.33524229999999999</v>
      </c>
      <c r="W2832">
        <v>-0.1102675</v>
      </c>
      <c r="X2832">
        <v>0.93565679999999996</v>
      </c>
      <c r="Y2832">
        <v>-0.40982629999999998</v>
      </c>
      <c r="Z2832">
        <v>5.5500679999999997E-2</v>
      </c>
      <c r="AA2832">
        <v>0.91047359999999999</v>
      </c>
      <c r="AB2832">
        <v>24</v>
      </c>
      <c r="AC2832">
        <v>11.0544999999999</v>
      </c>
      <c r="AD2832">
        <v>-1.04044464</v>
      </c>
      <c r="AE2832">
        <v>-10.0636999999999</v>
      </c>
      <c r="AF2832">
        <v>-6.1926257670809903</v>
      </c>
      <c r="AG2832">
        <v>-1.04044464</v>
      </c>
      <c r="AH2832">
        <v>13.527083722617199</v>
      </c>
      <c r="AI2832">
        <v>94.000500458277003</v>
      </c>
      <c r="AJ2832">
        <v>114.598050605117</v>
      </c>
      <c r="AK2832">
        <v>14.913521816751301</v>
      </c>
      <c r="AL2832">
        <v>96.330736095974899</v>
      </c>
      <c r="AM2832">
        <v>109.712410316416</v>
      </c>
      <c r="AN2832">
        <v>0.99999998432588899</v>
      </c>
    </row>
    <row r="2833" spans="1:40" x14ac:dyDescent="0.25">
      <c r="A2833" t="str">
        <f>"20190305135247823"</f>
        <v>20190305135247823</v>
      </c>
      <c r="B2833" t="str">
        <f>"1551765167812671"</f>
        <v>1551765167812671</v>
      </c>
      <c r="C2833" t="s">
        <v>40</v>
      </c>
      <c r="D2833">
        <v>4.9529540000000001</v>
      </c>
      <c r="E2833">
        <v>0.46598420000000002</v>
      </c>
      <c r="F2833" t="s">
        <v>55</v>
      </c>
      <c r="G2833">
        <v>-476.447</v>
      </c>
      <c r="H2833">
        <v>8.0000340000000003E-2</v>
      </c>
      <c r="I2833">
        <v>222.92920000000001</v>
      </c>
      <c r="J2833">
        <v>-487.69439999999997</v>
      </c>
      <c r="K2833">
        <v>1.120498</v>
      </c>
      <c r="L2833">
        <v>232.86510000000001</v>
      </c>
      <c r="M2833">
        <v>0.40726119999999999</v>
      </c>
      <c r="N2833">
        <v>-1.5888360000000001E-2</v>
      </c>
      <c r="O2833">
        <v>-0.91317360000000003</v>
      </c>
      <c r="P2833">
        <v>0.68779419999999902</v>
      </c>
      <c r="Q2833">
        <v>-0.1163506</v>
      </c>
      <c r="R2833">
        <v>-0.71652090000000002</v>
      </c>
      <c r="S2833">
        <v>2.2452390000000002</v>
      </c>
      <c r="T2833">
        <v>-0.2058604</v>
      </c>
      <c r="U2833">
        <v>-2.003342</v>
      </c>
      <c r="V2833">
        <v>-0.33333800000000002</v>
      </c>
      <c r="W2833">
        <v>-0.1108502</v>
      </c>
      <c r="X2833">
        <v>0.93626819999999999</v>
      </c>
      <c r="Y2833">
        <v>-0.40884100000000001</v>
      </c>
      <c r="Z2833">
        <v>5.5194819999999999E-2</v>
      </c>
      <c r="AA2833">
        <v>0.91093500000000005</v>
      </c>
      <c r="AB2833">
        <v>24</v>
      </c>
      <c r="AC2833">
        <v>11.247400000000001</v>
      </c>
      <c r="AD2833">
        <v>-1.04049766</v>
      </c>
      <c r="AE2833">
        <v>-9.9359000000000002</v>
      </c>
      <c r="AF2833">
        <v>-6.1953273032970104</v>
      </c>
      <c r="AG2833">
        <v>-1.04049766</v>
      </c>
      <c r="AH2833">
        <v>13.5902272700545</v>
      </c>
      <c r="AI2833">
        <v>93.985069203273298</v>
      </c>
      <c r="AJ2833">
        <v>114.50664610098499</v>
      </c>
      <c r="AK2833">
        <v>14.971940189139699</v>
      </c>
      <c r="AL2833">
        <v>96.364327761873795</v>
      </c>
      <c r="AM2833">
        <v>109.597169897342</v>
      </c>
      <c r="AN2833">
        <v>1.00000006570763</v>
      </c>
    </row>
    <row r="2834" spans="1:40" x14ac:dyDescent="0.25">
      <c r="A2834" t="str">
        <f>"20190305135247845"</f>
        <v>20190305135247845</v>
      </c>
      <c r="B2834" t="str">
        <f>"1551765167832190"</f>
        <v>1551765167832190</v>
      </c>
      <c r="C2834" t="s">
        <v>40</v>
      </c>
      <c r="D2834">
        <v>4.9725630000000001</v>
      </c>
      <c r="E2834">
        <v>0.46667629999999999</v>
      </c>
      <c r="F2834" t="s">
        <v>55</v>
      </c>
      <c r="G2834">
        <v>-476.51510000000002</v>
      </c>
      <c r="H2834">
        <v>8.0000329999999995E-2</v>
      </c>
      <c r="I2834">
        <v>223.16890000000001</v>
      </c>
      <c r="J2834">
        <v>-487.58510000000001</v>
      </c>
      <c r="K2834">
        <v>1.1205419999999999</v>
      </c>
      <c r="L2834">
        <v>232.6671</v>
      </c>
      <c r="M2834">
        <v>0.4232455</v>
      </c>
      <c r="N2834">
        <v>-1.593193E-2</v>
      </c>
      <c r="O2834">
        <v>-0.90587519999999999</v>
      </c>
      <c r="P2834">
        <v>0.69941009999999904</v>
      </c>
      <c r="Q2834">
        <v>-0.1160823</v>
      </c>
      <c r="R2834">
        <v>-0.7052311</v>
      </c>
      <c r="S2834">
        <v>2.272583</v>
      </c>
      <c r="T2834">
        <v>-0.2115167</v>
      </c>
      <c r="U2834">
        <v>-1.971085</v>
      </c>
      <c r="V2834">
        <v>-0.33216509999999999</v>
      </c>
      <c r="W2834">
        <v>-0.1105318</v>
      </c>
      <c r="X2834">
        <v>0.93672250000000001</v>
      </c>
      <c r="Y2834">
        <v>-0.40552300000000002</v>
      </c>
      <c r="Z2834">
        <v>5.6877209999999997E-2</v>
      </c>
      <c r="AA2834">
        <v>0.91231359999999995</v>
      </c>
      <c r="AB2834">
        <v>24</v>
      </c>
      <c r="AC2834">
        <v>11.069999999999901</v>
      </c>
      <c r="AD2834">
        <v>-1.0405416700000001</v>
      </c>
      <c r="AE2834">
        <v>-9.49819999999999</v>
      </c>
      <c r="AF2834">
        <v>-5.97830606097033</v>
      </c>
      <c r="AG2834">
        <v>-1.0405416700000001</v>
      </c>
      <c r="AH2834">
        <v>13.223899738846701</v>
      </c>
      <c r="AI2834">
        <v>94.101080852674201</v>
      </c>
      <c r="AJ2834">
        <v>114.326937917886</v>
      </c>
      <c r="AK2834">
        <v>14.5497214622381</v>
      </c>
      <c r="AL2834">
        <v>96.345972488206996</v>
      </c>
      <c r="AM2834">
        <v>109.524685855957</v>
      </c>
      <c r="AN2834">
        <v>0.99999998723774897</v>
      </c>
    </row>
    <row r="2835" spans="1:40" x14ac:dyDescent="0.25">
      <c r="A2835" t="str">
        <f>"20190305135247867"</f>
        <v>20190305135247867</v>
      </c>
      <c r="B2835" t="str">
        <f>"1551765167862447"</f>
        <v>1551765167862447</v>
      </c>
      <c r="C2835" t="s">
        <v>40</v>
      </c>
      <c r="D2835">
        <v>4.9715730000000002</v>
      </c>
      <c r="E2835">
        <v>0.46744560000000002</v>
      </c>
      <c r="F2835" t="s">
        <v>55</v>
      </c>
      <c r="G2835">
        <v>-476.57100000000003</v>
      </c>
      <c r="H2835">
        <v>8.0000310000000005E-2</v>
      </c>
      <c r="I2835">
        <v>223.3948</v>
      </c>
      <c r="J2835">
        <v>-487.47359999999998</v>
      </c>
      <c r="K2835">
        <v>1.120565</v>
      </c>
      <c r="L2835">
        <v>232.47389999999999</v>
      </c>
      <c r="M2835">
        <v>0.43894939999999999</v>
      </c>
      <c r="N2835">
        <v>-1.59674E-2</v>
      </c>
      <c r="O2835">
        <v>-0.8983698</v>
      </c>
      <c r="P2835">
        <v>0.71055919999999995</v>
      </c>
      <c r="Q2835">
        <v>-0.11458599999999999</v>
      </c>
      <c r="R2835">
        <v>-0.69424469999999905</v>
      </c>
      <c r="S2835">
        <v>2.3005070000000001</v>
      </c>
      <c r="T2835">
        <v>-0.21733769999999999</v>
      </c>
      <c r="U2835">
        <v>-1.936707</v>
      </c>
      <c r="V2835">
        <v>-0.33071980000000001</v>
      </c>
      <c r="W2835">
        <v>-0.1089623</v>
      </c>
      <c r="X2835">
        <v>0.93741759999999996</v>
      </c>
      <c r="Y2835">
        <v>-0.40295429999999999</v>
      </c>
      <c r="Z2835">
        <v>5.8606150000000003E-2</v>
      </c>
      <c r="AA2835">
        <v>0.91334179999999998</v>
      </c>
      <c r="AB2835">
        <v>24</v>
      </c>
      <c r="AC2835">
        <v>10.9026</v>
      </c>
      <c r="AD2835">
        <v>-1.0405646900000001</v>
      </c>
      <c r="AE2835">
        <v>-9.0790999999999809</v>
      </c>
      <c r="AF2835">
        <v>-5.7789572773316298</v>
      </c>
      <c r="AG2835">
        <v>-1.0405646900000001</v>
      </c>
      <c r="AH2835">
        <v>12.874478430777</v>
      </c>
      <c r="AI2835">
        <v>94.217138944499297</v>
      </c>
      <c r="AJ2835">
        <v>114.173844693571</v>
      </c>
      <c r="AK2835">
        <v>14.150311549638801</v>
      </c>
      <c r="AL2835">
        <v>96.255499783389396</v>
      </c>
      <c r="AM2835">
        <v>109.43278030302901</v>
      </c>
      <c r="AN2835">
        <v>1.00000006286154</v>
      </c>
    </row>
    <row r="2836" spans="1:40" x14ac:dyDescent="0.25">
      <c r="A2836" t="str">
        <f>"20190305135247889"</f>
        <v>20190305135247889</v>
      </c>
      <c r="B2836" t="str">
        <f>"1551765167881966"</f>
        <v>1551765167881966</v>
      </c>
      <c r="C2836" t="s">
        <v>40</v>
      </c>
      <c r="D2836">
        <v>4.9795309999999997</v>
      </c>
      <c r="E2836">
        <v>0.46795500000000001</v>
      </c>
      <c r="F2836" t="s">
        <v>55</v>
      </c>
      <c r="G2836">
        <v>-476.49549999999999</v>
      </c>
      <c r="H2836">
        <v>8.0000299999999996E-2</v>
      </c>
      <c r="I2836">
        <v>223.4846</v>
      </c>
      <c r="J2836">
        <v>-487.34750000000003</v>
      </c>
      <c r="K2836">
        <v>1.1205590000000001</v>
      </c>
      <c r="L2836">
        <v>232.2647</v>
      </c>
      <c r="M2836">
        <v>0.4560265</v>
      </c>
      <c r="N2836">
        <v>-1.599656E-2</v>
      </c>
      <c r="O2836">
        <v>-0.88982249999999996</v>
      </c>
      <c r="P2836">
        <v>0.72223349999999997</v>
      </c>
      <c r="Q2836">
        <v>-0.1123874</v>
      </c>
      <c r="R2836">
        <v>-0.68245739999999999</v>
      </c>
      <c r="S2836">
        <v>2.3257750000000001</v>
      </c>
      <c r="T2836">
        <v>-0.2204499</v>
      </c>
      <c r="U2836">
        <v>-1.904434</v>
      </c>
      <c r="V2836">
        <v>-0.32862039999999998</v>
      </c>
      <c r="W2836">
        <v>-0.1066503</v>
      </c>
      <c r="X2836">
        <v>0.93842119999999996</v>
      </c>
      <c r="Y2836">
        <v>-0.3978778</v>
      </c>
      <c r="Z2836">
        <v>5.9345469999999997E-2</v>
      </c>
      <c r="AA2836">
        <v>0.91551700000000003</v>
      </c>
      <c r="AB2836">
        <v>24</v>
      </c>
      <c r="AC2836">
        <v>10.852</v>
      </c>
      <c r="AD2836">
        <v>-1.0405587000000001</v>
      </c>
      <c r="AE2836">
        <v>-8.7800999999999991</v>
      </c>
      <c r="AF2836">
        <v>-5.6218791739082103</v>
      </c>
      <c r="AG2836">
        <v>-1.0405587000000001</v>
      </c>
      <c r="AH2836">
        <v>12.6926327762543</v>
      </c>
      <c r="AI2836">
        <v>94.286742782374304</v>
      </c>
      <c r="AJ2836">
        <v>113.889730665104</v>
      </c>
      <c r="AK2836">
        <v>13.9208913021765</v>
      </c>
      <c r="AL2836">
        <v>96.1222557381531</v>
      </c>
      <c r="AM2836">
        <v>109.299454481138</v>
      </c>
      <c r="AN2836">
        <v>1.00000000119784</v>
      </c>
    </row>
    <row r="2837" spans="1:40" x14ac:dyDescent="0.25">
      <c r="A2837" t="str">
        <f>"20190305135247913"</f>
        <v>20190305135247913</v>
      </c>
      <c r="B2837" t="str">
        <f>"1551765167902464"</f>
        <v>1551765167902464</v>
      </c>
      <c r="C2837" t="s">
        <v>40</v>
      </c>
      <c r="D2837">
        <v>4.967994</v>
      </c>
      <c r="E2837">
        <v>0.46843560000000001</v>
      </c>
      <c r="F2837" t="s">
        <v>55</v>
      </c>
      <c r="G2837">
        <v>-476.12959999999998</v>
      </c>
      <c r="H2837">
        <v>8.0000299999999996E-2</v>
      </c>
      <c r="I2837">
        <v>223.36070000000001</v>
      </c>
      <c r="J2837">
        <v>-487.2242</v>
      </c>
      <c r="K2837">
        <v>1.1205270000000001</v>
      </c>
      <c r="L2837">
        <v>232.0686</v>
      </c>
      <c r="M2837">
        <v>0.47206710000000002</v>
      </c>
      <c r="N2837">
        <v>-1.6015290000000001E-2</v>
      </c>
      <c r="O2837">
        <v>-0.88141719999999901</v>
      </c>
      <c r="P2837">
        <v>0.73254649999999999</v>
      </c>
      <c r="Q2837">
        <v>-0.11194</v>
      </c>
      <c r="R2837">
        <v>-0.67145030000000006</v>
      </c>
      <c r="S2837">
        <v>2.3541560000000001</v>
      </c>
      <c r="T2837">
        <v>-0.2183698</v>
      </c>
      <c r="U2837">
        <v>-1.868576</v>
      </c>
      <c r="V2837">
        <v>-0.32591219999999999</v>
      </c>
      <c r="W2837">
        <v>-0.1060652</v>
      </c>
      <c r="X2837">
        <v>0.93943140000000003</v>
      </c>
      <c r="Y2837">
        <v>-0.3952386</v>
      </c>
      <c r="Z2837">
        <v>5.8421340000000002E-2</v>
      </c>
      <c r="AA2837">
        <v>0.91671879999999994</v>
      </c>
      <c r="AB2837">
        <v>24</v>
      </c>
      <c r="AC2837">
        <v>11.0946</v>
      </c>
      <c r="AD2837">
        <v>-1.0405267</v>
      </c>
      <c r="AE2837">
        <v>-8.7078999999999898</v>
      </c>
      <c r="AF2837">
        <v>-5.6382960252146699</v>
      </c>
      <c r="AG2837">
        <v>-1.0405267</v>
      </c>
      <c r="AH2837">
        <v>12.844432629243901</v>
      </c>
      <c r="AI2837">
        <v>94.2423056044547</v>
      </c>
      <c r="AJ2837">
        <v>113.699941275445</v>
      </c>
      <c r="AK2837">
        <v>14.0660060944303</v>
      </c>
      <c r="AL2837">
        <v>96.088540921475399</v>
      </c>
      <c r="AM2837">
        <v>109.13293662754199</v>
      </c>
      <c r="AN2837">
        <v>0.99999997203291902</v>
      </c>
    </row>
    <row r="2838" spans="1:40" x14ac:dyDescent="0.25">
      <c r="A2838" t="str">
        <f>"20190305135247934"</f>
        <v>20190305135247934</v>
      </c>
      <c r="B2838" t="str">
        <f>"1551765167921982"</f>
        <v>1551765167921982</v>
      </c>
      <c r="C2838" t="s">
        <v>40</v>
      </c>
      <c r="D2838">
        <v>4.9595409999999998</v>
      </c>
      <c r="E2838">
        <v>0.46887780000000001</v>
      </c>
      <c r="F2838" t="s">
        <v>55</v>
      </c>
      <c r="G2838">
        <v>-476.07589999999999</v>
      </c>
      <c r="H2838">
        <v>8.0000269999999998E-2</v>
      </c>
      <c r="I2838">
        <v>223.4684</v>
      </c>
      <c r="J2838">
        <v>-487.10359999999997</v>
      </c>
      <c r="K2838">
        <v>1.1204769999999999</v>
      </c>
      <c r="L2838">
        <v>231.8836</v>
      </c>
      <c r="M2838">
        <v>0.48718840000000002</v>
      </c>
      <c r="N2838">
        <v>-1.6025319999999999E-2</v>
      </c>
      <c r="O2838">
        <v>-0.87315010000000004</v>
      </c>
      <c r="P2838">
        <v>0.74185089999999998</v>
      </c>
      <c r="Q2838">
        <v>-0.1139686</v>
      </c>
      <c r="R2838">
        <v>-0.66080909999999904</v>
      </c>
      <c r="S2838">
        <v>2.379089</v>
      </c>
      <c r="T2838">
        <v>-0.22205159999999999</v>
      </c>
      <c r="U2838">
        <v>-1.835297</v>
      </c>
      <c r="V2838">
        <v>-0.3229708</v>
      </c>
      <c r="W2838">
        <v>-0.107945899999999</v>
      </c>
      <c r="X2838">
        <v>0.94023270000000003</v>
      </c>
      <c r="Y2838">
        <v>-0.39203589999999999</v>
      </c>
      <c r="Z2838">
        <v>5.9350519999999997E-2</v>
      </c>
      <c r="AA2838">
        <v>0.9180334</v>
      </c>
      <c r="AB2838">
        <v>24</v>
      </c>
      <c r="AC2838">
        <v>11.0276999999999</v>
      </c>
      <c r="AD2838">
        <v>-1.04047673</v>
      </c>
      <c r="AE2838">
        <v>-8.4151999999999898</v>
      </c>
      <c r="AF2838">
        <v>-5.4988218990616398</v>
      </c>
      <c r="AG2838">
        <v>-1.04047673</v>
      </c>
      <c r="AH2838">
        <v>12.650757619765599</v>
      </c>
      <c r="AI2838">
        <v>94.313584276847905</v>
      </c>
      <c r="AJ2838">
        <v>113.49282335307301</v>
      </c>
      <c r="AK2838">
        <v>13.833340249460001</v>
      </c>
      <c r="AL2838">
        <v>96.196919249163102</v>
      </c>
      <c r="AM2838">
        <v>108.957643875784</v>
      </c>
      <c r="AN2838">
        <v>0.99999999256437</v>
      </c>
    </row>
    <row r="2839" spans="1:40" x14ac:dyDescent="0.25">
      <c r="A2839" t="str">
        <f>"20190305135247955"</f>
        <v>20190305135247955</v>
      </c>
      <c r="B2839" t="str">
        <f>"1551765167952238"</f>
        <v>1551765167952238</v>
      </c>
      <c r="C2839" t="s">
        <v>40</v>
      </c>
      <c r="D2839">
        <v>5.081448</v>
      </c>
      <c r="E2839">
        <v>0.49872830000000001</v>
      </c>
      <c r="F2839" t="s">
        <v>55</v>
      </c>
      <c r="G2839">
        <v>-476.35</v>
      </c>
      <c r="H2839">
        <v>8.0000269999999998E-2</v>
      </c>
      <c r="I2839">
        <v>223.8082</v>
      </c>
      <c r="J2839">
        <v>-486.98390000000001</v>
      </c>
      <c r="K2839">
        <v>1.1203989999999999</v>
      </c>
      <c r="L2839">
        <v>231.70679999999999</v>
      </c>
      <c r="M2839">
        <v>0.50160499999999997</v>
      </c>
      <c r="N2839">
        <v>-1.6026370000000002E-2</v>
      </c>
      <c r="O2839">
        <v>-0.86494839999999995</v>
      </c>
      <c r="P2839">
        <v>0.75145039999999996</v>
      </c>
      <c r="Q2839">
        <v>-0.11477519999999999</v>
      </c>
      <c r="R2839">
        <v>-0.64973029999999998</v>
      </c>
      <c r="S2839">
        <v>2.401672</v>
      </c>
      <c r="T2839">
        <v>-0.23237669999999999</v>
      </c>
      <c r="U2839">
        <v>-1.8035429999999999</v>
      </c>
      <c r="V2839">
        <v>-0.32121949999999999</v>
      </c>
      <c r="W2839">
        <v>-0.1086331</v>
      </c>
      <c r="X2839">
        <v>0.94075330000000001</v>
      </c>
      <c r="Y2839">
        <v>-0.38849980000000001</v>
      </c>
      <c r="Z2839">
        <v>6.238349E-2</v>
      </c>
      <c r="AA2839">
        <v>0.91933469999999995</v>
      </c>
      <c r="AB2839">
        <v>24</v>
      </c>
      <c r="AC2839">
        <v>10.633899999999899</v>
      </c>
      <c r="AD2839">
        <v>-1.0403987299999999</v>
      </c>
      <c r="AE2839">
        <v>-7.8985999999999796</v>
      </c>
      <c r="AF2839">
        <v>-5.2043648404048701</v>
      </c>
      <c r="AG2839">
        <v>-1.0403987299999999</v>
      </c>
      <c r="AH2839">
        <v>12.0928618280686</v>
      </c>
      <c r="AI2839">
        <v>94.518487173148898</v>
      </c>
      <c r="AJ2839">
        <v>113.285433418173</v>
      </c>
      <c r="AK2839">
        <v>13.206254204057499</v>
      </c>
      <c r="AL2839">
        <v>96.236526121066802</v>
      </c>
      <c r="AM2839">
        <v>108.852431457997</v>
      </c>
      <c r="AN2839">
        <v>0.99999994452837304</v>
      </c>
    </row>
    <row r="2840" spans="1:40" x14ac:dyDescent="0.25">
      <c r="A2840" t="str">
        <f>"20190305135247980"</f>
        <v>20190305135247980</v>
      </c>
      <c r="B2840" t="str">
        <f>"1551765167972735"</f>
        <v>1551765167972735</v>
      </c>
      <c r="C2840" t="s">
        <v>40</v>
      </c>
      <c r="D2840">
        <v>5.0085189999999997</v>
      </c>
      <c r="E2840">
        <v>0.50878449999999997</v>
      </c>
      <c r="F2840" t="s">
        <v>55</v>
      </c>
      <c r="G2840">
        <v>-480.18439999999998</v>
      </c>
      <c r="H2840" s="1">
        <v>3.1930510000000001E-6</v>
      </c>
      <c r="I2840">
        <v>225.86539999999999</v>
      </c>
      <c r="J2840">
        <v>-486.83940000000001</v>
      </c>
      <c r="K2840">
        <v>1.120271</v>
      </c>
      <c r="L2840">
        <v>231.5009</v>
      </c>
      <c r="M2840">
        <v>0.51828609999999997</v>
      </c>
      <c r="N2840">
        <v>-1.6014480000000001E-2</v>
      </c>
      <c r="O2840">
        <v>-0.85505759999999897</v>
      </c>
      <c r="P2840">
        <v>0.76180599999999998</v>
      </c>
      <c r="Q2840">
        <v>-0.114427399999999</v>
      </c>
      <c r="R2840">
        <v>-0.63761969999999901</v>
      </c>
      <c r="S2840">
        <v>2.2581180000000001</v>
      </c>
      <c r="T2840">
        <v>-0.37208409999999997</v>
      </c>
      <c r="U2840">
        <v>-1.9399409999999999</v>
      </c>
      <c r="V2840">
        <v>-0.31812390000000001</v>
      </c>
      <c r="W2840">
        <v>-0.1080933</v>
      </c>
      <c r="X2840">
        <v>0.9418668</v>
      </c>
      <c r="Y2840">
        <v>-0.30587360000000002</v>
      </c>
      <c r="Z2840">
        <v>0.1039726</v>
      </c>
      <c r="AA2840">
        <v>0.94637789999999999</v>
      </c>
      <c r="AB2840">
        <v>24</v>
      </c>
      <c r="AC2840">
        <v>6.6550000000000296</v>
      </c>
      <c r="AD2840">
        <v>-1.120267806949</v>
      </c>
      <c r="AE2840">
        <v>-5.6355000000000004</v>
      </c>
      <c r="AF2840">
        <v>-2.7249917327149999</v>
      </c>
      <c r="AG2840">
        <v>-1.120267806949</v>
      </c>
      <c r="AH2840">
        <v>8.1346849218421795</v>
      </c>
      <c r="AI2840">
        <v>97.439761455407705</v>
      </c>
      <c r="AJ2840">
        <v>108.520040685274</v>
      </c>
      <c r="AK2840">
        <v>8.6518020481456901</v>
      </c>
      <c r="AL2840">
        <v>96.205414163768097</v>
      </c>
      <c r="AM2840">
        <v>108.662855008739</v>
      </c>
      <c r="AN2840">
        <v>1.0000000230991599</v>
      </c>
    </row>
    <row r="2841" spans="1:40" x14ac:dyDescent="0.25">
      <c r="A2841" t="str">
        <f>"20190305135248003"</f>
        <v>20190305135248003</v>
      </c>
      <c r="B2841" t="str">
        <f>"1551765167992254"</f>
        <v>1551765167992254</v>
      </c>
      <c r="C2841" t="s">
        <v>40</v>
      </c>
      <c r="D2841">
        <v>5.0035309999999997</v>
      </c>
      <c r="E2841">
        <v>0.51291509999999996</v>
      </c>
      <c r="F2841" t="s">
        <v>55</v>
      </c>
      <c r="G2841">
        <v>-480.0163</v>
      </c>
      <c r="H2841" s="1">
        <v>3.0770980000000001E-6</v>
      </c>
      <c r="I2841">
        <v>225.50960000000001</v>
      </c>
      <c r="J2841">
        <v>-486.70080000000002</v>
      </c>
      <c r="K2841">
        <v>1.1201159999999999</v>
      </c>
      <c r="L2841">
        <v>231.3108</v>
      </c>
      <c r="M2841">
        <v>0.53352449999999996</v>
      </c>
      <c r="N2841">
        <v>-1.5989079999999999E-2</v>
      </c>
      <c r="O2841">
        <v>-0.84563359999999999</v>
      </c>
      <c r="P2841">
        <v>0.77050689999999999</v>
      </c>
      <c r="Q2841">
        <v>-0.1136987</v>
      </c>
      <c r="R2841">
        <v>-0.62720980000000004</v>
      </c>
      <c r="S2841">
        <v>2.2380369999999998</v>
      </c>
      <c r="T2841">
        <v>-0.36746050000000002</v>
      </c>
      <c r="U2841">
        <v>-1.9652400000000001</v>
      </c>
      <c r="V2841">
        <v>-0.3142025</v>
      </c>
      <c r="W2841">
        <v>-0.10713490000000001</v>
      </c>
      <c r="X2841">
        <v>0.94329149999999995</v>
      </c>
      <c r="Y2841">
        <v>-0.27871370000000001</v>
      </c>
      <c r="Z2841">
        <v>0.1007622</v>
      </c>
      <c r="AA2841">
        <v>0.95507370000000003</v>
      </c>
      <c r="AB2841">
        <v>24</v>
      </c>
      <c r="AC2841">
        <v>6.6845000000000097</v>
      </c>
      <c r="AD2841">
        <v>-1.1201129229019999</v>
      </c>
      <c r="AE2841">
        <v>-5.8011999999999899</v>
      </c>
      <c r="AF2841">
        <v>-2.5175603933686999</v>
      </c>
      <c r="AG2841">
        <v>-1.1201129229019999</v>
      </c>
      <c r="AH2841">
        <v>8.3395484108837401</v>
      </c>
      <c r="AI2841">
        <v>97.327007363734097</v>
      </c>
      <c r="AJ2841">
        <v>106.798125417251</v>
      </c>
      <c r="AK2841">
        <v>8.7829853120555992</v>
      </c>
      <c r="AL2841">
        <v>96.150181426717594</v>
      </c>
      <c r="AM2841">
        <v>108.42248401605799</v>
      </c>
      <c r="AN2841">
        <v>0.99999997588825396</v>
      </c>
    </row>
    <row r="2842" spans="1:40" x14ac:dyDescent="0.25">
      <c r="A2842" t="str">
        <f>"20190305135248025"</f>
        <v>20190305135248025</v>
      </c>
      <c r="B2842" t="str">
        <f>"1551765168022511"</f>
        <v>1551765168022511</v>
      </c>
      <c r="C2842" t="s">
        <v>40</v>
      </c>
      <c r="D2842">
        <v>5.0196870000000002</v>
      </c>
      <c r="E2842">
        <v>0.51604870000000003</v>
      </c>
      <c r="F2842" t="s">
        <v>55</v>
      </c>
      <c r="G2842">
        <v>-479.95780000000002</v>
      </c>
      <c r="H2842">
        <v>2.4849429999999999E-2</v>
      </c>
      <c r="I2842">
        <v>225.4194</v>
      </c>
      <c r="J2842">
        <v>-486.56610000000001</v>
      </c>
      <c r="K2842">
        <v>1.1199170000000001</v>
      </c>
      <c r="L2842">
        <v>231.13229999999999</v>
      </c>
      <c r="M2842">
        <v>0.5476143</v>
      </c>
      <c r="N2842">
        <v>-1.595032E-2</v>
      </c>
      <c r="O2842">
        <v>-0.83657899999999996</v>
      </c>
      <c r="P2842">
        <v>0.77763559999999998</v>
      </c>
      <c r="Q2842">
        <v>-0.1108691</v>
      </c>
      <c r="R2842">
        <v>-0.61886280000000005</v>
      </c>
      <c r="S2842">
        <v>2.2438349999999998</v>
      </c>
      <c r="T2842">
        <v>-0.36446699999999999</v>
      </c>
      <c r="U2842">
        <v>-1.9604490000000001</v>
      </c>
      <c r="V2842">
        <v>-0.30904999999999999</v>
      </c>
      <c r="W2842">
        <v>-0.104019</v>
      </c>
      <c r="X2842">
        <v>0.94534019999999996</v>
      </c>
      <c r="Y2842">
        <v>-0.265154099999999</v>
      </c>
      <c r="Z2842">
        <v>9.8617780000000002E-2</v>
      </c>
      <c r="AA2842">
        <v>0.95914949999999999</v>
      </c>
      <c r="AB2842">
        <v>23</v>
      </c>
      <c r="AC2842">
        <v>6.6082999999999803</v>
      </c>
      <c r="AD2842">
        <v>-1.0950675700000001</v>
      </c>
      <c r="AE2842">
        <v>-5.7128999999999897</v>
      </c>
      <c r="AF2842">
        <v>-2.3630683507145802</v>
      </c>
      <c r="AG2842">
        <v>-1.0950675700000001</v>
      </c>
      <c r="AH2842">
        <v>8.2692074011209407</v>
      </c>
      <c r="AI2842">
        <v>97.256429172065396</v>
      </c>
      <c r="AJ2842">
        <v>105.948199490173</v>
      </c>
      <c r="AK2842">
        <v>8.6696629724440903</v>
      </c>
      <c r="AL2842">
        <v>95.970650060579402</v>
      </c>
      <c r="AM2842">
        <v>108.103569912865</v>
      </c>
      <c r="AN2842">
        <v>0.99999997429851895</v>
      </c>
    </row>
    <row r="2843" spans="1:40" x14ac:dyDescent="0.25">
      <c r="A2843" t="str">
        <f>"20190305135248045"</f>
        <v>20190305135248045</v>
      </c>
      <c r="B2843" t="str">
        <f>"1551765168042030"</f>
        <v>1551765168042030</v>
      </c>
      <c r="C2843" t="s">
        <v>40</v>
      </c>
      <c r="D2843">
        <v>4.9789000000000003</v>
      </c>
      <c r="E2843">
        <v>0.51766659999999998</v>
      </c>
      <c r="F2843" t="s">
        <v>55</v>
      </c>
      <c r="G2843">
        <v>-479.9425</v>
      </c>
      <c r="H2843">
        <v>6.5243510000000005E-2</v>
      </c>
      <c r="I2843">
        <v>225.37649999999999</v>
      </c>
      <c r="J2843">
        <v>-486.43869999999998</v>
      </c>
      <c r="K2843">
        <v>1.119678</v>
      </c>
      <c r="L2843">
        <v>230.96870000000001</v>
      </c>
      <c r="M2843">
        <v>0.56027450000000001</v>
      </c>
      <c r="N2843">
        <v>-1.5898969999999998E-2</v>
      </c>
      <c r="O2843">
        <v>-0.82815439999999996</v>
      </c>
      <c r="P2843">
        <v>0.78366279999999999</v>
      </c>
      <c r="Q2843">
        <v>-0.11046880000000001</v>
      </c>
      <c r="R2843">
        <v>-0.61128499999999997</v>
      </c>
      <c r="S2843">
        <v>2.2504580000000001</v>
      </c>
      <c r="T2843">
        <v>-0.35834189999999999</v>
      </c>
      <c r="U2843">
        <v>-1.955643</v>
      </c>
      <c r="V2843">
        <v>-0.30397109999999999</v>
      </c>
      <c r="W2843">
        <v>-0.10333050000000001</v>
      </c>
      <c r="X2843">
        <v>0.94706089999999998</v>
      </c>
      <c r="Y2843">
        <v>-0.25328270000000003</v>
      </c>
      <c r="Z2843">
        <v>9.5636079999999998E-2</v>
      </c>
      <c r="AA2843">
        <v>0.96265339999999999</v>
      </c>
      <c r="AB2843">
        <v>23</v>
      </c>
      <c r="AC2843">
        <v>6.4961999999999804</v>
      </c>
      <c r="AD2843">
        <v>-1.05443449</v>
      </c>
      <c r="AE2843">
        <v>-5.5922000000000098</v>
      </c>
      <c r="AF2843">
        <v>-2.21347818820708</v>
      </c>
      <c r="AG2843">
        <v>-1.05443449</v>
      </c>
      <c r="AH2843">
        <v>8.1485974370465595</v>
      </c>
      <c r="AI2843">
        <v>97.117996880099298</v>
      </c>
      <c r="AJ2843">
        <v>105.197074730206</v>
      </c>
      <c r="AK2843">
        <v>8.5094628487591208</v>
      </c>
      <c r="AL2843">
        <v>95.930988122558603</v>
      </c>
      <c r="AM2843">
        <v>107.794685915811</v>
      </c>
      <c r="AN2843">
        <v>0.99999998508713395</v>
      </c>
    </row>
    <row r="2844" spans="1:40" x14ac:dyDescent="0.25">
      <c r="A2844" t="str">
        <f>"20190305135248069"</f>
        <v>20190305135248069</v>
      </c>
      <c r="B2844" t="str">
        <f>"1551765168062526"</f>
        <v>1551765168062526</v>
      </c>
      <c r="C2844" t="s">
        <v>40</v>
      </c>
      <c r="D2844">
        <v>4.9442469999999998</v>
      </c>
      <c r="E2844">
        <v>0.519173</v>
      </c>
      <c r="F2844" t="s">
        <v>55</v>
      </c>
      <c r="G2844">
        <v>-479.87900000000002</v>
      </c>
      <c r="H2844">
        <v>8.0000489999999994E-2</v>
      </c>
      <c r="I2844">
        <v>225.33250000000001</v>
      </c>
      <c r="J2844">
        <v>-486.28660000000002</v>
      </c>
      <c r="K2844">
        <v>1.1193299999999999</v>
      </c>
      <c r="L2844">
        <v>230.77940000000001</v>
      </c>
      <c r="M2844">
        <v>0.57450599999999996</v>
      </c>
      <c r="N2844">
        <v>-1.581782E-2</v>
      </c>
      <c r="O2844">
        <v>-0.81834750000000001</v>
      </c>
      <c r="P2844">
        <v>0.79092609999999997</v>
      </c>
      <c r="Q2844">
        <v>-0.1129884</v>
      </c>
      <c r="R2844">
        <v>-0.60138990000000003</v>
      </c>
      <c r="S2844">
        <v>2.261749</v>
      </c>
      <c r="T2844">
        <v>-0.35847800000000002</v>
      </c>
      <c r="U2844">
        <v>-1.943344</v>
      </c>
      <c r="V2844">
        <v>-0.29923680000000002</v>
      </c>
      <c r="W2844">
        <v>-0.1055348</v>
      </c>
      <c r="X2844">
        <v>0.94832470000000002</v>
      </c>
      <c r="Y2844">
        <v>-0.2420091</v>
      </c>
      <c r="Z2844">
        <v>9.4494380000000003E-2</v>
      </c>
      <c r="AA2844">
        <v>0.96566160000000001</v>
      </c>
      <c r="AB2844">
        <v>23</v>
      </c>
      <c r="AC2844">
        <v>6.4076000000000004</v>
      </c>
      <c r="AD2844">
        <v>-1.03932951</v>
      </c>
      <c r="AE2844">
        <v>-5.4468999999999896</v>
      </c>
      <c r="AF2844">
        <v>-2.0828201815838798</v>
      </c>
      <c r="AG2844">
        <v>-1.03932951</v>
      </c>
      <c r="AH2844">
        <v>8.0172321314399007</v>
      </c>
      <c r="AI2844">
        <v>97.151635688163296</v>
      </c>
      <c r="AJ2844">
        <v>104.563102342558</v>
      </c>
      <c r="AK2844">
        <v>8.3483146076655697</v>
      </c>
      <c r="AL2844">
        <v>96.057979562720107</v>
      </c>
      <c r="AM2844">
        <v>107.51270301628399</v>
      </c>
      <c r="AN2844">
        <v>0.99999999655768501</v>
      </c>
    </row>
    <row r="2845" spans="1:40" x14ac:dyDescent="0.25">
      <c r="A2845" t="str">
        <f>"20190305135248090"</f>
        <v>20190305135248090</v>
      </c>
      <c r="B2845" t="str">
        <f>"1551765168082047"</f>
        <v>1551765168082047</v>
      </c>
      <c r="C2845" t="s">
        <v>40</v>
      </c>
      <c r="D2845">
        <v>4.9585350000000004</v>
      </c>
      <c r="E2845">
        <v>0.52036610000000005</v>
      </c>
      <c r="F2845" t="s">
        <v>55</v>
      </c>
      <c r="G2845">
        <v>-479.83</v>
      </c>
      <c r="H2845">
        <v>8.0000489999999994E-2</v>
      </c>
      <c r="I2845">
        <v>225.32339999999999</v>
      </c>
      <c r="J2845">
        <v>-486.14609999999999</v>
      </c>
      <c r="K2845">
        <v>1.119011</v>
      </c>
      <c r="L2845">
        <v>230.60939999999999</v>
      </c>
      <c r="M2845">
        <v>0.58693980000000001</v>
      </c>
      <c r="N2845">
        <v>-1.5734850000000002E-2</v>
      </c>
      <c r="O2845">
        <v>-0.80947769999999997</v>
      </c>
      <c r="P2845">
        <v>0.79616940000000003</v>
      </c>
      <c r="Q2845">
        <v>-0.1145632</v>
      </c>
      <c r="R2845">
        <v>-0.59412909999999997</v>
      </c>
      <c r="S2845">
        <v>2.277374</v>
      </c>
      <c r="T2845">
        <v>-0.36659199999999997</v>
      </c>
      <c r="U2845">
        <v>-1.9244380000000001</v>
      </c>
      <c r="V2845">
        <v>-0.29329440000000001</v>
      </c>
      <c r="W2845">
        <v>-0.1067781</v>
      </c>
      <c r="X2845">
        <v>0.95004049999999995</v>
      </c>
      <c r="Y2845">
        <v>-0.23497000000000001</v>
      </c>
      <c r="Z2845">
        <v>9.5921510000000001E-2</v>
      </c>
      <c r="AA2845">
        <v>0.96725799999999995</v>
      </c>
      <c r="AB2845">
        <v>23</v>
      </c>
      <c r="AC2845">
        <v>6.3160999999999996</v>
      </c>
      <c r="AD2845">
        <v>-1.03901051</v>
      </c>
      <c r="AE2845">
        <v>-5.2859999999999996</v>
      </c>
      <c r="AF2845">
        <v>-1.9789338697431</v>
      </c>
      <c r="AG2845">
        <v>-1.03901051</v>
      </c>
      <c r="AH2845">
        <v>7.8619411326956099</v>
      </c>
      <c r="AI2845">
        <v>97.303180032498304</v>
      </c>
      <c r="AJ2845">
        <v>104.12845078991499</v>
      </c>
      <c r="AK2845">
        <v>8.1734839863229691</v>
      </c>
      <c r="AL2845">
        <v>96.129619831923705</v>
      </c>
      <c r="AM2845">
        <v>107.15638751475601</v>
      </c>
      <c r="AN2845">
        <v>1.0000000596756</v>
      </c>
    </row>
    <row r="2846" spans="1:40" x14ac:dyDescent="0.25">
      <c r="A2846" t="str">
        <f>"20190305135248114"</f>
        <v>20190305135248114</v>
      </c>
      <c r="B2846" t="str">
        <f>"1551765168102542"</f>
        <v>1551765168102542</v>
      </c>
      <c r="C2846" t="s">
        <v>40</v>
      </c>
      <c r="D2846">
        <v>4.9363739999999998</v>
      </c>
      <c r="E2846">
        <v>0.52104910000000004</v>
      </c>
      <c r="F2846" t="s">
        <v>55</v>
      </c>
      <c r="G2846">
        <v>-479.76319999999998</v>
      </c>
      <c r="H2846">
        <v>8.0000479999999999E-2</v>
      </c>
      <c r="I2846">
        <v>225.27879999999999</v>
      </c>
      <c r="J2846">
        <v>-485.99329999999998</v>
      </c>
      <c r="K2846">
        <v>1.118657</v>
      </c>
      <c r="L2846">
        <v>230.42959999999999</v>
      </c>
      <c r="M2846">
        <v>0.59965669999999904</v>
      </c>
      <c r="N2846">
        <v>-1.5640379999999999E-2</v>
      </c>
      <c r="O2846">
        <v>-0.80010439999999905</v>
      </c>
      <c r="P2846">
        <v>0.80077140000000002</v>
      </c>
      <c r="Q2846">
        <v>-0.1108677</v>
      </c>
      <c r="R2846">
        <v>-0.58861989999999997</v>
      </c>
      <c r="S2846">
        <v>2.2883</v>
      </c>
      <c r="T2846">
        <v>-0.3724903</v>
      </c>
      <c r="U2846">
        <v>-1.911057</v>
      </c>
      <c r="V2846">
        <v>-0.28544419999999998</v>
      </c>
      <c r="W2846">
        <v>-0.1026755</v>
      </c>
      <c r="X2846">
        <v>0.95287949999999999</v>
      </c>
      <c r="Y2846">
        <v>-0.2251243</v>
      </c>
      <c r="Z2846">
        <v>9.6478850000000005E-2</v>
      </c>
      <c r="AA2846">
        <v>0.9695416</v>
      </c>
      <c r="AB2846">
        <v>23</v>
      </c>
      <c r="AC2846">
        <v>6.2300999999999904</v>
      </c>
      <c r="AD2846">
        <v>-1.03865652</v>
      </c>
      <c r="AE2846">
        <v>-5.1508000000000003</v>
      </c>
      <c r="AF2846">
        <v>-1.86545321455921</v>
      </c>
      <c r="AG2846">
        <v>-1.03865652</v>
      </c>
      <c r="AH2846">
        <v>7.7304356518038899</v>
      </c>
      <c r="AI2846">
        <v>97.441298221221004</v>
      </c>
      <c r="AJ2846">
        <v>103.56683437045299</v>
      </c>
      <c r="AK2846">
        <v>8.0198727189980001</v>
      </c>
      <c r="AL2846">
        <v>95.893258642669693</v>
      </c>
      <c r="AM2846">
        <v>106.676091728323</v>
      </c>
      <c r="AN2846">
        <v>0.99999999556706898</v>
      </c>
    </row>
    <row r="2847" spans="1:40" x14ac:dyDescent="0.25">
      <c r="A2847" t="str">
        <f>"20190305135248135"</f>
        <v>20190305135248135</v>
      </c>
      <c r="B2847" t="str">
        <f>"1551765168131822"</f>
        <v>1551765168131822</v>
      </c>
      <c r="C2847" t="s">
        <v>40</v>
      </c>
      <c r="D2847">
        <v>4.9118750000000002</v>
      </c>
      <c r="E2847">
        <v>0.52388630000000003</v>
      </c>
      <c r="F2847" t="s">
        <v>55</v>
      </c>
      <c r="G2847">
        <v>-479.38619999999997</v>
      </c>
      <c r="H2847">
        <v>8.0000399999999902E-2</v>
      </c>
      <c r="I2847">
        <v>224.97130000000001</v>
      </c>
      <c r="J2847">
        <v>-485.85059999999999</v>
      </c>
      <c r="K2847">
        <v>1.1182909999999999</v>
      </c>
      <c r="L2847">
        <v>230.26580000000001</v>
      </c>
      <c r="M2847">
        <v>0.61075679999999999</v>
      </c>
      <c r="N2847">
        <v>-1.554142E-2</v>
      </c>
      <c r="O2847">
        <v>-0.79166590000000003</v>
      </c>
      <c r="P2847">
        <v>0.80387500000000001</v>
      </c>
      <c r="Q2847">
        <v>-0.1082138</v>
      </c>
      <c r="R2847">
        <v>-0.58487169999999999</v>
      </c>
      <c r="S2847">
        <v>2.299744</v>
      </c>
      <c r="T2847">
        <v>-0.36152699999999999</v>
      </c>
      <c r="U2847">
        <v>-1.8998870000000001</v>
      </c>
      <c r="V2847">
        <v>-0.27705429999999998</v>
      </c>
      <c r="W2847">
        <v>-9.9613729999999998E-2</v>
      </c>
      <c r="X2847">
        <v>0.95567670000000005</v>
      </c>
      <c r="Y2847">
        <v>-0.2170609</v>
      </c>
      <c r="Z2847">
        <v>9.2292570000000004E-2</v>
      </c>
      <c r="AA2847">
        <v>0.97178529999999996</v>
      </c>
      <c r="AB2847">
        <v>23</v>
      </c>
      <c r="AC2847">
        <v>6.4644000000000101</v>
      </c>
      <c r="AD2847">
        <v>-1.0382905999999901</v>
      </c>
      <c r="AE2847">
        <v>-5.2944999999999904</v>
      </c>
      <c r="AF2847">
        <v>-1.8555698259531399</v>
      </c>
      <c r="AG2847">
        <v>-1.0382905999999901</v>
      </c>
      <c r="AH2847">
        <v>8.0168504521307202</v>
      </c>
      <c r="AI2847">
        <v>97.191448928325798</v>
      </c>
      <c r="AJ2847">
        <v>103.032117708005</v>
      </c>
      <c r="AK2847">
        <v>8.2940386978157203</v>
      </c>
      <c r="AL2847">
        <v>95.716927960381199</v>
      </c>
      <c r="AM2847">
        <v>106.167074236145</v>
      </c>
      <c r="AN2847">
        <v>0.99999996763794596</v>
      </c>
    </row>
    <row r="2848" spans="1:40" x14ac:dyDescent="0.25">
      <c r="A2848" t="str">
        <f>"20190305135248156"</f>
        <v>20190305135248156</v>
      </c>
      <c r="B2848" t="str">
        <f>"1551765168152318"</f>
        <v>1551765168152318</v>
      </c>
      <c r="C2848" t="s">
        <v>40</v>
      </c>
      <c r="D2848">
        <v>4.8390919999999999</v>
      </c>
      <c r="E2848">
        <v>0.52525739999999999</v>
      </c>
      <c r="F2848" t="s">
        <v>55</v>
      </c>
      <c r="G2848">
        <v>-479.18060000000003</v>
      </c>
      <c r="H2848">
        <v>8.0000349999999998E-2</v>
      </c>
      <c r="I2848">
        <v>224.72460000000001</v>
      </c>
      <c r="J2848">
        <v>-485.70929999999998</v>
      </c>
      <c r="K2848">
        <v>1.1178589999999999</v>
      </c>
      <c r="L2848">
        <v>230.1071</v>
      </c>
      <c r="M2848">
        <v>0.62095259999999997</v>
      </c>
      <c r="N2848">
        <v>-1.54264E-2</v>
      </c>
      <c r="O2848">
        <v>-0.78369639999999996</v>
      </c>
      <c r="P2848">
        <v>0.80785629999999997</v>
      </c>
      <c r="Q2848">
        <v>-0.11064880000000001</v>
      </c>
      <c r="R2848">
        <v>-0.57890030000000003</v>
      </c>
      <c r="S2848">
        <v>2.2959900000000002</v>
      </c>
      <c r="T2848">
        <v>-0.35740889999999997</v>
      </c>
      <c r="U2848">
        <v>-1.9074249999999999</v>
      </c>
      <c r="V2848">
        <v>-0.27156710000000001</v>
      </c>
      <c r="W2848">
        <v>-0.1017174</v>
      </c>
      <c r="X2848">
        <v>0.95702920000000002</v>
      </c>
      <c r="Y2848">
        <v>-0.20193130000000001</v>
      </c>
      <c r="Z2848">
        <v>8.9815800000000001E-2</v>
      </c>
      <c r="AA2848">
        <v>0.97527269999999999</v>
      </c>
      <c r="AB2848">
        <v>23</v>
      </c>
      <c r="AC2848">
        <v>6.52869999999995</v>
      </c>
      <c r="AD2848">
        <v>-1.03785865</v>
      </c>
      <c r="AE2848">
        <v>-5.3824999999999896</v>
      </c>
      <c r="AF2848">
        <v>-1.7481513849405701</v>
      </c>
      <c r="AG2848">
        <v>-1.03785865</v>
      </c>
      <c r="AH2848">
        <v>8.1506168773585301</v>
      </c>
      <c r="AI2848">
        <v>97.097003369746801</v>
      </c>
      <c r="AJ2848">
        <v>102.105447255011</v>
      </c>
      <c r="AK2848">
        <v>8.4003416194540002</v>
      </c>
      <c r="AL2848">
        <v>95.838074571300794</v>
      </c>
      <c r="AM2848">
        <v>105.841848346151</v>
      </c>
      <c r="AN2848">
        <v>1.0000000044588999</v>
      </c>
    </row>
    <row r="2849" spans="1:40" x14ac:dyDescent="0.25">
      <c r="A2849" t="str">
        <f>"20190305135248182"</f>
        <v>20190305135248182</v>
      </c>
      <c r="B2849" t="str">
        <f>"1551765168171838"</f>
        <v>1551765168171838</v>
      </c>
      <c r="C2849" t="s">
        <v>40</v>
      </c>
      <c r="D2849">
        <v>4.8383250000000002</v>
      </c>
      <c r="E2849">
        <v>0.52592499999999998</v>
      </c>
      <c r="F2849" t="s">
        <v>55</v>
      </c>
      <c r="G2849">
        <v>-479.1721</v>
      </c>
      <c r="H2849">
        <v>8.0000349999999998E-2</v>
      </c>
      <c r="I2849">
        <v>224.71420000000001</v>
      </c>
      <c r="J2849">
        <v>-485.53160000000003</v>
      </c>
      <c r="K2849">
        <v>1.117184</v>
      </c>
      <c r="L2849">
        <v>229.91130000000001</v>
      </c>
      <c r="M2849">
        <v>0.63263219999999898</v>
      </c>
      <c r="N2849">
        <v>-1.5259379999999999E-2</v>
      </c>
      <c r="O2849">
        <v>-0.77430219999999905</v>
      </c>
      <c r="P2849">
        <v>0.81506179999999995</v>
      </c>
      <c r="Q2849">
        <v>-0.1173954</v>
      </c>
      <c r="R2849">
        <v>-0.56735579999999997</v>
      </c>
      <c r="S2849">
        <v>2.302368</v>
      </c>
      <c r="T2849">
        <v>-0.3655293</v>
      </c>
      <c r="U2849">
        <v>-1.8993230000000001</v>
      </c>
      <c r="V2849">
        <v>-0.270134599999999</v>
      </c>
      <c r="W2849">
        <v>-0.108139899999999</v>
      </c>
      <c r="X2849">
        <v>0.95673039999999998</v>
      </c>
      <c r="Y2849">
        <v>-0.19047939999999999</v>
      </c>
      <c r="Z2849">
        <v>9.0867080000000003E-2</v>
      </c>
      <c r="AA2849">
        <v>0.97747669999999998</v>
      </c>
      <c r="AB2849">
        <v>23</v>
      </c>
      <c r="AC2849">
        <v>6.3595000000000201</v>
      </c>
      <c r="AD2849">
        <v>-1.03718365</v>
      </c>
      <c r="AE2849">
        <v>-5.1970999999999998</v>
      </c>
      <c r="AF2849">
        <v>-1.6108227795575101</v>
      </c>
      <c r="AG2849">
        <v>-1.03718365</v>
      </c>
      <c r="AH2849">
        <v>7.9219463721055998</v>
      </c>
      <c r="AI2849">
        <v>97.311100929686404</v>
      </c>
      <c r="AJ2849">
        <v>101.493642167543</v>
      </c>
      <c r="AK2849">
        <v>8.1503211147466992</v>
      </c>
      <c r="AL2849">
        <v>96.208100039203003</v>
      </c>
      <c r="AM2849">
        <v>105.767124728138</v>
      </c>
      <c r="AN2849">
        <v>0.99999999918666405</v>
      </c>
    </row>
    <row r="2850" spans="1:40" x14ac:dyDescent="0.25">
      <c r="A2850" t="str">
        <f>"20190305135248205"</f>
        <v>20190305135248205</v>
      </c>
      <c r="B2850" t="str">
        <f>"1551765168202094"</f>
        <v>1551765168202094</v>
      </c>
      <c r="C2850" t="s">
        <v>40</v>
      </c>
      <c r="D2850">
        <v>4.8129410000000004</v>
      </c>
      <c r="E2850">
        <v>0.54292549999999995</v>
      </c>
      <c r="F2850" t="s">
        <v>55</v>
      </c>
      <c r="G2850">
        <v>-479.23970000000003</v>
      </c>
      <c r="H2850">
        <v>8.0000379999999996E-2</v>
      </c>
      <c r="I2850">
        <v>224.8434</v>
      </c>
      <c r="J2850">
        <v>-485.37240000000003</v>
      </c>
      <c r="K2850">
        <v>1.116452</v>
      </c>
      <c r="L2850">
        <v>229.73910000000001</v>
      </c>
      <c r="M2850">
        <v>0.64194209999999996</v>
      </c>
      <c r="N2850">
        <v>-1.5095330000000001E-2</v>
      </c>
      <c r="O2850">
        <v>-0.76660450000000002</v>
      </c>
      <c r="P2850">
        <v>0.82049450000000002</v>
      </c>
      <c r="Q2850">
        <v>-0.1204604</v>
      </c>
      <c r="R2850">
        <v>-0.55881840000000005</v>
      </c>
      <c r="S2850">
        <v>2.3230590000000002</v>
      </c>
      <c r="T2850">
        <v>-0.38294220000000001</v>
      </c>
      <c r="U2850">
        <v>-1.8711549999999999</v>
      </c>
      <c r="V2850">
        <v>-0.26836450000000001</v>
      </c>
      <c r="W2850">
        <v>-0.1108263</v>
      </c>
      <c r="X2850">
        <v>0.95692109999999997</v>
      </c>
      <c r="Y2850">
        <v>-0.18962509999999999</v>
      </c>
      <c r="Z2850">
        <v>9.50627E-2</v>
      </c>
      <c r="AA2850">
        <v>0.9772438</v>
      </c>
      <c r="AB2850">
        <v>23</v>
      </c>
      <c r="AC2850">
        <v>6.1326999999999998</v>
      </c>
      <c r="AD2850">
        <v>-1.03645162</v>
      </c>
      <c r="AE2850">
        <v>-4.8956999999999997</v>
      </c>
      <c r="AF2850">
        <v>-1.532050335876</v>
      </c>
      <c r="AG2850">
        <v>-1.03645162</v>
      </c>
      <c r="AH2850">
        <v>7.5589143464516502</v>
      </c>
      <c r="AI2850">
        <v>97.6537834819556</v>
      </c>
      <c r="AJ2850">
        <v>101.457572630424</v>
      </c>
      <c r="AK2850">
        <v>7.7819403935812197</v>
      </c>
      <c r="AL2850">
        <v>96.3629504339129</v>
      </c>
      <c r="AM2850">
        <v>105.665929038594</v>
      </c>
      <c r="AN2850">
        <v>0.99999998262857404</v>
      </c>
    </row>
    <row r="2851" spans="1:40" x14ac:dyDescent="0.25">
      <c r="A2851" t="str">
        <f>"20190305135248224"</f>
        <v>20190305135248224</v>
      </c>
      <c r="B2851" t="str">
        <f>"1551765168222591"</f>
        <v>1551765168222591</v>
      </c>
      <c r="C2851" t="s">
        <v>40</v>
      </c>
      <c r="D2851">
        <v>4.7981800000000003</v>
      </c>
      <c r="E2851">
        <v>0.54473660000000002</v>
      </c>
      <c r="F2851" t="s">
        <v>55</v>
      </c>
      <c r="G2851">
        <v>-479.42779999999999</v>
      </c>
      <c r="H2851">
        <v>8.0000329999999995E-2</v>
      </c>
      <c r="I2851">
        <v>224.59399999999999</v>
      </c>
      <c r="J2851">
        <v>-485.23719999999997</v>
      </c>
      <c r="K2851">
        <v>1.1157250000000001</v>
      </c>
      <c r="L2851">
        <v>229.5943</v>
      </c>
      <c r="M2851">
        <v>0.6488659</v>
      </c>
      <c r="N2851">
        <v>-1.4947500000000001E-2</v>
      </c>
      <c r="O2851">
        <v>-0.76075599999999999</v>
      </c>
      <c r="P2851">
        <v>0.82354179999999999</v>
      </c>
      <c r="Q2851">
        <v>-0.1178343</v>
      </c>
      <c r="R2851">
        <v>-0.5548824</v>
      </c>
      <c r="S2851">
        <v>2.2638850000000001</v>
      </c>
      <c r="T2851">
        <v>-0.39471230000000002</v>
      </c>
      <c r="U2851">
        <v>-1.959381</v>
      </c>
      <c r="V2851">
        <v>-0.2648143</v>
      </c>
      <c r="W2851">
        <v>-0.1077618</v>
      </c>
      <c r="X2851">
        <v>0.95825919999999998</v>
      </c>
      <c r="Y2851">
        <v>-0.14597060000000001</v>
      </c>
      <c r="Z2851">
        <v>9.5278199999999993E-2</v>
      </c>
      <c r="AA2851">
        <v>0.98469010000000001</v>
      </c>
      <c r="AB2851">
        <v>23</v>
      </c>
      <c r="AC2851">
        <v>5.8093999999999797</v>
      </c>
      <c r="AD2851">
        <v>-1.03572467</v>
      </c>
      <c r="AE2851">
        <v>-5.0002999999999798</v>
      </c>
      <c r="AF2851">
        <v>-1.1540713799548501</v>
      </c>
      <c r="AG2851">
        <v>-1.03572467</v>
      </c>
      <c r="AH2851">
        <v>7.4385588030299896</v>
      </c>
      <c r="AI2851">
        <v>97.834203138121794</v>
      </c>
      <c r="AJ2851">
        <v>98.818967437785304</v>
      </c>
      <c r="AK2851">
        <v>7.5984711230755204</v>
      </c>
      <c r="AL2851">
        <v>96.186309427836704</v>
      </c>
      <c r="AM2851">
        <v>105.44810243875899</v>
      </c>
      <c r="AN2851">
        <v>0.99999995670418396</v>
      </c>
    </row>
    <row r="2852" spans="1:40" x14ac:dyDescent="0.25">
      <c r="A2852" t="str">
        <f>"20190305135248246"</f>
        <v>20190305135248246</v>
      </c>
      <c r="B2852" t="str">
        <f>"1551765168242110"</f>
        <v>1551765168242110</v>
      </c>
      <c r="C2852" t="s">
        <v>40</v>
      </c>
      <c r="D2852">
        <v>4.8426130000000001</v>
      </c>
      <c r="E2852">
        <v>0.54625780000000002</v>
      </c>
      <c r="F2852" t="s">
        <v>55</v>
      </c>
      <c r="G2852">
        <v>-479.12450000000001</v>
      </c>
      <c r="H2852">
        <v>8.0000340000000003E-2</v>
      </c>
      <c r="I2852">
        <v>224.30699999999999</v>
      </c>
      <c r="J2852">
        <v>-485.08109999999999</v>
      </c>
      <c r="K2852">
        <v>1.114751</v>
      </c>
      <c r="L2852">
        <v>229.42840000000001</v>
      </c>
      <c r="M2852">
        <v>0.6556864</v>
      </c>
      <c r="N2852">
        <v>-1.477378E-2</v>
      </c>
      <c r="O2852">
        <v>-0.75488900000000003</v>
      </c>
      <c r="P2852">
        <v>0.82694570000000001</v>
      </c>
      <c r="Q2852">
        <v>-0.1141166</v>
      </c>
      <c r="R2852">
        <v>-0.55058019999999996</v>
      </c>
      <c r="S2852">
        <v>2.266785</v>
      </c>
      <c r="T2852">
        <v>-0.38407980000000003</v>
      </c>
      <c r="U2852">
        <v>-1.960693</v>
      </c>
      <c r="V2852">
        <v>-0.26189960000000001</v>
      </c>
      <c r="W2852">
        <v>-0.1034962</v>
      </c>
      <c r="X2852">
        <v>0.95952959999999998</v>
      </c>
      <c r="Y2852">
        <v>-0.13769589999999901</v>
      </c>
      <c r="Z2852">
        <v>9.149881E-2</v>
      </c>
      <c r="AA2852">
        <v>0.98623930000000004</v>
      </c>
      <c r="AB2852">
        <v>23</v>
      </c>
      <c r="AC2852">
        <v>5.9565999999999804</v>
      </c>
      <c r="AD2852">
        <v>-1.03475066</v>
      </c>
      <c r="AE2852">
        <v>-5.1213999999999897</v>
      </c>
      <c r="AF2852">
        <v>-1.1192439056294201</v>
      </c>
      <c r="AG2852">
        <v>-1.03475066</v>
      </c>
      <c r="AH2852">
        <v>7.6400371377656899</v>
      </c>
      <c r="AI2852">
        <v>97.632594854007607</v>
      </c>
      <c r="AJ2852">
        <v>98.334385047177193</v>
      </c>
      <c r="AK2852">
        <v>7.7906086614011096</v>
      </c>
      <c r="AL2852">
        <v>95.940533367683898</v>
      </c>
      <c r="AM2852">
        <v>105.26677335831801</v>
      </c>
      <c r="AN2852">
        <v>0.99999995858537905</v>
      </c>
    </row>
    <row r="2853" spans="1:40" x14ac:dyDescent="0.25">
      <c r="A2853" t="str">
        <f>"20190305135248270"</f>
        <v>20190305135248270</v>
      </c>
      <c r="B2853" t="str">
        <f>"1551765168262606"</f>
        <v>1551765168262606</v>
      </c>
      <c r="C2853" t="s">
        <v>40</v>
      </c>
      <c r="D2853">
        <v>4.7709580000000003</v>
      </c>
      <c r="E2853">
        <v>0.5469908</v>
      </c>
      <c r="F2853" t="s">
        <v>55</v>
      </c>
      <c r="G2853">
        <v>-478.81970000000001</v>
      </c>
      <c r="H2853">
        <v>8.0000360000000006E-2</v>
      </c>
      <c r="I2853">
        <v>224.02809999999999</v>
      </c>
      <c r="J2853">
        <v>-484.91520000000003</v>
      </c>
      <c r="K2853">
        <v>1.113626</v>
      </c>
      <c r="L2853">
        <v>229.25229999999999</v>
      </c>
      <c r="M2853">
        <v>0.66154489999999999</v>
      </c>
      <c r="N2853">
        <v>-1.4598679999999999E-2</v>
      </c>
      <c r="O2853">
        <v>-0.74976339999999997</v>
      </c>
      <c r="P2853">
        <v>0.83124379999999998</v>
      </c>
      <c r="Q2853">
        <v>-0.1139134</v>
      </c>
      <c r="R2853">
        <v>-0.54411160000000003</v>
      </c>
      <c r="S2853">
        <v>2.271576</v>
      </c>
      <c r="T2853">
        <v>-0.37539600000000001</v>
      </c>
      <c r="U2853">
        <v>-1.959152</v>
      </c>
      <c r="V2853">
        <v>-0.26222079999999998</v>
      </c>
      <c r="W2853">
        <v>-0.10274129999999999</v>
      </c>
      <c r="X2853">
        <v>0.95952300000000001</v>
      </c>
      <c r="Y2853">
        <v>-0.1316552</v>
      </c>
      <c r="Z2853">
        <v>8.8470060000000003E-2</v>
      </c>
      <c r="AA2853">
        <v>0.98733990000000005</v>
      </c>
      <c r="AB2853">
        <v>23</v>
      </c>
      <c r="AC2853">
        <v>6.0955000000000101</v>
      </c>
      <c r="AD2853">
        <v>-1.0336256399999999</v>
      </c>
      <c r="AE2853">
        <v>-5.22419999999999</v>
      </c>
      <c r="AF2853">
        <v>-1.0960882236934399</v>
      </c>
      <c r="AG2853">
        <v>-1.0336256399999999</v>
      </c>
      <c r="AH2853">
        <v>7.8205623564352704</v>
      </c>
      <c r="AI2853">
        <v>97.456961909454293</v>
      </c>
      <c r="AJ2853">
        <v>97.978300983900894</v>
      </c>
      <c r="AK2853">
        <v>7.9643572828369003</v>
      </c>
      <c r="AL2853">
        <v>95.897048988385905</v>
      </c>
      <c r="AM2853">
        <v>105.284721866955</v>
      </c>
      <c r="AN2853">
        <v>0.99999995510366402</v>
      </c>
    </row>
    <row r="2854" spans="1:40" x14ac:dyDescent="0.25">
      <c r="A2854" t="str">
        <f>"20190305135248291"</f>
        <v>20190305135248291</v>
      </c>
      <c r="B2854" t="str">
        <f>"1551765168282127"</f>
        <v>1551765168282127</v>
      </c>
      <c r="C2854" t="s">
        <v>40</v>
      </c>
      <c r="D2854">
        <v>4.7303449999999998</v>
      </c>
      <c r="E2854">
        <v>0.55930249999999904</v>
      </c>
      <c r="F2854" t="s">
        <v>55</v>
      </c>
      <c r="G2854">
        <v>-478.61950000000002</v>
      </c>
      <c r="H2854">
        <v>8.0000360000000006E-2</v>
      </c>
      <c r="I2854">
        <v>223.887</v>
      </c>
      <c r="J2854">
        <v>-484.76010000000002</v>
      </c>
      <c r="K2854">
        <v>1.1126529999999999</v>
      </c>
      <c r="L2854">
        <v>229.08760000000001</v>
      </c>
      <c r="M2854">
        <v>0.66598219999999997</v>
      </c>
      <c r="N2854">
        <v>-1.445077E-2</v>
      </c>
      <c r="O2854">
        <v>-0.74582760000000003</v>
      </c>
      <c r="P2854">
        <v>0.83522680000000005</v>
      </c>
      <c r="Q2854">
        <v>-0.116975</v>
      </c>
      <c r="R2854">
        <v>-0.53732069999999998</v>
      </c>
      <c r="S2854">
        <v>2.283722</v>
      </c>
      <c r="T2854">
        <v>-0.3749441</v>
      </c>
      <c r="U2854">
        <v>-1.9462280000000001</v>
      </c>
      <c r="V2854">
        <v>-0.26423730000000001</v>
      </c>
      <c r="W2854">
        <v>-0.1053653</v>
      </c>
      <c r="X2854">
        <v>0.95868489999999995</v>
      </c>
      <c r="Y2854">
        <v>-0.13162879999999999</v>
      </c>
      <c r="Z2854">
        <v>8.8039140000000002E-2</v>
      </c>
      <c r="AA2854">
        <v>0.98738190000000003</v>
      </c>
      <c r="AB2854">
        <v>23</v>
      </c>
      <c r="AC2854">
        <v>6.1406000000000001</v>
      </c>
      <c r="AD2854">
        <v>-1.03265264</v>
      </c>
      <c r="AE2854">
        <v>-5.2005999999999997</v>
      </c>
      <c r="AF2854">
        <v>-1.09835064592151</v>
      </c>
      <c r="AG2854">
        <v>-1.03265264</v>
      </c>
      <c r="AH2854">
        <v>7.8400026758077299</v>
      </c>
      <c r="AI2854">
        <v>97.431814203197504</v>
      </c>
      <c r="AJ2854">
        <v>97.974988003364203</v>
      </c>
      <c r="AK2854">
        <v>7.9836324798281799</v>
      </c>
      <c r="AL2854">
        <v>96.048213655713695</v>
      </c>
      <c r="AM2854">
        <v>105.409525541045</v>
      </c>
      <c r="AN2854">
        <v>0.99999996732169405</v>
      </c>
    </row>
    <row r="2855" spans="1:40" x14ac:dyDescent="0.25">
      <c r="A2855" t="str">
        <f>"20190305135248316"</f>
        <v>20190305135248316</v>
      </c>
      <c r="B2855" t="str">
        <f>"1551765168312382"</f>
        <v>1551765168312382</v>
      </c>
      <c r="C2855" t="s">
        <v>40</v>
      </c>
      <c r="D2855">
        <v>4.7151779999999999</v>
      </c>
      <c r="E2855">
        <v>0.56257429999999997</v>
      </c>
      <c r="F2855" t="s">
        <v>55</v>
      </c>
      <c r="G2855">
        <v>-478.1782</v>
      </c>
      <c r="H2855">
        <v>8.0000390000000005E-2</v>
      </c>
      <c r="I2855">
        <v>223.2028</v>
      </c>
      <c r="J2855">
        <v>-484.59469999999999</v>
      </c>
      <c r="K2855">
        <v>1.1117300000000001</v>
      </c>
      <c r="L2855">
        <v>228.91200000000001</v>
      </c>
      <c r="M2855">
        <v>0.6695641</v>
      </c>
      <c r="N2855">
        <v>-1.4298470000000001E-2</v>
      </c>
      <c r="O2855">
        <v>-0.74261679999999997</v>
      </c>
      <c r="P2855">
        <v>0.83863569999999998</v>
      </c>
      <c r="Q2855">
        <v>-0.1172388</v>
      </c>
      <c r="R2855">
        <v>-0.53192640000000002</v>
      </c>
      <c r="S2855">
        <v>2.248901</v>
      </c>
      <c r="T2855">
        <v>-0.35283530000000002</v>
      </c>
      <c r="U2855">
        <v>-2.0107270000000002</v>
      </c>
      <c r="V2855">
        <v>-0.26600170000000001</v>
      </c>
      <c r="W2855">
        <v>-0.1052106</v>
      </c>
      <c r="X2855">
        <v>0.95821389999999995</v>
      </c>
      <c r="Y2855">
        <v>-0.1040012</v>
      </c>
      <c r="Z2855">
        <v>8.0403680000000005E-2</v>
      </c>
      <c r="AA2855">
        <v>0.99132189999999998</v>
      </c>
      <c r="AB2855">
        <v>23</v>
      </c>
      <c r="AC2855">
        <v>6.4164999999999797</v>
      </c>
      <c r="AD2855">
        <v>-1.03172961</v>
      </c>
      <c r="AE2855">
        <v>-5.7092000000000098</v>
      </c>
      <c r="AF2855">
        <v>-0.92901566431715399</v>
      </c>
      <c r="AG2855">
        <v>-1.03172961</v>
      </c>
      <c r="AH2855">
        <v>8.4154408884764802</v>
      </c>
      <c r="AI2855">
        <v>96.947767850271305</v>
      </c>
      <c r="AJ2855">
        <v>96.299612158700995</v>
      </c>
      <c r="AK2855">
        <v>8.5291958261104099</v>
      </c>
      <c r="AL2855">
        <v>96.039300098324702</v>
      </c>
      <c r="AM2855">
        <v>105.514738757164</v>
      </c>
      <c r="AN2855">
        <v>1.0000000264542199</v>
      </c>
    </row>
    <row r="2856" spans="1:40" x14ac:dyDescent="0.25">
      <c r="A2856" t="str">
        <f>"20190305135248336"</f>
        <v>20190305135248336</v>
      </c>
      <c r="B2856" t="str">
        <f>"1551765168331903"</f>
        <v>1551765168331903</v>
      </c>
      <c r="C2856" t="s">
        <v>40</v>
      </c>
      <c r="D2856">
        <v>4.732342</v>
      </c>
      <c r="E2856">
        <v>0.564415</v>
      </c>
      <c r="F2856" t="s">
        <v>55</v>
      </c>
      <c r="G2856">
        <v>-477.7466</v>
      </c>
      <c r="H2856">
        <v>8.0000420000000003E-2</v>
      </c>
      <c r="I2856">
        <v>222.76859999999999</v>
      </c>
      <c r="J2856">
        <v>-484.4477</v>
      </c>
      <c r="K2856">
        <v>1.1109549999999999</v>
      </c>
      <c r="L2856">
        <v>228.75530000000001</v>
      </c>
      <c r="M2856">
        <v>0.67172509999999996</v>
      </c>
      <c r="N2856">
        <v>-1.4169040000000001E-2</v>
      </c>
      <c r="O2856">
        <v>-0.74066529999999997</v>
      </c>
      <c r="P2856">
        <v>0.841669</v>
      </c>
      <c r="Q2856">
        <v>-0.1158238</v>
      </c>
      <c r="R2856">
        <v>-0.52742639999999996</v>
      </c>
      <c r="S2856">
        <v>2.2497560000000001</v>
      </c>
      <c r="T2856">
        <v>-0.33894960000000002</v>
      </c>
      <c r="U2856">
        <v>-2.018265</v>
      </c>
      <c r="V2856">
        <v>-0.26868730000000002</v>
      </c>
      <c r="W2856">
        <v>-0.1034395</v>
      </c>
      <c r="X2856">
        <v>0.95765730000000004</v>
      </c>
      <c r="Y2856">
        <v>-9.9759050000000002E-2</v>
      </c>
      <c r="Z2856">
        <v>7.6446799999999995E-2</v>
      </c>
      <c r="AA2856">
        <v>0.99207060000000002</v>
      </c>
      <c r="AB2856">
        <v>23</v>
      </c>
      <c r="AC2856">
        <v>6.7010999999999896</v>
      </c>
      <c r="AD2856">
        <v>-1.03095458</v>
      </c>
      <c r="AE2856">
        <v>-5.9867000000000097</v>
      </c>
      <c r="AF2856">
        <v>-0.92971193748005998</v>
      </c>
      <c r="AG2856">
        <v>-1.03095458</v>
      </c>
      <c r="AH2856">
        <v>8.8202305315923706</v>
      </c>
      <c r="AI2856">
        <v>96.630376539536698</v>
      </c>
      <c r="AJ2856">
        <v>96.017143557118999</v>
      </c>
      <c r="AK2856">
        <v>8.9288128137591798</v>
      </c>
      <c r="AL2856">
        <v>95.937266623022197</v>
      </c>
      <c r="AM2856">
        <v>105.672381593418</v>
      </c>
      <c r="AN2856">
        <v>1.00000004979241</v>
      </c>
    </row>
    <row r="2857" spans="1:40" x14ac:dyDescent="0.25">
      <c r="A2857" t="str">
        <f>"20190305135248360"</f>
        <v>20190305135248360</v>
      </c>
      <c r="B2857" t="str">
        <f>"1551765168352398"</f>
        <v>1551765168352398</v>
      </c>
      <c r="C2857" t="s">
        <v>40</v>
      </c>
      <c r="D2857">
        <v>4.7687390000000001</v>
      </c>
      <c r="E2857">
        <v>0.56554399999999905</v>
      </c>
      <c r="F2857" t="s">
        <v>55</v>
      </c>
      <c r="G2857">
        <v>-477.2903</v>
      </c>
      <c r="H2857">
        <v>8.0000440000000006E-2</v>
      </c>
      <c r="I2857">
        <v>222.34610000000001</v>
      </c>
      <c r="J2857">
        <v>-484.279</v>
      </c>
      <c r="K2857">
        <v>1.1100490000000001</v>
      </c>
      <c r="L2857">
        <v>228.5744</v>
      </c>
      <c r="M2857">
        <v>0.67309359999999996</v>
      </c>
      <c r="N2857">
        <v>-1.403971E-2</v>
      </c>
      <c r="O2857">
        <v>-0.73942419999999998</v>
      </c>
      <c r="P2857">
        <v>0.84451569999999898</v>
      </c>
      <c r="Q2857">
        <v>-0.1139328</v>
      </c>
      <c r="R2857">
        <v>-0.52327129999999999</v>
      </c>
      <c r="S2857">
        <v>2.2545470000000001</v>
      </c>
      <c r="T2857">
        <v>-0.32474389999999997</v>
      </c>
      <c r="U2857">
        <v>-2.0188449999999998</v>
      </c>
      <c r="V2857">
        <v>-0.2720535</v>
      </c>
      <c r="W2857">
        <v>-0.10109659999999999</v>
      </c>
      <c r="X2857">
        <v>0.95695680000000005</v>
      </c>
      <c r="Y2857">
        <v>-9.9109630000000004E-2</v>
      </c>
      <c r="Z2857">
        <v>7.2703509999999999E-2</v>
      </c>
      <c r="AA2857">
        <v>0.99241699999999999</v>
      </c>
      <c r="AB2857">
        <v>23</v>
      </c>
      <c r="AC2857">
        <v>6.9886999999999899</v>
      </c>
      <c r="AD2857">
        <v>-1.03004856</v>
      </c>
      <c r="AE2857">
        <v>-6.2282999999999902</v>
      </c>
      <c r="AF2857">
        <v>-0.96381197256116102</v>
      </c>
      <c r="AG2857">
        <v>-1.03004856</v>
      </c>
      <c r="AH2857">
        <v>9.1989477361577894</v>
      </c>
      <c r="AI2857">
        <v>96.354561503883204</v>
      </c>
      <c r="AJ2857">
        <v>95.981293770351698</v>
      </c>
      <c r="AK2857">
        <v>9.3064801620684108</v>
      </c>
      <c r="AL2857">
        <v>95.802321224156898</v>
      </c>
      <c r="AM2857">
        <v>105.86993482133801</v>
      </c>
      <c r="AN2857">
        <v>0.99999997323002399</v>
      </c>
    </row>
    <row r="2858" spans="1:40" x14ac:dyDescent="0.25">
      <c r="A2858" t="str">
        <f>"20190305135248382"</f>
        <v>20190305135248382</v>
      </c>
      <c r="B2858" t="str">
        <f>"1551765168372093"</f>
        <v>1551765168372093</v>
      </c>
      <c r="C2858" t="s">
        <v>40</v>
      </c>
      <c r="D2858">
        <v>4.911511</v>
      </c>
      <c r="E2858">
        <v>0.56666850000000002</v>
      </c>
      <c r="F2858" t="s">
        <v>55</v>
      </c>
      <c r="G2858">
        <v>-477.0351</v>
      </c>
      <c r="H2858">
        <v>8.0000450000000001E-2</v>
      </c>
      <c r="I2858">
        <v>222.11609999999999</v>
      </c>
      <c r="J2858">
        <v>-484.12209999999999</v>
      </c>
      <c r="K2858">
        <v>1.109167</v>
      </c>
      <c r="L2858">
        <v>228.40459999999999</v>
      </c>
      <c r="M2858">
        <v>0.67340819999999901</v>
      </c>
      <c r="N2858">
        <v>-1.39439E-2</v>
      </c>
      <c r="O2858">
        <v>-0.73913960000000001</v>
      </c>
      <c r="P2858">
        <v>0.84531590000000001</v>
      </c>
      <c r="Q2858">
        <v>-0.11783399999999999</v>
      </c>
      <c r="R2858">
        <v>-0.5211112</v>
      </c>
      <c r="S2858">
        <v>2.2603759999999999</v>
      </c>
      <c r="T2858">
        <v>-0.3214147</v>
      </c>
      <c r="U2858">
        <v>-2.015244</v>
      </c>
      <c r="V2858">
        <v>-0.27390589999999998</v>
      </c>
      <c r="W2858">
        <v>-0.104531</v>
      </c>
      <c r="X2858">
        <v>0.95605899999999999</v>
      </c>
      <c r="Y2858">
        <v>-0.1008971</v>
      </c>
      <c r="Z2858">
        <v>7.1927030000000003E-2</v>
      </c>
      <c r="AA2858">
        <v>0.99229339999999999</v>
      </c>
      <c r="AB2858">
        <v>23</v>
      </c>
      <c r="AC2858">
        <v>7.0869999999999802</v>
      </c>
      <c r="AD2858">
        <v>-1.02916655</v>
      </c>
      <c r="AE2858">
        <v>-6.2884999999999902</v>
      </c>
      <c r="AF2858">
        <v>-0.99194850407373203</v>
      </c>
      <c r="AG2858">
        <v>-1.02916655</v>
      </c>
      <c r="AH2858">
        <v>9.3115724650546294</v>
      </c>
      <c r="AI2858">
        <v>96.2718459419265</v>
      </c>
      <c r="AJ2858">
        <v>96.080704726336194</v>
      </c>
      <c r="AK2858">
        <v>9.4206436825907307</v>
      </c>
      <c r="AL2858">
        <v>96.000146194365001</v>
      </c>
      <c r="AM2858">
        <v>105.98673066627499</v>
      </c>
      <c r="AN2858">
        <v>0.99999999174840404</v>
      </c>
    </row>
    <row r="2859" spans="1:40" x14ac:dyDescent="0.25">
      <c r="A2859" t="str">
        <f>"20190305135248406"</f>
        <v>20190305135248406</v>
      </c>
      <c r="B2859" t="str">
        <f>"1551765168402350"</f>
        <v>1551765168402350</v>
      </c>
      <c r="C2859" t="s">
        <v>40</v>
      </c>
      <c r="D2859">
        <v>4.7603629999999999</v>
      </c>
      <c r="E2859">
        <v>0.52786499999999903</v>
      </c>
      <c r="F2859" t="s">
        <v>55</v>
      </c>
      <c r="G2859">
        <v>-477.09739999999999</v>
      </c>
      <c r="H2859">
        <v>8.0000450000000001E-2</v>
      </c>
      <c r="I2859">
        <v>222.13390000000001</v>
      </c>
      <c r="J2859">
        <v>-483.96230000000003</v>
      </c>
      <c r="K2859">
        <v>1.1082909999999999</v>
      </c>
      <c r="L2859">
        <v>228.22970000000001</v>
      </c>
      <c r="M2859">
        <v>0.67290749999999999</v>
      </c>
      <c r="N2859">
        <v>-1.386481E-2</v>
      </c>
      <c r="O2859">
        <v>-0.7395967</v>
      </c>
      <c r="P2859">
        <v>0.84365959999999995</v>
      </c>
      <c r="Q2859">
        <v>-0.1277528</v>
      </c>
      <c r="R2859">
        <v>-0.52145790000000003</v>
      </c>
      <c r="S2859">
        <v>2.25943</v>
      </c>
      <c r="T2859">
        <v>-0.33102189999999998</v>
      </c>
      <c r="U2859">
        <v>-2.0169069999999998</v>
      </c>
      <c r="V2859">
        <v>-0.27332800000000002</v>
      </c>
      <c r="W2859">
        <v>-0.1139786</v>
      </c>
      <c r="X2859">
        <v>0.95514429999999995</v>
      </c>
      <c r="Y2859">
        <v>-0.1007735</v>
      </c>
      <c r="Z2859">
        <v>7.4430079999999996E-2</v>
      </c>
      <c r="AA2859">
        <v>0.99212140000000004</v>
      </c>
      <c r="AB2859">
        <v>23</v>
      </c>
      <c r="AC2859">
        <v>6.8649000000000298</v>
      </c>
      <c r="AD2859">
        <v>-1.0282905499999999</v>
      </c>
      <c r="AE2859">
        <v>-6.0957999999999899</v>
      </c>
      <c r="AF2859">
        <v>-0.96335608992602395</v>
      </c>
      <c r="AG2859">
        <v>-1.0282905499999999</v>
      </c>
      <c r="AH2859">
        <v>9.0156503731682793</v>
      </c>
      <c r="AI2859">
        <v>96.470300831302794</v>
      </c>
      <c r="AJ2859">
        <v>96.099126687219098</v>
      </c>
      <c r="AK2859">
        <v>9.1250966056489595</v>
      </c>
      <c r="AL2859">
        <v>96.544715940000103</v>
      </c>
      <c r="AM2859">
        <v>105.969219939665</v>
      </c>
      <c r="AN2859">
        <v>0.99999997533222396</v>
      </c>
    </row>
    <row r="2860" spans="1:40" x14ac:dyDescent="0.25">
      <c r="A2860" t="str">
        <f>"20190305135248426"</f>
        <v>20190305135248426</v>
      </c>
      <c r="B2860" t="str">
        <f>"1551765168421869"</f>
        <v>1551765168421869</v>
      </c>
      <c r="C2860" t="s">
        <v>40</v>
      </c>
      <c r="D2860">
        <v>4.7288680000000003</v>
      </c>
      <c r="E2860">
        <v>0.52836399999999994</v>
      </c>
      <c r="F2860" t="s">
        <v>55</v>
      </c>
      <c r="G2860">
        <v>-477.31400000000002</v>
      </c>
      <c r="H2860">
        <v>8.0000349999999998E-2</v>
      </c>
      <c r="I2860">
        <v>223.4014</v>
      </c>
      <c r="J2860">
        <v>-483.8175</v>
      </c>
      <c r="K2860">
        <v>1.107612</v>
      </c>
      <c r="L2860">
        <v>228.06909999999999</v>
      </c>
      <c r="M2860">
        <v>0.67179750000000005</v>
      </c>
      <c r="N2860">
        <v>-1.3802170000000001E-2</v>
      </c>
      <c r="O2860">
        <v>-0.74060619999999999</v>
      </c>
      <c r="P2860">
        <v>0.83894749999999996</v>
      </c>
      <c r="Q2860">
        <v>-0.13464179999999901</v>
      </c>
      <c r="R2860">
        <v>-0.52729369999999998</v>
      </c>
      <c r="S2860">
        <v>2.415222</v>
      </c>
      <c r="T2860">
        <v>-0.37355729999999998</v>
      </c>
      <c r="U2860">
        <v>-1.7540439999999999</v>
      </c>
      <c r="V2860">
        <v>-0.26754850000000002</v>
      </c>
      <c r="W2860">
        <v>-0.1205135</v>
      </c>
      <c r="X2860">
        <v>0.9559782</v>
      </c>
      <c r="Y2860">
        <v>-0.199821</v>
      </c>
      <c r="Z2860">
        <v>9.1358960000000003E-2</v>
      </c>
      <c r="AA2860">
        <v>0.97556399999999999</v>
      </c>
      <c r="AB2860">
        <v>23</v>
      </c>
      <c r="AC2860">
        <v>6.5034999999999696</v>
      </c>
      <c r="AD2860">
        <v>-1.0276116500000001</v>
      </c>
      <c r="AE2860">
        <v>-4.6676999999999902</v>
      </c>
      <c r="AF2860">
        <v>-1.6536931569628099</v>
      </c>
      <c r="AG2860">
        <v>-1.0276116500000001</v>
      </c>
      <c r="AH2860">
        <v>7.6998274147400299</v>
      </c>
      <c r="AI2860">
        <v>97.434159110134402</v>
      </c>
      <c r="AJ2860">
        <v>102.121292486521</v>
      </c>
      <c r="AK2860">
        <v>7.9421677757010096</v>
      </c>
      <c r="AL2860">
        <v>96.921738961547106</v>
      </c>
      <c r="AM2860">
        <v>105.635277091779</v>
      </c>
      <c r="AN2860">
        <v>1.0000000112048699</v>
      </c>
    </row>
    <row r="2861" spans="1:40" x14ac:dyDescent="0.25">
      <c r="A2861" t="str">
        <f>"20190305135248448"</f>
        <v>20190305135248448</v>
      </c>
      <c r="B2861" t="str">
        <f>"1551765168442364"</f>
        <v>1551765168442364</v>
      </c>
      <c r="C2861" t="s">
        <v>40</v>
      </c>
      <c r="D2861">
        <v>4.6789690000000004</v>
      </c>
      <c r="E2861">
        <v>0.52894090000000005</v>
      </c>
      <c r="F2861" t="s">
        <v>55</v>
      </c>
      <c r="G2861">
        <v>-477.16820000000001</v>
      </c>
      <c r="H2861">
        <v>8.0000360000000006E-2</v>
      </c>
      <c r="I2861">
        <v>223.15360000000001</v>
      </c>
      <c r="J2861">
        <v>-483.66359999999997</v>
      </c>
      <c r="K2861">
        <v>1.1071340000000001</v>
      </c>
      <c r="L2861">
        <v>227.8965</v>
      </c>
      <c r="M2861">
        <v>0.67013699999999998</v>
      </c>
      <c r="N2861">
        <v>-1.3736160000000001E-2</v>
      </c>
      <c r="O2861">
        <v>-0.74211050000000001</v>
      </c>
      <c r="P2861">
        <v>0.83154240000000001</v>
      </c>
      <c r="Q2861">
        <v>-0.14025599999999999</v>
      </c>
      <c r="R2861">
        <v>-0.53746240000000001</v>
      </c>
      <c r="S2861">
        <v>2.4008479999999999</v>
      </c>
      <c r="T2861">
        <v>-0.37103819999999998</v>
      </c>
      <c r="U2861">
        <v>-1.7748109999999999</v>
      </c>
      <c r="V2861">
        <v>-0.25753809999999999</v>
      </c>
      <c r="W2861">
        <v>-0.12590699999999999</v>
      </c>
      <c r="X2861">
        <v>0.95803000000000005</v>
      </c>
      <c r="Y2861">
        <v>-0.1938493</v>
      </c>
      <c r="Z2861">
        <v>9.0566729999999998E-2</v>
      </c>
      <c r="AA2861">
        <v>0.97684190000000004</v>
      </c>
      <c r="AB2861">
        <v>23</v>
      </c>
      <c r="AC2861">
        <v>6.4953999999999601</v>
      </c>
      <c r="AD2861">
        <v>-1.02713364</v>
      </c>
      <c r="AE2861">
        <v>-4.7428999999999899</v>
      </c>
      <c r="AF2861">
        <v>-1.6157145081839801</v>
      </c>
      <c r="AG2861">
        <v>-1.02713364</v>
      </c>
      <c r="AH2861">
        <v>7.7469543490893402</v>
      </c>
      <c r="AI2861">
        <v>97.395230472188402</v>
      </c>
      <c r="AJ2861">
        <v>101.780804000106</v>
      </c>
      <c r="AK2861">
        <v>7.98002747947963</v>
      </c>
      <c r="AL2861">
        <v>97.233137159538202</v>
      </c>
      <c r="AM2861">
        <v>105.04656773432301</v>
      </c>
      <c r="AN2861">
        <v>0.99999996325030405</v>
      </c>
    </row>
    <row r="2862" spans="1:40" x14ac:dyDescent="0.25">
      <c r="A2862" t="str">
        <f>"20190305135248471"</f>
        <v>20190305135248471</v>
      </c>
      <c r="B2862" t="str">
        <f>"1551765168462861"</f>
        <v>1551765168462861</v>
      </c>
      <c r="C2862" t="s">
        <v>40</v>
      </c>
      <c r="D2862">
        <v>4.6516089999999997</v>
      </c>
      <c r="E2862">
        <v>0.52896899999999902</v>
      </c>
      <c r="F2862" t="s">
        <v>55</v>
      </c>
      <c r="G2862">
        <v>-477.16480000000001</v>
      </c>
      <c r="H2862">
        <v>8.0000370000000001E-2</v>
      </c>
      <c r="I2862">
        <v>222.94919999999999</v>
      </c>
      <c r="J2862">
        <v>-483.50630000000001</v>
      </c>
      <c r="K2862">
        <v>1.10694</v>
      </c>
      <c r="L2862">
        <v>227.7184</v>
      </c>
      <c r="M2862">
        <v>0.66814980000000002</v>
      </c>
      <c r="N2862">
        <v>-1.366826E-2</v>
      </c>
      <c r="O2862">
        <v>-0.74390129999999999</v>
      </c>
      <c r="P2862">
        <v>0.82510930000000005</v>
      </c>
      <c r="Q2862">
        <v>-0.14058699999999999</v>
      </c>
      <c r="R2862">
        <v>-0.54720219999999997</v>
      </c>
      <c r="S2862">
        <v>2.3755799999999998</v>
      </c>
      <c r="T2862">
        <v>-0.37545529999999999</v>
      </c>
      <c r="U2862">
        <v>-1.8084260000000001</v>
      </c>
      <c r="V2862">
        <v>-0.24887100000000001</v>
      </c>
      <c r="W2862">
        <v>-0.12617829999999999</v>
      </c>
      <c r="X2862">
        <v>0.96028239999999998</v>
      </c>
      <c r="Y2862">
        <v>-0.18262809999999999</v>
      </c>
      <c r="Z2862">
        <v>9.1425229999999996E-2</v>
      </c>
      <c r="AA2862">
        <v>0.97892210000000002</v>
      </c>
      <c r="AB2862">
        <v>23</v>
      </c>
      <c r="AC2862">
        <v>6.3414999999999901</v>
      </c>
      <c r="AD2862">
        <v>-1.02693963</v>
      </c>
      <c r="AE2862">
        <v>-4.7692000000000103</v>
      </c>
      <c r="AF2862">
        <v>-1.5058297093695701</v>
      </c>
      <c r="AG2862">
        <v>-1.02693963</v>
      </c>
      <c r="AH2862">
        <v>7.6573490008997096</v>
      </c>
      <c r="AI2862">
        <v>97.496555329618701</v>
      </c>
      <c r="AJ2862">
        <v>101.125342268731</v>
      </c>
      <c r="AK2862">
        <v>7.87128463713925</v>
      </c>
      <c r="AL2862">
        <v>97.248806108907004</v>
      </c>
      <c r="AM2862">
        <v>104.52936156499599</v>
      </c>
      <c r="AN2862">
        <v>1.00000001289082</v>
      </c>
    </row>
    <row r="2863" spans="1:40" x14ac:dyDescent="0.25">
      <c r="A2863" t="str">
        <f>"20190305135248493"</f>
        <v>20190305135248493</v>
      </c>
      <c r="B2863" t="str">
        <f>"1551765168482381"</f>
        <v>1551765168482381</v>
      </c>
      <c r="C2863" t="s">
        <v>40</v>
      </c>
      <c r="D2863">
        <v>4.6596330000000004</v>
      </c>
      <c r="E2863">
        <v>0.52918199999999904</v>
      </c>
      <c r="F2863" t="s">
        <v>55</v>
      </c>
      <c r="G2863">
        <v>-476.9058</v>
      </c>
      <c r="H2863">
        <v>8.0000390000000005E-2</v>
      </c>
      <c r="I2863">
        <v>222.57130000000001</v>
      </c>
      <c r="J2863">
        <v>-483.35989999999998</v>
      </c>
      <c r="K2863">
        <v>1.1070169999999999</v>
      </c>
      <c r="L2863">
        <v>227.5513</v>
      </c>
      <c r="M2863">
        <v>0.66624490000000003</v>
      </c>
      <c r="N2863">
        <v>-1.360807E-2</v>
      </c>
      <c r="O2863">
        <v>-0.74560909999999903</v>
      </c>
      <c r="P2863">
        <v>0.81978879999999998</v>
      </c>
      <c r="Q2863">
        <v>-0.13539010000000001</v>
      </c>
      <c r="R2863">
        <v>-0.55643189999999998</v>
      </c>
      <c r="S2863">
        <v>2.3553470000000001</v>
      </c>
      <c r="T2863">
        <v>-0.36645749999999999</v>
      </c>
      <c r="U2863">
        <v>-1.836716</v>
      </c>
      <c r="V2863">
        <v>-0.24117659999999999</v>
      </c>
      <c r="W2863">
        <v>-0.1210465</v>
      </c>
      <c r="X2863">
        <v>0.9629027</v>
      </c>
      <c r="Y2863">
        <v>-0.17400470000000001</v>
      </c>
      <c r="Z2863">
        <v>8.8797139999999997E-2</v>
      </c>
      <c r="AA2863">
        <v>0.98073310000000002</v>
      </c>
      <c r="AB2863">
        <v>23</v>
      </c>
      <c r="AC2863">
        <v>6.45409999999998</v>
      </c>
      <c r="AD2863">
        <v>-1.02701661</v>
      </c>
      <c r="AE2863">
        <v>-4.9799999999999898</v>
      </c>
      <c r="AF2863">
        <v>-1.4711250114077701</v>
      </c>
      <c r="AG2863">
        <v>-1.02701661</v>
      </c>
      <c r="AH2863">
        <v>7.88867873182528</v>
      </c>
      <c r="AI2863">
        <v>97.293197334838396</v>
      </c>
      <c r="AJ2863">
        <v>100.563498227068</v>
      </c>
      <c r="AK2863">
        <v>8.0901312752240297</v>
      </c>
      <c r="AL2863">
        <v>96.952502843235607</v>
      </c>
      <c r="AM2863">
        <v>104.061493836615</v>
      </c>
      <c r="AN2863">
        <v>1.0000000086085501</v>
      </c>
    </row>
    <row r="2864" spans="1:40" x14ac:dyDescent="0.25">
      <c r="A2864" t="str">
        <f>"20190305135248527"</f>
        <v>20190305135248527</v>
      </c>
      <c r="B2864" t="str">
        <f>"1551765168522397"</f>
        <v>1551765168522397</v>
      </c>
      <c r="C2864" t="s">
        <v>40</v>
      </c>
      <c r="D2864">
        <v>4.6061610000000002</v>
      </c>
      <c r="E2864">
        <v>0.52858380000000005</v>
      </c>
      <c r="F2864" t="s">
        <v>55</v>
      </c>
      <c r="G2864">
        <v>-476.29349999999999</v>
      </c>
      <c r="H2864">
        <v>8.0000420000000003E-2</v>
      </c>
      <c r="I2864">
        <v>221.91890000000001</v>
      </c>
      <c r="J2864">
        <v>-483.13279999999997</v>
      </c>
      <c r="K2864">
        <v>1.107413</v>
      </c>
      <c r="L2864">
        <v>227.29089999999999</v>
      </c>
      <c r="M2864">
        <v>0.66353300000000004</v>
      </c>
      <c r="N2864">
        <v>-1.352834E-2</v>
      </c>
      <c r="O2864">
        <v>-0.74802460000000004</v>
      </c>
      <c r="P2864">
        <v>0.81825550000000002</v>
      </c>
      <c r="Q2864">
        <v>-0.1225948</v>
      </c>
      <c r="R2864">
        <v>-0.56163009999999902</v>
      </c>
      <c r="S2864">
        <v>2.3383180000000001</v>
      </c>
      <c r="T2864">
        <v>-0.33984550000000002</v>
      </c>
      <c r="U2864">
        <v>-1.8637999999999999</v>
      </c>
      <c r="V2864">
        <v>-0.2399231</v>
      </c>
      <c r="W2864">
        <v>-0.1084851</v>
      </c>
      <c r="X2864">
        <v>0.96471130000000005</v>
      </c>
      <c r="Y2864">
        <v>-0.16779559999999999</v>
      </c>
      <c r="Z2864">
        <v>8.163115E-2</v>
      </c>
      <c r="AA2864">
        <v>0.98243619999999998</v>
      </c>
      <c r="AB2864">
        <v>23</v>
      </c>
      <c r="AC2864">
        <v>6.8392999999999802</v>
      </c>
      <c r="AD2864">
        <v>-1.02741258</v>
      </c>
      <c r="AE2864">
        <v>-5.3719999999999803</v>
      </c>
      <c r="AF2864">
        <v>-1.5302508282204501</v>
      </c>
      <c r="AG2864">
        <v>-1.02741258</v>
      </c>
      <c r="AH2864">
        <v>8.4394890370767808</v>
      </c>
      <c r="AI2864">
        <v>96.830660120623705</v>
      </c>
      <c r="AJ2864">
        <v>100.277231320588</v>
      </c>
      <c r="AK2864">
        <v>8.6384153300099502</v>
      </c>
      <c r="AL2864">
        <v>96.227995574972795</v>
      </c>
      <c r="AM2864">
        <v>103.966085405057</v>
      </c>
      <c r="AN2864">
        <v>1.0000000015916499</v>
      </c>
    </row>
    <row r="2865" spans="1:40" x14ac:dyDescent="0.25">
      <c r="A2865" t="str">
        <f>"20190305135248547"</f>
        <v>20190305135248547</v>
      </c>
      <c r="B2865" t="str">
        <f>"1551765168542893"</f>
        <v>1551765168542893</v>
      </c>
      <c r="C2865" t="s">
        <v>40</v>
      </c>
      <c r="D2865">
        <v>4.5922369999999999</v>
      </c>
      <c r="E2865">
        <v>0.52799989999999997</v>
      </c>
      <c r="F2865" t="s">
        <v>55</v>
      </c>
      <c r="G2865">
        <v>-474.90230000000003</v>
      </c>
      <c r="H2865">
        <v>8.0000459999999995E-2</v>
      </c>
      <c r="I2865">
        <v>220.68680000000001</v>
      </c>
      <c r="J2865">
        <v>-482.98680000000002</v>
      </c>
      <c r="K2865">
        <v>1.1077330000000001</v>
      </c>
      <c r="L2865">
        <v>227.12289999999999</v>
      </c>
      <c r="M2865">
        <v>0.66209879999999999</v>
      </c>
      <c r="N2865">
        <v>-1.348774E-2</v>
      </c>
      <c r="O2865">
        <v>-0.74929509999999999</v>
      </c>
      <c r="P2865">
        <v>0.81726489999999996</v>
      </c>
      <c r="Q2865">
        <v>-0.11727269999999899</v>
      </c>
      <c r="R2865">
        <v>-0.56420329999999996</v>
      </c>
      <c r="S2865">
        <v>2.33609</v>
      </c>
      <c r="T2865">
        <v>-0.29161749999999997</v>
      </c>
      <c r="U2865">
        <v>-1.874512</v>
      </c>
      <c r="V2865">
        <v>-0.2392273</v>
      </c>
      <c r="W2865">
        <v>-0.1033593</v>
      </c>
      <c r="X2865">
        <v>0.96544660000000004</v>
      </c>
      <c r="Y2865">
        <v>-0.16750319999999999</v>
      </c>
      <c r="Z2865">
        <v>6.8792770000000003E-2</v>
      </c>
      <c r="AA2865">
        <v>0.98346849999999997</v>
      </c>
      <c r="AB2865">
        <v>23</v>
      </c>
      <c r="AC2865">
        <v>8.0844999999999896</v>
      </c>
      <c r="AD2865">
        <v>-1.0277325399999999</v>
      </c>
      <c r="AE2865">
        <v>-6.4360999999999802</v>
      </c>
      <c r="AF2865">
        <v>-1.77890966853599</v>
      </c>
      <c r="AG2865">
        <v>-1.0277325399999999</v>
      </c>
      <c r="AH2865">
        <v>10.0765306654332</v>
      </c>
      <c r="AI2865">
        <v>95.7355264739533</v>
      </c>
      <c r="AJ2865">
        <v>100.011830827756</v>
      </c>
      <c r="AK2865">
        <v>10.283833139156</v>
      </c>
      <c r="AL2865">
        <v>95.932647084610295</v>
      </c>
      <c r="AM2865">
        <v>103.916966548324</v>
      </c>
      <c r="AN2865">
        <v>0.99999999170666998</v>
      </c>
    </row>
    <row r="2866" spans="1:40" x14ac:dyDescent="0.25">
      <c r="A2866" t="str">
        <f>"20190305135248572"</f>
        <v>20190305135248572</v>
      </c>
      <c r="B2866" t="str">
        <f>"1551765168562413"</f>
        <v>1551765168562413</v>
      </c>
      <c r="C2866" t="s">
        <v>40</v>
      </c>
      <c r="D2866">
        <v>4.596298</v>
      </c>
      <c r="E2866">
        <v>0.52724740000000003</v>
      </c>
      <c r="F2866" t="s">
        <v>55</v>
      </c>
      <c r="G2866">
        <v>-474.27800000000002</v>
      </c>
      <c r="H2866">
        <v>8.0000370000000001E-2</v>
      </c>
      <c r="I2866">
        <v>220.1172</v>
      </c>
      <c r="J2866">
        <v>-482.82310000000001</v>
      </c>
      <c r="K2866">
        <v>1.1080289999999999</v>
      </c>
      <c r="L2866">
        <v>226.93440000000001</v>
      </c>
      <c r="M2866">
        <v>0.66077909999999995</v>
      </c>
      <c r="N2866">
        <v>-1.344854E-2</v>
      </c>
      <c r="O2866">
        <v>-0.75046000000000002</v>
      </c>
      <c r="P2866">
        <v>0.81728330000000005</v>
      </c>
      <c r="Q2866">
        <v>-0.1140766</v>
      </c>
      <c r="R2866">
        <v>-0.56483190000000005</v>
      </c>
      <c r="S2866">
        <v>2.334686</v>
      </c>
      <c r="T2866">
        <v>-0.27551789999999998</v>
      </c>
      <c r="U2866">
        <v>-1.878128</v>
      </c>
      <c r="V2866">
        <v>-0.24044209999999999</v>
      </c>
      <c r="W2866">
        <v>-0.1003608</v>
      </c>
      <c r="X2866">
        <v>0.96546120000000002</v>
      </c>
      <c r="Y2866">
        <v>-0.1683209</v>
      </c>
      <c r="Z2866">
        <v>6.4611420000000003E-2</v>
      </c>
      <c r="AA2866">
        <v>0.98361240000000005</v>
      </c>
      <c r="AB2866">
        <v>23</v>
      </c>
      <c r="AC2866">
        <v>8.5450999999999908</v>
      </c>
      <c r="AD2866">
        <v>-1.0280286300000001</v>
      </c>
      <c r="AE2866">
        <v>-6.8172000000000104</v>
      </c>
      <c r="AF2866">
        <v>-1.89153546417997</v>
      </c>
      <c r="AG2866">
        <v>-1.0280286300000001</v>
      </c>
      <c r="AH2866">
        <v>10.6690708150037</v>
      </c>
      <c r="AI2866">
        <v>95.419794701476206</v>
      </c>
      <c r="AJ2866">
        <v>100.053587107659</v>
      </c>
      <c r="AK2866">
        <v>10.8841086604239</v>
      </c>
      <c r="AL2866">
        <v>95.759947252352504</v>
      </c>
      <c r="AM2866">
        <v>103.98466691986999</v>
      </c>
      <c r="AN2866">
        <v>1.00000001116724</v>
      </c>
    </row>
    <row r="2867" spans="1:40" x14ac:dyDescent="0.25">
      <c r="A2867" t="str">
        <f>"20190305135248594"</f>
        <v>20190305135248594</v>
      </c>
      <c r="B2867" t="str">
        <f>"1551765168582909"</f>
        <v>1551765168582909</v>
      </c>
      <c r="C2867" t="s">
        <v>40</v>
      </c>
      <c r="D2867">
        <v>4.5596629999999996</v>
      </c>
      <c r="E2867">
        <v>0.52655810000000003</v>
      </c>
      <c r="F2867" t="s">
        <v>55</v>
      </c>
      <c r="G2867">
        <v>-473.97609999999997</v>
      </c>
      <c r="H2867">
        <v>8.0000500000000002E-2</v>
      </c>
      <c r="I2867">
        <v>219.83609999999999</v>
      </c>
      <c r="J2867">
        <v>-482.67189999999999</v>
      </c>
      <c r="K2867">
        <v>1.1082540000000001</v>
      </c>
      <c r="L2867">
        <v>226.76</v>
      </c>
      <c r="M2867">
        <v>0.65976659999999998</v>
      </c>
      <c r="N2867">
        <v>-1.341583E-2</v>
      </c>
      <c r="O2867">
        <v>-0.75135090000000004</v>
      </c>
      <c r="P2867">
        <v>0.81967029999999996</v>
      </c>
      <c r="Q2867">
        <v>-0.1101396</v>
      </c>
      <c r="R2867">
        <v>-0.56214790000000003</v>
      </c>
      <c r="S2867">
        <v>2.3369450000000001</v>
      </c>
      <c r="T2867">
        <v>-0.27155600000000002</v>
      </c>
      <c r="U2867">
        <v>-1.875046</v>
      </c>
      <c r="V2867">
        <v>-0.2452501</v>
      </c>
      <c r="W2867">
        <v>-9.6563040000000003E-2</v>
      </c>
      <c r="X2867">
        <v>0.96463880000000002</v>
      </c>
      <c r="Y2867">
        <v>-0.1709638</v>
      </c>
      <c r="Z2867">
        <v>6.3733029999999996E-2</v>
      </c>
      <c r="AA2867">
        <v>0.98321380000000003</v>
      </c>
      <c r="AB2867">
        <v>23</v>
      </c>
      <c r="AC2867">
        <v>8.6958000000000197</v>
      </c>
      <c r="AD2867">
        <v>-1.0282534999999999</v>
      </c>
      <c r="AE2867">
        <v>-6.9238999999999997</v>
      </c>
      <c r="AF2867">
        <v>-1.9489385046556</v>
      </c>
      <c r="AG2867">
        <v>-1.0282534999999999</v>
      </c>
      <c r="AH2867">
        <v>10.8476353808468</v>
      </c>
      <c r="AI2867">
        <v>95.330080435824897</v>
      </c>
      <c r="AJ2867">
        <v>100.185371169175</v>
      </c>
      <c r="AK2867">
        <v>11.069185151174899</v>
      </c>
      <c r="AL2867">
        <v>95.541288931577597</v>
      </c>
      <c r="AM2867">
        <v>104.264676736678</v>
      </c>
      <c r="AN2867">
        <v>1.0000000233547399</v>
      </c>
    </row>
    <row r="2868" spans="1:40" x14ac:dyDescent="0.25">
      <c r="A2868" t="str">
        <f>"20190305135248619"</f>
        <v>20190305135248619</v>
      </c>
      <c r="B2868" t="str">
        <f>"1551765168612188"</f>
        <v>1551765168612188</v>
      </c>
      <c r="C2868" t="s">
        <v>40</v>
      </c>
      <c r="D2868">
        <v>4.5891830000000002</v>
      </c>
      <c r="E2868">
        <v>0.52560010000000001</v>
      </c>
      <c r="F2868" t="s">
        <v>55</v>
      </c>
      <c r="G2868">
        <v>-472.68759999999997</v>
      </c>
      <c r="H2868" s="1">
        <v>4.9511020000000004E-6</v>
      </c>
      <c r="I2868">
        <v>218.83690000000001</v>
      </c>
      <c r="J2868">
        <v>-482.5129</v>
      </c>
      <c r="K2868">
        <v>1.1083940000000001</v>
      </c>
      <c r="L2868">
        <v>226.5762</v>
      </c>
      <c r="M2868">
        <v>0.65883789999999998</v>
      </c>
      <c r="N2868">
        <v>-1.3385050000000001E-2</v>
      </c>
      <c r="O2868">
        <v>-0.7521658</v>
      </c>
      <c r="P2868">
        <v>0.82394029999999996</v>
      </c>
      <c r="Q2868">
        <v>-0.1054534</v>
      </c>
      <c r="R2868">
        <v>-0.55677829999999995</v>
      </c>
      <c r="S2868">
        <v>2.3474729999999999</v>
      </c>
      <c r="T2868">
        <v>-0.26056750000000001</v>
      </c>
      <c r="U2868">
        <v>-1.8628389999999999</v>
      </c>
      <c r="V2868">
        <v>-0.25315169999999998</v>
      </c>
      <c r="W2868">
        <v>-9.1978829999999998E-2</v>
      </c>
      <c r="X2868">
        <v>0.96304420000000002</v>
      </c>
      <c r="Y2868">
        <v>-0.177638299999999</v>
      </c>
      <c r="Z2868">
        <v>6.1077119999999999E-2</v>
      </c>
      <c r="AA2868">
        <v>0.98219869999999998</v>
      </c>
      <c r="AB2868">
        <v>23</v>
      </c>
      <c r="AC2868">
        <v>9.8253000000000199</v>
      </c>
      <c r="AD2868">
        <v>-1.1083890488979999</v>
      </c>
      <c r="AE2868">
        <v>-7.7392999999999796</v>
      </c>
      <c r="AF2868">
        <v>-2.2736599782472702</v>
      </c>
      <c r="AG2868">
        <v>-1.1083890488979999</v>
      </c>
      <c r="AH2868">
        <v>12.199809275063</v>
      </c>
      <c r="AI2868">
        <v>95.1038367975802</v>
      </c>
      <c r="AJ2868">
        <v>100.557013266027</v>
      </c>
      <c r="AK2868">
        <v>12.459269734952899</v>
      </c>
      <c r="AL2868">
        <v>95.277457935143403</v>
      </c>
      <c r="AM2868">
        <v>104.72792742187001</v>
      </c>
      <c r="AN2868">
        <v>1.00000000976734</v>
      </c>
    </row>
    <row r="2869" spans="1:40" x14ac:dyDescent="0.25">
      <c r="A2869" t="str">
        <f>"20190305135248639"</f>
        <v>20190305135248639</v>
      </c>
      <c r="B2869" t="str">
        <f>"1551765168632686"</f>
        <v>1551765168632686</v>
      </c>
      <c r="C2869" t="s">
        <v>40</v>
      </c>
      <c r="D2869">
        <v>4.5906279999999997</v>
      </c>
      <c r="E2869">
        <v>0.52491690000000002</v>
      </c>
      <c r="F2869" t="s">
        <v>55</v>
      </c>
      <c r="G2869">
        <v>-472.0222</v>
      </c>
      <c r="H2869" s="1">
        <v>5.227573E-6</v>
      </c>
      <c r="I2869">
        <v>218.41210000000001</v>
      </c>
      <c r="J2869">
        <v>-482.37130000000002</v>
      </c>
      <c r="K2869">
        <v>1.108455</v>
      </c>
      <c r="L2869">
        <v>226.41229999999999</v>
      </c>
      <c r="M2869">
        <v>0.65807320000000002</v>
      </c>
      <c r="N2869">
        <v>-1.3361079999999999E-2</v>
      </c>
      <c r="O2869">
        <v>-0.75283559999999905</v>
      </c>
      <c r="P2869">
        <v>0.82651129999999995</v>
      </c>
      <c r="Q2869">
        <v>-0.1057598</v>
      </c>
      <c r="R2869">
        <v>-0.55289630000000001</v>
      </c>
      <c r="S2869">
        <v>2.365265</v>
      </c>
      <c r="T2869">
        <v>-0.2499025</v>
      </c>
      <c r="U2869">
        <v>-1.8407290000000001</v>
      </c>
      <c r="V2869">
        <v>-0.25860640000000001</v>
      </c>
      <c r="W2869">
        <v>-9.23567E-2</v>
      </c>
      <c r="X2869">
        <v>0.96155760000000001</v>
      </c>
      <c r="Y2869">
        <v>-0.18808530000000001</v>
      </c>
      <c r="Z2869">
        <v>5.8601790000000001E-2</v>
      </c>
      <c r="AA2869">
        <v>0.98040280000000002</v>
      </c>
      <c r="AB2869">
        <v>23</v>
      </c>
      <c r="AC2869">
        <v>10.3491</v>
      </c>
      <c r="AD2869">
        <v>-1.1084497724269999</v>
      </c>
      <c r="AE2869">
        <v>-8.0001999999999693</v>
      </c>
      <c r="AF2869">
        <v>-2.50866500058775</v>
      </c>
      <c r="AG2869">
        <v>-1.1084497724269999</v>
      </c>
      <c r="AH2869">
        <v>12.7429417948624</v>
      </c>
      <c r="AI2869">
        <v>94.878214283084404</v>
      </c>
      <c r="AJ2869">
        <v>101.137226609436</v>
      </c>
      <c r="AK2869">
        <v>13.034746893224201</v>
      </c>
      <c r="AL2869">
        <v>95.299200763738895</v>
      </c>
      <c r="AM2869">
        <v>105.05323649269801</v>
      </c>
      <c r="AN2869">
        <v>1.0000000241367999</v>
      </c>
    </row>
    <row r="2870" spans="1:40" x14ac:dyDescent="0.25">
      <c r="A2870" t="str">
        <f>"20190305135248661"</f>
        <v>20190305135248661</v>
      </c>
      <c r="B2870" t="str">
        <f>"1551765168652215"</f>
        <v>1551765168652215</v>
      </c>
      <c r="C2870" t="s">
        <v>40</v>
      </c>
      <c r="D2870">
        <v>4.5604699999999996</v>
      </c>
      <c r="E2870">
        <v>0.52432719999999999</v>
      </c>
      <c r="F2870" t="s">
        <v>55</v>
      </c>
      <c r="G2870">
        <v>-472.06560000000002</v>
      </c>
      <c r="H2870" s="1">
        <v>5.2120479999999999E-6</v>
      </c>
      <c r="I2870">
        <v>218.49629999999999</v>
      </c>
      <c r="J2870">
        <v>-482.22210000000001</v>
      </c>
      <c r="K2870">
        <v>1.1085160000000001</v>
      </c>
      <c r="L2870">
        <v>226.23929999999999</v>
      </c>
      <c r="M2870">
        <v>0.65732409999999997</v>
      </c>
      <c r="N2870">
        <v>-1.333866E-2</v>
      </c>
      <c r="O2870">
        <v>-0.75348999999999999</v>
      </c>
      <c r="P2870">
        <v>0.82696829999999999</v>
      </c>
      <c r="Q2870">
        <v>-0.1124633</v>
      </c>
      <c r="R2870">
        <v>-0.55088649999999995</v>
      </c>
      <c r="S2870">
        <v>2.3760680000000001</v>
      </c>
      <c r="T2870">
        <v>-0.25556240000000002</v>
      </c>
      <c r="U2870">
        <v>-1.8251040000000001</v>
      </c>
      <c r="V2870">
        <v>-0.26122060000000002</v>
      </c>
      <c r="W2870">
        <v>-9.9149000000000001E-2</v>
      </c>
      <c r="X2870">
        <v>0.96017350000000001</v>
      </c>
      <c r="Y2870">
        <v>-0.19514629999999999</v>
      </c>
      <c r="Z2870">
        <v>6.0444100000000001E-2</v>
      </c>
      <c r="AA2870">
        <v>0.97890980000000005</v>
      </c>
      <c r="AB2870">
        <v>23</v>
      </c>
      <c r="AC2870">
        <v>10.1564999999999</v>
      </c>
      <c r="AD2870">
        <v>-1.108510787952</v>
      </c>
      <c r="AE2870">
        <v>-7.7429999999999897</v>
      </c>
      <c r="AF2870">
        <v>-2.54422146220268</v>
      </c>
      <c r="AG2870">
        <v>-1.108510787952</v>
      </c>
      <c r="AH2870">
        <v>12.417945946168301</v>
      </c>
      <c r="AI2870">
        <v>94.997816458826506</v>
      </c>
      <c r="AJ2870">
        <v>101.578672648774</v>
      </c>
      <c r="AK2870">
        <v>12.724277603765801</v>
      </c>
      <c r="AL2870">
        <v>95.690168585055005</v>
      </c>
      <c r="AM2870">
        <v>105.219294106622</v>
      </c>
      <c r="AN2870">
        <v>0.99999993808380305</v>
      </c>
    </row>
    <row r="2871" spans="1:40" x14ac:dyDescent="0.25">
      <c r="A2871" t="str">
        <f>"20190305135248683"</f>
        <v>20190305135248683</v>
      </c>
      <c r="B2871" t="str">
        <f>"1551765168672702"</f>
        <v>1551765168672702</v>
      </c>
      <c r="C2871" t="s">
        <v>40</v>
      </c>
      <c r="D2871">
        <v>4.5714169999999896</v>
      </c>
      <c r="E2871">
        <v>0.52423500000000001</v>
      </c>
      <c r="F2871" t="s">
        <v>55</v>
      </c>
      <c r="G2871">
        <v>-472.81099999999998</v>
      </c>
      <c r="H2871" s="1">
        <v>4.9061590000000001E-6</v>
      </c>
      <c r="I2871">
        <v>219.0608</v>
      </c>
      <c r="J2871">
        <v>-482.07679999999999</v>
      </c>
      <c r="K2871">
        <v>1.1086450000000001</v>
      </c>
      <c r="L2871">
        <v>226.07060000000001</v>
      </c>
      <c r="M2871">
        <v>0.65670439999999997</v>
      </c>
      <c r="N2871">
        <v>-1.3318450000000001E-2</v>
      </c>
      <c r="O2871">
        <v>-0.7540306</v>
      </c>
      <c r="P2871">
        <v>0.82707459999999899</v>
      </c>
      <c r="Q2871">
        <v>-0.12007139999999999</v>
      </c>
      <c r="R2871">
        <v>-0.54911849999999995</v>
      </c>
      <c r="S2871">
        <v>2.380188</v>
      </c>
      <c r="T2871">
        <v>-0.28035589999999999</v>
      </c>
      <c r="U2871">
        <v>-1.815536</v>
      </c>
      <c r="V2871">
        <v>-0.2632254</v>
      </c>
      <c r="W2871">
        <v>-0.106891</v>
      </c>
      <c r="X2871">
        <v>0.95879440000000005</v>
      </c>
      <c r="Y2871">
        <v>-0.1987787</v>
      </c>
      <c r="Z2871">
        <v>6.7406350000000004E-2</v>
      </c>
      <c r="AA2871">
        <v>0.97772360000000003</v>
      </c>
      <c r="AB2871">
        <v>23</v>
      </c>
      <c r="AC2871">
        <v>9.2658000000000094</v>
      </c>
      <c r="AD2871">
        <v>-1.1086400938409999</v>
      </c>
      <c r="AE2871">
        <v>-7.00980000000001</v>
      </c>
      <c r="AF2871">
        <v>-2.3620354638623402</v>
      </c>
      <c r="AG2871">
        <v>-1.1086400938409999</v>
      </c>
      <c r="AH2871">
        <v>11.268901332933201</v>
      </c>
      <c r="AI2871">
        <v>95.499942121033101</v>
      </c>
      <c r="AJ2871">
        <v>101.83818622058</v>
      </c>
      <c r="AK2871">
        <v>11.5670407469499</v>
      </c>
      <c r="AL2871">
        <v>96.136126131717504</v>
      </c>
      <c r="AM2871">
        <v>105.35163340091</v>
      </c>
      <c r="AN2871">
        <v>0.99999999927875904</v>
      </c>
    </row>
    <row r="2872" spans="1:40" x14ac:dyDescent="0.25">
      <c r="A2872" t="str">
        <f>"20190305135248749"</f>
        <v>20190305135248749</v>
      </c>
      <c r="B2872" t="str">
        <f>"1551765168741997"</f>
        <v>1551765168741997</v>
      </c>
      <c r="C2872" t="s">
        <v>40</v>
      </c>
      <c r="D2872">
        <v>4.5790620000000004</v>
      </c>
      <c r="E2872">
        <v>0.54448839999999998</v>
      </c>
      <c r="F2872" t="s">
        <v>55</v>
      </c>
      <c r="G2872">
        <v>-474.10559999999998</v>
      </c>
      <c r="H2872">
        <v>8.0000379999999996E-2</v>
      </c>
      <c r="I2872">
        <v>220.01070000000001</v>
      </c>
      <c r="J2872">
        <v>-481.63229999999999</v>
      </c>
      <c r="K2872">
        <v>1.109728</v>
      </c>
      <c r="L2872">
        <v>225.5583</v>
      </c>
      <c r="M2872">
        <v>0.65668380000000004</v>
      </c>
      <c r="N2872">
        <v>-1.3281960000000001E-2</v>
      </c>
      <c r="O2872">
        <v>-0.75404910000000003</v>
      </c>
      <c r="P2872">
        <v>0.83182230000000001</v>
      </c>
      <c r="Q2872">
        <v>-0.125029</v>
      </c>
      <c r="R2872">
        <v>-0.54077659999999905</v>
      </c>
      <c r="S2872">
        <v>2.3809200000000001</v>
      </c>
      <c r="T2872">
        <v>-0.30724780000000002</v>
      </c>
      <c r="U2872">
        <v>-1.8100590000000001</v>
      </c>
      <c r="V2872">
        <v>-0.2720108</v>
      </c>
      <c r="W2872">
        <v>-0.1126574</v>
      </c>
      <c r="X2872">
        <v>0.955677</v>
      </c>
      <c r="Y2872">
        <v>-0.19981080000000001</v>
      </c>
      <c r="Z2872">
        <v>7.4842409999999998E-2</v>
      </c>
      <c r="AA2872">
        <v>0.97697199999999995</v>
      </c>
      <c r="AB2872">
        <v>23</v>
      </c>
      <c r="AC2872">
        <v>7.5266999999999999</v>
      </c>
      <c r="AD2872">
        <v>-1.0297276200000001</v>
      </c>
      <c r="AE2872">
        <v>-5.5475999999999797</v>
      </c>
      <c r="AF2872">
        <v>-2.0083042903177999</v>
      </c>
      <c r="AG2872">
        <v>-1.0297276200000001</v>
      </c>
      <c r="AH2872">
        <v>9.0172656747317799</v>
      </c>
      <c r="AI2872">
        <v>96.360167923094906</v>
      </c>
      <c r="AJ2872">
        <v>102.555855404833</v>
      </c>
      <c r="AK2872">
        <v>9.2954131345839492</v>
      </c>
      <c r="AL2872">
        <v>96.468525527811707</v>
      </c>
      <c r="AM2872">
        <v>105.887746569691</v>
      </c>
      <c r="AN2872">
        <v>1.0000000467101899</v>
      </c>
    </row>
    <row r="2873" spans="1:40" x14ac:dyDescent="0.25">
      <c r="A2873" t="str">
        <f>"20190305135248773"</f>
        <v>20190305135248773</v>
      </c>
      <c r="B2873" t="str">
        <f>"1551765168762494"</f>
        <v>1551765168762494</v>
      </c>
      <c r="C2873" t="s">
        <v>40</v>
      </c>
      <c r="D2873">
        <v>4.6382450000000004</v>
      </c>
      <c r="E2873">
        <v>0.54295819999999995</v>
      </c>
      <c r="F2873" t="s">
        <v>55</v>
      </c>
      <c r="G2873">
        <v>-471.48559999999998</v>
      </c>
      <c r="H2873" s="1">
        <v>5.4096510000000002E-6</v>
      </c>
      <c r="I2873">
        <v>217.1326</v>
      </c>
      <c r="J2873">
        <v>-481.47719999999998</v>
      </c>
      <c r="K2873">
        <v>1.1102099999999999</v>
      </c>
      <c r="L2873">
        <v>225.38210000000001</v>
      </c>
      <c r="M2873">
        <v>0.6576649</v>
      </c>
      <c r="N2873">
        <v>-1.3284839999999999E-2</v>
      </c>
      <c r="O2873">
        <v>-0.75319389999999997</v>
      </c>
      <c r="P2873">
        <v>0.83586360000000004</v>
      </c>
      <c r="Q2873">
        <v>-0.1238517</v>
      </c>
      <c r="R2873">
        <v>-0.53478340000000002</v>
      </c>
      <c r="S2873">
        <v>2.3174130000000002</v>
      </c>
      <c r="T2873">
        <v>-0.25345020000000001</v>
      </c>
      <c r="U2873">
        <v>-1.9243619999999999</v>
      </c>
      <c r="V2873">
        <v>-0.27762310000000001</v>
      </c>
      <c r="W2873">
        <v>-0.1118348</v>
      </c>
      <c r="X2873">
        <v>0.95415850000000002</v>
      </c>
      <c r="Y2873">
        <v>-0.15750899999999901</v>
      </c>
      <c r="Z2873">
        <v>5.8289349999999997E-2</v>
      </c>
      <c r="AA2873">
        <v>0.98579570000000005</v>
      </c>
      <c r="AB2873">
        <v>23</v>
      </c>
      <c r="AC2873">
        <v>9.9916</v>
      </c>
      <c r="AD2873">
        <v>-1.1102045903489901</v>
      </c>
      <c r="AE2873">
        <v>-8.24950000000001</v>
      </c>
      <c r="AF2873">
        <v>-2.0850823996531802</v>
      </c>
      <c r="AG2873">
        <v>-1.1102045903489901</v>
      </c>
      <c r="AH2873">
        <v>12.6925382479552</v>
      </c>
      <c r="AI2873">
        <v>94.933098215780007</v>
      </c>
      <c r="AJ2873">
        <v>99.329010808572704</v>
      </c>
      <c r="AK2873">
        <v>12.910486049006099</v>
      </c>
      <c r="AL2873">
        <v>96.421094411587305</v>
      </c>
      <c r="AM2873">
        <v>106.22294621523901</v>
      </c>
      <c r="AN2873">
        <v>1.00000002563344</v>
      </c>
    </row>
    <row r="2874" spans="1:40" x14ac:dyDescent="0.25">
      <c r="A2874" t="str">
        <f>"20190305135248796"</f>
        <v>20190305135248796</v>
      </c>
      <c r="B2874" t="str">
        <f>"1551765168792749"</f>
        <v>1551765168792749</v>
      </c>
      <c r="C2874" t="s">
        <v>40</v>
      </c>
      <c r="D2874">
        <v>4.6796740000000003</v>
      </c>
      <c r="E2874">
        <v>0.54178300000000001</v>
      </c>
      <c r="F2874" t="s">
        <v>55</v>
      </c>
      <c r="G2874">
        <v>-471.33690000000001</v>
      </c>
      <c r="H2874" s="1">
        <v>5.4765879999999999E-6</v>
      </c>
      <c r="I2874">
        <v>217.1558</v>
      </c>
      <c r="J2874">
        <v>-481.32119999999998</v>
      </c>
      <c r="K2874">
        <v>1.1106750000000001</v>
      </c>
      <c r="L2874">
        <v>225.20650000000001</v>
      </c>
      <c r="M2874">
        <v>0.65921109999999905</v>
      </c>
      <c r="N2874">
        <v>-1.32896E-2</v>
      </c>
      <c r="O2874">
        <v>-0.75184050000000002</v>
      </c>
      <c r="P2874">
        <v>0.84034589999999998</v>
      </c>
      <c r="Q2874">
        <v>-0.122363899999999</v>
      </c>
      <c r="R2874">
        <v>-0.52805849999999999</v>
      </c>
      <c r="S2874">
        <v>2.337799</v>
      </c>
      <c r="T2874">
        <v>-0.25595180000000001</v>
      </c>
      <c r="U2874">
        <v>-1.89653</v>
      </c>
      <c r="V2874">
        <v>-0.28335009999999999</v>
      </c>
      <c r="W2874">
        <v>-0.11068989999999999</v>
      </c>
      <c r="X2874">
        <v>0.95260719999999999</v>
      </c>
      <c r="Y2874">
        <v>-0.16668749999999999</v>
      </c>
      <c r="Z2874">
        <v>5.9211359999999998E-2</v>
      </c>
      <c r="AA2874">
        <v>0.9842303</v>
      </c>
      <c r="AB2874">
        <v>23</v>
      </c>
      <c r="AC2874">
        <v>9.9842999999999602</v>
      </c>
      <c r="AD2874">
        <v>-1.1106695234119901</v>
      </c>
      <c r="AE2874">
        <v>-8.0507000000000009</v>
      </c>
      <c r="AF2874">
        <v>-2.18331185805879</v>
      </c>
      <c r="AG2874">
        <v>-1.1106695234119901</v>
      </c>
      <c r="AH2874">
        <v>12.541669340741199</v>
      </c>
      <c r="AI2874">
        <v>94.986212961651106</v>
      </c>
      <c r="AJ2874">
        <v>99.875349189613701</v>
      </c>
      <c r="AK2874">
        <v>12.778650449568699</v>
      </c>
      <c r="AL2874">
        <v>96.355086763522607</v>
      </c>
      <c r="AM2874">
        <v>106.564948863998</v>
      </c>
      <c r="AN2874">
        <v>1.00000000531193</v>
      </c>
    </row>
    <row r="2875" spans="1:40" x14ac:dyDescent="0.25">
      <c r="A2875" t="str">
        <f>"20190305135248820"</f>
        <v>20190305135248820</v>
      </c>
      <c r="B2875" t="str">
        <f>"1551765168812270"</f>
        <v>1551765168812270</v>
      </c>
      <c r="C2875" t="s">
        <v>40</v>
      </c>
      <c r="D2875">
        <v>4.7632120000000002</v>
      </c>
      <c r="E2875">
        <v>0.54060699999999995</v>
      </c>
      <c r="F2875" t="s">
        <v>55</v>
      </c>
      <c r="G2875">
        <v>-471.23230000000001</v>
      </c>
      <c r="H2875" s="1">
        <v>5.5252610000000003E-6</v>
      </c>
      <c r="I2875">
        <v>217.20769999999999</v>
      </c>
      <c r="J2875">
        <v>-481.15780000000001</v>
      </c>
      <c r="K2875">
        <v>1.11114</v>
      </c>
      <c r="L2875">
        <v>225.02449999999999</v>
      </c>
      <c r="M2875">
        <v>0.66142609999999902</v>
      </c>
      <c r="N2875">
        <v>-1.329723E-2</v>
      </c>
      <c r="O2875">
        <v>-0.74989249999999996</v>
      </c>
      <c r="P2875">
        <v>0.84425090000000003</v>
      </c>
      <c r="Q2875">
        <v>-0.1173559</v>
      </c>
      <c r="R2875">
        <v>-0.52294180000000001</v>
      </c>
      <c r="S2875">
        <v>2.3575740000000001</v>
      </c>
      <c r="T2875">
        <v>-0.25954100000000002</v>
      </c>
      <c r="U2875">
        <v>-1.869156</v>
      </c>
      <c r="V2875">
        <v>-0.2867615</v>
      </c>
      <c r="W2875">
        <v>-0.10599600000000001</v>
      </c>
      <c r="X2875">
        <v>0.95212010000000002</v>
      </c>
      <c r="Y2875">
        <v>-0.17472550000000001</v>
      </c>
      <c r="Z2875">
        <v>6.0347650000000003E-2</v>
      </c>
      <c r="AA2875">
        <v>0.98276609999999998</v>
      </c>
      <c r="AB2875">
        <v>23</v>
      </c>
      <c r="AC2875">
        <v>9.9254999999999995</v>
      </c>
      <c r="AD2875">
        <v>-1.111134474739</v>
      </c>
      <c r="AE2875">
        <v>-7.8167999999999997</v>
      </c>
      <c r="AF2875">
        <v>-2.2555768233992102</v>
      </c>
      <c r="AG2875">
        <v>-1.111134474739</v>
      </c>
      <c r="AH2875">
        <v>12.332453210645999</v>
      </c>
      <c r="AI2875">
        <v>95.064790044004795</v>
      </c>
      <c r="AJ2875">
        <v>100.364705384034</v>
      </c>
      <c r="AK2875">
        <v>12.5861689492864</v>
      </c>
      <c r="AL2875">
        <v>96.084553421533002</v>
      </c>
      <c r="AM2875">
        <v>106.76135929036499</v>
      </c>
      <c r="AN2875">
        <v>0.99999999736112999</v>
      </c>
    </row>
    <row r="2876" spans="1:40" x14ac:dyDescent="0.25">
      <c r="A2876" t="str">
        <f>"20190305135248839"</f>
        <v>20190305135248839</v>
      </c>
      <c r="B2876" t="str">
        <f>"1551765168832765"</f>
        <v>1551765168832765</v>
      </c>
      <c r="C2876" t="s">
        <v>40</v>
      </c>
      <c r="D2876">
        <v>4.737927</v>
      </c>
      <c r="E2876">
        <v>0.53229399999999905</v>
      </c>
      <c r="F2876" t="s">
        <v>55</v>
      </c>
      <c r="G2876">
        <v>-470.46370000000002</v>
      </c>
      <c r="H2876" s="1">
        <v>5.844494E-6</v>
      </c>
      <c r="I2876">
        <v>216.71420000000001</v>
      </c>
      <c r="J2876">
        <v>-481.0274</v>
      </c>
      <c r="K2876">
        <v>1.1114409999999999</v>
      </c>
      <c r="L2876">
        <v>224.88050000000001</v>
      </c>
      <c r="M2876">
        <v>0.66401949999999998</v>
      </c>
      <c r="N2876">
        <v>-1.363576E-2</v>
      </c>
      <c r="O2876">
        <v>-0.74759129999999996</v>
      </c>
      <c r="P2876">
        <v>0.84727389999999903</v>
      </c>
      <c r="Q2876">
        <v>-0.11077339999999999</v>
      </c>
      <c r="R2876">
        <v>-0.51947749999999904</v>
      </c>
      <c r="S2876">
        <v>2.37561</v>
      </c>
      <c r="T2876">
        <v>-0.24682999999999999</v>
      </c>
      <c r="U2876">
        <v>-1.846069</v>
      </c>
      <c r="V2876">
        <v>-0.28801640000000001</v>
      </c>
      <c r="W2876">
        <v>-9.9204239999999999E-2</v>
      </c>
      <c r="X2876">
        <v>0.95247309999999996</v>
      </c>
      <c r="Y2876">
        <v>-0.1810908</v>
      </c>
      <c r="Z2876">
        <v>5.679795E-2</v>
      </c>
      <c r="AA2876">
        <v>0.9818249</v>
      </c>
      <c r="AB2876">
        <v>23</v>
      </c>
      <c r="AC2876">
        <v>10.5636999999999</v>
      </c>
      <c r="AD2876">
        <v>-1.11143515550599</v>
      </c>
      <c r="AE2876">
        <v>-8.1662999999999997</v>
      </c>
      <c r="AF2876">
        <v>-2.4579462582915701</v>
      </c>
      <c r="AG2876">
        <v>-1.11143515550599</v>
      </c>
      <c r="AH2876">
        <v>13.0304865522012</v>
      </c>
      <c r="AI2876">
        <v>94.791153360054494</v>
      </c>
      <c r="AJ2876">
        <v>100.682211514732</v>
      </c>
      <c r="AK2876">
        <v>13.306779012993401</v>
      </c>
      <c r="AL2876">
        <v>95.693349119921606</v>
      </c>
      <c r="AM2876">
        <v>106.824684681192</v>
      </c>
      <c r="AN2876">
        <v>0.99999996706327299</v>
      </c>
    </row>
    <row r="2877" spans="1:40" x14ac:dyDescent="0.25">
      <c r="A2877" t="str">
        <f>"20190305135248862"</f>
        <v>20190305135248862</v>
      </c>
      <c r="B2877" t="str">
        <f>"1551765168852285"</f>
        <v>1551765168852285</v>
      </c>
      <c r="C2877" t="s">
        <v>40</v>
      </c>
      <c r="D2877">
        <v>4.7869769999999896</v>
      </c>
      <c r="E2877">
        <v>0.53154060000000003</v>
      </c>
      <c r="F2877" t="s">
        <v>55</v>
      </c>
      <c r="G2877">
        <v>-471.62310000000002</v>
      </c>
      <c r="H2877" s="1">
        <v>5.3842839999999998E-6</v>
      </c>
      <c r="I2877">
        <v>217.9479</v>
      </c>
      <c r="J2877">
        <v>-480.88220000000001</v>
      </c>
      <c r="K2877">
        <v>1.1121289999999999</v>
      </c>
      <c r="L2877">
        <v>224.72069999999999</v>
      </c>
      <c r="M2877">
        <v>0.66820310000000005</v>
      </c>
      <c r="N2877">
        <v>-1.4093319999999999E-2</v>
      </c>
      <c r="O2877">
        <v>-0.74384549999999905</v>
      </c>
      <c r="P2877">
        <v>0.85006179999999998</v>
      </c>
      <c r="Q2877">
        <v>-0.1052666</v>
      </c>
      <c r="R2877">
        <v>-0.51605619999999996</v>
      </c>
      <c r="S2877">
        <v>2.4129330000000002</v>
      </c>
      <c r="T2877">
        <v>-0.28517009999999998</v>
      </c>
      <c r="U2877">
        <v>-1.778748</v>
      </c>
      <c r="V2877">
        <v>-0.28698620000000002</v>
      </c>
      <c r="W2877">
        <v>-9.3471680000000001E-2</v>
      </c>
      <c r="X2877">
        <v>0.95336350000000003</v>
      </c>
      <c r="Y2877">
        <v>-0.1997071</v>
      </c>
      <c r="Z2877">
        <v>6.7415489999999995E-2</v>
      </c>
      <c r="AA2877">
        <v>0.97753380000000001</v>
      </c>
      <c r="AB2877">
        <v>23</v>
      </c>
      <c r="AC2877">
        <v>9.2590999999999894</v>
      </c>
      <c r="AD2877">
        <v>-1.1121236157159999</v>
      </c>
      <c r="AE2877">
        <v>-6.7727999999999797</v>
      </c>
      <c r="AF2877">
        <v>-2.3399767795794899</v>
      </c>
      <c r="AG2877">
        <v>-1.1121236157159999</v>
      </c>
      <c r="AH2877">
        <v>11.1214685697188</v>
      </c>
      <c r="AI2877">
        <v>95.588906960447602</v>
      </c>
      <c r="AJ2877">
        <v>101.881825302308</v>
      </c>
      <c r="AK2877">
        <v>11.4192545033749</v>
      </c>
      <c r="AL2877">
        <v>95.363362105191101</v>
      </c>
      <c r="AM2877">
        <v>106.753105458985</v>
      </c>
      <c r="AN2877">
        <v>0.99999999854235599</v>
      </c>
    </row>
    <row r="2878" spans="1:40" x14ac:dyDescent="0.25">
      <c r="A2878" t="str">
        <f>"20190305135248884"</f>
        <v>20190305135248884</v>
      </c>
      <c r="B2878" t="str">
        <f>"1551765168872785"</f>
        <v>1551765168872785</v>
      </c>
      <c r="C2878" t="s">
        <v>40</v>
      </c>
      <c r="D2878">
        <v>4.7823310000000001</v>
      </c>
      <c r="E2878">
        <v>0.53100990000000003</v>
      </c>
      <c r="F2878" t="s">
        <v>55</v>
      </c>
      <c r="G2878">
        <v>-471.16109999999998</v>
      </c>
      <c r="H2878" s="1">
        <v>5.5759740000000002E-6</v>
      </c>
      <c r="I2878">
        <v>217.64580000000001</v>
      </c>
      <c r="J2878">
        <v>-480.73230000000001</v>
      </c>
      <c r="K2878">
        <v>1.1139589999999999</v>
      </c>
      <c r="L2878">
        <v>224.55670000000001</v>
      </c>
      <c r="M2878">
        <v>0.67351949999999905</v>
      </c>
      <c r="N2878">
        <v>-1.4079899999999999E-2</v>
      </c>
      <c r="O2878">
        <v>-0.7390352</v>
      </c>
      <c r="P2878">
        <v>0.85251549999999998</v>
      </c>
      <c r="Q2878">
        <v>-0.1014728</v>
      </c>
      <c r="R2878">
        <v>-0.51275749999999998</v>
      </c>
      <c r="S2878">
        <v>2.423889</v>
      </c>
      <c r="T2878">
        <v>-0.27729890000000001</v>
      </c>
      <c r="U2878">
        <v>-1.7640690000000001</v>
      </c>
      <c r="V2878">
        <v>-0.28393259999999998</v>
      </c>
      <c r="W2878">
        <v>-9.0533069999999993E-2</v>
      </c>
      <c r="X2878">
        <v>0.95456059999999998</v>
      </c>
      <c r="Y2878">
        <v>-0.1988221</v>
      </c>
      <c r="Z2878">
        <v>6.4958520000000006E-2</v>
      </c>
      <c r="AA2878">
        <v>0.97788050000000004</v>
      </c>
      <c r="AB2878">
        <v>22</v>
      </c>
      <c r="AC2878">
        <v>9.5712000000000295</v>
      </c>
      <c r="AD2878">
        <v>-1.1139534240259901</v>
      </c>
      <c r="AE2878">
        <v>-6.9108999999999901</v>
      </c>
      <c r="AF2878">
        <v>-2.39771931075546</v>
      </c>
      <c r="AG2878">
        <v>-1.1139534240259901</v>
      </c>
      <c r="AH2878">
        <v>11.452961288428099</v>
      </c>
      <c r="AI2878">
        <v>95.438139350143004</v>
      </c>
      <c r="AJ2878">
        <v>101.82430586312999</v>
      </c>
      <c r="AK2878">
        <v>11.7541597912527</v>
      </c>
      <c r="AL2878">
        <v>95.194275217311798</v>
      </c>
      <c r="AM2878">
        <v>106.565029768435</v>
      </c>
      <c r="AN2878">
        <v>0.99999994858937102</v>
      </c>
    </row>
    <row r="2879" spans="1:40" x14ac:dyDescent="0.25">
      <c r="A2879" t="str">
        <f>"20190305135248906"</f>
        <v>20190305135248906</v>
      </c>
      <c r="B2879" t="str">
        <f>"1551765168903037"</f>
        <v>1551765168903037</v>
      </c>
      <c r="C2879" t="s">
        <v>40</v>
      </c>
      <c r="D2879">
        <v>4.8193809999999999</v>
      </c>
      <c r="E2879">
        <v>0.52712169999999903</v>
      </c>
      <c r="F2879" t="s">
        <v>55</v>
      </c>
      <c r="G2879">
        <v>-470.79809999999998</v>
      </c>
      <c r="H2879" s="1">
        <v>5.726549E-6</v>
      </c>
      <c r="I2879">
        <v>217.40790000000001</v>
      </c>
      <c r="J2879">
        <v>-480.5772</v>
      </c>
      <c r="K2879">
        <v>1.1167959999999999</v>
      </c>
      <c r="L2879">
        <v>224.39060000000001</v>
      </c>
      <c r="M2879">
        <v>0.67745100000000003</v>
      </c>
      <c r="N2879">
        <v>-1.270287E-2</v>
      </c>
      <c r="O2879">
        <v>-0.73545859999999996</v>
      </c>
      <c r="P2879">
        <v>0.85457209999999995</v>
      </c>
      <c r="Q2879">
        <v>-9.8645109999999994E-2</v>
      </c>
      <c r="R2879">
        <v>-0.50987859999999996</v>
      </c>
      <c r="S2879">
        <v>2.4332889999999998</v>
      </c>
      <c r="T2879">
        <v>-0.27285179999999998</v>
      </c>
      <c r="U2879">
        <v>-1.7510220000000001</v>
      </c>
      <c r="V2879">
        <v>-0.28184320000000002</v>
      </c>
      <c r="W2879">
        <v>-9.0552800000000003E-2</v>
      </c>
      <c r="X2879">
        <v>0.95517779999999997</v>
      </c>
      <c r="Y2879">
        <v>-0.19890079999999999</v>
      </c>
      <c r="Z2879">
        <v>6.4459699999999995E-2</v>
      </c>
      <c r="AA2879">
        <v>0.97789749999999998</v>
      </c>
      <c r="AB2879">
        <v>22</v>
      </c>
      <c r="AC2879">
        <v>9.7791000000000192</v>
      </c>
      <c r="AD2879">
        <v>-1.11679027345099</v>
      </c>
      <c r="AE2879">
        <v>-6.9826999999999897</v>
      </c>
      <c r="AF2879">
        <v>-2.4408005757147899</v>
      </c>
      <c r="AG2879">
        <v>-1.11679027345099</v>
      </c>
      <c r="AH2879">
        <v>11.6605702927399</v>
      </c>
      <c r="AI2879">
        <v>95.355441820318802</v>
      </c>
      <c r="AJ2879">
        <v>101.822505589518</v>
      </c>
      <c r="AK2879">
        <v>11.9655182719852</v>
      </c>
      <c r="AL2879">
        <v>95.195409983198701</v>
      </c>
      <c r="AM2879">
        <v>106.43968733022901</v>
      </c>
      <c r="AN2879">
        <v>1.00000001429346</v>
      </c>
    </row>
    <row r="2880" spans="1:40" x14ac:dyDescent="0.25">
      <c r="A2880" t="str">
        <f>"20190305135248928"</f>
        <v>20190305135248928</v>
      </c>
      <c r="B2880" t="str">
        <f>"1551765168922557"</f>
        <v>1551765168922557</v>
      </c>
      <c r="C2880" t="s">
        <v>40</v>
      </c>
      <c r="D2880">
        <v>4.8265180000000001</v>
      </c>
      <c r="E2880">
        <v>0.52678849999999999</v>
      </c>
      <c r="F2880" t="s">
        <v>55</v>
      </c>
      <c r="G2880">
        <v>-471.66860000000003</v>
      </c>
      <c r="H2880" s="1">
        <v>5.3733179999999999E-6</v>
      </c>
      <c r="I2880">
        <v>218.15819999999999</v>
      </c>
      <c r="J2880">
        <v>-480.43110000000001</v>
      </c>
      <c r="K2880">
        <v>1.119707</v>
      </c>
      <c r="L2880">
        <v>224.23769999999999</v>
      </c>
      <c r="M2880">
        <v>0.67931900000000001</v>
      </c>
      <c r="N2880">
        <v>-1.125636E-2</v>
      </c>
      <c r="O2880">
        <v>-0.73375679999999999</v>
      </c>
      <c r="P2880">
        <v>0.85533309999999996</v>
      </c>
      <c r="Q2880">
        <v>-9.839088E-2</v>
      </c>
      <c r="R2880">
        <v>-0.50864969999999998</v>
      </c>
      <c r="S2880">
        <v>2.451721</v>
      </c>
      <c r="T2880">
        <v>-0.30734810000000001</v>
      </c>
      <c r="U2880">
        <v>-1.715179</v>
      </c>
      <c r="V2880">
        <v>-0.28033360000000002</v>
      </c>
      <c r="W2880">
        <v>-9.3104859999999998E-2</v>
      </c>
      <c r="X2880">
        <v>0.95537660000000002</v>
      </c>
      <c r="Y2880">
        <v>-0.2086259</v>
      </c>
      <c r="Z2880">
        <v>7.4990349999999997E-2</v>
      </c>
      <c r="AA2880">
        <v>0.97511630000000005</v>
      </c>
      <c r="AB2880">
        <v>23</v>
      </c>
      <c r="AC2880">
        <v>8.7624999999999797</v>
      </c>
      <c r="AD2880">
        <v>-1.1197016266819999</v>
      </c>
      <c r="AE2880">
        <v>-6.0794999999999897</v>
      </c>
      <c r="AF2880">
        <v>-2.2746966278141798</v>
      </c>
      <c r="AG2880">
        <v>-1.1197016266819999</v>
      </c>
      <c r="AH2880">
        <v>10.3005279228452</v>
      </c>
      <c r="AI2880">
        <v>96.059025154813696</v>
      </c>
      <c r="AJ2880">
        <v>102.45293535251299</v>
      </c>
      <c r="AK2880">
        <v>10.6079617255483</v>
      </c>
      <c r="AL2880">
        <v>95.342253099219405</v>
      </c>
      <c r="AM2880">
        <v>106.35313007624001</v>
      </c>
      <c r="AN2880">
        <v>0.99999994503606804</v>
      </c>
    </row>
    <row r="2881" spans="1:40" x14ac:dyDescent="0.25">
      <c r="A2881" t="str">
        <f>"20190305135248950"</f>
        <v>20190305135248950</v>
      </c>
      <c r="B2881" t="str">
        <f>"1551765168943054"</f>
        <v>1551765168943054</v>
      </c>
      <c r="C2881" t="s">
        <v>40</v>
      </c>
      <c r="D2881">
        <v>4.8584440000000004</v>
      </c>
      <c r="E2881">
        <v>0.52663669999999996</v>
      </c>
      <c r="F2881" t="s">
        <v>55</v>
      </c>
      <c r="G2881">
        <v>-471.6225</v>
      </c>
      <c r="H2881" s="1">
        <v>5.3914529999999997E-6</v>
      </c>
      <c r="I2881">
        <v>218.1053</v>
      </c>
      <c r="J2881">
        <v>-480.27330000000001</v>
      </c>
      <c r="K2881">
        <v>1.122425</v>
      </c>
      <c r="L2881">
        <v>224.07560000000001</v>
      </c>
      <c r="M2881">
        <v>0.68104980000000004</v>
      </c>
      <c r="N2881">
        <v>-9.9649600000000001E-3</v>
      </c>
      <c r="O2881">
        <v>-0.73216949999999903</v>
      </c>
      <c r="P2881">
        <v>0.85631699999999999</v>
      </c>
      <c r="Q2881">
        <v>-9.823962E-2</v>
      </c>
      <c r="R2881">
        <v>-0.507021099999999</v>
      </c>
      <c r="S2881">
        <v>2.4550779999999999</v>
      </c>
      <c r="T2881">
        <v>-0.31207560000000001</v>
      </c>
      <c r="U2881">
        <v>-1.7091670000000001</v>
      </c>
      <c r="V2881">
        <v>-0.27954509999999899</v>
      </c>
      <c r="W2881">
        <v>-9.5226790000000006E-2</v>
      </c>
      <c r="X2881">
        <v>0.95539859999999999</v>
      </c>
      <c r="Y2881">
        <v>-0.2084019</v>
      </c>
      <c r="Z2881">
        <v>7.6982720000000004E-2</v>
      </c>
      <c r="AA2881">
        <v>0.97500889999999996</v>
      </c>
      <c r="AB2881">
        <v>23</v>
      </c>
      <c r="AC2881">
        <v>8.6508000000000003</v>
      </c>
      <c r="AD2881">
        <v>-1.122419608547</v>
      </c>
      <c r="AE2881">
        <v>-5.9702999999999999</v>
      </c>
      <c r="AF2881">
        <v>-2.2423230724448899</v>
      </c>
      <c r="AG2881">
        <v>-1.122419608547</v>
      </c>
      <c r="AH2881">
        <v>10.147689893993</v>
      </c>
      <c r="AI2881">
        <v>96.164226068162804</v>
      </c>
      <c r="AJ2881">
        <v>102.460354486703</v>
      </c>
      <c r="AK2881">
        <v>10.4529158000778</v>
      </c>
      <c r="AL2881">
        <v>95.4643728552239</v>
      </c>
      <c r="AM2881">
        <v>106.309225610344</v>
      </c>
      <c r="AN2881">
        <v>1.0000000446748301</v>
      </c>
    </row>
    <row r="2882" spans="1:40" x14ac:dyDescent="0.25">
      <c r="A2882" t="str">
        <f>"20190305135248973"</f>
        <v>20190305135248973</v>
      </c>
      <c r="B2882" t="str">
        <f>"1551765168962103"</f>
        <v>1551765168962103</v>
      </c>
      <c r="C2882" t="s">
        <v>40</v>
      </c>
      <c r="D2882">
        <v>4.8490699999999904</v>
      </c>
      <c r="E2882">
        <v>0.52650859999999899</v>
      </c>
      <c r="F2882" t="s">
        <v>55</v>
      </c>
      <c r="G2882">
        <v>-471.52280000000002</v>
      </c>
      <c r="H2882" s="1">
        <v>5.4316779999999998E-6</v>
      </c>
      <c r="I2882">
        <v>218.01400000000001</v>
      </c>
      <c r="J2882">
        <v>-480.11149999999998</v>
      </c>
      <c r="K2882">
        <v>1.124452</v>
      </c>
      <c r="L2882">
        <v>223.91139999999999</v>
      </c>
      <c r="M2882">
        <v>0.68415400000000004</v>
      </c>
      <c r="N2882">
        <v>-8.6874659999999996E-3</v>
      </c>
      <c r="O2882">
        <v>-0.72928579999999998</v>
      </c>
      <c r="P2882">
        <v>0.85775569999999901</v>
      </c>
      <c r="Q2882">
        <v>-9.880717E-2</v>
      </c>
      <c r="R2882">
        <v>-0.5044727</v>
      </c>
      <c r="S2882">
        <v>2.458771</v>
      </c>
      <c r="T2882">
        <v>-0.31538500000000003</v>
      </c>
      <c r="U2882">
        <v>-1.7032320000000001</v>
      </c>
      <c r="V2882">
        <v>-0.27808249999999901</v>
      </c>
      <c r="W2882">
        <v>-9.7461930000000002E-2</v>
      </c>
      <c r="X2882">
        <v>0.9556</v>
      </c>
      <c r="Y2882">
        <v>-0.20641419999999999</v>
      </c>
      <c r="Z2882">
        <v>7.8392219999999999E-2</v>
      </c>
      <c r="AA2882">
        <v>0.9753193</v>
      </c>
      <c r="AB2882">
        <v>22</v>
      </c>
      <c r="AC2882">
        <v>8.5886999999999603</v>
      </c>
      <c r="AD2882">
        <v>-1.124446568322</v>
      </c>
      <c r="AE2882">
        <v>-5.89739999999997</v>
      </c>
      <c r="AF2882">
        <v>-2.2033062634860001</v>
      </c>
      <c r="AG2882">
        <v>-1.124446568322</v>
      </c>
      <c r="AH2882">
        <v>10.060083674748199</v>
      </c>
      <c r="AI2882">
        <v>96.231161700737005</v>
      </c>
      <c r="AJ2882">
        <v>102.35356038789099</v>
      </c>
      <c r="AK2882">
        <v>10.3597404464911</v>
      </c>
      <c r="AL2882">
        <v>95.593035565796299</v>
      </c>
      <c r="AM2882">
        <v>106.22515617955401</v>
      </c>
      <c r="AN2882">
        <v>1.00000003230278</v>
      </c>
    </row>
    <row r="2883" spans="1:40" x14ac:dyDescent="0.25">
      <c r="A2883" t="str">
        <f>"20190305135248997"</f>
        <v>20190305135248997</v>
      </c>
      <c r="B2883" t="str">
        <f>"1551765168992360"</f>
        <v>1551765168992360</v>
      </c>
      <c r="C2883" t="s">
        <v>40</v>
      </c>
      <c r="D2883">
        <v>5.0436139999999998</v>
      </c>
      <c r="E2883">
        <v>0.52127500000000004</v>
      </c>
      <c r="F2883" t="s">
        <v>55</v>
      </c>
      <c r="G2883">
        <v>-471.44929999999999</v>
      </c>
      <c r="H2883" s="1">
        <v>5.4616119999999998E-6</v>
      </c>
      <c r="I2883">
        <v>217.95400000000001</v>
      </c>
      <c r="J2883">
        <v>-479.95299999999997</v>
      </c>
      <c r="K2883">
        <v>1.126004</v>
      </c>
      <c r="L2883">
        <v>223.7516</v>
      </c>
      <c r="M2883">
        <v>0.68862230000000002</v>
      </c>
      <c r="N2883">
        <v>-7.3677780000000002E-3</v>
      </c>
      <c r="O2883">
        <v>-0.72508289999999997</v>
      </c>
      <c r="P2883">
        <v>0.86058099999999904</v>
      </c>
      <c r="Q2883">
        <v>-0.10056379999999999</v>
      </c>
      <c r="R2883">
        <v>-0.49928709999999998</v>
      </c>
      <c r="S2883">
        <v>2.4640200000000001</v>
      </c>
      <c r="T2883">
        <v>-0.3198588</v>
      </c>
      <c r="U2883">
        <v>-1.6946410000000001</v>
      </c>
      <c r="V2883">
        <v>-0.27770149999999999</v>
      </c>
      <c r="W2883">
        <v>-0.10064819999999999</v>
      </c>
      <c r="X2883">
        <v>0.95538040000000002</v>
      </c>
      <c r="Y2883">
        <v>-0.20354559999999999</v>
      </c>
      <c r="Z2883">
        <v>7.9977370000000006E-2</v>
      </c>
      <c r="AA2883">
        <v>0.97579340000000003</v>
      </c>
      <c r="AB2883">
        <v>22</v>
      </c>
      <c r="AC2883">
        <v>8.5037000000000305</v>
      </c>
      <c r="AD2883">
        <v>-1.125998538388</v>
      </c>
      <c r="AE2883">
        <v>-5.7975999999999797</v>
      </c>
      <c r="AF2883">
        <v>-2.1478805181634599</v>
      </c>
      <c r="AG2883">
        <v>-1.125998538388</v>
      </c>
      <c r="AH2883">
        <v>9.9408628868881301</v>
      </c>
      <c r="AI2883">
        <v>96.317763344731603</v>
      </c>
      <c r="AJ2883">
        <v>102.192235302233</v>
      </c>
      <c r="AK2883">
        <v>10.232400420461801</v>
      </c>
      <c r="AL2883">
        <v>95.776498239357394</v>
      </c>
      <c r="AM2883">
        <v>106.20762251782099</v>
      </c>
      <c r="AN2883">
        <v>0.999999945984823</v>
      </c>
    </row>
    <row r="2884" spans="1:40" x14ac:dyDescent="0.25">
      <c r="A2884" t="str">
        <f>"20190305135249019"</f>
        <v>20190305135249019</v>
      </c>
      <c r="B2884" t="str">
        <f>"1551765169012855"</f>
        <v>1551765169012855</v>
      </c>
      <c r="C2884" t="s">
        <v>40</v>
      </c>
      <c r="D2884">
        <v>5.02346</v>
      </c>
      <c r="E2884">
        <v>0.51608779999999999</v>
      </c>
      <c r="F2884" t="s">
        <v>55</v>
      </c>
      <c r="G2884">
        <v>-471.9914</v>
      </c>
      <c r="H2884" s="1">
        <v>5.2452199999999897E-6</v>
      </c>
      <c r="I2884">
        <v>218.5026</v>
      </c>
      <c r="J2884">
        <v>-479.79180000000002</v>
      </c>
      <c r="K2884">
        <v>1.1275630000000001</v>
      </c>
      <c r="L2884">
        <v>223.59030000000001</v>
      </c>
      <c r="M2884">
        <v>0.69381479999999995</v>
      </c>
      <c r="N2884">
        <v>-6.1305029999999998E-3</v>
      </c>
      <c r="O2884">
        <v>-0.72012739999999997</v>
      </c>
      <c r="P2884">
        <v>0.86541119999999905</v>
      </c>
      <c r="Q2884">
        <v>-0.10263410000000001</v>
      </c>
      <c r="R2884">
        <v>-0.4904386</v>
      </c>
      <c r="S2884">
        <v>2.4916990000000001</v>
      </c>
      <c r="T2884">
        <v>-0.35239700000000002</v>
      </c>
      <c r="U2884">
        <v>-1.64274599999999</v>
      </c>
      <c r="V2884">
        <v>-0.28030280000000002</v>
      </c>
      <c r="W2884">
        <v>-0.1041724</v>
      </c>
      <c r="X2884">
        <v>0.95424229999999999</v>
      </c>
      <c r="Y2884">
        <v>-0.2146737</v>
      </c>
      <c r="Z2884">
        <v>8.9527109999999993E-2</v>
      </c>
      <c r="AA2884">
        <v>0.97257389999999999</v>
      </c>
      <c r="AB2884">
        <v>22</v>
      </c>
      <c r="AC2884">
        <v>7.8004000000000202</v>
      </c>
      <c r="AD2884">
        <v>-1.12755775477999</v>
      </c>
      <c r="AE2884">
        <v>-5.0877000000000097</v>
      </c>
      <c r="AF2884">
        <v>-2.0572423428887499</v>
      </c>
      <c r="AG2884">
        <v>-1.12755775477999</v>
      </c>
      <c r="AH2884">
        <v>8.9448728859139504</v>
      </c>
      <c r="AI2884">
        <v>97.003641473871397</v>
      </c>
      <c r="AJ2884">
        <v>102.952287430498</v>
      </c>
      <c r="AK2884">
        <v>9.2473987419650907</v>
      </c>
      <c r="AL2884">
        <v>95.979487341940995</v>
      </c>
      <c r="AM2884">
        <v>106.369826131991</v>
      </c>
      <c r="AN2884">
        <v>0.99999995785944396</v>
      </c>
    </row>
    <row r="2885" spans="1:40" x14ac:dyDescent="0.25">
      <c r="A2885" t="str">
        <f>"20190305135249041"</f>
        <v>20190305135249041</v>
      </c>
      <c r="B2885" t="str">
        <f>"1551765169032376"</f>
        <v>1551765169032376</v>
      </c>
      <c r="C2885" t="s">
        <v>40</v>
      </c>
      <c r="D2885">
        <v>4.8494549999999998</v>
      </c>
      <c r="E2885">
        <v>0.41685070000000002</v>
      </c>
      <c r="F2885" t="s">
        <v>55</v>
      </c>
      <c r="G2885">
        <v>-470.82470000000001</v>
      </c>
      <c r="H2885" s="1">
        <v>5.7399659999999996E-6</v>
      </c>
      <c r="I2885">
        <v>217.9853</v>
      </c>
      <c r="J2885">
        <v>-479.64260000000002</v>
      </c>
      <c r="K2885">
        <v>1.129089</v>
      </c>
      <c r="L2885">
        <v>223.44309999999999</v>
      </c>
      <c r="M2885">
        <v>0.69848379999999999</v>
      </c>
      <c r="N2885">
        <v>-5.024433E-3</v>
      </c>
      <c r="O2885">
        <v>-0.71560819999999903</v>
      </c>
      <c r="P2885">
        <v>0.87019729999999995</v>
      </c>
      <c r="Q2885">
        <v>-0.1070014</v>
      </c>
      <c r="R2885">
        <v>-0.4809445</v>
      </c>
      <c r="S2885">
        <v>2.5318909999999999</v>
      </c>
      <c r="T2885">
        <v>-0.318370599999999</v>
      </c>
      <c r="U2885">
        <v>-1.5825959999999999</v>
      </c>
      <c r="V2885">
        <v>-0.28394989999999998</v>
      </c>
      <c r="W2885">
        <v>-0.10986600000000001</v>
      </c>
      <c r="X2885">
        <v>0.95252400000000004</v>
      </c>
      <c r="Y2885">
        <v>-0.23266039999999999</v>
      </c>
      <c r="Z2885">
        <v>8.1577830000000004E-2</v>
      </c>
      <c r="AA2885">
        <v>0.96913059999999995</v>
      </c>
      <c r="AB2885">
        <v>22</v>
      </c>
      <c r="AC2885">
        <v>8.8178999999999998</v>
      </c>
      <c r="AD2885">
        <v>-1.1290832600339999</v>
      </c>
      <c r="AE2885">
        <v>-5.45779999999999</v>
      </c>
      <c r="AF2885">
        <v>-2.4687434163028801</v>
      </c>
      <c r="AG2885">
        <v>-1.1290832600339999</v>
      </c>
      <c r="AH2885">
        <v>9.9470206137315493</v>
      </c>
      <c r="AI2885">
        <v>96.286772466576195</v>
      </c>
      <c r="AJ2885">
        <v>103.938555532499</v>
      </c>
      <c r="AK2885">
        <v>10.310807056367</v>
      </c>
      <c r="AL2885">
        <v>96.307590945227304</v>
      </c>
      <c r="AM2885">
        <v>106.59945656653601</v>
      </c>
      <c r="AN2885">
        <v>1.0000000271209999</v>
      </c>
    </row>
    <row r="2886" spans="1:40" x14ac:dyDescent="0.25">
      <c r="A2886" t="str">
        <f>"20190305135249063"</f>
        <v>20190305135249063</v>
      </c>
      <c r="B2886" t="str">
        <f>"1551765169052872"</f>
        <v>1551765169052872</v>
      </c>
      <c r="C2886" t="s">
        <v>40</v>
      </c>
      <c r="D2886">
        <v>4.7410139999999998</v>
      </c>
      <c r="E2886">
        <v>0.41123920000000003</v>
      </c>
      <c r="F2886" t="s">
        <v>41</v>
      </c>
      <c r="G2886">
        <v>-478.79410000000001</v>
      </c>
      <c r="H2886">
        <v>1.084093</v>
      </c>
      <c r="I2886">
        <v>223.1927</v>
      </c>
      <c r="J2886">
        <v>-479.48849999999999</v>
      </c>
      <c r="K2886">
        <v>1.1309750000000001</v>
      </c>
      <c r="L2886">
        <v>223.29390000000001</v>
      </c>
      <c r="M2886">
        <v>0.70286040000000005</v>
      </c>
      <c r="N2886">
        <v>-4.09786E-3</v>
      </c>
      <c r="O2886">
        <v>-0.7113159</v>
      </c>
      <c r="P2886">
        <v>0.87482700000000002</v>
      </c>
      <c r="Q2886">
        <v>-0.11167680000000001</v>
      </c>
      <c r="R2886">
        <v>-0.47138730000000001</v>
      </c>
      <c r="S2886">
        <v>2.94754</v>
      </c>
      <c r="T2886">
        <v>-0.15630279999999999</v>
      </c>
      <c r="U2886">
        <v>-0.86985780000000001</v>
      </c>
      <c r="V2886">
        <v>-0.28786420000000001</v>
      </c>
      <c r="W2886">
        <v>-0.115800399999999</v>
      </c>
      <c r="X2886">
        <v>0.9506443</v>
      </c>
      <c r="Y2886">
        <v>-0.4820701</v>
      </c>
      <c r="Z2886">
        <v>4.3154060000000001E-2</v>
      </c>
      <c r="AA2886">
        <v>0.87506930000000005</v>
      </c>
      <c r="AB2886">
        <v>22</v>
      </c>
      <c r="AC2886">
        <v>0.69439999999997304</v>
      </c>
      <c r="AD2886">
        <v>-4.6882E-2</v>
      </c>
      <c r="AE2886">
        <v>-0.10120000000000499</v>
      </c>
      <c r="AF2886">
        <v>-0.42093308105156801</v>
      </c>
      <c r="AG2886">
        <v>-4.6882E-2</v>
      </c>
      <c r="AH2886">
        <v>0.55756753297890604</v>
      </c>
      <c r="AI2886">
        <v>93.839182314976298</v>
      </c>
      <c r="AJ2886">
        <v>127.05081435232501</v>
      </c>
      <c r="AK2886">
        <v>0.70018864206708598</v>
      </c>
      <c r="AL2886">
        <v>96.649792651160894</v>
      </c>
      <c r="AM2886">
        <v>106.846815118002</v>
      </c>
      <c r="AN2886">
        <v>1.00000005770214</v>
      </c>
    </row>
    <row r="2887" spans="1:40" x14ac:dyDescent="0.25">
      <c r="A2887" t="str">
        <f>"20190305135249085"</f>
        <v>20190305135249085</v>
      </c>
      <c r="B2887" t="str">
        <f>"1551765169082659"</f>
        <v>1551765169082659</v>
      </c>
      <c r="C2887" t="s">
        <v>40</v>
      </c>
      <c r="D2887">
        <v>4.8308339999999896</v>
      </c>
      <c r="E2887">
        <v>0.4112439</v>
      </c>
      <c r="F2887" t="s">
        <v>41</v>
      </c>
      <c r="G2887">
        <v>-478.64789999999999</v>
      </c>
      <c r="H2887">
        <v>1.0956170000000001</v>
      </c>
      <c r="I2887">
        <v>223.06800000000001</v>
      </c>
      <c r="J2887">
        <v>-479.33159999999998</v>
      </c>
      <c r="K2887">
        <v>1.1333439999999999</v>
      </c>
      <c r="L2887">
        <v>223.1463</v>
      </c>
      <c r="M2887">
        <v>0.70681309999999997</v>
      </c>
      <c r="N2887">
        <v>-3.4490129999999999E-3</v>
      </c>
      <c r="O2887">
        <v>-0.70739189999999996</v>
      </c>
      <c r="P2887">
        <v>0.87910200000000005</v>
      </c>
      <c r="Q2887">
        <v>-0.11357780000000001</v>
      </c>
      <c r="R2887">
        <v>-0.46290369999999997</v>
      </c>
      <c r="S2887">
        <v>2.981506</v>
      </c>
      <c r="T2887">
        <v>-0.1253908</v>
      </c>
      <c r="U2887">
        <v>-0.80116269999999901</v>
      </c>
      <c r="V2887">
        <v>-0.2914158</v>
      </c>
      <c r="W2887">
        <v>-0.11867279999999999</v>
      </c>
      <c r="X2887">
        <v>0.94920680000000002</v>
      </c>
      <c r="Y2887">
        <v>-0.49894660000000002</v>
      </c>
      <c r="Z2887">
        <v>3.4599480000000002E-2</v>
      </c>
      <c r="AA2887">
        <v>0.86594179999999998</v>
      </c>
      <c r="AB2887">
        <v>22</v>
      </c>
      <c r="AC2887">
        <v>0.68369999999998698</v>
      </c>
      <c r="AD2887">
        <v>-3.7726999999999997E-2</v>
      </c>
      <c r="AE2887">
        <v>-7.8300000000012901E-2</v>
      </c>
      <c r="AF2887">
        <v>-0.42701953349305199</v>
      </c>
      <c r="AG2887">
        <v>-3.7726999999999997E-2</v>
      </c>
      <c r="AH2887">
        <v>0.53702609533914902</v>
      </c>
      <c r="AI2887">
        <v>93.147356718485796</v>
      </c>
      <c r="AJ2887">
        <v>128.49017651110799</v>
      </c>
      <c r="AK2887">
        <v>0.6871433879394</v>
      </c>
      <c r="AL2887">
        <v>96.815512458725493</v>
      </c>
      <c r="AM2887">
        <v>107.066999907888</v>
      </c>
      <c r="AN2887">
        <v>0.99999997555785902</v>
      </c>
    </row>
    <row r="2888" spans="1:40" x14ac:dyDescent="0.25">
      <c r="A2888" t="str">
        <f>"20190305135249117"</f>
        <v>20190305135249117</v>
      </c>
      <c r="B2888" t="str">
        <f>"1551765169112916"</f>
        <v>1551765169112916</v>
      </c>
      <c r="C2888" t="s">
        <v>40</v>
      </c>
      <c r="D2888">
        <v>4.7936740000000002</v>
      </c>
      <c r="E2888">
        <v>0.41240080000000001</v>
      </c>
      <c r="F2888" t="s">
        <v>41</v>
      </c>
      <c r="G2888">
        <v>-478.50880000000001</v>
      </c>
      <c r="H2888">
        <v>1.0953329999999999</v>
      </c>
      <c r="I2888">
        <v>222.93350000000001</v>
      </c>
      <c r="J2888">
        <v>-479.10129999999998</v>
      </c>
      <c r="K2888">
        <v>1.137267</v>
      </c>
      <c r="L2888">
        <v>222.93819999999999</v>
      </c>
      <c r="M2888">
        <v>0.71417830000000004</v>
      </c>
      <c r="N2888">
        <v>-2.237808E-3</v>
      </c>
      <c r="O2888">
        <v>-0.69996040000000004</v>
      </c>
      <c r="P2888">
        <v>0.88550680000000004</v>
      </c>
      <c r="Q2888">
        <v>-0.112302399999999</v>
      </c>
      <c r="R2888">
        <v>-0.45085059999999899</v>
      </c>
      <c r="S2888">
        <v>2.987854</v>
      </c>
      <c r="T2888">
        <v>-0.13801189999999999</v>
      </c>
      <c r="U2888">
        <v>-0.77258300000000002</v>
      </c>
      <c r="V2888">
        <v>-0.29446929999999999</v>
      </c>
      <c r="W2888">
        <v>-0.11887880000000001</v>
      </c>
      <c r="X2888">
        <v>0.94823820000000003</v>
      </c>
      <c r="Y2888">
        <v>-0.49789630000000001</v>
      </c>
      <c r="Z2888">
        <v>3.8655549999999997E-2</v>
      </c>
      <c r="AA2888">
        <v>0.866374599999999</v>
      </c>
      <c r="AB2888">
        <v>22</v>
      </c>
      <c r="AC2888">
        <v>0.59249999999997205</v>
      </c>
      <c r="AD2888">
        <v>-4.1934000000000103E-2</v>
      </c>
      <c r="AE2888">
        <v>-4.6999999999854901E-3</v>
      </c>
      <c r="AF2888">
        <v>-0.409320703844886</v>
      </c>
      <c r="AG2888">
        <v>-4.1934000000000103E-2</v>
      </c>
      <c r="AH2888">
        <v>0.42431618911417002</v>
      </c>
      <c r="AI2888">
        <v>94.068421805895895</v>
      </c>
      <c r="AJ2888">
        <v>133.96947295030901</v>
      </c>
      <c r="AK2888">
        <v>0.59105509666734601</v>
      </c>
      <c r="AL2888">
        <v>96.827399295066101</v>
      </c>
      <c r="AM2888">
        <v>107.251846862267</v>
      </c>
      <c r="AN2888">
        <v>1.00000001083558</v>
      </c>
    </row>
    <row r="2889" spans="1:40" x14ac:dyDescent="0.25">
      <c r="A2889" t="str">
        <f>"20190305135249141"</f>
        <v>20190305135249141</v>
      </c>
      <c r="B2889" t="str">
        <f>"1551765169132436"</f>
        <v>1551765169132436</v>
      </c>
      <c r="C2889" t="s">
        <v>40</v>
      </c>
      <c r="D2889">
        <v>4.7670640000000004</v>
      </c>
      <c r="E2889">
        <v>0.41285840000000001</v>
      </c>
      <c r="F2889" t="s">
        <v>41</v>
      </c>
      <c r="G2889">
        <v>-478.19990000000001</v>
      </c>
      <c r="H2889">
        <v>1.100422</v>
      </c>
      <c r="I2889">
        <v>222.71549999999999</v>
      </c>
      <c r="J2889">
        <v>-478.92989999999998</v>
      </c>
      <c r="K2889">
        <v>1.1408400000000001</v>
      </c>
      <c r="L2889">
        <v>222.7876</v>
      </c>
      <c r="M2889">
        <v>0.72123359999999903</v>
      </c>
      <c r="N2889">
        <v>-1.371223E-3</v>
      </c>
      <c r="O2889">
        <v>-0.69269060000000005</v>
      </c>
      <c r="P2889">
        <v>0.89051209999999903</v>
      </c>
      <c r="Q2889">
        <v>-0.10959480000000001</v>
      </c>
      <c r="R2889">
        <v>-0.44156190000000001</v>
      </c>
      <c r="S2889">
        <v>2.9957280000000002</v>
      </c>
      <c r="T2889">
        <v>-0.1224146</v>
      </c>
      <c r="U2889">
        <v>-0.73983759999999998</v>
      </c>
      <c r="V2889">
        <v>-0.29494890000000001</v>
      </c>
      <c r="W2889">
        <v>-0.1173182</v>
      </c>
      <c r="X2889">
        <v>0.94828349999999995</v>
      </c>
      <c r="Y2889">
        <v>-0.49877359999999998</v>
      </c>
      <c r="Z2889">
        <v>3.4423240000000001E-2</v>
      </c>
      <c r="AA2889">
        <v>0.8660485</v>
      </c>
      <c r="AB2889">
        <v>22</v>
      </c>
      <c r="AC2889">
        <v>0.72999999999996101</v>
      </c>
      <c r="AD2889">
        <v>-4.0417999999999801E-2</v>
      </c>
      <c r="AE2889">
        <v>-7.2100000000006007E-2</v>
      </c>
      <c r="AF2889">
        <v>-0.45229049963170798</v>
      </c>
      <c r="AG2889">
        <v>-4.0417999999999801E-2</v>
      </c>
      <c r="AH2889">
        <v>0.57469931528167195</v>
      </c>
      <c r="AI2889">
        <v>93.163308117744506</v>
      </c>
      <c r="AJ2889">
        <v>128.202877237427</v>
      </c>
      <c r="AK2889">
        <v>0.73244768670965299</v>
      </c>
      <c r="AL2889">
        <v>96.737353380418597</v>
      </c>
      <c r="AM2889">
        <v>107.27749702387</v>
      </c>
      <c r="AN2889">
        <v>1.0000000050173401</v>
      </c>
    </row>
    <row r="2890" spans="1:40" x14ac:dyDescent="0.25">
      <c r="A2890" t="str">
        <f>"20190305135249162"</f>
        <v>20190305135249162</v>
      </c>
      <c r="B2890" t="str">
        <f>"1551765169151971"</f>
        <v>1551765169151971</v>
      </c>
      <c r="C2890" t="s">
        <v>40</v>
      </c>
      <c r="D2890">
        <v>4.8383609999999999</v>
      </c>
      <c r="E2890">
        <v>0.4135933</v>
      </c>
      <c r="F2890" t="s">
        <v>41</v>
      </c>
      <c r="G2890">
        <v>-478.06240000000003</v>
      </c>
      <c r="H2890">
        <v>1.1115820000000001</v>
      </c>
      <c r="I2890">
        <v>222.58199999999999</v>
      </c>
      <c r="J2890">
        <v>-478.77280000000002</v>
      </c>
      <c r="K2890">
        <v>1.144439</v>
      </c>
      <c r="L2890">
        <v>222.65280000000001</v>
      </c>
      <c r="M2890">
        <v>0.72765709999999995</v>
      </c>
      <c r="N2890">
        <v>-7.6566639999999897E-4</v>
      </c>
      <c r="O2890">
        <v>-0.68594069999999996</v>
      </c>
      <c r="P2890">
        <v>0.89452430000000005</v>
      </c>
      <c r="Q2890">
        <v>-0.1071368</v>
      </c>
      <c r="R2890">
        <v>-0.43399120000000002</v>
      </c>
      <c r="S2890">
        <v>3.0036930000000002</v>
      </c>
      <c r="T2890">
        <v>-0.1012628</v>
      </c>
      <c r="U2890">
        <v>-0.71145630000000004</v>
      </c>
      <c r="V2890">
        <v>-0.29429689999999997</v>
      </c>
      <c r="W2890">
        <v>-0.1157318</v>
      </c>
      <c r="X2890">
        <v>0.94868090000000005</v>
      </c>
      <c r="Y2890">
        <v>-0.49921460000000001</v>
      </c>
      <c r="Z2890">
        <v>2.8501789999999999E-2</v>
      </c>
      <c r="AA2890">
        <v>0.86600949999999999</v>
      </c>
      <c r="AB2890">
        <v>22</v>
      </c>
      <c r="AC2890">
        <v>0.71039999999999204</v>
      </c>
      <c r="AD2890">
        <v>-3.28569999999999E-2</v>
      </c>
      <c r="AE2890">
        <v>-7.0800000000019694E-2</v>
      </c>
      <c r="AF2890">
        <v>-0.43485317373071303</v>
      </c>
      <c r="AG2890">
        <v>-3.28569999999999E-2</v>
      </c>
      <c r="AH2890">
        <v>0.56429707888732406</v>
      </c>
      <c r="AI2890">
        <v>92.640661185737997</v>
      </c>
      <c r="AJ2890">
        <v>127.618218912602</v>
      </c>
      <c r="AK2890">
        <v>0.71316762292846803</v>
      </c>
      <c r="AL2890">
        <v>96.645836057740595</v>
      </c>
      <c r="AM2890">
        <v>107.234776250514</v>
      </c>
      <c r="AN2890">
        <v>0.99999998245282995</v>
      </c>
    </row>
    <row r="2891" spans="1:40" x14ac:dyDescent="0.25">
      <c r="A2891" t="str">
        <f>"20190305135249186"</f>
        <v>20190305135249186</v>
      </c>
      <c r="B2891" t="str">
        <f>"1551765169182718"</f>
        <v>1551765169182718</v>
      </c>
      <c r="C2891" t="s">
        <v>40</v>
      </c>
      <c r="D2891">
        <v>4.7660150000000003</v>
      </c>
      <c r="E2891">
        <v>0.41496250000000001</v>
      </c>
      <c r="F2891" t="s">
        <v>41</v>
      </c>
      <c r="G2891">
        <v>-477.91840000000002</v>
      </c>
      <c r="H2891">
        <v>1.1217060000000001</v>
      </c>
      <c r="I2891">
        <v>222.4563</v>
      </c>
      <c r="J2891">
        <v>-478.60379999999998</v>
      </c>
      <c r="K2891">
        <v>1.148236</v>
      </c>
      <c r="L2891">
        <v>222.51070000000001</v>
      </c>
      <c r="M2891">
        <v>0.73405799999999999</v>
      </c>
      <c r="N2891">
        <v>-1.1379639999999999E-4</v>
      </c>
      <c r="O2891">
        <v>-0.67908690000000005</v>
      </c>
      <c r="P2891">
        <v>0.89815149999999999</v>
      </c>
      <c r="Q2891">
        <v>-0.1065933</v>
      </c>
      <c r="R2891">
        <v>-0.4265699</v>
      </c>
      <c r="S2891">
        <v>3.0085139999999999</v>
      </c>
      <c r="T2891">
        <v>-8.0019119999999999E-2</v>
      </c>
      <c r="U2891">
        <v>-0.69183349999999999</v>
      </c>
      <c r="V2891">
        <v>-0.29320649999999998</v>
      </c>
      <c r="W2891">
        <v>-0.1160041</v>
      </c>
      <c r="X2891">
        <v>0.94898519999999997</v>
      </c>
      <c r="Y2891">
        <v>-0.4969594</v>
      </c>
      <c r="Z2891">
        <v>2.2605799999999999E-2</v>
      </c>
      <c r="AA2891">
        <v>0.86747929999999995</v>
      </c>
      <c r="AB2891">
        <v>22</v>
      </c>
      <c r="AC2891">
        <v>0.68539999999995804</v>
      </c>
      <c r="AD2891">
        <v>-2.6530000000000099E-2</v>
      </c>
      <c r="AE2891">
        <v>-5.4400000000015297E-2</v>
      </c>
      <c r="AF2891">
        <v>-0.42488077542519698</v>
      </c>
      <c r="AG2891">
        <v>-2.6530000000000099E-2</v>
      </c>
      <c r="AH2891">
        <v>0.53926273971383798</v>
      </c>
      <c r="AI2891">
        <v>92.213004177033696</v>
      </c>
      <c r="AJ2891">
        <v>128.23429072668401</v>
      </c>
      <c r="AK2891">
        <v>0.68704571657902902</v>
      </c>
      <c r="AL2891">
        <v>96.6615436690292</v>
      </c>
      <c r="AM2891">
        <v>107.169499629329</v>
      </c>
      <c r="AN2891">
        <v>0.99999995633904903</v>
      </c>
    </row>
    <row r="2892" spans="1:40" x14ac:dyDescent="0.25">
      <c r="A2892" t="str">
        <f>"20190305135249209"</f>
        <v>20190305135249209</v>
      </c>
      <c r="B2892" t="str">
        <f>"1551765169202239"</f>
        <v>1551765169202239</v>
      </c>
      <c r="C2892" t="s">
        <v>40</v>
      </c>
      <c r="D2892">
        <v>4.7622879999999999</v>
      </c>
      <c r="E2892">
        <v>0.41580339999999999</v>
      </c>
      <c r="F2892" t="s">
        <v>41</v>
      </c>
      <c r="G2892">
        <v>-477.58510000000001</v>
      </c>
      <c r="H2892">
        <v>1.1247290000000001</v>
      </c>
      <c r="I2892">
        <v>222.2817</v>
      </c>
      <c r="J2892">
        <v>-478.43020000000001</v>
      </c>
      <c r="K2892">
        <v>1.1518060000000001</v>
      </c>
      <c r="L2892">
        <v>222.3674</v>
      </c>
      <c r="M2892">
        <v>0.74046829999999997</v>
      </c>
      <c r="N2892">
        <v>6.5716820000000003E-4</v>
      </c>
      <c r="O2892">
        <v>-0.67209110000000005</v>
      </c>
      <c r="P2892">
        <v>0.90167160000000002</v>
      </c>
      <c r="Q2892">
        <v>-0.10653269999999999</v>
      </c>
      <c r="R2892">
        <v>-0.41909299999999999</v>
      </c>
      <c r="S2892">
        <v>3.010437</v>
      </c>
      <c r="T2892">
        <v>-6.9481130000000002E-2</v>
      </c>
      <c r="U2892">
        <v>-0.67703250000000004</v>
      </c>
      <c r="V2892">
        <v>-0.29203820000000003</v>
      </c>
      <c r="W2892">
        <v>-0.1167176</v>
      </c>
      <c r="X2892">
        <v>0.94925800000000005</v>
      </c>
      <c r="Y2892">
        <v>-0.49297730000000001</v>
      </c>
      <c r="Z2892">
        <v>1.9839820000000001E-2</v>
      </c>
      <c r="AA2892">
        <v>0.86981589999999998</v>
      </c>
      <c r="AB2892">
        <v>22</v>
      </c>
      <c r="AC2892">
        <v>0.84510000000000196</v>
      </c>
      <c r="AD2892">
        <v>-2.7076999999999799E-2</v>
      </c>
      <c r="AE2892">
        <v>-8.5700000000002705E-2</v>
      </c>
      <c r="AF2892">
        <v>-0.50401398370724004</v>
      </c>
      <c r="AG2892">
        <v>-2.7076999999999799E-2</v>
      </c>
      <c r="AH2892">
        <v>0.682674379389972</v>
      </c>
      <c r="AI2892">
        <v>91.827625290593204</v>
      </c>
      <c r="AJ2892">
        <v>126.438206944717</v>
      </c>
      <c r="AK2892">
        <v>0.84900386805769401</v>
      </c>
      <c r="AL2892">
        <v>96.7027033185867</v>
      </c>
      <c r="AM2892">
        <v>107.100458091834</v>
      </c>
      <c r="AN2892">
        <v>1.0000000294864899</v>
      </c>
    </row>
    <row r="2893" spans="1:40" x14ac:dyDescent="0.25">
      <c r="A2893" t="str">
        <f>"20190305135249231"</f>
        <v>20190305135249231</v>
      </c>
      <c r="B2893" t="str">
        <f>"1551765169222733"</f>
        <v>1551765169222733</v>
      </c>
      <c r="C2893" t="s">
        <v>40</v>
      </c>
      <c r="D2893">
        <v>4.9437790000000001</v>
      </c>
      <c r="E2893">
        <v>0.4167247</v>
      </c>
      <c r="F2893" t="s">
        <v>41</v>
      </c>
      <c r="G2893">
        <v>-477.44260000000003</v>
      </c>
      <c r="H2893">
        <v>1.130139</v>
      </c>
      <c r="I2893">
        <v>222.15170000000001</v>
      </c>
      <c r="J2893">
        <v>-478.25790000000001</v>
      </c>
      <c r="K2893">
        <v>1.1551149999999999</v>
      </c>
      <c r="L2893">
        <v>222.22720000000001</v>
      </c>
      <c r="M2893">
        <v>0.74697290000000005</v>
      </c>
      <c r="N2893">
        <v>1.2778729999999999E-3</v>
      </c>
      <c r="O2893">
        <v>-0.66485340000000004</v>
      </c>
      <c r="P2893">
        <v>0.90538750000000001</v>
      </c>
      <c r="Q2893">
        <v>-0.1058045</v>
      </c>
      <c r="R2893">
        <v>-0.41119250000000002</v>
      </c>
      <c r="S2893">
        <v>3.0135800000000001</v>
      </c>
      <c r="T2893">
        <v>-6.610394E-2</v>
      </c>
      <c r="U2893">
        <v>-0.65782169999999995</v>
      </c>
      <c r="V2893">
        <v>-0.29116249999999999</v>
      </c>
      <c r="W2893">
        <v>-0.1165529</v>
      </c>
      <c r="X2893">
        <v>0.94954720000000004</v>
      </c>
      <c r="Y2893">
        <v>-0.49000919999999998</v>
      </c>
      <c r="Z2893">
        <v>1.9036290000000001E-2</v>
      </c>
      <c r="AA2893">
        <v>0.87150939999999999</v>
      </c>
      <c r="AB2893">
        <v>22</v>
      </c>
      <c r="AC2893">
        <v>0.81529999999997904</v>
      </c>
      <c r="AD2893">
        <v>-2.49759999999998E-2</v>
      </c>
      <c r="AE2893">
        <v>-7.5500000000005202E-2</v>
      </c>
      <c r="AF2893">
        <v>-0.48520740247847499</v>
      </c>
      <c r="AG2893">
        <v>-2.49759999999998E-2</v>
      </c>
      <c r="AH2893">
        <v>0.65859111332742304</v>
      </c>
      <c r="AI2893">
        <v>91.748811035248394</v>
      </c>
      <c r="AJ2893">
        <v>126.3803900493</v>
      </c>
      <c r="AK2893">
        <v>0.81840838128025295</v>
      </c>
      <c r="AL2893">
        <v>96.693201834713406</v>
      </c>
      <c r="AM2893">
        <v>107.047267448677</v>
      </c>
      <c r="AN2893">
        <v>1.0000000324662399</v>
      </c>
    </row>
    <row r="2894" spans="1:40" x14ac:dyDescent="0.25">
      <c r="A2894" t="str">
        <f>"20190305135249253"</f>
        <v>20190305135249253</v>
      </c>
      <c r="B2894" t="str">
        <f>"1551765169242254"</f>
        <v>1551765169242254</v>
      </c>
      <c r="C2894" t="s">
        <v>40</v>
      </c>
      <c r="D2894">
        <v>4.7860110000000002</v>
      </c>
      <c r="E2894">
        <v>0.41764810000000002</v>
      </c>
      <c r="F2894" t="s">
        <v>41</v>
      </c>
      <c r="G2894">
        <v>-477.29860000000002</v>
      </c>
      <c r="H2894">
        <v>1.1340429999999999</v>
      </c>
      <c r="I2894">
        <v>222.02459999999999</v>
      </c>
      <c r="J2894">
        <v>-478.0926</v>
      </c>
      <c r="K2894">
        <v>1.1581680000000001</v>
      </c>
      <c r="L2894">
        <v>222.09450000000001</v>
      </c>
      <c r="M2894">
        <v>0.75340090000000004</v>
      </c>
      <c r="N2894">
        <v>1.6469970000000001E-3</v>
      </c>
      <c r="O2894">
        <v>-0.65755949999999996</v>
      </c>
      <c r="P2894">
        <v>0.90889500000000001</v>
      </c>
      <c r="Q2894">
        <v>-0.1057454</v>
      </c>
      <c r="R2894">
        <v>-0.40339570000000002</v>
      </c>
      <c r="S2894">
        <v>3.016235</v>
      </c>
      <c r="T2894">
        <v>-6.6302539999999993E-2</v>
      </c>
      <c r="U2894">
        <v>-0.63751219999999997</v>
      </c>
      <c r="V2894">
        <v>-0.29007880000000003</v>
      </c>
      <c r="W2894">
        <v>-0.11683159999999999</v>
      </c>
      <c r="X2894">
        <v>0.94984449999999998</v>
      </c>
      <c r="Y2894">
        <v>-0.48729889999999998</v>
      </c>
      <c r="Z2894">
        <v>1.9114619999999999E-2</v>
      </c>
      <c r="AA2894">
        <v>0.87302599999999997</v>
      </c>
      <c r="AB2894">
        <v>22</v>
      </c>
      <c r="AC2894">
        <v>0.79399999999998205</v>
      </c>
      <c r="AD2894">
        <v>-2.41249999999999E-2</v>
      </c>
      <c r="AE2894">
        <v>-6.9900000000018198E-2</v>
      </c>
      <c r="AF2894">
        <v>-0.46901046913480898</v>
      </c>
      <c r="AG2894">
        <v>-2.41249999999999E-2</v>
      </c>
      <c r="AH2894">
        <v>0.64357498101311605</v>
      </c>
      <c r="AI2894">
        <v>91.735233279203698</v>
      </c>
      <c r="AJ2894">
        <v>126.082997067636</v>
      </c>
      <c r="AK2894">
        <v>0.79670671640766699</v>
      </c>
      <c r="AL2894">
        <v>96.709280543879402</v>
      </c>
      <c r="AM2894">
        <v>106.982466612877</v>
      </c>
      <c r="AN2894">
        <v>0.99999995357412297</v>
      </c>
    </row>
    <row r="2895" spans="1:40" x14ac:dyDescent="0.25">
      <c r="A2895" t="str">
        <f>"20190305135249274"</f>
        <v>20190305135249274</v>
      </c>
      <c r="B2895" t="str">
        <f>"1551765169262753"</f>
        <v>1551765169262753</v>
      </c>
      <c r="C2895" t="s">
        <v>40</v>
      </c>
      <c r="D2895">
        <v>4.9956829999999997</v>
      </c>
      <c r="E2895">
        <v>0.41793439999999998</v>
      </c>
      <c r="F2895" t="s">
        <v>41</v>
      </c>
      <c r="G2895">
        <v>-477.1524</v>
      </c>
      <c r="H2895">
        <v>1.13724</v>
      </c>
      <c r="I2895">
        <v>221.90190000000001</v>
      </c>
      <c r="J2895">
        <v>-477.9325</v>
      </c>
      <c r="K2895">
        <v>1.161044</v>
      </c>
      <c r="L2895">
        <v>221.96809999999999</v>
      </c>
      <c r="M2895">
        <v>0.75954719999999998</v>
      </c>
      <c r="N2895">
        <v>1.7434799999999999E-3</v>
      </c>
      <c r="O2895">
        <v>-0.65044990000000003</v>
      </c>
      <c r="P2895">
        <v>0.91261760000000003</v>
      </c>
      <c r="Q2895">
        <v>-0.10546709999999999</v>
      </c>
      <c r="R2895">
        <v>-0.39497599999999999</v>
      </c>
      <c r="S2895">
        <v>3.0186769999999998</v>
      </c>
      <c r="T2895">
        <v>-6.7141530000000005E-2</v>
      </c>
      <c r="U2895">
        <v>-0.61772159999999998</v>
      </c>
      <c r="V2895">
        <v>-0.28992519999999999</v>
      </c>
      <c r="W2895">
        <v>-0.1167272</v>
      </c>
      <c r="X2895">
        <v>0.94990430000000003</v>
      </c>
      <c r="Y2895">
        <v>-0.4847148</v>
      </c>
      <c r="Z2895">
        <v>1.9241979999999999E-2</v>
      </c>
      <c r="AA2895">
        <v>0.87446059999999903</v>
      </c>
      <c r="AB2895">
        <v>22</v>
      </c>
      <c r="AC2895">
        <v>0.78010000000000401</v>
      </c>
      <c r="AD2895">
        <v>-2.3803999999999902E-2</v>
      </c>
      <c r="AE2895">
        <v>-6.6199999999980705E-2</v>
      </c>
      <c r="AF2895">
        <v>-0.45671241575769</v>
      </c>
      <c r="AG2895">
        <v>-2.3803999999999902E-2</v>
      </c>
      <c r="AH2895">
        <v>0.63499647872174303</v>
      </c>
      <c r="AI2895">
        <v>91.743136582421897</v>
      </c>
      <c r="AJ2895">
        <v>125.72505305077</v>
      </c>
      <c r="AK2895">
        <v>0.78254289921526898</v>
      </c>
      <c r="AL2895">
        <v>96.703257207652996</v>
      </c>
      <c r="AM2895">
        <v>106.972984171394</v>
      </c>
      <c r="AN2895">
        <v>1.0000000199866801</v>
      </c>
    </row>
    <row r="2896" spans="1:40" x14ac:dyDescent="0.25">
      <c r="A2896" t="str">
        <f>"20190305135249296"</f>
        <v>20190305135249296</v>
      </c>
      <c r="B2896" t="str">
        <f>"1551765169293006"</f>
        <v>1551765169293006</v>
      </c>
      <c r="C2896" t="s">
        <v>40</v>
      </c>
      <c r="D2896">
        <v>4.7939309999999997</v>
      </c>
      <c r="E2896">
        <v>0.41943520000000001</v>
      </c>
      <c r="F2896" t="s">
        <v>41</v>
      </c>
      <c r="G2896">
        <v>-477.00279999999998</v>
      </c>
      <c r="H2896">
        <v>1.1405559999999999</v>
      </c>
      <c r="I2896">
        <v>221.78620000000001</v>
      </c>
      <c r="J2896">
        <v>-477.76609999999999</v>
      </c>
      <c r="K2896">
        <v>1.1640010000000001</v>
      </c>
      <c r="L2896">
        <v>221.83930000000001</v>
      </c>
      <c r="M2896">
        <v>0.76549140000000004</v>
      </c>
      <c r="N2896">
        <v>1.33525299999999E-3</v>
      </c>
      <c r="O2896">
        <v>-0.64344469999999898</v>
      </c>
      <c r="P2896">
        <v>0.91656269999999995</v>
      </c>
      <c r="Q2896">
        <v>-0.1057452</v>
      </c>
      <c r="R2896">
        <v>-0.38565640000000001</v>
      </c>
      <c r="S2896">
        <v>3.02359</v>
      </c>
      <c r="T2896">
        <v>-6.6631560000000006E-2</v>
      </c>
      <c r="U2896">
        <v>-0.59143069999999998</v>
      </c>
      <c r="V2896">
        <v>-0.29083769999999998</v>
      </c>
      <c r="W2896">
        <v>-0.116703</v>
      </c>
      <c r="X2896">
        <v>0.94962829999999998</v>
      </c>
      <c r="Y2896">
        <v>-0.48427979999999998</v>
      </c>
      <c r="Z2896">
        <v>1.8784840000000001E-2</v>
      </c>
      <c r="AA2896">
        <v>0.87471149999999998</v>
      </c>
      <c r="AB2896">
        <v>22</v>
      </c>
      <c r="AC2896">
        <v>0.76330000000001497</v>
      </c>
      <c r="AD2896">
        <v>-2.3445000000000101E-2</v>
      </c>
      <c r="AE2896">
        <v>-5.3100000000000501E-2</v>
      </c>
      <c r="AF2896">
        <v>-0.450071593097286</v>
      </c>
      <c r="AG2896">
        <v>-2.3445000000000101E-2</v>
      </c>
      <c r="AH2896">
        <v>0.61788694057187499</v>
      </c>
      <c r="AI2896">
        <v>91.756712562116604</v>
      </c>
      <c r="AJ2896">
        <v>126.069761100527</v>
      </c>
      <c r="AK2896">
        <v>0.76478649194883197</v>
      </c>
      <c r="AL2896">
        <v>96.701861020098903</v>
      </c>
      <c r="AM2896">
        <v>107.02798141889301</v>
      </c>
      <c r="AN2896">
        <v>1.0000000330555801</v>
      </c>
    </row>
    <row r="2897" spans="1:40" x14ac:dyDescent="0.25">
      <c r="A2897" t="str">
        <f>"20190305135249321"</f>
        <v>20190305135249321</v>
      </c>
      <c r="B2897" t="str">
        <f>"1551765169312526"</f>
        <v>1551765169312526</v>
      </c>
      <c r="C2897" t="s">
        <v>40</v>
      </c>
      <c r="D2897">
        <v>4.7763749999999998</v>
      </c>
      <c r="E2897">
        <v>0.42052060000000002</v>
      </c>
      <c r="F2897" t="s">
        <v>41</v>
      </c>
      <c r="G2897">
        <v>-476.85419999999999</v>
      </c>
      <c r="H2897">
        <v>1.142949</v>
      </c>
      <c r="I2897">
        <v>221.6671</v>
      </c>
      <c r="J2897">
        <v>-477.58199999999999</v>
      </c>
      <c r="K2897">
        <v>1.1670259999999999</v>
      </c>
      <c r="L2897">
        <v>221.7011</v>
      </c>
      <c r="M2897">
        <v>0.77158009999999999</v>
      </c>
      <c r="N2897">
        <v>2.6227070000000002E-4</v>
      </c>
      <c r="O2897">
        <v>-0.63613219999999904</v>
      </c>
      <c r="P2897">
        <v>0.92064389999999996</v>
      </c>
      <c r="Q2897">
        <v>-0.1072647</v>
      </c>
      <c r="R2897">
        <v>-0.37537900000000002</v>
      </c>
      <c r="S2897">
        <v>3.024902</v>
      </c>
      <c r="T2897">
        <v>-6.9791320000000004E-2</v>
      </c>
      <c r="U2897">
        <v>-0.57070919999999903</v>
      </c>
      <c r="V2897">
        <v>-0.29240640000000001</v>
      </c>
      <c r="W2897">
        <v>-0.1169757</v>
      </c>
      <c r="X2897">
        <v>0.94911279999999998</v>
      </c>
      <c r="Y2897">
        <v>-0.48179260000000002</v>
      </c>
      <c r="Z2897">
        <v>1.9026640000000001E-2</v>
      </c>
      <c r="AA2897">
        <v>0.87607869999999999</v>
      </c>
      <c r="AB2897">
        <v>22</v>
      </c>
      <c r="AC2897">
        <v>0.727800000000002</v>
      </c>
      <c r="AD2897">
        <v>-2.4077000000000098E-2</v>
      </c>
      <c r="AE2897">
        <v>-3.3999999999991801E-2</v>
      </c>
      <c r="AF2897">
        <v>-0.43626687020670202</v>
      </c>
      <c r="AG2897">
        <v>-2.4077000000000098E-2</v>
      </c>
      <c r="AH2897">
        <v>0.58254832459910899</v>
      </c>
      <c r="AI2897">
        <v>91.894764390877299</v>
      </c>
      <c r="AJ2897">
        <v>126.82931515300901</v>
      </c>
      <c r="AK2897">
        <v>0.72819711236874596</v>
      </c>
      <c r="AL2897">
        <v>96.7175938106096</v>
      </c>
      <c r="AM2897">
        <v>107.123224328041</v>
      </c>
      <c r="AN2897">
        <v>0.99999996213764397</v>
      </c>
    </row>
    <row r="2898" spans="1:40" x14ac:dyDescent="0.25">
      <c r="A2898" t="str">
        <f>"20190305135249341"</f>
        <v>20190305135249341</v>
      </c>
      <c r="B2898" t="str">
        <f>"1551765169333021"</f>
        <v>1551765169333021</v>
      </c>
      <c r="C2898" t="s">
        <v>40</v>
      </c>
      <c r="D2898">
        <v>4.8453239999999997</v>
      </c>
      <c r="E2898">
        <v>0.42127589999999998</v>
      </c>
      <c r="F2898" t="s">
        <v>41</v>
      </c>
      <c r="G2898">
        <v>-476.70890000000003</v>
      </c>
      <c r="H2898">
        <v>1.1447700000000001</v>
      </c>
      <c r="I2898">
        <v>221.54419999999999</v>
      </c>
      <c r="J2898">
        <v>-477.42110000000002</v>
      </c>
      <c r="K2898">
        <v>1.1692629999999999</v>
      </c>
      <c r="L2898">
        <v>221.5839</v>
      </c>
      <c r="M2898">
        <v>0.77710699999999999</v>
      </c>
      <c r="N2898">
        <v>-7.5353499999999995E-4</v>
      </c>
      <c r="O2898">
        <v>-0.62936829999999999</v>
      </c>
      <c r="P2898">
        <v>0.92410720000000002</v>
      </c>
      <c r="Q2898">
        <v>-0.10938009999999999</v>
      </c>
      <c r="R2898">
        <v>-0.36614479999999999</v>
      </c>
      <c r="S2898">
        <v>3.027771</v>
      </c>
      <c r="T2898">
        <v>-7.7187420000000007E-2</v>
      </c>
      <c r="U2898">
        <v>-0.54405209999999904</v>
      </c>
      <c r="V2898">
        <v>-0.29365720000000001</v>
      </c>
      <c r="W2898">
        <v>-0.117576399999999</v>
      </c>
      <c r="X2898">
        <v>0.9486523</v>
      </c>
      <c r="Y2898">
        <v>-0.48170420000000003</v>
      </c>
      <c r="Z2898">
        <v>2.047003E-2</v>
      </c>
      <c r="AA2898">
        <v>0.87609479999999995</v>
      </c>
      <c r="AB2898">
        <v>22</v>
      </c>
      <c r="AC2898">
        <v>0.71219999999999495</v>
      </c>
      <c r="AD2898">
        <v>-2.44929999999998E-2</v>
      </c>
      <c r="AE2898">
        <v>-3.9700000000010498E-2</v>
      </c>
      <c r="AF2898">
        <v>-0.41689346953099699</v>
      </c>
      <c r="AG2898">
        <v>-2.44929999999998E-2</v>
      </c>
      <c r="AH2898">
        <v>0.57776039116295197</v>
      </c>
      <c r="AI2898">
        <v>91.968927446589205</v>
      </c>
      <c r="AJ2898">
        <v>125.813014562205</v>
      </c>
      <c r="AK2898">
        <v>0.71288648576288804</v>
      </c>
      <c r="AL2898">
        <v>96.7522504631321</v>
      </c>
      <c r="AM2898">
        <v>107.20001426467201</v>
      </c>
      <c r="AN2898">
        <v>0.99999997362204396</v>
      </c>
    </row>
    <row r="2899" spans="1:40" x14ac:dyDescent="0.25">
      <c r="A2899" t="str">
        <f>"20190305135249367"</f>
        <v>20190305135249367</v>
      </c>
      <c r="B2899" t="str">
        <f>"1551765169362809"</f>
        <v>1551765169362809</v>
      </c>
      <c r="C2899" t="s">
        <v>40</v>
      </c>
      <c r="D2899">
        <v>4.7803040000000001</v>
      </c>
      <c r="E2899">
        <v>0.42115649999999899</v>
      </c>
      <c r="F2899" t="s">
        <v>41</v>
      </c>
      <c r="G2899">
        <v>-476.5557</v>
      </c>
      <c r="H2899">
        <v>1.1446339999999999</v>
      </c>
      <c r="I2899">
        <v>221.4357</v>
      </c>
      <c r="J2899">
        <v>-477.23009999999999</v>
      </c>
      <c r="K2899">
        <v>1.171502</v>
      </c>
      <c r="L2899">
        <v>221.4479</v>
      </c>
      <c r="M2899">
        <v>0.78452929999999999</v>
      </c>
      <c r="N2899">
        <v>-1.7384500000000001E-3</v>
      </c>
      <c r="O2899">
        <v>-0.62008949999999996</v>
      </c>
      <c r="P2899">
        <v>0.9280815</v>
      </c>
      <c r="Q2899">
        <v>-0.110153</v>
      </c>
      <c r="R2899">
        <v>-0.35571249999999999</v>
      </c>
      <c r="S2899">
        <v>3.0306700000000002</v>
      </c>
      <c r="T2899">
        <v>-8.6230989999999993E-2</v>
      </c>
      <c r="U2899">
        <v>-0.51870729999999998</v>
      </c>
      <c r="V2899">
        <v>-0.2933887</v>
      </c>
      <c r="W2899">
        <v>-0.1164702</v>
      </c>
      <c r="X2899">
        <v>0.94887189999999999</v>
      </c>
      <c r="Y2899">
        <v>-0.4784795</v>
      </c>
      <c r="Z2899">
        <v>2.226063E-2</v>
      </c>
      <c r="AA2899">
        <v>0.8778165</v>
      </c>
      <c r="AB2899">
        <v>22</v>
      </c>
      <c r="AC2899">
        <v>0.67439999999999101</v>
      </c>
      <c r="AD2899">
        <v>-2.68680000000001E-2</v>
      </c>
      <c r="AE2899">
        <v>-1.2200000000007E-2</v>
      </c>
      <c r="AF2899">
        <v>-0.40797034673412302</v>
      </c>
      <c r="AG2899">
        <v>-2.68680000000001E-2</v>
      </c>
      <c r="AH2899">
        <v>0.53580224555084799</v>
      </c>
      <c r="AI2899">
        <v>92.2846918803411</v>
      </c>
      <c r="AJ2899">
        <v>127.28635724971301</v>
      </c>
      <c r="AK2899">
        <v>0.67397755124016701</v>
      </c>
      <c r="AL2899">
        <v>96.688430798292103</v>
      </c>
      <c r="AM2899">
        <v>107.181471498173</v>
      </c>
      <c r="AN2899">
        <v>1.0000000596926599</v>
      </c>
    </row>
    <row r="2900" spans="1:40" x14ac:dyDescent="0.25">
      <c r="A2900" t="str">
        <f>"20190305135249387"</f>
        <v>20190305135249387</v>
      </c>
      <c r="B2900" t="str">
        <f>"1551765169382329"</f>
        <v>1551765169382329</v>
      </c>
      <c r="C2900" t="s">
        <v>40</v>
      </c>
      <c r="D2900">
        <v>4.7701979999999997</v>
      </c>
      <c r="E2900">
        <v>0.42116969999999998</v>
      </c>
      <c r="F2900" t="s">
        <v>41</v>
      </c>
      <c r="G2900">
        <v>-476.21629999999999</v>
      </c>
      <c r="H2900">
        <v>1.141443</v>
      </c>
      <c r="I2900">
        <v>221.28649999999999</v>
      </c>
      <c r="J2900">
        <v>-477.0727</v>
      </c>
      <c r="K2900">
        <v>1.1731609999999999</v>
      </c>
      <c r="L2900">
        <v>221.33789999999999</v>
      </c>
      <c r="M2900">
        <v>0.79169599999999996</v>
      </c>
      <c r="N2900">
        <v>-2.1614799999999999E-3</v>
      </c>
      <c r="O2900">
        <v>-0.61091139999999999</v>
      </c>
      <c r="P2900">
        <v>0.93209799999999998</v>
      </c>
      <c r="Q2900">
        <v>-0.1104154</v>
      </c>
      <c r="R2900">
        <v>-0.34496599999999999</v>
      </c>
      <c r="S2900">
        <v>3.0367130000000002</v>
      </c>
      <c r="T2900">
        <v>-8.99924E-2</v>
      </c>
      <c r="U2900">
        <v>-0.48291020000000001</v>
      </c>
      <c r="V2900">
        <v>-0.29358269999999997</v>
      </c>
      <c r="W2900">
        <v>-0.1155803</v>
      </c>
      <c r="X2900">
        <v>0.94892069999999995</v>
      </c>
      <c r="Y2900">
        <v>-0.47859269999999998</v>
      </c>
      <c r="Z2900">
        <v>2.289478E-2</v>
      </c>
      <c r="AA2900">
        <v>0.87773849999999998</v>
      </c>
      <c r="AB2900">
        <v>22</v>
      </c>
      <c r="AC2900">
        <v>0.85640000000000704</v>
      </c>
      <c r="AD2900">
        <v>-3.17180000000001E-2</v>
      </c>
      <c r="AE2900">
        <v>-5.1400000000000903E-2</v>
      </c>
      <c r="AF2900">
        <v>-0.48183392561709898</v>
      </c>
      <c r="AG2900">
        <v>-3.17180000000001E-2</v>
      </c>
      <c r="AH2900">
        <v>0.70844268831326496</v>
      </c>
      <c r="AI2900">
        <v>92.120146395396304</v>
      </c>
      <c r="AJ2900">
        <v>124.22083936914299</v>
      </c>
      <c r="AK2900">
        <v>0.857356988671644</v>
      </c>
      <c r="AL2900">
        <v>96.637096644418605</v>
      </c>
      <c r="AM2900">
        <v>107.191330974115</v>
      </c>
      <c r="AN2900">
        <v>1.0000000511879299</v>
      </c>
    </row>
    <row r="2901" spans="1:40" x14ac:dyDescent="0.25">
      <c r="A2901" t="str">
        <f>"20190305135249411"</f>
        <v>20190305135249411</v>
      </c>
      <c r="B2901" t="str">
        <f>"1551765169402825"</f>
        <v>1551765169402825</v>
      </c>
      <c r="C2901" t="s">
        <v>40</v>
      </c>
      <c r="D2901">
        <v>4.7756569999999998</v>
      </c>
      <c r="E2901">
        <v>0.42146159999999999</v>
      </c>
      <c r="F2901" t="s">
        <v>41</v>
      </c>
      <c r="G2901">
        <v>-476.05739999999997</v>
      </c>
      <c r="H2901">
        <v>1.143124</v>
      </c>
      <c r="I2901">
        <v>221.18860000000001</v>
      </c>
      <c r="J2901">
        <v>-476.87479999999999</v>
      </c>
      <c r="K2901">
        <v>1.175576</v>
      </c>
      <c r="L2901">
        <v>221.2028</v>
      </c>
      <c r="M2901">
        <v>0.8006759</v>
      </c>
      <c r="N2901">
        <v>-3.0435169999999999E-3</v>
      </c>
      <c r="O2901">
        <v>-0.59909000000000001</v>
      </c>
      <c r="P2901">
        <v>0.9370716</v>
      </c>
      <c r="Q2901">
        <v>-0.1113682</v>
      </c>
      <c r="R2901">
        <v>-0.3308989</v>
      </c>
      <c r="S2901">
        <v>3.042389</v>
      </c>
      <c r="T2901">
        <v>-8.9992639999999999E-2</v>
      </c>
      <c r="U2901">
        <v>-0.44726559999999999</v>
      </c>
      <c r="V2901">
        <v>-0.29392279999999998</v>
      </c>
      <c r="W2901">
        <v>-0.1151505</v>
      </c>
      <c r="X2901">
        <v>0.94886760000000003</v>
      </c>
      <c r="Y2901">
        <v>-0.4758732</v>
      </c>
      <c r="Z2901">
        <v>2.22539E-2</v>
      </c>
      <c r="AA2901">
        <v>0.87923229999999997</v>
      </c>
      <c r="AB2901">
        <v>22</v>
      </c>
      <c r="AC2901">
        <v>0.81740000000002</v>
      </c>
      <c r="AD2901">
        <v>-3.2451999999999898E-2</v>
      </c>
      <c r="AE2901">
        <v>-1.4199999999988199E-2</v>
      </c>
      <c r="AF2901">
        <v>-0.47757625384191199</v>
      </c>
      <c r="AG2901">
        <v>-3.2451999999999898E-2</v>
      </c>
      <c r="AH2901">
        <v>0.66193959322989204</v>
      </c>
      <c r="AI2901">
        <v>92.276769489737006</v>
      </c>
      <c r="AJ2901">
        <v>125.809699186505</v>
      </c>
      <c r="AK2901">
        <v>0.81688202062661996</v>
      </c>
      <c r="AL2901">
        <v>96.612305823124004</v>
      </c>
      <c r="AM2901">
        <v>107.21097658767199</v>
      </c>
      <c r="AN2901">
        <v>0.99999998616992503</v>
      </c>
    </row>
    <row r="2902" spans="1:40" x14ac:dyDescent="0.25">
      <c r="A2902" t="str">
        <f>"20190305135249434"</f>
        <v>20190305135249434</v>
      </c>
      <c r="B2902" t="str">
        <f>"1551765169422346"</f>
        <v>1551765169422346</v>
      </c>
      <c r="C2902" t="s">
        <v>40</v>
      </c>
      <c r="D2902">
        <v>4.8129330000000001</v>
      </c>
      <c r="E2902">
        <v>0.4217341</v>
      </c>
      <c r="F2902" t="s">
        <v>41</v>
      </c>
      <c r="G2902">
        <v>-475.90499999999997</v>
      </c>
      <c r="H2902">
        <v>1.144528</v>
      </c>
      <c r="I2902">
        <v>221.07470000000001</v>
      </c>
      <c r="J2902">
        <v>-476.69690000000003</v>
      </c>
      <c r="K2902">
        <v>1.1779790000000001</v>
      </c>
      <c r="L2902">
        <v>221.08420000000001</v>
      </c>
      <c r="M2902">
        <v>0.80808480000000005</v>
      </c>
      <c r="N2902">
        <v>-4.0349920000000003E-3</v>
      </c>
      <c r="O2902">
        <v>-0.58905269999999899</v>
      </c>
      <c r="P2902">
        <v>0.94115389999999999</v>
      </c>
      <c r="Q2902">
        <v>-0.1131081</v>
      </c>
      <c r="R2902">
        <v>-0.31849050000000001</v>
      </c>
      <c r="S2902">
        <v>3.0478209999999999</v>
      </c>
      <c r="T2902">
        <v>-9.7556589999999999E-2</v>
      </c>
      <c r="U2902">
        <v>-0.40231319999999998</v>
      </c>
      <c r="V2902">
        <v>-0.29451739999999998</v>
      </c>
      <c r="W2902">
        <v>-0.11586829999999999</v>
      </c>
      <c r="X2902">
        <v>0.94859579999999999</v>
      </c>
      <c r="Y2902">
        <v>-0.47778710000000002</v>
      </c>
      <c r="Z2902">
        <v>2.3661600000000001E-2</v>
      </c>
      <c r="AA2902">
        <v>0.87815699999999997</v>
      </c>
      <c r="AB2902">
        <v>22</v>
      </c>
      <c r="AC2902">
        <v>0.791900000000055</v>
      </c>
      <c r="AD2902">
        <v>-3.3451000000000099E-2</v>
      </c>
      <c r="AE2902">
        <v>-9.5000000000027198E-3</v>
      </c>
      <c r="AF2902">
        <v>-0.45798059336820102</v>
      </c>
      <c r="AG2902">
        <v>-3.3451000000000099E-2</v>
      </c>
      <c r="AH2902">
        <v>0.64437386049084799</v>
      </c>
      <c r="AI2902">
        <v>92.422954614659105</v>
      </c>
      <c r="AJ2902">
        <v>125.402831370041</v>
      </c>
      <c r="AK2902">
        <v>0.79125398285681203</v>
      </c>
      <c r="AL2902">
        <v>96.653709940426197</v>
      </c>
      <c r="AM2902">
        <v>107.24837898108299</v>
      </c>
      <c r="AN2902">
        <v>0.99999997681264396</v>
      </c>
    </row>
    <row r="2903" spans="1:40" x14ac:dyDescent="0.25">
      <c r="A2903" t="str">
        <f>"20190305135249454"</f>
        <v>20190305135249454</v>
      </c>
      <c r="B2903" t="str">
        <f>"1551765169442845"</f>
        <v>1551765169442845</v>
      </c>
      <c r="C2903" t="s">
        <v>40</v>
      </c>
      <c r="D2903">
        <v>4.774127</v>
      </c>
      <c r="E2903">
        <v>0.42230459999999898</v>
      </c>
      <c r="F2903" t="s">
        <v>41</v>
      </c>
      <c r="G2903">
        <v>-475.7466</v>
      </c>
      <c r="H2903">
        <v>1.145756</v>
      </c>
      <c r="I2903">
        <v>220.97110000000001</v>
      </c>
      <c r="J2903">
        <v>-476.52749999999997</v>
      </c>
      <c r="K2903">
        <v>1.180293</v>
      </c>
      <c r="L2903">
        <v>220.97399999999999</v>
      </c>
      <c r="M2903">
        <v>0.81446980000000002</v>
      </c>
      <c r="N2903">
        <v>-5.1264609999999997E-3</v>
      </c>
      <c r="O2903">
        <v>-0.58018329999999996</v>
      </c>
      <c r="P2903">
        <v>0.94442559999999998</v>
      </c>
      <c r="Q2903">
        <v>-0.1150389</v>
      </c>
      <c r="R2903">
        <v>-0.30793880000000001</v>
      </c>
      <c r="S2903">
        <v>3.0520939999999999</v>
      </c>
      <c r="T2903">
        <v>-0.1034905</v>
      </c>
      <c r="U2903">
        <v>-0.36358639999999998</v>
      </c>
      <c r="V2903">
        <v>-0.294537099999999</v>
      </c>
      <c r="W2903">
        <v>-0.11695170000000001</v>
      </c>
      <c r="X2903">
        <v>0.94845679999999999</v>
      </c>
      <c r="Y2903">
        <v>-0.4792691</v>
      </c>
      <c r="Z2903">
        <v>2.4619269999999999E-2</v>
      </c>
      <c r="AA2903">
        <v>0.87732259999999995</v>
      </c>
      <c r="AB2903">
        <v>22</v>
      </c>
      <c r="AC2903">
        <v>0.78089999999997395</v>
      </c>
      <c r="AD2903">
        <v>-3.4536999999999998E-2</v>
      </c>
      <c r="AE2903">
        <v>-2.9000000000110001E-3</v>
      </c>
      <c r="AF2903">
        <v>-0.449829226517512</v>
      </c>
      <c r="AG2903">
        <v>-3.4536999999999998E-2</v>
      </c>
      <c r="AH2903">
        <v>0.63646544246761205</v>
      </c>
      <c r="AI2903">
        <v>92.537309544399307</v>
      </c>
      <c r="AJ2903">
        <v>125.251196106663</v>
      </c>
      <c r="AK2903">
        <v>0.78014575359597904</v>
      </c>
      <c r="AL2903">
        <v>96.716208598933704</v>
      </c>
      <c r="AM2903">
        <v>107.25184218846201</v>
      </c>
      <c r="AN2903">
        <v>1.0000000524377599</v>
      </c>
    </row>
    <row r="2904" spans="1:40" x14ac:dyDescent="0.25">
      <c r="A2904" t="str">
        <f>"20190305135249476"</f>
        <v>20190305135249476</v>
      </c>
      <c r="B2904" t="str">
        <f>"1551765169472629"</f>
        <v>1551765169472629</v>
      </c>
      <c r="C2904" t="s">
        <v>40</v>
      </c>
      <c r="D2904">
        <v>4.8517910000000004</v>
      </c>
      <c r="E2904">
        <v>0.4231412</v>
      </c>
      <c r="F2904" t="s">
        <v>41</v>
      </c>
      <c r="G2904">
        <v>-475.58569999999997</v>
      </c>
      <c r="H2904">
        <v>1.1460570000000001</v>
      </c>
      <c r="I2904">
        <v>220.87090000000001</v>
      </c>
      <c r="J2904">
        <v>-476.35469999999998</v>
      </c>
      <c r="K2904">
        <v>1.1825209999999999</v>
      </c>
      <c r="L2904">
        <v>220.86439999999999</v>
      </c>
      <c r="M2904">
        <v>0.82055100000000003</v>
      </c>
      <c r="N2904">
        <v>-6.3702539999999997E-3</v>
      </c>
      <c r="O2904">
        <v>-0.57153799999999999</v>
      </c>
      <c r="P2904">
        <v>0.94752809999999998</v>
      </c>
      <c r="Q2904">
        <v>-0.11755549999999999</v>
      </c>
      <c r="R2904">
        <v>-0.29727330000000002</v>
      </c>
      <c r="S2904">
        <v>3.0541079999999998</v>
      </c>
      <c r="T2904">
        <v>-0.1109793</v>
      </c>
      <c r="U2904">
        <v>-0.33392329999999998</v>
      </c>
      <c r="V2904">
        <v>-0.29485430000000001</v>
      </c>
      <c r="W2904">
        <v>-0.11865439999999999</v>
      </c>
      <c r="X2904">
        <v>0.94814659999999995</v>
      </c>
      <c r="Y2904">
        <v>-0.47840840000000001</v>
      </c>
      <c r="Z2904">
        <v>2.5878370000000001E-2</v>
      </c>
      <c r="AA2904">
        <v>0.87775609999999904</v>
      </c>
      <c r="AB2904">
        <v>22</v>
      </c>
      <c r="AC2904">
        <v>0.76900000000000501</v>
      </c>
      <c r="AD2904">
        <v>-3.6464000000000003E-2</v>
      </c>
      <c r="AE2904">
        <v>6.5000000000168196E-3</v>
      </c>
      <c r="AF2904">
        <v>-0.44385738014716603</v>
      </c>
      <c r="AG2904">
        <v>-3.6464000000000003E-2</v>
      </c>
      <c r="AH2904">
        <v>0.62589421683880897</v>
      </c>
      <c r="AI2904">
        <v>92.720782219408207</v>
      </c>
      <c r="AJ2904">
        <v>125.34263361520701</v>
      </c>
      <c r="AK2904">
        <v>0.76816832001806201</v>
      </c>
      <c r="AL2904">
        <v>96.814450889746297</v>
      </c>
      <c r="AM2904">
        <v>107.27463077192</v>
      </c>
      <c r="AN2904">
        <v>0.99999994997970298</v>
      </c>
    </row>
    <row r="2905" spans="1:40" x14ac:dyDescent="0.25">
      <c r="A2905" t="str">
        <f>"20190305135249498"</f>
        <v>20190305135249498</v>
      </c>
      <c r="B2905" t="str">
        <f>"1551765169492149"</f>
        <v>1551765169492149</v>
      </c>
      <c r="C2905" t="s">
        <v>40</v>
      </c>
      <c r="D2905">
        <v>4.8118889999999999</v>
      </c>
      <c r="E2905">
        <v>0.42389919999999998</v>
      </c>
      <c r="F2905" t="s">
        <v>41</v>
      </c>
      <c r="G2905">
        <v>-475.42399999999998</v>
      </c>
      <c r="H2905">
        <v>1.1468640000000001</v>
      </c>
      <c r="I2905">
        <v>220.77109999999999</v>
      </c>
      <c r="J2905">
        <v>-476.17110000000002</v>
      </c>
      <c r="K2905">
        <v>1.1846030000000001</v>
      </c>
      <c r="L2905">
        <v>220.75069999999999</v>
      </c>
      <c r="M2905">
        <v>0.82682690000000003</v>
      </c>
      <c r="N2905">
        <v>-7.8083639999999999E-3</v>
      </c>
      <c r="O2905">
        <v>-0.56240239999999997</v>
      </c>
      <c r="P2905">
        <v>0.95089380000000001</v>
      </c>
      <c r="Q2905">
        <v>-0.1193853</v>
      </c>
      <c r="R2905">
        <v>-0.28556730000000002</v>
      </c>
      <c r="S2905">
        <v>3.0554809999999999</v>
      </c>
      <c r="T2905">
        <v>-0.1170751</v>
      </c>
      <c r="U2905">
        <v>-0.30654910000000002</v>
      </c>
      <c r="V2905">
        <v>-0.29570790000000002</v>
      </c>
      <c r="W2905">
        <v>-0.119615</v>
      </c>
      <c r="X2905">
        <v>0.94776000000000005</v>
      </c>
      <c r="Y2905">
        <v>-0.4764468</v>
      </c>
      <c r="Z2905">
        <v>2.667067E-2</v>
      </c>
      <c r="AA2905">
        <v>0.87879869999999904</v>
      </c>
      <c r="AB2905">
        <v>22</v>
      </c>
      <c r="AC2905">
        <v>0.747099999999989</v>
      </c>
      <c r="AD2905">
        <v>-3.7739000000000099E-2</v>
      </c>
      <c r="AE2905">
        <v>2.0399999999994999E-2</v>
      </c>
      <c r="AF2905">
        <v>-0.43593984948742498</v>
      </c>
      <c r="AG2905">
        <v>-3.7739000000000099E-2</v>
      </c>
      <c r="AH2905">
        <v>0.60472589726694603</v>
      </c>
      <c r="AI2905">
        <v>92.898062782263395</v>
      </c>
      <c r="AJ2905">
        <v>125.78739411321</v>
      </c>
      <c r="AK2905">
        <v>0.74643231127640197</v>
      </c>
      <c r="AL2905">
        <v>96.869883913064598</v>
      </c>
      <c r="AM2905">
        <v>107.32829529415601</v>
      </c>
      <c r="AN2905">
        <v>0.99999996397370405</v>
      </c>
    </row>
    <row r="2906" spans="1:40" x14ac:dyDescent="0.25">
      <c r="A2906" t="str">
        <f>"20190305135249521"</f>
        <v>20190305135249521</v>
      </c>
      <c r="B2906" t="str">
        <f>"1551765169512645"</f>
        <v>1551765169512645</v>
      </c>
      <c r="C2906" t="s">
        <v>40</v>
      </c>
      <c r="D2906">
        <v>4.8361419999999997</v>
      </c>
      <c r="E2906">
        <v>0.42472399999999999</v>
      </c>
      <c r="F2906" t="s">
        <v>41</v>
      </c>
      <c r="G2906">
        <v>-475.26310000000001</v>
      </c>
      <c r="H2906">
        <v>1.1479269999999999</v>
      </c>
      <c r="I2906">
        <v>220.66890000000001</v>
      </c>
      <c r="J2906">
        <v>-475.97750000000002</v>
      </c>
      <c r="K2906">
        <v>1.1864429999999999</v>
      </c>
      <c r="L2906">
        <v>220.63399999999999</v>
      </c>
      <c r="M2906">
        <v>0.83337030000000001</v>
      </c>
      <c r="N2906">
        <v>-9.4188599999999994E-3</v>
      </c>
      <c r="O2906">
        <v>-0.55263499999999999</v>
      </c>
      <c r="P2906">
        <v>0.95465770000000005</v>
      </c>
      <c r="Q2906">
        <v>-0.1201083</v>
      </c>
      <c r="R2906">
        <v>-0.27240259999999999</v>
      </c>
      <c r="S2906">
        <v>3.0568240000000002</v>
      </c>
      <c r="T2906">
        <v>-0.1234397</v>
      </c>
      <c r="U2906">
        <v>-0.27497860000000002</v>
      </c>
      <c r="V2906">
        <v>-0.29740650000000002</v>
      </c>
      <c r="W2906">
        <v>-0.1194168</v>
      </c>
      <c r="X2906">
        <v>0.94725340000000002</v>
      </c>
      <c r="Y2906">
        <v>-0.47508909999999999</v>
      </c>
      <c r="Z2906">
        <v>2.74661E-2</v>
      </c>
      <c r="AA2906">
        <v>0.87950890000000004</v>
      </c>
      <c r="AB2906">
        <v>22</v>
      </c>
      <c r="AC2906">
        <v>0.71440000000001103</v>
      </c>
      <c r="AD2906">
        <v>-3.8516000000000002E-2</v>
      </c>
      <c r="AE2906">
        <v>3.48999999999932E-2</v>
      </c>
      <c r="AF2906">
        <v>-0.42268014853267999</v>
      </c>
      <c r="AG2906">
        <v>-3.8516000000000002E-2</v>
      </c>
      <c r="AH2906">
        <v>0.57443254878227701</v>
      </c>
      <c r="AI2906">
        <v>93.091296023345095</v>
      </c>
      <c r="AJ2906">
        <v>126.346455209346</v>
      </c>
      <c r="AK2906">
        <v>0.71422317472909802</v>
      </c>
      <c r="AL2906">
        <v>96.858445648997602</v>
      </c>
      <c r="AM2906">
        <v>107.430578072443</v>
      </c>
      <c r="AN2906">
        <v>1.0000000010880199</v>
      </c>
    </row>
    <row r="2907" spans="1:40" x14ac:dyDescent="0.25">
      <c r="A2907" t="str">
        <f>"20190305135249543"</f>
        <v>20190305135249543</v>
      </c>
      <c r="B2907" t="str">
        <f>"1551765169532165"</f>
        <v>1551765169532165</v>
      </c>
      <c r="C2907" t="s">
        <v>40</v>
      </c>
      <c r="D2907">
        <v>4.8477930000000002</v>
      </c>
      <c r="E2907">
        <v>0.4251182</v>
      </c>
      <c r="F2907" t="s">
        <v>41</v>
      </c>
      <c r="G2907">
        <v>-475.10129999999998</v>
      </c>
      <c r="H2907">
        <v>1.1506149999999999</v>
      </c>
      <c r="I2907">
        <v>220.56540000000001</v>
      </c>
      <c r="J2907">
        <v>-475.79419999999999</v>
      </c>
      <c r="K2907">
        <v>1.1878660000000001</v>
      </c>
      <c r="L2907">
        <v>220.52619999999999</v>
      </c>
      <c r="M2907">
        <v>0.83945009999999998</v>
      </c>
      <c r="N2907">
        <v>-1.10572E-2</v>
      </c>
      <c r="O2907">
        <v>-0.54332449999999999</v>
      </c>
      <c r="P2907">
        <v>0.95773710000000001</v>
      </c>
      <c r="Q2907">
        <v>-0.12112879999999999</v>
      </c>
      <c r="R2907">
        <v>-0.26089790000000002</v>
      </c>
      <c r="S2907">
        <v>3.0584410000000002</v>
      </c>
      <c r="T2907">
        <v>-0.12506210000000001</v>
      </c>
      <c r="U2907">
        <v>-0.23942569999999999</v>
      </c>
      <c r="V2907">
        <v>-0.29798560000000002</v>
      </c>
      <c r="W2907">
        <v>-0.1194778</v>
      </c>
      <c r="X2907">
        <v>0.94706369999999895</v>
      </c>
      <c r="Y2907">
        <v>-0.4754951</v>
      </c>
      <c r="Z2907">
        <v>2.713724E-2</v>
      </c>
      <c r="AA2907">
        <v>0.87929969999999902</v>
      </c>
      <c r="AB2907">
        <v>22</v>
      </c>
      <c r="AC2907">
        <v>0.69290000000000795</v>
      </c>
      <c r="AD2907">
        <v>-3.7251000000000097E-2</v>
      </c>
      <c r="AE2907">
        <v>3.92000000000223E-2</v>
      </c>
      <c r="AF2907">
        <v>-0.40822486186374501</v>
      </c>
      <c r="AG2907">
        <v>-3.7251000000000097E-2</v>
      </c>
      <c r="AH2907">
        <v>0.55878098186809599</v>
      </c>
      <c r="AI2907">
        <v>93.081247456938399</v>
      </c>
      <c r="AJ2907">
        <v>126.150492086756</v>
      </c>
      <c r="AK2907">
        <v>0.69301613295950604</v>
      </c>
      <c r="AL2907">
        <v>96.861965852597294</v>
      </c>
      <c r="AM2907">
        <v>107.46574215191001</v>
      </c>
      <c r="AN2907">
        <v>1.0000000071789401</v>
      </c>
    </row>
    <row r="2908" spans="1:40" x14ac:dyDescent="0.25">
      <c r="A2908" t="str">
        <f>"20190305135249567"</f>
        <v>20190305135249567</v>
      </c>
      <c r="B2908" t="str">
        <f>"1551765169562928"</f>
        <v>1551765169562928</v>
      </c>
      <c r="C2908" t="s">
        <v>40</v>
      </c>
      <c r="D2908">
        <v>4.9065789999999998</v>
      </c>
      <c r="E2908">
        <v>0.44659919999999997</v>
      </c>
      <c r="F2908" t="s">
        <v>41</v>
      </c>
      <c r="G2908">
        <v>-474.9119</v>
      </c>
      <c r="H2908">
        <v>1.151564</v>
      </c>
      <c r="I2908">
        <v>220.4665</v>
      </c>
      <c r="J2908">
        <v>-475.59840000000003</v>
      </c>
      <c r="K2908">
        <v>1.189073</v>
      </c>
      <c r="L2908">
        <v>220.41419999999999</v>
      </c>
      <c r="M2908">
        <v>0.84568960000000004</v>
      </c>
      <c r="N2908">
        <v>-1.2959399999999999E-2</v>
      </c>
      <c r="O2908">
        <v>-0.53351800000000005</v>
      </c>
      <c r="P2908">
        <v>0.96052099999999996</v>
      </c>
      <c r="Q2908">
        <v>-0.12304470000000001</v>
      </c>
      <c r="R2908">
        <v>-0.2495193</v>
      </c>
      <c r="S2908">
        <v>3.0602109999999998</v>
      </c>
      <c r="T2908">
        <v>-0.1258802</v>
      </c>
      <c r="U2908">
        <v>-0.206543</v>
      </c>
      <c r="V2908">
        <v>-0.29782439999999999</v>
      </c>
      <c r="W2908">
        <v>-0.120226</v>
      </c>
      <c r="X2908">
        <v>0.94701979999999997</v>
      </c>
      <c r="Y2908">
        <v>-0.47471530000000001</v>
      </c>
      <c r="Z2908">
        <v>2.6504630000000001E-2</v>
      </c>
      <c r="AA2908">
        <v>0.87974019999999997</v>
      </c>
      <c r="AB2908">
        <v>22</v>
      </c>
      <c r="AC2908">
        <v>0.68650000000002298</v>
      </c>
      <c r="AD2908">
        <v>-3.7509000000000001E-2</v>
      </c>
      <c r="AE2908">
        <v>5.23000000000024E-2</v>
      </c>
      <c r="AF2908">
        <v>-0.409309220310277</v>
      </c>
      <c r="AG2908">
        <v>-3.7509000000000001E-2</v>
      </c>
      <c r="AH2908">
        <v>0.55107361598888605</v>
      </c>
      <c r="AI2908">
        <v>93.127637098895903</v>
      </c>
      <c r="AJ2908">
        <v>126.603071321874</v>
      </c>
      <c r="AK2908">
        <v>0.68747588550513705</v>
      </c>
      <c r="AL2908">
        <v>96.905145280331197</v>
      </c>
      <c r="AM2908">
        <v>107.457627958142</v>
      </c>
      <c r="AN2908">
        <v>1.00000008295169</v>
      </c>
    </row>
    <row r="2909" spans="1:40" x14ac:dyDescent="0.25">
      <c r="A2909" t="str">
        <f>"20190305135249587"</f>
        <v>20190305135249587</v>
      </c>
      <c r="B2909" t="str">
        <f>"1551765169582447"</f>
        <v>1551765169582447</v>
      </c>
      <c r="C2909" t="s">
        <v>40</v>
      </c>
      <c r="D2909">
        <v>4.9744449999999896</v>
      </c>
      <c r="E2909">
        <v>0.44719989999999998</v>
      </c>
      <c r="F2909" t="s">
        <v>41</v>
      </c>
      <c r="G2909">
        <v>-474.59519999999998</v>
      </c>
      <c r="H2909">
        <v>1.1411789999999999</v>
      </c>
      <c r="I2909">
        <v>220.30199999999999</v>
      </c>
      <c r="J2909">
        <v>-475.43189999999998</v>
      </c>
      <c r="K2909">
        <v>1.1898550000000001</v>
      </c>
      <c r="L2909">
        <v>220.32149999999999</v>
      </c>
      <c r="M2909">
        <v>0.85087409999999997</v>
      </c>
      <c r="N2909">
        <v>-1.460258E-2</v>
      </c>
      <c r="O2909">
        <v>-0.52516689999999999</v>
      </c>
      <c r="P2909">
        <v>0.96258140000000003</v>
      </c>
      <c r="Q2909">
        <v>-0.1248587</v>
      </c>
      <c r="R2909">
        <v>-0.24051520000000001</v>
      </c>
      <c r="S2909">
        <v>3.017242</v>
      </c>
      <c r="T2909">
        <v>-0.1440119</v>
      </c>
      <c r="U2909">
        <v>-0.33723449999999999</v>
      </c>
      <c r="V2909">
        <v>-0.29703580000000002</v>
      </c>
      <c r="W2909">
        <v>-0.1209961</v>
      </c>
      <c r="X2909">
        <v>0.94716929999999999</v>
      </c>
      <c r="Y2909">
        <v>-0.4266086</v>
      </c>
      <c r="Z2909">
        <v>2.9053229999999999E-2</v>
      </c>
      <c r="AA2909">
        <v>0.90396960000000004</v>
      </c>
      <c r="AB2909">
        <v>22</v>
      </c>
      <c r="AC2909">
        <v>0.83670000000000699</v>
      </c>
      <c r="AD2909">
        <v>-4.8675999999999699E-2</v>
      </c>
      <c r="AE2909">
        <v>-1.9499999999965201E-2</v>
      </c>
      <c r="AF2909">
        <v>-0.42143457889365799</v>
      </c>
      <c r="AG2909">
        <v>-4.8675999999999699E-2</v>
      </c>
      <c r="AH2909">
        <v>0.71980918700938401</v>
      </c>
      <c r="AI2909">
        <v>93.3398282329821</v>
      </c>
      <c r="AJ2909">
        <v>120.348160934448</v>
      </c>
      <c r="AK2909">
        <v>0.83552481888115404</v>
      </c>
      <c r="AL2909">
        <v>96.949593794614501</v>
      </c>
      <c r="AM2909">
        <v>107.41161793770701</v>
      </c>
      <c r="AN2909">
        <v>1.0000000027796601</v>
      </c>
    </row>
    <row r="2910" spans="1:40" x14ac:dyDescent="0.25">
      <c r="A2910" t="str">
        <f>"20190305135249612"</f>
        <v>20190305135249612</v>
      </c>
      <c r="B2910" t="str">
        <f>"1551765169602944"</f>
        <v>1551765169602944</v>
      </c>
      <c r="C2910" t="s">
        <v>40</v>
      </c>
      <c r="D2910">
        <v>4.9666709999999998</v>
      </c>
      <c r="E2910">
        <v>0.44811060000000003</v>
      </c>
      <c r="F2910" t="s">
        <v>41</v>
      </c>
      <c r="G2910">
        <v>-474.41309999999999</v>
      </c>
      <c r="H2910">
        <v>1.1248149999999999</v>
      </c>
      <c r="I2910">
        <v>220.21510000000001</v>
      </c>
      <c r="J2910">
        <v>-475.21789999999999</v>
      </c>
      <c r="K2910">
        <v>1.1905460000000001</v>
      </c>
      <c r="L2910">
        <v>220.20599999999999</v>
      </c>
      <c r="M2910">
        <v>0.85753939999999995</v>
      </c>
      <c r="N2910">
        <v>-1.6570560000000002E-2</v>
      </c>
      <c r="O2910">
        <v>-0.51415149999999998</v>
      </c>
      <c r="P2910">
        <v>0.9652963</v>
      </c>
      <c r="Q2910">
        <v>-0.12578429999999999</v>
      </c>
      <c r="R2910">
        <v>-0.22887060000000001</v>
      </c>
      <c r="S2910">
        <v>3.0131230000000002</v>
      </c>
      <c r="T2910">
        <v>-0.1923435</v>
      </c>
      <c r="U2910">
        <v>-0.31433109999999997</v>
      </c>
      <c r="V2910">
        <v>-0.29599150000000002</v>
      </c>
      <c r="W2910">
        <v>-0.120669899999999</v>
      </c>
      <c r="X2910">
        <v>0.94753779999999999</v>
      </c>
      <c r="Y2910">
        <v>-0.42093770000000003</v>
      </c>
      <c r="Z2910">
        <v>3.9244439999999998E-2</v>
      </c>
      <c r="AA2910">
        <v>0.90624020000000005</v>
      </c>
      <c r="AB2910">
        <v>22</v>
      </c>
      <c r="AC2910">
        <v>0.80479999999999996</v>
      </c>
      <c r="AD2910">
        <v>-6.5730999999999901E-2</v>
      </c>
      <c r="AE2910">
        <v>9.1000000000178698E-3</v>
      </c>
      <c r="AF2910">
        <v>-0.41885692526262103</v>
      </c>
      <c r="AG2910">
        <v>-6.5730999999999901E-2</v>
      </c>
      <c r="AH2910">
        <v>0.68102076776952103</v>
      </c>
      <c r="AI2910">
        <v>94.699899219181603</v>
      </c>
      <c r="AJ2910">
        <v>121.593295284524</v>
      </c>
      <c r="AK2910">
        <v>0.80221628899870001</v>
      </c>
      <c r="AL2910">
        <v>96.930765714152301</v>
      </c>
      <c r="AM2910">
        <v>107.34774090646199</v>
      </c>
      <c r="AN2910">
        <v>1.0000000376335401</v>
      </c>
    </row>
    <row r="2911" spans="1:40" x14ac:dyDescent="0.25">
      <c r="A2911" t="str">
        <f>"20190305135249635"</f>
        <v>20190305135249635</v>
      </c>
      <c r="B2911" t="str">
        <f>"1551765169622463"</f>
        <v>1551765169622463</v>
      </c>
      <c r="C2911" t="s">
        <v>40</v>
      </c>
      <c r="D2911">
        <v>4.9563040000000003</v>
      </c>
      <c r="E2911">
        <v>0.44961430000000002</v>
      </c>
      <c r="F2911" t="s">
        <v>56</v>
      </c>
      <c r="G2911">
        <v>-458.76249999999999</v>
      </c>
      <c r="H2911" s="1">
        <v>2.9499899999999999E-6</v>
      </c>
      <c r="I2911">
        <v>218.64660000000001</v>
      </c>
      <c r="J2911">
        <v>-475.02800000000002</v>
      </c>
      <c r="K2911">
        <v>1.1903809999999999</v>
      </c>
      <c r="L2911">
        <v>220.10509999999999</v>
      </c>
      <c r="M2911">
        <v>0.86405969999999999</v>
      </c>
      <c r="N2911">
        <v>-1.7301670000000002E-2</v>
      </c>
      <c r="O2911">
        <v>-0.50309209999999904</v>
      </c>
      <c r="P2911">
        <v>0.96789000000000003</v>
      </c>
      <c r="Q2911">
        <v>-0.124588</v>
      </c>
      <c r="R2911">
        <v>-0.2183283</v>
      </c>
      <c r="S2911">
        <v>3.0117799999999999</v>
      </c>
      <c r="T2911">
        <v>-0.2179005</v>
      </c>
      <c r="U2911">
        <v>-0.28541559999999999</v>
      </c>
      <c r="V2911">
        <v>-0.29400559999999998</v>
      </c>
      <c r="W2911">
        <v>-0.1194585</v>
      </c>
      <c r="X2911">
        <v>0.94830919999999996</v>
      </c>
      <c r="Y2911">
        <v>-0.41743330000000001</v>
      </c>
      <c r="Z2911">
        <v>4.4362930000000002E-2</v>
      </c>
      <c r="AA2911">
        <v>0.90762399999999999</v>
      </c>
      <c r="AB2911">
        <v>22</v>
      </c>
      <c r="AC2911">
        <v>16.265499999999999</v>
      </c>
      <c r="AD2911">
        <v>-1.1903780500100001</v>
      </c>
      <c r="AE2911">
        <v>-1.4584999999999799</v>
      </c>
      <c r="AF2911">
        <v>-6.8872558327909701</v>
      </c>
      <c r="AG2911">
        <v>-1.1903780500100001</v>
      </c>
      <c r="AH2911">
        <v>14.712166641739501</v>
      </c>
      <c r="AI2911">
        <v>94.191089983601501</v>
      </c>
      <c r="AJ2911">
        <v>115.085861258012</v>
      </c>
      <c r="AK2911">
        <v>16.288006019847</v>
      </c>
      <c r="AL2911">
        <v>96.860852237788094</v>
      </c>
      <c r="AM2911">
        <v>107.22507593649</v>
      </c>
      <c r="AN2911">
        <v>0.99999998242912402</v>
      </c>
    </row>
    <row r="2912" spans="1:40" x14ac:dyDescent="0.25">
      <c r="A2912" t="str">
        <f>"20190305135249657"</f>
        <v>20190305135249657</v>
      </c>
      <c r="B2912" t="str">
        <f>"1551765169652719"</f>
        <v>1551765169652719</v>
      </c>
      <c r="C2912" t="s">
        <v>40</v>
      </c>
      <c r="D2912">
        <v>4.9686260000000004</v>
      </c>
      <c r="E2912">
        <v>0.45091629999999999</v>
      </c>
      <c r="F2912" t="s">
        <v>56</v>
      </c>
      <c r="G2912">
        <v>-459.14229999999998</v>
      </c>
      <c r="H2912" s="1">
        <v>3.1494580000000002E-6</v>
      </c>
      <c r="I2912">
        <v>218.7072</v>
      </c>
      <c r="J2912">
        <v>-474.84070000000003</v>
      </c>
      <c r="K2912">
        <v>1.189154</v>
      </c>
      <c r="L2912">
        <v>220.00659999999999</v>
      </c>
      <c r="M2912">
        <v>0.87156350000000005</v>
      </c>
      <c r="N2912">
        <v>-1.6911909999999999E-2</v>
      </c>
      <c r="O2912">
        <v>-0.48999130000000002</v>
      </c>
      <c r="P2912">
        <v>0.97089340000000002</v>
      </c>
      <c r="Q2912">
        <v>-0.1216057</v>
      </c>
      <c r="R2912">
        <v>-0.20634559999999999</v>
      </c>
      <c r="S2912">
        <v>3.0107119999999998</v>
      </c>
      <c r="T2912">
        <v>-0.22560479999999999</v>
      </c>
      <c r="U2912">
        <v>-0.26493840000000002</v>
      </c>
      <c r="V2912">
        <v>-0.29144900000000001</v>
      </c>
      <c r="W2912">
        <v>-0.117366899999999</v>
      </c>
      <c r="X2912">
        <v>0.94935899999999995</v>
      </c>
      <c r="Y2912">
        <v>-0.40968070000000001</v>
      </c>
      <c r="Z2912">
        <v>4.53309E-2</v>
      </c>
      <c r="AA2912">
        <v>0.91110199999999997</v>
      </c>
      <c r="AB2912">
        <v>22</v>
      </c>
      <c r="AC2912">
        <v>15.698399999999999</v>
      </c>
      <c r="AD2912">
        <v>-1.1891508505419901</v>
      </c>
      <c r="AE2912">
        <v>-1.2993999999999899</v>
      </c>
      <c r="AF2912">
        <v>-6.5233303074103404</v>
      </c>
      <c r="AG2912">
        <v>-1.1891508505419901</v>
      </c>
      <c r="AH2912">
        <v>14.239740137835</v>
      </c>
      <c r="AI2912">
        <v>94.341673542427202</v>
      </c>
      <c r="AJ2912">
        <v>114.612866036556</v>
      </c>
      <c r="AK2912">
        <v>15.707899835369201</v>
      </c>
      <c r="AL2912">
        <v>96.740163063071805</v>
      </c>
      <c r="AM2912">
        <v>107.066253848485</v>
      </c>
      <c r="AN2912">
        <v>1.0000000098488</v>
      </c>
    </row>
    <row r="2913" spans="1:40" x14ac:dyDescent="0.25">
      <c r="A2913" t="str">
        <f>"20190305135249679"</f>
        <v>20190305135249679</v>
      </c>
      <c r="B2913" t="str">
        <f>"1551765169672748"</f>
        <v>1551765169672748</v>
      </c>
      <c r="C2913" t="s">
        <v>40</v>
      </c>
      <c r="D2913">
        <v>4.970002</v>
      </c>
      <c r="E2913">
        <v>0.45205289999999998</v>
      </c>
      <c r="F2913" t="s">
        <v>56</v>
      </c>
      <c r="G2913">
        <v>-457.91199999999998</v>
      </c>
      <c r="H2913" s="1">
        <v>2.4964189999999998E-6</v>
      </c>
      <c r="I2913">
        <v>218.66970000000001</v>
      </c>
      <c r="J2913">
        <v>-474.65050000000002</v>
      </c>
      <c r="K2913">
        <v>1.1880409999999999</v>
      </c>
      <c r="L2913">
        <v>219.9093</v>
      </c>
      <c r="M2913">
        <v>0.87912990000000002</v>
      </c>
      <c r="N2913">
        <v>-1.719424E-2</v>
      </c>
      <c r="O2913">
        <v>-0.47627199999999997</v>
      </c>
      <c r="P2913">
        <v>0.97375730000000005</v>
      </c>
      <c r="Q2913">
        <v>-0.1184991</v>
      </c>
      <c r="R2913">
        <v>-0.1943066</v>
      </c>
      <c r="S2913">
        <v>3.0128780000000002</v>
      </c>
      <c r="T2913">
        <v>-0.21163899999999999</v>
      </c>
      <c r="U2913">
        <v>-0.23793030000000001</v>
      </c>
      <c r="V2913">
        <v>-0.28854269999999999</v>
      </c>
      <c r="W2913">
        <v>-0.11414150000000001</v>
      </c>
      <c r="X2913">
        <v>0.95063909999999996</v>
      </c>
      <c r="Y2913">
        <v>-0.40385320000000002</v>
      </c>
      <c r="Z2913">
        <v>4.1292750000000003E-2</v>
      </c>
      <c r="AA2913">
        <v>0.91389140000000002</v>
      </c>
      <c r="AB2913">
        <v>22</v>
      </c>
      <c r="AC2913">
        <v>16.738499999999998</v>
      </c>
      <c r="AD2913">
        <v>-1.1880385035809999</v>
      </c>
      <c r="AE2913">
        <v>-1.23959999999999</v>
      </c>
      <c r="AF2913">
        <v>-6.8490121546618603</v>
      </c>
      <c r="AG2913">
        <v>-1.1880385035809999</v>
      </c>
      <c r="AH2913">
        <v>15.231652100474401</v>
      </c>
      <c r="AI2913">
        <v>94.069006813263499</v>
      </c>
      <c r="AJ2913">
        <v>114.211378841602</v>
      </c>
      <c r="AK2913">
        <v>16.742867994778599</v>
      </c>
      <c r="AL2913">
        <v>96.5541109993584</v>
      </c>
      <c r="AM2913">
        <v>106.884353582918</v>
      </c>
      <c r="AN2913">
        <v>0.999999935097172</v>
      </c>
    </row>
    <row r="2914" spans="1:40" x14ac:dyDescent="0.25">
      <c r="A2914" t="str">
        <f>"20190305135249702"</f>
        <v>20190305135249702</v>
      </c>
      <c r="B2914" t="str">
        <f>"1551765169692268"</f>
        <v>1551765169692268</v>
      </c>
      <c r="C2914" t="s">
        <v>40</v>
      </c>
      <c r="D2914">
        <v>4.9823329999999997</v>
      </c>
      <c r="E2914">
        <v>0.45306380000000002</v>
      </c>
      <c r="F2914" t="s">
        <v>56</v>
      </c>
      <c r="G2914">
        <v>-456.77480000000003</v>
      </c>
      <c r="H2914" s="1">
        <v>1.8914509999999999E-6</v>
      </c>
      <c r="I2914">
        <v>218.66560000000001</v>
      </c>
      <c r="J2914">
        <v>-474.46199999999999</v>
      </c>
      <c r="K2914">
        <v>1.1876169999999999</v>
      </c>
      <c r="L2914">
        <v>219.8159</v>
      </c>
      <c r="M2914">
        <v>0.88597000000000004</v>
      </c>
      <c r="N2914">
        <v>-1.812575E-2</v>
      </c>
      <c r="O2914">
        <v>-0.46338849999999998</v>
      </c>
      <c r="P2914">
        <v>0.97610039999999998</v>
      </c>
      <c r="Q2914">
        <v>-0.11708929999999999</v>
      </c>
      <c r="R2914">
        <v>-0.18307979999999999</v>
      </c>
      <c r="S2914">
        <v>3.0145870000000001</v>
      </c>
      <c r="T2914">
        <v>-0.20035339999999999</v>
      </c>
      <c r="U2914">
        <v>-0.2097321</v>
      </c>
      <c r="V2914">
        <v>-0.2856088</v>
      </c>
      <c r="W2914">
        <v>-0.1122066</v>
      </c>
      <c r="X2914">
        <v>0.95175489999999996</v>
      </c>
      <c r="Y2914">
        <v>-0.39927980000000002</v>
      </c>
      <c r="Z2914">
        <v>3.7871750000000003E-2</v>
      </c>
      <c r="AA2914">
        <v>0.91604660000000004</v>
      </c>
      <c r="AB2914">
        <v>22</v>
      </c>
      <c r="AC2914">
        <v>17.687199999999901</v>
      </c>
      <c r="AD2914">
        <v>-1.1876151085490001</v>
      </c>
      <c r="AE2914">
        <v>-1.1502999999999799</v>
      </c>
      <c r="AF2914">
        <v>-7.1460098363164199</v>
      </c>
      <c r="AG2914">
        <v>-1.1876151085490001</v>
      </c>
      <c r="AH2914">
        <v>16.1335923293021</v>
      </c>
      <c r="AI2914">
        <v>93.850469270777594</v>
      </c>
      <c r="AJ2914">
        <v>113.88986444819101</v>
      </c>
      <c r="AK2914">
        <v>17.685267531900699</v>
      </c>
      <c r="AL2914">
        <v>96.442531763110196</v>
      </c>
      <c r="AM2914">
        <v>106.703791169433</v>
      </c>
      <c r="AN2914">
        <v>1.0000000486975</v>
      </c>
    </row>
    <row r="2915" spans="1:40" x14ac:dyDescent="0.25">
      <c r="A2915" t="str">
        <f>"20190305135249723"</f>
        <v>20190305135249723</v>
      </c>
      <c r="B2915" t="str">
        <f>"1551765169712764"</f>
        <v>1551765169712764</v>
      </c>
      <c r="C2915" t="s">
        <v>40</v>
      </c>
      <c r="D2915">
        <v>4.9637539999999998</v>
      </c>
      <c r="E2915">
        <v>0.4541366</v>
      </c>
      <c r="F2915" t="s">
        <v>56</v>
      </c>
      <c r="G2915">
        <v>-456.07650000000001</v>
      </c>
      <c r="H2915" s="1">
        <v>1.518386E-6</v>
      </c>
      <c r="I2915">
        <v>218.69839999999999</v>
      </c>
      <c r="J2915">
        <v>-474.28129999999999</v>
      </c>
      <c r="K2915">
        <v>1.187433</v>
      </c>
      <c r="L2915">
        <v>219.72919999999999</v>
      </c>
      <c r="M2915">
        <v>0.89150589999999996</v>
      </c>
      <c r="N2915">
        <v>-1.9955000000000001E-2</v>
      </c>
      <c r="O2915">
        <v>-0.45256970000000002</v>
      </c>
      <c r="P2915">
        <v>0.97775129999999999</v>
      </c>
      <c r="Q2915">
        <v>-0.11743149999999999</v>
      </c>
      <c r="R2915">
        <v>-0.17381779999999999</v>
      </c>
      <c r="S2915">
        <v>3.0156860000000001</v>
      </c>
      <c r="T2915">
        <v>-0.19479879999999999</v>
      </c>
      <c r="U2915">
        <v>-0.18330379999999999</v>
      </c>
      <c r="V2915">
        <v>-0.2829506</v>
      </c>
      <c r="W2915">
        <v>-0.1110964</v>
      </c>
      <c r="X2915">
        <v>0.95267860000000004</v>
      </c>
      <c r="Y2915">
        <v>-0.3962772</v>
      </c>
      <c r="Z2915">
        <v>3.5671950000000001E-2</v>
      </c>
      <c r="AA2915">
        <v>0.91743770000000002</v>
      </c>
      <c r="AB2915">
        <v>22</v>
      </c>
      <c r="AC2915">
        <v>18.204799999999899</v>
      </c>
      <c r="AD2915">
        <v>-1.1874314816139999</v>
      </c>
      <c r="AE2915">
        <v>-1.0307999999999899</v>
      </c>
      <c r="AF2915">
        <v>-7.2905151863667097</v>
      </c>
      <c r="AG2915">
        <v>-1.1874314816139999</v>
      </c>
      <c r="AH2915">
        <v>16.628996688168499</v>
      </c>
      <c r="AI2915">
        <v>93.741709677723193</v>
      </c>
      <c r="AJ2915">
        <v>113.673694418517</v>
      </c>
      <c r="AK2915">
        <v>18.195744998798201</v>
      </c>
      <c r="AL2915">
        <v>96.378522178480196</v>
      </c>
      <c r="AM2915">
        <v>106.541698930065</v>
      </c>
      <c r="AN2915">
        <v>0.99999998351563901</v>
      </c>
    </row>
    <row r="2916" spans="1:40" x14ac:dyDescent="0.25">
      <c r="A2916" t="str">
        <f>"20190305135249743"</f>
        <v>20190305135249743</v>
      </c>
      <c r="B2916" t="str">
        <f>"1551765169732283"</f>
        <v>1551765169732283</v>
      </c>
      <c r="C2916" t="s">
        <v>40</v>
      </c>
      <c r="D2916">
        <v>4.9313260000000003</v>
      </c>
      <c r="E2916">
        <v>0.45506530000000001</v>
      </c>
      <c r="F2916" t="s">
        <v>56</v>
      </c>
      <c r="G2916">
        <v>-455.69650000000001</v>
      </c>
      <c r="H2916" s="1">
        <v>1.315125E-6</v>
      </c>
      <c r="I2916">
        <v>218.72190000000001</v>
      </c>
      <c r="J2916">
        <v>-474.1062</v>
      </c>
      <c r="K2916">
        <v>1.1870969999999901</v>
      </c>
      <c r="L2916">
        <v>219.64760000000001</v>
      </c>
      <c r="M2916">
        <v>0.89606770000000002</v>
      </c>
      <c r="N2916">
        <v>-2.216518E-2</v>
      </c>
      <c r="O2916">
        <v>-0.44336389999999998</v>
      </c>
      <c r="P2916">
        <v>0.97884269999999995</v>
      </c>
      <c r="Q2916">
        <v>-0.11871710000000001</v>
      </c>
      <c r="R2916">
        <v>-0.16665389999999999</v>
      </c>
      <c r="S2916">
        <v>3.0160520000000002</v>
      </c>
      <c r="T2916">
        <v>-0.19270300000000001</v>
      </c>
      <c r="U2916">
        <v>-0.16348270000000001</v>
      </c>
      <c r="V2916">
        <v>-0.28000000000000003</v>
      </c>
      <c r="W2916">
        <v>-0.1104179</v>
      </c>
      <c r="X2916">
        <v>0.95362880000000005</v>
      </c>
      <c r="Y2916">
        <v>-0.3929221</v>
      </c>
      <c r="Z2916">
        <v>3.4202110000000001E-2</v>
      </c>
      <c r="AA2916">
        <v>0.91893550000000002</v>
      </c>
      <c r="AB2916">
        <v>22</v>
      </c>
      <c r="AC2916">
        <v>18.409699999999901</v>
      </c>
      <c r="AD2916">
        <v>-1.1870956848749901</v>
      </c>
      <c r="AE2916">
        <v>-0.92570000000000596</v>
      </c>
      <c r="AF2916">
        <v>-7.3042139616278599</v>
      </c>
      <c r="AG2916">
        <v>-1.1870956848749901</v>
      </c>
      <c r="AH2916">
        <v>16.8410652249732</v>
      </c>
      <c r="AI2916">
        <v>93.700040624999801</v>
      </c>
      <c r="AJ2916">
        <v>113.447076255314</v>
      </c>
      <c r="AK2916">
        <v>18.395168269795398</v>
      </c>
      <c r="AL2916">
        <v>96.339406222831897</v>
      </c>
      <c r="AM2916">
        <v>106.36304561344301</v>
      </c>
      <c r="AN2916">
        <v>1.0000000004149201</v>
      </c>
    </row>
    <row r="2917" spans="1:40" x14ac:dyDescent="0.25">
      <c r="A2917" t="str">
        <f>"20190305135249768"</f>
        <v>20190305135249768</v>
      </c>
      <c r="B2917" t="str">
        <f>"1551765169762540"</f>
        <v>1551765169762540</v>
      </c>
      <c r="C2917" t="s">
        <v>40</v>
      </c>
      <c r="D2917">
        <v>4.9633379999999896</v>
      </c>
      <c r="E2917">
        <v>0.45650210000000002</v>
      </c>
      <c r="F2917" t="s">
        <v>56</v>
      </c>
      <c r="G2917">
        <v>-455.53699999999998</v>
      </c>
      <c r="H2917" s="1">
        <v>1.2299789999999999E-6</v>
      </c>
      <c r="I2917">
        <v>218.72810000000001</v>
      </c>
      <c r="J2917">
        <v>-473.92039999999997</v>
      </c>
      <c r="K2917">
        <v>1.186455</v>
      </c>
      <c r="L2917">
        <v>219.5635</v>
      </c>
      <c r="M2917">
        <v>0.90022950000000002</v>
      </c>
      <c r="N2917">
        <v>-2.462584E-2</v>
      </c>
      <c r="O2917">
        <v>-0.43471880000000002</v>
      </c>
      <c r="P2917">
        <v>0.97958069999999997</v>
      </c>
      <c r="Q2917">
        <v>-0.12096510000000001</v>
      </c>
      <c r="R2917">
        <v>-0.1605897</v>
      </c>
      <c r="S2917">
        <v>3.016022</v>
      </c>
      <c r="T2917">
        <v>-0.1928086</v>
      </c>
      <c r="U2917">
        <v>-0.14933779999999999</v>
      </c>
      <c r="V2917">
        <v>-0.27655279999999999</v>
      </c>
      <c r="W2917">
        <v>-0.1103879</v>
      </c>
      <c r="X2917">
        <v>0.95463759999999998</v>
      </c>
      <c r="Y2917">
        <v>-0.3884222</v>
      </c>
      <c r="Z2917">
        <v>3.3130569999999998E-2</v>
      </c>
      <c r="AA2917">
        <v>0.92088570000000003</v>
      </c>
      <c r="AB2917">
        <v>21</v>
      </c>
      <c r="AC2917">
        <v>18.383399999999899</v>
      </c>
      <c r="AD2917">
        <v>-1.1864537700210001</v>
      </c>
      <c r="AE2917">
        <v>-0.83539999999999204</v>
      </c>
      <c r="AF2917">
        <v>-7.2117763801291197</v>
      </c>
      <c r="AG2917">
        <v>-1.1864537700210001</v>
      </c>
      <c r="AH2917">
        <v>16.847542322631401</v>
      </c>
      <c r="AI2917">
        <v>93.704209139213106</v>
      </c>
      <c r="AJ2917">
        <v>113.173880251716</v>
      </c>
      <c r="AK2917">
        <v>18.364560256598601</v>
      </c>
      <c r="AL2917">
        <v>96.337677139423803</v>
      </c>
      <c r="AM2917">
        <v>106.155986119776</v>
      </c>
      <c r="AN2917">
        <v>0.99999994349400301</v>
      </c>
    </row>
    <row r="2918" spans="1:40" x14ac:dyDescent="0.25">
      <c r="A2918" t="str">
        <f>"20190305135249787"</f>
        <v>20190305135249787</v>
      </c>
      <c r="B2918" t="str">
        <f>"1551765169782059"</f>
        <v>1551765169782059</v>
      </c>
      <c r="C2918" t="s">
        <v>40</v>
      </c>
      <c r="D2918">
        <v>4.816255</v>
      </c>
      <c r="E2918">
        <v>0.45783879999999999</v>
      </c>
      <c r="F2918" t="s">
        <v>56</v>
      </c>
      <c r="G2918">
        <v>-455.8931</v>
      </c>
      <c r="H2918" s="1">
        <v>1.420185E-6</v>
      </c>
      <c r="I2918">
        <v>218.71199999999999</v>
      </c>
      <c r="J2918">
        <v>-473.7441</v>
      </c>
      <c r="K2918">
        <v>1.1855359999999999</v>
      </c>
      <c r="L2918">
        <v>219.4863</v>
      </c>
      <c r="M2918">
        <v>0.90387249999999997</v>
      </c>
      <c r="N2918">
        <v>-2.688055E-2</v>
      </c>
      <c r="O2918">
        <v>-0.42695699999999998</v>
      </c>
      <c r="P2918">
        <v>0.98016820000000004</v>
      </c>
      <c r="Q2918">
        <v>-0.1230078</v>
      </c>
      <c r="R2918">
        <v>-0.15536939999999999</v>
      </c>
      <c r="S2918">
        <v>3.0146790000000001</v>
      </c>
      <c r="T2918">
        <v>-0.19840849999999999</v>
      </c>
      <c r="U2918">
        <v>-0.14239499999999999</v>
      </c>
      <c r="V2918">
        <v>-0.27326899999999998</v>
      </c>
      <c r="W2918">
        <v>-0.11033129999999999</v>
      </c>
      <c r="X2918">
        <v>0.95558940000000003</v>
      </c>
      <c r="Y2918">
        <v>-0.38255689999999998</v>
      </c>
      <c r="Z2918">
        <v>3.3216469999999998E-2</v>
      </c>
      <c r="AA2918">
        <v>0.92333469999999995</v>
      </c>
      <c r="AB2918">
        <v>20</v>
      </c>
      <c r="AC2918">
        <v>17.850999999999999</v>
      </c>
      <c r="AD2918">
        <v>-1.1855345798150001</v>
      </c>
      <c r="AE2918">
        <v>-0.774299999999982</v>
      </c>
      <c r="AF2918">
        <v>-6.89389231045363</v>
      </c>
      <c r="AG2918">
        <v>-1.1855345798150001</v>
      </c>
      <c r="AH2918">
        <v>16.399373767632301</v>
      </c>
      <c r="AI2918">
        <v>93.812695941310807</v>
      </c>
      <c r="AJ2918">
        <v>112.80068392723101</v>
      </c>
      <c r="AK2918">
        <v>17.828928834862101</v>
      </c>
      <c r="AL2918">
        <v>96.334413769818198</v>
      </c>
      <c r="AM2918">
        <v>105.958890649758</v>
      </c>
      <c r="AN2918">
        <v>1.0000000217565199</v>
      </c>
    </row>
    <row r="2919" spans="1:40" x14ac:dyDescent="0.25">
      <c r="A2919" t="str">
        <f>"20190305135249814"</f>
        <v>20190305135249814</v>
      </c>
      <c r="B2919" t="str">
        <f>"1551765169802556"</f>
        <v>1551765169802556</v>
      </c>
      <c r="C2919" t="s">
        <v>40</v>
      </c>
      <c r="D2919">
        <v>4.8125839999999904</v>
      </c>
      <c r="E2919">
        <v>0.45840550000000002</v>
      </c>
      <c r="F2919" t="s">
        <v>56</v>
      </c>
      <c r="G2919">
        <v>-455.29289999999997</v>
      </c>
      <c r="H2919" s="1">
        <v>1.10377999999999E-6</v>
      </c>
      <c r="I2919">
        <v>218.64439999999999</v>
      </c>
      <c r="J2919">
        <v>-473.53370000000001</v>
      </c>
      <c r="K2919">
        <v>1.184447</v>
      </c>
      <c r="L2919">
        <v>219.39859999999999</v>
      </c>
      <c r="M2919">
        <v>0.90839619999999999</v>
      </c>
      <c r="N2919">
        <v>-2.854874E-2</v>
      </c>
      <c r="O2919">
        <v>-0.41713489999999998</v>
      </c>
      <c r="P2919">
        <v>0.98131880000000005</v>
      </c>
      <c r="Q2919">
        <v>-0.1236086</v>
      </c>
      <c r="R2919">
        <v>-0.147426799999999</v>
      </c>
      <c r="S2919">
        <v>3.014618</v>
      </c>
      <c r="T2919">
        <v>-0.1936966</v>
      </c>
      <c r="U2919">
        <v>-0.13755800000000001</v>
      </c>
      <c r="V2919">
        <v>-0.27041989999999999</v>
      </c>
      <c r="W2919">
        <v>-0.1098784</v>
      </c>
      <c r="X2919">
        <v>0.95645170000000002</v>
      </c>
      <c r="Y2919">
        <v>-0.37413109999999999</v>
      </c>
      <c r="Z2919">
        <v>3.1199640000000001E-2</v>
      </c>
      <c r="AA2919">
        <v>0.92685090000000003</v>
      </c>
      <c r="AB2919">
        <v>20</v>
      </c>
      <c r="AC2919">
        <v>18.2408</v>
      </c>
      <c r="AD2919">
        <v>-1.18444589622</v>
      </c>
      <c r="AE2919">
        <v>-0.75419999999999698</v>
      </c>
      <c r="AF2919">
        <v>-6.8975511414982504</v>
      </c>
      <c r="AG2919">
        <v>-1.18444589622</v>
      </c>
      <c r="AH2919">
        <v>16.820558341820298</v>
      </c>
      <c r="AI2919">
        <v>93.727639546234897</v>
      </c>
      <c r="AJ2919">
        <v>112.29690159114401</v>
      </c>
      <c r="AK2919">
        <v>18.2184057140364</v>
      </c>
      <c r="AL2919">
        <v>96.308305787017304</v>
      </c>
      <c r="AM2919">
        <v>105.78731747352001</v>
      </c>
      <c r="AN2919">
        <v>1.0000000197677299</v>
      </c>
    </row>
    <row r="2920" spans="1:40" x14ac:dyDescent="0.25">
      <c r="A2920" t="str">
        <f>"20190305135249835"</f>
        <v>20190305135249835</v>
      </c>
      <c r="B2920" t="str">
        <f>"1551765169832812"</f>
        <v>1551765169832812</v>
      </c>
      <c r="C2920" t="s">
        <v>40</v>
      </c>
      <c r="D2920">
        <v>4.9102579999999998</v>
      </c>
      <c r="E2920">
        <v>0.46095360000000002</v>
      </c>
      <c r="F2920" t="s">
        <v>56</v>
      </c>
      <c r="G2920">
        <v>-454.71069999999997</v>
      </c>
      <c r="H2920" s="1">
        <v>7.9326639999999997E-7</v>
      </c>
      <c r="I2920">
        <v>218.6591</v>
      </c>
      <c r="J2920">
        <v>-473.35680000000002</v>
      </c>
      <c r="K2920">
        <v>1.183317</v>
      </c>
      <c r="L2920">
        <v>219.3289</v>
      </c>
      <c r="M2920">
        <v>0.91238109999999994</v>
      </c>
      <c r="N2920">
        <v>-2.8678840000000001E-2</v>
      </c>
      <c r="O2920">
        <v>-0.40833599999999998</v>
      </c>
      <c r="P2920">
        <v>0.98238029999999998</v>
      </c>
      <c r="Q2920">
        <v>-0.1231043</v>
      </c>
      <c r="R2920">
        <v>-0.1406213</v>
      </c>
      <c r="S2920">
        <v>3.0154109999999998</v>
      </c>
      <c r="T2920">
        <v>-0.18974579999999999</v>
      </c>
      <c r="U2920">
        <v>-0.118454</v>
      </c>
      <c r="V2920">
        <v>-0.26755879999999999</v>
      </c>
      <c r="W2920">
        <v>-0.1098744</v>
      </c>
      <c r="X2920">
        <v>0.95725640000000001</v>
      </c>
      <c r="Y2920">
        <v>-0.3711103</v>
      </c>
      <c r="Z2920">
        <v>3.0022630000000002E-2</v>
      </c>
      <c r="AA2920">
        <v>0.92810329999999996</v>
      </c>
      <c r="AB2920">
        <v>20</v>
      </c>
      <c r="AC2920">
        <v>18.646100000000001</v>
      </c>
      <c r="AD2920">
        <v>-1.1833162067336001</v>
      </c>
      <c r="AE2920">
        <v>-0.66980000000000905</v>
      </c>
      <c r="AF2920">
        <v>-6.9775771458458102</v>
      </c>
      <c r="AG2920">
        <v>-1.1833162067336001</v>
      </c>
      <c r="AH2920">
        <v>17.223687931171</v>
      </c>
      <c r="AI2920">
        <v>93.643449876546001</v>
      </c>
      <c r="AJ2920">
        <v>112.05361580968901</v>
      </c>
      <c r="AK2920">
        <v>18.621016245675602</v>
      </c>
      <c r="AL2920">
        <v>96.308075616207802</v>
      </c>
      <c r="AM2920">
        <v>105.615990735525</v>
      </c>
      <c r="AN2920">
        <v>0.99999995528687902</v>
      </c>
    </row>
    <row r="2921" spans="1:40" x14ac:dyDescent="0.25">
      <c r="A2921" t="str">
        <f>"20190305135249856"</f>
        <v>20190305135249856</v>
      </c>
      <c r="B2921" t="str">
        <f>"1551765169852332"</f>
        <v>1551765169852332</v>
      </c>
      <c r="C2921" t="s">
        <v>40</v>
      </c>
      <c r="D2921">
        <v>4.9458399999999996</v>
      </c>
      <c r="E2921">
        <v>0.46166040000000003</v>
      </c>
      <c r="F2921" t="s">
        <v>56</v>
      </c>
      <c r="G2921">
        <v>-455.1986</v>
      </c>
      <c r="H2921" s="1">
        <v>1.054813E-6</v>
      </c>
      <c r="I2921">
        <v>218.61609999999999</v>
      </c>
      <c r="J2921">
        <v>-473.18779999999998</v>
      </c>
      <c r="K2921">
        <v>1.181878</v>
      </c>
      <c r="L2921">
        <v>219.2664</v>
      </c>
      <c r="M2921">
        <v>0.91606270000000001</v>
      </c>
      <c r="N2921">
        <v>-2.8495090000000001E-2</v>
      </c>
      <c r="O2921">
        <v>-0.40002159999999998</v>
      </c>
      <c r="P2921">
        <v>0.98316859999999995</v>
      </c>
      <c r="Q2921">
        <v>-0.1227665</v>
      </c>
      <c r="R2921">
        <v>-0.13530819999999999</v>
      </c>
      <c r="S2921">
        <v>3.0122680000000002</v>
      </c>
      <c r="T2921">
        <v>-0.19630110000000001</v>
      </c>
      <c r="U2921">
        <v>-0.1182556</v>
      </c>
      <c r="V2921">
        <v>-0.26382410000000001</v>
      </c>
      <c r="W2921">
        <v>-0.11008560000000001</v>
      </c>
      <c r="X2921">
        <v>0.95826820000000001</v>
      </c>
      <c r="Y2921">
        <v>-0.36260900000000001</v>
      </c>
      <c r="Z2921">
        <v>3.0726750000000001E-2</v>
      </c>
      <c r="AA2921">
        <v>0.93143469999999995</v>
      </c>
      <c r="AB2921">
        <v>20</v>
      </c>
      <c r="AC2921">
        <v>17.989199999999901</v>
      </c>
      <c r="AD2921">
        <v>-1.1818769451869999</v>
      </c>
      <c r="AE2921">
        <v>-0.65030000000001498</v>
      </c>
      <c r="AF2921">
        <v>-6.5746919637360701</v>
      </c>
      <c r="AG2921">
        <v>-1.1818769451869999</v>
      </c>
      <c r="AH2921">
        <v>16.6742894014548</v>
      </c>
      <c r="AI2921">
        <v>93.7725875186499</v>
      </c>
      <c r="AJ2921">
        <v>111.51937614254101</v>
      </c>
      <c r="AK2921">
        <v>17.962609347615601</v>
      </c>
      <c r="AL2921">
        <v>96.320250252058599</v>
      </c>
      <c r="AM2921">
        <v>105.392945243209</v>
      </c>
      <c r="AN2921">
        <v>0.99999996909970401</v>
      </c>
    </row>
    <row r="2922" spans="1:40" x14ac:dyDescent="0.25">
      <c r="A2922" t="str">
        <f>"20190305135249878"</f>
        <v>20190305135249878</v>
      </c>
      <c r="B2922" t="str">
        <f>"1551765169872828"</f>
        <v>1551765169872828</v>
      </c>
      <c r="C2922" t="s">
        <v>40</v>
      </c>
      <c r="D2922">
        <v>4.9472759999999996</v>
      </c>
      <c r="E2922">
        <v>0.46272190000000002</v>
      </c>
      <c r="F2922" t="s">
        <v>56</v>
      </c>
      <c r="G2922">
        <v>-455.26319999999998</v>
      </c>
      <c r="H2922" s="1">
        <v>1.088875E-6</v>
      </c>
      <c r="I2922">
        <v>218.624</v>
      </c>
      <c r="J2922">
        <v>-472.9975</v>
      </c>
      <c r="K2922">
        <v>1.179637</v>
      </c>
      <c r="L2922">
        <v>219.2</v>
      </c>
      <c r="M2922">
        <v>0.92012159999999998</v>
      </c>
      <c r="N2922">
        <v>-2.8576979999999998E-2</v>
      </c>
      <c r="O2922">
        <v>-0.39058939999999998</v>
      </c>
      <c r="P2922">
        <v>0.98394119999999996</v>
      </c>
      <c r="Q2922">
        <v>-0.122365</v>
      </c>
      <c r="R2922">
        <v>-0.12995080000000001</v>
      </c>
      <c r="S2922">
        <v>3.0116879999999999</v>
      </c>
      <c r="T2922">
        <v>-0.19857939999999999</v>
      </c>
      <c r="U2922">
        <v>-0.1079407</v>
      </c>
      <c r="V2922">
        <v>-0.25918249999999998</v>
      </c>
      <c r="W2922">
        <v>-0.10951710000000001</v>
      </c>
      <c r="X2922">
        <v>0.95959910000000004</v>
      </c>
      <c r="Y2922">
        <v>-0.35620059999999998</v>
      </c>
      <c r="Z2922">
        <v>3.0563219999999999E-2</v>
      </c>
      <c r="AA2922">
        <v>0.93390949999999995</v>
      </c>
      <c r="AB2922">
        <v>20</v>
      </c>
      <c r="AC2922">
        <v>17.734300000000001</v>
      </c>
      <c r="AD2922">
        <v>-1.1796359111249901</v>
      </c>
      <c r="AE2922">
        <v>-0.57599999999996498</v>
      </c>
      <c r="AF2922">
        <v>-6.3712912722189801</v>
      </c>
      <c r="AG2922">
        <v>-1.1796359111249901</v>
      </c>
      <c r="AH2922">
        <v>16.4766222697274</v>
      </c>
      <c r="AI2922">
        <v>93.820310361836306</v>
      </c>
      <c r="AJ2922">
        <v>111.140825088817</v>
      </c>
      <c r="AK2922">
        <v>17.7049138596477</v>
      </c>
      <c r="AL2922">
        <v>96.287479269858295</v>
      </c>
      <c r="AM2922">
        <v>105.114624947621</v>
      </c>
      <c r="AN2922">
        <v>0.99999999810973395</v>
      </c>
    </row>
    <row r="2923" spans="1:40" x14ac:dyDescent="0.25">
      <c r="A2923" t="str">
        <f>"20190305135249902"</f>
        <v>20190305135249902</v>
      </c>
      <c r="B2923" t="str">
        <f>"1551765169892349"</f>
        <v>1551765169892349</v>
      </c>
      <c r="C2923" t="s">
        <v>40</v>
      </c>
      <c r="D2923">
        <v>4.9444369999999997</v>
      </c>
      <c r="E2923">
        <v>0.46361809999999998</v>
      </c>
      <c r="F2923" t="s">
        <v>56</v>
      </c>
      <c r="G2923">
        <v>-455.2801</v>
      </c>
      <c r="H2923" s="1">
        <v>1.0984580000000001E-6</v>
      </c>
      <c r="I2923">
        <v>218.60919999999999</v>
      </c>
      <c r="J2923">
        <v>-472.80630000000002</v>
      </c>
      <c r="K2923">
        <v>1.1766730000000001</v>
      </c>
      <c r="L2923">
        <v>219.13669999999999</v>
      </c>
      <c r="M2923">
        <v>0.92443560000000002</v>
      </c>
      <c r="N2923">
        <v>-2.8856590000000001E-2</v>
      </c>
      <c r="O2923">
        <v>-0.380245</v>
      </c>
      <c r="P2923">
        <v>0.9845353</v>
      </c>
      <c r="Q2923">
        <v>-0.1230163</v>
      </c>
      <c r="R2923">
        <v>-0.1247301</v>
      </c>
      <c r="S2923">
        <v>3.010742</v>
      </c>
      <c r="T2923">
        <v>-0.200457</v>
      </c>
      <c r="U2923">
        <v>-0.1004028</v>
      </c>
      <c r="V2923">
        <v>-0.25361790000000001</v>
      </c>
      <c r="W2923">
        <v>-0.10923330000000001</v>
      </c>
      <c r="X2923">
        <v>0.96111709999999995</v>
      </c>
      <c r="Y2923">
        <v>-0.34804309999999899</v>
      </c>
      <c r="Z2923">
        <v>3.0154029999999998E-2</v>
      </c>
      <c r="AA2923">
        <v>0.93699350000000003</v>
      </c>
      <c r="AB2923">
        <v>20</v>
      </c>
      <c r="AC2923">
        <v>17.526199999999999</v>
      </c>
      <c r="AD2923">
        <v>-1.176671901542</v>
      </c>
      <c r="AE2923">
        <v>-0.52750000000000297</v>
      </c>
      <c r="AF2923">
        <v>-6.1514802798636303</v>
      </c>
      <c r="AG2923">
        <v>-1.176671901542</v>
      </c>
      <c r="AH2923">
        <v>16.335688339967099</v>
      </c>
      <c r="AI2923">
        <v>93.856457240018003</v>
      </c>
      <c r="AJ2923">
        <v>110.634715376093</v>
      </c>
      <c r="AK2923">
        <v>17.495141609543101</v>
      </c>
      <c r="AL2923">
        <v>96.271120468592102</v>
      </c>
      <c r="AM2923">
        <v>104.78215625207901</v>
      </c>
      <c r="AN2923">
        <v>1.00000001647085</v>
      </c>
    </row>
    <row r="2924" spans="1:40" x14ac:dyDescent="0.25">
      <c r="A2924" t="str">
        <f>"20190305135249923"</f>
        <v>20190305135249923</v>
      </c>
      <c r="B2924" t="str">
        <f>"1551765169912844"</f>
        <v>1551765169912844</v>
      </c>
      <c r="C2924" t="s">
        <v>40</v>
      </c>
      <c r="D2924">
        <v>4.9500659999999996</v>
      </c>
      <c r="E2924">
        <v>0.46420899999999998</v>
      </c>
      <c r="F2924" t="s">
        <v>56</v>
      </c>
      <c r="G2924">
        <v>-455.60359999999997</v>
      </c>
      <c r="H2924" s="1">
        <v>1.2704440000000001E-6</v>
      </c>
      <c r="I2924">
        <v>218.6138</v>
      </c>
      <c r="J2924">
        <v>-472.6284</v>
      </c>
      <c r="K2924">
        <v>1.173435</v>
      </c>
      <c r="L2924">
        <v>219.07990000000001</v>
      </c>
      <c r="M2924">
        <v>0.92880339999999995</v>
      </c>
      <c r="N2924">
        <v>-2.9044520000000001E-2</v>
      </c>
      <c r="O2924">
        <v>-0.36943310000000001</v>
      </c>
      <c r="P2924">
        <v>0.98499170000000003</v>
      </c>
      <c r="Q2924">
        <v>-0.1244146</v>
      </c>
      <c r="R2924">
        <v>-0.1196362</v>
      </c>
      <c r="S2924">
        <v>3.0097960000000001</v>
      </c>
      <c r="T2924">
        <v>-0.2058712</v>
      </c>
      <c r="U2924">
        <v>-9.1476440000000006E-2</v>
      </c>
      <c r="V2924">
        <v>-0.2475329</v>
      </c>
      <c r="W2924">
        <v>-0.1094774</v>
      </c>
      <c r="X2924">
        <v>0.96267449999999999</v>
      </c>
      <c r="Y2924">
        <v>-0.33982109999999999</v>
      </c>
      <c r="Z2924">
        <v>3.0352049999999998E-2</v>
      </c>
      <c r="AA2924">
        <v>0.94000019999999995</v>
      </c>
      <c r="AB2924">
        <v>20</v>
      </c>
      <c r="AC2924">
        <v>17.024799999999999</v>
      </c>
      <c r="AD2924">
        <v>-1.173433729556</v>
      </c>
      <c r="AE2924">
        <v>-0.46610000000001101</v>
      </c>
      <c r="AF2924">
        <v>-5.8313985672988897</v>
      </c>
      <c r="AG2924">
        <v>-1.173433729556</v>
      </c>
      <c r="AH2924">
        <v>15.916075133633701</v>
      </c>
      <c r="AI2924">
        <v>93.960052325955999</v>
      </c>
      <c r="AJ2924">
        <v>110.12203633842</v>
      </c>
      <c r="AK2924">
        <v>16.991280223333</v>
      </c>
      <c r="AL2924">
        <v>96.285190758852707</v>
      </c>
      <c r="AM2924">
        <v>104.42010480920401</v>
      </c>
      <c r="AN2924">
        <v>1.0000000153217099</v>
      </c>
    </row>
    <row r="2925" spans="1:40" x14ac:dyDescent="0.25">
      <c r="A2925" t="str">
        <f>"20190305135249947"</f>
        <v>20190305135249947</v>
      </c>
      <c r="B2925" t="str">
        <f>"1551765169942123"</f>
        <v>1551765169942123</v>
      </c>
      <c r="C2925" t="s">
        <v>40</v>
      </c>
      <c r="D2925">
        <v>4.942977</v>
      </c>
      <c r="E2925">
        <v>0.46516980000000002</v>
      </c>
      <c r="F2925" t="s">
        <v>56</v>
      </c>
      <c r="G2925">
        <v>-456.04719999999998</v>
      </c>
      <c r="H2925" s="1">
        <v>1.5054950000000001E-6</v>
      </c>
      <c r="I2925">
        <v>218.63659999999999</v>
      </c>
      <c r="J2925">
        <v>-472.43819999999999</v>
      </c>
      <c r="K2925">
        <v>1.169959</v>
      </c>
      <c r="L2925">
        <v>219.02109999999999</v>
      </c>
      <c r="M2925">
        <v>0.93357559999999995</v>
      </c>
      <c r="N2925">
        <v>-2.9250680000000001E-2</v>
      </c>
      <c r="O2925">
        <v>-0.35718460000000002</v>
      </c>
      <c r="P2925">
        <v>0.98565990000000003</v>
      </c>
      <c r="Q2925">
        <v>-0.12593019999999999</v>
      </c>
      <c r="R2925">
        <v>-0.1123213</v>
      </c>
      <c r="S2925">
        <v>3.0090330000000001</v>
      </c>
      <c r="T2925">
        <v>-0.21294640000000001</v>
      </c>
      <c r="U2925">
        <v>-8.0444340000000003E-2</v>
      </c>
      <c r="V2925">
        <v>-0.24220839999999999</v>
      </c>
      <c r="W2925">
        <v>-0.10980139999999999</v>
      </c>
      <c r="X2925">
        <v>0.96399100000000004</v>
      </c>
      <c r="Y2925">
        <v>-0.330818</v>
      </c>
      <c r="Z2925">
        <v>3.0686910000000001E-2</v>
      </c>
      <c r="AA2925">
        <v>0.94319549999999996</v>
      </c>
      <c r="AB2925">
        <v>20</v>
      </c>
      <c r="AC2925">
        <v>16.390999999999998</v>
      </c>
      <c r="AD2925">
        <v>-1.169957494505</v>
      </c>
      <c r="AE2925">
        <v>-0.38450000000000201</v>
      </c>
      <c r="AF2925">
        <v>-5.4701518139281404</v>
      </c>
      <c r="AG2925">
        <v>-1.169957494505</v>
      </c>
      <c r="AH2925">
        <v>15.367931810400201</v>
      </c>
      <c r="AI2925">
        <v>94.102330220212707</v>
      </c>
      <c r="AJ2925">
        <v>109.592976733154</v>
      </c>
      <c r="AK2925">
        <v>16.354347725772499</v>
      </c>
      <c r="AL2925">
        <v>96.303867582399107</v>
      </c>
      <c r="AM2925">
        <v>104.10394691854999</v>
      </c>
      <c r="AN2925">
        <v>0.99999995227675897</v>
      </c>
    </row>
    <row r="2926" spans="1:40" x14ac:dyDescent="0.25">
      <c r="A2926" t="str">
        <f>"20190305135249966"</f>
        <v>20190305135249966</v>
      </c>
      <c r="B2926" t="str">
        <f>"1551765169962620"</f>
        <v>1551765169962620</v>
      </c>
      <c r="C2926" t="s">
        <v>40</v>
      </c>
      <c r="D2926">
        <v>4.9362589999999997</v>
      </c>
      <c r="E2926">
        <v>0.46574939999999998</v>
      </c>
      <c r="F2926" t="s">
        <v>56</v>
      </c>
      <c r="G2926">
        <v>-456.59519999999998</v>
      </c>
      <c r="H2926" s="1">
        <v>1.795346E-6</v>
      </c>
      <c r="I2926">
        <v>218.67760000000001</v>
      </c>
      <c r="J2926">
        <v>-472.2697</v>
      </c>
      <c r="K2926">
        <v>1.16713</v>
      </c>
      <c r="L2926">
        <v>218.97069999999999</v>
      </c>
      <c r="M2926">
        <v>0.93764479999999994</v>
      </c>
      <c r="N2926">
        <v>-2.952165E-2</v>
      </c>
      <c r="O2926">
        <v>-0.34633930000000002</v>
      </c>
      <c r="P2926">
        <v>0.98611020000000005</v>
      </c>
      <c r="Q2926">
        <v>-0.1263039</v>
      </c>
      <c r="R2926">
        <v>-0.1078634</v>
      </c>
      <c r="S2926">
        <v>3.0078130000000001</v>
      </c>
      <c r="T2926">
        <v>-0.22211790000000001</v>
      </c>
      <c r="U2926">
        <v>-6.5216060000000006E-2</v>
      </c>
      <c r="V2926">
        <v>-0.23562350000000001</v>
      </c>
      <c r="W2926">
        <v>-0.10905040000000001</v>
      </c>
      <c r="X2926">
        <v>0.96570679999999998</v>
      </c>
      <c r="Y2926">
        <v>-0.32454139999999998</v>
      </c>
      <c r="Z2926">
        <v>3.1482570000000001E-2</v>
      </c>
      <c r="AA2926">
        <v>0.94534739999999995</v>
      </c>
      <c r="AB2926">
        <v>20</v>
      </c>
      <c r="AC2926">
        <v>15.6745</v>
      </c>
      <c r="AD2926">
        <v>-1.1671282046539999</v>
      </c>
      <c r="AE2926">
        <v>-0.29309999999998099</v>
      </c>
      <c r="AF2926">
        <v>-5.1276987066512802</v>
      </c>
      <c r="AG2926">
        <v>-1.1671282046539999</v>
      </c>
      <c r="AH2926">
        <v>14.7234734521516</v>
      </c>
      <c r="AI2926">
        <v>94.281171983723496</v>
      </c>
      <c r="AJ2926">
        <v>109.201536686249</v>
      </c>
      <c r="AK2926">
        <v>15.6344540284753</v>
      </c>
      <c r="AL2926">
        <v>96.260578048107803</v>
      </c>
      <c r="AM2926">
        <v>103.71173517275901</v>
      </c>
      <c r="AN2926">
        <v>1.00000002352932</v>
      </c>
    </row>
    <row r="2927" spans="1:40" x14ac:dyDescent="0.25">
      <c r="A2927" t="str">
        <f>"20190305135249989"</f>
        <v>20190305135249989</v>
      </c>
      <c r="B2927" t="str">
        <f>"1551765169982140"</f>
        <v>1551765169982140</v>
      </c>
      <c r="C2927" t="s">
        <v>40</v>
      </c>
      <c r="D2927">
        <v>4.931832</v>
      </c>
      <c r="E2927">
        <v>0.46632000000000001</v>
      </c>
      <c r="F2927" t="s">
        <v>56</v>
      </c>
      <c r="G2927">
        <v>-456.75979999999998</v>
      </c>
      <c r="H2927" s="1">
        <v>1.882702E-6</v>
      </c>
      <c r="I2927">
        <v>218.68270000000001</v>
      </c>
      <c r="J2927">
        <v>-472.07249999999999</v>
      </c>
      <c r="K2927">
        <v>1.164231</v>
      </c>
      <c r="L2927">
        <v>218.91419999999999</v>
      </c>
      <c r="M2927">
        <v>0.94209169999999998</v>
      </c>
      <c r="N2927">
        <v>-2.9859489999999999E-2</v>
      </c>
      <c r="O2927">
        <v>-0.33402369999999998</v>
      </c>
      <c r="P2927">
        <v>0.98617549999999998</v>
      </c>
      <c r="Q2927">
        <v>-0.12587509999999999</v>
      </c>
      <c r="R2927">
        <v>-0.1077656</v>
      </c>
      <c r="S2927">
        <v>3.0071110000000001</v>
      </c>
      <c r="T2927">
        <v>-0.2262863</v>
      </c>
      <c r="U2927">
        <v>-5.5847170000000002E-2</v>
      </c>
      <c r="V2927">
        <v>-0.22334190000000001</v>
      </c>
      <c r="W2927">
        <v>-0.1072439</v>
      </c>
      <c r="X2927">
        <v>0.96882250000000003</v>
      </c>
      <c r="Y2927">
        <v>-0.31506610000000002</v>
      </c>
      <c r="Z2927">
        <v>3.1136009999999999E-2</v>
      </c>
      <c r="AA2927">
        <v>0.94855889999999998</v>
      </c>
      <c r="AB2927">
        <v>20</v>
      </c>
      <c r="AC2927">
        <v>15.3127</v>
      </c>
      <c r="AD2927">
        <v>-1.1642291172979999</v>
      </c>
      <c r="AE2927">
        <v>-0.231499999999982</v>
      </c>
      <c r="AF2927">
        <v>-4.8707449746486899</v>
      </c>
      <c r="AG2927">
        <v>-1.1642291172979999</v>
      </c>
      <c r="AH2927">
        <v>14.426388269732699</v>
      </c>
      <c r="AI2927">
        <v>94.372382802190998</v>
      </c>
      <c r="AJ2927">
        <v>108.656095157221</v>
      </c>
      <c r="AK2927">
        <v>15.270895997115201</v>
      </c>
      <c r="AL2927">
        <v>96.156463032337101</v>
      </c>
      <c r="AM2927">
        <v>102.981560074336</v>
      </c>
      <c r="AN2927">
        <v>0.99999994744453302</v>
      </c>
    </row>
    <row r="2928" spans="1:40" x14ac:dyDescent="0.25">
      <c r="A2928" t="str">
        <f>"20190305135250027"</f>
        <v>20190305135250027</v>
      </c>
      <c r="B2928" t="str">
        <f>"1551765170022156"</f>
        <v>1551765170022156</v>
      </c>
      <c r="C2928" t="s">
        <v>40</v>
      </c>
      <c r="D2928">
        <v>4.9379039999999996</v>
      </c>
      <c r="E2928">
        <v>0.4674606</v>
      </c>
      <c r="F2928" t="s">
        <v>56</v>
      </c>
      <c r="G2928">
        <v>-456.6044</v>
      </c>
      <c r="H2928" s="1">
        <v>1.803472E-6</v>
      </c>
      <c r="I2928">
        <v>218.6028</v>
      </c>
      <c r="J2928">
        <v>-471.77480000000003</v>
      </c>
      <c r="K2928">
        <v>1.160566</v>
      </c>
      <c r="L2928">
        <v>218.83359999999999</v>
      </c>
      <c r="M2928">
        <v>0.9482121</v>
      </c>
      <c r="N2928">
        <v>-3.024396E-2</v>
      </c>
      <c r="O2928">
        <v>-0.31619449999999999</v>
      </c>
      <c r="P2928">
        <v>0.98585529999999999</v>
      </c>
      <c r="Q2928">
        <v>-0.131193899999999</v>
      </c>
      <c r="R2928">
        <v>-0.1042955</v>
      </c>
      <c r="S2928">
        <v>3.006561</v>
      </c>
      <c r="T2928">
        <v>-0.22629299999999999</v>
      </c>
      <c r="U2928">
        <v>-6.0531620000000001E-2</v>
      </c>
      <c r="V2928">
        <v>-0.20823929999999999</v>
      </c>
      <c r="W2928">
        <v>-0.1111171</v>
      </c>
      <c r="X2928">
        <v>0.97174559999999999</v>
      </c>
      <c r="Y2928">
        <v>-0.29572120000000002</v>
      </c>
      <c r="Z2928">
        <v>2.9335179999999999E-2</v>
      </c>
      <c r="AA2928">
        <v>0.95482370000000005</v>
      </c>
      <c r="AB2928">
        <v>20</v>
      </c>
      <c r="AC2928">
        <v>15.170400000000001</v>
      </c>
      <c r="AD2928">
        <v>-1.160564196528</v>
      </c>
      <c r="AE2928">
        <v>-0.23079999999998699</v>
      </c>
      <c r="AF2928">
        <v>-4.5534024045883399</v>
      </c>
      <c r="AG2928">
        <v>-1.160564196528</v>
      </c>
      <c r="AH2928">
        <v>14.380211151509201</v>
      </c>
      <c r="AI2928">
        <v>94.3997038892701</v>
      </c>
      <c r="AJ2928">
        <v>107.57005968734001</v>
      </c>
      <c r="AK2928">
        <v>15.128478293416199</v>
      </c>
      <c r="AL2928">
        <v>96.379715077466102</v>
      </c>
      <c r="AM2928">
        <v>102.095213698702</v>
      </c>
      <c r="AN2928">
        <v>1.0000000635481201</v>
      </c>
    </row>
    <row r="2929" spans="1:40" x14ac:dyDescent="0.25">
      <c r="A2929" t="str">
        <f>"20190305135250048"</f>
        <v>20190305135250048</v>
      </c>
      <c r="B2929" t="str">
        <f>"1551765170042652"</f>
        <v>1551765170042652</v>
      </c>
      <c r="C2929" t="s">
        <v>40</v>
      </c>
      <c r="D2929">
        <v>4.9311220000000002</v>
      </c>
      <c r="E2929">
        <v>0.46796310000000002</v>
      </c>
      <c r="F2929" t="s">
        <v>56</v>
      </c>
      <c r="G2929">
        <v>-457.52600000000001</v>
      </c>
      <c r="H2929" s="1">
        <v>2.2962059999999999E-6</v>
      </c>
      <c r="I2929">
        <v>218.55080000000001</v>
      </c>
      <c r="J2929">
        <v>-471.58920000000001</v>
      </c>
      <c r="K2929">
        <v>1.1582680000000001</v>
      </c>
      <c r="L2929">
        <v>218.7868</v>
      </c>
      <c r="M2929">
        <v>0.9517369</v>
      </c>
      <c r="N2929">
        <v>-3.026386E-2</v>
      </c>
      <c r="O2929">
        <v>-0.30542000000000002</v>
      </c>
      <c r="P2929">
        <v>0.98554459999999999</v>
      </c>
      <c r="Q2929">
        <v>-0.136317299999999</v>
      </c>
      <c r="R2929">
        <v>-0.1005979</v>
      </c>
      <c r="S2929">
        <v>3.004181</v>
      </c>
      <c r="T2929">
        <v>-0.24469109999999999</v>
      </c>
      <c r="U2929">
        <v>-5.9616089999999997E-2</v>
      </c>
      <c r="V2929">
        <v>-0.20057990000000001</v>
      </c>
      <c r="W2929">
        <v>-0.11563619999999999</v>
      </c>
      <c r="X2929">
        <v>0.9728289</v>
      </c>
      <c r="Y2929">
        <v>-0.28494960000000003</v>
      </c>
      <c r="Z2929">
        <v>3.1061999999999999E-2</v>
      </c>
      <c r="AA2929">
        <v>0.95803910000000003</v>
      </c>
      <c r="AB2929">
        <v>20</v>
      </c>
      <c r="AC2929">
        <v>14.063199999999901</v>
      </c>
      <c r="AD2929">
        <v>-1.1582657037940001</v>
      </c>
      <c r="AE2929">
        <v>-0.235999999999989</v>
      </c>
      <c r="AF2929">
        <v>-4.045006003588</v>
      </c>
      <c r="AG2929">
        <v>-1.1582657037940001</v>
      </c>
      <c r="AH2929">
        <v>13.372027028083</v>
      </c>
      <c r="AI2929">
        <v>94.739457448696896</v>
      </c>
      <c r="AJ2929">
        <v>106.830439689127</v>
      </c>
      <c r="AK2929">
        <v>14.0183722253845</v>
      </c>
      <c r="AL2929">
        <v>96.640321120890206</v>
      </c>
      <c r="AM2929">
        <v>101.65010857974001</v>
      </c>
      <c r="AN2929">
        <v>1.0000000478548201</v>
      </c>
    </row>
    <row r="2930" spans="1:40" x14ac:dyDescent="0.25">
      <c r="A2930" t="str">
        <f>"20190305135250068"</f>
        <v>20190305135250068</v>
      </c>
      <c r="B2930" t="str">
        <f>"1551765170062171"</f>
        <v>1551765170062171</v>
      </c>
      <c r="C2930" t="s">
        <v>40</v>
      </c>
      <c r="D2930">
        <v>4.9641739999999999</v>
      </c>
      <c r="E2930">
        <v>0.46845700000000001</v>
      </c>
      <c r="F2930" t="s">
        <v>56</v>
      </c>
      <c r="G2930">
        <v>-458.36309999999997</v>
      </c>
      <c r="H2930" s="1">
        <v>2.7412729999999998E-6</v>
      </c>
      <c r="I2930">
        <v>218.55969999999999</v>
      </c>
      <c r="J2930">
        <v>-471.42680000000001</v>
      </c>
      <c r="K2930">
        <v>1.1545650000000001</v>
      </c>
      <c r="L2930">
        <v>218.74789999999999</v>
      </c>
      <c r="M2930">
        <v>0.95478240000000003</v>
      </c>
      <c r="N2930">
        <v>-2.9362289999999999E-2</v>
      </c>
      <c r="O2930">
        <v>-0.295852</v>
      </c>
      <c r="P2930">
        <v>0.98555680000000001</v>
      </c>
      <c r="Q2930">
        <v>-0.13798479999999999</v>
      </c>
      <c r="R2930">
        <v>-9.8173339999999998E-2</v>
      </c>
      <c r="S2930">
        <v>3.0023499999999999</v>
      </c>
      <c r="T2930">
        <v>-0.26292860000000001</v>
      </c>
      <c r="U2930">
        <v>-5.155945E-2</v>
      </c>
      <c r="V2930">
        <v>-0.19344819999999999</v>
      </c>
      <c r="W2930">
        <v>-0.1171711</v>
      </c>
      <c r="X2930">
        <v>0.97408870000000003</v>
      </c>
      <c r="Y2930">
        <v>-0.27765109999999998</v>
      </c>
      <c r="Z2930">
        <v>3.2983709999999999E-2</v>
      </c>
      <c r="AA2930">
        <v>0.96011559999999996</v>
      </c>
      <c r="AB2930">
        <v>20</v>
      </c>
      <c r="AC2930">
        <v>13.063700000000001</v>
      </c>
      <c r="AD2930">
        <v>-1.1545622587269999</v>
      </c>
      <c r="AE2930">
        <v>-0.18819999999999401</v>
      </c>
      <c r="AF2930">
        <v>-3.6582529868469602</v>
      </c>
      <c r="AG2930">
        <v>-1.1545622587269999</v>
      </c>
      <c r="AH2930">
        <v>12.436950658781999</v>
      </c>
      <c r="AI2930">
        <v>95.089355402596794</v>
      </c>
      <c r="AJ2930">
        <v>106.39092396683699</v>
      </c>
      <c r="AK2930">
        <v>13.015128528525199</v>
      </c>
      <c r="AL2930">
        <v>96.728866442070995</v>
      </c>
      <c r="AM2930">
        <v>101.232453709965</v>
      </c>
      <c r="AN2930">
        <v>1.0000000341130599</v>
      </c>
    </row>
    <row r="2931" spans="1:40" x14ac:dyDescent="0.25">
      <c r="A2931" t="str">
        <f>"20190305135250090"</f>
        <v>20190305135250090</v>
      </c>
      <c r="B2931" t="str">
        <f>"1551765170082671"</f>
        <v>1551765170082671</v>
      </c>
      <c r="C2931" t="s">
        <v>40</v>
      </c>
      <c r="D2931">
        <v>4.9376989999999896</v>
      </c>
      <c r="E2931">
        <v>0.4688232</v>
      </c>
      <c r="F2931" t="s">
        <v>56</v>
      </c>
      <c r="G2931">
        <v>-458.61219999999997</v>
      </c>
      <c r="H2931" s="1">
        <v>2.874349E-6</v>
      </c>
      <c r="I2931">
        <v>218.54750000000001</v>
      </c>
      <c r="J2931">
        <v>-471.23079999999999</v>
      </c>
      <c r="K2931">
        <v>1.151319</v>
      </c>
      <c r="L2931">
        <v>218.70179999999999</v>
      </c>
      <c r="M2931">
        <v>0.95810110000000004</v>
      </c>
      <c r="N2931">
        <v>-2.8419839999999998E-2</v>
      </c>
      <c r="O2931">
        <v>-0.28501659999999901</v>
      </c>
      <c r="P2931">
        <v>0.98606139999999998</v>
      </c>
      <c r="Q2931">
        <v>-0.13617409999999999</v>
      </c>
      <c r="R2931">
        <v>-9.5601160000000004E-2</v>
      </c>
      <c r="S2931">
        <v>3.0013730000000001</v>
      </c>
      <c r="T2931">
        <v>-0.2704165</v>
      </c>
      <c r="U2931">
        <v>-4.6936039999999998E-2</v>
      </c>
      <c r="V2931">
        <v>-0.1853474</v>
      </c>
      <c r="W2931">
        <v>-0.11547689999999999</v>
      </c>
      <c r="X2931">
        <v>0.97586450000000002</v>
      </c>
      <c r="Y2931">
        <v>-0.26817279999999999</v>
      </c>
      <c r="Z2931">
        <v>3.3036799999999998E-2</v>
      </c>
      <c r="AA2931">
        <v>0.9628042</v>
      </c>
      <c r="AB2931">
        <v>20</v>
      </c>
      <c r="AC2931">
        <v>12.618600000000001</v>
      </c>
      <c r="AD2931">
        <v>-1.1513161256510001</v>
      </c>
      <c r="AE2931">
        <v>-0.15429999999997701</v>
      </c>
      <c r="AF2931">
        <v>-3.42158993220293</v>
      </c>
      <c r="AG2931">
        <v>-1.1513161256510001</v>
      </c>
      <c r="AH2931">
        <v>12.038574434133601</v>
      </c>
      <c r="AI2931">
        <v>95.255969349819793</v>
      </c>
      <c r="AJ2931">
        <v>105.866149734545</v>
      </c>
      <c r="AK2931">
        <v>12.568217092790499</v>
      </c>
      <c r="AL2931">
        <v>96.631132347921906</v>
      </c>
      <c r="AM2931">
        <v>100.754178557891</v>
      </c>
      <c r="AN2931">
        <v>1.0000000477402999</v>
      </c>
    </row>
    <row r="2932" spans="1:40" x14ac:dyDescent="0.25">
      <c r="A2932" t="str">
        <f>"20190305135250112"</f>
        <v>20190305135250112</v>
      </c>
      <c r="B2932" t="str">
        <f>"1551765170102188"</f>
        <v>1551765170102188</v>
      </c>
      <c r="C2932" t="s">
        <v>40</v>
      </c>
      <c r="D2932">
        <v>5.0213380000000001</v>
      </c>
      <c r="E2932">
        <v>0.46934959999999998</v>
      </c>
      <c r="F2932" t="s">
        <v>56</v>
      </c>
      <c r="G2932">
        <v>-458.28379999999999</v>
      </c>
      <c r="H2932" s="1">
        <v>2.700644E-6</v>
      </c>
      <c r="I2932">
        <v>218.52430000000001</v>
      </c>
      <c r="J2932">
        <v>-471.04450000000003</v>
      </c>
      <c r="K2932">
        <v>1.1487590000000001</v>
      </c>
      <c r="L2932">
        <v>218.6591</v>
      </c>
      <c r="M2932">
        <v>0.96125760000000005</v>
      </c>
      <c r="N2932">
        <v>-2.8059540000000001E-2</v>
      </c>
      <c r="O2932">
        <v>-0.27422000000000002</v>
      </c>
      <c r="P2932">
        <v>0.98674189999999995</v>
      </c>
      <c r="Q2932">
        <v>-0.13337860000000001</v>
      </c>
      <c r="R2932">
        <v>-9.2468560000000005E-2</v>
      </c>
      <c r="S2932">
        <v>3.0015260000000001</v>
      </c>
      <c r="T2932">
        <v>-0.2669127</v>
      </c>
      <c r="U2932">
        <v>-4.1137699999999902E-2</v>
      </c>
      <c r="V2932">
        <v>-0.17790980000000001</v>
      </c>
      <c r="W2932">
        <v>-0.11234860000000001</v>
      </c>
      <c r="X2932">
        <v>0.97761240000000005</v>
      </c>
      <c r="Y2932">
        <v>-0.259299</v>
      </c>
      <c r="Z2932">
        <v>3.1476360000000002E-2</v>
      </c>
      <c r="AA2932">
        <v>0.96528400000000003</v>
      </c>
      <c r="AB2932">
        <v>20</v>
      </c>
      <c r="AC2932">
        <v>12.7607</v>
      </c>
      <c r="AD2932">
        <v>-1.1487562993559901</v>
      </c>
      <c r="AE2932">
        <v>-0.13479999999998399</v>
      </c>
      <c r="AF2932">
        <v>-3.3438924013990099</v>
      </c>
      <c r="AG2932">
        <v>-1.1487562993559901</v>
      </c>
      <c r="AH2932">
        <v>12.2091962888379</v>
      </c>
      <c r="AI2932">
        <v>95.185240427865494</v>
      </c>
      <c r="AJ2932">
        <v>105.31673933082701</v>
      </c>
      <c r="AK2932">
        <v>12.710850933230899</v>
      </c>
      <c r="AL2932">
        <v>96.450719496498806</v>
      </c>
      <c r="AM2932">
        <v>100.314042009433</v>
      </c>
      <c r="AN2932">
        <v>1.0000000547458701</v>
      </c>
    </row>
    <row r="2933" spans="1:40" x14ac:dyDescent="0.25">
      <c r="A2933" t="str">
        <f>"20190305135250136"</f>
        <v>20190305135250136</v>
      </c>
      <c r="B2933" t="str">
        <f>"1551765170132443"</f>
        <v>1551765170132443</v>
      </c>
      <c r="C2933" t="s">
        <v>40</v>
      </c>
      <c r="D2933">
        <v>4.9307509999999999</v>
      </c>
      <c r="E2933">
        <v>0.46993869999999999</v>
      </c>
      <c r="F2933" t="s">
        <v>56</v>
      </c>
      <c r="G2933">
        <v>-457.8184</v>
      </c>
      <c r="H2933" s="1">
        <v>2.4538009999999999E-6</v>
      </c>
      <c r="I2933">
        <v>218.50450000000001</v>
      </c>
      <c r="J2933">
        <v>-470.85629999999998</v>
      </c>
      <c r="K2933">
        <v>1.1465700000000001</v>
      </c>
      <c r="L2933">
        <v>218.61770000000001</v>
      </c>
      <c r="M2933">
        <v>0.96451410000000004</v>
      </c>
      <c r="N2933">
        <v>-2.8035910000000001E-2</v>
      </c>
      <c r="O2933">
        <v>-0.26253910000000003</v>
      </c>
      <c r="P2933">
        <v>0.98768160000000005</v>
      </c>
      <c r="Q2933">
        <v>-0.13023100000000001</v>
      </c>
      <c r="R2933">
        <v>-8.6750250000000001E-2</v>
      </c>
      <c r="S2933">
        <v>3.00177</v>
      </c>
      <c r="T2933">
        <v>-0.26071850000000002</v>
      </c>
      <c r="U2933">
        <v>-3.5095210000000002E-2</v>
      </c>
      <c r="V2933">
        <v>-0.17213229999999999</v>
      </c>
      <c r="W2933">
        <v>-0.1086934</v>
      </c>
      <c r="X2933">
        <v>0.97905889999999995</v>
      </c>
      <c r="Y2933">
        <v>-0.2496708</v>
      </c>
      <c r="Z2933">
        <v>2.9457170000000001E-2</v>
      </c>
      <c r="AA2933">
        <v>0.96788260000000004</v>
      </c>
      <c r="AB2933">
        <v>20</v>
      </c>
      <c r="AC2933">
        <v>13.037899999999899</v>
      </c>
      <c r="AD2933">
        <v>-1.1465675461989999</v>
      </c>
      <c r="AE2933">
        <v>-0.113200000000006</v>
      </c>
      <c r="AF2933">
        <v>-3.2896392684785201</v>
      </c>
      <c r="AG2933">
        <v>-1.1465675461989999</v>
      </c>
      <c r="AH2933">
        <v>12.5131481427675</v>
      </c>
      <c r="AI2933">
        <v>95.064198996325899</v>
      </c>
      <c r="AJ2933">
        <v>104.729454122389</v>
      </c>
      <c r="AK2933">
        <v>12.989042308713801</v>
      </c>
      <c r="AL2933">
        <v>96.240000933339203</v>
      </c>
      <c r="AM2933">
        <v>99.971494326670793</v>
      </c>
      <c r="AN2933">
        <v>1.0000000567880201</v>
      </c>
    </row>
    <row r="2934" spans="1:40" x14ac:dyDescent="0.25">
      <c r="A2934" t="str">
        <f>"20190305135250156"</f>
        <v>20190305135250156</v>
      </c>
      <c r="B2934" t="str">
        <f>"1551765170151964"</f>
        <v>1551765170151964</v>
      </c>
      <c r="C2934" t="s">
        <v>40</v>
      </c>
      <c r="D2934">
        <v>4.895276</v>
      </c>
      <c r="E2934">
        <v>0.47025899999999998</v>
      </c>
      <c r="F2934" t="s">
        <v>56</v>
      </c>
      <c r="G2934">
        <v>-457.1773</v>
      </c>
      <c r="H2934" s="1">
        <v>2.1120069999999998E-6</v>
      </c>
      <c r="I2934">
        <v>218.51929999999999</v>
      </c>
      <c r="J2934">
        <v>-470.68430000000001</v>
      </c>
      <c r="K2934">
        <v>1.144814</v>
      </c>
      <c r="L2934">
        <v>218.58179999999999</v>
      </c>
      <c r="M2934">
        <v>0.96733230000000003</v>
      </c>
      <c r="N2934">
        <v>-2.7905200000000002E-2</v>
      </c>
      <c r="O2934">
        <v>-0.25197180000000002</v>
      </c>
      <c r="P2934">
        <v>0.98852510000000005</v>
      </c>
      <c r="Q2934">
        <v>-0.1275203</v>
      </c>
      <c r="R2934">
        <v>-8.0974420000000005E-2</v>
      </c>
      <c r="S2934">
        <v>3.0023499999999999</v>
      </c>
      <c r="T2934">
        <v>-0.25165579999999999</v>
      </c>
      <c r="U2934">
        <v>-2.159119E-2</v>
      </c>
      <c r="V2934">
        <v>-0.16744039999999999</v>
      </c>
      <c r="W2934">
        <v>-0.105753399999999</v>
      </c>
      <c r="X2934">
        <v>0.9801938</v>
      </c>
      <c r="Y2934">
        <v>-0.24359149999999999</v>
      </c>
      <c r="Z2934">
        <v>2.7419539999999999E-2</v>
      </c>
      <c r="AA2934">
        <v>0.96949019999999997</v>
      </c>
      <c r="AB2934">
        <v>20</v>
      </c>
      <c r="AC2934">
        <v>13.507</v>
      </c>
      <c r="AD2934">
        <v>-1.144811887993</v>
      </c>
      <c r="AE2934">
        <v>-6.25E-2</v>
      </c>
      <c r="AF2934">
        <v>-3.32037452742623</v>
      </c>
      <c r="AG2934">
        <v>-1.144811887993</v>
      </c>
      <c r="AH2934">
        <v>12.9932619423442</v>
      </c>
      <c r="AI2934">
        <v>94.879218240871893</v>
      </c>
      <c r="AJ2934">
        <v>104.33491491237901</v>
      </c>
      <c r="AK2934">
        <v>13.4595816117605</v>
      </c>
      <c r="AL2934">
        <v>96.070575020635303</v>
      </c>
      <c r="AM2934">
        <v>99.69391186931</v>
      </c>
      <c r="AN2934">
        <v>0.99999997736107904</v>
      </c>
    </row>
    <row r="2935" spans="1:40" x14ac:dyDescent="0.25">
      <c r="A2935" t="str">
        <f>"20190305135250180"</f>
        <v>20190305135250180</v>
      </c>
      <c r="B2935" t="str">
        <f>"1551765170172459"</f>
        <v>1551765170172459</v>
      </c>
      <c r="C2935" t="s">
        <v>40</v>
      </c>
      <c r="D2935">
        <v>4.8812449999999998</v>
      </c>
      <c r="E2935">
        <v>0.47056809999999899</v>
      </c>
      <c r="F2935" t="s">
        <v>56</v>
      </c>
      <c r="G2935">
        <v>-456.58519999999999</v>
      </c>
      <c r="H2935" s="1">
        <v>1.7955429999999999E-6</v>
      </c>
      <c r="I2935">
        <v>218.5515</v>
      </c>
      <c r="J2935">
        <v>-470.4819</v>
      </c>
      <c r="K2935">
        <v>1.142889</v>
      </c>
      <c r="L2935">
        <v>218.54220000000001</v>
      </c>
      <c r="M2935">
        <v>0.97021740000000001</v>
      </c>
      <c r="N2935">
        <v>-2.74556E-2</v>
      </c>
      <c r="O2935">
        <v>-0.2406749</v>
      </c>
      <c r="P2935">
        <v>0.98920940000000002</v>
      </c>
      <c r="Q2935">
        <v>-0.1259518</v>
      </c>
      <c r="R2935">
        <v>-7.4841850000000001E-2</v>
      </c>
      <c r="S2935">
        <v>3.002869</v>
      </c>
      <c r="T2935">
        <v>-0.24382590000000001</v>
      </c>
      <c r="U2935">
        <v>-6.4544679999999997E-3</v>
      </c>
      <c r="V2935">
        <v>-0.16227039999999901</v>
      </c>
      <c r="W2935">
        <v>-0.10429919999999999</v>
      </c>
      <c r="X2935">
        <v>0.98121860000000005</v>
      </c>
      <c r="Y2935">
        <v>-0.23730190000000001</v>
      </c>
      <c r="Z2935">
        <v>2.5595139999999999E-2</v>
      </c>
      <c r="AA2935">
        <v>0.97109869999999998</v>
      </c>
      <c r="AB2935">
        <v>20</v>
      </c>
      <c r="AC2935">
        <v>13.896699999999999</v>
      </c>
      <c r="AD2935">
        <v>-1.142887204457</v>
      </c>
      <c r="AE2935">
        <v>9.2999999999960892E-3</v>
      </c>
      <c r="AF2935">
        <v>-3.3323357180197402</v>
      </c>
      <c r="AG2935">
        <v>-1.142887204457</v>
      </c>
      <c r="AH2935">
        <v>13.3950655350544</v>
      </c>
      <c r="AI2935">
        <v>94.733171780356699</v>
      </c>
      <c r="AJ2935">
        <v>103.97007833622099</v>
      </c>
      <c r="AK2935">
        <v>13.850575193402699</v>
      </c>
      <c r="AL2935">
        <v>95.986792146263994</v>
      </c>
      <c r="AM2935">
        <v>99.390378399081698</v>
      </c>
      <c r="AN2935">
        <v>0.99999997341137903</v>
      </c>
    </row>
    <row r="2936" spans="1:40" x14ac:dyDescent="0.25">
      <c r="A2936" t="str">
        <f>"20190305135250203"</f>
        <v>20190305135250203</v>
      </c>
      <c r="B2936" t="str">
        <f>"1551765170191980"</f>
        <v>1551765170191980</v>
      </c>
      <c r="C2936" t="s">
        <v>40</v>
      </c>
      <c r="D2936">
        <v>4.8469350000000002</v>
      </c>
      <c r="E2936">
        <v>0.47082099999999999</v>
      </c>
      <c r="F2936" t="s">
        <v>56</v>
      </c>
      <c r="G2936">
        <v>-456.1277</v>
      </c>
      <c r="H2936" s="1">
        <v>1.550461E-6</v>
      </c>
      <c r="I2936">
        <v>218.58850000000001</v>
      </c>
      <c r="J2936">
        <v>-470.29109999999997</v>
      </c>
      <c r="K2936">
        <v>1.1409210000000001</v>
      </c>
      <c r="L2936">
        <v>218.5078</v>
      </c>
      <c r="M2936">
        <v>0.97249850000000004</v>
      </c>
      <c r="N2936">
        <v>-2.6824219999999999E-2</v>
      </c>
      <c r="O2936">
        <v>-0.2313596</v>
      </c>
      <c r="P2936">
        <v>0.98958239999999997</v>
      </c>
      <c r="Q2936">
        <v>-0.12516630000000001</v>
      </c>
      <c r="R2936">
        <v>-7.1137699999999998E-2</v>
      </c>
      <c r="S2936">
        <v>3.0030519999999998</v>
      </c>
      <c r="T2936">
        <v>-0.23910439999999999</v>
      </c>
      <c r="U2936">
        <v>9.6740720000000006E-3</v>
      </c>
      <c r="V2936">
        <v>-0.15669129999999901</v>
      </c>
      <c r="W2936">
        <v>-0.1037527</v>
      </c>
      <c r="X2936">
        <v>0.98218289999999997</v>
      </c>
      <c r="Y2936">
        <v>-0.23327929999999999</v>
      </c>
      <c r="Z2936">
        <v>2.4432209999999999E-2</v>
      </c>
      <c r="AA2936">
        <v>0.97210280000000004</v>
      </c>
      <c r="AB2936">
        <v>20</v>
      </c>
      <c r="AC2936">
        <v>14.1633999999999</v>
      </c>
      <c r="AD2936">
        <v>-1.14091944953899</v>
      </c>
      <c r="AE2936">
        <v>8.0700000000007294E-2</v>
      </c>
      <c r="AF2936">
        <v>-3.33488751184652</v>
      </c>
      <c r="AG2936">
        <v>-1.14091944953899</v>
      </c>
      <c r="AH2936">
        <v>13.6714543718535</v>
      </c>
      <c r="AI2936">
        <v>94.635142570774505</v>
      </c>
      <c r="AJ2936">
        <v>103.708489615793</v>
      </c>
      <c r="AK2936">
        <v>14.1184927151831</v>
      </c>
      <c r="AL2936">
        <v>95.955308928949194</v>
      </c>
      <c r="AM2936">
        <v>99.064226475375904</v>
      </c>
      <c r="AN2936">
        <v>1.00000001765269</v>
      </c>
    </row>
    <row r="2937" spans="1:40" x14ac:dyDescent="0.25">
      <c r="A2937" t="str">
        <f>"20190305135250227"</f>
        <v>20190305135250227</v>
      </c>
      <c r="B2937" t="str">
        <f>"1551765170222236"</f>
        <v>1551765170222236</v>
      </c>
      <c r="C2937" t="s">
        <v>40</v>
      </c>
      <c r="D2937">
        <v>4.8503990000000003</v>
      </c>
      <c r="E2937">
        <v>0.47128789999999998</v>
      </c>
      <c r="F2937" t="s">
        <v>56</v>
      </c>
      <c r="G2937">
        <v>-455.75240000000002</v>
      </c>
      <c r="H2937" s="1">
        <v>1.350285E-6</v>
      </c>
      <c r="I2937">
        <v>218.59870000000001</v>
      </c>
      <c r="J2937">
        <v>-470.0899</v>
      </c>
      <c r="K2937">
        <v>1.138487</v>
      </c>
      <c r="L2937">
        <v>218.47380000000001</v>
      </c>
      <c r="M2937">
        <v>0.97460429999999998</v>
      </c>
      <c r="N2937">
        <v>-2.6049599999999999E-2</v>
      </c>
      <c r="O2937">
        <v>-0.2224139</v>
      </c>
      <c r="P2937">
        <v>0.98968529999999999</v>
      </c>
      <c r="Q2937">
        <v>-0.12646470000000001</v>
      </c>
      <c r="R2937">
        <v>-6.7302669999999995E-2</v>
      </c>
      <c r="S2937">
        <v>3.0031129999999999</v>
      </c>
      <c r="T2937">
        <v>-0.23566880000000001</v>
      </c>
      <c r="U2937">
        <v>1.8783569999999999E-2</v>
      </c>
      <c r="V2937">
        <v>-0.15160660000000001</v>
      </c>
      <c r="W2937">
        <v>-0.10531</v>
      </c>
      <c r="X2937">
        <v>0.98281499999999999</v>
      </c>
      <c r="Y2937">
        <v>-0.22735720000000001</v>
      </c>
      <c r="Z2937">
        <v>2.3369709999999998E-2</v>
      </c>
      <c r="AA2937">
        <v>0.97353089999999998</v>
      </c>
      <c r="AB2937">
        <v>20</v>
      </c>
      <c r="AC2937">
        <v>14.337499999999901</v>
      </c>
      <c r="AD2937">
        <v>-1.138485649715</v>
      </c>
      <c r="AE2937">
        <v>0.124899999999996</v>
      </c>
      <c r="AF2937">
        <v>-3.2909620346405402</v>
      </c>
      <c r="AG2937">
        <v>-1.138485649715</v>
      </c>
      <c r="AH2937">
        <v>13.862939357577501</v>
      </c>
      <c r="AI2937">
        <v>94.568442185472705</v>
      </c>
      <c r="AJ2937">
        <v>103.35440432504301</v>
      </c>
      <c r="AK2937">
        <v>14.293623344692</v>
      </c>
      <c r="AL2937">
        <v>96.045027027219803</v>
      </c>
      <c r="AM2937">
        <v>98.769185164508499</v>
      </c>
      <c r="AN2937">
        <v>1.00000004074427</v>
      </c>
    </row>
    <row r="2938" spans="1:40" x14ac:dyDescent="0.25">
      <c r="A2938" t="str">
        <f>"20190305135250248"</f>
        <v>20190305135250248</v>
      </c>
      <c r="B2938" t="str">
        <f>"1551765170242732"</f>
        <v>1551765170242732</v>
      </c>
      <c r="C2938" t="s">
        <v>40</v>
      </c>
      <c r="D2938">
        <v>4.834384</v>
      </c>
      <c r="E2938">
        <v>0.47157700000000002</v>
      </c>
      <c r="F2938" t="s">
        <v>56</v>
      </c>
      <c r="G2938">
        <v>-455.79809999999998</v>
      </c>
      <c r="H2938" s="1">
        <v>1.3745510000000001E-6</v>
      </c>
      <c r="I2938">
        <v>218.5994</v>
      </c>
      <c r="J2938">
        <v>-469.90899999999999</v>
      </c>
      <c r="K2938">
        <v>1.13595</v>
      </c>
      <c r="L2938">
        <v>218.44489999999999</v>
      </c>
      <c r="M2938">
        <v>0.97636800000000001</v>
      </c>
      <c r="N2938">
        <v>-2.529855E-2</v>
      </c>
      <c r="O2938">
        <v>-0.2146293</v>
      </c>
      <c r="P2938">
        <v>0.98944719999999997</v>
      </c>
      <c r="Q2938">
        <v>-0.12950390000000001</v>
      </c>
      <c r="R2938">
        <v>-6.4987530000000002E-2</v>
      </c>
      <c r="S2938">
        <v>3.0025019999999998</v>
      </c>
      <c r="T2938">
        <v>-0.239179</v>
      </c>
      <c r="U2938">
        <v>2.6382450000000002E-2</v>
      </c>
      <c r="V2938">
        <v>-0.1461856</v>
      </c>
      <c r="W2938">
        <v>-0.10850360000000001</v>
      </c>
      <c r="X2938">
        <v>0.98328879999999996</v>
      </c>
      <c r="Y2938">
        <v>-0.2220374</v>
      </c>
      <c r="Z2938">
        <v>2.316228E-2</v>
      </c>
      <c r="AA2938">
        <v>0.97476300000000005</v>
      </c>
      <c r="AB2938">
        <v>19</v>
      </c>
      <c r="AC2938">
        <v>14.110900000000001</v>
      </c>
      <c r="AD2938">
        <v>-1.1359486254490001</v>
      </c>
      <c r="AE2938">
        <v>0.15450000000001199</v>
      </c>
      <c r="AF2938">
        <v>-3.1600031119430398</v>
      </c>
      <c r="AG2938">
        <v>-1.1359486254490001</v>
      </c>
      <c r="AH2938">
        <v>13.6601559189154</v>
      </c>
      <c r="AI2938">
        <v>94.631888178247195</v>
      </c>
      <c r="AJ2938">
        <v>103.025115202786</v>
      </c>
      <c r="AK2938">
        <v>14.066835417968999</v>
      </c>
      <c r="AL2938">
        <v>96.229061459881095</v>
      </c>
      <c r="AM2938">
        <v>98.456227653119697</v>
      </c>
      <c r="AN2938">
        <v>1.00000006253287</v>
      </c>
    </row>
    <row r="2939" spans="1:40" x14ac:dyDescent="0.25">
      <c r="A2939" t="str">
        <f>"20190305135250268"</f>
        <v>20190305135250268</v>
      </c>
      <c r="B2939" t="str">
        <f>"1551765170262252"</f>
        <v>1551765170262252</v>
      </c>
      <c r="C2939" t="s">
        <v>40</v>
      </c>
      <c r="D2939">
        <v>4.8140749999999999</v>
      </c>
      <c r="E2939">
        <v>0.4718948</v>
      </c>
      <c r="F2939" t="s">
        <v>56</v>
      </c>
      <c r="G2939">
        <v>-456.20920000000001</v>
      </c>
      <c r="H2939" s="1">
        <v>1.5938840000000001E-6</v>
      </c>
      <c r="I2939">
        <v>218.5872</v>
      </c>
      <c r="J2939">
        <v>-469.73899999999998</v>
      </c>
      <c r="K2939">
        <v>1.133427</v>
      </c>
      <c r="L2939">
        <v>218.4186</v>
      </c>
      <c r="M2939">
        <v>0.97795609999999999</v>
      </c>
      <c r="N2939">
        <v>-2.4565090000000001E-2</v>
      </c>
      <c r="O2939">
        <v>-0.20736070000000001</v>
      </c>
      <c r="P2939">
        <v>0.98929630000000002</v>
      </c>
      <c r="Q2939">
        <v>-0.1319823</v>
      </c>
      <c r="R2939">
        <v>-6.223853E-2</v>
      </c>
      <c r="S2939">
        <v>3.001465</v>
      </c>
      <c r="T2939">
        <v>-0.24887419999999999</v>
      </c>
      <c r="U2939">
        <v>3.117371E-2</v>
      </c>
      <c r="V2939">
        <v>-0.1417957</v>
      </c>
      <c r="W2939">
        <v>-0.1111476</v>
      </c>
      <c r="X2939">
        <v>0.98363619999999996</v>
      </c>
      <c r="Y2939">
        <v>-0.21626629999999999</v>
      </c>
      <c r="Z2939">
        <v>2.3572329999999999E-2</v>
      </c>
      <c r="AA2939">
        <v>0.97604979999999997</v>
      </c>
      <c r="AB2939">
        <v>19</v>
      </c>
      <c r="AC2939">
        <v>13.5298</v>
      </c>
      <c r="AD2939">
        <v>-1.1334254061160001</v>
      </c>
      <c r="AE2939">
        <v>0.168599999999997</v>
      </c>
      <c r="AF2939">
        <v>-2.95062500876009</v>
      </c>
      <c r="AG2939">
        <v>-1.1334254061160001</v>
      </c>
      <c r="AH2939">
        <v>13.1085930293304</v>
      </c>
      <c r="AI2939">
        <v>94.821700751808393</v>
      </c>
      <c r="AJ2939">
        <v>102.685340647247</v>
      </c>
      <c r="AK2939">
        <v>13.4842890914635</v>
      </c>
      <c r="AL2939">
        <v>96.381473951081404</v>
      </c>
      <c r="AM2939">
        <v>98.202942098755301</v>
      </c>
      <c r="AN2939">
        <v>0.999999991737344</v>
      </c>
    </row>
    <row r="2940" spans="1:40" x14ac:dyDescent="0.25">
      <c r="A2940" t="str">
        <f>"20190305135250291"</f>
        <v>20190305135250291</v>
      </c>
      <c r="B2940" t="str">
        <f>"1551765170282748"</f>
        <v>1551765170282748</v>
      </c>
      <c r="C2940" t="s">
        <v>40</v>
      </c>
      <c r="D2940">
        <v>4.8373400000000002</v>
      </c>
      <c r="E2940">
        <v>0.47220040000000002</v>
      </c>
      <c r="F2940" t="s">
        <v>56</v>
      </c>
      <c r="G2940">
        <v>-456.53100000000001</v>
      </c>
      <c r="H2940" s="1">
        <v>1.7652550000000001E-6</v>
      </c>
      <c r="I2940">
        <v>218.58430000000001</v>
      </c>
      <c r="J2940">
        <v>-469.54739999999998</v>
      </c>
      <c r="K2940">
        <v>1.1305889999999901</v>
      </c>
      <c r="L2940">
        <v>218.3896</v>
      </c>
      <c r="M2940">
        <v>0.97965789999999997</v>
      </c>
      <c r="N2940">
        <v>-2.3741310000000002E-2</v>
      </c>
      <c r="O2940">
        <v>-0.1992651</v>
      </c>
      <c r="P2940">
        <v>0.98940649999999997</v>
      </c>
      <c r="Q2940">
        <v>-0.13269600000000001</v>
      </c>
      <c r="R2940">
        <v>-5.8877359999999997E-2</v>
      </c>
      <c r="S2940">
        <v>3.0004879999999998</v>
      </c>
      <c r="T2940">
        <v>-0.25748290000000001</v>
      </c>
      <c r="U2940">
        <v>3.7658690000000002E-2</v>
      </c>
      <c r="V2940">
        <v>-0.13733890000000001</v>
      </c>
      <c r="W2940">
        <v>-0.11208029999999999</v>
      </c>
      <c r="X2940">
        <v>0.9841626</v>
      </c>
      <c r="Y2940">
        <v>-0.21024219999999999</v>
      </c>
      <c r="Z2940">
        <v>2.3744769999999998E-2</v>
      </c>
      <c r="AA2940">
        <v>0.97736089999999998</v>
      </c>
      <c r="AB2940">
        <v>19</v>
      </c>
      <c r="AC2940">
        <v>13.0163999999999</v>
      </c>
      <c r="AD2940">
        <v>-1.1305872347449999</v>
      </c>
      <c r="AE2940">
        <v>0.194700000000011</v>
      </c>
      <c r="AF2940">
        <v>-2.7643878735475802</v>
      </c>
      <c r="AG2940">
        <v>-1.1305872347449999</v>
      </c>
      <c r="AH2940">
        <v>12.6212090384399</v>
      </c>
      <c r="AI2940">
        <v>95.000874149451406</v>
      </c>
      <c r="AJ2940">
        <v>102.354242621799</v>
      </c>
      <c r="AK2940">
        <v>12.969771987308899</v>
      </c>
      <c r="AL2940">
        <v>96.435249715292599</v>
      </c>
      <c r="AM2940">
        <v>97.944264784884297</v>
      </c>
      <c r="AN2940">
        <v>0.99999999517003002</v>
      </c>
    </row>
    <row r="2941" spans="1:40" x14ac:dyDescent="0.25">
      <c r="A2941" t="str">
        <f>"20190305135250313"</f>
        <v>20190305135250313</v>
      </c>
      <c r="B2941" t="str">
        <f>"1551765170302271"</f>
        <v>1551765170302271</v>
      </c>
      <c r="C2941" t="s">
        <v>40</v>
      </c>
      <c r="D2941">
        <v>4.8212489999999999</v>
      </c>
      <c r="E2941">
        <v>0.47249560000000002</v>
      </c>
      <c r="F2941" t="s">
        <v>56</v>
      </c>
      <c r="G2941">
        <v>-456.5249</v>
      </c>
      <c r="H2941" s="1">
        <v>1.7618359999999999E-6</v>
      </c>
      <c r="I2941">
        <v>218.5881</v>
      </c>
      <c r="J2941">
        <v>-469.35640000000001</v>
      </c>
      <c r="K2941">
        <v>1.127953</v>
      </c>
      <c r="L2941">
        <v>218.36150000000001</v>
      </c>
      <c r="M2941">
        <v>0.98121729999999996</v>
      </c>
      <c r="N2941">
        <v>-2.2929140000000001E-2</v>
      </c>
      <c r="O2941">
        <v>-0.1915385</v>
      </c>
      <c r="P2941">
        <v>0.98959790000000003</v>
      </c>
      <c r="Q2941">
        <v>-0.1323241</v>
      </c>
      <c r="R2941">
        <v>-5.644594E-2</v>
      </c>
      <c r="S2941">
        <v>2.999908</v>
      </c>
      <c r="T2941">
        <v>-0.26044709999999999</v>
      </c>
      <c r="U2941">
        <v>4.5730590000000002E-2</v>
      </c>
      <c r="V2941">
        <v>-0.13235150000000001</v>
      </c>
      <c r="W2941">
        <v>-0.1119873</v>
      </c>
      <c r="X2941">
        <v>0.98485630000000002</v>
      </c>
      <c r="Y2941">
        <v>-0.20516789999999999</v>
      </c>
      <c r="Z2941">
        <v>2.336736E-2</v>
      </c>
      <c r="AA2941">
        <v>0.97844779999999998</v>
      </c>
      <c r="AB2941">
        <v>19</v>
      </c>
      <c r="AC2941">
        <v>12.8315</v>
      </c>
      <c r="AD2941">
        <v>-1.127951238164</v>
      </c>
      <c r="AE2941">
        <v>0.22659999999999</v>
      </c>
      <c r="AF2941">
        <v>-2.6602248676406401</v>
      </c>
      <c r="AG2941">
        <v>-1.127951238164</v>
      </c>
      <c r="AH2941">
        <v>12.454179181827</v>
      </c>
      <c r="AI2941">
        <v>95.0614855446251</v>
      </c>
      <c r="AJ2941">
        <v>102.057241785138</v>
      </c>
      <c r="AK2941">
        <v>12.7849774905998</v>
      </c>
      <c r="AL2941">
        <v>96.4298873966912</v>
      </c>
      <c r="AM2941">
        <v>97.653929384576998</v>
      </c>
      <c r="AN2941">
        <v>1.0000000032816101</v>
      </c>
    </row>
    <row r="2942" spans="1:40" x14ac:dyDescent="0.25">
      <c r="A2942" t="str">
        <f>"20190305135250336"</f>
        <v>20190305135250336</v>
      </c>
      <c r="B2942" t="str">
        <f>"1551765170332524"</f>
        <v>1551765170332524</v>
      </c>
      <c r="C2942" t="s">
        <v>40</v>
      </c>
      <c r="D2942">
        <v>4.7948019999999998</v>
      </c>
      <c r="E2942">
        <v>0.4729911</v>
      </c>
      <c r="F2942" t="s">
        <v>56</v>
      </c>
      <c r="G2942">
        <v>-456.26319999999998</v>
      </c>
      <c r="H2942" s="1">
        <v>1.62264E-6</v>
      </c>
      <c r="I2942">
        <v>218.5857</v>
      </c>
      <c r="J2942">
        <v>-469.16910000000001</v>
      </c>
      <c r="K2942">
        <v>1.125632</v>
      </c>
      <c r="L2942">
        <v>218.33459999999999</v>
      </c>
      <c r="M2942">
        <v>0.98257890000000003</v>
      </c>
      <c r="N2942">
        <v>-2.2125289999999999E-2</v>
      </c>
      <c r="O2942">
        <v>-0.1845251</v>
      </c>
      <c r="P2942">
        <v>0.9897089</v>
      </c>
      <c r="Q2942">
        <v>-0.13227139999999901</v>
      </c>
      <c r="R2942">
        <v>-5.4596350000000002E-2</v>
      </c>
      <c r="S2942">
        <v>2.9999389999999999</v>
      </c>
      <c r="T2942">
        <v>-0.25843759999999999</v>
      </c>
      <c r="U2942">
        <v>5.137634E-2</v>
      </c>
      <c r="V2942">
        <v>-0.12742719999999999</v>
      </c>
      <c r="W2942">
        <v>-0.1123188</v>
      </c>
      <c r="X2942">
        <v>0.9854678</v>
      </c>
      <c r="Y2942">
        <v>-0.20006969999999999</v>
      </c>
      <c r="Z2942">
        <v>2.253001E-2</v>
      </c>
      <c r="AA2942">
        <v>0.97952260000000002</v>
      </c>
      <c r="AB2942">
        <v>19</v>
      </c>
      <c r="AC2942">
        <v>12.905900000000001</v>
      </c>
      <c r="AD2942">
        <v>-1.12563037736</v>
      </c>
      <c r="AE2942">
        <v>0.25110000000000798</v>
      </c>
      <c r="AF2942">
        <v>-2.6089919660012701</v>
      </c>
      <c r="AG2942">
        <v>-1.12563037736</v>
      </c>
      <c r="AH2942">
        <v>12.5424476686857</v>
      </c>
      <c r="AI2942">
        <v>95.021390624923697</v>
      </c>
      <c r="AJ2942">
        <v>101.750696646744</v>
      </c>
      <c r="AK2942">
        <v>12.860282903062901</v>
      </c>
      <c r="AL2942">
        <v>96.449001596785905</v>
      </c>
      <c r="AM2942">
        <v>97.367823418038</v>
      </c>
      <c r="AN2942">
        <v>0.99999999448505905</v>
      </c>
    </row>
    <row r="2943" spans="1:40" x14ac:dyDescent="0.25">
      <c r="A2943" t="str">
        <f>"20190305135250358"</f>
        <v>20190305135250358</v>
      </c>
      <c r="B2943" t="str">
        <f>"1551765170352044"</f>
        <v>1551765170352044</v>
      </c>
      <c r="C2943" t="s">
        <v>40</v>
      </c>
      <c r="D2943">
        <v>4.7913739999999896</v>
      </c>
      <c r="E2943">
        <v>0.47332659999999999</v>
      </c>
      <c r="F2943" t="s">
        <v>56</v>
      </c>
      <c r="G2943">
        <v>-456.01150000000001</v>
      </c>
      <c r="H2943" s="1">
        <v>1.4894469999999999E-6</v>
      </c>
      <c r="I2943">
        <v>218.56880000000001</v>
      </c>
      <c r="J2943">
        <v>-468.98090000000002</v>
      </c>
      <c r="K2943">
        <v>1.123564</v>
      </c>
      <c r="L2943">
        <v>218.3082</v>
      </c>
      <c r="M2943">
        <v>0.98377760000000003</v>
      </c>
      <c r="N2943">
        <v>-2.1311790000000001E-2</v>
      </c>
      <c r="O2943">
        <v>-0.1781218</v>
      </c>
      <c r="P2943">
        <v>0.98980299999999999</v>
      </c>
      <c r="Q2943">
        <v>-0.13192950000000001</v>
      </c>
      <c r="R2943">
        <v>-5.3709739999999999E-2</v>
      </c>
      <c r="S2943">
        <v>2.9998469999999999</v>
      </c>
      <c r="T2943">
        <v>-0.25663520000000001</v>
      </c>
      <c r="U2943">
        <v>5.3405759999999997E-2</v>
      </c>
      <c r="V2943">
        <v>-0.1221216</v>
      </c>
      <c r="W2943">
        <v>-0.1124487</v>
      </c>
      <c r="X2943">
        <v>0.98612449999999996</v>
      </c>
      <c r="Y2943">
        <v>-0.19440089999999999</v>
      </c>
      <c r="Z2943">
        <v>2.1725270000000001E-2</v>
      </c>
      <c r="AA2943">
        <v>0.98068149999999998</v>
      </c>
      <c r="AB2943">
        <v>19</v>
      </c>
      <c r="AC2943">
        <v>12.9694</v>
      </c>
      <c r="AD2943">
        <v>-1.123562510553</v>
      </c>
      <c r="AE2943">
        <v>0.26060000000000999</v>
      </c>
      <c r="AF2943">
        <v>-2.5479734422953002</v>
      </c>
      <c r="AG2943">
        <v>-1.123562510553</v>
      </c>
      <c r="AH2943">
        <v>12.6207933442789</v>
      </c>
      <c r="AI2943">
        <v>94.987231179872595</v>
      </c>
      <c r="AJ2943">
        <v>101.413850538631</v>
      </c>
      <c r="AK2943">
        <v>12.924356309571399</v>
      </c>
      <c r="AL2943">
        <v>96.456491977718301</v>
      </c>
      <c r="AM2943">
        <v>97.059563114602398</v>
      </c>
      <c r="AN2943">
        <v>0.99999996240924904</v>
      </c>
    </row>
    <row r="2944" spans="1:40" x14ac:dyDescent="0.25">
      <c r="A2944" t="str">
        <f>"20190305135250382"</f>
        <v>20190305135250382</v>
      </c>
      <c r="B2944" t="str">
        <f>"1551765170372541"</f>
        <v>1551765170372541</v>
      </c>
      <c r="C2944" t="s">
        <v>40</v>
      </c>
      <c r="D2944">
        <v>4.9635170000000004</v>
      </c>
      <c r="E2944">
        <v>0.47360839999999998</v>
      </c>
      <c r="F2944" t="s">
        <v>56</v>
      </c>
      <c r="G2944">
        <v>-455.76889999999997</v>
      </c>
      <c r="H2944" s="1">
        <v>1.361371E-6</v>
      </c>
      <c r="I2944">
        <v>218.54570000000001</v>
      </c>
      <c r="J2944">
        <v>-468.77690000000001</v>
      </c>
      <c r="K2944">
        <v>1.1215550000000001</v>
      </c>
      <c r="L2944">
        <v>218.28039999999999</v>
      </c>
      <c r="M2944">
        <v>0.98491589999999996</v>
      </c>
      <c r="N2944">
        <v>-2.04487E-2</v>
      </c>
      <c r="O2944">
        <v>-0.171820899999999</v>
      </c>
      <c r="P2944">
        <v>0.99009329999999995</v>
      </c>
      <c r="Q2944">
        <v>-0.1302652</v>
      </c>
      <c r="R2944">
        <v>-5.2404810000000003E-2</v>
      </c>
      <c r="S2944">
        <v>2.9998170000000002</v>
      </c>
      <c r="T2944">
        <v>-0.25510749999999999</v>
      </c>
      <c r="U2944">
        <v>5.3924560000000003E-2</v>
      </c>
      <c r="V2944">
        <v>-0.11736249999999999</v>
      </c>
      <c r="W2944">
        <v>-0.1113516</v>
      </c>
      <c r="X2944">
        <v>0.98682669999999995</v>
      </c>
      <c r="Y2944">
        <v>-0.18833839999999999</v>
      </c>
      <c r="Z2944">
        <v>2.0938089999999999E-2</v>
      </c>
      <c r="AA2944">
        <v>0.981881</v>
      </c>
      <c r="AB2944">
        <v>19</v>
      </c>
      <c r="AC2944">
        <v>13.007999999999999</v>
      </c>
      <c r="AD2944">
        <v>-1.1215536386289999</v>
      </c>
      <c r="AE2944">
        <v>0.26530000000002402</v>
      </c>
      <c r="AF2944">
        <v>-2.4784496801367299</v>
      </c>
      <c r="AG2944">
        <v>-1.1215536386289999</v>
      </c>
      <c r="AH2944">
        <v>12.674688804041301</v>
      </c>
      <c r="AI2944">
        <v>94.963281088730994</v>
      </c>
      <c r="AJ2944">
        <v>101.06419096322</v>
      </c>
      <c r="AK2944">
        <v>12.963345697025201</v>
      </c>
      <c r="AL2944">
        <v>96.393235017676105</v>
      </c>
      <c r="AM2944">
        <v>96.782283813363804</v>
      </c>
      <c r="AN2944">
        <v>1.00000003553084</v>
      </c>
    </row>
    <row r="2945" spans="1:40" x14ac:dyDescent="0.25">
      <c r="A2945" t="str">
        <f>"20190305135250403"</f>
        <v>20190305135250403</v>
      </c>
      <c r="B2945" t="str">
        <f>"1551765170392060"</f>
        <v>1551765170392060</v>
      </c>
      <c r="C2945" t="s">
        <v>40</v>
      </c>
      <c r="D2945">
        <v>4.7374429999999998</v>
      </c>
      <c r="E2945">
        <v>0.54118849999999996</v>
      </c>
      <c r="F2945" t="s">
        <v>56</v>
      </c>
      <c r="G2945">
        <v>-455.30489999999998</v>
      </c>
      <c r="H2945" s="1">
        <v>1.115103E-6</v>
      </c>
      <c r="I2945">
        <v>218.53120000000001</v>
      </c>
      <c r="J2945">
        <v>-468.60140000000001</v>
      </c>
      <c r="K2945">
        <v>1.119988</v>
      </c>
      <c r="L2945">
        <v>218.2569</v>
      </c>
      <c r="M2945">
        <v>0.98578650000000001</v>
      </c>
      <c r="N2945">
        <v>-1.9744290000000001E-2</v>
      </c>
      <c r="O2945">
        <v>-0.166839299999999</v>
      </c>
      <c r="P2945">
        <v>0.99035850000000003</v>
      </c>
      <c r="Q2945">
        <v>-0.12788350000000001</v>
      </c>
      <c r="R2945">
        <v>-5.325481E-2</v>
      </c>
      <c r="S2945">
        <v>3.0001220000000002</v>
      </c>
      <c r="T2945">
        <v>-0.2497636</v>
      </c>
      <c r="U2945">
        <v>5.5847170000000002E-2</v>
      </c>
      <c r="V2945">
        <v>-0.1117572</v>
      </c>
      <c r="W2945">
        <v>-0.1094313</v>
      </c>
      <c r="X2945">
        <v>0.98769180000000001</v>
      </c>
      <c r="Y2945">
        <v>-0.18407419999999999</v>
      </c>
      <c r="Z2945">
        <v>1.9990299999999999E-2</v>
      </c>
      <c r="AA2945">
        <v>0.9827091</v>
      </c>
      <c r="AB2945">
        <v>19</v>
      </c>
      <c r="AC2945">
        <v>13.2965</v>
      </c>
      <c r="AD2945">
        <v>-1.119986884897</v>
      </c>
      <c r="AE2945">
        <v>0.27430000000000998</v>
      </c>
      <c r="AF2945">
        <v>-2.4717355209281102</v>
      </c>
      <c r="AG2945">
        <v>-1.119986884897</v>
      </c>
      <c r="AH2945">
        <v>12.972292500416501</v>
      </c>
      <c r="AI2945">
        <v>94.847713212090099</v>
      </c>
      <c r="AJ2945">
        <v>100.787804139242</v>
      </c>
      <c r="AK2945">
        <v>13.253083408178</v>
      </c>
      <c r="AL2945">
        <v>96.282533639857604</v>
      </c>
      <c r="AM2945">
        <v>96.455553586144404</v>
      </c>
      <c r="AN2945">
        <v>0.99999998647938404</v>
      </c>
    </row>
    <row r="2946" spans="1:40" x14ac:dyDescent="0.25">
      <c r="A2946" t="str">
        <f>"20190305135250427"</f>
        <v>20190305135250427</v>
      </c>
      <c r="B2946" t="str">
        <f>"1551765170422316"</f>
        <v>1551765170422316</v>
      </c>
      <c r="C2946" t="s">
        <v>40</v>
      </c>
      <c r="D2946">
        <v>4.6919820000000003</v>
      </c>
      <c r="E2946">
        <v>0.55049369999999997</v>
      </c>
      <c r="F2946" t="s">
        <v>66</v>
      </c>
      <c r="G2946">
        <v>-429.851</v>
      </c>
      <c r="H2946" s="1">
        <v>2.4442120000000002E-6</v>
      </c>
      <c r="I2946">
        <v>212.0196</v>
      </c>
      <c r="J2946">
        <v>-468.40839999999997</v>
      </c>
      <c r="K2946">
        <v>1.118398</v>
      </c>
      <c r="L2946">
        <v>218.23150000000001</v>
      </c>
      <c r="M2946">
        <v>0.98664680000000005</v>
      </c>
      <c r="N2946">
        <v>-1.9023640000000001E-2</v>
      </c>
      <c r="O2946">
        <v>-0.1617603</v>
      </c>
      <c r="P2946">
        <v>0.99051049999999996</v>
      </c>
      <c r="Q2946">
        <v>-0.12679319999999999</v>
      </c>
      <c r="R2946">
        <v>-5.3033110000000001E-2</v>
      </c>
      <c r="S2946">
        <v>2.9920960000000001</v>
      </c>
      <c r="T2946">
        <v>-8.6479189999999997E-2</v>
      </c>
      <c r="U2946">
        <v>-0.48161320000000002</v>
      </c>
      <c r="V2946">
        <v>-0.1070844</v>
      </c>
      <c r="W2946">
        <v>-0.1088408</v>
      </c>
      <c r="X2946">
        <v>0.9882746</v>
      </c>
      <c r="Y2946">
        <v>-2.9017859999999999E-3</v>
      </c>
      <c r="Z2946">
        <v>1.6056849999999999E-3</v>
      </c>
      <c r="AA2946">
        <v>0.99999450000000001</v>
      </c>
      <c r="AB2946">
        <v>19</v>
      </c>
      <c r="AC2946">
        <v>38.557399999999902</v>
      </c>
      <c r="AD2946">
        <v>-1.1183955557879901</v>
      </c>
      <c r="AE2946">
        <v>-6.2119000000000097</v>
      </c>
      <c r="AF2946">
        <v>-0.10803629384062299</v>
      </c>
      <c r="AG2946">
        <v>-1.1183955557879901</v>
      </c>
      <c r="AH2946">
        <v>39.022436894072897</v>
      </c>
      <c r="AI2946">
        <v>91.641659729893405</v>
      </c>
      <c r="AJ2946">
        <v>90.158626891311897</v>
      </c>
      <c r="AK2946">
        <v>39.038609883189899</v>
      </c>
      <c r="AL2946">
        <v>96.248496859927499</v>
      </c>
      <c r="AM2946">
        <v>96.1841517686738</v>
      </c>
      <c r="AN2946">
        <v>1.00000003673657</v>
      </c>
    </row>
    <row r="2947" spans="1:40" x14ac:dyDescent="0.25">
      <c r="A2947" t="str">
        <f>"20190305135250448"</f>
        <v>20190305135250448</v>
      </c>
      <c r="B2947" t="str">
        <f>"1551765170442812"</f>
        <v>1551765170442812</v>
      </c>
      <c r="C2947" t="s">
        <v>40</v>
      </c>
      <c r="D2947">
        <v>4.701892</v>
      </c>
      <c r="E2947">
        <v>0.55217859999999996</v>
      </c>
      <c r="F2947" t="s">
        <v>66</v>
      </c>
      <c r="G2947">
        <v>-417.33069999999998</v>
      </c>
      <c r="H2947" s="1">
        <v>4.2457150000000001E-6</v>
      </c>
      <c r="I2947">
        <v>208.76060000000001</v>
      </c>
      <c r="J2947">
        <v>-468.22199999999998</v>
      </c>
      <c r="K2947">
        <v>1.1169979999999999</v>
      </c>
      <c r="L2947">
        <v>218.2072</v>
      </c>
      <c r="M2947">
        <v>0.98738040000000005</v>
      </c>
      <c r="N2947">
        <v>-1.8389389999999999E-2</v>
      </c>
      <c r="O2947">
        <v>-0.15729570000000001</v>
      </c>
      <c r="P2947">
        <v>0.99059169999999996</v>
      </c>
      <c r="Q2947">
        <v>-0.12624929999999901</v>
      </c>
      <c r="R2947">
        <v>-5.2816120000000001E-2</v>
      </c>
      <c r="S2947">
        <v>2.9906619999999999</v>
      </c>
      <c r="T2947">
        <v>-6.5483330000000006E-2</v>
      </c>
      <c r="U2947">
        <v>-0.55453490000000005</v>
      </c>
      <c r="V2947">
        <v>-0.1029904</v>
      </c>
      <c r="W2947">
        <v>-0.1087468</v>
      </c>
      <c r="X2947">
        <v>0.98871989999999998</v>
      </c>
      <c r="Y2947">
        <v>2.5348539999999999E-2</v>
      </c>
      <c r="Z2947" s="1">
        <v>-6.4999189999999997E-6</v>
      </c>
      <c r="AA2947">
        <v>0.99967870000000003</v>
      </c>
      <c r="AB2947">
        <v>19</v>
      </c>
      <c r="AC2947">
        <v>50.891300000000001</v>
      </c>
      <c r="AD2947">
        <v>-1.1169937542849999</v>
      </c>
      <c r="AE2947">
        <v>-9.4465999999999894</v>
      </c>
      <c r="AF2947">
        <v>1.32201292195814</v>
      </c>
      <c r="AG2947">
        <v>-1.1169937542849999</v>
      </c>
      <c r="AH2947">
        <v>51.719641733288</v>
      </c>
      <c r="AI2947">
        <v>91.236825903181398</v>
      </c>
      <c r="AJ2947">
        <v>88.535773487567695</v>
      </c>
      <c r="AK2947">
        <v>51.748591615932803</v>
      </c>
      <c r="AL2947">
        <v>96.243079348370003</v>
      </c>
      <c r="AM2947">
        <v>95.946791036401606</v>
      </c>
      <c r="AN2947">
        <v>0.99999996482920395</v>
      </c>
    </row>
    <row r="2948" spans="1:40" x14ac:dyDescent="0.25">
      <c r="A2948" t="str">
        <f>"20190305135250470"</f>
        <v>20190305135250470</v>
      </c>
      <c r="B2948" t="str">
        <f>"1551765170462333"</f>
        <v>1551765170462333</v>
      </c>
      <c r="C2948" t="s">
        <v>40</v>
      </c>
      <c r="D2948">
        <v>4.7174860000000001</v>
      </c>
      <c r="E2948">
        <v>0.55365559999999903</v>
      </c>
      <c r="F2948" t="s">
        <v>66</v>
      </c>
      <c r="G2948">
        <v>-416.54610000000002</v>
      </c>
      <c r="H2948" s="1">
        <v>4.2309520000000002E-6</v>
      </c>
      <c r="I2948">
        <v>208.40860000000001</v>
      </c>
      <c r="J2948">
        <v>-468.04169999999999</v>
      </c>
      <c r="K2948">
        <v>1.115823</v>
      </c>
      <c r="L2948">
        <v>218.18379999999999</v>
      </c>
      <c r="M2948">
        <v>0.9880139</v>
      </c>
      <c r="N2948">
        <v>-1.7832589999999999E-2</v>
      </c>
      <c r="O2948">
        <v>-0.15333179999999999</v>
      </c>
      <c r="P2948">
        <v>0.99068710000000004</v>
      </c>
      <c r="Q2948">
        <v>-0.12552659999999999</v>
      </c>
      <c r="R2948">
        <v>-5.2750640000000001E-2</v>
      </c>
      <c r="S2948">
        <v>2.990021</v>
      </c>
      <c r="T2948">
        <v>-6.4630389999999996E-2</v>
      </c>
      <c r="U2948">
        <v>-0.5669556</v>
      </c>
      <c r="V2948">
        <v>-9.9224660000000006E-2</v>
      </c>
      <c r="W2948">
        <v>-0.10843510000000001</v>
      </c>
      <c r="X2948">
        <v>0.9891392</v>
      </c>
      <c r="Y2948">
        <v>3.3408300000000002E-2</v>
      </c>
      <c r="Z2948">
        <v>-1.236655E-4</v>
      </c>
      <c r="AA2948">
        <v>0.99944180000000005</v>
      </c>
      <c r="AB2948">
        <v>19</v>
      </c>
      <c r="AC2948">
        <v>51.495599999999897</v>
      </c>
      <c r="AD2948">
        <v>-1.1158187690479999</v>
      </c>
      <c r="AE2948">
        <v>-9.7751999999999803</v>
      </c>
      <c r="AF2948">
        <v>1.7616022571479</v>
      </c>
      <c r="AG2948">
        <v>-1.1158187690479999</v>
      </c>
      <c r="AH2948">
        <v>52.361815290546502</v>
      </c>
      <c r="AI2948">
        <v>91.2200856276868</v>
      </c>
      <c r="AJ2948">
        <v>88.073131729380904</v>
      </c>
      <c r="AK2948">
        <v>52.4033204535653</v>
      </c>
      <c r="AL2948">
        <v>96.2251136049629</v>
      </c>
      <c r="AM2948">
        <v>95.728413949325002</v>
      </c>
      <c r="AN2948">
        <v>1.00000003052038</v>
      </c>
    </row>
    <row r="2949" spans="1:40" x14ac:dyDescent="0.25">
      <c r="A2949" t="str">
        <f>"20190305135250492"</f>
        <v>20190305135250492</v>
      </c>
      <c r="B2949" t="str">
        <f>"1551765170482829"</f>
        <v>1551765170482829</v>
      </c>
      <c r="C2949" t="s">
        <v>40</v>
      </c>
      <c r="D2949">
        <v>4.7152729999999998</v>
      </c>
      <c r="E2949">
        <v>0.55444830000000001</v>
      </c>
      <c r="F2949" t="s">
        <v>66</v>
      </c>
      <c r="G2949">
        <v>-415.89179999999999</v>
      </c>
      <c r="H2949" s="1">
        <v>4.2297030000000002E-6</v>
      </c>
      <c r="I2949">
        <v>208.0838</v>
      </c>
      <c r="J2949">
        <v>-467.85430000000002</v>
      </c>
      <c r="K2949">
        <v>1.1147899999999999</v>
      </c>
      <c r="L2949">
        <v>218.15969999999999</v>
      </c>
      <c r="M2949">
        <v>0.98858939999999995</v>
      </c>
      <c r="N2949">
        <v>-1.7312459999999998E-2</v>
      </c>
      <c r="O2949">
        <v>-0.14963699999999999</v>
      </c>
      <c r="P2949">
        <v>0.99068730000000005</v>
      </c>
      <c r="Q2949">
        <v>-0.12558749999999999</v>
      </c>
      <c r="R2949">
        <v>-5.2599149999999997E-2</v>
      </c>
      <c r="S2949">
        <v>2.9893190000000001</v>
      </c>
      <c r="T2949">
        <v>-6.3960550000000005E-2</v>
      </c>
      <c r="U2949">
        <v>-0.57894899999999905</v>
      </c>
      <c r="V2949">
        <v>-9.5778929999999998E-2</v>
      </c>
      <c r="W2949">
        <v>-0.10889840000000001</v>
      </c>
      <c r="X2949">
        <v>0.98942790000000003</v>
      </c>
      <c r="Y2949">
        <v>4.105321E-2</v>
      </c>
      <c r="Z2949">
        <v>-2.2586319999999999E-4</v>
      </c>
      <c r="AA2949">
        <v>0.99915699999999996</v>
      </c>
      <c r="AB2949">
        <v>19</v>
      </c>
      <c r="AC2949">
        <v>51.962499999999999</v>
      </c>
      <c r="AD2949">
        <v>-1.1147857702970001</v>
      </c>
      <c r="AE2949">
        <v>-10.075899999999899</v>
      </c>
      <c r="AF2949">
        <v>2.1847738298412902</v>
      </c>
      <c r="AG2949">
        <v>-1.1147857702970001</v>
      </c>
      <c r="AH2949">
        <v>52.861782873304001</v>
      </c>
      <c r="AI2949">
        <v>91.207083674916603</v>
      </c>
      <c r="AJ2949">
        <v>87.633316343074995</v>
      </c>
      <c r="AK2949">
        <v>52.918655241281002</v>
      </c>
      <c r="AL2949">
        <v>96.251816953565907</v>
      </c>
      <c r="AM2949">
        <v>95.529137514136906</v>
      </c>
      <c r="AN2949">
        <v>1.00000001712645</v>
      </c>
    </row>
    <row r="2950" spans="1:40" x14ac:dyDescent="0.25">
      <c r="A2950" t="str">
        <f>"20190305135250515"</f>
        <v>20190305135250515</v>
      </c>
      <c r="B2950" t="str">
        <f>"1551765170502352"</f>
        <v>1551765170502352</v>
      </c>
      <c r="C2950" t="s">
        <v>40</v>
      </c>
      <c r="D2950">
        <v>4.7383550000000003</v>
      </c>
      <c r="E2950">
        <v>0.55528149999999998</v>
      </c>
      <c r="F2950" t="s">
        <v>66</v>
      </c>
      <c r="G2950">
        <v>-416.9212</v>
      </c>
      <c r="H2950" s="1">
        <v>4.3747050000000002E-6</v>
      </c>
      <c r="I2950">
        <v>208.1902</v>
      </c>
      <c r="J2950">
        <v>-467.67</v>
      </c>
      <c r="K2950">
        <v>1.113901</v>
      </c>
      <c r="L2950">
        <v>218.1361</v>
      </c>
      <c r="M2950">
        <v>0.98907069999999997</v>
      </c>
      <c r="N2950">
        <v>-1.685296E-2</v>
      </c>
      <c r="O2950">
        <v>-0.14647669999999999</v>
      </c>
      <c r="P2950">
        <v>0.9909559</v>
      </c>
      <c r="Q2950">
        <v>-0.12433710000000001</v>
      </c>
      <c r="R2950">
        <v>-5.046519E-2</v>
      </c>
      <c r="S2950">
        <v>2.9888919999999999</v>
      </c>
      <c r="T2950">
        <v>-6.5418599999999993E-2</v>
      </c>
      <c r="U2950">
        <v>-0.58503719999999904</v>
      </c>
      <c r="V2950">
        <v>-9.4860009999999995E-2</v>
      </c>
      <c r="W2950">
        <v>-0.1080195</v>
      </c>
      <c r="X2950">
        <v>0.98961279999999996</v>
      </c>
      <c r="Y2950">
        <v>4.6232830000000003E-2</v>
      </c>
      <c r="Z2950">
        <v>-1.9984730000000001E-4</v>
      </c>
      <c r="AA2950">
        <v>0.99893069999999895</v>
      </c>
      <c r="AB2950">
        <v>19</v>
      </c>
      <c r="AC2950">
        <v>50.748800000000003</v>
      </c>
      <c r="AD2950">
        <v>-1.113896625295</v>
      </c>
      <c r="AE2950">
        <v>-9.9458999999999893</v>
      </c>
      <c r="AF2950">
        <v>2.40290776401591</v>
      </c>
      <c r="AG2950">
        <v>-1.113896625295</v>
      </c>
      <c r="AH2950">
        <v>51.634367014904903</v>
      </c>
      <c r="AI2950">
        <v>91.234501681135299</v>
      </c>
      <c r="AJ2950">
        <v>87.335549516609206</v>
      </c>
      <c r="AK2950">
        <v>51.702249355749601</v>
      </c>
      <c r="AL2950">
        <v>96.201160577067697</v>
      </c>
      <c r="AM2950">
        <v>95.475397037247902</v>
      </c>
      <c r="AN2950">
        <v>1.0000000639006399</v>
      </c>
    </row>
    <row r="2951" spans="1:40" x14ac:dyDescent="0.25">
      <c r="A2951" t="str">
        <f>"20190305135250538"</f>
        <v>20190305135250538</v>
      </c>
      <c r="B2951" t="str">
        <f>"1551765170532605"</f>
        <v>1551765170532605</v>
      </c>
      <c r="C2951" t="s">
        <v>40</v>
      </c>
      <c r="D2951">
        <v>4.9091170000000002</v>
      </c>
      <c r="E2951">
        <v>0.55633390000000005</v>
      </c>
      <c r="F2951" t="s">
        <v>66</v>
      </c>
      <c r="G2951">
        <v>-412.49360000000001</v>
      </c>
      <c r="H2951" s="1">
        <v>3.7989830000000001E-6</v>
      </c>
      <c r="I2951">
        <v>207.34540000000001</v>
      </c>
      <c r="J2951">
        <v>-467.47329999999999</v>
      </c>
      <c r="K2951">
        <v>1.1130469999999999</v>
      </c>
      <c r="L2951">
        <v>218.11089999999999</v>
      </c>
      <c r="M2951">
        <v>0.98948990000000003</v>
      </c>
      <c r="N2951">
        <v>-1.6414930000000001E-2</v>
      </c>
      <c r="O2951">
        <v>-0.1436675</v>
      </c>
      <c r="P2951">
        <v>0.99112310000000003</v>
      </c>
      <c r="Q2951">
        <v>-0.12319960000000001</v>
      </c>
      <c r="R2951">
        <v>-4.996983E-2</v>
      </c>
      <c r="S2951">
        <v>2.990021</v>
      </c>
      <c r="T2951">
        <v>-6.036234E-2</v>
      </c>
      <c r="U2951">
        <v>-0.58474729999999997</v>
      </c>
      <c r="V2951">
        <v>-9.2660809999999996E-2</v>
      </c>
      <c r="W2951">
        <v>-0.1072241</v>
      </c>
      <c r="X2951">
        <v>0.9899076</v>
      </c>
      <c r="Y2951">
        <v>4.8906579999999998E-2</v>
      </c>
      <c r="Z2951">
        <v>-3.8952760000000001E-4</v>
      </c>
      <c r="AA2951">
        <v>0.99880329999999995</v>
      </c>
      <c r="AB2951">
        <v>19</v>
      </c>
      <c r="AC2951">
        <v>54.979699999999902</v>
      </c>
      <c r="AD2951">
        <v>-1.1130432010169999</v>
      </c>
      <c r="AE2951">
        <v>-10.7654999999999</v>
      </c>
      <c r="AF2951">
        <v>2.7528418531430399</v>
      </c>
      <c r="AG2951">
        <v>-1.1130432010169999</v>
      </c>
      <c r="AH2951">
        <v>55.933969999872303</v>
      </c>
      <c r="AI2951">
        <v>91.138613931240997</v>
      </c>
      <c r="AJ2951">
        <v>87.182408899288703</v>
      </c>
      <c r="AK2951">
        <v>56.012730725990799</v>
      </c>
      <c r="AL2951">
        <v>96.155321394013001</v>
      </c>
      <c r="AM2951">
        <v>95.347618637121599</v>
      </c>
      <c r="AN2951">
        <v>1.0000000449342099</v>
      </c>
    </row>
    <row r="2952" spans="1:40" x14ac:dyDescent="0.25">
      <c r="A2952" t="str">
        <f>"20190305135250559"</f>
        <v>20190305135250559</v>
      </c>
      <c r="B2952" t="str">
        <f>"1551765170552127"</f>
        <v>1551765170552127</v>
      </c>
      <c r="C2952" t="s">
        <v>40</v>
      </c>
      <c r="D2952">
        <v>4.7155420000000001</v>
      </c>
      <c r="E2952">
        <v>0.55709949999999997</v>
      </c>
      <c r="F2952" t="s">
        <v>66</v>
      </c>
      <c r="G2952">
        <v>-409.87090000000001</v>
      </c>
      <c r="H2952">
        <v>6.9076460000000006E-2</v>
      </c>
      <c r="I2952">
        <v>206.72559999999999</v>
      </c>
      <c r="J2952">
        <v>-467.2953</v>
      </c>
      <c r="K2952">
        <v>1.1123209999999999</v>
      </c>
      <c r="L2952">
        <v>218.08789999999999</v>
      </c>
      <c r="M2952">
        <v>0.98978639999999996</v>
      </c>
      <c r="N2952">
        <v>-1.6061740000000001E-2</v>
      </c>
      <c r="O2952">
        <v>-0.141652</v>
      </c>
      <c r="P2952">
        <v>0.99137719999999896</v>
      </c>
      <c r="Q2952">
        <v>-0.121592699999999</v>
      </c>
      <c r="R2952">
        <v>-4.885507E-2</v>
      </c>
      <c r="S2952">
        <v>2.9903559999999998</v>
      </c>
      <c r="T2952">
        <v>-5.4196359999999999E-2</v>
      </c>
      <c r="U2952">
        <v>-0.59104919999999905</v>
      </c>
      <c r="V2952">
        <v>-9.1878219999999997E-2</v>
      </c>
      <c r="W2952">
        <v>-0.10588450000000001</v>
      </c>
      <c r="X2952">
        <v>0.99012460000000002</v>
      </c>
      <c r="Y2952">
        <v>5.2947580000000001E-2</v>
      </c>
      <c r="Z2952">
        <v>-6.4452149999999996E-4</v>
      </c>
      <c r="AA2952">
        <v>0.99859710000000002</v>
      </c>
      <c r="AB2952">
        <v>19</v>
      </c>
      <c r="AC2952">
        <v>57.424399999999899</v>
      </c>
      <c r="AD2952">
        <v>-1.0432445400000001</v>
      </c>
      <c r="AE2952">
        <v>-11.362299999999999</v>
      </c>
      <c r="AF2952">
        <v>3.1113815715662598</v>
      </c>
      <c r="AG2952">
        <v>-1.0432445400000001</v>
      </c>
      <c r="AH2952">
        <v>58.436351696727897</v>
      </c>
      <c r="AI2952">
        <v>91.021327281424306</v>
      </c>
      <c r="AJ2952">
        <v>86.952224873946193</v>
      </c>
      <c r="AK2952">
        <v>58.528422617372797</v>
      </c>
      <c r="AL2952">
        <v>96.078129203988496</v>
      </c>
      <c r="AM2952">
        <v>95.301556995516904</v>
      </c>
      <c r="AN2952">
        <v>0.99999992908788604</v>
      </c>
    </row>
    <row r="2953" spans="1:40" x14ac:dyDescent="0.25">
      <c r="A2953" t="str">
        <f>"20190305135250581"</f>
        <v>20190305135250581</v>
      </c>
      <c r="B2953" t="str">
        <f>"1551765170572621"</f>
        <v>1551765170572621</v>
      </c>
      <c r="C2953" t="s">
        <v>40</v>
      </c>
      <c r="D2953">
        <v>4.7021670000000002</v>
      </c>
      <c r="E2953">
        <v>0.55774559999999995</v>
      </c>
      <c r="F2953" t="s">
        <v>47</v>
      </c>
      <c r="G2953">
        <v>-389.89839999999998</v>
      </c>
      <c r="H2953">
        <v>-0.05</v>
      </c>
      <c r="I2953">
        <v>202.7303</v>
      </c>
      <c r="J2953">
        <v>-467.1044</v>
      </c>
      <c r="K2953">
        <v>1.111558</v>
      </c>
      <c r="L2953">
        <v>218.06299999999999</v>
      </c>
      <c r="M2953">
        <v>0.99001609999999995</v>
      </c>
      <c r="N2953">
        <v>-1.572602E-2</v>
      </c>
      <c r="O2953">
        <v>-0.14007510000000001</v>
      </c>
      <c r="P2953">
        <v>0.99159180000000002</v>
      </c>
      <c r="Q2953">
        <v>-0.1202033</v>
      </c>
      <c r="R2953">
        <v>-4.7927940000000002E-2</v>
      </c>
      <c r="S2953">
        <v>2.9913639999999999</v>
      </c>
      <c r="T2953">
        <v>-4.4923310000000001E-2</v>
      </c>
      <c r="U2953">
        <v>-0.59356690000000001</v>
      </c>
      <c r="V2953">
        <v>-9.1355409999999998E-2</v>
      </c>
      <c r="W2953">
        <v>-0.104733199999999</v>
      </c>
      <c r="X2953">
        <v>0.9902955</v>
      </c>
      <c r="Y2953">
        <v>5.528715E-2</v>
      </c>
      <c r="Z2953">
        <v>-9.7402239999999998E-4</v>
      </c>
      <c r="AA2953">
        <v>0.99846999999999997</v>
      </c>
      <c r="AB2953">
        <v>19</v>
      </c>
      <c r="AC2953">
        <v>77.206000000000003</v>
      </c>
      <c r="AD2953">
        <v>-1.1615580000000001</v>
      </c>
      <c r="AE2953">
        <v>-15.3326999999999</v>
      </c>
      <c r="AF2953">
        <v>4.3645706195686396</v>
      </c>
      <c r="AG2953">
        <v>-1.1615580000000001</v>
      </c>
      <c r="AH2953">
        <v>78.575512061883501</v>
      </c>
      <c r="AI2953">
        <v>90.845621132437401</v>
      </c>
      <c r="AJ2953">
        <v>86.820704620052197</v>
      </c>
      <c r="AK2953">
        <v>78.705208147032906</v>
      </c>
      <c r="AL2953">
        <v>96.011795198670697</v>
      </c>
      <c r="AM2953">
        <v>95.270655638817104</v>
      </c>
      <c r="AN2953">
        <v>1.00000001571937</v>
      </c>
    </row>
    <row r="2954" spans="1:40" x14ac:dyDescent="0.25">
      <c r="A2954" t="str">
        <f>"20190305135250604"</f>
        <v>20190305135250604</v>
      </c>
      <c r="B2954" t="str">
        <f>"1551765170592140"</f>
        <v>1551765170592140</v>
      </c>
      <c r="C2954" t="s">
        <v>40</v>
      </c>
      <c r="D2954">
        <v>4.6960430000000004</v>
      </c>
      <c r="E2954">
        <v>0.55827930000000003</v>
      </c>
      <c r="F2954" t="s">
        <v>47</v>
      </c>
      <c r="G2954">
        <v>-370.54199999999997</v>
      </c>
      <c r="H2954">
        <v>-0.05</v>
      </c>
      <c r="I2954">
        <v>198.85079999999999</v>
      </c>
      <c r="J2954">
        <v>-466.91750000000002</v>
      </c>
      <c r="K2954">
        <v>1.1108290000000001</v>
      </c>
      <c r="L2954">
        <v>218.03809999999999</v>
      </c>
      <c r="M2954">
        <v>0.99014729999999995</v>
      </c>
      <c r="N2954">
        <v>-1.5438489999999999E-2</v>
      </c>
      <c r="O2954">
        <v>-0.139177</v>
      </c>
      <c r="P2954">
        <v>0.99165800000000004</v>
      </c>
      <c r="Q2954">
        <v>-0.1199556</v>
      </c>
      <c r="R2954">
        <v>-4.7172699999999998E-2</v>
      </c>
      <c r="S2954">
        <v>2.9923099999999998</v>
      </c>
      <c r="T2954">
        <v>-3.5994770000000002E-2</v>
      </c>
      <c r="U2954">
        <v>-0.5953522</v>
      </c>
      <c r="V2954">
        <v>-9.1323379999999996E-2</v>
      </c>
      <c r="W2954">
        <v>-0.1046753</v>
      </c>
      <c r="X2954">
        <v>0.99030459999999998</v>
      </c>
      <c r="Y2954">
        <v>5.6710299999999998E-2</v>
      </c>
      <c r="Z2954">
        <v>-1.272341E-3</v>
      </c>
      <c r="AA2954">
        <v>0.99838979999999999</v>
      </c>
      <c r="AB2954">
        <v>19</v>
      </c>
      <c r="AC2954">
        <v>96.375500000000002</v>
      </c>
      <c r="AD2954">
        <v>-1.1608290000000001</v>
      </c>
      <c r="AE2954">
        <v>-19.1873</v>
      </c>
      <c r="AF2954">
        <v>5.5848859461791198</v>
      </c>
      <c r="AG2954">
        <v>-1.1608290000000001</v>
      </c>
      <c r="AH2954">
        <v>98.094362970555594</v>
      </c>
      <c r="AI2954">
        <v>90.676899025543094</v>
      </c>
      <c r="AJ2954">
        <v>86.741450683362899</v>
      </c>
      <c r="AK2954">
        <v>98.260075929128902</v>
      </c>
      <c r="AL2954">
        <v>96.008459294510402</v>
      </c>
      <c r="AM2954">
        <v>95.268769960041297</v>
      </c>
      <c r="AN2954">
        <v>1.00000003947293</v>
      </c>
    </row>
    <row r="2955" spans="1:40" x14ac:dyDescent="0.25">
      <c r="A2955" t="str">
        <f>"20190305135250630"</f>
        <v>20190305135250630</v>
      </c>
      <c r="B2955" t="str">
        <f>"1551765170622396"</f>
        <v>1551765170622396</v>
      </c>
      <c r="C2955" t="s">
        <v>40</v>
      </c>
      <c r="D2955">
        <v>4.722099</v>
      </c>
      <c r="E2955">
        <v>0.55881930000000002</v>
      </c>
      <c r="F2955" t="s">
        <v>72</v>
      </c>
      <c r="G2955">
        <v>-374.30349999999999</v>
      </c>
      <c r="H2955">
        <v>0.1204576</v>
      </c>
      <c r="I2955">
        <v>199.57599999999999</v>
      </c>
      <c r="J2955">
        <v>-466.7072</v>
      </c>
      <c r="K2955">
        <v>1.110069</v>
      </c>
      <c r="L2955">
        <v>218.00919999999999</v>
      </c>
      <c r="M2955">
        <v>0.99017029999999995</v>
      </c>
      <c r="N2955">
        <v>-1.516238E-2</v>
      </c>
      <c r="O2955">
        <v>-0.13904279999999999</v>
      </c>
      <c r="P2955">
        <v>0.99180729999999995</v>
      </c>
      <c r="Q2955">
        <v>-0.1184586</v>
      </c>
      <c r="R2955">
        <v>-4.7813370000000001E-2</v>
      </c>
      <c r="S2955">
        <v>2.9929809999999999</v>
      </c>
      <c r="T2955">
        <v>-3.2005550000000001E-2</v>
      </c>
      <c r="U2955">
        <v>-0.59663389999999905</v>
      </c>
      <c r="V2955">
        <v>-9.0695750000000006E-2</v>
      </c>
      <c r="W2955">
        <v>-0.1033429</v>
      </c>
      <c r="X2955">
        <v>0.9905022</v>
      </c>
      <c r="Y2955">
        <v>5.7216549999999998E-2</v>
      </c>
      <c r="Z2955">
        <v>-1.377542E-3</v>
      </c>
      <c r="AA2955">
        <v>0.99836080000000005</v>
      </c>
      <c r="AB2955">
        <v>19</v>
      </c>
      <c r="AC2955">
        <v>92.403700000000001</v>
      </c>
      <c r="AD2955">
        <v>-0.98961139999999903</v>
      </c>
      <c r="AE2955">
        <v>-18.433199999999999</v>
      </c>
      <c r="AF2955">
        <v>5.4039631275327897</v>
      </c>
      <c r="AG2955">
        <v>-0.98961139999999903</v>
      </c>
      <c r="AH2955">
        <v>94.058840525671698</v>
      </c>
      <c r="AI2955">
        <v>90.601805482903103</v>
      </c>
      <c r="AJ2955">
        <v>86.711800007023697</v>
      </c>
      <c r="AK2955">
        <v>94.219146829296193</v>
      </c>
      <c r="AL2955">
        <v>95.931702080641301</v>
      </c>
      <c r="AM2955">
        <v>95.231723348232705</v>
      </c>
      <c r="AN2955">
        <v>1.0000000411266501</v>
      </c>
    </row>
    <row r="2956" spans="1:40" x14ac:dyDescent="0.25">
      <c r="A2956" t="str">
        <f>"20190305135250651"</f>
        <v>20190305135250651</v>
      </c>
      <c r="B2956" t="str">
        <f>"1551765170642892"</f>
        <v>1551765170642892</v>
      </c>
      <c r="C2956" t="s">
        <v>40</v>
      </c>
      <c r="D2956">
        <v>4.714982</v>
      </c>
      <c r="E2956">
        <v>0.55923089999999998</v>
      </c>
      <c r="F2956" t="s">
        <v>72</v>
      </c>
      <c r="G2956">
        <v>-375.05090000000001</v>
      </c>
      <c r="H2956">
        <v>0.28003689999999998</v>
      </c>
      <c r="I2956">
        <v>199.57599999999999</v>
      </c>
      <c r="J2956">
        <v>-466.51749999999998</v>
      </c>
      <c r="K2956">
        <v>1.1094710000000001</v>
      </c>
      <c r="L2956">
        <v>217.98220000000001</v>
      </c>
      <c r="M2956">
        <v>0.99008819999999997</v>
      </c>
      <c r="N2956">
        <v>-1.494844E-2</v>
      </c>
      <c r="O2956">
        <v>-0.1396503</v>
      </c>
      <c r="P2956">
        <v>0.9920196</v>
      </c>
      <c r="Q2956">
        <v>-0.1157335</v>
      </c>
      <c r="R2956">
        <v>-5.0032500000000001E-2</v>
      </c>
      <c r="S2956">
        <v>2.9925540000000002</v>
      </c>
      <c r="T2956">
        <v>-2.7100320000000001E-2</v>
      </c>
      <c r="U2956">
        <v>-0.60183719999999996</v>
      </c>
      <c r="V2956">
        <v>-8.9227580000000001E-2</v>
      </c>
      <c r="W2956">
        <v>-0.1007395</v>
      </c>
      <c r="X2956">
        <v>0.9909036</v>
      </c>
      <c r="Y2956">
        <v>5.8303250000000001E-2</v>
      </c>
      <c r="Z2956">
        <v>-1.5362920000000001E-3</v>
      </c>
      <c r="AA2956">
        <v>0.99829780000000001</v>
      </c>
      <c r="AB2956">
        <v>19</v>
      </c>
      <c r="AC2956">
        <v>91.4665999999999</v>
      </c>
      <c r="AD2956">
        <v>-0.82943409999999895</v>
      </c>
      <c r="AE2956">
        <v>-18.406199999999998</v>
      </c>
      <c r="AF2956">
        <v>5.4506007618720096</v>
      </c>
      <c r="AG2956">
        <v>-0.82943409999999895</v>
      </c>
      <c r="AH2956">
        <v>93.133465019702498</v>
      </c>
      <c r="AI2956">
        <v>90.509383447301104</v>
      </c>
      <c r="AJ2956">
        <v>86.650606757993003</v>
      </c>
      <c r="AK2956">
        <v>93.296512883213893</v>
      </c>
      <c r="AL2956">
        <v>95.781755892194298</v>
      </c>
      <c r="AM2956">
        <v>95.145417659447702</v>
      </c>
      <c r="AN2956">
        <v>0.99999997619293202</v>
      </c>
    </row>
    <row r="2957" spans="1:40" x14ac:dyDescent="0.25">
      <c r="A2957" t="str">
        <f>"20190305135250674"</f>
        <v>20190305135250674</v>
      </c>
      <c r="B2957" t="str">
        <f>"1551765170662413"</f>
        <v>1551765170662413</v>
      </c>
      <c r="C2957" t="s">
        <v>40</v>
      </c>
      <c r="D2957">
        <v>4.7123549999999996</v>
      </c>
      <c r="E2957">
        <v>0.55958450000000004</v>
      </c>
      <c r="F2957" t="s">
        <v>72</v>
      </c>
      <c r="G2957">
        <v>-374.52190000000002</v>
      </c>
      <c r="H2957">
        <v>0.53471820000000003</v>
      </c>
      <c r="I2957">
        <v>199.18379999999999</v>
      </c>
      <c r="J2957">
        <v>-466.32979999999998</v>
      </c>
      <c r="K2957">
        <v>1.108986</v>
      </c>
      <c r="L2957">
        <v>217.9547</v>
      </c>
      <c r="M2957">
        <v>0.98992480000000005</v>
      </c>
      <c r="N2957">
        <v>-1.4764080000000001E-2</v>
      </c>
      <c r="O2957">
        <v>-0.14082259999999999</v>
      </c>
      <c r="P2957">
        <v>0.99211260000000001</v>
      </c>
      <c r="Q2957">
        <v>-0.1131513</v>
      </c>
      <c r="R2957">
        <v>-5.3938640000000003E-2</v>
      </c>
      <c r="S2957">
        <v>2.9911189999999999</v>
      </c>
      <c r="T2957">
        <v>-1.8687369999999998E-2</v>
      </c>
      <c r="U2957">
        <v>-0.61120609999999997</v>
      </c>
      <c r="V2957">
        <v>-8.6613620000000002E-2</v>
      </c>
      <c r="W2957">
        <v>-9.8272429999999994E-2</v>
      </c>
      <c r="X2957">
        <v>0.99138320000000002</v>
      </c>
      <c r="Y2957">
        <v>6.0222299999999999E-2</v>
      </c>
      <c r="Z2957">
        <v>-1.8404859999999999E-3</v>
      </c>
      <c r="AA2957">
        <v>0.9981833</v>
      </c>
      <c r="AB2957">
        <v>19</v>
      </c>
      <c r="AC2957">
        <v>91.807899999999904</v>
      </c>
      <c r="AD2957">
        <v>-0.57426779999999999</v>
      </c>
      <c r="AE2957">
        <v>-18.770900000000001</v>
      </c>
      <c r="AF2957">
        <v>5.6535558940897603</v>
      </c>
      <c r="AG2957">
        <v>-0.57426779999999999</v>
      </c>
      <c r="AH2957">
        <v>93.532961917789507</v>
      </c>
      <c r="AI2957">
        <v>90.351135761617996</v>
      </c>
      <c r="AJ2957">
        <v>86.540992000191494</v>
      </c>
      <c r="AK2957">
        <v>93.705429100284107</v>
      </c>
      <c r="AL2957">
        <v>95.639697870331403</v>
      </c>
      <c r="AM2957">
        <v>94.993050179609597</v>
      </c>
      <c r="AN2957">
        <v>1.0000000194549199</v>
      </c>
    </row>
    <row r="2958" spans="1:40" x14ac:dyDescent="0.25">
      <c r="A2958" t="str">
        <f>"20190305135250695"</f>
        <v>20190305135250695</v>
      </c>
      <c r="B2958" t="str">
        <f>"1551765170692669"</f>
        <v>1551765170692669</v>
      </c>
      <c r="C2958" t="s">
        <v>40</v>
      </c>
      <c r="D2958">
        <v>4.7163029999999999</v>
      </c>
      <c r="E2958">
        <v>0.56000779999999994</v>
      </c>
      <c r="F2958" t="s">
        <v>50</v>
      </c>
      <c r="G2958">
        <v>-408.69760000000002</v>
      </c>
      <c r="H2958">
        <v>0.85858650000000003</v>
      </c>
      <c r="I2958">
        <v>205.8751</v>
      </c>
      <c r="J2958">
        <v>-466.15539999999999</v>
      </c>
      <c r="K2958">
        <v>1.1086229999999999</v>
      </c>
      <c r="L2958">
        <v>217.92830000000001</v>
      </c>
      <c r="M2958">
        <v>0.98970639999999999</v>
      </c>
      <c r="N2958">
        <v>-1.46129E-2</v>
      </c>
      <c r="O2958">
        <v>-0.14236489999999999</v>
      </c>
      <c r="P2958">
        <v>0.99193469999999995</v>
      </c>
      <c r="Q2958">
        <v>-0.1125384</v>
      </c>
      <c r="R2958">
        <v>-5.8314060000000001E-2</v>
      </c>
      <c r="S2958">
        <v>2.9883120000000001</v>
      </c>
      <c r="T2958">
        <v>-1.298356E-2</v>
      </c>
      <c r="U2958">
        <v>-0.62634279999999998</v>
      </c>
      <c r="V2958">
        <v>-8.3851049999999996E-2</v>
      </c>
      <c r="W2958">
        <v>-9.7767660000000006E-2</v>
      </c>
      <c r="X2958">
        <v>0.99167050000000001</v>
      </c>
      <c r="Y2958">
        <v>6.3702670000000003E-2</v>
      </c>
      <c r="Z2958">
        <v>-2.0705139999999999E-3</v>
      </c>
      <c r="AA2958">
        <v>0.99796680000000004</v>
      </c>
      <c r="AB2958">
        <v>19</v>
      </c>
      <c r="AC2958">
        <v>57.457799999999899</v>
      </c>
      <c r="AD2958">
        <v>-0.250036499999999</v>
      </c>
      <c r="AE2958">
        <v>-12.0532</v>
      </c>
      <c r="AF2958">
        <v>3.7494874618242302</v>
      </c>
      <c r="AG2958">
        <v>-0.250036499999999</v>
      </c>
      <c r="AH2958">
        <v>58.587496291895498</v>
      </c>
      <c r="AI2958">
        <v>90.244023084870804</v>
      </c>
      <c r="AJ2958">
        <v>86.338173801372605</v>
      </c>
      <c r="AK2958">
        <v>58.707886150248797</v>
      </c>
      <c r="AL2958">
        <v>95.610637140749006</v>
      </c>
      <c r="AM2958">
        <v>94.8331683683015</v>
      </c>
      <c r="AN2958">
        <v>0.99999994724911201</v>
      </c>
    </row>
    <row r="2959" spans="1:40" x14ac:dyDescent="0.25">
      <c r="A2959" t="str">
        <f>"20190305135250716"</f>
        <v>20190305135250716</v>
      </c>
      <c r="B2959" t="str">
        <f>"1551765170712189"</f>
        <v>1551765170712189</v>
      </c>
      <c r="C2959" t="s">
        <v>40</v>
      </c>
      <c r="D2959">
        <v>4.6959090000000003</v>
      </c>
      <c r="E2959">
        <v>0.56029059999999997</v>
      </c>
      <c r="F2959" t="s">
        <v>50</v>
      </c>
      <c r="G2959">
        <v>-408.70310000000001</v>
      </c>
      <c r="H2959">
        <v>0.83384319999999901</v>
      </c>
      <c r="I2959">
        <v>205.5386</v>
      </c>
      <c r="J2959">
        <v>-465.98379999999997</v>
      </c>
      <c r="K2959">
        <v>1.1083339999999999</v>
      </c>
      <c r="L2959">
        <v>217.90170000000001</v>
      </c>
      <c r="M2959">
        <v>0.98943760000000003</v>
      </c>
      <c r="N2959">
        <v>-1.4481010000000001E-2</v>
      </c>
      <c r="O2959">
        <v>-0.14423459999999999</v>
      </c>
      <c r="P2959">
        <v>0.99166049999999994</v>
      </c>
      <c r="Q2959">
        <v>-0.1124609</v>
      </c>
      <c r="R2959">
        <v>-6.2946219999999997E-2</v>
      </c>
      <c r="S2959">
        <v>2.9849239999999999</v>
      </c>
      <c r="T2959">
        <v>-1.427615E-2</v>
      </c>
      <c r="U2959">
        <v>-0.64370729999999998</v>
      </c>
      <c r="V2959">
        <v>-8.1137230000000005E-2</v>
      </c>
      <c r="W2959">
        <v>-9.779504E-2</v>
      </c>
      <c r="X2959">
        <v>0.99189360000000004</v>
      </c>
      <c r="Y2959">
        <v>6.7597309999999994E-2</v>
      </c>
      <c r="Z2959">
        <v>-2.0559210000000001E-3</v>
      </c>
      <c r="AA2959">
        <v>0.9977106</v>
      </c>
      <c r="AB2959">
        <v>19</v>
      </c>
      <c r="AC2959">
        <v>57.280699999999896</v>
      </c>
      <c r="AD2959">
        <v>-0.27449079999999998</v>
      </c>
      <c r="AE2959">
        <v>-12.363099999999999</v>
      </c>
      <c r="AF2959">
        <v>3.9709862330588899</v>
      </c>
      <c r="AG2959">
        <v>-0.27449079999999998</v>
      </c>
      <c r="AH2959">
        <v>58.463710256856601</v>
      </c>
      <c r="AI2959">
        <v>90.268386944195001</v>
      </c>
      <c r="AJ2959">
        <v>86.114310360611697</v>
      </c>
      <c r="AK2959">
        <v>58.599057107261601</v>
      </c>
      <c r="AL2959">
        <v>95.612213061326599</v>
      </c>
      <c r="AM2959">
        <v>94.676402180583807</v>
      </c>
      <c r="AN2959">
        <v>1.0000000168308101</v>
      </c>
    </row>
    <row r="2960" spans="1:40" x14ac:dyDescent="0.25">
      <c r="A2960" t="str">
        <f>"20190305135250737"</f>
        <v>20190305135250737</v>
      </c>
      <c r="B2960" t="str">
        <f>"1551765170732686"</f>
        <v>1551765170732686</v>
      </c>
      <c r="C2960" t="s">
        <v>40</v>
      </c>
      <c r="D2960">
        <v>4.6972889999999996</v>
      </c>
      <c r="E2960">
        <v>0.56058569999999996</v>
      </c>
      <c r="F2960" t="s">
        <v>73</v>
      </c>
      <c r="G2960">
        <v>-368.88670000000002</v>
      </c>
      <c r="H2960">
        <v>0.58518700000000001</v>
      </c>
      <c r="I2960">
        <v>196.3887</v>
      </c>
      <c r="J2960">
        <v>-465.80410000000001</v>
      </c>
      <c r="K2960">
        <v>1.1081080000000001</v>
      </c>
      <c r="L2960">
        <v>217.8732</v>
      </c>
      <c r="M2960">
        <v>0.98911349999999998</v>
      </c>
      <c r="N2960">
        <v>-1.4359469999999999E-2</v>
      </c>
      <c r="O2960">
        <v>-0.14645169999999999</v>
      </c>
      <c r="P2960">
        <v>0.99135209999999996</v>
      </c>
      <c r="Q2960">
        <v>-0.11283840000000001</v>
      </c>
      <c r="R2960">
        <v>-6.699637E-2</v>
      </c>
      <c r="S2960">
        <v>2.9814759999999998</v>
      </c>
      <c r="T2960">
        <v>-1.606345E-2</v>
      </c>
      <c r="U2960">
        <v>-0.66058349999999999</v>
      </c>
      <c r="V2960">
        <v>-7.9333650000000006E-2</v>
      </c>
      <c r="W2960">
        <v>-9.8276699999999995E-2</v>
      </c>
      <c r="X2960">
        <v>0.99199190000000004</v>
      </c>
      <c r="Y2960">
        <v>7.0986930000000004E-2</v>
      </c>
      <c r="Z2960">
        <v>-2.0225149999999999E-3</v>
      </c>
      <c r="AA2960">
        <v>0.99747520000000001</v>
      </c>
      <c r="AB2960">
        <v>19</v>
      </c>
      <c r="AC2960">
        <v>96.917400000000001</v>
      </c>
      <c r="AD2960">
        <v>-0.52292099999999997</v>
      </c>
      <c r="AE2960">
        <v>-21.484500000000001</v>
      </c>
      <c r="AF2960">
        <v>7.0574234967655203</v>
      </c>
      <c r="AG2960">
        <v>-0.52292099999999997</v>
      </c>
      <c r="AH2960">
        <v>99.016221229730306</v>
      </c>
      <c r="AI2960">
        <v>90.301819985689704</v>
      </c>
      <c r="AJ2960">
        <v>85.923113275592698</v>
      </c>
      <c r="AK2960">
        <v>99.268790359305996</v>
      </c>
      <c r="AL2960">
        <v>95.639943632602098</v>
      </c>
      <c r="AM2960">
        <v>94.572446193088297</v>
      </c>
      <c r="AN2960">
        <v>1.00000003372541</v>
      </c>
    </row>
    <row r="2961" spans="1:40" x14ac:dyDescent="0.25">
      <c r="A2961" t="str">
        <f>"20190305135250760"</f>
        <v>20190305135250760</v>
      </c>
      <c r="B2961" t="str">
        <f>"1551765170752205"</f>
        <v>1551765170752205</v>
      </c>
      <c r="C2961" t="s">
        <v>40</v>
      </c>
      <c r="D2961">
        <v>4.7155050000000003</v>
      </c>
      <c r="E2961">
        <v>0.56061459999999996</v>
      </c>
      <c r="F2961" t="s">
        <v>72</v>
      </c>
      <c r="G2961">
        <v>-372.44060000000002</v>
      </c>
      <c r="H2961">
        <v>0.51831430000000001</v>
      </c>
      <c r="I2961">
        <v>196.70910000000001</v>
      </c>
      <c r="J2961">
        <v>-465.61099999999999</v>
      </c>
      <c r="K2961">
        <v>1.107952</v>
      </c>
      <c r="L2961">
        <v>217.8417</v>
      </c>
      <c r="M2961">
        <v>0.98873710000000004</v>
      </c>
      <c r="N2961">
        <v>-1.4244649999999999E-2</v>
      </c>
      <c r="O2961">
        <v>-0.14898420000000001</v>
      </c>
      <c r="P2961">
        <v>0.99104320000000001</v>
      </c>
      <c r="Q2961">
        <v>-0.1133929</v>
      </c>
      <c r="R2961">
        <v>-7.0539909999999997E-2</v>
      </c>
      <c r="S2961">
        <v>2.9783940000000002</v>
      </c>
      <c r="T2961">
        <v>-1.8815040000000002E-2</v>
      </c>
      <c r="U2961">
        <v>-0.67515559999999997</v>
      </c>
      <c r="V2961">
        <v>-7.8335589999999997E-2</v>
      </c>
      <c r="W2961">
        <v>-9.8938780000000004E-2</v>
      </c>
      <c r="X2961">
        <v>0.99200529999999998</v>
      </c>
      <c r="Y2961">
        <v>7.3295079999999999E-2</v>
      </c>
      <c r="Z2961">
        <v>-1.9450019999999999E-3</v>
      </c>
      <c r="AA2961">
        <v>0.99730839999999998</v>
      </c>
      <c r="AB2961">
        <v>19</v>
      </c>
      <c r="AC2961">
        <v>93.170399999999901</v>
      </c>
      <c r="AD2961">
        <v>-0.58963769999999904</v>
      </c>
      <c r="AE2961">
        <v>-21.1326</v>
      </c>
      <c r="AF2961">
        <v>7.0141117403018098</v>
      </c>
      <c r="AG2961">
        <v>-0.58963769999999904</v>
      </c>
      <c r="AH2961">
        <v>95.275480318432798</v>
      </c>
      <c r="AI2961">
        <v>90.353628694760602</v>
      </c>
      <c r="AJ2961">
        <v>85.789521962959199</v>
      </c>
      <c r="AK2961">
        <v>95.535137965205195</v>
      </c>
      <c r="AL2961">
        <v>95.678064389917495</v>
      </c>
      <c r="AM2961">
        <v>94.515100984850704</v>
      </c>
      <c r="AN2961">
        <v>0.99999993103831097</v>
      </c>
    </row>
    <row r="2962" spans="1:40" x14ac:dyDescent="0.25">
      <c r="A2962" t="str">
        <f>"20190305135250783"</f>
        <v>20190305135250783</v>
      </c>
      <c r="B2962" t="str">
        <f>"1551765170772701"</f>
        <v>1551765170772701</v>
      </c>
      <c r="C2962" t="s">
        <v>40</v>
      </c>
      <c r="D2962">
        <v>4.6934120000000004</v>
      </c>
      <c r="E2962">
        <v>0.56074969999999902</v>
      </c>
      <c r="F2962" t="s">
        <v>72</v>
      </c>
      <c r="G2962">
        <v>-386.42</v>
      </c>
      <c r="H2962">
        <v>0.44800200000000001</v>
      </c>
      <c r="I2962">
        <v>199.57599999999999</v>
      </c>
      <c r="J2962">
        <v>-465.4194</v>
      </c>
      <c r="K2962">
        <v>1.1078859999999999</v>
      </c>
      <c r="L2962">
        <v>217.8098</v>
      </c>
      <c r="M2962">
        <v>0.9883516</v>
      </c>
      <c r="N2962">
        <v>-1.4143289999999999E-2</v>
      </c>
      <c r="O2962">
        <v>-0.15152979999999899</v>
      </c>
      <c r="P2962">
        <v>0.9907686</v>
      </c>
      <c r="Q2962">
        <v>-0.1137143</v>
      </c>
      <c r="R2962">
        <v>-7.3803640000000004E-2</v>
      </c>
      <c r="S2962">
        <v>2.9754330000000002</v>
      </c>
      <c r="T2962">
        <v>-2.4796249999999999E-2</v>
      </c>
      <c r="U2962">
        <v>-0.68629459999999998</v>
      </c>
      <c r="V2962">
        <v>-7.7614180000000005E-2</v>
      </c>
      <c r="W2962">
        <v>-9.9367659999999997E-2</v>
      </c>
      <c r="X2962">
        <v>0.99201919999999999</v>
      </c>
      <c r="Y2962">
        <v>7.4484709999999996E-2</v>
      </c>
      <c r="Z2962">
        <v>-1.733559E-3</v>
      </c>
      <c r="AA2962">
        <v>0.99722060000000001</v>
      </c>
      <c r="AB2962">
        <v>19</v>
      </c>
      <c r="AC2962">
        <v>78.999399999999895</v>
      </c>
      <c r="AD2962">
        <v>-0.65988400000000003</v>
      </c>
      <c r="AE2962">
        <v>-18.233799999999999</v>
      </c>
      <c r="AF2962">
        <v>6.0508459437158804</v>
      </c>
      <c r="AG2962">
        <v>-0.65988400000000003</v>
      </c>
      <c r="AH2962">
        <v>80.844870702525796</v>
      </c>
      <c r="AI2962">
        <v>90.466353401790499</v>
      </c>
      <c r="AJ2962">
        <v>85.719669771249997</v>
      </c>
      <c r="AK2962">
        <v>81.073678234283605</v>
      </c>
      <c r="AL2962">
        <v>95.702758742459807</v>
      </c>
      <c r="AM2962">
        <v>94.473627551135394</v>
      </c>
      <c r="AN2962">
        <v>0.99999999297979303</v>
      </c>
    </row>
    <row r="2963" spans="1:40" x14ac:dyDescent="0.25">
      <c r="A2963" t="str">
        <f>"20190305135250804"</f>
        <v>20190305135250804</v>
      </c>
      <c r="B2963" t="str">
        <f>"1551765170792220"</f>
        <v>1551765170792220</v>
      </c>
      <c r="C2963" t="s">
        <v>40</v>
      </c>
      <c r="D2963">
        <v>4.7009949999999998</v>
      </c>
      <c r="E2963">
        <v>0.56098539999999997</v>
      </c>
      <c r="F2963" t="s">
        <v>72</v>
      </c>
      <c r="G2963">
        <v>-387.67849999999999</v>
      </c>
      <c r="H2963">
        <v>0.3986806</v>
      </c>
      <c r="I2963">
        <v>199.57599999999999</v>
      </c>
      <c r="J2963">
        <v>-465.24119999999999</v>
      </c>
      <c r="K2963">
        <v>1.107904</v>
      </c>
      <c r="L2963">
        <v>217.77959999999999</v>
      </c>
      <c r="M2963">
        <v>0.98799360000000003</v>
      </c>
      <c r="N2963">
        <v>-1.405852E-2</v>
      </c>
      <c r="O2963">
        <v>-0.15385409999999999</v>
      </c>
      <c r="P2963">
        <v>0.99071679999999995</v>
      </c>
      <c r="Q2963">
        <v>-0.11204260000000001</v>
      </c>
      <c r="R2963">
        <v>-7.6985639999999994E-2</v>
      </c>
      <c r="S2963">
        <v>2.9729000000000001</v>
      </c>
      <c r="T2963">
        <v>-2.7120829999999999E-2</v>
      </c>
      <c r="U2963">
        <v>-0.69728089999999998</v>
      </c>
      <c r="V2963">
        <v>-7.6764289999999999E-2</v>
      </c>
      <c r="W2963">
        <v>-9.7796190000000005E-2</v>
      </c>
      <c r="X2963">
        <v>0.9922415</v>
      </c>
      <c r="Y2963">
        <v>7.5819510000000007E-2</v>
      </c>
      <c r="Z2963">
        <v>-1.6572290000000001E-3</v>
      </c>
      <c r="AA2963">
        <v>0.99712020000000001</v>
      </c>
      <c r="AB2963">
        <v>19</v>
      </c>
      <c r="AC2963">
        <v>77.562700000000007</v>
      </c>
      <c r="AD2963">
        <v>-0.70922339999999995</v>
      </c>
      <c r="AE2963">
        <v>-18.203599999999899</v>
      </c>
      <c r="AF2963">
        <v>6.0518191984823497</v>
      </c>
      <c r="AG2963">
        <v>-0.70922339999999995</v>
      </c>
      <c r="AH2963">
        <v>79.433702498025596</v>
      </c>
      <c r="AI2963">
        <v>90.510073345337403</v>
      </c>
      <c r="AJ2963">
        <v>85.643220357823097</v>
      </c>
      <c r="AK2963">
        <v>79.667060984995899</v>
      </c>
      <c r="AL2963">
        <v>95.612279236016306</v>
      </c>
      <c r="AM2963">
        <v>94.423848699362495</v>
      </c>
      <c r="AN2963">
        <v>1.0000000226599799</v>
      </c>
    </row>
    <row r="2964" spans="1:40" x14ac:dyDescent="0.25">
      <c r="A2964" t="str">
        <f>"20190305135250829"</f>
        <v>20190305135250829</v>
      </c>
      <c r="B2964" t="str">
        <f>"1551765170822476"</f>
        <v>1551765170822476</v>
      </c>
      <c r="C2964" t="s">
        <v>40</v>
      </c>
      <c r="D2964">
        <v>4.6686329999999998</v>
      </c>
      <c r="E2964">
        <v>0.5611855</v>
      </c>
      <c r="F2964" t="s">
        <v>72</v>
      </c>
      <c r="G2964">
        <v>-385.64449999999999</v>
      </c>
      <c r="H2964">
        <v>0.53471820000000003</v>
      </c>
      <c r="I2964">
        <v>198.77969999999999</v>
      </c>
      <c r="J2964">
        <v>-465.04750000000001</v>
      </c>
      <c r="K2964">
        <v>1.1079889999999999</v>
      </c>
      <c r="L2964">
        <v>217.74629999999999</v>
      </c>
      <c r="M2964">
        <v>0.98761589999999999</v>
      </c>
      <c r="N2964">
        <v>-1.397696E-2</v>
      </c>
      <c r="O2964">
        <v>-0.15626760000000001</v>
      </c>
      <c r="P2964">
        <v>0.99070329999999995</v>
      </c>
      <c r="Q2964">
        <v>-0.109093</v>
      </c>
      <c r="R2964">
        <v>-8.127537E-2</v>
      </c>
      <c r="S2964">
        <v>2.970612</v>
      </c>
      <c r="T2964">
        <v>-2.1391750000000001E-2</v>
      </c>
      <c r="U2964">
        <v>-0.70909119999999903</v>
      </c>
      <c r="V2964">
        <v>-7.4900350000000004E-2</v>
      </c>
      <c r="W2964">
        <v>-9.4954930000000007E-2</v>
      </c>
      <c r="X2964">
        <v>0.99265979999999998</v>
      </c>
      <c r="Y2964">
        <v>7.7311779999999997E-2</v>
      </c>
      <c r="Z2964">
        <v>-1.892073E-3</v>
      </c>
      <c r="AA2964">
        <v>0.99700520000000004</v>
      </c>
      <c r="AB2964">
        <v>19</v>
      </c>
      <c r="AC2964">
        <v>79.403000000000006</v>
      </c>
      <c r="AD2964">
        <v>-0.57327079999999897</v>
      </c>
      <c r="AE2964">
        <v>-18.9666</v>
      </c>
      <c r="AF2964">
        <v>6.3239051443671297</v>
      </c>
      <c r="AG2964">
        <v>-0.57327079999999897</v>
      </c>
      <c r="AH2964">
        <v>81.387464133480805</v>
      </c>
      <c r="AI2964">
        <v>90.402356218033702</v>
      </c>
      <c r="AJ2964">
        <v>85.5569753156107</v>
      </c>
      <c r="AK2964">
        <v>81.634794871817405</v>
      </c>
      <c r="AL2964">
        <v>95.448725820522199</v>
      </c>
      <c r="AM2964">
        <v>94.315030566731195</v>
      </c>
      <c r="AN2964">
        <v>0.99999998984873295</v>
      </c>
    </row>
    <row r="2965" spans="1:40" x14ac:dyDescent="0.25">
      <c r="A2965" t="str">
        <f>"20190305135250962"</f>
        <v>20190305135250962</v>
      </c>
      <c r="B2965" t="str">
        <f>"1551765170952285"</f>
        <v>1551765170952285</v>
      </c>
      <c r="C2965" t="s">
        <v>40</v>
      </c>
      <c r="D2965">
        <v>4.759525</v>
      </c>
      <c r="E2965">
        <v>0.5611855</v>
      </c>
      <c r="F2965" t="s">
        <v>73</v>
      </c>
      <c r="G2965">
        <v>-368.8519</v>
      </c>
      <c r="H2965">
        <v>0.63454529999999998</v>
      </c>
      <c r="I2965">
        <v>194.24680000000001</v>
      </c>
      <c r="J2965">
        <v>-463.9504</v>
      </c>
      <c r="K2965">
        <v>1.108401</v>
      </c>
      <c r="L2965">
        <v>217.5521</v>
      </c>
      <c r="M2965">
        <v>0.98578370000000004</v>
      </c>
      <c r="N2965">
        <v>-1.366503E-2</v>
      </c>
      <c r="O2965">
        <v>-0.167463</v>
      </c>
      <c r="P2965">
        <v>0.98913189999999995</v>
      </c>
      <c r="Q2965">
        <v>-0.1008394</v>
      </c>
      <c r="R2965">
        <v>-0.1070041</v>
      </c>
      <c r="S2965">
        <v>2.967133</v>
      </c>
      <c r="T2965">
        <v>-1.46029E-2</v>
      </c>
      <c r="U2965">
        <v>-0.72483830000000005</v>
      </c>
      <c r="V2965">
        <v>-6.0354520000000002E-2</v>
      </c>
      <c r="W2965">
        <v>-8.7128999999999998E-2</v>
      </c>
      <c r="X2965">
        <v>0.99436709999999995</v>
      </c>
      <c r="Y2965">
        <v>7.1267430000000007E-2</v>
      </c>
      <c r="Z2965">
        <v>-2.1367640000000002E-3</v>
      </c>
      <c r="AA2965">
        <v>0.99745490000000003</v>
      </c>
      <c r="AB2965">
        <v>19</v>
      </c>
      <c r="AC2965">
        <v>95.098500000000001</v>
      </c>
      <c r="AD2965">
        <v>-0.47385569999999899</v>
      </c>
      <c r="AE2965">
        <v>-23.3052999999999</v>
      </c>
      <c r="AF2965">
        <v>7.0489975197377399</v>
      </c>
      <c r="AG2965">
        <v>-0.47385569999999899</v>
      </c>
      <c r="AH2965">
        <v>97.656153321921096</v>
      </c>
      <c r="AI2965">
        <v>90.277291968693902</v>
      </c>
      <c r="AJ2965">
        <v>85.871447432877304</v>
      </c>
      <c r="AK2965">
        <v>97.911374144642906</v>
      </c>
      <c r="AL2965">
        <v>94.9984617512429</v>
      </c>
      <c r="AM2965">
        <v>93.473387315853103</v>
      </c>
      <c r="AN2965">
        <v>1.00000003014391</v>
      </c>
    </row>
    <row r="2966" spans="1:40" x14ac:dyDescent="0.25">
      <c r="A2966" t="str">
        <f>"20190305135250985"</f>
        <v>20190305135250985</v>
      </c>
      <c r="B2966" t="str">
        <f>"1551765170982540"</f>
        <v>1551765170982540</v>
      </c>
      <c r="C2966" t="s">
        <v>40</v>
      </c>
      <c r="D2966">
        <v>4.7423500000000001</v>
      </c>
      <c r="E2966">
        <v>0.51090879999999905</v>
      </c>
      <c r="F2966" t="s">
        <v>74</v>
      </c>
      <c r="G2966">
        <v>-363.02269999999999</v>
      </c>
      <c r="H2966">
        <v>1.17933</v>
      </c>
      <c r="I2966">
        <v>189.91480000000001</v>
      </c>
      <c r="J2966">
        <v>-463.76010000000002</v>
      </c>
      <c r="K2966">
        <v>1.108441</v>
      </c>
      <c r="L2966">
        <v>217.51750000000001</v>
      </c>
      <c r="M2966">
        <v>0.98549160000000002</v>
      </c>
      <c r="N2966">
        <v>-1.36305E-2</v>
      </c>
      <c r="O2966">
        <v>-0.16917689999999999</v>
      </c>
      <c r="P2966">
        <v>0.9890544</v>
      </c>
      <c r="Q2966">
        <v>-9.8187209999999997E-2</v>
      </c>
      <c r="R2966">
        <v>-0.1101386</v>
      </c>
      <c r="S2966">
        <v>2.9459230000000001</v>
      </c>
      <c r="T2966">
        <v>2.0729300000000002E-3</v>
      </c>
      <c r="U2966">
        <v>-0.80668640000000003</v>
      </c>
      <c r="V2966">
        <v>-5.896382E-2</v>
      </c>
      <c r="W2966">
        <v>-8.4516010000000003E-2</v>
      </c>
      <c r="X2966">
        <v>0.994676</v>
      </c>
      <c r="Y2966">
        <v>9.713244E-2</v>
      </c>
      <c r="Z2966">
        <v>-3.0423410000000001E-3</v>
      </c>
      <c r="AA2966">
        <v>0.99526680000000001</v>
      </c>
      <c r="AB2966">
        <v>19</v>
      </c>
      <c r="AC2966">
        <v>100.73739999999999</v>
      </c>
      <c r="AD2966">
        <v>7.0888999999999897E-2</v>
      </c>
      <c r="AE2966">
        <v>-27.602699999999999</v>
      </c>
      <c r="AF2966">
        <v>10.1607256253395</v>
      </c>
      <c r="AG2966">
        <v>7.0888999999999897E-2</v>
      </c>
      <c r="AH2966">
        <v>103.955194244072</v>
      </c>
      <c r="AI2966">
        <v>89.961114241212599</v>
      </c>
      <c r="AJ2966">
        <v>84.417562611373697</v>
      </c>
      <c r="AK2966">
        <v>104.45059971492</v>
      </c>
      <c r="AL2966">
        <v>94.8481940577893</v>
      </c>
      <c r="AM2966">
        <v>93.392490710053806</v>
      </c>
      <c r="AN2966">
        <v>1.00000001649565</v>
      </c>
    </row>
    <row r="2967" spans="1:40" x14ac:dyDescent="0.25">
      <c r="A2967" t="str">
        <f>"20190305135251005"</f>
        <v>20190305135251005</v>
      </c>
      <c r="B2967" t="str">
        <f>"1551765171003037"</f>
        <v>1551765171003037</v>
      </c>
      <c r="C2967" t="s">
        <v>40</v>
      </c>
      <c r="D2967">
        <v>4.8036729999999999</v>
      </c>
      <c r="E2967">
        <v>0.51035629999999998</v>
      </c>
      <c r="F2967" t="s">
        <v>66</v>
      </c>
      <c r="G2967">
        <v>-429.45490000000001</v>
      </c>
      <c r="H2967" s="1">
        <v>2.4545040000000001E-6</v>
      </c>
      <c r="I2967">
        <v>212.7055</v>
      </c>
      <c r="J2967">
        <v>-463.5942</v>
      </c>
      <c r="K2967">
        <v>1.108482</v>
      </c>
      <c r="L2967">
        <v>217.4871</v>
      </c>
      <c r="M2967">
        <v>0.98523689999999997</v>
      </c>
      <c r="N2967">
        <v>-1.36037999999999E-2</v>
      </c>
      <c r="O2967">
        <v>-0.17065549999999999</v>
      </c>
      <c r="P2967">
        <v>0.9891143</v>
      </c>
      <c r="Q2967">
        <v>-9.5706550000000001E-2</v>
      </c>
      <c r="R2967">
        <v>-0.1117727</v>
      </c>
      <c r="S2967">
        <v>2.977112</v>
      </c>
      <c r="T2967">
        <v>-9.6193790000000001E-2</v>
      </c>
      <c r="U2967">
        <v>-0.41760249999999999</v>
      </c>
      <c r="V2967">
        <v>-5.8843109999999997E-2</v>
      </c>
      <c r="W2967">
        <v>-8.2063999999999998E-2</v>
      </c>
      <c r="X2967">
        <v>0.99488840000000001</v>
      </c>
      <c r="Y2967">
        <v>-3.2092030000000001E-2</v>
      </c>
      <c r="Z2967">
        <v>3.858995E-3</v>
      </c>
      <c r="AA2967">
        <v>0.99947739999999996</v>
      </c>
      <c r="AB2967">
        <v>19</v>
      </c>
      <c r="AC2967">
        <v>34.139299999999899</v>
      </c>
      <c r="AD2967">
        <v>-1.1084795454959999</v>
      </c>
      <c r="AE2967">
        <v>-4.7815999999999903</v>
      </c>
      <c r="AF2967">
        <v>-1.1140018321309899</v>
      </c>
      <c r="AG2967">
        <v>-1.1084795454959999</v>
      </c>
      <c r="AH2967">
        <v>34.418902587446901</v>
      </c>
      <c r="AI2967">
        <v>91.843639551670904</v>
      </c>
      <c r="AJ2967">
        <v>91.853787449996204</v>
      </c>
      <c r="AK2967">
        <v>34.454761388071297</v>
      </c>
      <c r="AL2967">
        <v>94.707214563604495</v>
      </c>
      <c r="AM2967">
        <v>93.384840709161693</v>
      </c>
      <c r="AN2967">
        <v>0.99999997007251495</v>
      </c>
    </row>
    <row r="2968" spans="1:40" x14ac:dyDescent="0.25">
      <c r="A2968" t="str">
        <f>"20190305135251031"</f>
        <v>20190305135251031</v>
      </c>
      <c r="B2968" t="str">
        <f>"1551765171022557"</f>
        <v>1551765171022557</v>
      </c>
      <c r="C2968" t="s">
        <v>40</v>
      </c>
      <c r="D2968">
        <v>4.8068269999999904</v>
      </c>
      <c r="E2968">
        <v>0.50959259999999995</v>
      </c>
      <c r="F2968" t="s">
        <v>66</v>
      </c>
      <c r="G2968">
        <v>-437.02940000000001</v>
      </c>
      <c r="H2968" s="1">
        <v>5.4098539999999997E-6</v>
      </c>
      <c r="I2968">
        <v>213.75129999999999</v>
      </c>
      <c r="J2968">
        <v>-463.3879</v>
      </c>
      <c r="K2968">
        <v>1.1085339999999999</v>
      </c>
      <c r="L2968">
        <v>217.44900000000001</v>
      </c>
      <c r="M2968">
        <v>0.98492380000000002</v>
      </c>
      <c r="N2968">
        <v>-1.357454E-2</v>
      </c>
      <c r="O2968">
        <v>-0.17245579999999999</v>
      </c>
      <c r="P2968">
        <v>0.98937070000000005</v>
      </c>
      <c r="Q2968">
        <v>-9.0304460000000003E-2</v>
      </c>
      <c r="R2968">
        <v>-0.11397880000000001</v>
      </c>
      <c r="S2968">
        <v>2.9737239999999998</v>
      </c>
      <c r="T2968">
        <v>-0.1240854</v>
      </c>
      <c r="U2968">
        <v>-0.4181976</v>
      </c>
      <c r="V2968">
        <v>-5.8511470000000003E-2</v>
      </c>
      <c r="W2968">
        <v>-7.6690960000000002E-2</v>
      </c>
      <c r="X2968">
        <v>0.99533660000000002</v>
      </c>
      <c r="Y2968">
        <v>-3.3514389999999998E-2</v>
      </c>
      <c r="Z2968">
        <v>5.6886519999999998E-3</v>
      </c>
      <c r="AA2968">
        <v>0.99942209999999998</v>
      </c>
      <c r="AB2968">
        <v>18</v>
      </c>
      <c r="AC2968">
        <v>26.3584999999999</v>
      </c>
      <c r="AD2968">
        <v>-1.10852859014599</v>
      </c>
      <c r="AE2968">
        <v>-3.6977000000000202</v>
      </c>
      <c r="AF2968">
        <v>-0.90224168103071201</v>
      </c>
      <c r="AG2968">
        <v>-1.10852859014599</v>
      </c>
      <c r="AH2968">
        <v>26.555191129386301</v>
      </c>
      <c r="AI2968">
        <v>92.389009021324696</v>
      </c>
      <c r="AJ2968">
        <v>91.945938263877693</v>
      </c>
      <c r="AK2968">
        <v>26.593628026360001</v>
      </c>
      <c r="AL2968">
        <v>94.398386968572694</v>
      </c>
      <c r="AM2968">
        <v>93.364295574840398</v>
      </c>
      <c r="AN2968">
        <v>1.0000000213834199</v>
      </c>
    </row>
    <row r="2969" spans="1:40" x14ac:dyDescent="0.25">
      <c r="A2969" t="str">
        <f>"20190305135251062"</f>
        <v>20190305135251062</v>
      </c>
      <c r="B2969" t="str">
        <f>"1551765171052813"</f>
        <v>1551765171052813</v>
      </c>
      <c r="C2969" t="s">
        <v>40</v>
      </c>
      <c r="D2969">
        <v>4.8313759999999997</v>
      </c>
      <c r="E2969">
        <v>0.50842609999999999</v>
      </c>
      <c r="F2969" t="s">
        <v>66</v>
      </c>
      <c r="G2969">
        <v>-438.64850000000001</v>
      </c>
      <c r="H2969" s="1">
        <v>6.1093949999999898E-6</v>
      </c>
      <c r="I2969">
        <v>213.9624</v>
      </c>
      <c r="J2969">
        <v>-463.13</v>
      </c>
      <c r="K2969">
        <v>1.108603</v>
      </c>
      <c r="L2969">
        <v>217.40100000000001</v>
      </c>
      <c r="M2969">
        <v>0.9845372</v>
      </c>
      <c r="N2969">
        <v>-1.3542719999999999E-2</v>
      </c>
      <c r="O2969">
        <v>-0.17465120000000001</v>
      </c>
      <c r="P2969">
        <v>0.98966739999999997</v>
      </c>
      <c r="Q2969">
        <v>-8.0569760000000004E-2</v>
      </c>
      <c r="R2969">
        <v>-0.11860420000000001</v>
      </c>
      <c r="S2969">
        <v>2.971832</v>
      </c>
      <c r="T2969">
        <v>-0.13316210000000001</v>
      </c>
      <c r="U2969">
        <v>-0.41882320000000001</v>
      </c>
      <c r="V2969">
        <v>-5.619992E-2</v>
      </c>
      <c r="W2969">
        <v>-6.6985760000000005E-2</v>
      </c>
      <c r="X2969">
        <v>0.99616990000000005</v>
      </c>
      <c r="Y2969">
        <v>-3.5424570000000002E-2</v>
      </c>
      <c r="Z2969">
        <v>6.3908580000000001E-3</v>
      </c>
      <c r="AA2969">
        <v>0.99935189999999996</v>
      </c>
      <c r="AB2969">
        <v>18</v>
      </c>
      <c r="AC2969">
        <v>24.481499999999901</v>
      </c>
      <c r="AD2969">
        <v>-1.1085968906049899</v>
      </c>
      <c r="AE2969">
        <v>-3.4385999999999801</v>
      </c>
      <c r="AF2969">
        <v>-0.88858856704007605</v>
      </c>
      <c r="AG2969">
        <v>-1.1085968906049899</v>
      </c>
      <c r="AH2969">
        <v>24.6561887293329</v>
      </c>
      <c r="AI2969">
        <v>92.572743375595095</v>
      </c>
      <c r="AJ2969">
        <v>92.063999034961896</v>
      </c>
      <c r="AK2969">
        <v>24.6970892893032</v>
      </c>
      <c r="AL2969">
        <v>93.840877404792096</v>
      </c>
      <c r="AM2969">
        <v>93.228975847292304</v>
      </c>
      <c r="AN2969">
        <v>0.99999999635839698</v>
      </c>
    </row>
    <row r="2970" spans="1:40" x14ac:dyDescent="0.25">
      <c r="A2970" t="str">
        <f>"20190305135251084"</f>
        <v>20190305135251084</v>
      </c>
      <c r="B2970" t="str">
        <f>"1551765171072336"</f>
        <v>1551765171072336</v>
      </c>
      <c r="C2970" t="s">
        <v>40</v>
      </c>
      <c r="D2970">
        <v>4.8550649999999997</v>
      </c>
      <c r="E2970">
        <v>0.50790749999999996</v>
      </c>
      <c r="F2970" t="s">
        <v>66</v>
      </c>
      <c r="G2970">
        <v>-436.50760000000002</v>
      </c>
      <c r="H2970" s="1">
        <v>5.1914650000000003E-6</v>
      </c>
      <c r="I2970">
        <v>213.60239999999999</v>
      </c>
      <c r="J2970">
        <v>-462.95370000000003</v>
      </c>
      <c r="K2970">
        <v>1.108636</v>
      </c>
      <c r="L2970">
        <v>217.36789999999999</v>
      </c>
      <c r="M2970">
        <v>0.98427889999999996</v>
      </c>
      <c r="N2970">
        <v>-1.3523749999999999E-2</v>
      </c>
      <c r="O2970">
        <v>-0.17610290000000001</v>
      </c>
      <c r="P2970">
        <v>0.98949339999999997</v>
      </c>
      <c r="Q2970">
        <v>-7.8213669999999999E-2</v>
      </c>
      <c r="R2970">
        <v>-0.12159440000000001</v>
      </c>
      <c r="S2970">
        <v>2.9704899999999999</v>
      </c>
      <c r="T2970">
        <v>-0.1236956</v>
      </c>
      <c r="U2970">
        <v>-0.42384339999999998</v>
      </c>
      <c r="V2970">
        <v>-5.4685879999999999E-2</v>
      </c>
      <c r="W2970">
        <v>-6.4650840000000001E-2</v>
      </c>
      <c r="X2970">
        <v>0.99640839999999997</v>
      </c>
      <c r="Y2970">
        <v>-3.5201199999999898E-2</v>
      </c>
      <c r="Z2970">
        <v>5.8241780000000002E-3</v>
      </c>
      <c r="AA2970">
        <v>0.99936329999999995</v>
      </c>
      <c r="AB2970">
        <v>18</v>
      </c>
      <c r="AC2970">
        <v>26.446100000000001</v>
      </c>
      <c r="AD2970">
        <v>-1.1086308085349901</v>
      </c>
      <c r="AE2970">
        <v>-3.7654999999999998</v>
      </c>
      <c r="AF2970">
        <v>-0.94938442014418001</v>
      </c>
      <c r="AG2970">
        <v>-1.1086308085349901</v>
      </c>
      <c r="AH2970">
        <v>26.649992052576302</v>
      </c>
      <c r="AI2970">
        <v>92.380603530038996</v>
      </c>
      <c r="AJ2970">
        <v>92.040253029464594</v>
      </c>
      <c r="AK2970">
        <v>26.689931986598001</v>
      </c>
      <c r="AL2970">
        <v>93.706805624589705</v>
      </c>
      <c r="AM2970">
        <v>93.141412540652198</v>
      </c>
      <c r="AN2970">
        <v>0.99999998808731905</v>
      </c>
    </row>
    <row r="2971" spans="1:40" x14ac:dyDescent="0.25">
      <c r="A2971" t="str">
        <f>"20190305135251105"</f>
        <v>20190305135251105</v>
      </c>
      <c r="B2971" t="str">
        <f>"1551765171102589"</f>
        <v>1551765171102589</v>
      </c>
      <c r="C2971" t="s">
        <v>40</v>
      </c>
      <c r="D2971">
        <v>4.8196719999999997</v>
      </c>
      <c r="E2971">
        <v>0.50688610000000001</v>
      </c>
      <c r="F2971" t="s">
        <v>66</v>
      </c>
      <c r="G2971">
        <v>-436.6943</v>
      </c>
      <c r="H2971" s="1">
        <v>5.2769849999999901E-6</v>
      </c>
      <c r="I2971">
        <v>213.57149999999999</v>
      </c>
      <c r="J2971">
        <v>-462.78269999999998</v>
      </c>
      <c r="K2971">
        <v>1.1086510000000001</v>
      </c>
      <c r="L2971">
        <v>217.3356</v>
      </c>
      <c r="M2971">
        <v>0.98403510000000005</v>
      </c>
      <c r="N2971">
        <v>-1.3507190000000001E-2</v>
      </c>
      <c r="O2971">
        <v>-0.17746199999999901</v>
      </c>
      <c r="P2971">
        <v>0.9892145</v>
      </c>
      <c r="Q2971">
        <v>-8.0369040000000003E-2</v>
      </c>
      <c r="R2971">
        <v>-0.12245780000000001</v>
      </c>
      <c r="S2971">
        <v>2.9692080000000001</v>
      </c>
      <c r="T2971">
        <v>-0.12535560000000001</v>
      </c>
      <c r="U2971">
        <v>-0.42926029999999998</v>
      </c>
      <c r="V2971">
        <v>-5.5161149999999999E-2</v>
      </c>
      <c r="W2971">
        <v>-6.6827220000000007E-2</v>
      </c>
      <c r="X2971">
        <v>0.99623859999999997</v>
      </c>
      <c r="Y2971">
        <v>-3.473089E-2</v>
      </c>
      <c r="Z2971">
        <v>5.9604119999999896E-3</v>
      </c>
      <c r="AA2971">
        <v>0.99937889999999996</v>
      </c>
      <c r="AB2971">
        <v>18</v>
      </c>
      <c r="AC2971">
        <v>26.088399999999901</v>
      </c>
      <c r="AD2971">
        <v>-1.108645723015</v>
      </c>
      <c r="AE2971">
        <v>-3.7641000000000102</v>
      </c>
      <c r="AF2971">
        <v>-0.92414258097030799</v>
      </c>
      <c r="AG2971">
        <v>-1.108645723015</v>
      </c>
      <c r="AH2971">
        <v>26.295766595789502</v>
      </c>
      <c r="AI2971">
        <v>92.412707861635099</v>
      </c>
      <c r="AJ2971">
        <v>92.012783540648101</v>
      </c>
      <c r="AK2971">
        <v>26.3353465082456</v>
      </c>
      <c r="AL2971">
        <v>93.8317733602847</v>
      </c>
      <c r="AM2971">
        <v>93.169197844751295</v>
      </c>
      <c r="AN2971">
        <v>0.99999998896610498</v>
      </c>
    </row>
    <row r="2972" spans="1:40" x14ac:dyDescent="0.25">
      <c r="A2972" t="str">
        <f>"20190305135251128"</f>
        <v>20190305135251128</v>
      </c>
      <c r="B2972" t="str">
        <f>"1551765171123085"</f>
        <v>1551765171123085</v>
      </c>
      <c r="C2972" t="s">
        <v>40</v>
      </c>
      <c r="D2972">
        <v>4.857507</v>
      </c>
      <c r="E2972">
        <v>0.50634690000000004</v>
      </c>
      <c r="F2972" t="s">
        <v>56</v>
      </c>
      <c r="G2972">
        <v>-440.3</v>
      </c>
      <c r="H2972" s="1">
        <v>-1.355763E-6</v>
      </c>
      <c r="I2972">
        <v>214.12729999999999</v>
      </c>
      <c r="J2972">
        <v>-462.59339999999997</v>
      </c>
      <c r="K2972">
        <v>1.1086480000000001</v>
      </c>
      <c r="L2972">
        <v>217.2996</v>
      </c>
      <c r="M2972">
        <v>0.9837726</v>
      </c>
      <c r="N2972">
        <v>-1.3490820000000001E-2</v>
      </c>
      <c r="O2972">
        <v>-0.1789126</v>
      </c>
      <c r="P2972">
        <v>0.98894749999999998</v>
      </c>
      <c r="Q2972">
        <v>-8.5142640000000006E-2</v>
      </c>
      <c r="R2972">
        <v>-0.12138400000000001</v>
      </c>
      <c r="S2972">
        <v>2.9683839999999999</v>
      </c>
      <c r="T2972">
        <v>-0.14637520000000001</v>
      </c>
      <c r="U2972">
        <v>-0.42358400000000002</v>
      </c>
      <c r="V2972">
        <v>-5.7641419999999999E-2</v>
      </c>
      <c r="W2972">
        <v>-7.1622899999999906E-2</v>
      </c>
      <c r="X2972">
        <v>0.99576489999999995</v>
      </c>
      <c r="Y2972">
        <v>-3.7979730000000003E-2</v>
      </c>
      <c r="Z2972">
        <v>7.48009E-3</v>
      </c>
      <c r="AA2972">
        <v>0.99925050000000004</v>
      </c>
      <c r="AB2972">
        <v>18</v>
      </c>
      <c r="AC2972">
        <v>22.293399999999899</v>
      </c>
      <c r="AD2972">
        <v>-1.1086493557629999</v>
      </c>
      <c r="AE2972">
        <v>-3.1722999999999999</v>
      </c>
      <c r="AF2972">
        <v>-0.86572869393122498</v>
      </c>
      <c r="AG2972">
        <v>-1.1086493557629999</v>
      </c>
      <c r="AH2972">
        <v>22.446834678229902</v>
      </c>
      <c r="AI2972">
        <v>92.825444170424603</v>
      </c>
      <c r="AJ2972">
        <v>92.208686818548699</v>
      </c>
      <c r="AK2972">
        <v>22.4908642928037</v>
      </c>
      <c r="AL2972">
        <v>94.107206331227204</v>
      </c>
      <c r="AM2972">
        <v>93.312959347540598</v>
      </c>
      <c r="AN2972">
        <v>1.0000000545880099</v>
      </c>
    </row>
    <row r="2973" spans="1:40" x14ac:dyDescent="0.25">
      <c r="A2973" t="str">
        <f>"20190305135251152"</f>
        <v>20190305135251152</v>
      </c>
      <c r="B2973" t="str">
        <f>"1551765171142605"</f>
        <v>1551765171142605</v>
      </c>
      <c r="C2973" t="s">
        <v>40</v>
      </c>
      <c r="D2973">
        <v>4.854012</v>
      </c>
      <c r="E2973">
        <v>0.50601790000000002</v>
      </c>
      <c r="F2973" t="s">
        <v>56</v>
      </c>
      <c r="G2973">
        <v>-443.18259999999998</v>
      </c>
      <c r="H2973" s="1">
        <v>1.5836919999999999E-7</v>
      </c>
      <c r="I2973">
        <v>214.5805</v>
      </c>
      <c r="J2973">
        <v>-462.40390000000002</v>
      </c>
      <c r="K2973">
        <v>1.108638</v>
      </c>
      <c r="L2973">
        <v>217.26329999999999</v>
      </c>
      <c r="M2973">
        <v>0.98351460000000002</v>
      </c>
      <c r="N2973">
        <v>-1.347631E-2</v>
      </c>
      <c r="O2973">
        <v>-0.18032580000000001</v>
      </c>
      <c r="P2973">
        <v>0.98854180000000003</v>
      </c>
      <c r="Q2973">
        <v>-8.9794360000000004E-2</v>
      </c>
      <c r="R2973">
        <v>-0.12133529999999999</v>
      </c>
      <c r="S2973">
        <v>2.9678650000000002</v>
      </c>
      <c r="T2973">
        <v>-0.169509299999999</v>
      </c>
      <c r="U2973">
        <v>-0.41574100000000003</v>
      </c>
      <c r="V2973">
        <v>-5.9049560000000001E-2</v>
      </c>
      <c r="W2973">
        <v>-7.6295470000000004E-2</v>
      </c>
      <c r="X2973">
        <v>0.99533519999999998</v>
      </c>
      <c r="Y2973">
        <v>-4.1899819999999997E-2</v>
      </c>
      <c r="Z2973">
        <v>9.2058409999999993E-3</v>
      </c>
      <c r="AA2973">
        <v>0.99907939999999995</v>
      </c>
      <c r="AB2973">
        <v>18</v>
      </c>
      <c r="AC2973">
        <v>19.221299999999999</v>
      </c>
      <c r="AD2973">
        <v>-1.1086378416308</v>
      </c>
      <c r="AE2973">
        <v>-2.6827999999999799</v>
      </c>
      <c r="AF2973">
        <v>-0.82490671534405002</v>
      </c>
      <c r="AG2973">
        <v>-1.1086378416308</v>
      </c>
      <c r="AH2973">
        <v>19.3269020411892</v>
      </c>
      <c r="AI2973">
        <v>93.280046957710795</v>
      </c>
      <c r="AJ2973">
        <v>92.444002866183695</v>
      </c>
      <c r="AK2973">
        <v>19.376240385137699</v>
      </c>
      <c r="AL2973">
        <v>94.375660547379795</v>
      </c>
      <c r="AM2973">
        <v>93.395167419933401</v>
      </c>
      <c r="AN2973">
        <v>1.00000000481887</v>
      </c>
    </row>
    <row r="2974" spans="1:40" x14ac:dyDescent="0.25">
      <c r="A2974" t="str">
        <f>"20190305135251174"</f>
        <v>20190305135251174</v>
      </c>
      <c r="B2974" t="str">
        <f>"1551765171163101"</f>
        <v>1551765171163101</v>
      </c>
      <c r="C2974" t="s">
        <v>40</v>
      </c>
      <c r="D2974">
        <v>4.8451230000000001</v>
      </c>
      <c r="E2974">
        <v>0.50573219999999997</v>
      </c>
      <c r="F2974" t="s">
        <v>56</v>
      </c>
      <c r="G2974">
        <v>-445.08909999999997</v>
      </c>
      <c r="H2974" s="1">
        <v>1.1609800000000001E-6</v>
      </c>
      <c r="I2974">
        <v>214.85400000000001</v>
      </c>
      <c r="J2974">
        <v>-462.22829999999999</v>
      </c>
      <c r="K2974">
        <v>1.10863</v>
      </c>
      <c r="L2974">
        <v>217.2295</v>
      </c>
      <c r="M2974">
        <v>0.98327880000000001</v>
      </c>
      <c r="N2974">
        <v>-1.34644E-2</v>
      </c>
      <c r="O2974">
        <v>-0.1816082</v>
      </c>
      <c r="P2974">
        <v>0.98805549999999998</v>
      </c>
      <c r="Q2974">
        <v>-9.2766390000000004E-2</v>
      </c>
      <c r="R2974">
        <v>-0.1230475</v>
      </c>
      <c r="S2974">
        <v>2.966888</v>
      </c>
      <c r="T2974">
        <v>-0.18996499999999999</v>
      </c>
      <c r="U2974">
        <v>-0.41282649999999999</v>
      </c>
      <c r="V2974">
        <v>-5.8576429999999999E-2</v>
      </c>
      <c r="W2974">
        <v>-7.9284759999999996E-2</v>
      </c>
      <c r="X2974">
        <v>0.9951295</v>
      </c>
      <c r="Y2974">
        <v>-4.403783E-2</v>
      </c>
      <c r="Z2974">
        <v>1.0726339999999999E-2</v>
      </c>
      <c r="AA2974">
        <v>0.99897230000000004</v>
      </c>
      <c r="AB2974">
        <v>18</v>
      </c>
      <c r="AC2974">
        <v>17.139199999999999</v>
      </c>
      <c r="AD2974">
        <v>-1.1086288390200001</v>
      </c>
      <c r="AE2974">
        <v>-2.3754999999999802</v>
      </c>
      <c r="AF2974">
        <v>-0.77373460216568202</v>
      </c>
      <c r="AG2974">
        <v>-1.1086288390200001</v>
      </c>
      <c r="AH2974">
        <v>17.214919394912801</v>
      </c>
      <c r="AI2974">
        <v>93.681014228817403</v>
      </c>
      <c r="AJ2974">
        <v>92.573460304533498</v>
      </c>
      <c r="AK2974">
        <v>17.267923236760101</v>
      </c>
      <c r="AL2974">
        <v>94.5474549287907</v>
      </c>
      <c r="AM2974">
        <v>93.368721371964796</v>
      </c>
      <c r="AN2974">
        <v>0.99999999654502603</v>
      </c>
    </row>
    <row r="2975" spans="1:40" x14ac:dyDescent="0.25">
      <c r="A2975" t="str">
        <f>"20190305135251196"</f>
        <v>20190305135251196</v>
      </c>
      <c r="B2975" t="str">
        <f>"1551765171192888"</f>
        <v>1551765171192888</v>
      </c>
      <c r="C2975" t="s">
        <v>40</v>
      </c>
      <c r="D2975">
        <v>4.8521910000000004</v>
      </c>
      <c r="E2975">
        <v>0.50518019999999997</v>
      </c>
      <c r="F2975" t="s">
        <v>56</v>
      </c>
      <c r="G2975">
        <v>-446.21039999999999</v>
      </c>
      <c r="H2975" s="1">
        <v>1.751973E-6</v>
      </c>
      <c r="I2975">
        <v>214.98439999999999</v>
      </c>
      <c r="J2975">
        <v>-462.05470000000003</v>
      </c>
      <c r="K2975">
        <v>1.108625</v>
      </c>
      <c r="L2975">
        <v>217.19579999999999</v>
      </c>
      <c r="M2975">
        <v>0.98304930000000001</v>
      </c>
      <c r="N2975">
        <v>-1.345388E-2</v>
      </c>
      <c r="O2975">
        <v>-0.18284790000000001</v>
      </c>
      <c r="P2975">
        <v>0.98765170000000002</v>
      </c>
      <c r="Q2975">
        <v>-9.3761559999999994E-2</v>
      </c>
      <c r="R2975">
        <v>-0.1255114</v>
      </c>
      <c r="S2975">
        <v>2.9652400000000001</v>
      </c>
      <c r="T2975">
        <v>-0.20522979999999999</v>
      </c>
      <c r="U2975">
        <v>-0.41560360000000002</v>
      </c>
      <c r="V2975">
        <v>-5.733278E-2</v>
      </c>
      <c r="W2975">
        <v>-8.0293970000000006E-2</v>
      </c>
      <c r="X2975">
        <v>0.99512100000000003</v>
      </c>
      <c r="Y2975">
        <v>-4.4237289999999999E-2</v>
      </c>
      <c r="Z2975">
        <v>1.1842460000000001E-2</v>
      </c>
      <c r="AA2975">
        <v>0.99895080000000003</v>
      </c>
      <c r="AB2975">
        <v>18</v>
      </c>
      <c r="AC2975">
        <v>15.8443</v>
      </c>
      <c r="AD2975">
        <v>-1.108623248027</v>
      </c>
      <c r="AE2975">
        <v>-2.21139999999999</v>
      </c>
      <c r="AF2975">
        <v>-0.71979051411167305</v>
      </c>
      <c r="AG2975">
        <v>-1.108623248027</v>
      </c>
      <c r="AH2975">
        <v>15.9051418365737</v>
      </c>
      <c r="AI2975">
        <v>93.983129078429798</v>
      </c>
      <c r="AJ2975">
        <v>92.591164496841898</v>
      </c>
      <c r="AK2975">
        <v>15.9599712008448</v>
      </c>
      <c r="AL2975">
        <v>94.605463394961205</v>
      </c>
      <c r="AM2975">
        <v>93.297386877436594</v>
      </c>
      <c r="AN2975">
        <v>0.99999998696094405</v>
      </c>
    </row>
    <row r="2976" spans="1:40" x14ac:dyDescent="0.25">
      <c r="A2976" t="str">
        <f>"20190305135251217"</f>
        <v>20190305135251217</v>
      </c>
      <c r="B2976" t="str">
        <f>"1551765171212407"</f>
        <v>1551765171212407</v>
      </c>
      <c r="C2976" t="s">
        <v>40</v>
      </c>
      <c r="D2976">
        <v>4.8838290000000004</v>
      </c>
      <c r="E2976">
        <v>0.50495760000000001</v>
      </c>
      <c r="F2976" t="s">
        <v>56</v>
      </c>
      <c r="G2976">
        <v>-446.91840000000002</v>
      </c>
      <c r="H2976" s="1">
        <v>2.1255459999999998E-6</v>
      </c>
      <c r="I2976">
        <v>215.0573</v>
      </c>
      <c r="J2976">
        <v>-461.88569999999999</v>
      </c>
      <c r="K2976">
        <v>1.108636</v>
      </c>
      <c r="L2976">
        <v>217.16290000000001</v>
      </c>
      <c r="M2976">
        <v>0.98282970000000003</v>
      </c>
      <c r="N2976">
        <v>-1.3444599999999999E-2</v>
      </c>
      <c r="O2976">
        <v>-0.1840242</v>
      </c>
      <c r="P2976">
        <v>0.9872687</v>
      </c>
      <c r="Q2976">
        <v>-9.3511250000000004E-2</v>
      </c>
      <c r="R2976">
        <v>-0.1286706</v>
      </c>
      <c r="S2976">
        <v>2.9636840000000002</v>
      </c>
      <c r="T2976">
        <v>-0.21706829999999999</v>
      </c>
      <c r="U2976">
        <v>-0.41871639999999999</v>
      </c>
      <c r="V2976">
        <v>-5.5343629999999998E-2</v>
      </c>
      <c r="W2976">
        <v>-8.0055849999999998E-2</v>
      </c>
      <c r="X2976">
        <v>0.99525280000000005</v>
      </c>
      <c r="Y2976">
        <v>-4.4275330000000002E-2</v>
      </c>
      <c r="Z2976">
        <v>1.272624E-2</v>
      </c>
      <c r="AA2976">
        <v>0.99893829999999995</v>
      </c>
      <c r="AB2976">
        <v>18</v>
      </c>
      <c r="AC2976">
        <v>14.9672999999999</v>
      </c>
      <c r="AD2976">
        <v>-1.1086338744540001</v>
      </c>
      <c r="AE2976">
        <v>-2.1055999999999999</v>
      </c>
      <c r="AF2976">
        <v>-0.68129580378886101</v>
      </c>
      <c r="AG2976">
        <v>-1.1086338744540001</v>
      </c>
      <c r="AH2976">
        <v>15.0183559082844</v>
      </c>
      <c r="AI2976">
        <v>94.217514582007794</v>
      </c>
      <c r="AJ2976">
        <v>92.597396832096294</v>
      </c>
      <c r="AK2976">
        <v>15.0746226230626</v>
      </c>
      <c r="AL2976">
        <v>94.591776019074402</v>
      </c>
      <c r="AM2976">
        <v>93.182803459945703</v>
      </c>
      <c r="AN2976">
        <v>0.99999999620431901</v>
      </c>
    </row>
    <row r="2977" spans="1:40" x14ac:dyDescent="0.25">
      <c r="A2977" t="str">
        <f>"20190305135251242"</f>
        <v>20190305135251242</v>
      </c>
      <c r="B2977" t="str">
        <f>"1551765171232904"</f>
        <v>1551765171232904</v>
      </c>
      <c r="C2977" t="s">
        <v>40</v>
      </c>
      <c r="D2977">
        <v>4.8529299999999997</v>
      </c>
      <c r="E2977">
        <v>0.50478020000000001</v>
      </c>
      <c r="F2977" t="s">
        <v>56</v>
      </c>
      <c r="G2977">
        <v>-446.91809999999998</v>
      </c>
      <c r="H2977" s="1">
        <v>2.1275169999999998E-6</v>
      </c>
      <c r="I2977">
        <v>215.00909999999999</v>
      </c>
      <c r="J2977">
        <v>-461.68529999999998</v>
      </c>
      <c r="K2977">
        <v>1.10866</v>
      </c>
      <c r="L2977">
        <v>217.12360000000001</v>
      </c>
      <c r="M2977">
        <v>0.98257519999999998</v>
      </c>
      <c r="N2977">
        <v>-1.343454E-2</v>
      </c>
      <c r="O2977">
        <v>-0.18537880000000001</v>
      </c>
      <c r="P2977">
        <v>0.9869251</v>
      </c>
      <c r="Q2977">
        <v>-9.3075099999999994E-2</v>
      </c>
      <c r="R2977">
        <v>-0.13158889999999901</v>
      </c>
      <c r="S2977">
        <v>2.9623110000000001</v>
      </c>
      <c r="T2977">
        <v>-0.21941540000000001</v>
      </c>
      <c r="U2977">
        <v>-0.42626950000000002</v>
      </c>
      <c r="V2977">
        <v>-5.3777400000000003E-2</v>
      </c>
      <c r="W2977">
        <v>-7.9633389999999998E-2</v>
      </c>
      <c r="X2977">
        <v>0.99537249999999999</v>
      </c>
      <c r="Y2977">
        <v>-4.3081960000000002E-2</v>
      </c>
      <c r="Z2977">
        <v>1.2919740000000001E-2</v>
      </c>
      <c r="AA2977">
        <v>0.99898799999999999</v>
      </c>
      <c r="AB2977">
        <v>18</v>
      </c>
      <c r="AC2977">
        <v>14.767200000000001</v>
      </c>
      <c r="AD2977">
        <v>-1.1086578724830001</v>
      </c>
      <c r="AE2977">
        <v>-2.11450000000002</v>
      </c>
      <c r="AF2977">
        <v>-0.65630532183610801</v>
      </c>
      <c r="AG2977">
        <v>-1.1086578724830001</v>
      </c>
      <c r="AH2977">
        <v>14.8213542457645</v>
      </c>
      <c r="AI2977">
        <v>94.273664857961506</v>
      </c>
      <c r="AJ2977">
        <v>92.535461702347106</v>
      </c>
      <c r="AK2977">
        <v>14.8772443897426</v>
      </c>
      <c r="AL2977">
        <v>94.567493529994195</v>
      </c>
      <c r="AM2977">
        <v>93.092536017941896</v>
      </c>
      <c r="AN2977">
        <v>0.99999994965494898</v>
      </c>
    </row>
    <row r="2978" spans="1:40" x14ac:dyDescent="0.25">
      <c r="A2978" t="str">
        <f>"20190305135251265"</f>
        <v>20190305135251265</v>
      </c>
      <c r="B2978" t="str">
        <f>"1551765171263160"</f>
        <v>1551765171263160</v>
      </c>
      <c r="C2978" t="s">
        <v>40</v>
      </c>
      <c r="D2978">
        <v>4.8973309999999897</v>
      </c>
      <c r="E2978">
        <v>0.50455839999999996</v>
      </c>
      <c r="F2978" t="s">
        <v>56</v>
      </c>
      <c r="G2978">
        <v>-446.8202</v>
      </c>
      <c r="H2978" s="1">
        <v>2.0780880000000002E-6</v>
      </c>
      <c r="I2978">
        <v>214.9477</v>
      </c>
      <c r="J2978">
        <v>-461.49930000000001</v>
      </c>
      <c r="K2978">
        <v>1.1086959999999999</v>
      </c>
      <c r="L2978">
        <v>217.08690000000001</v>
      </c>
      <c r="M2978">
        <v>0.98234549999999998</v>
      </c>
      <c r="N2978">
        <v>-1.3426240000000001E-2</v>
      </c>
      <c r="O2978">
        <v>-0.1865935</v>
      </c>
      <c r="P2978">
        <v>0.98640039999999996</v>
      </c>
      <c r="Q2978">
        <v>-9.2476459999999996E-2</v>
      </c>
      <c r="R2978">
        <v>-0.13587569999999999</v>
      </c>
      <c r="S2978">
        <v>2.9610599999999998</v>
      </c>
      <c r="T2978">
        <v>-0.22083929999999999</v>
      </c>
      <c r="U2978">
        <v>-0.43342589999999998</v>
      </c>
      <c r="V2978">
        <v>-5.0690619999999999E-2</v>
      </c>
      <c r="W2978">
        <v>-7.9048129999999994E-2</v>
      </c>
      <c r="X2978">
        <v>0.99558120000000006</v>
      </c>
      <c r="Y2978">
        <v>-4.188766E-2</v>
      </c>
      <c r="Z2978">
        <v>1.304167E-2</v>
      </c>
      <c r="AA2978">
        <v>0.99903719999999996</v>
      </c>
      <c r="AB2978">
        <v>18</v>
      </c>
      <c r="AC2978">
        <v>14.6791</v>
      </c>
      <c r="AD2978">
        <v>-1.108693921912</v>
      </c>
      <c r="AE2978">
        <v>-2.13920000000001</v>
      </c>
      <c r="AF2978">
        <v>-0.63410650930920198</v>
      </c>
      <c r="AG2978">
        <v>-1.108693921912</v>
      </c>
      <c r="AH2978">
        <v>14.7381173975182</v>
      </c>
      <c r="AI2978">
        <v>94.2980847324461</v>
      </c>
      <c r="AJ2978">
        <v>92.463627630655594</v>
      </c>
      <c r="AK2978">
        <v>14.7933565393612</v>
      </c>
      <c r="AL2978">
        <v>94.533854163398502</v>
      </c>
      <c r="AM2978">
        <v>92.914732350742497</v>
      </c>
      <c r="AN2978">
        <v>1.0000000358029599</v>
      </c>
    </row>
    <row r="2979" spans="1:40" x14ac:dyDescent="0.25">
      <c r="A2979" t="str">
        <f>"20190305135251286"</f>
        <v>20190305135251286</v>
      </c>
      <c r="B2979" t="str">
        <f>"1551765171282682"</f>
        <v>1551765171282682</v>
      </c>
      <c r="C2979" t="s">
        <v>40</v>
      </c>
      <c r="D2979">
        <v>4.8546120000000004</v>
      </c>
      <c r="E2979">
        <v>0.50488699999999997</v>
      </c>
      <c r="F2979" t="s">
        <v>56</v>
      </c>
      <c r="G2979">
        <v>-446.75569999999999</v>
      </c>
      <c r="H2979" s="1">
        <v>2.0470730000000002E-6</v>
      </c>
      <c r="I2979">
        <v>214.87209999999999</v>
      </c>
      <c r="J2979">
        <v>-461.33800000000002</v>
      </c>
      <c r="K2979">
        <v>1.1087309999999999</v>
      </c>
      <c r="L2979">
        <v>217.05500000000001</v>
      </c>
      <c r="M2979">
        <v>0.98215269999999999</v>
      </c>
      <c r="N2979">
        <v>-1.3419510000000001E-2</v>
      </c>
      <c r="O2979">
        <v>-0.18760640000000001</v>
      </c>
      <c r="P2979">
        <v>0.98579349999999999</v>
      </c>
      <c r="Q2979">
        <v>-9.2171320000000001E-2</v>
      </c>
      <c r="R2979">
        <v>-0.1404128</v>
      </c>
      <c r="S2979">
        <v>2.9592589999999999</v>
      </c>
      <c r="T2979">
        <v>-0.2225317</v>
      </c>
      <c r="U2979">
        <v>-0.44454959999999999</v>
      </c>
      <c r="V2979">
        <v>-4.7139470000000003E-2</v>
      </c>
      <c r="W2979">
        <v>-7.8755119999999998E-2</v>
      </c>
      <c r="X2979">
        <v>0.99577890000000002</v>
      </c>
      <c r="Y2979">
        <v>-3.915478E-2</v>
      </c>
      <c r="Z2979">
        <v>1.3103689999999999E-2</v>
      </c>
      <c r="AA2979">
        <v>0.99914720000000001</v>
      </c>
      <c r="AB2979">
        <v>18</v>
      </c>
      <c r="AC2979">
        <v>14.5823</v>
      </c>
      <c r="AD2979">
        <v>-1.1087289529269999</v>
      </c>
      <c r="AE2979">
        <v>-2.1829000000000098</v>
      </c>
      <c r="AF2979">
        <v>-0.58851730262667501</v>
      </c>
      <c r="AG2979">
        <v>-1.1087289529269999</v>
      </c>
      <c r="AH2979">
        <v>14.6500617450105</v>
      </c>
      <c r="AI2979">
        <v>94.324467633459903</v>
      </c>
      <c r="AJ2979">
        <v>92.3004296698454</v>
      </c>
      <c r="AK2979">
        <v>14.7037390360129</v>
      </c>
      <c r="AL2979">
        <v>94.517013323996906</v>
      </c>
      <c r="AM2979">
        <v>92.710318338020897</v>
      </c>
      <c r="AN2979">
        <v>1.0000000581216499</v>
      </c>
    </row>
    <row r="2980" spans="1:40" x14ac:dyDescent="0.25">
      <c r="A2980" t="str">
        <f>"20190305135251307"</f>
        <v>20190305135251307</v>
      </c>
      <c r="B2980" t="str">
        <f>"1551765171302201"</f>
        <v>1551765171302201</v>
      </c>
      <c r="C2980" t="s">
        <v>40</v>
      </c>
      <c r="D2980">
        <v>4.8925140000000003</v>
      </c>
      <c r="E2980">
        <v>0.53956139999999997</v>
      </c>
      <c r="F2980" t="s">
        <v>56</v>
      </c>
      <c r="G2980">
        <v>-446.50310000000002</v>
      </c>
      <c r="H2980" s="1">
        <v>1.9182769999999999E-6</v>
      </c>
      <c r="I2980">
        <v>214.7439</v>
      </c>
      <c r="J2980">
        <v>-461.16390000000001</v>
      </c>
      <c r="K2980">
        <v>1.108752</v>
      </c>
      <c r="L2980">
        <v>217.0204</v>
      </c>
      <c r="M2980">
        <v>0.98195149999999998</v>
      </c>
      <c r="N2980">
        <v>-1.341296E-2</v>
      </c>
      <c r="O2980">
        <v>-0.18865750000000001</v>
      </c>
      <c r="P2980">
        <v>0.98521570000000003</v>
      </c>
      <c r="Q2980">
        <v>-9.3409350000000002E-2</v>
      </c>
      <c r="R2980">
        <v>-0.14361399999999999</v>
      </c>
      <c r="S2980">
        <v>2.9569700000000001</v>
      </c>
      <c r="T2980">
        <v>-0.22099830000000001</v>
      </c>
      <c r="U2980">
        <v>-0.46066279999999998</v>
      </c>
      <c r="V2980">
        <v>-4.4947349999999997E-2</v>
      </c>
      <c r="W2980">
        <v>-8.0005759999999995E-2</v>
      </c>
      <c r="X2980">
        <v>0.99578049999999996</v>
      </c>
      <c r="Y2980">
        <v>-3.4809300000000001E-2</v>
      </c>
      <c r="Z2980">
        <v>1.287518E-2</v>
      </c>
      <c r="AA2980">
        <v>0.99931099999999995</v>
      </c>
      <c r="AB2980">
        <v>18</v>
      </c>
      <c r="AC2980">
        <v>14.660799999999901</v>
      </c>
      <c r="AD2980">
        <v>-1.108750081723</v>
      </c>
      <c r="AE2980">
        <v>-2.2764999999999902</v>
      </c>
      <c r="AF2980">
        <v>-0.52755863691729099</v>
      </c>
      <c r="AG2980">
        <v>-1.108750081723</v>
      </c>
      <c r="AH2980">
        <v>14.744659422388301</v>
      </c>
      <c r="AI2980">
        <v>94.297621880852603</v>
      </c>
      <c r="AJ2980">
        <v>92.049148354584304</v>
      </c>
      <c r="AK2980">
        <v>14.795696210092</v>
      </c>
      <c r="AL2980">
        <v>94.588896843521894</v>
      </c>
      <c r="AM2980">
        <v>92.584451697841104</v>
      </c>
      <c r="AN2980">
        <v>0.99999999504272497</v>
      </c>
    </row>
    <row r="2981" spans="1:40" x14ac:dyDescent="0.25">
      <c r="A2981" t="str">
        <f>"20190305135251330"</f>
        <v>20190305135251330</v>
      </c>
      <c r="B2981" t="str">
        <f>"1551765171322696"</f>
        <v>1551765171322696</v>
      </c>
      <c r="C2981" t="s">
        <v>40</v>
      </c>
      <c r="D2981">
        <v>4.877764</v>
      </c>
      <c r="E2981">
        <v>0.54090680000000002</v>
      </c>
      <c r="F2981" t="s">
        <v>66</v>
      </c>
      <c r="G2981">
        <v>-434.601</v>
      </c>
      <c r="H2981" s="1">
        <v>4.638749E-6</v>
      </c>
      <c r="I2981">
        <v>210.25370000000001</v>
      </c>
      <c r="J2981">
        <v>-460.98469999999998</v>
      </c>
      <c r="K2981">
        <v>1.108786</v>
      </c>
      <c r="L2981">
        <v>216.9846</v>
      </c>
      <c r="M2981">
        <v>0.98175009999999996</v>
      </c>
      <c r="N2981">
        <v>-1.340684E-2</v>
      </c>
      <c r="O2981">
        <v>-0.18970200000000001</v>
      </c>
      <c r="P2981">
        <v>0.98473080000000002</v>
      </c>
      <c r="Q2981">
        <v>-9.4635590000000006E-2</v>
      </c>
      <c r="R2981">
        <v>-0.14611440000000001</v>
      </c>
      <c r="S2981">
        <v>2.9248050000000001</v>
      </c>
      <c r="T2981">
        <v>-0.12208289999999999</v>
      </c>
      <c r="U2981">
        <v>-0.74507139999999905</v>
      </c>
      <c r="V2981">
        <v>-4.3455779999999999E-2</v>
      </c>
      <c r="W2981">
        <v>-8.1242720000000004E-2</v>
      </c>
      <c r="X2981">
        <v>0.99574660000000004</v>
      </c>
      <c r="Y2981">
        <v>5.8532679999999997E-2</v>
      </c>
      <c r="Z2981">
        <v>3.5787010000000001E-3</v>
      </c>
      <c r="AA2981">
        <v>0.99827909999999997</v>
      </c>
      <c r="AB2981">
        <v>18</v>
      </c>
      <c r="AC2981">
        <v>26.383699999999902</v>
      </c>
      <c r="AD2981">
        <v>-1.108781361251</v>
      </c>
      <c r="AE2981">
        <v>-6.7308999999999903</v>
      </c>
      <c r="AF2981">
        <v>1.60051133017612</v>
      </c>
      <c r="AG2981">
        <v>-1.108781361251</v>
      </c>
      <c r="AH2981">
        <v>27.136512561913499</v>
      </c>
      <c r="AI2981">
        <v>92.335714609301505</v>
      </c>
      <c r="AJ2981">
        <v>86.624605608678394</v>
      </c>
      <c r="AK2981">
        <v>27.206274030965201</v>
      </c>
      <c r="AL2981">
        <v>94.660000710352605</v>
      </c>
      <c r="AM2981">
        <v>92.498882652039697</v>
      </c>
      <c r="AN2981">
        <v>1.00000003788998</v>
      </c>
    </row>
    <row r="2982" spans="1:40" x14ac:dyDescent="0.25">
      <c r="A2982" t="str">
        <f>"20190305135251352"</f>
        <v>20190305135251352</v>
      </c>
      <c r="B2982" t="str">
        <f>"1551765171342216"</f>
        <v>1551765171342216</v>
      </c>
      <c r="C2982" t="s">
        <v>40</v>
      </c>
      <c r="D2982">
        <v>4.9094329999999999</v>
      </c>
      <c r="E2982">
        <v>0.5408193</v>
      </c>
      <c r="F2982" t="s">
        <v>66</v>
      </c>
      <c r="G2982">
        <v>-432.98149999999998</v>
      </c>
      <c r="H2982" s="1">
        <v>3.971277E-6</v>
      </c>
      <c r="I2982">
        <v>209.67359999999999</v>
      </c>
      <c r="J2982">
        <v>-460.80290000000002</v>
      </c>
      <c r="K2982">
        <v>1.1088020000000001</v>
      </c>
      <c r="L2982">
        <v>216.94820000000001</v>
      </c>
      <c r="M2982">
        <v>0.98155060000000005</v>
      </c>
      <c r="N2982">
        <v>-1.340096E-2</v>
      </c>
      <c r="O2982">
        <v>-0.1907334</v>
      </c>
      <c r="P2982">
        <v>0.98435600000000001</v>
      </c>
      <c r="Q2982">
        <v>-9.396322E-2</v>
      </c>
      <c r="R2982">
        <v>-0.1490456</v>
      </c>
      <c r="S2982">
        <v>2.92218</v>
      </c>
      <c r="T2982">
        <v>-0.1157033</v>
      </c>
      <c r="U2982">
        <v>-0.76292419999999905</v>
      </c>
      <c r="V2982">
        <v>-4.1549219999999998E-2</v>
      </c>
      <c r="W2982">
        <v>-8.057752E-2</v>
      </c>
      <c r="X2982">
        <v>0.99588200000000004</v>
      </c>
      <c r="Y2982">
        <v>6.3406809999999994E-2</v>
      </c>
      <c r="Z2982">
        <v>3.1381650000000001E-3</v>
      </c>
      <c r="AA2982">
        <v>0.99798279999999995</v>
      </c>
      <c r="AB2982">
        <v>18</v>
      </c>
      <c r="AC2982">
        <v>27.821400000000001</v>
      </c>
      <c r="AD2982">
        <v>-1.1087980287229999</v>
      </c>
      <c r="AE2982">
        <v>-7.2746000000000199</v>
      </c>
      <c r="AF2982">
        <v>1.8313594156261199</v>
      </c>
      <c r="AG2982">
        <v>-1.1087980287229999</v>
      </c>
      <c r="AH2982">
        <v>28.655589895290099</v>
      </c>
      <c r="AI2982">
        <v>92.211387702353505</v>
      </c>
      <c r="AJ2982">
        <v>86.343238540243206</v>
      </c>
      <c r="AK2982">
        <v>28.7354509730533</v>
      </c>
      <c r="AL2982">
        <v>94.621762290414196</v>
      </c>
      <c r="AM2982">
        <v>92.389053253943004</v>
      </c>
      <c r="AN2982">
        <v>1.0000000161679701</v>
      </c>
    </row>
    <row r="2983" spans="1:40" x14ac:dyDescent="0.25">
      <c r="A2983" t="str">
        <f>"20190305135251374"</f>
        <v>20190305135251374</v>
      </c>
      <c r="B2983" t="str">
        <f>"1551765171362712"</f>
        <v>1551765171362712</v>
      </c>
      <c r="C2983" t="s">
        <v>40</v>
      </c>
      <c r="D2983">
        <v>4.8509440000000001</v>
      </c>
      <c r="E2983">
        <v>0.54011039999999999</v>
      </c>
      <c r="F2983" t="s">
        <v>66</v>
      </c>
      <c r="G2983">
        <v>-431.24950000000001</v>
      </c>
      <c r="H2983" s="1">
        <v>3.2903259999999999E-6</v>
      </c>
      <c r="I2983">
        <v>209.15010000000001</v>
      </c>
      <c r="J2983">
        <v>-460.6309</v>
      </c>
      <c r="K2983">
        <v>1.1088070000000001</v>
      </c>
      <c r="L2983">
        <v>216.9135</v>
      </c>
      <c r="M2983">
        <v>0.98136319999999999</v>
      </c>
      <c r="N2983">
        <v>-1.339572E-2</v>
      </c>
      <c r="O2983">
        <v>-0.1916949</v>
      </c>
      <c r="P2983">
        <v>0.98412770000000005</v>
      </c>
      <c r="Q2983">
        <v>-9.2585639999999997E-2</v>
      </c>
      <c r="R2983">
        <v>-0.151395899999999</v>
      </c>
      <c r="S2983">
        <v>2.9205320000000001</v>
      </c>
      <c r="T2983">
        <v>-0.1095738</v>
      </c>
      <c r="U2983">
        <v>-0.77062989999999998</v>
      </c>
      <c r="V2983">
        <v>-4.0171739999999997E-2</v>
      </c>
      <c r="W2983">
        <v>-7.9204399999999994E-2</v>
      </c>
      <c r="X2983">
        <v>0.99604859999999995</v>
      </c>
      <c r="Y2983">
        <v>6.5025319999999998E-2</v>
      </c>
      <c r="Z2983">
        <v>2.7977560000000002E-3</v>
      </c>
      <c r="AA2983">
        <v>0.99787969999999904</v>
      </c>
      <c r="AB2983">
        <v>18</v>
      </c>
      <c r="AC2983">
        <v>29.3813999999999</v>
      </c>
      <c r="AD2983">
        <v>-1.10880370967399</v>
      </c>
      <c r="AE2983">
        <v>-7.7633999999999901</v>
      </c>
      <c r="AF2983">
        <v>1.9839875206284401</v>
      </c>
      <c r="AG2983">
        <v>-1.10880370967399</v>
      </c>
      <c r="AH2983">
        <v>30.284432453831201</v>
      </c>
      <c r="AI2983">
        <v>92.092352191870503</v>
      </c>
      <c r="AJ2983">
        <v>86.251806693331005</v>
      </c>
      <c r="AK2983">
        <v>30.369598304871602</v>
      </c>
      <c r="AL2983">
        <v>94.542836282806903</v>
      </c>
      <c r="AM2983">
        <v>92.309550367016797</v>
      </c>
      <c r="AN2983">
        <v>0.99999995961797195</v>
      </c>
    </row>
    <row r="2984" spans="1:40" x14ac:dyDescent="0.25">
      <c r="A2984" t="str">
        <f>"20190305135251396"</f>
        <v>20190305135251396</v>
      </c>
      <c r="B2984" t="str">
        <f>"1551765171392499"</f>
        <v>1551765171392499</v>
      </c>
      <c r="C2984" t="s">
        <v>40</v>
      </c>
      <c r="D2984">
        <v>4.8784850000000004</v>
      </c>
      <c r="E2984">
        <v>0.53946190000000005</v>
      </c>
      <c r="F2984" t="s">
        <v>66</v>
      </c>
      <c r="G2984">
        <v>-429.86340000000001</v>
      </c>
      <c r="H2984" s="1">
        <v>2.873457E-6</v>
      </c>
      <c r="I2984">
        <v>208.78049999999999</v>
      </c>
      <c r="J2984">
        <v>-460.46080000000001</v>
      </c>
      <c r="K2984">
        <v>1.108792</v>
      </c>
      <c r="L2984">
        <v>216.87909999999999</v>
      </c>
      <c r="M2984">
        <v>0.98117790000000005</v>
      </c>
      <c r="N2984">
        <v>-1.339101E-2</v>
      </c>
      <c r="O2984">
        <v>-0.19264110000000001</v>
      </c>
      <c r="P2984">
        <v>0.98396119999999998</v>
      </c>
      <c r="Q2984">
        <v>-9.3406649999999994E-2</v>
      </c>
      <c r="R2984">
        <v>-0.1519722</v>
      </c>
      <c r="S2984">
        <v>2.9197389999999999</v>
      </c>
      <c r="T2984">
        <v>-0.1052221</v>
      </c>
      <c r="U2984">
        <v>-0.77180479999999996</v>
      </c>
      <c r="V2984">
        <v>-4.0535719999999997E-2</v>
      </c>
      <c r="W2984">
        <v>-8.0030219999999999E-2</v>
      </c>
      <c r="X2984">
        <v>0.99596790000000002</v>
      </c>
      <c r="Y2984">
        <v>6.4503930000000001E-2</v>
      </c>
      <c r="Z2984">
        <v>2.602647E-3</v>
      </c>
      <c r="AA2984">
        <v>0.99791410000000003</v>
      </c>
      <c r="AB2984">
        <v>18</v>
      </c>
      <c r="AC2984">
        <v>30.5974</v>
      </c>
      <c r="AD2984">
        <v>-1.1087891265430001</v>
      </c>
      <c r="AE2984">
        <v>-8.0985999999999994</v>
      </c>
      <c r="AF2984">
        <v>2.0495193483219598</v>
      </c>
      <c r="AG2984">
        <v>-1.1087891265430001</v>
      </c>
      <c r="AH2984">
        <v>31.545734598976502</v>
      </c>
      <c r="AI2984">
        <v>92.008807313924706</v>
      </c>
      <c r="AJ2984">
        <v>86.2827303840387</v>
      </c>
      <c r="AK2984">
        <v>31.631682128450699</v>
      </c>
      <c r="AL2984">
        <v>94.590302695181506</v>
      </c>
      <c r="AM2984">
        <v>92.330641927355401</v>
      </c>
      <c r="AN2984">
        <v>1.00000001926978</v>
      </c>
    </row>
    <row r="2985" spans="1:40" x14ac:dyDescent="0.25">
      <c r="A2985" t="str">
        <f>"20190305135251418"</f>
        <v>20190305135251418</v>
      </c>
      <c r="B2985" t="str">
        <f>"1551765171412996"</f>
        <v>1551765171412996</v>
      </c>
      <c r="C2985" t="s">
        <v>40</v>
      </c>
      <c r="D2985">
        <v>4.8824899999999998</v>
      </c>
      <c r="E2985">
        <v>0.53923989999999999</v>
      </c>
      <c r="F2985" t="s">
        <v>66</v>
      </c>
      <c r="G2985">
        <v>-430.55009999999999</v>
      </c>
      <c r="H2985" s="1">
        <v>3.0056949999999999E-6</v>
      </c>
      <c r="I2985">
        <v>209.01150000000001</v>
      </c>
      <c r="J2985">
        <v>-460.28039999999999</v>
      </c>
      <c r="K2985">
        <v>1.108778</v>
      </c>
      <c r="L2985">
        <v>216.8425</v>
      </c>
      <c r="M2985">
        <v>0.98097990000000002</v>
      </c>
      <c r="N2985">
        <v>-1.3386439999999999E-2</v>
      </c>
      <c r="O2985">
        <v>-0.1936476</v>
      </c>
      <c r="P2985">
        <v>0.98377879999999995</v>
      </c>
      <c r="Q2985">
        <v>-9.5277529999999999E-2</v>
      </c>
      <c r="R2985">
        <v>-0.15199260000000001</v>
      </c>
      <c r="S2985">
        <v>2.9199830000000002</v>
      </c>
      <c r="T2985">
        <v>-0.1082438</v>
      </c>
      <c r="U2985">
        <v>-0.76806640000000004</v>
      </c>
      <c r="V2985">
        <v>-4.150483E-2</v>
      </c>
      <c r="W2985">
        <v>-8.1906489999999998E-2</v>
      </c>
      <c r="X2985">
        <v>0.99577539999999998</v>
      </c>
      <c r="Y2985">
        <v>6.2268530000000002E-2</v>
      </c>
      <c r="Z2985">
        <v>2.8430310000000002E-3</v>
      </c>
      <c r="AA2985">
        <v>0.99805540000000004</v>
      </c>
      <c r="AB2985">
        <v>18</v>
      </c>
      <c r="AC2985">
        <v>29.7303</v>
      </c>
      <c r="AD2985">
        <v>-1.108774994305</v>
      </c>
      <c r="AE2985">
        <v>-7.83099999999998</v>
      </c>
      <c r="AF2985">
        <v>1.92252418716456</v>
      </c>
      <c r="AG2985">
        <v>-1.108774994305</v>
      </c>
      <c r="AH2985">
        <v>30.644171134125902</v>
      </c>
      <c r="AI2985">
        <v>92.068123676476901</v>
      </c>
      <c r="AJ2985">
        <v>86.410138029824196</v>
      </c>
      <c r="AK2985">
        <v>30.724431739835801</v>
      </c>
      <c r="AL2985">
        <v>94.698159348085497</v>
      </c>
      <c r="AM2985">
        <v>92.386758995534194</v>
      </c>
      <c r="AN2985">
        <v>0.99999998563130399</v>
      </c>
    </row>
    <row r="2986" spans="1:40" x14ac:dyDescent="0.25">
      <c r="A2986" t="str">
        <f>"20190305135251443"</f>
        <v>20190305135251443</v>
      </c>
      <c r="B2986" t="str">
        <f>"1551765171432516"</f>
        <v>1551765171432516</v>
      </c>
      <c r="C2986" t="s">
        <v>40</v>
      </c>
      <c r="D2986">
        <v>4.8847269999999998</v>
      </c>
      <c r="E2986">
        <v>0.53911480000000001</v>
      </c>
      <c r="F2986" t="s">
        <v>66</v>
      </c>
      <c r="G2986">
        <v>-432.5453</v>
      </c>
      <c r="H2986" s="1">
        <v>3.791875E-6</v>
      </c>
      <c r="I2986">
        <v>209.565</v>
      </c>
      <c r="J2986">
        <v>-460.09519999999998</v>
      </c>
      <c r="K2986">
        <v>1.1087689999999999</v>
      </c>
      <c r="L2986">
        <v>216.80459999999999</v>
      </c>
      <c r="M2986">
        <v>0.98077709999999996</v>
      </c>
      <c r="N2986">
        <v>-1.338058E-2</v>
      </c>
      <c r="O2986">
        <v>-0.1946716</v>
      </c>
      <c r="P2986">
        <v>0.98375979999999996</v>
      </c>
      <c r="Q2986">
        <v>-9.5909449999999993E-2</v>
      </c>
      <c r="R2986">
        <v>-0.1517183</v>
      </c>
      <c r="S2986">
        <v>2.9198</v>
      </c>
      <c r="T2986">
        <v>-0.11672589999999999</v>
      </c>
      <c r="U2986">
        <v>-0.76612849999999999</v>
      </c>
      <c r="V2986">
        <v>-4.2808779999999998E-2</v>
      </c>
      <c r="W2986">
        <v>-8.2544329999999999E-2</v>
      </c>
      <c r="X2986">
        <v>0.99566750000000004</v>
      </c>
      <c r="Y2986">
        <v>6.0629370000000002E-2</v>
      </c>
      <c r="Z2986">
        <v>3.3716240000000001E-3</v>
      </c>
      <c r="AA2986">
        <v>0.9981546</v>
      </c>
      <c r="AB2986">
        <v>18</v>
      </c>
      <c r="AC2986">
        <v>27.549899999999901</v>
      </c>
      <c r="AD2986">
        <v>-1.1087652081249999</v>
      </c>
      <c r="AE2986">
        <v>-7.2395999999999896</v>
      </c>
      <c r="AF2986">
        <v>1.7347781495599399</v>
      </c>
      <c r="AG2986">
        <v>-1.1087652081249999</v>
      </c>
      <c r="AH2986">
        <v>28.389191585696299</v>
      </c>
      <c r="AI2986">
        <v>92.232441113934101</v>
      </c>
      <c r="AJ2986">
        <v>86.503175296944903</v>
      </c>
      <c r="AK2986">
        <v>28.4637491276942</v>
      </c>
      <c r="AL2986">
        <v>94.734829162984099</v>
      </c>
      <c r="AM2986">
        <v>92.461918986594497</v>
      </c>
      <c r="AN2986">
        <v>0.99999996430824301</v>
      </c>
    </row>
    <row r="2987" spans="1:40" x14ac:dyDescent="0.25">
      <c r="A2987" t="str">
        <f>"20190305135251466"</f>
        <v>20190305135251466</v>
      </c>
      <c r="B2987" t="str">
        <f>"1551765171462772"</f>
        <v>1551765171462772</v>
      </c>
      <c r="C2987" t="s">
        <v>40</v>
      </c>
      <c r="D2987">
        <v>4.8726430000000001</v>
      </c>
      <c r="E2987">
        <v>0.539072</v>
      </c>
      <c r="F2987" t="s">
        <v>66</v>
      </c>
      <c r="G2987">
        <v>-432.86169999999998</v>
      </c>
      <c r="H2987" s="1">
        <v>3.9177669999999997E-6</v>
      </c>
      <c r="I2987">
        <v>209.67779999999999</v>
      </c>
      <c r="J2987">
        <v>-459.90949999999998</v>
      </c>
      <c r="K2987">
        <v>1.1087880000000001</v>
      </c>
      <c r="L2987">
        <v>216.76650000000001</v>
      </c>
      <c r="M2987">
        <v>0.98058730000000005</v>
      </c>
      <c r="N2987">
        <v>-1.3367179999999999E-2</v>
      </c>
      <c r="O2987">
        <v>-0.1956272</v>
      </c>
      <c r="P2987">
        <v>0.98386320000000005</v>
      </c>
      <c r="Q2987">
        <v>-9.7078990000000004E-2</v>
      </c>
      <c r="R2987">
        <v>-0.15029719999999999</v>
      </c>
      <c r="S2987">
        <v>2.9200740000000001</v>
      </c>
      <c r="T2987">
        <v>-0.11888600000000001</v>
      </c>
      <c r="U2987">
        <v>-0.76416019999999996</v>
      </c>
      <c r="V2987">
        <v>-4.5185129999999997E-2</v>
      </c>
      <c r="W2987">
        <v>-8.3731340000000001E-2</v>
      </c>
      <c r="X2987">
        <v>0.9954634</v>
      </c>
      <c r="Y2987">
        <v>5.9007780000000003E-2</v>
      </c>
      <c r="Z2987">
        <v>3.5602329999999999E-3</v>
      </c>
      <c r="AA2987">
        <v>0.99825120000000001</v>
      </c>
      <c r="AB2987">
        <v>18</v>
      </c>
      <c r="AC2987">
        <v>27.047799999999899</v>
      </c>
      <c r="AD2987">
        <v>-1.108784082233</v>
      </c>
      <c r="AE2987">
        <v>-7.08870000000001</v>
      </c>
      <c r="AF2987">
        <v>1.65734589682436</v>
      </c>
      <c r="AG2987">
        <v>-1.108784082233</v>
      </c>
      <c r="AH2987">
        <v>27.8681420308463</v>
      </c>
      <c r="AI2987">
        <v>92.274399499448506</v>
      </c>
      <c r="AJ2987">
        <v>86.596572108789999</v>
      </c>
      <c r="AK2987">
        <v>27.939390433832902</v>
      </c>
      <c r="AL2987">
        <v>94.803075894172096</v>
      </c>
      <c r="AM2987">
        <v>92.598931731148099</v>
      </c>
      <c r="AN2987">
        <v>1.00000000700543</v>
      </c>
    </row>
    <row r="2988" spans="1:40" x14ac:dyDescent="0.25">
      <c r="A2988" t="str">
        <f>"20190305135251486"</f>
        <v>20190305135251486</v>
      </c>
      <c r="B2988" t="str">
        <f>"1551765171482799"</f>
        <v>1551765171482799</v>
      </c>
      <c r="C2988" t="s">
        <v>40</v>
      </c>
      <c r="D2988">
        <v>4.8631539999999998</v>
      </c>
      <c r="E2988">
        <v>0.53887890000000005</v>
      </c>
      <c r="F2988" t="s">
        <v>66</v>
      </c>
      <c r="G2988">
        <v>-433.73750000000001</v>
      </c>
      <c r="H2988" s="1">
        <v>4.2814780000000002E-6</v>
      </c>
      <c r="I2988">
        <v>209.96010000000001</v>
      </c>
      <c r="J2988">
        <v>-459.75380000000001</v>
      </c>
      <c r="K2988">
        <v>1.1088709999999999</v>
      </c>
      <c r="L2988">
        <v>216.7345</v>
      </c>
      <c r="M2988">
        <v>0.98045269999999995</v>
      </c>
      <c r="N2988">
        <v>-1.334987E-2</v>
      </c>
      <c r="O2988">
        <v>-0.1963018</v>
      </c>
      <c r="P2988">
        <v>0.98407460000000002</v>
      </c>
      <c r="Q2988">
        <v>-9.7619300000000006E-2</v>
      </c>
      <c r="R2988">
        <v>-0.14855260000000001</v>
      </c>
      <c r="S2988">
        <v>2.9209290000000001</v>
      </c>
      <c r="T2988">
        <v>-0.1237458</v>
      </c>
      <c r="U2988">
        <v>-0.75962830000000003</v>
      </c>
      <c r="V2988">
        <v>-4.7605920000000003E-2</v>
      </c>
      <c r="W2988">
        <v>-8.4297460000000005E-2</v>
      </c>
      <c r="X2988">
        <v>0.99530280000000004</v>
      </c>
      <c r="Y2988">
        <v>5.6805809999999998E-2</v>
      </c>
      <c r="Z2988">
        <v>3.9105809999999998E-3</v>
      </c>
      <c r="AA2988">
        <v>0.99837759999999998</v>
      </c>
      <c r="AB2988">
        <v>18</v>
      </c>
      <c r="AC2988">
        <v>26.016300000000001</v>
      </c>
      <c r="AD2988">
        <v>-1.108866718522</v>
      </c>
      <c r="AE2988">
        <v>-6.7743999999999804</v>
      </c>
      <c r="AF2988">
        <v>1.53246181022837</v>
      </c>
      <c r="AG2988">
        <v>-1.108866718522</v>
      </c>
      <c r="AH2988">
        <v>26.794383972425301</v>
      </c>
      <c r="AI2988">
        <v>92.365931218402594</v>
      </c>
      <c r="AJ2988">
        <v>86.726625852508207</v>
      </c>
      <c r="AK2988">
        <v>26.861069171963599</v>
      </c>
      <c r="AL2988">
        <v>94.835627180171798</v>
      </c>
      <c r="AM2988">
        <v>92.7384039271207</v>
      </c>
      <c r="AN2988">
        <v>1.0000000245346601</v>
      </c>
    </row>
    <row r="2989" spans="1:40" x14ac:dyDescent="0.25">
      <c r="A2989" t="str">
        <f>"20190305135251508"</f>
        <v>20190305135251508</v>
      </c>
      <c r="B2989" t="str">
        <f>"1551765171502318"</f>
        <v>1551765171502318</v>
      </c>
      <c r="C2989" t="s">
        <v>40</v>
      </c>
      <c r="D2989">
        <v>4.8680640000000004</v>
      </c>
      <c r="E2989">
        <v>0.53871409999999997</v>
      </c>
      <c r="F2989" t="s">
        <v>66</v>
      </c>
      <c r="G2989">
        <v>-434.40910000000002</v>
      </c>
      <c r="H2989" s="1">
        <v>4.5580360000000004E-6</v>
      </c>
      <c r="I2989">
        <v>210.20330000000001</v>
      </c>
      <c r="J2989">
        <v>-459.5804</v>
      </c>
      <c r="K2989">
        <v>1.1089979999999999</v>
      </c>
      <c r="L2989">
        <v>216.69890000000001</v>
      </c>
      <c r="M2989">
        <v>0.98033300000000001</v>
      </c>
      <c r="N2989">
        <v>-1.3331630000000001E-2</v>
      </c>
      <c r="O2989">
        <v>-0.19690009999999999</v>
      </c>
      <c r="P2989">
        <v>0.98447479999999998</v>
      </c>
      <c r="Q2989">
        <v>-9.4954150000000001E-2</v>
      </c>
      <c r="R2989">
        <v>-0.14762629999999999</v>
      </c>
      <c r="S2989">
        <v>2.92218</v>
      </c>
      <c r="T2989">
        <v>-0.1278492</v>
      </c>
      <c r="U2989">
        <v>-0.7530365</v>
      </c>
      <c r="V2989">
        <v>-4.9173380000000003E-2</v>
      </c>
      <c r="W2989">
        <v>-8.1661259999999999E-2</v>
      </c>
      <c r="X2989">
        <v>0.99544630000000001</v>
      </c>
      <c r="Y2989">
        <v>5.3988880000000003E-2</v>
      </c>
      <c r="Z2989">
        <v>4.2390789999999998E-3</v>
      </c>
      <c r="AA2989">
        <v>0.99853250000000005</v>
      </c>
      <c r="AB2989">
        <v>18</v>
      </c>
      <c r="AC2989">
        <v>25.171299999999899</v>
      </c>
      <c r="AD2989">
        <v>-1.108993441964</v>
      </c>
      <c r="AE2989">
        <v>-6.4955999999999898</v>
      </c>
      <c r="AF2989">
        <v>1.40918031758377</v>
      </c>
      <c r="AG2989">
        <v>-1.108993441964</v>
      </c>
      <c r="AH2989">
        <v>25.910390568783299</v>
      </c>
      <c r="AI2989">
        <v>92.447214785940801</v>
      </c>
      <c r="AJ2989">
        <v>86.886939307537503</v>
      </c>
      <c r="AK2989">
        <v>25.9723698389015</v>
      </c>
      <c r="AL2989">
        <v>94.684061600189693</v>
      </c>
      <c r="AM2989">
        <v>92.8280167375801</v>
      </c>
      <c r="AN2989">
        <v>0.99999995943455</v>
      </c>
    </row>
    <row r="2990" spans="1:40" x14ac:dyDescent="0.25">
      <c r="A2990" t="str">
        <f>"20190305135251532"</f>
        <v>20190305135251532</v>
      </c>
      <c r="B2990" t="str">
        <f>"1551765171522815"</f>
        <v>1551765171522815</v>
      </c>
      <c r="C2990" t="s">
        <v>40</v>
      </c>
      <c r="D2990">
        <v>4.862158</v>
      </c>
      <c r="E2990">
        <v>0.53870779999999996</v>
      </c>
      <c r="F2990" t="s">
        <v>66</v>
      </c>
      <c r="G2990">
        <v>-432.68630000000002</v>
      </c>
      <c r="H2990" s="1">
        <v>3.8292550000000002E-6</v>
      </c>
      <c r="I2990">
        <v>209.80070000000001</v>
      </c>
      <c r="J2990">
        <v>-459.38889999999998</v>
      </c>
      <c r="K2990">
        <v>1.109162</v>
      </c>
      <c r="L2990">
        <v>216.65979999999999</v>
      </c>
      <c r="M2990">
        <v>0.98024579999999994</v>
      </c>
      <c r="N2990">
        <v>-1.33157E-2</v>
      </c>
      <c r="O2990">
        <v>-0.1973345</v>
      </c>
      <c r="P2990">
        <v>0.98472179999999998</v>
      </c>
      <c r="Q2990">
        <v>-9.0866859999999994E-2</v>
      </c>
      <c r="R2990">
        <v>-0.14854539999999999</v>
      </c>
      <c r="S2990">
        <v>2.9232480000000001</v>
      </c>
      <c r="T2990">
        <v>-0.120542</v>
      </c>
      <c r="U2990">
        <v>-0.74980159999999996</v>
      </c>
      <c r="V2990">
        <v>-4.8728779999999999E-2</v>
      </c>
      <c r="W2990">
        <v>-7.7604090000000001E-2</v>
      </c>
      <c r="X2990">
        <v>0.99579269999999998</v>
      </c>
      <c r="Y2990">
        <v>5.241676E-2</v>
      </c>
      <c r="Z2990">
        <v>3.8827219999999999E-3</v>
      </c>
      <c r="AA2990">
        <v>0.9986178</v>
      </c>
      <c r="AB2990">
        <v>18</v>
      </c>
      <c r="AC2990">
        <v>26.702599999999901</v>
      </c>
      <c r="AD2990">
        <v>-1.109158170745</v>
      </c>
      <c r="AE2990">
        <v>-6.8590999999999802</v>
      </c>
      <c r="AF2990">
        <v>1.4520384429081299</v>
      </c>
      <c r="AG2990">
        <v>-1.109158170745</v>
      </c>
      <c r="AH2990">
        <v>27.4866000261291</v>
      </c>
      <c r="AI2990">
        <v>92.307570812881494</v>
      </c>
      <c r="AJ2990">
        <v>86.976038791788994</v>
      </c>
      <c r="AK2990">
        <v>27.547265354002299</v>
      </c>
      <c r="AL2990">
        <v>94.450861973274996</v>
      </c>
      <c r="AM2990">
        <v>92.801514906526904</v>
      </c>
      <c r="AN2990">
        <v>0.99999999507915305</v>
      </c>
    </row>
    <row r="2991" spans="1:40" x14ac:dyDescent="0.25">
      <c r="A2991" t="str">
        <f>"20190305135251554"</f>
        <v>20190305135251554</v>
      </c>
      <c r="B2991" t="str">
        <f>"1551765171542338"</f>
        <v>1551765171542338</v>
      </c>
      <c r="C2991" t="s">
        <v>40</v>
      </c>
      <c r="D2991">
        <v>5.0698480000000004</v>
      </c>
      <c r="E2991">
        <v>0.53859950000000001</v>
      </c>
      <c r="F2991" t="s">
        <v>66</v>
      </c>
      <c r="G2991">
        <v>-430.05840000000001</v>
      </c>
      <c r="H2991" s="1">
        <v>2.806618E-6</v>
      </c>
      <c r="I2991">
        <v>209.1045</v>
      </c>
      <c r="J2991">
        <v>-459.22489999999999</v>
      </c>
      <c r="K2991">
        <v>1.1092919999999999</v>
      </c>
      <c r="L2991">
        <v>216.62649999999999</v>
      </c>
      <c r="M2991">
        <v>0.9802149</v>
      </c>
      <c r="N2991">
        <v>-1.330372E-2</v>
      </c>
      <c r="O2991">
        <v>-0.19748930000000001</v>
      </c>
      <c r="P2991">
        <v>0.9847013</v>
      </c>
      <c r="Q2991">
        <v>-9.0065110000000004E-2</v>
      </c>
      <c r="R2991">
        <v>-0.149171</v>
      </c>
      <c r="S2991">
        <v>2.9227599999999998</v>
      </c>
      <c r="T2991">
        <v>-0.110527</v>
      </c>
      <c r="U2991">
        <v>-0.75288389999999905</v>
      </c>
      <c r="V2991">
        <v>-4.8241649999999997E-2</v>
      </c>
      <c r="W2991">
        <v>-7.6829930000000005E-2</v>
      </c>
      <c r="X2991">
        <v>0.99587639999999999</v>
      </c>
      <c r="Y2991">
        <v>5.3278079999999998E-2</v>
      </c>
      <c r="Z2991">
        <v>3.298292E-3</v>
      </c>
      <c r="AA2991">
        <v>0.99857430000000003</v>
      </c>
      <c r="AB2991">
        <v>18</v>
      </c>
      <c r="AC2991">
        <v>29.1664999999999</v>
      </c>
      <c r="AD2991">
        <v>-1.1092891933819999</v>
      </c>
      <c r="AE2991">
        <v>-7.5219999999999896</v>
      </c>
      <c r="AF2991">
        <v>1.61106228569312</v>
      </c>
      <c r="AG2991">
        <v>-1.1092891933819999</v>
      </c>
      <c r="AH2991">
        <v>30.036871297810801</v>
      </c>
      <c r="AI2991">
        <v>92.111991466575702</v>
      </c>
      <c r="AJ2991">
        <v>86.929816571196397</v>
      </c>
      <c r="AK2991">
        <v>30.100493045200899</v>
      </c>
      <c r="AL2991">
        <v>94.406373242272906</v>
      </c>
      <c r="AM2991">
        <v>92.773320036829304</v>
      </c>
      <c r="AN2991">
        <v>0.99999994950774196</v>
      </c>
    </row>
    <row r="2992" spans="1:40" x14ac:dyDescent="0.25">
      <c r="A2992" t="str">
        <f>"20190305135251574"</f>
        <v>20190305135251574</v>
      </c>
      <c r="B2992" t="str">
        <f>"1551765171562834"</f>
        <v>1551765171562834</v>
      </c>
      <c r="C2992" t="s">
        <v>40</v>
      </c>
      <c r="D2992">
        <v>5.0403039999999999</v>
      </c>
      <c r="E2992">
        <v>0.50157580000000002</v>
      </c>
      <c r="F2992" t="s">
        <v>66</v>
      </c>
      <c r="G2992">
        <v>-429.37130000000002</v>
      </c>
      <c r="H2992" s="1">
        <v>2.9220959999999998E-6</v>
      </c>
      <c r="I2992">
        <v>208.9264</v>
      </c>
      <c r="J2992">
        <v>-459.06119999999999</v>
      </c>
      <c r="K2992">
        <v>1.1094120000000001</v>
      </c>
      <c r="L2992">
        <v>216.59360000000001</v>
      </c>
      <c r="M2992">
        <v>0.98023369999999999</v>
      </c>
      <c r="N2992">
        <v>-1.329171E-2</v>
      </c>
      <c r="O2992">
        <v>-0.19739599999999999</v>
      </c>
      <c r="P2992">
        <v>0.98461940000000003</v>
      </c>
      <c r="Q2992">
        <v>-9.3341220000000003E-2</v>
      </c>
      <c r="R2992">
        <v>-0.147689299999999</v>
      </c>
      <c r="S2992">
        <v>2.922485</v>
      </c>
      <c r="T2992">
        <v>-0.10859290000000001</v>
      </c>
      <c r="U2992">
        <v>-0.75379940000000001</v>
      </c>
      <c r="V2992">
        <v>-4.955449E-2</v>
      </c>
      <c r="W2992">
        <v>-8.0140420000000004E-2</v>
      </c>
      <c r="X2992">
        <v>0.99555099999999996</v>
      </c>
      <c r="Y2992">
        <v>5.3687400000000003E-2</v>
      </c>
      <c r="Z2992">
        <v>3.17929E-3</v>
      </c>
      <c r="AA2992">
        <v>0.99855269999999996</v>
      </c>
      <c r="AB2992">
        <v>18</v>
      </c>
      <c r="AC2992">
        <v>29.689899999999898</v>
      </c>
      <c r="AD2992">
        <v>-1.109409077904</v>
      </c>
      <c r="AE2992">
        <v>-7.6672000000000002</v>
      </c>
      <c r="AF2992">
        <v>1.65296290099772</v>
      </c>
      <c r="AG2992">
        <v>-1.109409077904</v>
      </c>
      <c r="AH2992">
        <v>30.579193567673801</v>
      </c>
      <c r="AI2992">
        <v>92.0747456794426</v>
      </c>
      <c r="AJ2992">
        <v>86.905879320076593</v>
      </c>
      <c r="AK2992">
        <v>30.6439252398166</v>
      </c>
      <c r="AL2992">
        <v>94.596637290394995</v>
      </c>
      <c r="AM2992">
        <v>92.849599586302304</v>
      </c>
      <c r="AN2992">
        <v>0.99999996399896696</v>
      </c>
    </row>
    <row r="2993" spans="1:40" x14ac:dyDescent="0.25">
      <c r="A2993" t="str">
        <f>"20190305135251596"</f>
        <v>20190305135251596</v>
      </c>
      <c r="B2993" t="str">
        <f>"1551765171593087"</f>
        <v>1551765171593087</v>
      </c>
      <c r="C2993" t="s">
        <v>40</v>
      </c>
      <c r="D2993">
        <v>4.7608829999999998</v>
      </c>
      <c r="E2993">
        <v>0.39527780000000001</v>
      </c>
      <c r="F2993" t="s">
        <v>56</v>
      </c>
      <c r="G2993">
        <v>-443.34429999999998</v>
      </c>
      <c r="H2993" s="1">
        <v>2.6241020000000002E-7</v>
      </c>
      <c r="I2993">
        <v>214.16900000000001</v>
      </c>
      <c r="J2993">
        <v>-458.89150000000001</v>
      </c>
      <c r="K2993">
        <v>1.109548</v>
      </c>
      <c r="L2993">
        <v>216.55969999999999</v>
      </c>
      <c r="M2993">
        <v>0.98031120000000005</v>
      </c>
      <c r="N2993">
        <v>-1.327994E-2</v>
      </c>
      <c r="O2993">
        <v>-0.1970124</v>
      </c>
      <c r="P2993">
        <v>0.98482369999999997</v>
      </c>
      <c r="Q2993">
        <v>-9.7373260000000003E-2</v>
      </c>
      <c r="R2993">
        <v>-0.1436693</v>
      </c>
      <c r="S2993">
        <v>2.9585569999999999</v>
      </c>
      <c r="T2993">
        <v>-0.20883550000000001</v>
      </c>
      <c r="U2993">
        <v>-0.45639039999999997</v>
      </c>
      <c r="V2993">
        <v>-5.3111819999999997E-2</v>
      </c>
      <c r="W2993">
        <v>-8.4213590000000005E-2</v>
      </c>
      <c r="X2993">
        <v>0.9950312</v>
      </c>
      <c r="Y2993">
        <v>-4.4820829999999999E-2</v>
      </c>
      <c r="Z2993">
        <v>1.293688E-2</v>
      </c>
      <c r="AA2993">
        <v>0.99891129999999995</v>
      </c>
      <c r="AB2993">
        <v>18</v>
      </c>
      <c r="AC2993">
        <v>15.5472</v>
      </c>
      <c r="AD2993">
        <v>-1.1095477375898</v>
      </c>
      <c r="AE2993">
        <v>-2.3906999999999798</v>
      </c>
      <c r="AF2993">
        <v>-0.71586274881851797</v>
      </c>
      <c r="AG2993">
        <v>-1.1095477375898</v>
      </c>
      <c r="AH2993">
        <v>15.6356796255414</v>
      </c>
      <c r="AI2993">
        <v>94.054817153477501</v>
      </c>
      <c r="AJ2993">
        <v>92.621394940704306</v>
      </c>
      <c r="AK2993">
        <v>15.6913362404133</v>
      </c>
      <c r="AL2993">
        <v>94.830805036909595</v>
      </c>
      <c r="AM2993">
        <v>93.0553796042512</v>
      </c>
      <c r="AN2993">
        <v>0.99999994156891803</v>
      </c>
    </row>
    <row r="2994" spans="1:40" x14ac:dyDescent="0.25">
      <c r="A2994" t="str">
        <f>"20190305135251622"</f>
        <v>20190305135251622</v>
      </c>
      <c r="B2994" t="str">
        <f>"1551765171612607"</f>
        <v>1551765171612607</v>
      </c>
      <c r="C2994" t="s">
        <v>40</v>
      </c>
      <c r="D2994">
        <v>4.659516</v>
      </c>
      <c r="E2994">
        <v>0.39755509999999999</v>
      </c>
      <c r="F2994" t="s">
        <v>47</v>
      </c>
      <c r="G2994">
        <v>-350.75400000000002</v>
      </c>
      <c r="H2994">
        <v>-0.05</v>
      </c>
      <c r="I2994">
        <v>230.2501</v>
      </c>
      <c r="J2994">
        <v>-458.6909</v>
      </c>
      <c r="K2994">
        <v>1.109723</v>
      </c>
      <c r="L2994">
        <v>216.52019999999999</v>
      </c>
      <c r="M2994">
        <v>0.98047379999999995</v>
      </c>
      <c r="N2994">
        <v>-1.3269009999999999E-2</v>
      </c>
      <c r="O2994">
        <v>-0.19620209999999999</v>
      </c>
      <c r="P2994">
        <v>0.98548910000000001</v>
      </c>
      <c r="Q2994">
        <v>-0.1003532</v>
      </c>
      <c r="R2994">
        <v>-0.1368963</v>
      </c>
      <c r="S2994">
        <v>3.1001590000000001</v>
      </c>
      <c r="T2994">
        <v>-3.3242699999999903E-2</v>
      </c>
      <c r="U2994">
        <v>0.39248660000000002</v>
      </c>
      <c r="V2994">
        <v>-5.9019120000000001E-2</v>
      </c>
      <c r="W2994">
        <v>-8.7245550000000005E-2</v>
      </c>
      <c r="X2994">
        <v>0.99443700000000002</v>
      </c>
      <c r="Y2994">
        <v>-0.31778269999999997</v>
      </c>
      <c r="Z2994">
        <v>3.3076830000000001E-3</v>
      </c>
      <c r="AA2994">
        <v>0.94815780000000005</v>
      </c>
      <c r="AB2994">
        <v>18</v>
      </c>
      <c r="AC2994">
        <v>107.936899999999</v>
      </c>
      <c r="AD2994">
        <v>-1.1597230000000001</v>
      </c>
      <c r="AE2994">
        <v>13.729900000000001</v>
      </c>
      <c r="AF2994">
        <v>-34.638364871327099</v>
      </c>
      <c r="AG2994">
        <v>-1.1597230000000001</v>
      </c>
      <c r="AH2994">
        <v>103.132820954824</v>
      </c>
      <c r="AI2994">
        <v>90.6107372322044</v>
      </c>
      <c r="AJ2994">
        <v>108.56522819488499</v>
      </c>
      <c r="AK2994">
        <v>108.800459725572</v>
      </c>
      <c r="AL2994">
        <v>95.005165278542606</v>
      </c>
      <c r="AM2994">
        <v>93.396479154449693</v>
      </c>
      <c r="AN2994">
        <v>0.99999999474468804</v>
      </c>
    </row>
    <row r="2995" spans="1:40" x14ac:dyDescent="0.25">
      <c r="A2995" t="str">
        <f>"20190305135251645"</f>
        <v>20190305135251645</v>
      </c>
      <c r="B2995" t="str">
        <f>"1551765171642864"</f>
        <v>1551765171642864</v>
      </c>
      <c r="C2995" t="s">
        <v>40</v>
      </c>
      <c r="D2995">
        <v>4.6062130000000003</v>
      </c>
      <c r="E2995">
        <v>0.40088869999999999</v>
      </c>
      <c r="F2995" t="s">
        <v>47</v>
      </c>
      <c r="G2995">
        <v>-383.34059999999999</v>
      </c>
      <c r="H2995">
        <v>-0.05</v>
      </c>
      <c r="I2995">
        <v>226.1728</v>
      </c>
      <c r="J2995">
        <v>-458.5136</v>
      </c>
      <c r="K2995">
        <v>1.1098840000000001</v>
      </c>
      <c r="L2995">
        <v>216.48570000000001</v>
      </c>
      <c r="M2995">
        <v>0.98067709999999997</v>
      </c>
      <c r="N2995">
        <v>-1.3262360000000001E-2</v>
      </c>
      <c r="O2995">
        <v>-0.19518340000000001</v>
      </c>
      <c r="P2995">
        <v>0.98657609999999996</v>
      </c>
      <c r="Q2995">
        <v>-0.10198400000000001</v>
      </c>
      <c r="R2995">
        <v>-0.1275405</v>
      </c>
      <c r="S2995">
        <v>3.0944210000000001</v>
      </c>
      <c r="T2995">
        <v>-4.7626500000000002E-2</v>
      </c>
      <c r="U2995">
        <v>0.39640809999999999</v>
      </c>
      <c r="V2995">
        <v>-6.7336399999999894E-2</v>
      </c>
      <c r="W2995">
        <v>-8.8930839999999997E-2</v>
      </c>
      <c r="X2995">
        <v>0.99375910000000001</v>
      </c>
      <c r="Y2995">
        <v>-0.31817030000000002</v>
      </c>
      <c r="Z2995">
        <v>4.9610359999999899E-3</v>
      </c>
      <c r="AA2995">
        <v>0.94802059999999999</v>
      </c>
      <c r="AB2995">
        <v>18</v>
      </c>
      <c r="AC2995">
        <v>75.173000000000002</v>
      </c>
      <c r="AD2995">
        <v>-1.1598839999999999</v>
      </c>
      <c r="AE2995">
        <v>9.6870999999999796</v>
      </c>
      <c r="AF2995">
        <v>-24.168904785947898</v>
      </c>
      <c r="AG2995">
        <v>-1.1598839999999999</v>
      </c>
      <c r="AH2995">
        <v>71.819176825767897</v>
      </c>
      <c r="AI2995">
        <v>90.876933703045296</v>
      </c>
      <c r="AJ2995">
        <v>108.599341748532</v>
      </c>
      <c r="AK2995">
        <v>75.785720616594901</v>
      </c>
      <c r="AL2995">
        <v>95.102102006087094</v>
      </c>
      <c r="AM2995">
        <v>93.876395358690004</v>
      </c>
      <c r="AN2995">
        <v>1.0000000169504299</v>
      </c>
    </row>
    <row r="2996" spans="1:40" x14ac:dyDescent="0.25">
      <c r="A2996" t="str">
        <f>"20190305135251669"</f>
        <v>20190305135251669</v>
      </c>
      <c r="B2996" t="str">
        <f>"1551765171662384"</f>
        <v>1551765171662384</v>
      </c>
      <c r="C2996" t="s">
        <v>40</v>
      </c>
      <c r="D2996">
        <v>4.4936610000000003</v>
      </c>
      <c r="E2996">
        <v>0.40234189999999997</v>
      </c>
      <c r="F2996" t="s">
        <v>56</v>
      </c>
      <c r="G2996">
        <v>-398.71519999999998</v>
      </c>
      <c r="H2996">
        <v>8.000111E-2</v>
      </c>
      <c r="I2996">
        <v>224.23140000000001</v>
      </c>
      <c r="J2996">
        <v>-458.3331</v>
      </c>
      <c r="K2996">
        <v>1.1100429999999999</v>
      </c>
      <c r="L2996">
        <v>216.4513</v>
      </c>
      <c r="M2996">
        <v>0.98094159999999997</v>
      </c>
      <c r="N2996">
        <v>-1.325727E-2</v>
      </c>
      <c r="O2996">
        <v>-0.19385060000000001</v>
      </c>
      <c r="P2996">
        <v>0.98772349999999998</v>
      </c>
      <c r="Q2996">
        <v>-0.10337689999999999</v>
      </c>
      <c r="R2996">
        <v>-0.11711390000000001</v>
      </c>
      <c r="S2996">
        <v>3.0870060000000001</v>
      </c>
      <c r="T2996">
        <v>-5.3166150000000002E-2</v>
      </c>
      <c r="U2996">
        <v>0.39985660000000001</v>
      </c>
      <c r="V2996">
        <v>-7.6402139999999993E-2</v>
      </c>
      <c r="W2996">
        <v>-9.038438E-2</v>
      </c>
      <c r="X2996">
        <v>0.99297199999999997</v>
      </c>
      <c r="Y2996">
        <v>-0.31819649999999999</v>
      </c>
      <c r="Z2996">
        <v>5.6022919999999896E-3</v>
      </c>
      <c r="AA2996">
        <v>0.94800819999999997</v>
      </c>
      <c r="AB2996">
        <v>18</v>
      </c>
      <c r="AC2996">
        <v>59.617899999999999</v>
      </c>
      <c r="AD2996">
        <v>-1.0300418899999999</v>
      </c>
      <c r="AE2996">
        <v>7.7801</v>
      </c>
      <c r="AF2996">
        <v>-19.1848427399907</v>
      </c>
      <c r="AG2996">
        <v>-1.0300418899999999</v>
      </c>
      <c r="AH2996">
        <v>56.961783036837097</v>
      </c>
      <c r="AI2996">
        <v>90.981790634863401</v>
      </c>
      <c r="AJ2996">
        <v>108.61362853536301</v>
      </c>
      <c r="AK2996">
        <v>60.114589776434698</v>
      </c>
      <c r="AL2996">
        <v>95.185720527455402</v>
      </c>
      <c r="AM2996">
        <v>94.399834146929294</v>
      </c>
      <c r="AN2996">
        <v>1.0000000079642799</v>
      </c>
    </row>
    <row r="2997" spans="1:40" x14ac:dyDescent="0.25">
      <c r="A2997" t="str">
        <f>"20190305135251689"</f>
        <v>20190305135251689</v>
      </c>
      <c r="B2997" t="str">
        <f>"1551765171682878"</f>
        <v>1551765171682878</v>
      </c>
      <c r="C2997" t="s">
        <v>40</v>
      </c>
      <c r="D2997">
        <v>4.4445819999999996</v>
      </c>
      <c r="E2997">
        <v>0.40394790000000003</v>
      </c>
      <c r="F2997" t="s">
        <v>47</v>
      </c>
      <c r="G2997">
        <v>-388.38839999999999</v>
      </c>
      <c r="H2997">
        <v>-0.05</v>
      </c>
      <c r="I2997">
        <v>226.00960000000001</v>
      </c>
      <c r="J2997">
        <v>-458.17200000000003</v>
      </c>
      <c r="K2997">
        <v>1.110174</v>
      </c>
      <c r="L2997">
        <v>216.4211</v>
      </c>
      <c r="M2997">
        <v>0.98121559999999997</v>
      </c>
      <c r="N2997">
        <v>-1.3253610000000001E-2</v>
      </c>
      <c r="O2997">
        <v>-0.1924592</v>
      </c>
      <c r="P2997">
        <v>0.98898719999999996</v>
      </c>
      <c r="Q2997">
        <v>-0.1037226</v>
      </c>
      <c r="R2997">
        <v>-0.105576</v>
      </c>
      <c r="S2997">
        <v>3.081909</v>
      </c>
      <c r="T2997">
        <v>-5.111396E-2</v>
      </c>
      <c r="U2997">
        <v>0.42115780000000003</v>
      </c>
      <c r="V2997">
        <v>-8.6534459999999994E-2</v>
      </c>
      <c r="W2997">
        <v>-9.0792020000000001E-2</v>
      </c>
      <c r="X2997">
        <v>0.99210310000000002</v>
      </c>
      <c r="Y2997">
        <v>-0.32348880000000002</v>
      </c>
      <c r="Z2997">
        <v>5.4536879999999999E-3</v>
      </c>
      <c r="AA2997">
        <v>0.94621630000000001</v>
      </c>
      <c r="AB2997">
        <v>18</v>
      </c>
      <c r="AC2997">
        <v>69.783599999999893</v>
      </c>
      <c r="AD2997">
        <v>-1.160174</v>
      </c>
      <c r="AE2997">
        <v>9.5884999999999998</v>
      </c>
      <c r="AF2997">
        <v>-22.834690295227901</v>
      </c>
      <c r="AG2997">
        <v>-1.160174</v>
      </c>
      <c r="AH2997">
        <v>66.615134676311399</v>
      </c>
      <c r="AI2997">
        <v>90.943864063770206</v>
      </c>
      <c r="AJ2997">
        <v>108.920962074766</v>
      </c>
      <c r="AK2997">
        <v>70.429718532252906</v>
      </c>
      <c r="AL2997">
        <v>95.209173139163894</v>
      </c>
      <c r="AM2997">
        <v>94.984908280687605</v>
      </c>
      <c r="AN2997">
        <v>0.99999998234638998</v>
      </c>
    </row>
    <row r="2998" spans="1:40" x14ac:dyDescent="0.25">
      <c r="A2998" t="str">
        <f>"20190305135251710"</f>
        <v>20190305135251710</v>
      </c>
      <c r="B2998" t="str">
        <f>"1551765171702399"</f>
        <v>1551765171702399</v>
      </c>
      <c r="C2998" t="s">
        <v>40</v>
      </c>
      <c r="D2998">
        <v>4.5114970000000003</v>
      </c>
      <c r="E2998">
        <v>0.40538809999999997</v>
      </c>
      <c r="F2998" t="s">
        <v>47</v>
      </c>
      <c r="G2998">
        <v>-383.1422</v>
      </c>
      <c r="H2998">
        <v>-0.05</v>
      </c>
      <c r="I2998">
        <v>227.2585</v>
      </c>
      <c r="J2998">
        <v>-458.01440000000002</v>
      </c>
      <c r="K2998">
        <v>1.110274</v>
      </c>
      <c r="L2998">
        <v>216.392</v>
      </c>
      <c r="M2998">
        <v>0.98151069999999996</v>
      </c>
      <c r="N2998">
        <v>-1.3250299999999901E-2</v>
      </c>
      <c r="O2998">
        <v>-0.19094839999999999</v>
      </c>
      <c r="P2998">
        <v>0.99022750000000004</v>
      </c>
      <c r="Q2998">
        <v>-0.1028091</v>
      </c>
      <c r="R2998">
        <v>-9.4235749999999993E-2</v>
      </c>
      <c r="S2998">
        <v>3.075806</v>
      </c>
      <c r="T2998">
        <v>-4.7560690000000003E-2</v>
      </c>
      <c r="U2998">
        <v>0.44427489999999997</v>
      </c>
      <c r="V2998">
        <v>-9.6360899999999999E-2</v>
      </c>
      <c r="W2998">
        <v>-8.9936440000000006E-2</v>
      </c>
      <c r="X2998">
        <v>0.99127500000000002</v>
      </c>
      <c r="Y2998">
        <v>-0.32925890000000002</v>
      </c>
      <c r="Z2998">
        <v>5.1388500000000004E-3</v>
      </c>
      <c r="AA2998">
        <v>0.94422569999999995</v>
      </c>
      <c r="AB2998">
        <v>18</v>
      </c>
      <c r="AC2998">
        <v>74.872200000000007</v>
      </c>
      <c r="AD2998">
        <v>-1.160274</v>
      </c>
      <c r="AE2998">
        <v>10.8665</v>
      </c>
      <c r="AF2998">
        <v>-24.9586328457893</v>
      </c>
      <c r="AG2998">
        <v>-1.160274</v>
      </c>
      <c r="AH2998">
        <v>71.402396875963305</v>
      </c>
      <c r="AI2998">
        <v>90.878828667093501</v>
      </c>
      <c r="AJ2998">
        <v>109.267020025139</v>
      </c>
      <c r="AK2998">
        <v>75.647748604426795</v>
      </c>
      <c r="AL2998">
        <v>95.159950252950196</v>
      </c>
      <c r="AM2998">
        <v>95.552223326739096</v>
      </c>
      <c r="AN2998">
        <v>1.0000000559568401</v>
      </c>
    </row>
    <row r="2999" spans="1:40" x14ac:dyDescent="0.25">
      <c r="A2999" t="str">
        <f>"20190305135251732"</f>
        <v>20190305135251732</v>
      </c>
      <c r="B2999" t="str">
        <f>"1551765171722895"</f>
        <v>1551765171722895</v>
      </c>
      <c r="C2999" t="s">
        <v>40</v>
      </c>
      <c r="D2999">
        <v>4.4416070000000003</v>
      </c>
      <c r="E2999">
        <v>0.40688190000000002</v>
      </c>
      <c r="F2999" t="s">
        <v>47</v>
      </c>
      <c r="G2999">
        <v>-368.5086</v>
      </c>
      <c r="H2999">
        <v>-0.05</v>
      </c>
      <c r="I2999">
        <v>230.03</v>
      </c>
      <c r="J2999">
        <v>-457.84050000000002</v>
      </c>
      <c r="K2999">
        <v>1.1103459999999901</v>
      </c>
      <c r="L2999">
        <v>216.3604</v>
      </c>
      <c r="M2999">
        <v>0.98186180000000001</v>
      </c>
      <c r="N2999">
        <v>-1.324237E-2</v>
      </c>
      <c r="O2999">
        <v>-0.18913569999999999</v>
      </c>
      <c r="P2999">
        <v>0.99139299999999997</v>
      </c>
      <c r="Q2999">
        <v>-0.10127890000000001</v>
      </c>
      <c r="R2999">
        <v>-8.2961800000000002E-2</v>
      </c>
      <c r="S2999">
        <v>3.0699770000000002</v>
      </c>
      <c r="T2999">
        <v>-3.979647E-2</v>
      </c>
      <c r="U2999">
        <v>0.46777340000000001</v>
      </c>
      <c r="V2999">
        <v>-0.1058149</v>
      </c>
      <c r="W2999">
        <v>-8.8465299999999997E-2</v>
      </c>
      <c r="X2999">
        <v>0.99044290000000001</v>
      </c>
      <c r="Y2999">
        <v>-0.3348508</v>
      </c>
      <c r="Z2999">
        <v>4.3305100000000001E-3</v>
      </c>
      <c r="AA2999">
        <v>0.94226120000000002</v>
      </c>
      <c r="AB2999">
        <v>18</v>
      </c>
      <c r="AC2999">
        <v>89.331900000000005</v>
      </c>
      <c r="AD2999">
        <v>-1.1603460000000001</v>
      </c>
      <c r="AE2999">
        <v>13.669600000000001</v>
      </c>
      <c r="AF2999">
        <v>-30.315166338412201</v>
      </c>
      <c r="AG2999">
        <v>-1.1603460000000001</v>
      </c>
      <c r="AH2999">
        <v>85.119591585688497</v>
      </c>
      <c r="AI2999">
        <v>90.735741666485694</v>
      </c>
      <c r="AJ2999">
        <v>109.60325154713399</v>
      </c>
      <c r="AK2999">
        <v>90.364266082781498</v>
      </c>
      <c r="AL2999">
        <v>95.075322964287395</v>
      </c>
      <c r="AM2999">
        <v>96.098117623628298</v>
      </c>
      <c r="AN2999">
        <v>1.00000002026325</v>
      </c>
    </row>
    <row r="3000" spans="1:40" x14ac:dyDescent="0.25">
      <c r="A3000" t="str">
        <f>"20190305135251756"</f>
        <v>20190305135251756</v>
      </c>
      <c r="B3000" t="str">
        <f>"1551765171753151"</f>
        <v>1551765171753151</v>
      </c>
      <c r="C3000" t="s">
        <v>40</v>
      </c>
      <c r="D3000">
        <v>4.4386190000000001</v>
      </c>
      <c r="E3000">
        <v>0.40927740000000001</v>
      </c>
      <c r="F3000" t="s">
        <v>63</v>
      </c>
      <c r="G3000">
        <v>-355.4425</v>
      </c>
      <c r="H3000">
        <v>6.7581180000000005E-2</v>
      </c>
      <c r="I3000">
        <v>232.75</v>
      </c>
      <c r="J3000">
        <v>-457.6585</v>
      </c>
      <c r="K3000">
        <v>1.1103809999999901</v>
      </c>
      <c r="L3000">
        <v>216.3278</v>
      </c>
      <c r="M3000">
        <v>0.98225300000000004</v>
      </c>
      <c r="N3000">
        <v>-1.320406E-2</v>
      </c>
      <c r="O3000">
        <v>-0.18709619999999999</v>
      </c>
      <c r="P3000">
        <v>0.99233939999999998</v>
      </c>
      <c r="Q3000">
        <v>-9.9495440000000004E-2</v>
      </c>
      <c r="R3000">
        <v>-7.3235239999999993E-2</v>
      </c>
      <c r="S3000">
        <v>3.063904</v>
      </c>
      <c r="T3000">
        <v>-3.1198859999999998E-2</v>
      </c>
      <c r="U3000">
        <v>0.49040220000000001</v>
      </c>
      <c r="V3000">
        <v>-0.1134882</v>
      </c>
      <c r="W3000">
        <v>-8.6761050000000006E-2</v>
      </c>
      <c r="X3000">
        <v>0.98974390000000001</v>
      </c>
      <c r="Y3000">
        <v>-0.33997539999999998</v>
      </c>
      <c r="Z3000">
        <v>3.4139230000000001E-3</v>
      </c>
      <c r="AA3000">
        <v>0.94042809999999999</v>
      </c>
      <c r="AB3000">
        <v>18</v>
      </c>
      <c r="AC3000">
        <v>102.21599999999999</v>
      </c>
      <c r="AD3000">
        <v>-1.0427998199999999</v>
      </c>
      <c r="AE3000">
        <v>16.4222</v>
      </c>
      <c r="AF3000">
        <v>-35.254472035299401</v>
      </c>
      <c r="AG3000">
        <v>-1.0427998199999999</v>
      </c>
      <c r="AH3000">
        <v>97.328037986860593</v>
      </c>
      <c r="AI3000">
        <v>90.577165204367006</v>
      </c>
      <c r="AJ3000">
        <v>109.911561234521</v>
      </c>
      <c r="AK3000">
        <v>103.52155431756201</v>
      </c>
      <c r="AL3000">
        <v>94.977299684392307</v>
      </c>
      <c r="AM3000">
        <v>96.541207310215</v>
      </c>
      <c r="AN3000">
        <v>1.00000001946177</v>
      </c>
    </row>
    <row r="3001" spans="1:40" x14ac:dyDescent="0.25">
      <c r="A3001" t="str">
        <f>"20190305135251775"</f>
        <v>20190305135251775</v>
      </c>
      <c r="B3001" t="str">
        <f>"1551765171772671"</f>
        <v>1551765171772671</v>
      </c>
      <c r="C3001" t="s">
        <v>40</v>
      </c>
      <c r="D3001">
        <v>4.6437339999999896</v>
      </c>
      <c r="E3001">
        <v>0.41093809999999897</v>
      </c>
      <c r="F3001" t="s">
        <v>63</v>
      </c>
      <c r="G3001">
        <v>-357.4486</v>
      </c>
      <c r="H3001">
        <v>0.55209919999999901</v>
      </c>
      <c r="I3001">
        <v>232.75</v>
      </c>
      <c r="J3001">
        <v>-457.50700000000001</v>
      </c>
      <c r="K3001">
        <v>1.1103860000000001</v>
      </c>
      <c r="L3001">
        <v>216.30109999999999</v>
      </c>
      <c r="M3001">
        <v>0.98259430000000003</v>
      </c>
      <c r="N3001">
        <v>-1.312118E-2</v>
      </c>
      <c r="O3001">
        <v>-0.1853011</v>
      </c>
      <c r="P3001">
        <v>0.99295940000000005</v>
      </c>
      <c r="Q3001">
        <v>-9.9159999999999998E-2</v>
      </c>
      <c r="R3001">
        <v>-6.4800940000000001E-2</v>
      </c>
      <c r="S3001">
        <v>3.058411</v>
      </c>
      <c r="T3001">
        <v>-1.7036559999999999E-2</v>
      </c>
      <c r="U3001">
        <v>0.50120540000000002</v>
      </c>
      <c r="V3001">
        <v>-0.1200801</v>
      </c>
      <c r="W3001">
        <v>-8.6544159999999995E-2</v>
      </c>
      <c r="X3001">
        <v>0.9889848</v>
      </c>
      <c r="Y3001">
        <v>-0.34177469999999999</v>
      </c>
      <c r="Z3001">
        <v>1.8108410000000001E-3</v>
      </c>
      <c r="AA3001">
        <v>0.93978019999999995</v>
      </c>
      <c r="AB3001">
        <v>18</v>
      </c>
      <c r="AC3001">
        <v>100.058399999999</v>
      </c>
      <c r="AD3001">
        <v>-0.55828679999999997</v>
      </c>
      <c r="AE3001">
        <v>16.448899999999998</v>
      </c>
      <c r="AF3001">
        <v>-34.705458860115698</v>
      </c>
      <c r="AG3001">
        <v>-0.55828679999999997</v>
      </c>
      <c r="AH3001">
        <v>95.274117718925297</v>
      </c>
      <c r="AI3001">
        <v>90.315460287269204</v>
      </c>
      <c r="AJ3001">
        <v>110.015141358696</v>
      </c>
      <c r="AK3001">
        <v>101.39989184393499</v>
      </c>
      <c r="AL3001">
        <v>94.964825839718401</v>
      </c>
      <c r="AM3001">
        <v>96.922825957442896</v>
      </c>
      <c r="AN3001">
        <v>1.0000000283385699</v>
      </c>
    </row>
    <row r="3002" spans="1:40" x14ac:dyDescent="0.25">
      <c r="A3002" t="str">
        <f>"20190305135251798"</f>
        <v>20190305135251798</v>
      </c>
      <c r="B3002" t="str">
        <f>"1551765171792191"</f>
        <v>1551765171792191</v>
      </c>
      <c r="C3002" t="s">
        <v>40</v>
      </c>
      <c r="D3002">
        <v>4.3965239999999897</v>
      </c>
      <c r="E3002">
        <v>0.41240359999999998</v>
      </c>
      <c r="F3002" t="s">
        <v>63</v>
      </c>
      <c r="G3002">
        <v>-359.81270000000001</v>
      </c>
      <c r="H3002">
        <v>0.64424510000000001</v>
      </c>
      <c r="I3002">
        <v>232.75</v>
      </c>
      <c r="J3002">
        <v>-457.33530000000002</v>
      </c>
      <c r="K3002">
        <v>1.1103689999999999</v>
      </c>
      <c r="L3002">
        <v>216.2713</v>
      </c>
      <c r="M3002">
        <v>0.98299499999999995</v>
      </c>
      <c r="N3002">
        <v>-1.295432E-2</v>
      </c>
      <c r="O3002">
        <v>-0.1831748</v>
      </c>
      <c r="P3002">
        <v>0.99342600000000003</v>
      </c>
      <c r="Q3002">
        <v>-9.8852179999999998E-2</v>
      </c>
      <c r="R3002">
        <v>-5.7734349999999997E-2</v>
      </c>
      <c r="S3002">
        <v>3.053375</v>
      </c>
      <c r="T3002">
        <v>-1.456678E-2</v>
      </c>
      <c r="U3002">
        <v>0.51409910000000003</v>
      </c>
      <c r="V3002">
        <v>-0.1249687</v>
      </c>
      <c r="W3002">
        <v>-8.6432460000000003E-2</v>
      </c>
      <c r="X3002">
        <v>0.98838870000000001</v>
      </c>
      <c r="Y3002">
        <v>-0.34385169999999998</v>
      </c>
      <c r="Z3002">
        <v>1.5673480000000001E-3</v>
      </c>
      <c r="AA3002">
        <v>0.93902269999999999</v>
      </c>
      <c r="AB3002">
        <v>18</v>
      </c>
      <c r="AC3002">
        <v>97.522599999999997</v>
      </c>
      <c r="AD3002">
        <v>-0.46612389999999998</v>
      </c>
      <c r="AE3002">
        <v>16.4787</v>
      </c>
      <c r="AF3002">
        <v>-34.064264419792799</v>
      </c>
      <c r="AG3002">
        <v>-0.46612389999999998</v>
      </c>
      <c r="AH3002">
        <v>92.851475085133004</v>
      </c>
      <c r="AI3002">
        <v>90.270030022766306</v>
      </c>
      <c r="AJ3002">
        <v>110.146487245548</v>
      </c>
      <c r="AK3002">
        <v>98.903932214228902</v>
      </c>
      <c r="AL3002">
        <v>94.958402049079595</v>
      </c>
      <c r="AM3002">
        <v>97.206057788372902</v>
      </c>
      <c r="AN3002">
        <v>0.99999998420451497</v>
      </c>
    </row>
    <row r="3003" spans="1:40" x14ac:dyDescent="0.25">
      <c r="A3003" t="str">
        <f>"20190305135251821"</f>
        <v>20190305135251821</v>
      </c>
      <c r="B3003" t="str">
        <f>"1551765171812687"</f>
        <v>1551765171812687</v>
      </c>
      <c r="C3003" t="s">
        <v>40</v>
      </c>
      <c r="D3003">
        <v>4.4159169999999897</v>
      </c>
      <c r="E3003">
        <v>0.4321567</v>
      </c>
      <c r="F3003" t="s">
        <v>63</v>
      </c>
      <c r="G3003">
        <v>-361.53160000000003</v>
      </c>
      <c r="H3003">
        <v>0.73764419999999897</v>
      </c>
      <c r="I3003">
        <v>232.75</v>
      </c>
      <c r="J3003">
        <v>-457.1515</v>
      </c>
      <c r="K3003">
        <v>1.110352</v>
      </c>
      <c r="L3003">
        <v>216.24</v>
      </c>
      <c r="M3003">
        <v>0.98343740000000002</v>
      </c>
      <c r="N3003">
        <v>-1.270613E-2</v>
      </c>
      <c r="O3003">
        <v>-0.1808032</v>
      </c>
      <c r="P3003">
        <v>0.99371640000000006</v>
      </c>
      <c r="Q3003">
        <v>-9.9573819999999993E-2</v>
      </c>
      <c r="R3003">
        <v>-5.111955E-2</v>
      </c>
      <c r="S3003">
        <v>3.049194</v>
      </c>
      <c r="T3003">
        <v>-1.186073E-2</v>
      </c>
      <c r="U3003">
        <v>0.52447509999999997</v>
      </c>
      <c r="V3003">
        <v>-0.12913530000000001</v>
      </c>
      <c r="W3003">
        <v>-8.7430019999999997E-2</v>
      </c>
      <c r="X3003">
        <v>0.98776520000000001</v>
      </c>
      <c r="Y3003">
        <v>-0.3449044</v>
      </c>
      <c r="Z3003">
        <v>1.289889E-3</v>
      </c>
      <c r="AA3003">
        <v>0.93863700000000005</v>
      </c>
      <c r="AB3003">
        <v>18</v>
      </c>
      <c r="AC3003">
        <v>95.619899999999902</v>
      </c>
      <c r="AD3003">
        <v>-0.37270779999999998</v>
      </c>
      <c r="AE3003">
        <v>16.509999999999899</v>
      </c>
      <c r="AF3003">
        <v>-33.527141226953198</v>
      </c>
      <c r="AG3003">
        <v>-0.37270779999999998</v>
      </c>
      <c r="AH3003">
        <v>91.057115927847903</v>
      </c>
      <c r="AI3003">
        <v>90.220073643022303</v>
      </c>
      <c r="AJ3003">
        <v>110.21365767969699</v>
      </c>
      <c r="AK3003">
        <v>97.034047998904896</v>
      </c>
      <c r="AL3003">
        <v>95.015775086211704</v>
      </c>
      <c r="AM3003">
        <v>97.448310296005999</v>
      </c>
      <c r="AN3003">
        <v>1.00000001221716</v>
      </c>
    </row>
    <row r="3004" spans="1:40" x14ac:dyDescent="0.25">
      <c r="A3004" t="str">
        <f>"20190305135251846"</f>
        <v>20190305135251846</v>
      </c>
      <c r="B3004" t="str">
        <f>"1551765171842943"</f>
        <v>1551765171842943</v>
      </c>
      <c r="C3004" t="s">
        <v>40</v>
      </c>
      <c r="D3004">
        <v>4.4060800000000002</v>
      </c>
      <c r="E3004">
        <v>0.43302659999999998</v>
      </c>
      <c r="F3004" t="s">
        <v>60</v>
      </c>
      <c r="G3004">
        <v>-346.19260000000003</v>
      </c>
      <c r="H3004">
        <v>0.27098610000000001</v>
      </c>
      <c r="I3004">
        <v>230.41120000000001</v>
      </c>
      <c r="J3004">
        <v>-456.96350000000001</v>
      </c>
      <c r="K3004">
        <v>1.110325</v>
      </c>
      <c r="L3004">
        <v>216.20849999999999</v>
      </c>
      <c r="M3004">
        <v>0.9839019</v>
      </c>
      <c r="N3004">
        <v>-1.240848E-2</v>
      </c>
      <c r="O3004">
        <v>-0.17827760000000001</v>
      </c>
      <c r="P3004">
        <v>0.99391260000000003</v>
      </c>
      <c r="Q3004">
        <v>-0.10028289999999999</v>
      </c>
      <c r="R3004">
        <v>-4.5617289999999998E-2</v>
      </c>
      <c r="S3004">
        <v>3.0366819999999999</v>
      </c>
      <c r="T3004">
        <v>-2.297008E-2</v>
      </c>
      <c r="U3004">
        <v>0.38783260000000003</v>
      </c>
      <c r="V3004">
        <v>-0.13204009999999999</v>
      </c>
      <c r="W3004">
        <v>-8.8458200000000001E-2</v>
      </c>
      <c r="X3004">
        <v>0.98728950000000004</v>
      </c>
      <c r="Y3004">
        <v>-0.30148750000000002</v>
      </c>
      <c r="Z3004">
        <v>2.14935E-3</v>
      </c>
      <c r="AA3004">
        <v>0.95346770000000003</v>
      </c>
      <c r="AB3004">
        <v>18</v>
      </c>
      <c r="AC3004">
        <v>110.770899999999</v>
      </c>
      <c r="AD3004">
        <v>-0.8393389</v>
      </c>
      <c r="AE3004">
        <v>14.2027</v>
      </c>
      <c r="AF3004">
        <v>-33.722728252009503</v>
      </c>
      <c r="AG3004">
        <v>-0.8393389</v>
      </c>
      <c r="AH3004">
        <v>106.457868253763</v>
      </c>
      <c r="AI3004">
        <v>90.430635541589496</v>
      </c>
      <c r="AJ3004">
        <v>107.576673498719</v>
      </c>
      <c r="AK3004">
        <v>111.674547698585</v>
      </c>
      <c r="AL3004">
        <v>95.074914671434996</v>
      </c>
      <c r="AM3004">
        <v>97.617535569030807</v>
      </c>
      <c r="AN3004">
        <v>0.99999999898275005</v>
      </c>
    </row>
    <row r="3005" spans="1:40" x14ac:dyDescent="0.25">
      <c r="A3005" t="str">
        <f>"20190305135251869"</f>
        <v>20190305135251869</v>
      </c>
      <c r="B3005" t="str">
        <f>"1551765171862463"</f>
        <v>1551765171862463</v>
      </c>
      <c r="C3005" t="s">
        <v>40</v>
      </c>
      <c r="D3005">
        <v>4.4027960000000004</v>
      </c>
      <c r="E3005">
        <v>0.43414760000000002</v>
      </c>
      <c r="F3005" t="s">
        <v>60</v>
      </c>
      <c r="G3005">
        <v>-346.19260000000003</v>
      </c>
      <c r="H3005">
        <v>0.4168038</v>
      </c>
      <c r="I3005">
        <v>230.73840000000001</v>
      </c>
      <c r="J3005">
        <v>-456.78960000000001</v>
      </c>
      <c r="K3005">
        <v>1.1102970000000001</v>
      </c>
      <c r="L3005">
        <v>216.18</v>
      </c>
      <c r="M3005">
        <v>0.98434259999999996</v>
      </c>
      <c r="N3005">
        <v>-1.2112619999999999E-2</v>
      </c>
      <c r="O3005">
        <v>-0.1758487</v>
      </c>
      <c r="P3005">
        <v>0.99404020000000004</v>
      </c>
      <c r="Q3005">
        <v>-0.1011262</v>
      </c>
      <c r="R3005">
        <v>-4.071632E-2</v>
      </c>
      <c r="S3005">
        <v>3.0347599999999999</v>
      </c>
      <c r="T3005">
        <v>-1.8998859999999999E-2</v>
      </c>
      <c r="U3005">
        <v>0.39807130000000002</v>
      </c>
      <c r="V3005">
        <v>-0.13444229999999999</v>
      </c>
      <c r="W3005">
        <v>-8.9615009999999995E-2</v>
      </c>
      <c r="X3005">
        <v>0.98686090000000004</v>
      </c>
      <c r="Y3005">
        <v>-0.30237760000000002</v>
      </c>
      <c r="Z3005">
        <v>1.7534989999999999E-3</v>
      </c>
      <c r="AA3005">
        <v>0.95318659999999999</v>
      </c>
      <c r="AB3005">
        <v>18</v>
      </c>
      <c r="AC3005">
        <v>110.596999999999</v>
      </c>
      <c r="AD3005">
        <v>-0.69349319999999903</v>
      </c>
      <c r="AE3005">
        <v>14.558400000000001</v>
      </c>
      <c r="AF3005">
        <v>-33.779967420808703</v>
      </c>
      <c r="AG3005">
        <v>-0.69349319999999903</v>
      </c>
      <c r="AH3005">
        <v>106.308962043337</v>
      </c>
      <c r="AI3005">
        <v>90.356206836094699</v>
      </c>
      <c r="AJ3005">
        <v>107.627798872068</v>
      </c>
      <c r="AK3005">
        <v>111.54892443453301</v>
      </c>
      <c r="AL3005">
        <v>95.141459246051198</v>
      </c>
      <c r="AM3005">
        <v>97.757776522130399</v>
      </c>
      <c r="AN3005">
        <v>1.0000000089976999</v>
      </c>
    </row>
    <row r="3006" spans="1:40" x14ac:dyDescent="0.25">
      <c r="A3006" t="str">
        <f>"20190305135251887"</f>
        <v>20190305135251887</v>
      </c>
      <c r="B3006" t="str">
        <f>"1551765171882959"</f>
        <v>1551765171882959</v>
      </c>
      <c r="C3006" t="s">
        <v>40</v>
      </c>
      <c r="D3006">
        <v>4.4274509999999996</v>
      </c>
      <c r="E3006">
        <v>0.4357589</v>
      </c>
      <c r="F3006" t="s">
        <v>60</v>
      </c>
      <c r="G3006">
        <v>-346.19260000000003</v>
      </c>
      <c r="H3006">
        <v>0.2831283</v>
      </c>
      <c r="I3006">
        <v>230.92509999999999</v>
      </c>
      <c r="J3006">
        <v>-456.63729999999998</v>
      </c>
      <c r="K3006">
        <v>1.1102700000000001</v>
      </c>
      <c r="L3006">
        <v>216.15539999999999</v>
      </c>
      <c r="M3006">
        <v>0.98473169999999999</v>
      </c>
      <c r="N3006">
        <v>-1.185436E-2</v>
      </c>
      <c r="O3006">
        <v>-0.173674</v>
      </c>
      <c r="P3006">
        <v>0.99413850000000004</v>
      </c>
      <c r="Q3006">
        <v>-0.10172440000000001</v>
      </c>
      <c r="R3006">
        <v>-3.6615719999999997E-2</v>
      </c>
      <c r="S3006">
        <v>3.0322269999999998</v>
      </c>
      <c r="T3006">
        <v>-2.2677180000000002E-2</v>
      </c>
      <c r="U3006">
        <v>0.40426640000000003</v>
      </c>
      <c r="V3006">
        <v>-0.13631309999999999</v>
      </c>
      <c r="W3006">
        <v>-9.0483339999999995E-2</v>
      </c>
      <c r="X3006">
        <v>0.98652490000000004</v>
      </c>
      <c r="Y3006">
        <v>-0.30228519999999998</v>
      </c>
      <c r="Z3006">
        <v>2.1652569999999999E-3</v>
      </c>
      <c r="AA3006">
        <v>0.95321509999999998</v>
      </c>
      <c r="AB3006">
        <v>18</v>
      </c>
      <c r="AC3006">
        <v>110.444699999999</v>
      </c>
      <c r="AD3006">
        <v>-0.82714169999999998</v>
      </c>
      <c r="AE3006">
        <v>14.7697</v>
      </c>
      <c r="AF3006">
        <v>-33.726081103308303</v>
      </c>
      <c r="AG3006">
        <v>-0.82714169999999998</v>
      </c>
      <c r="AH3006">
        <v>106.19491059320301</v>
      </c>
      <c r="AI3006">
        <v>90.425328588222996</v>
      </c>
      <c r="AJ3006">
        <v>107.619150874428</v>
      </c>
      <c r="AK3006">
        <v>111.424825536669</v>
      </c>
      <c r="AL3006">
        <v>95.191414214789901</v>
      </c>
      <c r="AM3006">
        <v>97.8670313239612</v>
      </c>
      <c r="AN3006">
        <v>0.99999993718458502</v>
      </c>
    </row>
    <row r="3007" spans="1:40" x14ac:dyDescent="0.25">
      <c r="A3007" t="str">
        <f>"20190305135251911"</f>
        <v>20190305135251911</v>
      </c>
      <c r="B3007" t="str">
        <f>"1551765171902479"</f>
        <v>1551765171902479</v>
      </c>
      <c r="C3007" t="s">
        <v>40</v>
      </c>
      <c r="D3007">
        <v>4.38896</v>
      </c>
      <c r="E3007">
        <v>0.43654229999999999</v>
      </c>
      <c r="F3007" t="s">
        <v>60</v>
      </c>
      <c r="G3007">
        <v>-346.19260000000003</v>
      </c>
      <c r="H3007">
        <v>0.25707200000000002</v>
      </c>
      <c r="I3007">
        <v>230.88890000000001</v>
      </c>
      <c r="J3007">
        <v>-456.45429999999999</v>
      </c>
      <c r="K3007">
        <v>1.1102379999999901</v>
      </c>
      <c r="L3007">
        <v>216.12639999999999</v>
      </c>
      <c r="M3007">
        <v>0.98520229999999998</v>
      </c>
      <c r="N3007">
        <v>-1.1545049999999999E-2</v>
      </c>
      <c r="O3007">
        <v>-0.17100689999999999</v>
      </c>
      <c r="P3007">
        <v>0.99425799999999998</v>
      </c>
      <c r="Q3007">
        <v>-0.1020248</v>
      </c>
      <c r="R3007">
        <v>-3.228499E-2</v>
      </c>
      <c r="S3007">
        <v>3.0302120000000001</v>
      </c>
      <c r="T3007">
        <v>-2.3407339999999999E-2</v>
      </c>
      <c r="U3007">
        <v>0.40423579999999998</v>
      </c>
      <c r="V3007">
        <v>-0.13792660000000001</v>
      </c>
      <c r="W3007">
        <v>-9.110066E-2</v>
      </c>
      <c r="X3007">
        <v>0.9862438</v>
      </c>
      <c r="Y3007">
        <v>-0.29977579999999998</v>
      </c>
      <c r="Z3007">
        <v>2.237574E-3</v>
      </c>
      <c r="AA3007">
        <v>0.95400700000000005</v>
      </c>
      <c r="AB3007">
        <v>18</v>
      </c>
      <c r="AC3007">
        <v>110.261699999999</v>
      </c>
      <c r="AD3007">
        <v>-0.85316599999999898</v>
      </c>
      <c r="AE3007">
        <v>14.762499999999999</v>
      </c>
      <c r="AF3007">
        <v>-33.399818419456203</v>
      </c>
      <c r="AG3007">
        <v>-0.85316599999999898</v>
      </c>
      <c r="AH3007">
        <v>106.106410582335</v>
      </c>
      <c r="AI3007">
        <v>90.439430832825707</v>
      </c>
      <c r="AJ3007">
        <v>107.472783722611</v>
      </c>
      <c r="AK3007">
        <v>111.24228570711399</v>
      </c>
      <c r="AL3007">
        <v>95.226930641696399</v>
      </c>
      <c r="AM3007">
        <v>97.961204117896699</v>
      </c>
      <c r="AN3007">
        <v>0.99999995513921602</v>
      </c>
    </row>
    <row r="3008" spans="1:40" x14ac:dyDescent="0.25">
      <c r="A3008" t="str">
        <f>"20190305135251933"</f>
        <v>20190305135251933</v>
      </c>
      <c r="B3008" t="str">
        <f>"1551765171922984"</f>
        <v>1551765171922984</v>
      </c>
      <c r="C3008" t="s">
        <v>40</v>
      </c>
      <c r="D3008">
        <v>4.3952159999999996</v>
      </c>
      <c r="E3008">
        <v>0.4377722</v>
      </c>
      <c r="F3008" t="s">
        <v>60</v>
      </c>
      <c r="G3008">
        <v>-346.19260000000003</v>
      </c>
      <c r="H3008">
        <v>0.19423389999999999</v>
      </c>
      <c r="I3008">
        <v>231.1096</v>
      </c>
      <c r="J3008">
        <v>-456.27370000000002</v>
      </c>
      <c r="K3008">
        <v>1.1101989999999999</v>
      </c>
      <c r="L3008">
        <v>216.09829999999999</v>
      </c>
      <c r="M3008">
        <v>0.9856665</v>
      </c>
      <c r="N3008">
        <v>-1.1232489999999999E-2</v>
      </c>
      <c r="O3008">
        <v>-0.16833219999999999</v>
      </c>
      <c r="P3008">
        <v>0.99431789999999998</v>
      </c>
      <c r="Q3008">
        <v>-0.10241169999999999</v>
      </c>
      <c r="R3008">
        <v>-2.9048979999999999E-2</v>
      </c>
      <c r="S3008">
        <v>3.0281069999999999</v>
      </c>
      <c r="T3008">
        <v>-2.515483E-2</v>
      </c>
      <c r="U3008">
        <v>0.41148380000000001</v>
      </c>
      <c r="V3008">
        <v>-0.1384486</v>
      </c>
      <c r="W3008">
        <v>-9.1800229999999997E-2</v>
      </c>
      <c r="X3008">
        <v>0.98610589999999998</v>
      </c>
      <c r="Y3008">
        <v>-0.29951420000000001</v>
      </c>
      <c r="Z3008">
        <v>2.4356159999999998E-3</v>
      </c>
      <c r="AA3008">
        <v>0.95408870000000001</v>
      </c>
      <c r="AB3008">
        <v>18</v>
      </c>
      <c r="AC3008">
        <v>110.08110000000001</v>
      </c>
      <c r="AD3008">
        <v>-0.91596509999999998</v>
      </c>
      <c r="AE3008">
        <v>15.0113</v>
      </c>
      <c r="AF3008">
        <v>-33.326160802196803</v>
      </c>
      <c r="AG3008">
        <v>-0.91596509999999998</v>
      </c>
      <c r="AH3008">
        <v>105.97583166942201</v>
      </c>
      <c r="AI3008">
        <v>90.472397477726005</v>
      </c>
      <c r="AJ3008">
        <v>107.45676849783101</v>
      </c>
      <c r="AK3008">
        <v>111.096124522434</v>
      </c>
      <c r="AL3008">
        <v>95.267181104951703</v>
      </c>
      <c r="AM3008">
        <v>97.992048823553603</v>
      </c>
      <c r="AN3008">
        <v>1.0000000715424</v>
      </c>
    </row>
    <row r="3009" spans="1:40" x14ac:dyDescent="0.25">
      <c r="A3009" t="str">
        <f>"20190305135251955"</f>
        <v>20190305135251955</v>
      </c>
      <c r="B3009" t="str">
        <f>"1551765171952255"</f>
        <v>1551765171952255</v>
      </c>
      <c r="C3009" t="s">
        <v>40</v>
      </c>
      <c r="D3009">
        <v>4.3905640000000004</v>
      </c>
      <c r="E3009">
        <v>0.44948389999999999</v>
      </c>
      <c r="F3009" t="s">
        <v>60</v>
      </c>
      <c r="G3009">
        <v>-346.19260000000003</v>
      </c>
      <c r="H3009">
        <v>0.2163272</v>
      </c>
      <c r="I3009">
        <v>231.07310000000001</v>
      </c>
      <c r="J3009">
        <v>-456.108</v>
      </c>
      <c r="K3009">
        <v>1.1101570000000001</v>
      </c>
      <c r="L3009">
        <v>216.0729</v>
      </c>
      <c r="M3009">
        <v>0.98608980000000002</v>
      </c>
      <c r="N3009">
        <v>-1.0929899999999999E-2</v>
      </c>
      <c r="O3009">
        <v>-0.165854</v>
      </c>
      <c r="P3009">
        <v>0.99435850000000003</v>
      </c>
      <c r="Q3009">
        <v>-0.10280069999999999</v>
      </c>
      <c r="R3009">
        <v>-2.6141009999999999E-2</v>
      </c>
      <c r="S3009">
        <v>3.0266419999999998</v>
      </c>
      <c r="T3009">
        <v>-2.4575349999999999E-2</v>
      </c>
      <c r="U3009">
        <v>0.41172789999999998</v>
      </c>
      <c r="V3009">
        <v>-0.1388441</v>
      </c>
      <c r="W3009">
        <v>-9.2489940000000007E-2</v>
      </c>
      <c r="X3009">
        <v>0.98598580000000002</v>
      </c>
      <c r="Y3009">
        <v>-0.29725299999999999</v>
      </c>
      <c r="Z3009">
        <v>2.3671439999999998E-3</v>
      </c>
      <c r="AA3009">
        <v>0.95479579999999997</v>
      </c>
      <c r="AB3009">
        <v>18</v>
      </c>
      <c r="AC3009">
        <v>109.915399999999</v>
      </c>
      <c r="AD3009">
        <v>-0.89382980000000001</v>
      </c>
      <c r="AE3009">
        <v>15.0002</v>
      </c>
      <c r="AF3009">
        <v>-33.0212800751979</v>
      </c>
      <c r="AG3009">
        <v>-0.89382980000000001</v>
      </c>
      <c r="AH3009">
        <v>105.89805716612101</v>
      </c>
      <c r="AI3009">
        <v>90.461669009578301</v>
      </c>
      <c r="AJ3009">
        <v>107.318595855095</v>
      </c>
      <c r="AK3009">
        <v>110.93061967317701</v>
      </c>
      <c r="AL3009">
        <v>95.306867608841401</v>
      </c>
      <c r="AM3009">
        <v>98.015546667589803</v>
      </c>
      <c r="AN3009">
        <v>1.0000000354538201</v>
      </c>
    </row>
    <row r="3010" spans="1:40" x14ac:dyDescent="0.25">
      <c r="A3010" t="str">
        <f>"20190305135251977"</f>
        <v>20190305135251977</v>
      </c>
      <c r="B3010" t="str">
        <f>"1551765171972751"</f>
        <v>1551765171972751</v>
      </c>
      <c r="C3010" t="s">
        <v>40</v>
      </c>
      <c r="D3010">
        <v>4.4191750000000001</v>
      </c>
      <c r="E3010">
        <v>0.45045570000000001</v>
      </c>
      <c r="F3010" t="s">
        <v>60</v>
      </c>
      <c r="G3010">
        <v>-328.02370000000002</v>
      </c>
      <c r="H3010">
        <v>0.92722850000000001</v>
      </c>
      <c r="I3010">
        <v>229.9442</v>
      </c>
      <c r="J3010">
        <v>-455.93509999999998</v>
      </c>
      <c r="K3010">
        <v>1.110107</v>
      </c>
      <c r="L3010">
        <v>216.047</v>
      </c>
      <c r="M3010">
        <v>0.98652680000000004</v>
      </c>
      <c r="N3010">
        <v>-1.059211E-2</v>
      </c>
      <c r="O3010">
        <v>-0.1632566</v>
      </c>
      <c r="P3010">
        <v>0.99442090000000005</v>
      </c>
      <c r="Q3010">
        <v>-0.10291549999999999</v>
      </c>
      <c r="R3010">
        <v>-2.3141749999999999E-2</v>
      </c>
      <c r="S3010">
        <v>3.0251769999999998</v>
      </c>
      <c r="T3010">
        <v>-4.319191E-3</v>
      </c>
      <c r="U3010">
        <v>0.32762150000000001</v>
      </c>
      <c r="V3010">
        <v>-0.1392167</v>
      </c>
      <c r="W3010">
        <v>-9.2939309999999997E-2</v>
      </c>
      <c r="X3010">
        <v>0.98589099999999996</v>
      </c>
      <c r="Y3010">
        <v>-0.26853169999999998</v>
      </c>
      <c r="Z3010">
        <v>1.23366E-4</v>
      </c>
      <c r="AA3010">
        <v>0.96327079999999998</v>
      </c>
      <c r="AB3010">
        <v>18</v>
      </c>
      <c r="AC3010">
        <v>127.91139999999901</v>
      </c>
      <c r="AD3010">
        <v>-0.182878499999999</v>
      </c>
      <c r="AE3010">
        <v>13.8971999999999</v>
      </c>
      <c r="AF3010">
        <v>-34.5942106431513</v>
      </c>
      <c r="AG3010">
        <v>-0.182878499999999</v>
      </c>
      <c r="AH3010">
        <v>123.925913831161</v>
      </c>
      <c r="AI3010">
        <v>90.081438240046197</v>
      </c>
      <c r="AJ3010">
        <v>105.59720084841101</v>
      </c>
      <c r="AK3010">
        <v>128.66400030100399</v>
      </c>
      <c r="AL3010">
        <v>95.332725997488097</v>
      </c>
      <c r="AM3010">
        <v>98.037539092387405</v>
      </c>
      <c r="AN3010">
        <v>1.00000003439158</v>
      </c>
    </row>
    <row r="3011" spans="1:40" x14ac:dyDescent="0.25">
      <c r="A3011" t="str">
        <f>"20190305135252000"</f>
        <v>20190305135252000</v>
      </c>
      <c r="B3011" t="str">
        <f>"1551765171992272"</f>
        <v>1551765171992272</v>
      </c>
      <c r="C3011" t="s">
        <v>40</v>
      </c>
      <c r="D3011">
        <v>4.4022759999999996</v>
      </c>
      <c r="E3011">
        <v>0.45088729999999999</v>
      </c>
      <c r="F3011" t="s">
        <v>60</v>
      </c>
      <c r="G3011">
        <v>-328.02370000000002</v>
      </c>
      <c r="H3011">
        <v>0.96948579999999995</v>
      </c>
      <c r="I3011">
        <v>229.97</v>
      </c>
      <c r="J3011">
        <v>-455.74829999999997</v>
      </c>
      <c r="K3011">
        <v>1.1100570000000001</v>
      </c>
      <c r="L3011">
        <v>216.01939999999999</v>
      </c>
      <c r="M3011">
        <v>0.98699159999999997</v>
      </c>
      <c r="N3011">
        <v>-1.0197110000000001E-2</v>
      </c>
      <c r="O3011">
        <v>-0.1604479</v>
      </c>
      <c r="P3011">
        <v>0.99451789999999995</v>
      </c>
      <c r="Q3011">
        <v>-0.1026478</v>
      </c>
      <c r="R3011">
        <v>-1.9938330000000001E-2</v>
      </c>
      <c r="S3011">
        <v>3.0241699999999998</v>
      </c>
      <c r="T3011">
        <v>-3.3235550000000002E-3</v>
      </c>
      <c r="U3011">
        <v>0.32917790000000002</v>
      </c>
      <c r="V3011">
        <v>-0.1395902</v>
      </c>
      <c r="W3011">
        <v>-9.3061770000000002E-2</v>
      </c>
      <c r="X3011">
        <v>0.9858266</v>
      </c>
      <c r="Y3011">
        <v>-0.26631369999999999</v>
      </c>
      <c r="Z3011" s="1">
        <v>5.0288969999999997E-5</v>
      </c>
      <c r="AA3011">
        <v>0.96388640000000003</v>
      </c>
      <c r="AB3011">
        <v>18</v>
      </c>
      <c r="AC3011">
        <v>127.724599999999</v>
      </c>
      <c r="AD3011">
        <v>-0.14057120000000001</v>
      </c>
      <c r="AE3011">
        <v>13.9506</v>
      </c>
      <c r="AF3011">
        <v>-34.264010532968101</v>
      </c>
      <c r="AG3011">
        <v>-0.14057120000000001</v>
      </c>
      <c r="AH3011">
        <v>123.831057280728</v>
      </c>
      <c r="AI3011">
        <v>90.062685856842194</v>
      </c>
      <c r="AJ3011">
        <v>105.466747975963</v>
      </c>
      <c r="AK3011">
        <v>128.484134916839</v>
      </c>
      <c r="AL3011">
        <v>95.339773157799598</v>
      </c>
      <c r="AM3011">
        <v>98.059339374961397</v>
      </c>
      <c r="AN3011">
        <v>1.00000000111956</v>
      </c>
    </row>
    <row r="3012" spans="1:40" x14ac:dyDescent="0.25">
      <c r="A3012" t="str">
        <f>"20190305135252023"</f>
        <v>20190305135252023</v>
      </c>
      <c r="B3012" t="str">
        <f>"1551765172012767"</f>
        <v>1551765172012767</v>
      </c>
      <c r="C3012" t="s">
        <v>40</v>
      </c>
      <c r="D3012">
        <v>4.3833029999999997</v>
      </c>
      <c r="E3012">
        <v>0.4503315</v>
      </c>
      <c r="F3012" t="s">
        <v>60</v>
      </c>
      <c r="G3012">
        <v>-328.02370000000002</v>
      </c>
      <c r="H3012">
        <v>0.99013039999999997</v>
      </c>
      <c r="I3012">
        <v>230.1969</v>
      </c>
      <c r="J3012">
        <v>-455.56229999999999</v>
      </c>
      <c r="K3012">
        <v>1.110007</v>
      </c>
      <c r="L3012">
        <v>215.99250000000001</v>
      </c>
      <c r="M3012">
        <v>0.98744580000000004</v>
      </c>
      <c r="N3012">
        <v>-9.7690399999999997E-3</v>
      </c>
      <c r="O3012">
        <v>-0.15765599999999999</v>
      </c>
      <c r="P3012">
        <v>0.99477070000000001</v>
      </c>
      <c r="Q3012">
        <v>-0.1008662</v>
      </c>
      <c r="R3012">
        <v>-1.604964E-2</v>
      </c>
      <c r="S3012">
        <v>3.0230100000000002</v>
      </c>
      <c r="T3012">
        <v>-2.8373000000000001E-3</v>
      </c>
      <c r="U3012">
        <v>0.33555600000000002</v>
      </c>
      <c r="V3012">
        <v>-0.14068820000000001</v>
      </c>
      <c r="W3012">
        <v>-9.1704880000000003E-2</v>
      </c>
      <c r="X3012">
        <v>0.9857977</v>
      </c>
      <c r="Y3012">
        <v>-0.26563710000000001</v>
      </c>
      <c r="Z3012" s="1">
        <v>3.6220999999999998E-5</v>
      </c>
      <c r="AA3012">
        <v>0.96407310000000002</v>
      </c>
      <c r="AB3012">
        <v>18</v>
      </c>
      <c r="AC3012">
        <v>127.53859999999899</v>
      </c>
      <c r="AD3012">
        <v>-0.1198766</v>
      </c>
      <c r="AE3012">
        <v>14.2043999999999</v>
      </c>
      <c r="AF3012">
        <v>-34.134898750631301</v>
      </c>
      <c r="AG3012">
        <v>-0.1198766</v>
      </c>
      <c r="AH3012">
        <v>123.703837514619</v>
      </c>
      <c r="AI3012">
        <v>90.053522787751703</v>
      </c>
      <c r="AJ3012">
        <v>105.42633719996201</v>
      </c>
      <c r="AK3012">
        <v>128.327101965868</v>
      </c>
      <c r="AL3012">
        <v>95.261695029993106</v>
      </c>
      <c r="AM3012">
        <v>98.122125521064405</v>
      </c>
      <c r="AN3012">
        <v>1.0000000299801699</v>
      </c>
    </row>
    <row r="3013" spans="1:40" x14ac:dyDescent="0.25">
      <c r="A3013" t="str">
        <f>"20190305135252046"</f>
        <v>20190305135252046</v>
      </c>
      <c r="B3013" t="str">
        <f>"1551765172042047"</f>
        <v>1551765172042047</v>
      </c>
      <c r="C3013" t="s">
        <v>40</v>
      </c>
      <c r="D3013">
        <v>4.4235239999999996</v>
      </c>
      <c r="E3013">
        <v>0.45098379999999999</v>
      </c>
      <c r="F3013" t="s">
        <v>60</v>
      </c>
      <c r="G3013">
        <v>-328.02370000000002</v>
      </c>
      <c r="H3013">
        <v>1.202974</v>
      </c>
      <c r="I3013">
        <v>230.83699999999999</v>
      </c>
      <c r="J3013">
        <v>-455.3827</v>
      </c>
      <c r="K3013">
        <v>1.1099410000000001</v>
      </c>
      <c r="L3013">
        <v>215.96700000000001</v>
      </c>
      <c r="M3013">
        <v>0.98787599999999998</v>
      </c>
      <c r="N3013">
        <v>-9.3098699999999996E-3</v>
      </c>
      <c r="O3013">
        <v>-0.15496689999999999</v>
      </c>
      <c r="P3013">
        <v>0.99499789999999999</v>
      </c>
      <c r="Q3013">
        <v>-9.9044800000000002E-2</v>
      </c>
      <c r="R3013">
        <v>-1.303898E-2</v>
      </c>
      <c r="S3013">
        <v>3.0216669999999999</v>
      </c>
      <c r="T3013">
        <v>2.203703E-3</v>
      </c>
      <c r="U3013">
        <v>0.35169980000000001</v>
      </c>
      <c r="V3013">
        <v>-0.141019899999999</v>
      </c>
      <c r="W3013">
        <v>-9.0335849999999995E-2</v>
      </c>
      <c r="X3013">
        <v>0.98587670000000005</v>
      </c>
      <c r="Y3013">
        <v>-0.26814310000000002</v>
      </c>
      <c r="Z3013">
        <v>-3.9661429999999999E-4</v>
      </c>
      <c r="AA3013">
        <v>0.96337899999999999</v>
      </c>
      <c r="AB3013">
        <v>18</v>
      </c>
      <c r="AC3013">
        <v>127.358999999999</v>
      </c>
      <c r="AD3013">
        <v>9.3032999999999894E-2</v>
      </c>
      <c r="AE3013">
        <v>14.87</v>
      </c>
      <c r="AF3013">
        <v>-34.427612456173101</v>
      </c>
      <c r="AG3013">
        <v>9.3032999999999894E-2</v>
      </c>
      <c r="AH3013">
        <v>123.51580454056401</v>
      </c>
      <c r="AI3013">
        <v>89.958429045808401</v>
      </c>
      <c r="AJ3013">
        <v>105.574771167798</v>
      </c>
      <c r="AK3013">
        <v>128.224112887844</v>
      </c>
      <c r="AL3013">
        <v>95.182928464635594</v>
      </c>
      <c r="AM3013">
        <v>98.140375009606899</v>
      </c>
      <c r="AN3013">
        <v>1.00000002279706</v>
      </c>
    </row>
    <row r="3014" spans="1:40" x14ac:dyDescent="0.25">
      <c r="A3014" t="str">
        <f>"20190305135252068"</f>
        <v>20190305135252068</v>
      </c>
      <c r="B3014" t="str">
        <f>"1551765172062543"</f>
        <v>1551765172062543</v>
      </c>
      <c r="C3014" t="s">
        <v>40</v>
      </c>
      <c r="D3014">
        <v>4.4375749999999998</v>
      </c>
      <c r="E3014">
        <v>0.45158769999999998</v>
      </c>
      <c r="F3014" t="s">
        <v>60</v>
      </c>
      <c r="G3014">
        <v>-328.02370000000002</v>
      </c>
      <c r="H3014">
        <v>1.27254</v>
      </c>
      <c r="I3014">
        <v>230.96809999999999</v>
      </c>
      <c r="J3014">
        <v>-455.20249999999999</v>
      </c>
      <c r="K3014">
        <v>1.109869</v>
      </c>
      <c r="L3014">
        <v>215.9419</v>
      </c>
      <c r="M3014">
        <v>0.98829869999999997</v>
      </c>
      <c r="N3014">
        <v>-8.7996789999999995E-3</v>
      </c>
      <c r="O3014">
        <v>-0.15227669999999999</v>
      </c>
      <c r="P3014">
        <v>0.99503920000000001</v>
      </c>
      <c r="Q3014">
        <v>-9.9035129999999999E-2</v>
      </c>
      <c r="R3014">
        <v>-9.4414070000000006E-3</v>
      </c>
      <c r="S3014">
        <v>3.020111</v>
      </c>
      <c r="T3014">
        <v>3.8570169999999999E-3</v>
      </c>
      <c r="U3014">
        <v>0.35572809999999999</v>
      </c>
      <c r="V3014">
        <v>-0.14189669999999999</v>
      </c>
      <c r="W3014">
        <v>-9.0833810000000001E-2</v>
      </c>
      <c r="X3014">
        <v>0.9857051</v>
      </c>
      <c r="Y3014">
        <v>-0.26684429999999998</v>
      </c>
      <c r="Z3014">
        <v>-5.216601E-4</v>
      </c>
      <c r="AA3014">
        <v>0.96373949999999997</v>
      </c>
      <c r="AB3014">
        <v>18</v>
      </c>
      <c r="AC3014">
        <v>127.178799999999</v>
      </c>
      <c r="AD3014">
        <v>0.16267100000000001</v>
      </c>
      <c r="AE3014">
        <v>15.0261999999999</v>
      </c>
      <c r="AF3014">
        <v>-34.2180124289387</v>
      </c>
      <c r="AG3014">
        <v>0.16267100000000001</v>
      </c>
      <c r="AH3014">
        <v>123.407084714422</v>
      </c>
      <c r="AI3014">
        <v>89.927220642783496</v>
      </c>
      <c r="AJ3014">
        <v>105.49749897992299</v>
      </c>
      <c r="AK3014">
        <v>128.06329448422699</v>
      </c>
      <c r="AL3014">
        <v>95.211577375778205</v>
      </c>
      <c r="AM3014">
        <v>98.191710184544107</v>
      </c>
      <c r="AN3014">
        <v>0.99999999933800798</v>
      </c>
    </row>
    <row r="3015" spans="1:40" x14ac:dyDescent="0.25">
      <c r="A3015" t="str">
        <f>"20190305135252090"</f>
        <v>20190305135252090</v>
      </c>
      <c r="B3015" t="str">
        <f>"1551765172083039"</f>
        <v>1551765172083039</v>
      </c>
      <c r="C3015" t="s">
        <v>40</v>
      </c>
      <c r="D3015">
        <v>4.4752919999999996</v>
      </c>
      <c r="E3015">
        <v>0.45200449999999998</v>
      </c>
      <c r="F3015" t="s">
        <v>60</v>
      </c>
      <c r="G3015">
        <v>-329.76889999999997</v>
      </c>
      <c r="H3015">
        <v>1.2886500000000001</v>
      </c>
      <c r="I3015">
        <v>230.97470000000001</v>
      </c>
      <c r="J3015">
        <v>-455.01670000000001</v>
      </c>
      <c r="K3015">
        <v>1.1097999999999999</v>
      </c>
      <c r="L3015">
        <v>215.91650000000001</v>
      </c>
      <c r="M3015">
        <v>0.98872479999999996</v>
      </c>
      <c r="N3015">
        <v>-8.2653180000000007E-3</v>
      </c>
      <c r="O3015">
        <v>-0.14951610000000001</v>
      </c>
      <c r="P3015">
        <v>0.99499800000000005</v>
      </c>
      <c r="Q3015">
        <v>-9.9727209999999997E-2</v>
      </c>
      <c r="R3015">
        <v>-5.8137900000000001E-3</v>
      </c>
      <c r="S3015">
        <v>3.0188600000000001</v>
      </c>
      <c r="T3015">
        <v>4.3039319999999999E-3</v>
      </c>
      <c r="U3015">
        <v>0.36180109999999999</v>
      </c>
      <c r="V3015">
        <v>-0.1427205</v>
      </c>
      <c r="W3015">
        <v>-9.2058719999999997E-2</v>
      </c>
      <c r="X3015">
        <v>0.98547249999999997</v>
      </c>
      <c r="Y3015">
        <v>-0.26611099999999999</v>
      </c>
      <c r="Z3015">
        <v>-5.2974680000000005E-4</v>
      </c>
      <c r="AA3015">
        <v>0.96394219999999997</v>
      </c>
      <c r="AB3015">
        <v>19</v>
      </c>
      <c r="AC3015">
        <v>125.2478</v>
      </c>
      <c r="AD3015">
        <v>0.17885000000000001</v>
      </c>
      <c r="AE3015">
        <v>15.058199999999999</v>
      </c>
      <c r="AF3015">
        <v>-33.616057228570497</v>
      </c>
      <c r="AG3015">
        <v>0.17885000000000001</v>
      </c>
      <c r="AH3015">
        <v>121.58806485026901</v>
      </c>
      <c r="AI3015">
        <v>89.918768261867399</v>
      </c>
      <c r="AJ3015">
        <v>105.454789727478</v>
      </c>
      <c r="AK3015">
        <v>126.1496286358</v>
      </c>
      <c r="AL3015">
        <v>95.282054857041004</v>
      </c>
      <c r="AM3015">
        <v>98.240535100753505</v>
      </c>
      <c r="AN3015">
        <v>0.99999999865226896</v>
      </c>
    </row>
    <row r="3016" spans="1:40" x14ac:dyDescent="0.25">
      <c r="A3016" t="str">
        <f>"20190305135252112"</f>
        <v>20190305135252112</v>
      </c>
      <c r="B3016" t="str">
        <f>"1551765172102559"</f>
        <v>1551765172102559</v>
      </c>
      <c r="C3016" t="s">
        <v>40</v>
      </c>
      <c r="D3016">
        <v>4.489725</v>
      </c>
      <c r="E3016">
        <v>0.45235399999999998</v>
      </c>
      <c r="F3016" t="s">
        <v>60</v>
      </c>
      <c r="G3016">
        <v>-332.04300000000001</v>
      </c>
      <c r="H3016">
        <v>1.136733</v>
      </c>
      <c r="I3016">
        <v>230.97479999999999</v>
      </c>
      <c r="J3016">
        <v>-454.83690000000001</v>
      </c>
      <c r="K3016">
        <v>1.109739</v>
      </c>
      <c r="L3016">
        <v>215.89240000000001</v>
      </c>
      <c r="M3016">
        <v>0.98912750000000005</v>
      </c>
      <c r="N3016">
        <v>-7.75924199999999E-3</v>
      </c>
      <c r="O3016">
        <v>-0.14685570000000001</v>
      </c>
      <c r="P3016">
        <v>0.9948553</v>
      </c>
      <c r="Q3016">
        <v>-0.10129779999999999</v>
      </c>
      <c r="R3016">
        <v>-1.4653800000000001E-3</v>
      </c>
      <c r="S3016">
        <v>3.017334</v>
      </c>
      <c r="T3016">
        <v>6.6208839999999896E-4</v>
      </c>
      <c r="U3016">
        <v>0.36947629999999998</v>
      </c>
      <c r="V3016">
        <v>-0.1443419</v>
      </c>
      <c r="W3016">
        <v>-9.4139420000000001E-2</v>
      </c>
      <c r="X3016">
        <v>0.98503969999999996</v>
      </c>
      <c r="Y3016">
        <v>-0.26599260000000002</v>
      </c>
      <c r="Z3016">
        <v>-1.6116889999999901E-4</v>
      </c>
      <c r="AA3016">
        <v>0.96397509999999997</v>
      </c>
      <c r="AB3016">
        <v>19</v>
      </c>
      <c r="AC3016">
        <v>122.79389999999999</v>
      </c>
      <c r="AD3016">
        <v>2.69939999999999E-2</v>
      </c>
      <c r="AE3016">
        <v>15.0823999999999</v>
      </c>
      <c r="AF3016">
        <v>-32.952390929566697</v>
      </c>
      <c r="AG3016">
        <v>2.69939999999999E-2</v>
      </c>
      <c r="AH3016">
        <v>119.247470168733</v>
      </c>
      <c r="AI3016">
        <v>89.987498515709802</v>
      </c>
      <c r="AJ3016">
        <v>105.447402025759</v>
      </c>
      <c r="AK3016">
        <v>123.71669223792701</v>
      </c>
      <c r="AL3016">
        <v>95.401790161385307</v>
      </c>
      <c r="AM3016">
        <v>98.336455543089798</v>
      </c>
      <c r="AN3016">
        <v>1.0000000125348101</v>
      </c>
    </row>
    <row r="3017" spans="1:40" x14ac:dyDescent="0.25">
      <c r="A3017" t="str">
        <f>"20190305135252144"</f>
        <v>20190305135252144</v>
      </c>
      <c r="B3017" t="str">
        <f>"1551765172132833"</f>
        <v>1551765172132833</v>
      </c>
      <c r="C3017" t="s">
        <v>40</v>
      </c>
      <c r="D3017">
        <v>4.4860119999999997</v>
      </c>
      <c r="E3017">
        <v>0.4511154</v>
      </c>
      <c r="F3017" t="s">
        <v>60</v>
      </c>
      <c r="G3017">
        <v>-346.19260000000003</v>
      </c>
      <c r="H3017">
        <v>0.91987180000000002</v>
      </c>
      <c r="I3017">
        <v>229.58619999999999</v>
      </c>
      <c r="J3017">
        <v>-454.56259999999997</v>
      </c>
      <c r="K3017">
        <v>1.109674</v>
      </c>
      <c r="L3017">
        <v>215.85650000000001</v>
      </c>
      <c r="M3017">
        <v>0.98972479999999996</v>
      </c>
      <c r="N3017">
        <v>-7.0049439999999999E-3</v>
      </c>
      <c r="O3017">
        <v>-0.142814</v>
      </c>
      <c r="P3017">
        <v>0.9947724</v>
      </c>
      <c r="Q3017">
        <v>-0.1020374</v>
      </c>
      <c r="R3017">
        <v>4.059628E-3</v>
      </c>
      <c r="S3017">
        <v>3.0155029999999998</v>
      </c>
      <c r="T3017">
        <v>-5.2685739999999998E-3</v>
      </c>
      <c r="U3017">
        <v>0.38008120000000001</v>
      </c>
      <c r="V3017">
        <v>-0.1457656</v>
      </c>
      <c r="W3017">
        <v>-9.5635880000000006E-2</v>
      </c>
      <c r="X3017">
        <v>0.98468580000000006</v>
      </c>
      <c r="Y3017">
        <v>-0.26546350000000002</v>
      </c>
      <c r="Z3017">
        <v>4.1610010000000001E-4</v>
      </c>
      <c r="AA3017">
        <v>0.9641208</v>
      </c>
      <c r="AB3017">
        <v>19</v>
      </c>
      <c r="AC3017">
        <v>108.369999999999</v>
      </c>
      <c r="AD3017">
        <v>-0.18980219999999901</v>
      </c>
      <c r="AE3017">
        <v>13.7296999999999</v>
      </c>
      <c r="AF3017">
        <v>-29.066001876658301</v>
      </c>
      <c r="AG3017">
        <v>-0.18980219999999901</v>
      </c>
      <c r="AH3017">
        <v>105.29794417543</v>
      </c>
      <c r="AI3017">
        <v>90.099553814873005</v>
      </c>
      <c r="AJ3017">
        <v>105.431410835356</v>
      </c>
      <c r="AK3017">
        <v>109.236099974052</v>
      </c>
      <c r="AL3017">
        <v>95.487919816989105</v>
      </c>
      <c r="AM3017">
        <v>98.420490723310706</v>
      </c>
      <c r="AN3017">
        <v>0.99999997820418696</v>
      </c>
    </row>
    <row r="3018" spans="1:40" x14ac:dyDescent="0.25">
      <c r="A3018" t="str">
        <f>"20190305135252166"</f>
        <v>20190305135252166</v>
      </c>
      <c r="B3018" t="str">
        <f>"1551765172163071"</f>
        <v>1551765172163071</v>
      </c>
      <c r="C3018" t="s">
        <v>40</v>
      </c>
      <c r="D3018">
        <v>4.4449639999999997</v>
      </c>
      <c r="E3018">
        <v>0.41865249999999998</v>
      </c>
      <c r="F3018" t="s">
        <v>60</v>
      </c>
      <c r="G3018">
        <v>-346.19260000000003</v>
      </c>
      <c r="H3018">
        <v>0.89573479999999905</v>
      </c>
      <c r="I3018">
        <v>230.4692</v>
      </c>
      <c r="J3018">
        <v>-454.38010000000003</v>
      </c>
      <c r="K3018">
        <v>1.109648</v>
      </c>
      <c r="L3018">
        <v>215.83320000000001</v>
      </c>
      <c r="M3018">
        <v>0.99011110000000002</v>
      </c>
      <c r="N3018">
        <v>-6.525739E-3</v>
      </c>
      <c r="O3018">
        <v>-0.14013390000000001</v>
      </c>
      <c r="P3018">
        <v>0.99491549999999995</v>
      </c>
      <c r="Q3018">
        <v>-0.1004163</v>
      </c>
      <c r="R3018">
        <v>7.738661E-3</v>
      </c>
      <c r="S3018">
        <v>3.0134889999999999</v>
      </c>
      <c r="T3018">
        <v>-5.9478279999999996E-3</v>
      </c>
      <c r="U3018">
        <v>0.40634160000000002</v>
      </c>
      <c r="V3018">
        <v>-0.14676339999999999</v>
      </c>
      <c r="W3018">
        <v>-9.4496239999999995E-2</v>
      </c>
      <c r="X3018">
        <v>0.98464759999999996</v>
      </c>
      <c r="Y3018">
        <v>-0.27118920000000002</v>
      </c>
      <c r="Z3018">
        <v>5.2010839999999995E-4</v>
      </c>
      <c r="AA3018">
        <v>0.96252590000000005</v>
      </c>
      <c r="AB3018">
        <v>19</v>
      </c>
      <c r="AC3018">
        <v>108.1875</v>
      </c>
      <c r="AD3018">
        <v>-0.2139132</v>
      </c>
      <c r="AE3018">
        <v>14.6359999999999</v>
      </c>
      <c r="AF3018">
        <v>-29.6525186439988</v>
      </c>
      <c r="AG3018">
        <v>-0.2139132</v>
      </c>
      <c r="AH3018">
        <v>105.068474211487</v>
      </c>
      <c r="AI3018">
        <v>90.112265422747001</v>
      </c>
      <c r="AJ3018">
        <v>105.760175144253</v>
      </c>
      <c r="AK3018">
        <v>109.172807483914</v>
      </c>
      <c r="AL3018">
        <v>95.422326242601798</v>
      </c>
      <c r="AM3018">
        <v>98.477620323870397</v>
      </c>
      <c r="AN3018">
        <v>0.99999996556972803</v>
      </c>
    </row>
    <row r="3019" spans="1:40" x14ac:dyDescent="0.25">
      <c r="A3019" t="str">
        <f>"20190305135252189"</f>
        <v>20190305135252189</v>
      </c>
      <c r="B3019" t="str">
        <f>"1551765172182592"</f>
        <v>1551765172182592</v>
      </c>
      <c r="C3019" t="s">
        <v>40</v>
      </c>
      <c r="D3019">
        <v>4.4480890000000004</v>
      </c>
      <c r="E3019">
        <v>0.42217389999999999</v>
      </c>
      <c r="F3019" t="s">
        <v>63</v>
      </c>
      <c r="G3019">
        <v>-379.06450000000001</v>
      </c>
      <c r="H3019">
        <v>1.425861</v>
      </c>
      <c r="I3019">
        <v>232.75</v>
      </c>
      <c r="J3019">
        <v>-454.18099999999998</v>
      </c>
      <c r="K3019">
        <v>1.1096280000000001</v>
      </c>
      <c r="L3019">
        <v>215.80840000000001</v>
      </c>
      <c r="M3019">
        <v>0.99052229999999997</v>
      </c>
      <c r="N3019">
        <v>-6.0489460000000004E-3</v>
      </c>
      <c r="O3019">
        <v>-0.13721949999999999</v>
      </c>
      <c r="P3019">
        <v>0.99507500000000004</v>
      </c>
      <c r="Q3019">
        <v>-9.8464979999999994E-2</v>
      </c>
      <c r="R3019">
        <v>1.143124E-2</v>
      </c>
      <c r="S3019">
        <v>3.0113829999999999</v>
      </c>
      <c r="T3019">
        <v>1.264644E-2</v>
      </c>
      <c r="U3019">
        <v>0.67639159999999998</v>
      </c>
      <c r="V3019">
        <v>-0.14754690000000001</v>
      </c>
      <c r="W3019">
        <v>-9.3024809999999999E-2</v>
      </c>
      <c r="X3019">
        <v>0.98467059999999995</v>
      </c>
      <c r="Y3019">
        <v>-0.35095920000000003</v>
      </c>
      <c r="Z3019">
        <v>-1.04192E-3</v>
      </c>
      <c r="AA3019">
        <v>0.93639019999999995</v>
      </c>
      <c r="AB3019">
        <v>19</v>
      </c>
      <c r="AC3019">
        <v>75.116499999999903</v>
      </c>
      <c r="AD3019">
        <v>0.31623299999999999</v>
      </c>
      <c r="AE3019">
        <v>16.941599999999902</v>
      </c>
      <c r="AF3019">
        <v>-27.088517091918</v>
      </c>
      <c r="AG3019">
        <v>0.31623299999999999</v>
      </c>
      <c r="AH3019">
        <v>72.079946053045504</v>
      </c>
      <c r="AI3019">
        <v>89.764698100574293</v>
      </c>
      <c r="AJ3019">
        <v>110.596828497648</v>
      </c>
      <c r="AK3019">
        <v>77.002638815558598</v>
      </c>
      <c r="AL3019">
        <v>95.3376465706327</v>
      </c>
      <c r="AM3019">
        <v>98.522019319484798</v>
      </c>
      <c r="AN3019">
        <v>0.99999994673975101</v>
      </c>
    </row>
    <row r="3020" spans="1:40" x14ac:dyDescent="0.25">
      <c r="A3020" t="str">
        <f>"20190305135252231"</f>
        <v>20190305135252231</v>
      </c>
      <c r="B3020" t="str">
        <f>"1551765172222607"</f>
        <v>1551765172222607</v>
      </c>
      <c r="C3020" t="s">
        <v>40</v>
      </c>
      <c r="D3020">
        <v>4.4435010000000004</v>
      </c>
      <c r="E3020">
        <v>0.42417379999999999</v>
      </c>
      <c r="F3020" t="s">
        <v>63</v>
      </c>
      <c r="G3020">
        <v>-376.839</v>
      </c>
      <c r="H3020">
        <v>1.577396</v>
      </c>
      <c r="I3020">
        <v>232.75</v>
      </c>
      <c r="J3020">
        <v>-453.88799999999998</v>
      </c>
      <c r="K3020">
        <v>1.10961</v>
      </c>
      <c r="L3020">
        <v>215.77289999999999</v>
      </c>
      <c r="M3020">
        <v>0.99110909999999997</v>
      </c>
      <c r="N3020">
        <v>-5.4378209999999998E-3</v>
      </c>
      <c r="O3020">
        <v>-0.13294139999999999</v>
      </c>
      <c r="P3020">
        <v>0.99517920000000004</v>
      </c>
      <c r="Q3020">
        <v>-9.6681160000000002E-2</v>
      </c>
      <c r="R3020">
        <v>1.6470970000000001E-2</v>
      </c>
      <c r="S3020">
        <v>3.0090940000000002</v>
      </c>
      <c r="T3020">
        <v>1.820219E-2</v>
      </c>
      <c r="U3020">
        <v>0.65913389999999905</v>
      </c>
      <c r="V3020">
        <v>-0.14830009999999999</v>
      </c>
      <c r="W3020">
        <v>-9.1858099999999998E-2</v>
      </c>
      <c r="X3020">
        <v>0.98466710000000002</v>
      </c>
      <c r="Y3020">
        <v>-0.34193020000000002</v>
      </c>
      <c r="Z3020">
        <v>-1.59074E-3</v>
      </c>
      <c r="AA3020">
        <v>0.939724</v>
      </c>
      <c r="AB3020">
        <v>19</v>
      </c>
      <c r="AC3020">
        <v>77.049000000000007</v>
      </c>
      <c r="AD3020">
        <v>0.46778599999999998</v>
      </c>
      <c r="AE3020">
        <v>16.9771</v>
      </c>
      <c r="AF3020">
        <v>-27.0686057284546</v>
      </c>
      <c r="AG3020">
        <v>0.46778599999999998</v>
      </c>
      <c r="AH3020">
        <v>74.105487549304996</v>
      </c>
      <c r="AI3020">
        <v>89.660282152294499</v>
      </c>
      <c r="AJ3020">
        <v>110.065796461453</v>
      </c>
      <c r="AK3020">
        <v>78.895827042654901</v>
      </c>
      <c r="AL3020">
        <v>95.270510920338296</v>
      </c>
      <c r="AM3020">
        <v>98.564909075379106</v>
      </c>
      <c r="AN3020">
        <v>1.0000000640090101</v>
      </c>
    </row>
    <row r="3021" spans="1:40" x14ac:dyDescent="0.25">
      <c r="A3021" t="str">
        <f>"20190305135252257"</f>
        <v>20190305135252257</v>
      </c>
      <c r="B3021" t="str">
        <f>"1551765172252865"</f>
        <v>1551765172252865</v>
      </c>
      <c r="C3021" t="s">
        <v>40</v>
      </c>
      <c r="D3021">
        <v>4.4232860000000001</v>
      </c>
      <c r="E3021">
        <v>0.42503400000000002</v>
      </c>
      <c r="F3021" t="s">
        <v>63</v>
      </c>
      <c r="G3021">
        <v>-376.3877</v>
      </c>
      <c r="H3021">
        <v>1.523104</v>
      </c>
      <c r="I3021">
        <v>232.75</v>
      </c>
      <c r="J3021">
        <v>-453.58760000000001</v>
      </c>
      <c r="K3021">
        <v>1.109591</v>
      </c>
      <c r="L3021">
        <v>215.7379</v>
      </c>
      <c r="M3021">
        <v>0.99168820000000002</v>
      </c>
      <c r="N3021">
        <v>-4.9129489999999998E-3</v>
      </c>
      <c r="O3021">
        <v>-0.12857189999999999</v>
      </c>
      <c r="P3021">
        <v>0.99513269999999998</v>
      </c>
      <c r="Q3021">
        <v>-9.627107E-2</v>
      </c>
      <c r="R3021">
        <v>2.1044719999999999E-2</v>
      </c>
      <c r="S3021">
        <v>3.005188</v>
      </c>
      <c r="T3021">
        <v>1.603663E-2</v>
      </c>
      <c r="U3021">
        <v>0.6583099</v>
      </c>
      <c r="V3021">
        <v>-0.14848249999999999</v>
      </c>
      <c r="W3021">
        <v>-9.1978009999999999E-2</v>
      </c>
      <c r="X3021">
        <v>0.98462839999999996</v>
      </c>
      <c r="Y3021">
        <v>-0.3377964</v>
      </c>
      <c r="Z3021">
        <v>-1.3535839999999999E-3</v>
      </c>
      <c r="AA3021">
        <v>0.94121829999999995</v>
      </c>
      <c r="AB3021">
        <v>20</v>
      </c>
      <c r="AC3021">
        <v>77.1999</v>
      </c>
      <c r="AD3021">
        <v>0.41351300000000002</v>
      </c>
      <c r="AE3021">
        <v>17.0121</v>
      </c>
      <c r="AF3021">
        <v>-26.796022073421899</v>
      </c>
      <c r="AG3021">
        <v>0.41351300000000002</v>
      </c>
      <c r="AH3021">
        <v>74.369801233391001</v>
      </c>
      <c r="AI3021">
        <v>89.700286534716696</v>
      </c>
      <c r="AJ3021">
        <v>109.81448888721</v>
      </c>
      <c r="AK3021">
        <v>79.051028629958793</v>
      </c>
      <c r="AL3021">
        <v>95.277410557622005</v>
      </c>
      <c r="AM3021">
        <v>98.575618903478997</v>
      </c>
      <c r="AN3021">
        <v>1.00000004660818</v>
      </c>
    </row>
    <row r="3022" spans="1:40" x14ac:dyDescent="0.25">
      <c r="A3022" t="str">
        <f>"20190305135252281"</f>
        <v>20190305135252281</v>
      </c>
      <c r="B3022" t="str">
        <f>"1551765172272384"</f>
        <v>1551765172272384</v>
      </c>
      <c r="C3022" t="s">
        <v>40</v>
      </c>
      <c r="D3022">
        <v>4.3773390000000001</v>
      </c>
      <c r="E3022">
        <v>0.42531239999999998</v>
      </c>
      <c r="F3022" t="s">
        <v>63</v>
      </c>
      <c r="G3022">
        <v>-376.77809999999999</v>
      </c>
      <c r="H3022">
        <v>1.4506319999999999</v>
      </c>
      <c r="I3022">
        <v>232.75</v>
      </c>
      <c r="J3022">
        <v>-453.38209999999998</v>
      </c>
      <c r="K3022">
        <v>1.1095820000000001</v>
      </c>
      <c r="L3022">
        <v>215.71459999999999</v>
      </c>
      <c r="M3022">
        <v>0.99207100000000004</v>
      </c>
      <c r="N3022">
        <v>-4.5994929999999996E-3</v>
      </c>
      <c r="O3022">
        <v>-0.12559569999999901</v>
      </c>
      <c r="P3022">
        <v>0.99501949999999995</v>
      </c>
      <c r="Q3022">
        <v>-9.6628000000000006E-2</v>
      </c>
      <c r="R3022">
        <v>2.4482070000000002E-2</v>
      </c>
      <c r="S3022">
        <v>3.0018919999999998</v>
      </c>
      <c r="T3022">
        <v>1.3331529999999999E-2</v>
      </c>
      <c r="U3022">
        <v>0.6648712</v>
      </c>
      <c r="V3022">
        <v>-0.14891779999999999</v>
      </c>
      <c r="W3022">
        <v>-9.2652810000000002E-2</v>
      </c>
      <c r="X3022">
        <v>0.98449929999999997</v>
      </c>
      <c r="Y3022">
        <v>-0.3371519</v>
      </c>
      <c r="Z3022">
        <v>-1.076841E-3</v>
      </c>
      <c r="AA3022">
        <v>0.9414496</v>
      </c>
      <c r="AB3022">
        <v>20</v>
      </c>
      <c r="AC3022">
        <v>76.6039999999999</v>
      </c>
      <c r="AD3022">
        <v>0.34104999999999902</v>
      </c>
      <c r="AE3022">
        <v>17.035399999999999</v>
      </c>
      <c r="AF3022">
        <v>-26.521234906914501</v>
      </c>
      <c r="AG3022">
        <v>0.34104999999999902</v>
      </c>
      <c r="AH3022">
        <v>73.856408960615695</v>
      </c>
      <c r="AI3022">
        <v>89.750992174897505</v>
      </c>
      <c r="AJ3022">
        <v>109.75279993731699</v>
      </c>
      <c r="AK3022">
        <v>78.474590541448293</v>
      </c>
      <c r="AL3022">
        <v>95.316240001177704</v>
      </c>
      <c r="AM3022">
        <v>98.601495208466602</v>
      </c>
      <c r="AN3022">
        <v>0.99999996302911198</v>
      </c>
    </row>
    <row r="3023" spans="1:40" x14ac:dyDescent="0.25">
      <c r="A3023" t="str">
        <f>"20190305135252300"</f>
        <v>20190305135252300</v>
      </c>
      <c r="B3023" t="str">
        <f>"1551765172292879"</f>
        <v>1551765172292879</v>
      </c>
      <c r="C3023" t="s">
        <v>40</v>
      </c>
      <c r="D3023">
        <v>4.446148</v>
      </c>
      <c r="E3023">
        <v>0.42566039999999999</v>
      </c>
      <c r="F3023" t="s">
        <v>63</v>
      </c>
      <c r="G3023">
        <v>-377.43799999999999</v>
      </c>
      <c r="H3023">
        <v>1.199152</v>
      </c>
      <c r="I3023">
        <v>232.75</v>
      </c>
      <c r="J3023">
        <v>-453.19479999999999</v>
      </c>
      <c r="K3023">
        <v>1.1095680000000001</v>
      </c>
      <c r="L3023">
        <v>215.69399999999999</v>
      </c>
      <c r="M3023">
        <v>0.9924094</v>
      </c>
      <c r="N3023">
        <v>-4.3465630000000003E-3</v>
      </c>
      <c r="O3023">
        <v>-0.1229016</v>
      </c>
      <c r="P3023">
        <v>0.99487490000000001</v>
      </c>
      <c r="Q3023">
        <v>-9.7135860000000004E-2</v>
      </c>
      <c r="R3023">
        <v>2.808364E-2</v>
      </c>
      <c r="S3023">
        <v>2.9987789999999999</v>
      </c>
      <c r="T3023">
        <v>3.5396809999999998E-3</v>
      </c>
      <c r="U3023">
        <v>0.6726685</v>
      </c>
      <c r="V3023">
        <v>-0.14979609999999999</v>
      </c>
      <c r="W3023">
        <v>-9.3418550000000003E-2</v>
      </c>
      <c r="X3023">
        <v>0.98429370000000005</v>
      </c>
      <c r="Y3023">
        <v>-0.33713729999999997</v>
      </c>
      <c r="Z3023">
        <v>-1.25172E-4</v>
      </c>
      <c r="AA3023">
        <v>0.9414555</v>
      </c>
      <c r="AB3023">
        <v>20</v>
      </c>
      <c r="AC3023">
        <v>75.756799999999899</v>
      </c>
      <c r="AD3023">
        <v>8.9583999999999803E-2</v>
      </c>
      <c r="AE3023">
        <v>17.055999999999901</v>
      </c>
      <c r="AF3023">
        <v>-26.237378102125099</v>
      </c>
      <c r="AG3023">
        <v>8.9583999999999803E-2</v>
      </c>
      <c r="AH3023">
        <v>73.086139739433705</v>
      </c>
      <c r="AI3023">
        <v>89.933901011126906</v>
      </c>
      <c r="AJ3023">
        <v>109.74775879928499</v>
      </c>
      <c r="AK3023">
        <v>77.653022201192996</v>
      </c>
      <c r="AL3023">
        <v>95.360304634810902</v>
      </c>
      <c r="AM3023">
        <v>98.6532402081762</v>
      </c>
      <c r="AN3023">
        <v>0.999999992459501</v>
      </c>
    </row>
    <row r="3024" spans="1:40" x14ac:dyDescent="0.25">
      <c r="A3024" t="str">
        <f>"20190305135252324"</f>
        <v>20190305135252324</v>
      </c>
      <c r="B3024" t="str">
        <f>"1551765172312399"</f>
        <v>1551765172312399</v>
      </c>
      <c r="C3024" t="s">
        <v>40</v>
      </c>
      <c r="D3024">
        <v>4.3961169999999896</v>
      </c>
      <c r="E3024">
        <v>0.42613139999999999</v>
      </c>
      <c r="F3024" t="s">
        <v>63</v>
      </c>
      <c r="G3024">
        <v>-378.10419999999999</v>
      </c>
      <c r="H3024">
        <v>1.1199760000000001</v>
      </c>
      <c r="I3024">
        <v>232.75</v>
      </c>
      <c r="J3024">
        <v>-452.98770000000002</v>
      </c>
      <c r="K3024">
        <v>1.1095520000000001</v>
      </c>
      <c r="L3024">
        <v>215.67160000000001</v>
      </c>
      <c r="M3024">
        <v>0.99277079999999995</v>
      </c>
      <c r="N3024">
        <v>-4.0998830000000003E-3</v>
      </c>
      <c r="O3024">
        <v>-0.11995649999999999</v>
      </c>
      <c r="P3024">
        <v>0.99480590000000002</v>
      </c>
      <c r="Q3024">
        <v>-9.6805569999999994E-2</v>
      </c>
      <c r="R3024">
        <v>3.1470480000000002E-2</v>
      </c>
      <c r="S3024">
        <v>2.9962770000000001</v>
      </c>
      <c r="T3024">
        <v>4.1830539999999997E-4</v>
      </c>
      <c r="U3024">
        <v>0.68057250000000002</v>
      </c>
      <c r="V3024">
        <v>-0.15022859999999999</v>
      </c>
      <c r="W3024">
        <v>-9.3335290000000001E-2</v>
      </c>
      <c r="X3024">
        <v>0.98423570000000005</v>
      </c>
      <c r="Y3024">
        <v>-0.33687499999999998</v>
      </c>
      <c r="Z3024">
        <v>1.7463879999999999E-4</v>
      </c>
      <c r="AA3024">
        <v>0.94154939999999998</v>
      </c>
      <c r="AB3024">
        <v>20</v>
      </c>
      <c r="AC3024">
        <v>74.883499999999998</v>
      </c>
      <c r="AD3024">
        <v>1.04239999999999E-2</v>
      </c>
      <c r="AE3024">
        <v>17.078399999999899</v>
      </c>
      <c r="AF3024">
        <v>-25.937913905087498</v>
      </c>
      <c r="AG3024">
        <v>1.04239999999999E-2</v>
      </c>
      <c r="AH3024">
        <v>72.294084984476598</v>
      </c>
      <c r="AI3024">
        <v>89.992223931091402</v>
      </c>
      <c r="AJ3024">
        <v>109.737141231655</v>
      </c>
      <c r="AK3024">
        <v>76.806316212602098</v>
      </c>
      <c r="AL3024">
        <v>95.355513154844303</v>
      </c>
      <c r="AM3024">
        <v>98.678348142818095</v>
      </c>
      <c r="AN3024">
        <v>1.00000001088591</v>
      </c>
    </row>
    <row r="3025" spans="1:40" x14ac:dyDescent="0.25">
      <c r="A3025" t="str">
        <f>"20190305135252345"</f>
        <v>20190305135252345</v>
      </c>
      <c r="B3025" t="str">
        <f>"1551765172342656"</f>
        <v>1551765172342656</v>
      </c>
      <c r="C3025" t="s">
        <v>40</v>
      </c>
      <c r="D3025">
        <v>4.3988940000000003</v>
      </c>
      <c r="E3025">
        <v>0.42682589999999998</v>
      </c>
      <c r="F3025" t="s">
        <v>63</v>
      </c>
      <c r="G3025">
        <v>-378.5582</v>
      </c>
      <c r="H3025">
        <v>1.149389</v>
      </c>
      <c r="I3025">
        <v>232.75</v>
      </c>
      <c r="J3025">
        <v>-452.7953</v>
      </c>
      <c r="K3025">
        <v>1.1095360000000001</v>
      </c>
      <c r="L3025">
        <v>215.6514</v>
      </c>
      <c r="M3025">
        <v>0.99309329999999996</v>
      </c>
      <c r="N3025">
        <v>-3.8993529999999999E-3</v>
      </c>
      <c r="O3025">
        <v>-0.1172639</v>
      </c>
      <c r="P3025">
        <v>0.99483049999999995</v>
      </c>
      <c r="Q3025">
        <v>-9.5726270000000002E-2</v>
      </c>
      <c r="R3025">
        <v>3.3894550000000002E-2</v>
      </c>
      <c r="S3025">
        <v>2.9940799999999999</v>
      </c>
      <c r="T3025">
        <v>1.605511E-3</v>
      </c>
      <c r="U3025">
        <v>0.687011699999999</v>
      </c>
      <c r="V3025">
        <v>-0.14997389999999999</v>
      </c>
      <c r="W3025">
        <v>-9.2451080000000005E-2</v>
      </c>
      <c r="X3025">
        <v>0.98435799999999996</v>
      </c>
      <c r="Y3025">
        <v>-0.33639560000000002</v>
      </c>
      <c r="Z3025" s="1">
        <v>6.2424979999999998E-5</v>
      </c>
      <c r="AA3025">
        <v>0.94172080000000002</v>
      </c>
      <c r="AB3025">
        <v>20</v>
      </c>
      <c r="AC3025">
        <v>74.237099999999998</v>
      </c>
      <c r="AD3025">
        <v>3.9852999999999902E-2</v>
      </c>
      <c r="AE3025">
        <v>17.098600000000001</v>
      </c>
      <c r="AF3025">
        <v>-25.686020984288</v>
      </c>
      <c r="AG3025">
        <v>3.9852999999999902E-2</v>
      </c>
      <c r="AH3025">
        <v>71.719831900547504</v>
      </c>
      <c r="AI3025">
        <v>89.970026435391404</v>
      </c>
      <c r="AJ3025">
        <v>109.704675751327</v>
      </c>
      <c r="AK3025">
        <v>76.180755772765096</v>
      </c>
      <c r="AL3025">
        <v>95.304631583020907</v>
      </c>
      <c r="AM3025">
        <v>98.662798080486994</v>
      </c>
      <c r="AN3025">
        <v>1.0000000225191801</v>
      </c>
    </row>
    <row r="3026" spans="1:40" x14ac:dyDescent="0.25">
      <c r="A3026" t="str">
        <f>"20190305135252369"</f>
        <v>20190305135252369</v>
      </c>
      <c r="B3026" t="str">
        <f>"1551765172362176"</f>
        <v>1551765172362176</v>
      </c>
      <c r="C3026" t="s">
        <v>40</v>
      </c>
      <c r="D3026">
        <v>4.4240069999999996</v>
      </c>
      <c r="E3026">
        <v>0.42723129999999998</v>
      </c>
      <c r="F3026" t="s">
        <v>63</v>
      </c>
      <c r="G3026">
        <v>-378.4889</v>
      </c>
      <c r="H3026">
        <v>1.2240660000000001</v>
      </c>
      <c r="I3026">
        <v>232.75</v>
      </c>
      <c r="J3026">
        <v>-452.56670000000003</v>
      </c>
      <c r="K3026">
        <v>1.1095060000000001</v>
      </c>
      <c r="L3026">
        <v>215.62799999999999</v>
      </c>
      <c r="M3026">
        <v>0.99345879999999998</v>
      </c>
      <c r="N3026">
        <v>-3.69345E-3</v>
      </c>
      <c r="O3026">
        <v>-0.1141313</v>
      </c>
      <c r="P3026">
        <v>0.99488460000000001</v>
      </c>
      <c r="Q3026">
        <v>-9.4369720000000004E-2</v>
      </c>
      <c r="R3026">
        <v>3.6043569999999997E-2</v>
      </c>
      <c r="S3026">
        <v>2.9925540000000002</v>
      </c>
      <c r="T3026">
        <v>4.6153069999999999E-3</v>
      </c>
      <c r="U3026">
        <v>0.6886139</v>
      </c>
      <c r="V3026">
        <v>-0.14901739999999999</v>
      </c>
      <c r="W3026">
        <v>-9.1288910000000001E-2</v>
      </c>
      <c r="X3026">
        <v>0.98461169999999998</v>
      </c>
      <c r="Y3026">
        <v>-0.33400770000000002</v>
      </c>
      <c r="Z3026">
        <v>-2.189046E-4</v>
      </c>
      <c r="AA3026">
        <v>0.94257029999999997</v>
      </c>
      <c r="AB3026">
        <v>21</v>
      </c>
      <c r="AC3026">
        <v>74.077799999999996</v>
      </c>
      <c r="AD3026">
        <v>0.11456</v>
      </c>
      <c r="AE3026">
        <v>17.122</v>
      </c>
      <c r="AF3026">
        <v>-25.4647132887733</v>
      </c>
      <c r="AG3026">
        <v>0.11456</v>
      </c>
      <c r="AH3026">
        <v>71.639412798143198</v>
      </c>
      <c r="AI3026">
        <v>89.913669013240394</v>
      </c>
      <c r="AJ3026">
        <v>109.56810020561301</v>
      </c>
      <c r="AK3026">
        <v>76.030718876884194</v>
      </c>
      <c r="AL3026">
        <v>95.237761337028701</v>
      </c>
      <c r="AM3026">
        <v>98.606194122160105</v>
      </c>
      <c r="AN3026">
        <v>1.00000002518431</v>
      </c>
    </row>
    <row r="3027" spans="1:40" x14ac:dyDescent="0.25">
      <c r="A3027" t="str">
        <f>"20190305135252390"</f>
        <v>20190305135252390</v>
      </c>
      <c r="B3027" t="str">
        <f>"1551765172382671"</f>
        <v>1551765172382671</v>
      </c>
      <c r="C3027" t="s">
        <v>40</v>
      </c>
      <c r="D3027">
        <v>4.4539660000000003</v>
      </c>
      <c r="E3027">
        <v>0.42747420000000003</v>
      </c>
      <c r="F3027" t="s">
        <v>63</v>
      </c>
      <c r="G3027">
        <v>-378.57339999999999</v>
      </c>
      <c r="H3027">
        <v>1.2719689999999999</v>
      </c>
      <c r="I3027">
        <v>232.75</v>
      </c>
      <c r="J3027">
        <v>-452.37419999999997</v>
      </c>
      <c r="K3027">
        <v>1.10947</v>
      </c>
      <c r="L3027">
        <v>215.6088</v>
      </c>
      <c r="M3027">
        <v>0.99375340000000001</v>
      </c>
      <c r="N3027">
        <v>-3.5416929999999998E-3</v>
      </c>
      <c r="O3027">
        <v>-0.1115424</v>
      </c>
      <c r="P3027">
        <v>0.99477360000000004</v>
      </c>
      <c r="Q3027">
        <v>-9.4748269999999996E-2</v>
      </c>
      <c r="R3027">
        <v>3.8060360000000001E-2</v>
      </c>
      <c r="S3027">
        <v>2.9909669999999999</v>
      </c>
      <c r="T3027">
        <v>6.5701010000000001E-3</v>
      </c>
      <c r="U3027">
        <v>0.69210819999999995</v>
      </c>
      <c r="V3027">
        <v>-0.14844450000000001</v>
      </c>
      <c r="W3027">
        <v>-9.1811089999999998E-2</v>
      </c>
      <c r="X3027">
        <v>0.98464969999999996</v>
      </c>
      <c r="Y3027">
        <v>-0.332706</v>
      </c>
      <c r="Z3027">
        <v>-3.9526090000000002E-4</v>
      </c>
      <c r="AA3027">
        <v>0.94303049999999999</v>
      </c>
      <c r="AB3027">
        <v>21</v>
      </c>
      <c r="AC3027">
        <v>73.800799999999896</v>
      </c>
      <c r="AD3027">
        <v>0.16249899999999901</v>
      </c>
      <c r="AE3027">
        <v>17.141199999999898</v>
      </c>
      <c r="AF3027">
        <v>-25.2660854822443</v>
      </c>
      <c r="AG3027">
        <v>0.16249899999999901</v>
      </c>
      <c r="AH3027">
        <v>71.427942228502701</v>
      </c>
      <c r="AI3027">
        <v>89.877113441897095</v>
      </c>
      <c r="AJ3027">
        <v>109.480128853113</v>
      </c>
      <c r="AK3027">
        <v>75.765113426427305</v>
      </c>
      <c r="AL3027">
        <v>95.267806149071703</v>
      </c>
      <c r="AM3027">
        <v>98.573274122884897</v>
      </c>
      <c r="AN3027">
        <v>1.0000000387686601</v>
      </c>
    </row>
    <row r="3028" spans="1:40" x14ac:dyDescent="0.25">
      <c r="A3028" t="str">
        <f>"20190305135252412"</f>
        <v>20190305135252412</v>
      </c>
      <c r="B3028" t="str">
        <f>"1551765172402191"</f>
        <v>1551765172402191</v>
      </c>
      <c r="C3028" t="s">
        <v>40</v>
      </c>
      <c r="D3028">
        <v>4.463635</v>
      </c>
      <c r="E3028">
        <v>0.42753380000000002</v>
      </c>
      <c r="F3028" t="s">
        <v>63</v>
      </c>
      <c r="G3028">
        <v>-378.77409999999998</v>
      </c>
      <c r="H3028">
        <v>1.104582</v>
      </c>
      <c r="I3028">
        <v>232.75</v>
      </c>
      <c r="J3028">
        <v>-452.1628</v>
      </c>
      <c r="K3028">
        <v>1.1094379999999999</v>
      </c>
      <c r="L3028">
        <v>215.5882</v>
      </c>
      <c r="M3028">
        <v>0.99406399999999995</v>
      </c>
      <c r="N3028">
        <v>-3.3962350000000001E-3</v>
      </c>
      <c r="O3028">
        <v>-0.1087453</v>
      </c>
      <c r="P3028">
        <v>0.99451990000000001</v>
      </c>
      <c r="Q3028">
        <v>-9.6629839999999995E-2</v>
      </c>
      <c r="R3028">
        <v>3.9912070000000001E-2</v>
      </c>
      <c r="S3028">
        <v>2.9891049999999999</v>
      </c>
      <c r="T3028">
        <v>-1.9586089999999999E-4</v>
      </c>
      <c r="U3028">
        <v>0.69615169999999904</v>
      </c>
      <c r="V3028">
        <v>-0.14748029999999901</v>
      </c>
      <c r="W3028">
        <v>-9.3830540000000004E-2</v>
      </c>
      <c r="X3028">
        <v>0.98460420000000004</v>
      </c>
      <c r="Y3028">
        <v>-0.33139170000000001</v>
      </c>
      <c r="Z3028">
        <v>2.241023E-4</v>
      </c>
      <c r="AA3028">
        <v>0.94349320000000003</v>
      </c>
      <c r="AB3028">
        <v>21</v>
      </c>
      <c r="AC3028">
        <v>73.3887</v>
      </c>
      <c r="AD3028">
        <v>-4.8559999999999697E-3</v>
      </c>
      <c r="AE3028">
        <v>17.161799999999999</v>
      </c>
      <c r="AF3028">
        <v>-25.0407441738028</v>
      </c>
      <c r="AG3028">
        <v>-4.8559999999999697E-3</v>
      </c>
      <c r="AH3028">
        <v>71.087198221555198</v>
      </c>
      <c r="AI3028">
        <v>90.003691567011799</v>
      </c>
      <c r="AJ3028">
        <v>109.40501208744</v>
      </c>
      <c r="AK3028">
        <v>75.368618425371594</v>
      </c>
      <c r="AL3028">
        <v>95.384013917116903</v>
      </c>
      <c r="AM3028">
        <v>98.518795105365001</v>
      </c>
      <c r="AN3028">
        <v>1.00000001989121</v>
      </c>
    </row>
    <row r="3029" spans="1:40" x14ac:dyDescent="0.25">
      <c r="A3029" t="str">
        <f>"20190305135252434"</f>
        <v>20190305135252434</v>
      </c>
      <c r="B3029" t="str">
        <f>"1551765172422687"</f>
        <v>1551765172422687</v>
      </c>
      <c r="C3029" t="s">
        <v>40</v>
      </c>
      <c r="D3029">
        <v>4.4660320000000002</v>
      </c>
      <c r="E3029">
        <v>0.42757539999999999</v>
      </c>
      <c r="F3029" t="s">
        <v>63</v>
      </c>
      <c r="G3029">
        <v>-379.03699999999998</v>
      </c>
      <c r="H3029">
        <v>0.77490429999999999</v>
      </c>
      <c r="I3029">
        <v>232.75</v>
      </c>
      <c r="J3029">
        <v>-451.96080000000001</v>
      </c>
      <c r="K3029">
        <v>1.109421</v>
      </c>
      <c r="L3029">
        <v>215.56909999999999</v>
      </c>
      <c r="M3029">
        <v>0.99434920000000004</v>
      </c>
      <c r="N3029">
        <v>-3.2751149999999999E-3</v>
      </c>
      <c r="O3029">
        <v>-0.1061076</v>
      </c>
      <c r="P3029">
        <v>0.99435620000000002</v>
      </c>
      <c r="Q3029">
        <v>-9.7592410000000004E-2</v>
      </c>
      <c r="R3029">
        <v>4.1611259999999997E-2</v>
      </c>
      <c r="S3029">
        <v>2.9870909999999999</v>
      </c>
      <c r="T3029">
        <v>-1.366246E-2</v>
      </c>
      <c r="U3029">
        <v>0.7010345</v>
      </c>
      <c r="V3029">
        <v>-0.14653649999999999</v>
      </c>
      <c r="W3029">
        <v>-9.4909530000000006E-2</v>
      </c>
      <c r="X3029">
        <v>0.98464169999999995</v>
      </c>
      <c r="Y3029">
        <v>-0.330486</v>
      </c>
      <c r="Z3029">
        <v>1.431456E-3</v>
      </c>
      <c r="AA3029">
        <v>0.94380980000000003</v>
      </c>
      <c r="AB3029">
        <v>21</v>
      </c>
      <c r="AC3029">
        <v>72.9238</v>
      </c>
      <c r="AD3029">
        <v>-0.334516699999999</v>
      </c>
      <c r="AE3029">
        <v>17.180900000000001</v>
      </c>
      <c r="AF3029">
        <v>-24.821223342583899</v>
      </c>
      <c r="AG3029">
        <v>-0.334516699999999</v>
      </c>
      <c r="AH3029">
        <v>70.687672241168002</v>
      </c>
      <c r="AI3029">
        <v>90.255826903210206</v>
      </c>
      <c r="AJ3029">
        <v>109.348181443158</v>
      </c>
      <c r="AK3029">
        <v>74.919637188922707</v>
      </c>
      <c r="AL3029">
        <v>95.446112620549997</v>
      </c>
      <c r="AM3029">
        <v>98.464753714901306</v>
      </c>
      <c r="AN3029">
        <v>1.00000002104798</v>
      </c>
    </row>
    <row r="3030" spans="1:40" x14ac:dyDescent="0.25">
      <c r="A3030" t="str">
        <f>"20190305135252458"</f>
        <v>20190305135252458</v>
      </c>
      <c r="B3030" t="str">
        <f>"1551765172452943"</f>
        <v>1551765172452943</v>
      </c>
      <c r="C3030" t="s">
        <v>40</v>
      </c>
      <c r="D3030">
        <v>4.4904989999999998</v>
      </c>
      <c r="E3030">
        <v>0.42778060000000001</v>
      </c>
      <c r="F3030" t="s">
        <v>63</v>
      </c>
      <c r="G3030">
        <v>-379.26889999999997</v>
      </c>
      <c r="H3030">
        <v>0.54113769999999894</v>
      </c>
      <c r="I3030">
        <v>232.75</v>
      </c>
      <c r="J3030">
        <v>-451.72919999999999</v>
      </c>
      <c r="K3030">
        <v>1.109416</v>
      </c>
      <c r="L3030">
        <v>215.54769999999999</v>
      </c>
      <c r="M3030">
        <v>0.99466429999999995</v>
      </c>
      <c r="N3030">
        <v>-3.155199E-3</v>
      </c>
      <c r="O3030">
        <v>-0.10311579999999999</v>
      </c>
      <c r="P3030">
        <v>0.99428559999999999</v>
      </c>
      <c r="Q3030">
        <v>-9.7548339999999997E-2</v>
      </c>
      <c r="R3030">
        <v>4.336491E-2</v>
      </c>
      <c r="S3030">
        <v>2.9852289999999999</v>
      </c>
      <c r="T3030">
        <v>-2.333474E-2</v>
      </c>
      <c r="U3030">
        <v>0.70556640000000004</v>
      </c>
      <c r="V3030">
        <v>-0.1453081</v>
      </c>
      <c r="W3030">
        <v>-9.4982940000000002E-2</v>
      </c>
      <c r="X3030">
        <v>0.98481660000000004</v>
      </c>
      <c r="Y3030">
        <v>-0.32912580000000002</v>
      </c>
      <c r="Z3030">
        <v>2.2711760000000002E-3</v>
      </c>
      <c r="AA3030">
        <v>0.94428339999999999</v>
      </c>
      <c r="AB3030">
        <v>21</v>
      </c>
      <c r="AC3030">
        <v>72.460300000000004</v>
      </c>
      <c r="AD3030">
        <v>-0.56827830000000001</v>
      </c>
      <c r="AE3030">
        <v>17.202300000000001</v>
      </c>
      <c r="AF3030">
        <v>-24.5810079360343</v>
      </c>
      <c r="AG3030">
        <v>-0.56827830000000001</v>
      </c>
      <c r="AH3030">
        <v>70.296105341486495</v>
      </c>
      <c r="AI3030">
        <v>90.437214354141403</v>
      </c>
      <c r="AJ3030">
        <v>109.27361337694801</v>
      </c>
      <c r="AK3030">
        <v>74.472084149424703</v>
      </c>
      <c r="AL3030">
        <v>95.450338074560705</v>
      </c>
      <c r="AM3030">
        <v>98.393340286366197</v>
      </c>
      <c r="AN3030">
        <v>0.99999996922610601</v>
      </c>
    </row>
    <row r="3031" spans="1:40" x14ac:dyDescent="0.25">
      <c r="A3031" t="str">
        <f>"20190305135252481"</f>
        <v>20190305135252481</v>
      </c>
      <c r="B3031" t="str">
        <f>"1551765172472464"</f>
        <v>1551765172472464</v>
      </c>
      <c r="C3031" t="s">
        <v>40</v>
      </c>
      <c r="D3031">
        <v>4.4291179999999999</v>
      </c>
      <c r="E3031">
        <v>0.42786289999999999</v>
      </c>
      <c r="F3031" t="s">
        <v>63</v>
      </c>
      <c r="G3031">
        <v>-379.36559999999997</v>
      </c>
      <c r="H3031">
        <v>0.39686779999999999</v>
      </c>
      <c r="I3031">
        <v>232.75</v>
      </c>
      <c r="J3031">
        <v>-451.50940000000003</v>
      </c>
      <c r="K3031">
        <v>1.1094299999999999</v>
      </c>
      <c r="L3031">
        <v>215.52799999999999</v>
      </c>
      <c r="M3031">
        <v>0.99495319999999998</v>
      </c>
      <c r="N3031">
        <v>-3.0575340000000002E-3</v>
      </c>
      <c r="O3031">
        <v>-0.1002936</v>
      </c>
      <c r="P3031">
        <v>0.99422259999999996</v>
      </c>
      <c r="Q3031">
        <v>-9.7393750000000001E-2</v>
      </c>
      <c r="R3031">
        <v>4.5118749999999999E-2</v>
      </c>
      <c r="S3031">
        <v>2.9833980000000002</v>
      </c>
      <c r="T3031">
        <v>-2.9373880000000002E-2</v>
      </c>
      <c r="U3031">
        <v>0.70921330000000005</v>
      </c>
      <c r="V3031">
        <v>-0.14424879999999901</v>
      </c>
      <c r="W3031">
        <v>-9.4927339999999999E-2</v>
      </c>
      <c r="X3031">
        <v>0.98497769999999996</v>
      </c>
      <c r="Y3031">
        <v>-0.3276616</v>
      </c>
      <c r="Z3031">
        <v>2.7722749999999998E-3</v>
      </c>
      <c r="AA3031">
        <v>0.94479109999999999</v>
      </c>
      <c r="AB3031">
        <v>21</v>
      </c>
      <c r="AC3031">
        <v>72.143799999999999</v>
      </c>
      <c r="AD3031">
        <v>-0.71256219999999904</v>
      </c>
      <c r="AE3031">
        <v>17.222000000000001</v>
      </c>
      <c r="AF3031">
        <v>-24.368509950063</v>
      </c>
      <c r="AG3031">
        <v>-0.71256219999999904</v>
      </c>
      <c r="AH3031">
        <v>70.046309938822702</v>
      </c>
      <c r="AI3031">
        <v>90.550476106807295</v>
      </c>
      <c r="AJ3031">
        <v>109.182347061756</v>
      </c>
      <c r="AK3031">
        <v>74.167496641863295</v>
      </c>
      <c r="AL3031">
        <v>95.447137840602096</v>
      </c>
      <c r="AM3031">
        <v>98.331671101886599</v>
      </c>
      <c r="AN3031">
        <v>0.99999999283910201</v>
      </c>
    </row>
    <row r="3032" spans="1:40" x14ac:dyDescent="0.25">
      <c r="A3032" t="str">
        <f>"20190305135252502"</f>
        <v>20190305135252502</v>
      </c>
      <c r="B3032" t="str">
        <f>"1551765172492959"</f>
        <v>1551765172492959</v>
      </c>
      <c r="C3032" t="s">
        <v>40</v>
      </c>
      <c r="D3032">
        <v>4.4568260000000004</v>
      </c>
      <c r="E3032">
        <v>0.4280351</v>
      </c>
      <c r="F3032" t="s">
        <v>63</v>
      </c>
      <c r="G3032">
        <v>-379.54079999999999</v>
      </c>
      <c r="H3032">
        <v>0.37050440000000001</v>
      </c>
      <c r="I3032">
        <v>232.75</v>
      </c>
      <c r="J3032">
        <v>-451.30410000000001</v>
      </c>
      <c r="K3032">
        <v>1.109445</v>
      </c>
      <c r="L3032">
        <v>215.5102</v>
      </c>
      <c r="M3032">
        <v>0.99521490000000001</v>
      </c>
      <c r="N3032">
        <v>-2.9788869999999999E-3</v>
      </c>
      <c r="O3032">
        <v>-9.7665660000000001E-2</v>
      </c>
      <c r="P3032">
        <v>0.99424710000000005</v>
      </c>
      <c r="Q3032">
        <v>-9.6461809999999995E-2</v>
      </c>
      <c r="R3032">
        <v>4.6559700000000002E-2</v>
      </c>
      <c r="S3032">
        <v>2.9820250000000001</v>
      </c>
      <c r="T3032">
        <v>-3.0614499999999999E-2</v>
      </c>
      <c r="U3032">
        <v>0.71359249999999996</v>
      </c>
      <c r="V3032">
        <v>-0.14308189999999901</v>
      </c>
      <c r="W3032">
        <v>-9.4076309999999996E-2</v>
      </c>
      <c r="X3032">
        <v>0.98522949999999998</v>
      </c>
      <c r="Y3032">
        <v>-0.32657530000000001</v>
      </c>
      <c r="Z3032">
        <v>2.8501809999999998E-3</v>
      </c>
      <c r="AA3032">
        <v>0.94516690000000003</v>
      </c>
      <c r="AB3032">
        <v>22</v>
      </c>
      <c r="AC3032">
        <v>71.763300000000001</v>
      </c>
      <c r="AD3032">
        <v>-0.73894059999999995</v>
      </c>
      <c r="AE3032">
        <v>17.239799999999999</v>
      </c>
      <c r="AF3032">
        <v>-24.163799063141798</v>
      </c>
      <c r="AG3032">
        <v>-0.73894059999999995</v>
      </c>
      <c r="AH3032">
        <v>69.729483316090295</v>
      </c>
      <c r="AI3032">
        <v>90.573687304779398</v>
      </c>
      <c r="AJ3032">
        <v>109.113059362827</v>
      </c>
      <c r="AK3032">
        <v>73.801328320722902</v>
      </c>
      <c r="AL3032">
        <v>95.398158309290295</v>
      </c>
      <c r="AM3032">
        <v>98.263123735999599</v>
      </c>
      <c r="AN3032">
        <v>0.99999997494053705</v>
      </c>
    </row>
    <row r="3033" spans="1:40" x14ac:dyDescent="0.25">
      <c r="A3033" t="str">
        <f>"20190305135252525"</f>
        <v>20190305135252525</v>
      </c>
      <c r="B3033" t="str">
        <f>"1551765172512479"</f>
        <v>1551765172512479</v>
      </c>
      <c r="C3033" t="s">
        <v>40</v>
      </c>
      <c r="D3033">
        <v>4.4373050000000003</v>
      </c>
      <c r="E3033">
        <v>0.42824770000000001</v>
      </c>
      <c r="F3033" t="s">
        <v>63</v>
      </c>
      <c r="G3033">
        <v>-379.55700000000002</v>
      </c>
      <c r="H3033">
        <v>0.45017430000000003</v>
      </c>
      <c r="I3033">
        <v>232.75</v>
      </c>
      <c r="J3033">
        <v>-451.09019999999998</v>
      </c>
      <c r="K3033">
        <v>1.109456</v>
      </c>
      <c r="L3033">
        <v>215.4922</v>
      </c>
      <c r="M3033">
        <v>0.99547969999999997</v>
      </c>
      <c r="N3033">
        <v>-2.9078789999999999E-3</v>
      </c>
      <c r="O3033">
        <v>-9.4929169999999993E-2</v>
      </c>
      <c r="P3033">
        <v>0.99420469999999905</v>
      </c>
      <c r="Q3033">
        <v>-9.6188480000000007E-2</v>
      </c>
      <c r="R3033">
        <v>4.8009280000000001E-2</v>
      </c>
      <c r="S3033">
        <v>2.9811399999999999</v>
      </c>
      <c r="T3033">
        <v>-2.7390000000000001E-2</v>
      </c>
      <c r="U3033">
        <v>0.71632390000000001</v>
      </c>
      <c r="V3033">
        <v>-0.14180670000000001</v>
      </c>
      <c r="W3033">
        <v>-9.3877310000000005E-2</v>
      </c>
      <c r="X3033">
        <v>0.98543289999999994</v>
      </c>
      <c r="Y3033">
        <v>-0.32486330000000002</v>
      </c>
      <c r="Z3033">
        <v>2.5400819999999999E-3</v>
      </c>
      <c r="AA3033">
        <v>0.94575759999999998</v>
      </c>
      <c r="AB3033">
        <v>22</v>
      </c>
      <c r="AC3033">
        <v>71.533199999999994</v>
      </c>
      <c r="AD3033">
        <v>-0.65928169999999897</v>
      </c>
      <c r="AE3033">
        <v>17.2578</v>
      </c>
      <c r="AF3033">
        <v>-23.968556204566699</v>
      </c>
      <c r="AG3033">
        <v>-0.65928169999999897</v>
      </c>
      <c r="AH3033">
        <v>69.566295549547505</v>
      </c>
      <c r="AI3033">
        <v>90.513362880979898</v>
      </c>
      <c r="AJ3033">
        <v>109.011014322832</v>
      </c>
      <c r="AK3033">
        <v>73.582578205567202</v>
      </c>
      <c r="AL3033">
        <v>95.386705386086703</v>
      </c>
      <c r="AM3033">
        <v>98.188815589807405</v>
      </c>
      <c r="AN3033">
        <v>1.0000000449500599</v>
      </c>
    </row>
    <row r="3034" spans="1:40" x14ac:dyDescent="0.25">
      <c r="A3034" t="str">
        <f>"20190305135252546"</f>
        <v>20190305135252546</v>
      </c>
      <c r="B3034" t="str">
        <f>"1551765172542735"</f>
        <v>1551765172542735</v>
      </c>
      <c r="C3034" t="s">
        <v>40</v>
      </c>
      <c r="D3034">
        <v>4.6708270000000001</v>
      </c>
      <c r="E3034">
        <v>0.47192509999999999</v>
      </c>
      <c r="F3034" t="s">
        <v>63</v>
      </c>
      <c r="G3034">
        <v>-379.53739999999999</v>
      </c>
      <c r="H3034">
        <v>0.48560520000000001</v>
      </c>
      <c r="I3034">
        <v>232.75</v>
      </c>
      <c r="J3034">
        <v>-450.87880000000001</v>
      </c>
      <c r="K3034">
        <v>1.10948</v>
      </c>
      <c r="L3034">
        <v>215.4751</v>
      </c>
      <c r="M3034">
        <v>0.99573440000000002</v>
      </c>
      <c r="N3034">
        <v>-2.8478309999999999E-3</v>
      </c>
      <c r="O3034">
        <v>-9.2222369999999998E-2</v>
      </c>
      <c r="P3034">
        <v>0.9942529</v>
      </c>
      <c r="Q3034">
        <v>-9.5189029999999994E-2</v>
      </c>
      <c r="R3034">
        <v>4.8991260000000002E-2</v>
      </c>
      <c r="S3034">
        <v>2.980286</v>
      </c>
      <c r="T3034">
        <v>-2.5981310000000001E-2</v>
      </c>
      <c r="U3034">
        <v>0.71881099999999998</v>
      </c>
      <c r="V3034">
        <v>-0.14010699999999901</v>
      </c>
      <c r="W3034">
        <v>-9.2939339999999995E-2</v>
      </c>
      <c r="X3034">
        <v>0.98576490000000005</v>
      </c>
      <c r="Y3034">
        <v>-0.32310100000000003</v>
      </c>
      <c r="Z3034">
        <v>2.390465E-3</v>
      </c>
      <c r="AA3034">
        <v>0.94636140000000002</v>
      </c>
      <c r="AB3034">
        <v>22</v>
      </c>
      <c r="AC3034">
        <v>71.341399999999993</v>
      </c>
      <c r="AD3034">
        <v>-0.62387479999999995</v>
      </c>
      <c r="AE3034">
        <v>17.274899999999999</v>
      </c>
      <c r="AF3034">
        <v>-23.7788630232427</v>
      </c>
      <c r="AG3034">
        <v>-0.62387479999999995</v>
      </c>
      <c r="AH3034">
        <v>69.439216888592497</v>
      </c>
      <c r="AI3034">
        <v>90.486997227787995</v>
      </c>
      <c r="AJ3034">
        <v>108.903327235014</v>
      </c>
      <c r="AK3034">
        <v>73.400465860546205</v>
      </c>
      <c r="AL3034">
        <v>95.332727558955895</v>
      </c>
      <c r="AM3034">
        <v>98.089282606757294</v>
      </c>
      <c r="AN3034">
        <v>1.00000006522032</v>
      </c>
    </row>
    <row r="3035" spans="1:40" x14ac:dyDescent="0.25">
      <c r="A3035" t="str">
        <f>"20190305135252569"</f>
        <v>20190305135252569</v>
      </c>
      <c r="B3035" t="str">
        <f>"1551765172562256"</f>
        <v>1551765172562256</v>
      </c>
      <c r="C3035" t="s">
        <v>40</v>
      </c>
      <c r="D3035">
        <v>4.6579810000000004</v>
      </c>
      <c r="E3035">
        <v>0.48448039999999998</v>
      </c>
      <c r="F3035" t="s">
        <v>66</v>
      </c>
      <c r="G3035">
        <v>-424.93329999999997</v>
      </c>
      <c r="H3035" s="1">
        <v>2.7315279999999999E-6</v>
      </c>
      <c r="I3035">
        <v>218.71129999999999</v>
      </c>
      <c r="J3035">
        <v>-450.64519999999999</v>
      </c>
      <c r="K3035">
        <v>1.109504</v>
      </c>
      <c r="L3035">
        <v>215.45670000000001</v>
      </c>
      <c r="M3035">
        <v>0.99600750000000005</v>
      </c>
      <c r="N3035">
        <v>-2.791731E-3</v>
      </c>
      <c r="O3035">
        <v>-8.9226260000000002E-2</v>
      </c>
      <c r="P3035">
        <v>0.99437909999999996</v>
      </c>
      <c r="Q3035">
        <v>-9.3538270000000007E-2</v>
      </c>
      <c r="R3035">
        <v>4.9606499999999998E-2</v>
      </c>
      <c r="S3035">
        <v>2.986755</v>
      </c>
      <c r="T3035">
        <v>-0.127719</v>
      </c>
      <c r="U3035">
        <v>0.37254330000000002</v>
      </c>
      <c r="V3035">
        <v>-0.137765</v>
      </c>
      <c r="W3035">
        <v>-9.1343649999999998E-2</v>
      </c>
      <c r="X3035">
        <v>0.98624400000000001</v>
      </c>
      <c r="Y3035">
        <v>-0.21154580000000001</v>
      </c>
      <c r="Z3035">
        <v>8.352702E-3</v>
      </c>
      <c r="AA3035">
        <v>0.97733239999999999</v>
      </c>
      <c r="AB3035">
        <v>22</v>
      </c>
      <c r="AC3035">
        <v>25.7119</v>
      </c>
      <c r="AD3035">
        <v>-1.109501268472</v>
      </c>
      <c r="AE3035">
        <v>3.25459999999998</v>
      </c>
      <c r="AF3035">
        <v>-5.5256773556419496</v>
      </c>
      <c r="AG3035">
        <v>-1.109501268472</v>
      </c>
      <c r="AH3035">
        <v>25.272631004893402</v>
      </c>
      <c r="AI3035">
        <v>92.455804276104899</v>
      </c>
      <c r="AJ3035">
        <v>102.333222388571</v>
      </c>
      <c r="AK3035">
        <v>25.893435098744501</v>
      </c>
      <c r="AL3035">
        <v>95.240910775428503</v>
      </c>
      <c r="AM3035">
        <v>97.951994268240199</v>
      </c>
      <c r="AN3035">
        <v>1.0000000425781601</v>
      </c>
    </row>
    <row r="3036" spans="1:40" x14ac:dyDescent="0.25">
      <c r="A3036" t="str">
        <f>"20190305135252591"</f>
        <v>20190305135252591</v>
      </c>
      <c r="B3036" t="str">
        <f>"1551765172582752"</f>
        <v>1551765172582752</v>
      </c>
      <c r="C3036" t="s">
        <v>40</v>
      </c>
      <c r="D3036">
        <v>4.6521980000000003</v>
      </c>
      <c r="E3036">
        <v>0.48932140000000002</v>
      </c>
      <c r="F3036" t="s">
        <v>66</v>
      </c>
      <c r="G3036">
        <v>-428.03960000000001</v>
      </c>
      <c r="H3036" s="1">
        <v>2.2839159999999999E-6</v>
      </c>
      <c r="I3036">
        <v>217.52860000000001</v>
      </c>
      <c r="J3036">
        <v>-450.42230000000001</v>
      </c>
      <c r="K3036">
        <v>1.1095219999999999</v>
      </c>
      <c r="L3036">
        <v>215.43989999999999</v>
      </c>
      <c r="M3036">
        <v>0.99625989999999998</v>
      </c>
      <c r="N3036">
        <v>-2.74589E-3</v>
      </c>
      <c r="O3036">
        <v>-8.6363410000000002E-2</v>
      </c>
      <c r="P3036">
        <v>0.99438349999999998</v>
      </c>
      <c r="Q3036">
        <v>-9.3084840000000002E-2</v>
      </c>
      <c r="R3036">
        <v>5.0365340000000001E-2</v>
      </c>
      <c r="S3036">
        <v>2.9895320000000001</v>
      </c>
      <c r="T3036">
        <v>-0.14672839999999901</v>
      </c>
      <c r="U3036">
        <v>0.27400210000000003</v>
      </c>
      <c r="V3036">
        <v>-0.13568269999999999</v>
      </c>
      <c r="W3036">
        <v>-9.0935639999999998E-2</v>
      </c>
      <c r="X3036">
        <v>0.98657030000000001</v>
      </c>
      <c r="Y3036">
        <v>-0.17661849999999901</v>
      </c>
      <c r="Z3036">
        <v>8.5568829999999995E-3</v>
      </c>
      <c r="AA3036">
        <v>0.98424219999999896</v>
      </c>
      <c r="AB3036">
        <v>22</v>
      </c>
      <c r="AC3036">
        <v>22.3827</v>
      </c>
      <c r="AD3036">
        <v>-1.10951971608399</v>
      </c>
      <c r="AE3036">
        <v>2.08870000000001</v>
      </c>
      <c r="AF3036">
        <v>-4.0041952783090702</v>
      </c>
      <c r="AG3036">
        <v>-1.10951971608399</v>
      </c>
      <c r="AH3036">
        <v>22.064932505315699</v>
      </c>
      <c r="AI3036">
        <v>92.832468434715807</v>
      </c>
      <c r="AJ3036">
        <v>100.285715258552</v>
      </c>
      <c r="AK3036">
        <v>22.4527472771451</v>
      </c>
      <c r="AL3036">
        <v>95.217435936858806</v>
      </c>
      <c r="AM3036">
        <v>97.830745621445899</v>
      </c>
      <c r="AN3036">
        <v>1.0000000212717901</v>
      </c>
    </row>
    <row r="3037" spans="1:40" x14ac:dyDescent="0.25">
      <c r="A3037" t="str">
        <f>"20190305135252614"</f>
        <v>20190305135252614</v>
      </c>
      <c r="B3037" t="str">
        <f>"1551765172602275"</f>
        <v>1551765172602275</v>
      </c>
      <c r="C3037" t="s">
        <v>40</v>
      </c>
      <c r="D3037">
        <v>4.6564300000000003</v>
      </c>
      <c r="E3037">
        <v>0.49114479999999999</v>
      </c>
      <c r="F3037" t="s">
        <v>66</v>
      </c>
      <c r="G3037">
        <v>-430.25349999999997</v>
      </c>
      <c r="H3037" s="1">
        <v>2.1173570000000001E-6</v>
      </c>
      <c r="I3037">
        <v>217.0421</v>
      </c>
      <c r="J3037">
        <v>-450.18290000000002</v>
      </c>
      <c r="K3037">
        <v>1.1095349999999999</v>
      </c>
      <c r="L3037">
        <v>215.42250000000001</v>
      </c>
      <c r="M3037">
        <v>0.99652189999999996</v>
      </c>
      <c r="N3037">
        <v>-2.7027560000000002E-3</v>
      </c>
      <c r="O3037">
        <v>-8.3286830000000006E-2</v>
      </c>
      <c r="P3037">
        <v>0.99429860000000003</v>
      </c>
      <c r="Q3037">
        <v>-9.3970810000000002E-2</v>
      </c>
      <c r="R3037">
        <v>5.0396919999999998E-2</v>
      </c>
      <c r="S3037">
        <v>2.9895320000000001</v>
      </c>
      <c r="T3037">
        <v>-0.16445950000000001</v>
      </c>
      <c r="U3037">
        <v>0.2374878</v>
      </c>
      <c r="V3037">
        <v>-0.13265060000000001</v>
      </c>
      <c r="W3037">
        <v>-9.1860369999999997E-2</v>
      </c>
      <c r="X3037">
        <v>0.98689689999999997</v>
      </c>
      <c r="Y3037">
        <v>-0.16157249999999901</v>
      </c>
      <c r="Z3037">
        <v>8.9990379999999991E-3</v>
      </c>
      <c r="AA3037">
        <v>0.98681980000000002</v>
      </c>
      <c r="AB3037">
        <v>23</v>
      </c>
      <c r="AC3037">
        <v>19.929400000000001</v>
      </c>
      <c r="AD3037">
        <v>-1.109532882643</v>
      </c>
      <c r="AE3037">
        <v>1.6195999999999899</v>
      </c>
      <c r="AF3037">
        <v>-3.2637858045523398</v>
      </c>
      <c r="AG3037">
        <v>-1.109532882643</v>
      </c>
      <c r="AH3037">
        <v>19.6647143315673</v>
      </c>
      <c r="AI3037">
        <v>93.185858638458896</v>
      </c>
      <c r="AJ3037">
        <v>99.423574624333796</v>
      </c>
      <c r="AK3037">
        <v>19.964577399429501</v>
      </c>
      <c r="AL3037">
        <v>95.270641871021297</v>
      </c>
      <c r="AM3037">
        <v>97.655347670640495</v>
      </c>
      <c r="AN3037">
        <v>1.0000000002432501</v>
      </c>
    </row>
    <row r="3038" spans="1:40" x14ac:dyDescent="0.25">
      <c r="A3038" t="str">
        <f>"20190305135252637"</f>
        <v>20190305135252637</v>
      </c>
      <c r="B3038" t="str">
        <f>"1551765172632528"</f>
        <v>1551765172632528</v>
      </c>
      <c r="C3038" t="s">
        <v>40</v>
      </c>
      <c r="D3038">
        <v>4.6808399999999999</v>
      </c>
      <c r="E3038">
        <v>0.49246040000000002</v>
      </c>
      <c r="F3038" t="s">
        <v>66</v>
      </c>
      <c r="G3038">
        <v>-431.21120000000002</v>
      </c>
      <c r="H3038" s="1">
        <v>2.5599350000000002E-6</v>
      </c>
      <c r="I3038">
        <v>216.8374</v>
      </c>
      <c r="J3038">
        <v>-449.96440000000001</v>
      </c>
      <c r="K3038">
        <v>1.10955</v>
      </c>
      <c r="L3038">
        <v>215.40729999999999</v>
      </c>
      <c r="M3038">
        <v>0.99675279999999999</v>
      </c>
      <c r="N3038">
        <v>-2.6636469999999999E-3</v>
      </c>
      <c r="O3038">
        <v>-8.0479300000000004E-2</v>
      </c>
      <c r="P3038">
        <v>0.99422690000000002</v>
      </c>
      <c r="Q3038">
        <v>-9.5066230000000002E-2</v>
      </c>
      <c r="R3038">
        <v>4.9752369999999997E-2</v>
      </c>
      <c r="S3038">
        <v>2.9894099999999999</v>
      </c>
      <c r="T3038">
        <v>-0.1748313</v>
      </c>
      <c r="U3038">
        <v>0.22294620000000001</v>
      </c>
      <c r="V3038">
        <v>-0.12921179999999999</v>
      </c>
      <c r="W3038">
        <v>-9.2987029999999998E-2</v>
      </c>
      <c r="X3038">
        <v>0.98724749999999994</v>
      </c>
      <c r="Y3038">
        <v>-0.15398899999999999</v>
      </c>
      <c r="Z3038">
        <v>9.1803779999999995E-3</v>
      </c>
      <c r="AA3038">
        <v>0.98802990000000002</v>
      </c>
      <c r="AB3038">
        <v>23</v>
      </c>
      <c r="AC3038">
        <v>18.7532</v>
      </c>
      <c r="AD3038">
        <v>-1.1095474400650001</v>
      </c>
      <c r="AE3038">
        <v>1.4301000000000099</v>
      </c>
      <c r="AF3038">
        <v>-2.9245323777604701</v>
      </c>
      <c r="AG3038">
        <v>-1.1095474400650001</v>
      </c>
      <c r="AH3038">
        <v>18.512844462996799</v>
      </c>
      <c r="AI3038">
        <v>93.387944372082501</v>
      </c>
      <c r="AJ3038">
        <v>98.977010089886804</v>
      </c>
      <c r="AK3038">
        <v>18.775233560769198</v>
      </c>
      <c r="AL3038">
        <v>95.3354724864556</v>
      </c>
      <c r="AM3038">
        <v>97.456537223100099</v>
      </c>
      <c r="AN3038">
        <v>0.99999995163185396</v>
      </c>
    </row>
    <row r="3039" spans="1:40" x14ac:dyDescent="0.25">
      <c r="A3039" t="str">
        <f>"20190305135252659"</f>
        <v>20190305135252659</v>
      </c>
      <c r="B3039" t="str">
        <f>"1551765172653024"</f>
        <v>1551765172653024</v>
      </c>
      <c r="C3039" t="s">
        <v>40</v>
      </c>
      <c r="D3039">
        <v>4.6718539999999997</v>
      </c>
      <c r="E3039">
        <v>0.49283310000000002</v>
      </c>
      <c r="F3039" t="s">
        <v>66</v>
      </c>
      <c r="G3039">
        <v>-432.25450000000001</v>
      </c>
      <c r="H3039" s="1">
        <v>3.0387299999999998E-6</v>
      </c>
      <c r="I3039">
        <v>216.65309999999999</v>
      </c>
      <c r="J3039">
        <v>-449.72989999999999</v>
      </c>
      <c r="K3039">
        <v>1.1095600000000001</v>
      </c>
      <c r="L3039">
        <v>215.39160000000001</v>
      </c>
      <c r="M3039">
        <v>0.99699099999999996</v>
      </c>
      <c r="N3039">
        <v>-2.6158510000000002E-3</v>
      </c>
      <c r="O3039">
        <v>-7.7475080000000002E-2</v>
      </c>
      <c r="P3039">
        <v>0.9943613</v>
      </c>
      <c r="Q3039">
        <v>-9.4371869999999997E-2</v>
      </c>
      <c r="R3039">
        <v>4.8370539999999997E-2</v>
      </c>
      <c r="S3039">
        <v>2.9890140000000001</v>
      </c>
      <c r="T3039">
        <v>-0.1872665</v>
      </c>
      <c r="U3039">
        <v>0.21026610000000001</v>
      </c>
      <c r="V3039">
        <v>-0.12486700000000001</v>
      </c>
      <c r="W3039">
        <v>-9.2326859999999997E-2</v>
      </c>
      <c r="X3039">
        <v>0.98786839999999998</v>
      </c>
      <c r="Y3039">
        <v>-0.14680869999999999</v>
      </c>
      <c r="Z3039">
        <v>9.4218159999999995E-3</v>
      </c>
      <c r="AA3039">
        <v>0.98912</v>
      </c>
      <c r="AB3039">
        <v>23</v>
      </c>
      <c r="AC3039">
        <v>17.475399999999901</v>
      </c>
      <c r="AD3039">
        <v>-1.10955696127</v>
      </c>
      <c r="AE3039">
        <v>1.2614999999999801</v>
      </c>
      <c r="AF3039">
        <v>-2.60118891406248</v>
      </c>
      <c r="AG3039">
        <v>-1.10955696127</v>
      </c>
      <c r="AH3039">
        <v>17.255935307829201</v>
      </c>
      <c r="AI3039">
        <v>93.638065375407706</v>
      </c>
      <c r="AJ3039">
        <v>98.572321879773696</v>
      </c>
      <c r="AK3039">
        <v>17.4861260365163</v>
      </c>
      <c r="AL3039">
        <v>95.297483869625694</v>
      </c>
      <c r="AM3039">
        <v>97.204007510353804</v>
      </c>
      <c r="AN3039">
        <v>0.99999999624250901</v>
      </c>
    </row>
    <row r="3040" spans="1:40" x14ac:dyDescent="0.25">
      <c r="A3040" t="str">
        <f>"20190305135252683"</f>
        <v>20190305135252683</v>
      </c>
      <c r="B3040" t="str">
        <f>"1551765172672544"</f>
        <v>1551765172672544</v>
      </c>
      <c r="C3040" t="s">
        <v>40</v>
      </c>
      <c r="D3040">
        <v>4.7128750000000004</v>
      </c>
      <c r="E3040">
        <v>0.49310470000000001</v>
      </c>
      <c r="F3040" t="s">
        <v>66</v>
      </c>
      <c r="G3040">
        <v>-432.26749999999998</v>
      </c>
      <c r="H3040" s="1">
        <v>3.0510730000000002E-6</v>
      </c>
      <c r="I3040">
        <v>216.57769999999999</v>
      </c>
      <c r="J3040">
        <v>-449.48779999999999</v>
      </c>
      <c r="K3040">
        <v>1.1095619999999999</v>
      </c>
      <c r="L3040">
        <v>215.376</v>
      </c>
      <c r="M3040">
        <v>0.9972259</v>
      </c>
      <c r="N3040">
        <v>-2.5564559999999999E-3</v>
      </c>
      <c r="O3040">
        <v>-7.4392059999999996E-2</v>
      </c>
      <c r="P3040">
        <v>0.99461849999999996</v>
      </c>
      <c r="Q3040">
        <v>-9.2500789999999999E-2</v>
      </c>
      <c r="R3040">
        <v>4.6665150000000002E-2</v>
      </c>
      <c r="S3040">
        <v>2.9891049999999999</v>
      </c>
      <c r="T3040">
        <v>-0.18992690000000001</v>
      </c>
      <c r="U3040">
        <v>0.2030334</v>
      </c>
      <c r="V3040">
        <v>-0.1201358</v>
      </c>
      <c r="W3040">
        <v>-9.0496930000000003E-2</v>
      </c>
      <c r="X3040">
        <v>0.98862419999999995</v>
      </c>
      <c r="Y3040">
        <v>-0.14136870000000001</v>
      </c>
      <c r="Z3040">
        <v>9.1892699999999994E-3</v>
      </c>
      <c r="AA3040">
        <v>0.98991439999999997</v>
      </c>
      <c r="AB3040">
        <v>23</v>
      </c>
      <c r="AC3040">
        <v>17.220300000000002</v>
      </c>
      <c r="AD3040">
        <v>-1.1095589489269999</v>
      </c>
      <c r="AE3040">
        <v>1.20170000000001</v>
      </c>
      <c r="AF3040">
        <v>-2.4692261472498598</v>
      </c>
      <c r="AG3040">
        <v>-1.1095589489269999</v>
      </c>
      <c r="AH3040">
        <v>17.012897185899501</v>
      </c>
      <c r="AI3040">
        <v>93.692887159070807</v>
      </c>
      <c r="AJ3040">
        <v>98.258158372140997</v>
      </c>
      <c r="AK3040">
        <v>17.226922809526702</v>
      </c>
      <c r="AL3040">
        <v>95.192195449378701</v>
      </c>
      <c r="AM3040">
        <v>96.928507680039502</v>
      </c>
      <c r="AN3040">
        <v>1.00000005680335</v>
      </c>
    </row>
    <row r="3041" spans="1:40" x14ac:dyDescent="0.25">
      <c r="A3041" t="str">
        <f>"20190305135252704"</f>
        <v>20190305135252704</v>
      </c>
      <c r="B3041" t="str">
        <f>"1551765172693041"</f>
        <v>1551765172693041</v>
      </c>
      <c r="C3041" t="s">
        <v>40</v>
      </c>
      <c r="D3041">
        <v>4.6835750000000003</v>
      </c>
      <c r="E3041">
        <v>0.4933438</v>
      </c>
      <c r="F3041" t="s">
        <v>66</v>
      </c>
      <c r="G3041">
        <v>-431.85860000000002</v>
      </c>
      <c r="H3041" s="1">
        <v>2.8738139999999999E-6</v>
      </c>
      <c r="I3041">
        <v>216.5307</v>
      </c>
      <c r="J3041">
        <v>-449.25900000000001</v>
      </c>
      <c r="K3041">
        <v>1.1095459999999999</v>
      </c>
      <c r="L3041">
        <v>215.36199999999999</v>
      </c>
      <c r="M3041">
        <v>0.9974364</v>
      </c>
      <c r="N3041">
        <v>-2.4895070000000002E-3</v>
      </c>
      <c r="O3041">
        <v>-7.1515960000000003E-2</v>
      </c>
      <c r="P3041">
        <v>0.99488969999999999</v>
      </c>
      <c r="Q3041">
        <v>-9.0490520000000005E-2</v>
      </c>
      <c r="R3041">
        <v>4.4791640000000001E-2</v>
      </c>
      <c r="S3041">
        <v>2.9895320000000001</v>
      </c>
      <c r="T3041">
        <v>-0.18815709999999999</v>
      </c>
      <c r="U3041">
        <v>0.1958008</v>
      </c>
      <c r="V3041">
        <v>-0.11544310000000001</v>
      </c>
      <c r="W3041">
        <v>-8.8531990000000005E-2</v>
      </c>
      <c r="X3041">
        <v>0.98936089999999999</v>
      </c>
      <c r="Y3041">
        <v>-0.13614219999999999</v>
      </c>
      <c r="Z3041">
        <v>8.7592439999999994E-3</v>
      </c>
      <c r="AA3041">
        <v>0.99065060000000005</v>
      </c>
      <c r="AB3041">
        <v>23</v>
      </c>
      <c r="AC3041">
        <v>17.400399999999902</v>
      </c>
      <c r="AD3041">
        <v>-1.10954312618599</v>
      </c>
      <c r="AE3041">
        <v>1.1687000000000001</v>
      </c>
      <c r="AF3041">
        <v>-2.4004013191824201</v>
      </c>
      <c r="AG3041">
        <v>-1.10954312618599</v>
      </c>
      <c r="AH3041">
        <v>17.202632084013199</v>
      </c>
      <c r="AI3041">
        <v>93.6550632268372</v>
      </c>
      <c r="AJ3041">
        <v>97.943583058350697</v>
      </c>
      <c r="AK3041">
        <v>17.4046994533062</v>
      </c>
      <c r="AL3041">
        <v>95.079159141478598</v>
      </c>
      <c r="AM3041">
        <v>96.655434130002902</v>
      </c>
      <c r="AN3041">
        <v>1.00000000651989</v>
      </c>
    </row>
    <row r="3042" spans="1:40" x14ac:dyDescent="0.25">
      <c r="A3042" t="str">
        <f>"20190305135252725"</f>
        <v>20190305135252725</v>
      </c>
      <c r="B3042" t="str">
        <f>"1551765172722320"</f>
        <v>1551765172722320</v>
      </c>
      <c r="C3042" t="s">
        <v>40</v>
      </c>
      <c r="D3042">
        <v>4.6910230000000004</v>
      </c>
      <c r="E3042">
        <v>0.49356339999999999</v>
      </c>
      <c r="F3042" t="s">
        <v>66</v>
      </c>
      <c r="G3042">
        <v>-431.37470000000002</v>
      </c>
      <c r="H3042" s="1">
        <v>2.6629349999999999E-6</v>
      </c>
      <c r="I3042">
        <v>216.48869999999999</v>
      </c>
      <c r="J3042">
        <v>-449.03960000000001</v>
      </c>
      <c r="K3042">
        <v>1.1095090000000001</v>
      </c>
      <c r="L3042">
        <v>215.3492</v>
      </c>
      <c r="M3042">
        <v>0.99762729999999999</v>
      </c>
      <c r="N3042">
        <v>-2.4136740000000002E-3</v>
      </c>
      <c r="O3042">
        <v>-6.8803999999999907E-2</v>
      </c>
      <c r="P3042">
        <v>0.99477179999999998</v>
      </c>
      <c r="Q3042">
        <v>-9.1482949999999993E-2</v>
      </c>
      <c r="R3042">
        <v>4.5387650000000002E-2</v>
      </c>
      <c r="S3042">
        <v>2.9900820000000001</v>
      </c>
      <c r="T3042">
        <v>-0.18550549999999999</v>
      </c>
      <c r="U3042">
        <v>0.1883698</v>
      </c>
      <c r="V3042">
        <v>-0.1133361</v>
      </c>
      <c r="W3042">
        <v>-8.9588429999999997E-2</v>
      </c>
      <c r="X3042">
        <v>0.98950939999999998</v>
      </c>
      <c r="Y3042">
        <v>-0.13100999999999999</v>
      </c>
      <c r="Z3042">
        <v>8.3087809999999995E-3</v>
      </c>
      <c r="AA3042">
        <v>0.99134619999999996</v>
      </c>
      <c r="AB3042">
        <v>23</v>
      </c>
      <c r="AC3042">
        <v>17.6648999999999</v>
      </c>
      <c r="AD3042">
        <v>-1.109506337065</v>
      </c>
      <c r="AE3042">
        <v>1.13949999999999</v>
      </c>
      <c r="AF3042">
        <v>-2.3430142046971301</v>
      </c>
      <c r="AG3042">
        <v>-1.109506337065</v>
      </c>
      <c r="AH3042">
        <v>17.475979534377601</v>
      </c>
      <c r="AI3042">
        <v>93.600560729340998</v>
      </c>
      <c r="AJ3042">
        <v>97.636141004862296</v>
      </c>
      <c r="AK3042">
        <v>17.667217680251401</v>
      </c>
      <c r="AL3042">
        <v>95.139930191741698</v>
      </c>
      <c r="AM3042">
        <v>96.534051160575004</v>
      </c>
      <c r="AN3042">
        <v>1.0000000055207099</v>
      </c>
    </row>
    <row r="3043" spans="1:40" x14ac:dyDescent="0.25">
      <c r="A3043" t="str">
        <f>"20190305135252747"</f>
        <v>20190305135252747</v>
      </c>
      <c r="B3043" t="str">
        <f>"1551765172742816"</f>
        <v>1551765172742816</v>
      </c>
      <c r="C3043" t="s">
        <v>40</v>
      </c>
      <c r="D3043">
        <v>4.6730619999999998</v>
      </c>
      <c r="E3043">
        <v>0.49343530000000002</v>
      </c>
      <c r="F3043" t="s">
        <v>66</v>
      </c>
      <c r="G3043">
        <v>-431.68180000000001</v>
      </c>
      <c r="H3043" s="1">
        <v>2.80315E-6</v>
      </c>
      <c r="I3043">
        <v>216.44239999999999</v>
      </c>
      <c r="J3043">
        <v>-448.80509999999998</v>
      </c>
      <c r="K3043">
        <v>1.1094569999999999</v>
      </c>
      <c r="L3043">
        <v>215.33609999999999</v>
      </c>
      <c r="M3043">
        <v>0.99781889999999995</v>
      </c>
      <c r="N3043">
        <v>-2.3223250000000001E-3</v>
      </c>
      <c r="O3043">
        <v>-6.5970810000000005E-2</v>
      </c>
      <c r="P3043">
        <v>0.99467090000000002</v>
      </c>
      <c r="Q3043">
        <v>-9.301624E-2</v>
      </c>
      <c r="R3043">
        <v>4.4472400000000002E-2</v>
      </c>
      <c r="S3043">
        <v>2.9896240000000001</v>
      </c>
      <c r="T3043">
        <v>-0.1910964</v>
      </c>
      <c r="U3043">
        <v>0.1882935</v>
      </c>
      <c r="V3043">
        <v>-0.10960259999999999</v>
      </c>
      <c r="W3043">
        <v>-9.1191330000000001E-2</v>
      </c>
      <c r="X3043">
        <v>0.98978350000000004</v>
      </c>
      <c r="Y3043">
        <v>-0.12816649999999999</v>
      </c>
      <c r="Z3043">
        <v>8.2924780000000007E-3</v>
      </c>
      <c r="AA3043">
        <v>0.99171799999999999</v>
      </c>
      <c r="AB3043">
        <v>24</v>
      </c>
      <c r="AC3043">
        <v>17.123299999999901</v>
      </c>
      <c r="AD3043">
        <v>-1.10945419685</v>
      </c>
      <c r="AE3043">
        <v>1.1063000000000001</v>
      </c>
      <c r="AF3043">
        <v>-2.2242323895869398</v>
      </c>
      <c r="AG3043">
        <v>-1.10945419685</v>
      </c>
      <c r="AH3043">
        <v>16.942186029184601</v>
      </c>
      <c r="AI3043">
        <v>93.714861897738999</v>
      </c>
      <c r="AJ3043">
        <v>97.479226876748996</v>
      </c>
      <c r="AK3043">
        <v>17.123544194625499</v>
      </c>
      <c r="AL3043">
        <v>95.232147219880503</v>
      </c>
      <c r="AM3043">
        <v>96.318842563772606</v>
      </c>
      <c r="AN3043">
        <v>0.99999998273308899</v>
      </c>
    </row>
    <row r="3044" spans="1:40" x14ac:dyDescent="0.25">
      <c r="A3044" t="str">
        <f>"20190305135252770"</f>
        <v>20190305135252770</v>
      </c>
      <c r="B3044" t="str">
        <f>"1551765172763312"</f>
        <v>1551765172763312</v>
      </c>
      <c r="C3044" t="s">
        <v>40</v>
      </c>
      <c r="D3044">
        <v>4.6944330000000001</v>
      </c>
      <c r="E3044">
        <v>0.4933884</v>
      </c>
      <c r="F3044" t="s">
        <v>66</v>
      </c>
      <c r="G3044">
        <v>-432.00959999999998</v>
      </c>
      <c r="H3044" s="1">
        <v>2.9535600000000001E-6</v>
      </c>
      <c r="I3044">
        <v>216.38480000000001</v>
      </c>
      <c r="J3044">
        <v>-448.55599999999998</v>
      </c>
      <c r="K3044">
        <v>1.1093930000000001</v>
      </c>
      <c r="L3044">
        <v>215.3227</v>
      </c>
      <c r="M3044">
        <v>0.99800869999999997</v>
      </c>
      <c r="N3044">
        <v>-2.2205760000000001E-3</v>
      </c>
      <c r="O3044">
        <v>-6.3038060000000007E-2</v>
      </c>
      <c r="P3044">
        <v>0.99451350000000005</v>
      </c>
      <c r="Q3044">
        <v>-9.5187980000000005E-2</v>
      </c>
      <c r="R3044">
        <v>4.3387839999999997E-2</v>
      </c>
      <c r="S3044">
        <v>2.9892880000000002</v>
      </c>
      <c r="T3044">
        <v>-0.1974622</v>
      </c>
      <c r="U3044">
        <v>0.18666079999999999</v>
      </c>
      <c r="V3044">
        <v>-0.1055967</v>
      </c>
      <c r="W3044">
        <v>-9.3440430000000005E-2</v>
      </c>
      <c r="X3044">
        <v>0.99000920000000003</v>
      </c>
      <c r="Y3044">
        <v>-0.1247056</v>
      </c>
      <c r="Z3044">
        <v>8.2648749999999997E-3</v>
      </c>
      <c r="AA3044">
        <v>0.99215940000000002</v>
      </c>
      <c r="AB3044">
        <v>24</v>
      </c>
      <c r="AC3044">
        <v>16.546399999999998</v>
      </c>
      <c r="AD3044">
        <v>-1.1093900464399999</v>
      </c>
      <c r="AE3044">
        <v>1.06210000000001</v>
      </c>
      <c r="AF3044">
        <v>-2.09366996728121</v>
      </c>
      <c r="AG3044">
        <v>-1.1093900464399999</v>
      </c>
      <c r="AH3044">
        <v>16.373237141452002</v>
      </c>
      <c r="AI3044">
        <v>93.8450131289637</v>
      </c>
      <c r="AJ3044">
        <v>97.286950900277503</v>
      </c>
      <c r="AK3044">
        <v>16.543793237865899</v>
      </c>
      <c r="AL3044">
        <v>95.361563752098903</v>
      </c>
      <c r="AM3044">
        <v>96.088283163700098</v>
      </c>
      <c r="AN3044">
        <v>0.99999999654705696</v>
      </c>
    </row>
    <row r="3045" spans="1:40" x14ac:dyDescent="0.25">
      <c r="A3045" t="str">
        <f>"20190305135252793"</f>
        <v>20190305135252793</v>
      </c>
      <c r="B3045" t="str">
        <f>"1551765172782365"</f>
        <v>1551765172782365</v>
      </c>
      <c r="C3045" t="s">
        <v>40</v>
      </c>
      <c r="D3045">
        <v>4.7013150000000001</v>
      </c>
      <c r="E3045">
        <v>0.49341629999999997</v>
      </c>
      <c r="F3045" t="s">
        <v>66</v>
      </c>
      <c r="G3045">
        <v>-432.45830000000001</v>
      </c>
      <c r="H3045" s="1">
        <v>3.1588920000000001E-6</v>
      </c>
      <c r="I3045">
        <v>216.3124</v>
      </c>
      <c r="J3045">
        <v>-448.31420000000003</v>
      </c>
      <c r="K3045">
        <v>1.1093470000000001</v>
      </c>
      <c r="L3045">
        <v>215.31039999999999</v>
      </c>
      <c r="M3045">
        <v>0.99818030000000002</v>
      </c>
      <c r="N3045">
        <v>-2.1238350000000001E-3</v>
      </c>
      <c r="O3045">
        <v>-6.0262429999999999E-2</v>
      </c>
      <c r="P3045">
        <v>0.99446889999999999</v>
      </c>
      <c r="Q3045">
        <v>-9.6349069999999995E-2</v>
      </c>
      <c r="R3045">
        <v>4.181638E-2</v>
      </c>
      <c r="S3045">
        <v>2.988861</v>
      </c>
      <c r="T3045">
        <v>-0.20598130000000001</v>
      </c>
      <c r="U3045">
        <v>0.1837463</v>
      </c>
      <c r="V3045">
        <v>-0.1012715</v>
      </c>
      <c r="W3045">
        <v>-9.4673489999999999E-2</v>
      </c>
      <c r="X3045">
        <v>0.99034390000000005</v>
      </c>
      <c r="Y3045">
        <v>-0.12096999999999999</v>
      </c>
      <c r="Z3045">
        <v>8.3048459999999994E-3</v>
      </c>
      <c r="AA3045">
        <v>0.99262139999999999</v>
      </c>
      <c r="AB3045">
        <v>24</v>
      </c>
      <c r="AC3045">
        <v>15.8559</v>
      </c>
      <c r="AD3045">
        <v>-1.1093438411080001</v>
      </c>
      <c r="AE3045">
        <v>1.002</v>
      </c>
      <c r="AF3045">
        <v>-1.94620740732296</v>
      </c>
      <c r="AG3045">
        <v>-1.1093438411080001</v>
      </c>
      <c r="AH3045">
        <v>15.6902020939868</v>
      </c>
      <c r="AI3045">
        <v>94.013594895096602</v>
      </c>
      <c r="AJ3045">
        <v>97.070833313254496</v>
      </c>
      <c r="AK3045">
        <v>15.849315719622499</v>
      </c>
      <c r="AL3045">
        <v>95.432527394520505</v>
      </c>
      <c r="AM3045">
        <v>95.838709535951097</v>
      </c>
      <c r="AN3045">
        <v>1.00000001334412</v>
      </c>
    </row>
    <row r="3046" spans="1:40" x14ac:dyDescent="0.25">
      <c r="A3046" t="str">
        <f>"20190305135252814"</f>
        <v>20190305135252814</v>
      </c>
      <c r="B3046" t="str">
        <f>"1551765172802857"</f>
        <v>1551765172802857</v>
      </c>
      <c r="C3046" t="s">
        <v>40</v>
      </c>
      <c r="D3046">
        <v>4.7302330000000001</v>
      </c>
      <c r="E3046">
        <v>0.53126850000000003</v>
      </c>
      <c r="F3046" t="s">
        <v>66</v>
      </c>
      <c r="G3046">
        <v>-432.5686</v>
      </c>
      <c r="H3046" s="1">
        <v>3.2129909999999999E-6</v>
      </c>
      <c r="I3046">
        <v>216.25290000000001</v>
      </c>
      <c r="J3046">
        <v>-448.07900000000001</v>
      </c>
      <c r="K3046">
        <v>1.1093059999999999</v>
      </c>
      <c r="L3046">
        <v>215.29900000000001</v>
      </c>
      <c r="M3046">
        <v>0.998336</v>
      </c>
      <c r="N3046">
        <v>-2.0360560000000001E-3</v>
      </c>
      <c r="O3046">
        <v>-5.7631399999999999E-2</v>
      </c>
      <c r="P3046">
        <v>0.99449339999999997</v>
      </c>
      <c r="Q3046">
        <v>-9.6712129999999993E-2</v>
      </c>
      <c r="R3046">
        <v>4.0372360000000003E-2</v>
      </c>
      <c r="S3046">
        <v>2.9887079999999999</v>
      </c>
      <c r="T3046">
        <v>-0.21056720000000001</v>
      </c>
      <c r="U3046">
        <v>0.178894</v>
      </c>
      <c r="V3046">
        <v>-9.7223409999999996E-2</v>
      </c>
      <c r="W3046">
        <v>-9.5101770000000002E-2</v>
      </c>
      <c r="X3046">
        <v>0.99070849999999999</v>
      </c>
      <c r="Y3046">
        <v>-0.116747699999999</v>
      </c>
      <c r="Z3046">
        <v>8.1577490000000006E-3</v>
      </c>
      <c r="AA3046">
        <v>0.99312809999999996</v>
      </c>
      <c r="AB3046">
        <v>24</v>
      </c>
      <c r="AC3046">
        <v>15.510400000000001</v>
      </c>
      <c r="AD3046">
        <v>-1.109302787009</v>
      </c>
      <c r="AE3046">
        <v>0.95390000000000397</v>
      </c>
      <c r="AF3046">
        <v>-1.83684210416729</v>
      </c>
      <c r="AG3046">
        <v>-1.109302787009</v>
      </c>
      <c r="AH3046">
        <v>15.3514176592886</v>
      </c>
      <c r="AI3046">
        <v>94.1038724832882</v>
      </c>
      <c r="AJ3046">
        <v>96.823169256474202</v>
      </c>
      <c r="AK3046">
        <v>15.5006633967333</v>
      </c>
      <c r="AL3046">
        <v>95.457177132479899</v>
      </c>
      <c r="AM3046">
        <v>95.604788327965807</v>
      </c>
      <c r="AN3046">
        <v>1.0000000350406999</v>
      </c>
    </row>
    <row r="3047" spans="1:40" x14ac:dyDescent="0.25">
      <c r="A3047" t="str">
        <f>"20190305135252837"</f>
        <v>20190305135252837</v>
      </c>
      <c r="B3047" t="str">
        <f>"1551765172833113"</f>
        <v>1551765172833113</v>
      </c>
      <c r="C3047" t="s">
        <v>40</v>
      </c>
      <c r="D3047">
        <v>4.8221239999999996</v>
      </c>
      <c r="E3047">
        <v>0.55861490000000003</v>
      </c>
      <c r="F3047" t="s">
        <v>66</v>
      </c>
      <c r="G3047">
        <v>-422.57709999999997</v>
      </c>
      <c r="H3047" s="1">
        <v>3.5411330000000001E-6</v>
      </c>
      <c r="I3047">
        <v>214.2311</v>
      </c>
      <c r="J3047">
        <v>-447.8372</v>
      </c>
      <c r="K3047">
        <v>1.1092770000000001</v>
      </c>
      <c r="L3047">
        <v>215.2878</v>
      </c>
      <c r="M3047">
        <v>0.9984847</v>
      </c>
      <c r="N3047">
        <v>-1.9544969999999999E-3</v>
      </c>
      <c r="O3047">
        <v>-5.4995009999999997E-2</v>
      </c>
      <c r="P3047">
        <v>0.99454509999999996</v>
      </c>
      <c r="Q3047">
        <v>-9.6798490000000001E-2</v>
      </c>
      <c r="R3047">
        <v>3.8860270000000002E-2</v>
      </c>
      <c r="S3047">
        <v>3.008972</v>
      </c>
      <c r="T3047">
        <v>-0.130886999999999</v>
      </c>
      <c r="U3047">
        <v>-0.12600710000000001</v>
      </c>
      <c r="V3047">
        <v>-9.31033E-2</v>
      </c>
      <c r="W3047">
        <v>-9.5247540000000006E-2</v>
      </c>
      <c r="X3047">
        <v>0.99109009999999997</v>
      </c>
      <c r="Y3047">
        <v>-1.3109620000000001E-2</v>
      </c>
      <c r="Z3047">
        <v>2.5786820000000001E-3</v>
      </c>
      <c r="AA3047">
        <v>0.99991070000000004</v>
      </c>
      <c r="AB3047">
        <v>24</v>
      </c>
      <c r="AC3047">
        <v>25.260100000000001</v>
      </c>
      <c r="AD3047">
        <v>-1.1092734588669999</v>
      </c>
      <c r="AE3047">
        <v>-1.0567</v>
      </c>
      <c r="AF3047">
        <v>-0.33343941711869102</v>
      </c>
      <c r="AG3047">
        <v>-1.1092734588669999</v>
      </c>
      <c r="AH3047">
        <v>25.231412921003098</v>
      </c>
      <c r="AI3047">
        <v>92.517110261656995</v>
      </c>
      <c r="AJ3047">
        <v>90.757133947907803</v>
      </c>
      <c r="AK3047">
        <v>25.2579862111292</v>
      </c>
      <c r="AL3047">
        <v>95.465567677465998</v>
      </c>
      <c r="AM3047">
        <v>95.3666331670955</v>
      </c>
      <c r="AN3047">
        <v>0.99999995233247396</v>
      </c>
    </row>
    <row r="3048" spans="1:40" x14ac:dyDescent="0.25">
      <c r="A3048" t="str">
        <f>"20190305135252859"</f>
        <v>20190305135252859</v>
      </c>
      <c r="B3048" t="str">
        <f>"1551765172852633"</f>
        <v>1551765172852633</v>
      </c>
      <c r="C3048" t="s">
        <v>40</v>
      </c>
      <c r="D3048">
        <v>4.7393419999999997</v>
      </c>
      <c r="E3048">
        <v>0.56451109999999904</v>
      </c>
      <c r="F3048" t="s">
        <v>66</v>
      </c>
      <c r="G3048">
        <v>-424.1377</v>
      </c>
      <c r="H3048" s="1">
        <v>3.41126E-6</v>
      </c>
      <c r="I3048">
        <v>212.55029999999999</v>
      </c>
      <c r="J3048">
        <v>-447.58190000000002</v>
      </c>
      <c r="K3048">
        <v>1.109256</v>
      </c>
      <c r="L3048">
        <v>215.2766</v>
      </c>
      <c r="M3048">
        <v>0.99863060000000003</v>
      </c>
      <c r="N3048">
        <v>-1.8784699999999999E-3</v>
      </c>
      <c r="O3048">
        <v>-5.2282429999999998E-2</v>
      </c>
      <c r="P3048">
        <v>0.99468179999999995</v>
      </c>
      <c r="Q3048">
        <v>-9.6043660000000003E-2</v>
      </c>
      <c r="R3048">
        <v>3.7200249999999997E-2</v>
      </c>
      <c r="S3048">
        <v>3.016327</v>
      </c>
      <c r="T3048">
        <v>-0.1411818</v>
      </c>
      <c r="U3048">
        <v>-0.34841919999999998</v>
      </c>
      <c r="V3048">
        <v>-8.8767189999999996E-2</v>
      </c>
      <c r="W3048">
        <v>-9.454601E-2</v>
      </c>
      <c r="X3048">
        <v>0.99155499999999996</v>
      </c>
      <c r="Y3048">
        <v>6.2635590000000005E-2</v>
      </c>
      <c r="Z3048">
        <v>8.1782229999999897E-4</v>
      </c>
      <c r="AA3048">
        <v>0.99803609999999998</v>
      </c>
      <c r="AB3048">
        <v>25</v>
      </c>
      <c r="AC3048">
        <v>23.444199999999999</v>
      </c>
      <c r="AD3048">
        <v>-1.10925258874</v>
      </c>
      <c r="AE3048">
        <v>-2.7263000000000002</v>
      </c>
      <c r="AF3048">
        <v>1.49355050360337</v>
      </c>
      <c r="AG3048">
        <v>-1.10925258874</v>
      </c>
      <c r="AH3048">
        <v>23.502761094441201</v>
      </c>
      <c r="AI3048">
        <v>92.696734481052104</v>
      </c>
      <c r="AJ3048">
        <v>86.363864397076497</v>
      </c>
      <c r="AK3048">
        <v>23.576278618026599</v>
      </c>
      <c r="AL3048">
        <v>95.425190817131906</v>
      </c>
      <c r="AM3048">
        <v>95.115665051082701</v>
      </c>
      <c r="AN3048">
        <v>0.99999994002620596</v>
      </c>
    </row>
    <row r="3049" spans="1:40" x14ac:dyDescent="0.25">
      <c r="A3049" t="str">
        <f>"20190305135252884"</f>
        <v>20190305135252884</v>
      </c>
      <c r="B3049" t="str">
        <f>"1551765172873130"</f>
        <v>1551765172873130</v>
      </c>
      <c r="C3049" t="s">
        <v>40</v>
      </c>
      <c r="D3049">
        <v>4.6960430000000004</v>
      </c>
      <c r="E3049">
        <v>0.56724580000000002</v>
      </c>
      <c r="F3049" t="s">
        <v>66</v>
      </c>
      <c r="G3049">
        <v>-422.96319999999997</v>
      </c>
      <c r="H3049" s="1">
        <v>3.6668109999999999E-6</v>
      </c>
      <c r="I3049">
        <v>212.0103</v>
      </c>
      <c r="J3049">
        <v>-447.31290000000001</v>
      </c>
      <c r="K3049">
        <v>1.109246</v>
      </c>
      <c r="L3049">
        <v>215.2655</v>
      </c>
      <c r="M3049">
        <v>0.99877289999999996</v>
      </c>
      <c r="N3049">
        <v>-1.809164E-3</v>
      </c>
      <c r="O3049">
        <v>-4.9491779999999999E-2</v>
      </c>
      <c r="P3049">
        <v>0.99485000000000001</v>
      </c>
      <c r="Q3049">
        <v>-9.5049469999999997E-2</v>
      </c>
      <c r="R3049">
        <v>3.5200229999999999E-2</v>
      </c>
      <c r="S3049">
        <v>3.0178530000000001</v>
      </c>
      <c r="T3049">
        <v>-0.13597629999999999</v>
      </c>
      <c r="U3049">
        <v>-0.40040589999999998</v>
      </c>
      <c r="V3049">
        <v>-8.4013980000000002E-2</v>
      </c>
      <c r="W3049">
        <v>-9.3597420000000001E-2</v>
      </c>
      <c r="X3049">
        <v>0.99205909999999997</v>
      </c>
      <c r="Y3049">
        <v>8.226348E-2</v>
      </c>
      <c r="Z3049">
        <v>2.08376E-4</v>
      </c>
      <c r="AA3049">
        <v>0.99661060000000001</v>
      </c>
      <c r="AB3049">
        <v>25</v>
      </c>
      <c r="AC3049">
        <v>24.349699999999999</v>
      </c>
      <c r="AD3049">
        <v>-1.109242333189</v>
      </c>
      <c r="AE3049">
        <v>-3.2551999999999999</v>
      </c>
      <c r="AF3049">
        <v>2.04193580270729</v>
      </c>
      <c r="AG3049">
        <v>-1.109242333189</v>
      </c>
      <c r="AH3049">
        <v>24.431155999884599</v>
      </c>
      <c r="AI3049">
        <v>92.590582098960894</v>
      </c>
      <c r="AJ3049">
        <v>85.222370186784502</v>
      </c>
      <c r="AK3049">
        <v>24.541420168091602</v>
      </c>
      <c r="AL3049">
        <v>95.370597965880094</v>
      </c>
      <c r="AM3049">
        <v>94.840627176362801</v>
      </c>
      <c r="AN3049">
        <v>1.0000000418794499</v>
      </c>
    </row>
    <row r="3050" spans="1:40" x14ac:dyDescent="0.25">
      <c r="A3050" t="str">
        <f>"20190305135252904"</f>
        <v>20190305135252904</v>
      </c>
      <c r="B3050" t="str">
        <f>"1551765172893156"</f>
        <v>1551765172893156</v>
      </c>
      <c r="C3050" t="s">
        <v>40</v>
      </c>
      <c r="D3050">
        <v>4.7144719999999998</v>
      </c>
      <c r="E3050">
        <v>0.56820179999999998</v>
      </c>
      <c r="F3050" t="s">
        <v>66</v>
      </c>
      <c r="G3050">
        <v>-421.97809999999998</v>
      </c>
      <c r="H3050" s="1">
        <v>3.8712479999999999E-6</v>
      </c>
      <c r="I3050">
        <v>211.6705</v>
      </c>
      <c r="J3050">
        <v>-447.07740000000001</v>
      </c>
      <c r="K3050">
        <v>1.1092409999999999</v>
      </c>
      <c r="L3050">
        <v>215.25630000000001</v>
      </c>
      <c r="M3050">
        <v>0.99888889999999997</v>
      </c>
      <c r="N3050">
        <v>-1.7602430000000001E-3</v>
      </c>
      <c r="O3050">
        <v>-4.7099040000000002E-2</v>
      </c>
      <c r="P3050">
        <v>0.99502469999999998</v>
      </c>
      <c r="Q3050">
        <v>-9.417383E-2</v>
      </c>
      <c r="R3050">
        <v>3.252377E-2</v>
      </c>
      <c r="S3050">
        <v>3.018097</v>
      </c>
      <c r="T3050">
        <v>-0.1321427</v>
      </c>
      <c r="U3050">
        <v>-0.42826839999999999</v>
      </c>
      <c r="V3050">
        <v>-7.8977930000000002E-2</v>
      </c>
      <c r="W3050">
        <v>-9.2747389999999999E-2</v>
      </c>
      <c r="X3050">
        <v>0.99255249999999995</v>
      </c>
      <c r="Y3050">
        <v>9.3654130000000002E-2</v>
      </c>
      <c r="Z3050">
        <v>-1.5585419999999999E-4</v>
      </c>
      <c r="AA3050">
        <v>0.99560479999999996</v>
      </c>
      <c r="AB3050">
        <v>25</v>
      </c>
      <c r="AC3050">
        <v>25.099299999999999</v>
      </c>
      <c r="AD3050">
        <v>-1.109237128752</v>
      </c>
      <c r="AE3050">
        <v>-3.5857999999999999</v>
      </c>
      <c r="AF3050">
        <v>2.3950817779564</v>
      </c>
      <c r="AG3050">
        <v>-1.109237128752</v>
      </c>
      <c r="AH3050">
        <v>25.192114610414201</v>
      </c>
      <c r="AI3050">
        <v>92.509866112799799</v>
      </c>
      <c r="AJ3050">
        <v>84.5690606830603</v>
      </c>
      <c r="AK3050">
        <v>25.330011098993701</v>
      </c>
      <c r="AL3050">
        <v>95.321682121559704</v>
      </c>
      <c r="AM3050">
        <v>94.549470177684398</v>
      </c>
      <c r="AN3050">
        <v>1.0000000285175701</v>
      </c>
    </row>
    <row r="3051" spans="1:40" x14ac:dyDescent="0.25">
      <c r="A3051" t="str">
        <f>"20190305135252925"</f>
        <v>20190305135252925</v>
      </c>
      <c r="B3051" t="str">
        <f>"1551765172922438"</f>
        <v>1551765172922438</v>
      </c>
      <c r="C3051" t="s">
        <v>40</v>
      </c>
      <c r="D3051">
        <v>4.6884079999999999</v>
      </c>
      <c r="E3051">
        <v>0.56913139999999995</v>
      </c>
      <c r="F3051" t="s">
        <v>66</v>
      </c>
      <c r="G3051">
        <v>-420.08949999999999</v>
      </c>
      <c r="H3051" s="1">
        <v>4.2398630000000003E-6</v>
      </c>
      <c r="I3051">
        <v>211.286</v>
      </c>
      <c r="J3051">
        <v>-446.8415</v>
      </c>
      <c r="K3051">
        <v>1.1092340000000001</v>
      </c>
      <c r="L3051">
        <v>215.24760000000001</v>
      </c>
      <c r="M3051">
        <v>0.99899729999999998</v>
      </c>
      <c r="N3051">
        <v>-1.7252229999999999E-3</v>
      </c>
      <c r="O3051">
        <v>-4.474098E-2</v>
      </c>
      <c r="P3051">
        <v>0.99515189999999998</v>
      </c>
      <c r="Q3051">
        <v>-9.3728099999999995E-2</v>
      </c>
      <c r="R3051">
        <v>2.9801210000000002E-2</v>
      </c>
      <c r="S3051">
        <v>3.0177610000000001</v>
      </c>
      <c r="T3051">
        <v>-0.124034199999999</v>
      </c>
      <c r="U3051">
        <v>-0.44395449999999997</v>
      </c>
      <c r="V3051">
        <v>-7.3923329999999995E-2</v>
      </c>
      <c r="W3051">
        <v>-9.231462E-2</v>
      </c>
      <c r="X3051">
        <v>0.99298200000000003</v>
      </c>
      <c r="Y3051">
        <v>0.1010838</v>
      </c>
      <c r="Z3051">
        <v>-4.035307E-4</v>
      </c>
      <c r="AA3051">
        <v>0.99487780000000003</v>
      </c>
      <c r="AB3051">
        <v>25</v>
      </c>
      <c r="AC3051">
        <v>26.751999999999999</v>
      </c>
      <c r="AD3051">
        <v>-1.109229760137</v>
      </c>
      <c r="AE3051">
        <v>-3.96160000000003</v>
      </c>
      <c r="AF3051">
        <v>2.7560840242748599</v>
      </c>
      <c r="AG3051">
        <v>-1.109229760137</v>
      </c>
      <c r="AH3051">
        <v>26.857274506845801</v>
      </c>
      <c r="AI3051">
        <v>92.352682102553004</v>
      </c>
      <c r="AJ3051">
        <v>84.140837110206206</v>
      </c>
      <c r="AK3051">
        <v>27.0210951618492</v>
      </c>
      <c r="AL3051">
        <v>95.296779806757201</v>
      </c>
      <c r="AM3051">
        <v>94.257575781211102</v>
      </c>
      <c r="AN3051">
        <v>0.99999995005401499</v>
      </c>
    </row>
    <row r="3052" spans="1:40" x14ac:dyDescent="0.25">
      <c r="A3052" t="str">
        <f>"20190305135252948"</f>
        <v>20190305135252948</v>
      </c>
      <c r="B3052" t="str">
        <f>"1551765172942933"</f>
        <v>1551765172942933</v>
      </c>
      <c r="C3052" t="s">
        <v>40</v>
      </c>
      <c r="D3052">
        <v>5.7191720000000004</v>
      </c>
      <c r="E3052">
        <v>0.56971729999999998</v>
      </c>
      <c r="F3052" t="s">
        <v>66</v>
      </c>
      <c r="G3052">
        <v>-418.42599999999999</v>
      </c>
      <c r="H3052" s="1">
        <v>4.0233799999999998E-6</v>
      </c>
      <c r="I3052">
        <v>210.92160000000001</v>
      </c>
      <c r="J3052">
        <v>-446.57859999999999</v>
      </c>
      <c r="K3052">
        <v>1.1092340000000001</v>
      </c>
      <c r="L3052">
        <v>215.23859999999999</v>
      </c>
      <c r="M3052">
        <v>0.99911000000000005</v>
      </c>
      <c r="N3052">
        <v>-1.7013600000000001E-3</v>
      </c>
      <c r="O3052">
        <v>-4.2150590000000002E-2</v>
      </c>
      <c r="P3052">
        <v>0.99527379999999999</v>
      </c>
      <c r="Q3052">
        <v>-9.3107800000000004E-2</v>
      </c>
      <c r="R3052">
        <v>2.759756E-2</v>
      </c>
      <c r="S3052">
        <v>3.0172729999999999</v>
      </c>
      <c r="T3052">
        <v>-0.117782399999999</v>
      </c>
      <c r="U3052">
        <v>-0.4593506</v>
      </c>
      <c r="V3052">
        <v>-6.9154119999999999E-2</v>
      </c>
      <c r="W3052">
        <v>-9.1698420000000003E-2</v>
      </c>
      <c r="X3052">
        <v>0.9933826</v>
      </c>
      <c r="Y3052">
        <v>0.1086462</v>
      </c>
      <c r="Z3052">
        <v>-6.3827239999999998E-4</v>
      </c>
      <c r="AA3052">
        <v>0.99408030000000003</v>
      </c>
      <c r="AB3052">
        <v>25</v>
      </c>
      <c r="AC3052">
        <v>28.1526</v>
      </c>
      <c r="AD3052">
        <v>-1.10922997662</v>
      </c>
      <c r="AE3052">
        <v>-4.31699999999997</v>
      </c>
      <c r="AF3052">
        <v>3.1217781945341798</v>
      </c>
      <c r="AG3052">
        <v>-1.10922997662</v>
      </c>
      <c r="AH3052">
        <v>28.266670862478101</v>
      </c>
      <c r="AI3052">
        <v>92.233659357301207</v>
      </c>
      <c r="AJ3052">
        <v>83.697779808975497</v>
      </c>
      <c r="AK3052">
        <v>28.460157622272</v>
      </c>
      <c r="AL3052">
        <v>95.261323801219604</v>
      </c>
      <c r="AM3052">
        <v>93.982209002816404</v>
      </c>
      <c r="AN3052">
        <v>0.99999994126311298</v>
      </c>
    </row>
    <row r="3053" spans="1:40" x14ac:dyDescent="0.25">
      <c r="A3053" t="str">
        <f>"20190305135252972"</f>
        <v>20190305135252972</v>
      </c>
      <c r="B3053" t="str">
        <f>"1551765172962453"</f>
        <v>1551765172962453</v>
      </c>
      <c r="C3053" t="s">
        <v>40</v>
      </c>
      <c r="D3053">
        <v>5.5414779999999997</v>
      </c>
      <c r="E3053">
        <v>0.56984019999999902</v>
      </c>
      <c r="F3053" t="s">
        <v>66</v>
      </c>
      <c r="G3053">
        <v>-416.99329999999998</v>
      </c>
      <c r="H3053" s="1">
        <v>3.795435E-6</v>
      </c>
      <c r="I3053">
        <v>210.62209999999999</v>
      </c>
      <c r="J3053">
        <v>-446.3048</v>
      </c>
      <c r="K3053">
        <v>1.1092340000000001</v>
      </c>
      <c r="L3053">
        <v>215.22980000000001</v>
      </c>
      <c r="M3053">
        <v>0.99921890000000002</v>
      </c>
      <c r="N3053">
        <v>-1.6868129999999999E-3</v>
      </c>
      <c r="O3053">
        <v>-3.9483310000000001E-2</v>
      </c>
      <c r="P3053">
        <v>0.99536729999999995</v>
      </c>
      <c r="Q3053">
        <v>-9.2665880000000006E-2</v>
      </c>
      <c r="R3053">
        <v>2.563549E-2</v>
      </c>
      <c r="S3053">
        <v>3.0166930000000001</v>
      </c>
      <c r="T3053">
        <v>-0.1131036</v>
      </c>
      <c r="U3053">
        <v>-0.47071839999999998</v>
      </c>
      <c r="V3053">
        <v>-6.4546179999999995E-2</v>
      </c>
      <c r="W3053">
        <v>-9.1252819999999998E-2</v>
      </c>
      <c r="X3053">
        <v>0.99373370000000005</v>
      </c>
      <c r="Y3053">
        <v>0.114983</v>
      </c>
      <c r="Z3053">
        <v>-8.3613190000000003E-4</v>
      </c>
      <c r="AA3053">
        <v>0.99336709999999995</v>
      </c>
      <c r="AB3053">
        <v>26</v>
      </c>
      <c r="AC3053">
        <v>29.311499999999999</v>
      </c>
      <c r="AD3053">
        <v>-1.109230204565</v>
      </c>
      <c r="AE3053">
        <v>-4.6077000000000199</v>
      </c>
      <c r="AF3053">
        <v>3.44198014287235</v>
      </c>
      <c r="AG3053">
        <v>-1.109230204565</v>
      </c>
      <c r="AH3053">
        <v>29.429442229347099</v>
      </c>
      <c r="AI3053">
        <v>92.143923658663695</v>
      </c>
      <c r="AJ3053">
        <v>83.329162339697803</v>
      </c>
      <c r="AK3053">
        <v>29.650795754602001</v>
      </c>
      <c r="AL3053">
        <v>95.235685120960397</v>
      </c>
      <c r="AM3053">
        <v>93.716323587977797</v>
      </c>
      <c r="AN3053">
        <v>0.99999997651311701</v>
      </c>
    </row>
    <row r="3054" spans="1:40" x14ac:dyDescent="0.25">
      <c r="A3054" t="str">
        <f>"20190305135252993"</f>
        <v>20190305135252993</v>
      </c>
      <c r="B3054" t="str">
        <f>"1551765172982484"</f>
        <v>1551765172982484</v>
      </c>
      <c r="C3054" t="s">
        <v>40</v>
      </c>
      <c r="D3054">
        <v>4.7088650000000003</v>
      </c>
      <c r="E3054">
        <v>0.56998110000000002</v>
      </c>
      <c r="F3054" t="s">
        <v>66</v>
      </c>
      <c r="G3054">
        <v>-416.70890000000003</v>
      </c>
      <c r="H3054" s="1">
        <v>3.7518210000000002E-6</v>
      </c>
      <c r="I3054">
        <v>210.54390000000001</v>
      </c>
      <c r="J3054">
        <v>-446.05419999999998</v>
      </c>
      <c r="K3054">
        <v>1.109235</v>
      </c>
      <c r="L3054">
        <v>215.22239999999999</v>
      </c>
      <c r="M3054">
        <v>0.99931159999999997</v>
      </c>
      <c r="N3054">
        <v>-1.6808839999999999E-3</v>
      </c>
      <c r="O3054">
        <v>-3.7064109999999997E-2</v>
      </c>
      <c r="P3054">
        <v>0.99534330000000004</v>
      </c>
      <c r="Q3054">
        <v>-9.3348979999999998E-2</v>
      </c>
      <c r="R3054">
        <v>2.404036E-2</v>
      </c>
      <c r="S3054">
        <v>3.0157470000000002</v>
      </c>
      <c r="T3054">
        <v>-0.1130278</v>
      </c>
      <c r="U3054">
        <v>-0.47747800000000001</v>
      </c>
      <c r="V3054">
        <v>-6.0540240000000002E-2</v>
      </c>
      <c r="W3054">
        <v>-9.1926659999999993E-2</v>
      </c>
      <c r="X3054">
        <v>0.99392369999999997</v>
      </c>
      <c r="Y3054">
        <v>0.11960229999999999</v>
      </c>
      <c r="Z3054">
        <v>-1.0109699999999999E-3</v>
      </c>
      <c r="AA3054">
        <v>0.99282130000000002</v>
      </c>
      <c r="AB3054">
        <v>26</v>
      </c>
      <c r="AC3054">
        <v>29.345299999999899</v>
      </c>
      <c r="AD3054">
        <v>-1.1092312481790001</v>
      </c>
      <c r="AE3054">
        <v>-4.6784999999999801</v>
      </c>
      <c r="AF3054">
        <v>3.5826345841221499</v>
      </c>
      <c r="AG3054">
        <v>-1.1092312481790001</v>
      </c>
      <c r="AH3054">
        <v>29.457495981400601</v>
      </c>
      <c r="AI3054">
        <v>92.140712431116498</v>
      </c>
      <c r="AJ3054">
        <v>83.065715970818403</v>
      </c>
      <c r="AK3054">
        <v>29.695281342656401</v>
      </c>
      <c r="AL3054">
        <v>95.274456272911706</v>
      </c>
      <c r="AM3054">
        <v>93.485599607751098</v>
      </c>
      <c r="AN3054">
        <v>0.99999997644985095</v>
      </c>
    </row>
    <row r="3055" spans="1:40" x14ac:dyDescent="0.25">
      <c r="A3055" t="str">
        <f>"20190305135253015"</f>
        <v>20190305135253015</v>
      </c>
      <c r="B3055" t="str">
        <f>"1551765173012737"</f>
        <v>1551765173012737</v>
      </c>
      <c r="C3055" t="s">
        <v>40</v>
      </c>
      <c r="D3055">
        <v>4.6946500000000002</v>
      </c>
      <c r="E3055">
        <v>0.57019980000000003</v>
      </c>
      <c r="F3055" t="s">
        <v>66</v>
      </c>
      <c r="G3055">
        <v>-416.9316</v>
      </c>
      <c r="H3055" s="1">
        <v>3.7905520000000001E-6</v>
      </c>
      <c r="I3055">
        <v>210.55269999999999</v>
      </c>
      <c r="J3055">
        <v>-445.7996</v>
      </c>
      <c r="K3055">
        <v>1.1092420000000001</v>
      </c>
      <c r="L3055">
        <v>215.21549999999999</v>
      </c>
      <c r="M3055">
        <v>0.99939889999999998</v>
      </c>
      <c r="N3055">
        <v>-1.682867E-3</v>
      </c>
      <c r="O3055">
        <v>-3.4627850000000002E-2</v>
      </c>
      <c r="P3055">
        <v>0.99530810000000003</v>
      </c>
      <c r="Q3055">
        <v>-9.417826E-2</v>
      </c>
      <c r="R3055">
        <v>2.218968E-2</v>
      </c>
      <c r="S3055">
        <v>3.014923</v>
      </c>
      <c r="T3055">
        <v>-0.114833199999999</v>
      </c>
      <c r="U3055">
        <v>-0.483429</v>
      </c>
      <c r="V3055">
        <v>-5.6260980000000002E-2</v>
      </c>
      <c r="W3055">
        <v>-9.2737639999999996E-2</v>
      </c>
      <c r="X3055">
        <v>0.99409979999999998</v>
      </c>
      <c r="Y3055">
        <v>0.1239678</v>
      </c>
      <c r="Z3055">
        <v>-1.199007E-3</v>
      </c>
      <c r="AA3055">
        <v>0.99228550000000004</v>
      </c>
      <c r="AB3055">
        <v>26</v>
      </c>
      <c r="AC3055">
        <v>28.867999999999899</v>
      </c>
      <c r="AD3055">
        <v>-1.109238209448</v>
      </c>
      <c r="AE3055">
        <v>-4.6627999999999998</v>
      </c>
      <c r="AF3055">
        <v>3.65510611271637</v>
      </c>
      <c r="AG3055">
        <v>-1.109238209448</v>
      </c>
      <c r="AH3055">
        <v>28.9704644332353</v>
      </c>
      <c r="AI3055">
        <v>92.175473974930796</v>
      </c>
      <c r="AJ3055">
        <v>82.809178028697303</v>
      </c>
      <c r="AK3055">
        <v>29.2211912758167</v>
      </c>
      <c r="AL3055">
        <v>95.321121274934399</v>
      </c>
      <c r="AM3055">
        <v>93.239193571256607</v>
      </c>
      <c r="AN3055">
        <v>0.99999999005168405</v>
      </c>
    </row>
    <row r="3056" spans="1:40" x14ac:dyDescent="0.25">
      <c r="A3056" t="str">
        <f>"20190305135253038"</f>
        <v>20190305135253038</v>
      </c>
      <c r="B3056" t="str">
        <f>"1551765173032257"</f>
        <v>1551765173032257</v>
      </c>
      <c r="C3056" t="s">
        <v>40</v>
      </c>
      <c r="D3056">
        <v>4.7203600000000003</v>
      </c>
      <c r="E3056">
        <v>0.5702026</v>
      </c>
      <c r="F3056" t="s">
        <v>66</v>
      </c>
      <c r="G3056">
        <v>-417.05099999999999</v>
      </c>
      <c r="H3056" s="1">
        <v>3.8133E-6</v>
      </c>
      <c r="I3056">
        <v>210.53489999999999</v>
      </c>
      <c r="J3056">
        <v>-445.5335</v>
      </c>
      <c r="K3056">
        <v>1.1092420000000001</v>
      </c>
      <c r="L3056">
        <v>215.2088</v>
      </c>
      <c r="M3056">
        <v>0.99948289999999995</v>
      </c>
      <c r="N3056">
        <v>-1.6917529999999901E-3</v>
      </c>
      <c r="O3056">
        <v>-3.2109440000000003E-2</v>
      </c>
      <c r="P3056">
        <v>0.99526689999999995</v>
      </c>
      <c r="Q3056">
        <v>-9.4783400000000004E-2</v>
      </c>
      <c r="R3056">
        <v>2.1450919999999998E-2</v>
      </c>
      <c r="S3056">
        <v>3.0140380000000002</v>
      </c>
      <c r="T3056">
        <v>-0.1162941</v>
      </c>
      <c r="U3056">
        <v>-0.49072270000000001</v>
      </c>
      <c r="V3056">
        <v>-5.3012139999999999E-2</v>
      </c>
      <c r="W3056">
        <v>-9.3321459999999995E-2</v>
      </c>
      <c r="X3056">
        <v>0.99422370000000004</v>
      </c>
      <c r="Y3056">
        <v>0.12884519999999999</v>
      </c>
      <c r="Z3056">
        <v>-1.402857E-3</v>
      </c>
      <c r="AA3056">
        <v>0.99166379999999998</v>
      </c>
      <c r="AB3056">
        <v>26</v>
      </c>
      <c r="AC3056">
        <v>28.482500000000002</v>
      </c>
      <c r="AD3056">
        <v>-1.1092381867000001</v>
      </c>
      <c r="AE3056">
        <v>-4.6738999999999997</v>
      </c>
      <c r="AF3056">
        <v>3.7513910204322598</v>
      </c>
      <c r="AG3056">
        <v>-1.1092381867000001</v>
      </c>
      <c r="AH3056">
        <v>28.575686081894801</v>
      </c>
      <c r="AI3056">
        <v>92.204073135922201</v>
      </c>
      <c r="AJ3056">
        <v>82.521029307808405</v>
      </c>
      <c r="AK3056">
        <v>28.842211756278498</v>
      </c>
      <c r="AL3056">
        <v>95.354717479899804</v>
      </c>
      <c r="AM3056">
        <v>93.052128340934004</v>
      </c>
      <c r="AN3056">
        <v>0.99999997376280003</v>
      </c>
    </row>
    <row r="3057" spans="1:40" x14ac:dyDescent="0.25">
      <c r="A3057" t="str">
        <f>"20190305135253061"</f>
        <v>20190305135253061</v>
      </c>
      <c r="B3057" t="str">
        <f>"1551765173052753"</f>
        <v>1551765173052753</v>
      </c>
      <c r="C3057" t="s">
        <v>40</v>
      </c>
      <c r="D3057">
        <v>4.6968639999999997</v>
      </c>
      <c r="E3057">
        <v>0.57022989999999996</v>
      </c>
      <c r="F3057" t="s">
        <v>66</v>
      </c>
      <c r="G3057">
        <v>-417.0136</v>
      </c>
      <c r="H3057" s="1">
        <v>3.8058009999999999E-6</v>
      </c>
      <c r="I3057">
        <v>210.54470000000001</v>
      </c>
      <c r="J3057">
        <v>-445.25779999999997</v>
      </c>
      <c r="K3057">
        <v>1.10924</v>
      </c>
      <c r="L3057">
        <v>215.20259999999999</v>
      </c>
      <c r="M3057">
        <v>0.99956250000000002</v>
      </c>
      <c r="N3057">
        <v>-1.707283E-3</v>
      </c>
      <c r="O3057">
        <v>-2.9532240000000001E-2</v>
      </c>
      <c r="P3057">
        <v>0.99527339999999997</v>
      </c>
      <c r="Q3057">
        <v>-9.5166700000000007E-2</v>
      </c>
      <c r="R3057">
        <v>1.935454E-2</v>
      </c>
      <c r="S3057">
        <v>3.0137019999999999</v>
      </c>
      <c r="T3057">
        <v>-0.1172132</v>
      </c>
      <c r="U3057">
        <v>-0.49285889999999999</v>
      </c>
      <c r="V3057">
        <v>-4.8350709999999998E-2</v>
      </c>
      <c r="W3057">
        <v>-9.3670349999999999E-2</v>
      </c>
      <c r="X3057">
        <v>0.99442850000000005</v>
      </c>
      <c r="Y3057">
        <v>0.1320982</v>
      </c>
      <c r="Z3057">
        <v>-1.574836E-3</v>
      </c>
      <c r="AA3057">
        <v>0.99123539999999999</v>
      </c>
      <c r="AB3057">
        <v>26</v>
      </c>
      <c r="AC3057">
        <v>28.2441999999999</v>
      </c>
      <c r="AD3057">
        <v>-1.1092361941990001</v>
      </c>
      <c r="AE3057">
        <v>-4.6578999999999802</v>
      </c>
      <c r="AF3057">
        <v>3.81602285423146</v>
      </c>
      <c r="AG3057">
        <v>-1.1092361941990001</v>
      </c>
      <c r="AH3057">
        <v>28.326905181704099</v>
      </c>
      <c r="AI3057">
        <v>92.222410314948604</v>
      </c>
      <c r="AJ3057">
        <v>82.327661728336906</v>
      </c>
      <c r="AK3057">
        <v>28.604300245449</v>
      </c>
      <c r="AL3057">
        <v>95.374795299740597</v>
      </c>
      <c r="AM3057">
        <v>92.783620607303405</v>
      </c>
      <c r="AN3057">
        <v>0.99999998361943798</v>
      </c>
    </row>
    <row r="3058" spans="1:40" x14ac:dyDescent="0.25">
      <c r="A3058" t="str">
        <f>"20190305135253085"</f>
        <v>20190305135253085</v>
      </c>
      <c r="B3058" t="str">
        <f>"1551765173082539"</f>
        <v>1551765173082539</v>
      </c>
      <c r="C3058" t="s">
        <v>40</v>
      </c>
      <c r="D3058">
        <v>4.6935379999999904</v>
      </c>
      <c r="E3058">
        <v>0.57021460000000002</v>
      </c>
      <c r="F3058" t="s">
        <v>66</v>
      </c>
      <c r="G3058">
        <v>-417.1302</v>
      </c>
      <c r="H3058" s="1">
        <v>3.8270479999999996E-6</v>
      </c>
      <c r="I3058">
        <v>210.53829999999999</v>
      </c>
      <c r="J3058">
        <v>-444.96699999999998</v>
      </c>
      <c r="K3058">
        <v>1.1092360000000001</v>
      </c>
      <c r="L3058">
        <v>215.19669999999999</v>
      </c>
      <c r="M3058">
        <v>0.99963809999999997</v>
      </c>
      <c r="N3058">
        <v>-1.730477E-3</v>
      </c>
      <c r="O3058">
        <v>-2.6848690000000001E-2</v>
      </c>
      <c r="P3058">
        <v>0.99527659999999996</v>
      </c>
      <c r="Q3058">
        <v>-9.5292879999999996E-2</v>
      </c>
      <c r="R3058">
        <v>1.8545989999999998E-2</v>
      </c>
      <c r="S3058">
        <v>3.0126339999999998</v>
      </c>
      <c r="T3058">
        <v>-0.11880599999999999</v>
      </c>
      <c r="U3058">
        <v>-0.49957279999999998</v>
      </c>
      <c r="V3058">
        <v>-4.4871920000000003E-2</v>
      </c>
      <c r="W3058">
        <v>-9.3759159999999994E-2</v>
      </c>
      <c r="X3058">
        <v>0.9945832</v>
      </c>
      <c r="Y3058">
        <v>0.136956299999999</v>
      </c>
      <c r="Z3058">
        <v>-1.7961260000000001E-3</v>
      </c>
      <c r="AA3058">
        <v>0.99057550000000005</v>
      </c>
      <c r="AB3058">
        <v>27</v>
      </c>
      <c r="AC3058">
        <v>27.836799999999901</v>
      </c>
      <c r="AD3058">
        <v>-1.1092321729520001</v>
      </c>
      <c r="AE3058">
        <v>-4.6584000000000003</v>
      </c>
      <c r="AF3058">
        <v>3.9033090347927502</v>
      </c>
      <c r="AG3058">
        <v>-1.1092321729520001</v>
      </c>
      <c r="AH3058">
        <v>27.908729834535102</v>
      </c>
      <c r="AI3058">
        <v>92.254105923209806</v>
      </c>
      <c r="AJ3058">
        <v>82.038268888783605</v>
      </c>
      <c r="AK3058">
        <v>28.202188184814201</v>
      </c>
      <c r="AL3058">
        <v>95.379906112669602</v>
      </c>
      <c r="AM3058">
        <v>92.583222171788293</v>
      </c>
      <c r="AN3058">
        <v>1.00000000550531</v>
      </c>
    </row>
    <row r="3059" spans="1:40" x14ac:dyDescent="0.25">
      <c r="A3059" t="str">
        <f>"20190305135253104"</f>
        <v>20190305135253104</v>
      </c>
      <c r="B3059" t="str">
        <f>"1551765173092300"</f>
        <v>1551765173092300</v>
      </c>
      <c r="C3059" t="s">
        <v>40</v>
      </c>
      <c r="D3059">
        <v>4.6943830000000002</v>
      </c>
      <c r="E3059">
        <v>0.57019549999999997</v>
      </c>
      <c r="F3059" t="s">
        <v>66</v>
      </c>
      <c r="G3059">
        <v>-417.19740000000002</v>
      </c>
      <c r="H3059" s="1">
        <v>3.8361789999999999E-6</v>
      </c>
      <c r="I3059">
        <v>210.5701</v>
      </c>
      <c r="J3059">
        <v>-444.73649999999998</v>
      </c>
      <c r="K3059">
        <v>1.1092439999999999</v>
      </c>
      <c r="L3059">
        <v>215.1927</v>
      </c>
      <c r="M3059">
        <v>0.99969240000000004</v>
      </c>
      <c r="N3059">
        <v>-1.755209E-3</v>
      </c>
      <c r="O3059">
        <v>-2.4744149999999999E-2</v>
      </c>
      <c r="P3059">
        <v>0.99525940000000002</v>
      </c>
      <c r="Q3059">
        <v>-9.5646110000000006E-2</v>
      </c>
      <c r="R3059">
        <v>1.7637590000000002E-2</v>
      </c>
      <c r="S3059">
        <v>3.0120849999999999</v>
      </c>
      <c r="T3059">
        <v>-0.12031500000000001</v>
      </c>
      <c r="U3059">
        <v>-0.50183109999999997</v>
      </c>
      <c r="V3059">
        <v>-4.1867960000000003E-2</v>
      </c>
      <c r="W3059">
        <v>-9.4075590000000001E-2</v>
      </c>
      <c r="X3059">
        <v>0.99468429999999997</v>
      </c>
      <c r="Y3059">
        <v>0.13978689999999999</v>
      </c>
      <c r="Z3059">
        <v>-1.9576910000000001E-3</v>
      </c>
      <c r="AA3059">
        <v>0.9901797</v>
      </c>
      <c r="AB3059">
        <v>27</v>
      </c>
      <c r="AC3059">
        <v>27.539099999999902</v>
      </c>
      <c r="AD3059">
        <v>-1.1092401638210001</v>
      </c>
      <c r="AE3059">
        <v>-4.6226000000000003</v>
      </c>
      <c r="AF3059">
        <v>3.9335452351902598</v>
      </c>
      <c r="AG3059">
        <v>-1.1092401638210001</v>
      </c>
      <c r="AH3059">
        <v>27.601497535753101</v>
      </c>
      <c r="AI3059">
        <v>92.278350722744406</v>
      </c>
      <c r="AJ3059">
        <v>81.889277047956099</v>
      </c>
      <c r="AK3059">
        <v>27.902434626292202</v>
      </c>
      <c r="AL3059">
        <v>95.398116738573606</v>
      </c>
      <c r="AM3059">
        <v>92.410254403589406</v>
      </c>
      <c r="AN3059">
        <v>0.99999999968744901</v>
      </c>
    </row>
    <row r="3060" spans="1:40" x14ac:dyDescent="0.25">
      <c r="A3060" t="str">
        <f>"20190305135253127"</f>
        <v>20190305135253127</v>
      </c>
      <c r="B3060" t="str">
        <f>"1551765173122556"</f>
        <v>1551765173122556</v>
      </c>
      <c r="C3060" t="s">
        <v>40</v>
      </c>
      <c r="D3060">
        <v>6.5187019999999896</v>
      </c>
      <c r="E3060">
        <v>0.57012890000000005</v>
      </c>
      <c r="F3060" t="s">
        <v>66</v>
      </c>
      <c r="G3060">
        <v>-417.10579999999999</v>
      </c>
      <c r="H3060" s="1">
        <v>3.8201979999999998E-6</v>
      </c>
      <c r="I3060">
        <v>210.56710000000001</v>
      </c>
      <c r="J3060">
        <v>-444.46719999999999</v>
      </c>
      <c r="K3060">
        <v>1.109253</v>
      </c>
      <c r="L3060">
        <v>215.1885</v>
      </c>
      <c r="M3060">
        <v>0.99974980000000002</v>
      </c>
      <c r="N3060">
        <v>-1.789054E-3</v>
      </c>
      <c r="O3060">
        <v>-2.230534E-2</v>
      </c>
      <c r="P3060">
        <v>0.9952666</v>
      </c>
      <c r="Q3060">
        <v>-9.5577839999999997E-2</v>
      </c>
      <c r="R3060">
        <v>1.759608E-2</v>
      </c>
      <c r="S3060">
        <v>3.0116269999999998</v>
      </c>
      <c r="T3060">
        <v>-0.1209027</v>
      </c>
      <c r="U3060">
        <v>-0.50416559999999999</v>
      </c>
      <c r="V3060">
        <v>-3.9398080000000002E-2</v>
      </c>
      <c r="W3060">
        <v>-9.3964060000000002E-2</v>
      </c>
      <c r="X3060">
        <v>0.99479569999999995</v>
      </c>
      <c r="Y3060">
        <v>0.14296739999999999</v>
      </c>
      <c r="Z3060">
        <v>-2.128792E-3</v>
      </c>
      <c r="AA3060">
        <v>0.98972510000000002</v>
      </c>
      <c r="AB3060">
        <v>27</v>
      </c>
      <c r="AC3060">
        <v>27.3614</v>
      </c>
      <c r="AD3060">
        <v>-1.1092491798019899</v>
      </c>
      <c r="AE3060">
        <v>-4.6213999999999897</v>
      </c>
      <c r="AF3060">
        <v>4.0035465268794903</v>
      </c>
      <c r="AG3060">
        <v>-1.1092491798019899</v>
      </c>
      <c r="AH3060">
        <v>27.4138684181051</v>
      </c>
      <c r="AI3060">
        <v>92.292803886343904</v>
      </c>
      <c r="AJ3060">
        <v>81.691209295742198</v>
      </c>
      <c r="AK3060">
        <v>27.726864232743001</v>
      </c>
      <c r="AL3060">
        <v>95.391698273731805</v>
      </c>
      <c r="AM3060">
        <v>92.267967790599201</v>
      </c>
      <c r="AN3060">
        <v>0.99999996900892896</v>
      </c>
    </row>
    <row r="3061" spans="1:40" x14ac:dyDescent="0.25">
      <c r="A3061" t="str">
        <f>"20190305135253149"</f>
        <v>20190305135253149</v>
      </c>
      <c r="B3061" t="str">
        <f>"1551765173143052"</f>
        <v>1551765173143052</v>
      </c>
      <c r="C3061" t="s">
        <v>40</v>
      </c>
      <c r="D3061">
        <v>4.6971800000000004</v>
      </c>
      <c r="E3061">
        <v>0.57022600000000001</v>
      </c>
      <c r="F3061" t="s">
        <v>66</v>
      </c>
      <c r="G3061">
        <v>-416.7516</v>
      </c>
      <c r="H3061" s="1">
        <v>3.7586139999999999E-6</v>
      </c>
      <c r="I3061">
        <v>210.55279999999999</v>
      </c>
      <c r="J3061">
        <v>-444.18259999999998</v>
      </c>
      <c r="K3061">
        <v>1.1092759999999999</v>
      </c>
      <c r="L3061">
        <v>215.1848</v>
      </c>
      <c r="M3061">
        <v>0.99980340000000001</v>
      </c>
      <c r="N3061">
        <v>-1.8273460000000001E-3</v>
      </c>
      <c r="O3061">
        <v>-1.974161E-2</v>
      </c>
      <c r="P3061">
        <v>0.99534219999999896</v>
      </c>
      <c r="Q3061">
        <v>-9.4795290000000004E-2</v>
      </c>
      <c r="R3061">
        <v>1.7548899999999999E-2</v>
      </c>
      <c r="S3061">
        <v>3.0115660000000002</v>
      </c>
      <c r="T3061">
        <v>-0.1205305</v>
      </c>
      <c r="U3061">
        <v>-0.50370789999999999</v>
      </c>
      <c r="V3061">
        <v>-3.6801849999999997E-2</v>
      </c>
      <c r="W3061">
        <v>-9.3133569999999999E-2</v>
      </c>
      <c r="X3061">
        <v>0.9949732</v>
      </c>
      <c r="Y3061">
        <v>0.1453585</v>
      </c>
      <c r="Z3061">
        <v>-2.2732289999999999E-3</v>
      </c>
      <c r="AA3061">
        <v>0.98937640000000004</v>
      </c>
      <c r="AB3061">
        <v>27</v>
      </c>
      <c r="AC3061">
        <v>27.430999999999901</v>
      </c>
      <c r="AD3061">
        <v>-1.1092722413859999</v>
      </c>
      <c r="AE3061">
        <v>-4.6319999999999997</v>
      </c>
      <c r="AF3061">
        <v>4.0830723860728098</v>
      </c>
      <c r="AG3061">
        <v>-1.1092722413859999</v>
      </c>
      <c r="AH3061">
        <v>27.473416094153201</v>
      </c>
      <c r="AI3061">
        <v>92.287037624573202</v>
      </c>
      <c r="AJ3061">
        <v>81.546632797918093</v>
      </c>
      <c r="AK3061">
        <v>27.797312044474602</v>
      </c>
      <c r="AL3061">
        <v>95.343905195074598</v>
      </c>
      <c r="AM3061">
        <v>92.118278047170904</v>
      </c>
      <c r="AN3061">
        <v>0.99999995337130199</v>
      </c>
    </row>
    <row r="3062" spans="1:40" x14ac:dyDescent="0.25">
      <c r="A3062" t="str">
        <f>"20190305135253173"</f>
        <v>20190305135253173</v>
      </c>
      <c r="B3062" t="str">
        <f>"1551765173162576"</f>
        <v>1551765173162576</v>
      </c>
      <c r="C3062" t="s">
        <v>40</v>
      </c>
      <c r="D3062">
        <v>4.6639920000000004</v>
      </c>
      <c r="E3062">
        <v>0.57030190000000003</v>
      </c>
      <c r="F3062" t="s">
        <v>66</v>
      </c>
      <c r="G3062">
        <v>-415.93150000000003</v>
      </c>
      <c r="H3062" s="1">
        <v>3.6218159999999998E-6</v>
      </c>
      <c r="I3062">
        <v>210.4537</v>
      </c>
      <c r="J3062">
        <v>-443.9008</v>
      </c>
      <c r="K3062">
        <v>1.1093</v>
      </c>
      <c r="L3062">
        <v>215.18180000000001</v>
      </c>
      <c r="M3062">
        <v>0.99985020000000002</v>
      </c>
      <c r="N3062">
        <v>-1.8655130000000001E-3</v>
      </c>
      <c r="O3062">
        <v>-1.721402E-2</v>
      </c>
      <c r="P3062">
        <v>0.99546210000000002</v>
      </c>
      <c r="Q3062">
        <v>-9.3507599999999996E-2</v>
      </c>
      <c r="R3062">
        <v>1.76534E-2</v>
      </c>
      <c r="S3062">
        <v>3.0116879999999999</v>
      </c>
      <c r="T3062">
        <v>-0.11825339999999999</v>
      </c>
      <c r="U3062">
        <v>-0.50434880000000004</v>
      </c>
      <c r="V3062">
        <v>-3.4395389999999998E-2</v>
      </c>
      <c r="W3062">
        <v>-9.1798909999999997E-2</v>
      </c>
      <c r="X3062">
        <v>0.99518329999999999</v>
      </c>
      <c r="Y3062">
        <v>0.1480572</v>
      </c>
      <c r="Z3062">
        <v>-2.3858199999999999E-3</v>
      </c>
      <c r="AA3062">
        <v>0.98897590000000002</v>
      </c>
      <c r="AB3062">
        <v>27</v>
      </c>
      <c r="AC3062">
        <v>27.969299999999901</v>
      </c>
      <c r="AD3062">
        <v>-1.109296378184</v>
      </c>
      <c r="AE3062">
        <v>-4.7281000000000102</v>
      </c>
      <c r="AF3062">
        <v>4.2394511188615098</v>
      </c>
      <c r="AG3062">
        <v>-1.109296378184</v>
      </c>
      <c r="AH3062">
        <v>28.003719101822501</v>
      </c>
      <c r="AI3062">
        <v>92.242911095193406</v>
      </c>
      <c r="AJ3062">
        <v>81.391425515234204</v>
      </c>
      <c r="AK3062">
        <v>28.344519184097098</v>
      </c>
      <c r="AL3062">
        <v>95.267105839838194</v>
      </c>
      <c r="AM3062">
        <v>91.979461027501202</v>
      </c>
      <c r="AN3062">
        <v>0.99999994166466299</v>
      </c>
    </row>
    <row r="3063" spans="1:40" x14ac:dyDescent="0.25">
      <c r="A3063" t="str">
        <f>"20190305135253195"</f>
        <v>20190305135253195</v>
      </c>
      <c r="B3063" t="str">
        <f>"1551765173192358"</f>
        <v>1551765173192358</v>
      </c>
      <c r="C3063" t="s">
        <v>40</v>
      </c>
      <c r="D3063">
        <v>4.7362769999999896</v>
      </c>
      <c r="E3063">
        <v>0.57058739999999997</v>
      </c>
      <c r="F3063" t="s">
        <v>66</v>
      </c>
      <c r="G3063">
        <v>-414.71030000000002</v>
      </c>
      <c r="H3063" s="1">
        <v>3.4193220000000002E-6</v>
      </c>
      <c r="I3063">
        <v>210.2921</v>
      </c>
      <c r="J3063">
        <v>-443.62650000000002</v>
      </c>
      <c r="K3063">
        <v>1.1093230000000001</v>
      </c>
      <c r="L3063">
        <v>215.17949999999999</v>
      </c>
      <c r="M3063">
        <v>0.99988909999999998</v>
      </c>
      <c r="N3063">
        <v>-1.9034220000000001E-3</v>
      </c>
      <c r="O3063">
        <v>-1.476617E-2</v>
      </c>
      <c r="P3063">
        <v>0.99552390000000002</v>
      </c>
      <c r="Q3063">
        <v>-9.2818689999999995E-2</v>
      </c>
      <c r="R3063">
        <v>1.779801E-2</v>
      </c>
      <c r="S3063">
        <v>3.0118710000000002</v>
      </c>
      <c r="T3063">
        <v>-0.114457</v>
      </c>
      <c r="U3063">
        <v>-0.50451659999999998</v>
      </c>
      <c r="V3063">
        <v>-3.2104019999999997E-2</v>
      </c>
      <c r="W3063">
        <v>-9.1063560000000002E-2</v>
      </c>
      <c r="X3063">
        <v>0.99532750000000003</v>
      </c>
      <c r="Y3063">
        <v>0.15052460000000001</v>
      </c>
      <c r="Z3063">
        <v>-2.4546580000000002E-3</v>
      </c>
      <c r="AA3063">
        <v>0.98860320000000002</v>
      </c>
      <c r="AB3063">
        <v>28</v>
      </c>
      <c r="AC3063">
        <v>28.9162</v>
      </c>
      <c r="AD3063">
        <v>-1.1093195806780001</v>
      </c>
      <c r="AE3063">
        <v>-4.88739999999998</v>
      </c>
      <c r="AF3063">
        <v>4.4535124533291901</v>
      </c>
      <c r="AG3063">
        <v>-1.1093195806780001</v>
      </c>
      <c r="AH3063">
        <v>28.943801072444501</v>
      </c>
      <c r="AI3063">
        <v>92.169377074568899</v>
      </c>
      <c r="AJ3063">
        <v>81.252638833461901</v>
      </c>
      <c r="AK3063">
        <v>29.305425839343702</v>
      </c>
      <c r="AL3063">
        <v>95.224795671211595</v>
      </c>
      <c r="AM3063">
        <v>91.847419423865404</v>
      </c>
      <c r="AN3063">
        <v>1.00000003615814</v>
      </c>
    </row>
    <row r="3064" spans="1:40" x14ac:dyDescent="0.25">
      <c r="A3064" t="str">
        <f>"20190305135253215"</f>
        <v>20190305135253215</v>
      </c>
      <c r="B3064" t="str">
        <f>"1551765173212855"</f>
        <v>1551765173212855</v>
      </c>
      <c r="C3064" t="s">
        <v>40</v>
      </c>
      <c r="D3064">
        <v>4.7176099999999996</v>
      </c>
      <c r="E3064">
        <v>0.60517779999999999</v>
      </c>
      <c r="F3064" t="s">
        <v>66</v>
      </c>
      <c r="G3064">
        <v>-414.041</v>
      </c>
      <c r="H3064" s="1">
        <v>3.3080060000000001E-6</v>
      </c>
      <c r="I3064">
        <v>210.20740000000001</v>
      </c>
      <c r="J3064">
        <v>-443.37240000000003</v>
      </c>
      <c r="K3064">
        <v>1.1093299999999999</v>
      </c>
      <c r="L3064">
        <v>215.17789999999999</v>
      </c>
      <c r="M3064">
        <v>0.99991980000000003</v>
      </c>
      <c r="N3064">
        <v>-1.9406460000000001E-3</v>
      </c>
      <c r="O3064">
        <v>-1.2520720000000001E-2</v>
      </c>
      <c r="P3064">
        <v>0.99548720000000002</v>
      </c>
      <c r="Q3064">
        <v>-9.3302040000000003E-2</v>
      </c>
      <c r="R3064">
        <v>1.7329440000000002E-2</v>
      </c>
      <c r="S3064">
        <v>3.0120239999999998</v>
      </c>
      <c r="T3064">
        <v>-0.1129371</v>
      </c>
      <c r="U3064">
        <v>-0.50619510000000001</v>
      </c>
      <c r="V3064">
        <v>-2.939603E-2</v>
      </c>
      <c r="W3064">
        <v>-9.149881E-2</v>
      </c>
      <c r="X3064">
        <v>0.99537120000000001</v>
      </c>
      <c r="Y3064">
        <v>0.15327089999999999</v>
      </c>
      <c r="Z3064">
        <v>-2.5605179999999999E-3</v>
      </c>
      <c r="AA3064">
        <v>0.98818090000000003</v>
      </c>
      <c r="AB3064">
        <v>28</v>
      </c>
      <c r="AC3064">
        <v>29.331399999999999</v>
      </c>
      <c r="AD3064">
        <v>-1.1093266919939999</v>
      </c>
      <c r="AE3064">
        <v>-4.9704999999999799</v>
      </c>
      <c r="AF3064">
        <v>4.5964682710161604</v>
      </c>
      <c r="AG3064">
        <v>-1.1093266919939999</v>
      </c>
      <c r="AH3064">
        <v>29.3505244933861</v>
      </c>
      <c r="AI3064">
        <v>92.1384698318478</v>
      </c>
      <c r="AJ3064">
        <v>81.099430685422107</v>
      </c>
      <c r="AK3064">
        <v>29.728965913951399</v>
      </c>
      <c r="AL3064">
        <v>95.249838438063307</v>
      </c>
      <c r="AM3064">
        <v>91.691609167045996</v>
      </c>
      <c r="AN3064">
        <v>0.999999992300308</v>
      </c>
    </row>
    <row r="3065" spans="1:40" x14ac:dyDescent="0.25">
      <c r="A3065" t="str">
        <f>"20190305135253239"</f>
        <v>20190305135253239</v>
      </c>
      <c r="B3065" t="str">
        <f>"1551765173232374"</f>
        <v>1551765173232374</v>
      </c>
      <c r="C3065" t="s">
        <v>40</v>
      </c>
      <c r="D3065">
        <v>4.7589649999999999</v>
      </c>
      <c r="E3065">
        <v>0.61132469999999905</v>
      </c>
      <c r="F3065" t="s">
        <v>66</v>
      </c>
      <c r="G3065">
        <v>-409.59370000000001</v>
      </c>
      <c r="H3065">
        <v>8.0001409999999995E-2</v>
      </c>
      <c r="I3065">
        <v>206.417</v>
      </c>
      <c r="J3065">
        <v>-443.07709999999997</v>
      </c>
      <c r="K3065">
        <v>1.1093219999999999</v>
      </c>
      <c r="L3065">
        <v>215.17689999999999</v>
      </c>
      <c r="M3065">
        <v>0.99994859999999997</v>
      </c>
      <c r="N3065">
        <v>-1.9849199999999998E-3</v>
      </c>
      <c r="O3065">
        <v>-9.9562169999999998E-3</v>
      </c>
      <c r="P3065">
        <v>0.9954712</v>
      </c>
      <c r="Q3065">
        <v>-9.3500260000000002E-2</v>
      </c>
      <c r="R3065">
        <v>1.7177029999999999E-2</v>
      </c>
      <c r="S3065">
        <v>3.0186769999999998</v>
      </c>
      <c r="T3065">
        <v>-9.1987009999999994E-2</v>
      </c>
      <c r="U3065">
        <v>-0.78292850000000003</v>
      </c>
      <c r="V3065">
        <v>-2.6691139999999999E-2</v>
      </c>
      <c r="W3065">
        <v>-9.1640910000000006E-2</v>
      </c>
      <c r="X3065">
        <v>0.99543429999999999</v>
      </c>
      <c r="Y3065">
        <v>0.24129680000000001</v>
      </c>
      <c r="Z3065">
        <v>-3.5804270000000002E-3</v>
      </c>
      <c r="AA3065">
        <v>0.97044470000000005</v>
      </c>
      <c r="AB3065">
        <v>28</v>
      </c>
      <c r="AC3065">
        <v>33.483399999999897</v>
      </c>
      <c r="AD3065">
        <v>-1.02932059</v>
      </c>
      <c r="AE3065">
        <v>-8.7598999999999805</v>
      </c>
      <c r="AF3065">
        <v>8.4186510453138492</v>
      </c>
      <c r="AG3065">
        <v>-1.02932059</v>
      </c>
      <c r="AH3065">
        <v>33.539291054189697</v>
      </c>
      <c r="AI3065">
        <v>91.704996432239398</v>
      </c>
      <c r="AJ3065">
        <v>75.909379366131205</v>
      </c>
      <c r="AK3065">
        <v>34.595046332060498</v>
      </c>
      <c r="AL3065">
        <v>95.258014692005901</v>
      </c>
      <c r="AM3065">
        <v>91.535935950172203</v>
      </c>
      <c r="AN3065">
        <v>0.999999959478308</v>
      </c>
    </row>
    <row r="3066" spans="1:40" x14ac:dyDescent="0.25">
      <c r="A3066" t="str">
        <f>"20190305135253261"</f>
        <v>20190305135253261</v>
      </c>
      <c r="B3066" t="str">
        <f>"1551765173252870"</f>
        <v>1551765173252870</v>
      </c>
      <c r="C3066" t="s">
        <v>40</v>
      </c>
      <c r="D3066">
        <v>4.6965149999999998</v>
      </c>
      <c r="E3066">
        <v>0.61258889999999999</v>
      </c>
      <c r="F3066" t="s">
        <v>66</v>
      </c>
      <c r="G3066">
        <v>-409.92430000000002</v>
      </c>
      <c r="H3066">
        <v>6.7669149999999997E-2</v>
      </c>
      <c r="I3066">
        <v>206.0369</v>
      </c>
      <c r="J3066">
        <v>-442.79700000000003</v>
      </c>
      <c r="K3066">
        <v>1.1092879999999901</v>
      </c>
      <c r="L3066">
        <v>215.1764</v>
      </c>
      <c r="M3066">
        <v>0.9999692</v>
      </c>
      <c r="N3066">
        <v>-2.0255999999999998E-3</v>
      </c>
      <c r="O3066">
        <v>-7.5892059999999898E-3</v>
      </c>
      <c r="P3066">
        <v>0.99547640000000004</v>
      </c>
      <c r="Q3066">
        <v>-9.3444959999999994E-2</v>
      </c>
      <c r="R3066">
        <v>1.717192E-2</v>
      </c>
      <c r="S3066">
        <v>3.0191349999999999</v>
      </c>
      <c r="T3066">
        <v>-9.4860550000000002E-2</v>
      </c>
      <c r="U3066">
        <v>-0.83235170000000003</v>
      </c>
      <c r="V3066">
        <v>-2.4335099999999998E-2</v>
      </c>
      <c r="W3066">
        <v>-9.1533600000000007E-2</v>
      </c>
      <c r="X3066">
        <v>0.99550459999999996</v>
      </c>
      <c r="Y3066">
        <v>0.25832939999999999</v>
      </c>
      <c r="Z3066">
        <v>-4.0306959999999899E-3</v>
      </c>
      <c r="AA3066">
        <v>0.96604849999999998</v>
      </c>
      <c r="AB3066">
        <v>28</v>
      </c>
      <c r="AC3066">
        <v>32.872699999999902</v>
      </c>
      <c r="AD3066">
        <v>-1.0416188500000001</v>
      </c>
      <c r="AE3066">
        <v>-9.1394999999999893</v>
      </c>
      <c r="AF3066">
        <v>8.8814811643630307</v>
      </c>
      <c r="AG3066">
        <v>-1.0416188500000001</v>
      </c>
      <c r="AH3066">
        <v>32.910442840886198</v>
      </c>
      <c r="AI3066">
        <v>91.750239183779001</v>
      </c>
      <c r="AJ3066">
        <v>74.897464898190805</v>
      </c>
      <c r="AK3066">
        <v>34.103708383178002</v>
      </c>
      <c r="AL3066">
        <v>95.251840102884003</v>
      </c>
      <c r="AM3066">
        <v>91.400315879032306</v>
      </c>
      <c r="AN3066">
        <v>1.0000000028210601</v>
      </c>
    </row>
    <row r="3067" spans="1:40" x14ac:dyDescent="0.25">
      <c r="A3067" t="str">
        <f>"20190305135253286"</f>
        <v>20190305135253286</v>
      </c>
      <c r="B3067" t="str">
        <f>"1551765173282656"</f>
        <v>1551765173282656</v>
      </c>
      <c r="C3067" t="s">
        <v>40</v>
      </c>
      <c r="D3067">
        <v>4.7759400000000003</v>
      </c>
      <c r="E3067">
        <v>0.61302330000000005</v>
      </c>
      <c r="F3067" t="s">
        <v>66</v>
      </c>
      <c r="G3067">
        <v>-415.25150000000002</v>
      </c>
      <c r="H3067" s="1">
        <v>4.3296370000000004E-6</v>
      </c>
      <c r="I3067">
        <v>207.47980000000001</v>
      </c>
      <c r="J3067">
        <v>-442.48950000000002</v>
      </c>
      <c r="K3067">
        <v>1.109245</v>
      </c>
      <c r="L3067">
        <v>215.17660000000001</v>
      </c>
      <c r="M3067">
        <v>0.99998489999999995</v>
      </c>
      <c r="N3067">
        <v>-2.0678770000000001E-3</v>
      </c>
      <c r="O3067">
        <v>-5.0835009999999998E-3</v>
      </c>
      <c r="P3067">
        <v>0.99554260000000006</v>
      </c>
      <c r="Q3067">
        <v>-9.2805680000000002E-2</v>
      </c>
      <c r="R3067">
        <v>1.6791230000000001E-2</v>
      </c>
      <c r="S3067">
        <v>3.0168149999999998</v>
      </c>
      <c r="T3067">
        <v>-0.1214898</v>
      </c>
      <c r="U3067">
        <v>-0.8429413</v>
      </c>
      <c r="V3067">
        <v>-2.1472539999999998E-2</v>
      </c>
      <c r="W3067">
        <v>-9.0837609999999999E-2</v>
      </c>
      <c r="X3067">
        <v>0.99563420000000002</v>
      </c>
      <c r="Y3067">
        <v>0.2640015</v>
      </c>
      <c r="Z3067">
        <v>-5.3016519999999996E-3</v>
      </c>
      <c r="AA3067">
        <v>0.96450769999999997</v>
      </c>
      <c r="AB3067">
        <v>28</v>
      </c>
      <c r="AC3067">
        <v>27.238</v>
      </c>
      <c r="AD3067">
        <v>-1.109240670363</v>
      </c>
      <c r="AE3067">
        <v>-7.6967999999999899</v>
      </c>
      <c r="AF3067">
        <v>7.5466456174056704</v>
      </c>
      <c r="AG3067">
        <v>-1.109240670363</v>
      </c>
      <c r="AH3067">
        <v>27.234947070025399</v>
      </c>
      <c r="AI3067">
        <v>92.247684159399697</v>
      </c>
      <c r="AJ3067">
        <v>74.512256428993396</v>
      </c>
      <c r="AK3067">
        <v>28.282938617593899</v>
      </c>
      <c r="AL3067">
        <v>95.211795995998202</v>
      </c>
      <c r="AM3067">
        <v>91.235489124558796</v>
      </c>
      <c r="AN3067">
        <v>1.0000000007870999</v>
      </c>
    </row>
    <row r="3068" spans="1:40" x14ac:dyDescent="0.25">
      <c r="A3068" t="str">
        <f>"20190305135253306"</f>
        <v>20190305135253306</v>
      </c>
      <c r="B3068" t="str">
        <f>"1551765173303153"</f>
        <v>1551765173303153</v>
      </c>
      <c r="C3068" t="s">
        <v>40</v>
      </c>
      <c r="D3068">
        <v>4.7219160000000002</v>
      </c>
      <c r="E3068">
        <v>0.613201</v>
      </c>
      <c r="F3068" t="s">
        <v>66</v>
      </c>
      <c r="G3068">
        <v>-419.50850000000003</v>
      </c>
      <c r="H3068" s="1">
        <v>4.6498690000000004E-6</v>
      </c>
      <c r="I3068">
        <v>208.71010000000001</v>
      </c>
      <c r="J3068">
        <v>-442.22739999999999</v>
      </c>
      <c r="K3068">
        <v>1.1091869999999999</v>
      </c>
      <c r="L3068">
        <v>215.1773</v>
      </c>
      <c r="M3068">
        <v>0.99999329999999997</v>
      </c>
      <c r="N3068">
        <v>-2.1015069999999999E-3</v>
      </c>
      <c r="O3068">
        <v>-3.0549869999999999E-3</v>
      </c>
      <c r="P3068">
        <v>0.99558020000000003</v>
      </c>
      <c r="Q3068">
        <v>-9.2761440000000001E-2</v>
      </c>
      <c r="R3068">
        <v>1.468383E-2</v>
      </c>
      <c r="S3068">
        <v>3.01416</v>
      </c>
      <c r="T3068">
        <v>-0.1454868</v>
      </c>
      <c r="U3068">
        <v>-0.84814449999999997</v>
      </c>
      <c r="V3068">
        <v>-1.7357819999999999E-2</v>
      </c>
      <c r="W3068">
        <v>-9.0740260000000003E-2</v>
      </c>
      <c r="X3068">
        <v>0.99572329999999998</v>
      </c>
      <c r="Y3068">
        <v>0.26762649999999999</v>
      </c>
      <c r="Z3068">
        <v>-6.4808280000000001E-3</v>
      </c>
      <c r="AA3068">
        <v>0.96350089999999999</v>
      </c>
      <c r="AB3068">
        <v>29</v>
      </c>
      <c r="AC3068">
        <v>22.718899999999898</v>
      </c>
      <c r="AD3068">
        <v>-1.1091823501310001</v>
      </c>
      <c r="AE3068">
        <v>-6.4671999999999903</v>
      </c>
      <c r="AF3068">
        <v>6.3836882199243696</v>
      </c>
      <c r="AG3068">
        <v>-1.1091823501310001</v>
      </c>
      <c r="AH3068">
        <v>22.688524874251399</v>
      </c>
      <c r="AI3068">
        <v>92.694357303459498</v>
      </c>
      <c r="AJ3068">
        <v>74.285416819921394</v>
      </c>
      <c r="AK3068">
        <v>23.595569960155</v>
      </c>
      <c r="AL3068">
        <v>95.206195180412905</v>
      </c>
      <c r="AM3068">
        <v>90.998700245481501</v>
      </c>
      <c r="AN3068">
        <v>0.99999998943145496</v>
      </c>
    </row>
    <row r="3069" spans="1:40" x14ac:dyDescent="0.25">
      <c r="A3069" t="str">
        <f>"20190305135253340"</f>
        <v>20190305135253340</v>
      </c>
      <c r="B3069" t="str">
        <f>"1551765173332433"</f>
        <v>1551765173332433</v>
      </c>
      <c r="C3069" t="s">
        <v>40</v>
      </c>
      <c r="D3069">
        <v>4.7308089999999998</v>
      </c>
      <c r="E3069">
        <v>0.61374510000000004</v>
      </c>
      <c r="F3069" t="s">
        <v>66</v>
      </c>
      <c r="G3069">
        <v>-420.57889999999998</v>
      </c>
      <c r="H3069" s="1">
        <v>4.4802069999999999E-6</v>
      </c>
      <c r="I3069">
        <v>209.0258</v>
      </c>
      <c r="J3069">
        <v>-441.78859999999997</v>
      </c>
      <c r="K3069">
        <v>1.1090979999999999</v>
      </c>
      <c r="L3069">
        <v>215.17949999999999</v>
      </c>
      <c r="M3069">
        <v>0.99999769999999999</v>
      </c>
      <c r="N3069">
        <v>-2.154895E-3</v>
      </c>
      <c r="O3069">
        <v>1.394229E-4</v>
      </c>
      <c r="P3069">
        <v>0.99551310000000004</v>
      </c>
      <c r="Q3069">
        <v>-9.3685309999999994E-2</v>
      </c>
      <c r="R3069">
        <v>1.3304140000000001E-2</v>
      </c>
      <c r="S3069">
        <v>3.0115050000000001</v>
      </c>
      <c r="T3069">
        <v>-0.15429789999999999</v>
      </c>
      <c r="U3069">
        <v>-0.85572809999999899</v>
      </c>
      <c r="V3069">
        <v>-1.281379E-2</v>
      </c>
      <c r="W3069">
        <v>-9.1589729999999994E-2</v>
      </c>
      <c r="X3069">
        <v>0.9957144</v>
      </c>
      <c r="Y3069">
        <v>0.27311999999999997</v>
      </c>
      <c r="Z3069">
        <v>-7.1636390000000003E-3</v>
      </c>
      <c r="AA3069">
        <v>0.96195330000000001</v>
      </c>
      <c r="AB3069">
        <v>29</v>
      </c>
      <c r="AC3069">
        <v>21.209700000000002</v>
      </c>
      <c r="AD3069">
        <v>-1.1090935197930001</v>
      </c>
      <c r="AE3069">
        <v>-6.1536999999999802</v>
      </c>
      <c r="AF3069">
        <v>6.1411682815012902</v>
      </c>
      <c r="AG3069">
        <v>-1.1090935197930001</v>
      </c>
      <c r="AH3069">
        <v>21.155485084261802</v>
      </c>
      <c r="AI3069">
        <v>92.882260265706705</v>
      </c>
      <c r="AJ3069">
        <v>73.812658965086399</v>
      </c>
      <c r="AK3069">
        <v>22.056712933884501</v>
      </c>
      <c r="AL3069">
        <v>95.255069595270797</v>
      </c>
      <c r="AM3069">
        <v>90.737295314512906</v>
      </c>
      <c r="AN3069">
        <v>1.0000000191114899</v>
      </c>
    </row>
    <row r="3070" spans="1:40" x14ac:dyDescent="0.25">
      <c r="A3070" t="str">
        <f>"20190305135253362"</f>
        <v>20190305135253362</v>
      </c>
      <c r="B3070" t="str">
        <f>"1551765173352929"</f>
        <v>1551765173352929</v>
      </c>
      <c r="C3070" t="s">
        <v>40</v>
      </c>
      <c r="D3070">
        <v>4.726966</v>
      </c>
      <c r="E3070">
        <v>0.6139308</v>
      </c>
      <c r="F3070" t="s">
        <v>66</v>
      </c>
      <c r="G3070">
        <v>-421.1078</v>
      </c>
      <c r="H3070" s="1">
        <v>4.3045799999999997E-6</v>
      </c>
      <c r="I3070">
        <v>209.24109999999999</v>
      </c>
      <c r="J3070">
        <v>-441.5009</v>
      </c>
      <c r="K3070">
        <v>1.1090340000000001</v>
      </c>
      <c r="L3070">
        <v>215.1814</v>
      </c>
      <c r="M3070">
        <v>0.99999550000000004</v>
      </c>
      <c r="N3070">
        <v>-2.190432E-3</v>
      </c>
      <c r="O3070">
        <v>2.0895470000000002E-3</v>
      </c>
      <c r="P3070">
        <v>0.99550959999999999</v>
      </c>
      <c r="Q3070">
        <v>-9.3815469999999998E-2</v>
      </c>
      <c r="R3070">
        <v>1.262634E-2</v>
      </c>
      <c r="S3070">
        <v>3.0098880000000001</v>
      </c>
      <c r="T3070">
        <v>-0.16141739999999999</v>
      </c>
      <c r="U3070">
        <v>-0.86427310000000002</v>
      </c>
      <c r="V3070">
        <v>-1.020895E-2</v>
      </c>
      <c r="W3070">
        <v>-9.1672770000000001E-2</v>
      </c>
      <c r="X3070">
        <v>0.99573679999999998</v>
      </c>
      <c r="Y3070">
        <v>0.27761259999999999</v>
      </c>
      <c r="Z3070">
        <v>-7.7072540000000002E-3</v>
      </c>
      <c r="AA3070">
        <v>0.96066220000000002</v>
      </c>
      <c r="AB3070">
        <v>29</v>
      </c>
      <c r="AC3070">
        <v>20.3931</v>
      </c>
      <c r="AD3070">
        <v>-1.1090296954200001</v>
      </c>
      <c r="AE3070">
        <v>-5.9402999999999997</v>
      </c>
      <c r="AF3070">
        <v>5.96663351330435</v>
      </c>
      <c r="AG3070">
        <v>-1.1090296954200001</v>
      </c>
      <c r="AH3070">
        <v>20.325233211930399</v>
      </c>
      <c r="AI3070">
        <v>92.996979561127404</v>
      </c>
      <c r="AJ3070">
        <v>73.639979939193196</v>
      </c>
      <c r="AK3070">
        <v>21.211925124013799</v>
      </c>
      <c r="AL3070">
        <v>95.259847917067503</v>
      </c>
      <c r="AM3070">
        <v>90.587413515494603</v>
      </c>
      <c r="AN3070">
        <v>0.99999994714690599</v>
      </c>
    </row>
    <row r="3071" spans="1:40" x14ac:dyDescent="0.25">
      <c r="A3071" t="str">
        <f>"20190305135253615"</f>
        <v>20190305135253615</v>
      </c>
      <c r="B3071" t="str">
        <f>"1551765173612916"</f>
        <v>1551765173612916</v>
      </c>
      <c r="C3071" t="s">
        <v>40</v>
      </c>
      <c r="D3071">
        <v>4.5577909999999999</v>
      </c>
      <c r="E3071">
        <v>0.51073559999999996</v>
      </c>
      <c r="F3071" t="s">
        <v>66</v>
      </c>
      <c r="G3071">
        <v>-421.4812</v>
      </c>
      <c r="H3071" s="1">
        <v>4.1947020000000003E-6</v>
      </c>
      <c r="I3071">
        <v>209.4059</v>
      </c>
      <c r="J3071">
        <v>-438.13900000000001</v>
      </c>
      <c r="K3071">
        <v>1.1085659999999999</v>
      </c>
      <c r="L3071">
        <v>215.2295</v>
      </c>
      <c r="M3071">
        <v>0.99984189999999995</v>
      </c>
      <c r="N3071">
        <v>-2.570845E-3</v>
      </c>
      <c r="O3071">
        <v>1.759749E-2</v>
      </c>
      <c r="P3071">
        <v>0.99530779999999996</v>
      </c>
      <c r="Q3071">
        <v>-9.3386960000000005E-2</v>
      </c>
      <c r="R3071">
        <v>2.5327590000000001E-2</v>
      </c>
      <c r="S3071">
        <v>3.0088200000000001</v>
      </c>
      <c r="T3071">
        <v>-0.16667960000000001</v>
      </c>
      <c r="U3071">
        <v>-0.86802669999999904</v>
      </c>
      <c r="V3071">
        <v>-7.5786040000000001E-3</v>
      </c>
      <c r="W3071">
        <v>-9.0846609999999994E-2</v>
      </c>
      <c r="X3071">
        <v>0.9958361</v>
      </c>
      <c r="Y3071">
        <v>0.2935953</v>
      </c>
      <c r="Z3071">
        <v>-9.2600640000000001E-3</v>
      </c>
      <c r="AA3071">
        <v>0.95588490000000004</v>
      </c>
      <c r="AB3071">
        <v>29</v>
      </c>
      <c r="AC3071">
        <v>16.657800000000002</v>
      </c>
      <c r="AD3071">
        <v>-1.108561805298</v>
      </c>
      <c r="AE3071">
        <v>-5.8235999999999901</v>
      </c>
      <c r="AF3071">
        <v>6.0917937224549199</v>
      </c>
      <c r="AG3071">
        <v>-1.108561805298</v>
      </c>
      <c r="AH3071">
        <v>16.487671811777702</v>
      </c>
      <c r="AI3071">
        <v>93.608787496912001</v>
      </c>
      <c r="AJ3071">
        <v>69.7219547874098</v>
      </c>
      <c r="AK3071">
        <v>17.6119897174055</v>
      </c>
      <c r="AL3071">
        <v>95.212313594405003</v>
      </c>
      <c r="AM3071">
        <v>90.436029223294298</v>
      </c>
      <c r="AN3071">
        <v>1.0000000399251401</v>
      </c>
    </row>
    <row r="3072" spans="1:40" x14ac:dyDescent="0.25">
      <c r="A3072" t="str">
        <f>"20190305135253631"</f>
        <v>20190305135253631</v>
      </c>
      <c r="B3072" t="str">
        <f>"1551765173622678"</f>
        <v>1551765173622678</v>
      </c>
      <c r="C3072" t="s">
        <v>40</v>
      </c>
      <c r="D3072">
        <v>4.5039730000000002</v>
      </c>
      <c r="E3072">
        <v>0.51052370000000002</v>
      </c>
      <c r="F3072" t="s">
        <v>66</v>
      </c>
      <c r="G3072">
        <v>-412.70819999999998</v>
      </c>
      <c r="H3072" s="1">
        <v>2.6362810000000002E-6</v>
      </c>
      <c r="I3072">
        <v>215.1867</v>
      </c>
      <c r="J3072">
        <v>-437.87329999999997</v>
      </c>
      <c r="K3072">
        <v>1.1085969999999901</v>
      </c>
      <c r="L3072">
        <v>215.23500000000001</v>
      </c>
      <c r="M3072">
        <v>0.99982179999999998</v>
      </c>
      <c r="N3072">
        <v>-2.5952060000000001E-3</v>
      </c>
      <c r="O3072">
        <v>1.8705010000000001E-2</v>
      </c>
      <c r="P3072">
        <v>0.99577689999999996</v>
      </c>
      <c r="Q3072">
        <v>-8.9644269999999998E-2</v>
      </c>
      <c r="R3072">
        <v>1.981279E-2</v>
      </c>
      <c r="S3072">
        <v>3.0019840000000002</v>
      </c>
      <c r="T3072">
        <v>-0.1308608</v>
      </c>
      <c r="U3072">
        <v>-5.0506589999999999E-3</v>
      </c>
      <c r="V3072">
        <v>-9.6127959999999998E-4</v>
      </c>
      <c r="W3072">
        <v>-8.7061929999999996E-2</v>
      </c>
      <c r="X3072">
        <v>0.99620240000000004</v>
      </c>
      <c r="Y3072">
        <v>2.0351000000000001E-2</v>
      </c>
      <c r="Z3072">
        <v>-1.236209E-3</v>
      </c>
      <c r="AA3072">
        <v>0.99979220000000002</v>
      </c>
      <c r="AB3072">
        <v>31</v>
      </c>
      <c r="AC3072">
        <v>25.165099999999899</v>
      </c>
      <c r="AD3072">
        <v>-1.1085943637190001</v>
      </c>
      <c r="AE3072">
        <v>-4.8300000000011702E-2</v>
      </c>
      <c r="AF3072">
        <v>0.51800126719355</v>
      </c>
      <c r="AG3072">
        <v>-1.1085943637190001</v>
      </c>
      <c r="AH3072">
        <v>25.111062089185101</v>
      </c>
      <c r="AI3072">
        <v>92.527295607137205</v>
      </c>
      <c r="AJ3072">
        <v>88.818246813286606</v>
      </c>
      <c r="AK3072">
        <v>25.140858100370998</v>
      </c>
      <c r="AL3072">
        <v>94.994604602374906</v>
      </c>
      <c r="AM3072">
        <v>90.055287205609602</v>
      </c>
      <c r="AN3072">
        <v>0.99999996273977598</v>
      </c>
    </row>
    <row r="3073" spans="1:40" x14ac:dyDescent="0.25">
      <c r="A3073" t="str">
        <f>"20190305135253653"</f>
        <v>20190305135253653</v>
      </c>
      <c r="B3073" t="str">
        <f>"1551765173643172"</f>
        <v>1551765173643172</v>
      </c>
      <c r="C3073" t="s">
        <v>40</v>
      </c>
      <c r="D3073">
        <v>4.5109529999999998</v>
      </c>
      <c r="E3073">
        <v>0.51050470000000003</v>
      </c>
      <c r="F3073" t="s">
        <v>66</v>
      </c>
      <c r="G3073">
        <v>-410.38909999999998</v>
      </c>
      <c r="H3073" s="1">
        <v>2.236013E-6</v>
      </c>
      <c r="I3073">
        <v>215.05959999999999</v>
      </c>
      <c r="J3073">
        <v>-437.56529999999998</v>
      </c>
      <c r="K3073">
        <v>1.108563</v>
      </c>
      <c r="L3073">
        <v>215.24189999999999</v>
      </c>
      <c r="M3073">
        <v>0.99979890000000005</v>
      </c>
      <c r="N3073">
        <v>-2.6230229999999999E-3</v>
      </c>
      <c r="O3073">
        <v>1.9882549999999999E-2</v>
      </c>
      <c r="P3073">
        <v>0.99593419999999999</v>
      </c>
      <c r="Q3073">
        <v>-8.75388E-2</v>
      </c>
      <c r="R3073">
        <v>2.1257789999999999E-2</v>
      </c>
      <c r="S3073">
        <v>3.002167</v>
      </c>
      <c r="T3073">
        <v>-0.1210943</v>
      </c>
      <c r="U3073">
        <v>-1.9165040000000001E-2</v>
      </c>
      <c r="V3073">
        <v>-1.2441500000000001E-3</v>
      </c>
      <c r="W3073">
        <v>-8.492885E-2</v>
      </c>
      <c r="X3073">
        <v>0.9963862</v>
      </c>
      <c r="Y3073">
        <v>2.6227710000000001E-2</v>
      </c>
      <c r="Z3073">
        <v>-1.3126289999999901E-3</v>
      </c>
      <c r="AA3073">
        <v>0.99965510000000002</v>
      </c>
      <c r="AB3073">
        <v>31</v>
      </c>
      <c r="AC3073">
        <v>27.176199999999898</v>
      </c>
      <c r="AD3073">
        <v>-1.1085607639870001</v>
      </c>
      <c r="AE3073">
        <v>-0.18229999999999699</v>
      </c>
      <c r="AF3073">
        <v>0.72139764830217501</v>
      </c>
      <c r="AG3073">
        <v>-1.1085607639870001</v>
      </c>
      <c r="AH3073">
        <v>27.122075361385701</v>
      </c>
      <c r="AI3073">
        <v>92.339721409934498</v>
      </c>
      <c r="AJ3073">
        <v>88.476396183295094</v>
      </c>
      <c r="AK3073">
        <v>27.154305246923698</v>
      </c>
      <c r="AL3073">
        <v>94.871933682996996</v>
      </c>
      <c r="AM3073">
        <v>90.071543049304793</v>
      </c>
      <c r="AN3073">
        <v>0.99999995851099099</v>
      </c>
    </row>
    <row r="3074" spans="1:40" x14ac:dyDescent="0.25">
      <c r="A3074" t="str">
        <f>"20190305135253674"</f>
        <v>20190305135253674</v>
      </c>
      <c r="B3074" t="str">
        <f>"1551765173662979"</f>
        <v>1551765173662979</v>
      </c>
      <c r="C3074" t="s">
        <v>40</v>
      </c>
      <c r="D3074">
        <v>4.496918</v>
      </c>
      <c r="E3074">
        <v>0.51062580000000002</v>
      </c>
      <c r="F3074" t="s">
        <v>66</v>
      </c>
      <c r="G3074">
        <v>-409.31580000000002</v>
      </c>
      <c r="H3074" s="1">
        <v>4.1711240000000004E-6</v>
      </c>
      <c r="I3074">
        <v>215.1001</v>
      </c>
      <c r="J3074">
        <v>-437.26179999999999</v>
      </c>
      <c r="K3074">
        <v>1.10839</v>
      </c>
      <c r="L3074">
        <v>215.24889999999999</v>
      </c>
      <c r="M3074">
        <v>0.99978290000000003</v>
      </c>
      <c r="N3074">
        <v>-2.6513069999999999E-3</v>
      </c>
      <c r="O3074">
        <v>2.0668559999999999E-2</v>
      </c>
      <c r="P3074">
        <v>0.99611320000000003</v>
      </c>
      <c r="Q3074">
        <v>-8.5144360000000002E-2</v>
      </c>
      <c r="R3074">
        <v>2.2562720000000001E-2</v>
      </c>
      <c r="S3074">
        <v>3.0022280000000001</v>
      </c>
      <c r="T3074">
        <v>-0.1178125</v>
      </c>
      <c r="U3074">
        <v>-1.5075679999999999E-2</v>
      </c>
      <c r="V3074">
        <v>-1.8051530000000001E-3</v>
      </c>
      <c r="W3074">
        <v>-8.2506140000000006E-2</v>
      </c>
      <c r="X3074">
        <v>0.9965889</v>
      </c>
      <c r="Y3074">
        <v>2.5653829999999999E-2</v>
      </c>
      <c r="Z3074">
        <v>-1.2931139999999999E-3</v>
      </c>
      <c r="AA3074">
        <v>0.99966999999999995</v>
      </c>
      <c r="AB3074">
        <v>31</v>
      </c>
      <c r="AC3074">
        <v>27.945999999999898</v>
      </c>
      <c r="AD3074">
        <v>-1.108385828876</v>
      </c>
      <c r="AE3074">
        <v>-0.14879999999999399</v>
      </c>
      <c r="AF3074">
        <v>0.72523300665290602</v>
      </c>
      <c r="AG3074">
        <v>-1.108385828876</v>
      </c>
      <c r="AH3074">
        <v>27.893078738326501</v>
      </c>
      <c r="AI3074">
        <v>92.274794241295297</v>
      </c>
      <c r="AJ3074">
        <v>88.5106186711308</v>
      </c>
      <c r="AK3074">
        <v>27.924511160664501</v>
      </c>
      <c r="AL3074">
        <v>94.732633479715503</v>
      </c>
      <c r="AM3074">
        <v>90.103781544388895</v>
      </c>
      <c r="AN3074">
        <v>0.99999997865913104</v>
      </c>
    </row>
    <row r="3075" spans="1:40" x14ac:dyDescent="0.25">
      <c r="A3075" t="str">
        <f>"20190305135253699"</f>
        <v>20190305135253699</v>
      </c>
      <c r="B3075" t="str">
        <f>"1551765173693234"</f>
        <v>1551765173693234</v>
      </c>
      <c r="C3075" t="s">
        <v>40</v>
      </c>
      <c r="D3075">
        <v>4.5005290000000002</v>
      </c>
      <c r="E3075">
        <v>0.51088509999999998</v>
      </c>
      <c r="F3075" t="s">
        <v>66</v>
      </c>
      <c r="G3075">
        <v>-407.4966</v>
      </c>
      <c r="H3075" s="1">
        <v>4.9718389999999996E-6</v>
      </c>
      <c r="I3075">
        <v>215.1293</v>
      </c>
      <c r="J3075">
        <v>-436.91989999999998</v>
      </c>
      <c r="K3075">
        <v>1.108061</v>
      </c>
      <c r="L3075">
        <v>215.25649999999999</v>
      </c>
      <c r="M3075">
        <v>0.99977490000000002</v>
      </c>
      <c r="N3075">
        <v>-2.689402E-3</v>
      </c>
      <c r="O3075">
        <v>2.104924E-2</v>
      </c>
      <c r="P3075">
        <v>0.99624080000000004</v>
      </c>
      <c r="Q3075">
        <v>-8.3253489999999999E-2</v>
      </c>
      <c r="R3075">
        <v>2.3945959999999999E-2</v>
      </c>
      <c r="S3075">
        <v>3.00238</v>
      </c>
      <c r="T3075">
        <v>-0.1118011</v>
      </c>
      <c r="U3075">
        <v>-1.205444E-2</v>
      </c>
      <c r="V3075">
        <v>-2.8772070000000001E-3</v>
      </c>
      <c r="W3075">
        <v>-8.0576540000000002E-2</v>
      </c>
      <c r="X3075">
        <v>0.99674430000000003</v>
      </c>
      <c r="Y3075">
        <v>2.503203E-2</v>
      </c>
      <c r="Z3075">
        <v>-1.226492E-3</v>
      </c>
      <c r="AA3075">
        <v>0.99968590000000002</v>
      </c>
      <c r="AB3075">
        <v>31</v>
      </c>
      <c r="AC3075">
        <v>29.423299999999902</v>
      </c>
      <c r="AD3075">
        <v>-1.1080560281609999</v>
      </c>
      <c r="AE3075">
        <v>-0.12719999999998699</v>
      </c>
      <c r="AF3075">
        <v>0.745454920589121</v>
      </c>
      <c r="AG3075">
        <v>-1.1080560281609999</v>
      </c>
      <c r="AH3075">
        <v>29.372447926528199</v>
      </c>
      <c r="AI3075">
        <v>92.159725863156396</v>
      </c>
      <c r="AJ3075">
        <v>88.546179941140295</v>
      </c>
      <c r="AK3075">
        <v>29.402792187082898</v>
      </c>
      <c r="AL3075">
        <v>94.621705900951397</v>
      </c>
      <c r="AM3075">
        <v>90.165389819648297</v>
      </c>
      <c r="AN3075">
        <v>1.00000002835049</v>
      </c>
    </row>
    <row r="3076" spans="1:40" x14ac:dyDescent="0.25">
      <c r="A3076" t="str">
        <f>"20190305135253719"</f>
        <v>20190305135253719</v>
      </c>
      <c r="B3076" t="str">
        <f>"1551765173712755"</f>
        <v>1551765173712755</v>
      </c>
      <c r="C3076" t="s">
        <v>40</v>
      </c>
      <c r="D3076">
        <v>4.5255080000000003</v>
      </c>
      <c r="E3076">
        <v>0.51112309999999905</v>
      </c>
      <c r="F3076" t="s">
        <v>66</v>
      </c>
      <c r="G3076">
        <v>-406.13220000000001</v>
      </c>
      <c r="H3076" s="1">
        <v>5.5711440000000003E-6</v>
      </c>
      <c r="I3076">
        <v>215.15700000000001</v>
      </c>
      <c r="J3076">
        <v>-436.61799999999999</v>
      </c>
      <c r="K3076">
        <v>1.1077399999999999</v>
      </c>
      <c r="L3076">
        <v>215.2629</v>
      </c>
      <c r="M3076">
        <v>0.999776</v>
      </c>
      <c r="N3076">
        <v>-2.7280120000000001E-3</v>
      </c>
      <c r="O3076">
        <v>2.0993999999999999E-2</v>
      </c>
      <c r="P3076">
        <v>0.99631479999999994</v>
      </c>
      <c r="Q3076">
        <v>-8.200644E-2</v>
      </c>
      <c r="R3076">
        <v>2.514663E-2</v>
      </c>
      <c r="S3076">
        <v>3.0025629999999999</v>
      </c>
      <c r="T3076">
        <v>-0.10806300000000001</v>
      </c>
      <c r="U3076">
        <v>-9.7045900000000008E-3</v>
      </c>
      <c r="V3076">
        <v>-4.1960799999999996E-3</v>
      </c>
      <c r="W3076">
        <v>-7.9288839999999999E-2</v>
      </c>
      <c r="X3076">
        <v>0.99684289999999998</v>
      </c>
      <c r="Y3076">
        <v>2.4196869999999999E-2</v>
      </c>
      <c r="Z3076">
        <v>-1.1663400000000001E-3</v>
      </c>
      <c r="AA3076">
        <v>0.99970650000000005</v>
      </c>
      <c r="AB3076">
        <v>32</v>
      </c>
      <c r="AC3076">
        <v>30.485800000000001</v>
      </c>
      <c r="AD3076">
        <v>-1.107734428856</v>
      </c>
      <c r="AE3076">
        <v>-0.105899999999991</v>
      </c>
      <c r="AF3076">
        <v>0.744914343055737</v>
      </c>
      <c r="AG3076">
        <v>-1.107734428856</v>
      </c>
      <c r="AH3076">
        <v>30.436672283675399</v>
      </c>
      <c r="AI3076">
        <v>92.083720963597202</v>
      </c>
      <c r="AJ3076">
        <v>88.598009370958593</v>
      </c>
      <c r="AK3076">
        <v>30.465931672069701</v>
      </c>
      <c r="AL3076">
        <v>94.547689202716796</v>
      </c>
      <c r="AM3076">
        <v>90.241177676586901</v>
      </c>
      <c r="AN3076">
        <v>1.0000000472581501</v>
      </c>
    </row>
    <row r="3077" spans="1:40" x14ac:dyDescent="0.25">
      <c r="A3077" t="str">
        <f>"20190305135253741"</f>
        <v>20190305135253741</v>
      </c>
      <c r="B3077" t="str">
        <f>"1551765173733250"</f>
        <v>1551765173733250</v>
      </c>
      <c r="C3077" t="s">
        <v>40</v>
      </c>
      <c r="D3077">
        <v>4.5114830000000001</v>
      </c>
      <c r="E3077">
        <v>0.51131280000000001</v>
      </c>
      <c r="F3077" t="s">
        <v>66</v>
      </c>
      <c r="G3077">
        <v>-404.8734</v>
      </c>
      <c r="H3077" s="1">
        <v>6.1246169999999996E-6</v>
      </c>
      <c r="I3077">
        <v>215.18020000000001</v>
      </c>
      <c r="J3077">
        <v>-436.30880000000002</v>
      </c>
      <c r="K3077">
        <v>1.107461</v>
      </c>
      <c r="L3077">
        <v>215.26920000000001</v>
      </c>
      <c r="M3077">
        <v>0.99978350000000005</v>
      </c>
      <c r="N3077">
        <v>-2.768076E-3</v>
      </c>
      <c r="O3077">
        <v>2.062197E-2</v>
      </c>
      <c r="P3077">
        <v>0.99645240000000002</v>
      </c>
      <c r="Q3077">
        <v>-8.0001089999999997E-2</v>
      </c>
      <c r="R3077">
        <v>2.6117120000000001E-2</v>
      </c>
      <c r="S3077">
        <v>3.0027159999999999</v>
      </c>
      <c r="T3077">
        <v>-0.1047802</v>
      </c>
      <c r="U3077">
        <v>-7.8277590000000001E-3</v>
      </c>
      <c r="V3077">
        <v>-5.5901730000000004E-3</v>
      </c>
      <c r="W3077">
        <v>-7.7239630000000004E-2</v>
      </c>
      <c r="X3077">
        <v>0.99699689999999996</v>
      </c>
      <c r="Y3077">
        <v>2.320243E-2</v>
      </c>
      <c r="Z3077">
        <v>-1.099109E-3</v>
      </c>
      <c r="AA3077">
        <v>0.99973020000000001</v>
      </c>
      <c r="AB3077">
        <v>32</v>
      </c>
      <c r="AC3077">
        <v>31.435400000000001</v>
      </c>
      <c r="AD3077">
        <v>-1.107454875383</v>
      </c>
      <c r="AE3077">
        <v>-8.8999999999998594E-2</v>
      </c>
      <c r="AF3077">
        <v>0.73632957430057</v>
      </c>
      <c r="AG3077">
        <v>-1.107454875383</v>
      </c>
      <c r="AH3077">
        <v>31.387923780908199</v>
      </c>
      <c r="AI3077">
        <v>92.020163849979298</v>
      </c>
      <c r="AJ3077">
        <v>88.656144297951201</v>
      </c>
      <c r="AK3077">
        <v>31.4160850014622</v>
      </c>
      <c r="AL3077">
        <v>94.429916999163893</v>
      </c>
      <c r="AM3077">
        <v>90.3212547232486</v>
      </c>
      <c r="AN3077">
        <v>1.00000001454315</v>
      </c>
    </row>
    <row r="3078" spans="1:40" x14ac:dyDescent="0.25">
      <c r="A3078" t="str">
        <f>"20190305135253764"</f>
        <v>20190305135253764</v>
      </c>
      <c r="B3078" t="str">
        <f>"1551765173752771"</f>
        <v>1551765173752771</v>
      </c>
      <c r="C3078" t="s">
        <v>40</v>
      </c>
      <c r="D3078">
        <v>4.5489750000000004</v>
      </c>
      <c r="E3078">
        <v>0.51170640000000001</v>
      </c>
      <c r="F3078" t="s">
        <v>66</v>
      </c>
      <c r="G3078">
        <v>-403.4486</v>
      </c>
      <c r="H3078" s="1">
        <v>6.7531660000000003E-6</v>
      </c>
      <c r="I3078">
        <v>215.196</v>
      </c>
      <c r="J3078">
        <v>-435.9821</v>
      </c>
      <c r="K3078">
        <v>1.1072420000000001</v>
      </c>
      <c r="L3078">
        <v>215.27529999999999</v>
      </c>
      <c r="M3078">
        <v>0.99979720000000005</v>
      </c>
      <c r="N3078">
        <v>-2.8073360000000001E-3</v>
      </c>
      <c r="O3078">
        <v>1.994978E-2</v>
      </c>
      <c r="P3078">
        <v>0.99649759999999998</v>
      </c>
      <c r="Q3078">
        <v>-7.9075759999999995E-2</v>
      </c>
      <c r="R3078">
        <v>2.7199279999999999E-2</v>
      </c>
      <c r="S3078">
        <v>3.0027469999999998</v>
      </c>
      <c r="T3078">
        <v>-0.1011986</v>
      </c>
      <c r="U3078">
        <v>-6.6833500000000002E-3</v>
      </c>
      <c r="V3078">
        <v>-7.3853699999999996E-3</v>
      </c>
      <c r="W3078">
        <v>-7.6270130000000005E-2</v>
      </c>
      <c r="X3078">
        <v>0.99705980000000005</v>
      </c>
      <c r="Y3078">
        <v>2.2151959999999998E-2</v>
      </c>
      <c r="Z3078">
        <v>-1.0204120000000001E-3</v>
      </c>
      <c r="AA3078">
        <v>0.99975409999999998</v>
      </c>
      <c r="AB3078">
        <v>32</v>
      </c>
      <c r="AC3078">
        <v>32.533499999999997</v>
      </c>
      <c r="AD3078">
        <v>-1.1072352468340001</v>
      </c>
      <c r="AE3078">
        <v>-7.9299999999989199E-2</v>
      </c>
      <c r="AF3078">
        <v>0.72748021069504398</v>
      </c>
      <c r="AG3078">
        <v>-1.1072352468340001</v>
      </c>
      <c r="AH3078">
        <v>32.487813053504503</v>
      </c>
      <c r="AI3078">
        <v>91.951485009293194</v>
      </c>
      <c r="AJ3078">
        <v>88.717224174833007</v>
      </c>
      <c r="AK3078">
        <v>32.5148149979089</v>
      </c>
      <c r="AL3078">
        <v>94.374204623337206</v>
      </c>
      <c r="AM3078">
        <v>90.424390585759795</v>
      </c>
      <c r="AN3078">
        <v>0.999999960598146</v>
      </c>
    </row>
    <row r="3079" spans="1:40" x14ac:dyDescent="0.25">
      <c r="A3079" t="str">
        <f>"20190305135253786"</f>
        <v>20190305135253786</v>
      </c>
      <c r="B3079" t="str">
        <f>"1551765173782558"</f>
        <v>1551765173782558</v>
      </c>
      <c r="C3079" t="s">
        <v>40</v>
      </c>
      <c r="D3079">
        <v>4.5554519999999998</v>
      </c>
      <c r="E3079">
        <v>0.51199289999999997</v>
      </c>
      <c r="F3079" t="s">
        <v>66</v>
      </c>
      <c r="G3079">
        <v>-403.18299999999999</v>
      </c>
      <c r="H3079" s="1">
        <v>6.8692089999999998E-6</v>
      </c>
      <c r="I3079">
        <v>215.20429999999999</v>
      </c>
      <c r="J3079">
        <v>-435.66930000000002</v>
      </c>
      <c r="K3079">
        <v>1.107105</v>
      </c>
      <c r="L3079">
        <v>215.2808</v>
      </c>
      <c r="M3079">
        <v>0.99981350000000002</v>
      </c>
      <c r="N3079">
        <v>-2.841325E-3</v>
      </c>
      <c r="O3079">
        <v>1.910214E-2</v>
      </c>
      <c r="P3079">
        <v>0.99646069999999998</v>
      </c>
      <c r="Q3079">
        <v>-7.8977030000000004E-2</v>
      </c>
      <c r="R3079">
        <v>2.878551E-2</v>
      </c>
      <c r="S3079">
        <v>3.0027159999999999</v>
      </c>
      <c r="T3079">
        <v>-0.101366</v>
      </c>
      <c r="U3079">
        <v>-6.5002439999999996E-3</v>
      </c>
      <c r="V3079">
        <v>-9.8444020000000004E-3</v>
      </c>
      <c r="W3079">
        <v>-7.613172E-2</v>
      </c>
      <c r="X3079">
        <v>0.99704919999999997</v>
      </c>
      <c r="Y3079">
        <v>2.1244309999999999E-2</v>
      </c>
      <c r="Z3079">
        <v>-9.7905020000000004E-4</v>
      </c>
      <c r="AA3079">
        <v>0.99977389999999999</v>
      </c>
      <c r="AB3079">
        <v>32</v>
      </c>
      <c r="AC3079">
        <v>32.4862999999999</v>
      </c>
      <c r="AD3079">
        <v>-1.1070981307909999</v>
      </c>
      <c r="AE3079">
        <v>-7.6500000000009893E-2</v>
      </c>
      <c r="AF3079">
        <v>0.69623780990117801</v>
      </c>
      <c r="AG3079">
        <v>-1.1070981307909999</v>
      </c>
      <c r="AH3079">
        <v>32.441234934111399</v>
      </c>
      <c r="AI3079">
        <v>91.954082731575497</v>
      </c>
      <c r="AJ3079">
        <v>88.770534932046601</v>
      </c>
      <c r="AK3079">
        <v>32.467585949826102</v>
      </c>
      <c r="AL3079">
        <v>94.366250889615998</v>
      </c>
      <c r="AM3079">
        <v>90.565693607306301</v>
      </c>
      <c r="AN3079">
        <v>1.00000002913076</v>
      </c>
    </row>
    <row r="3080" spans="1:40" x14ac:dyDescent="0.25">
      <c r="A3080" t="str">
        <f>"20190305135253808"</f>
        <v>20190305135253808</v>
      </c>
      <c r="B3080" t="str">
        <f>"1551765173803053"</f>
        <v>1551765173803053</v>
      </c>
      <c r="C3080" t="s">
        <v>40</v>
      </c>
      <c r="D3080">
        <v>4.5374949999999998</v>
      </c>
      <c r="E3080">
        <v>0.51229040000000003</v>
      </c>
      <c r="F3080" t="s">
        <v>66</v>
      </c>
      <c r="G3080">
        <v>-403.99689999999998</v>
      </c>
      <c r="H3080" s="1">
        <v>6.5015189999999998E-6</v>
      </c>
      <c r="I3080">
        <v>215.2372</v>
      </c>
      <c r="J3080">
        <v>-435.34</v>
      </c>
      <c r="K3080">
        <v>1.10701</v>
      </c>
      <c r="L3080">
        <v>215.28620000000001</v>
      </c>
      <c r="M3080">
        <v>0.99983250000000001</v>
      </c>
      <c r="N3080">
        <v>-2.8746980000000002E-3</v>
      </c>
      <c r="O3080">
        <v>1.8080949999999998E-2</v>
      </c>
      <c r="P3080">
        <v>0.99646409999999996</v>
      </c>
      <c r="Q3080">
        <v>-7.8561580000000006E-2</v>
      </c>
      <c r="R3080">
        <v>2.9794339999999999E-2</v>
      </c>
      <c r="S3080">
        <v>3.002472</v>
      </c>
      <c r="T3080">
        <v>-0.1049503</v>
      </c>
      <c r="U3080">
        <v>-4.1351319999999997E-3</v>
      </c>
      <c r="V3080">
        <v>-1.188867E-2</v>
      </c>
      <c r="W3080">
        <v>-7.5677480000000005E-2</v>
      </c>
      <c r="X3080">
        <v>0.99706150000000004</v>
      </c>
      <c r="Y3080">
        <v>1.9435879999999999E-2</v>
      </c>
      <c r="Z3080">
        <v>-9.4735960000000004E-4</v>
      </c>
      <c r="AA3080">
        <v>0.99981059999999999</v>
      </c>
      <c r="AB3080">
        <v>32</v>
      </c>
      <c r="AC3080">
        <v>31.3431</v>
      </c>
      <c r="AD3080">
        <v>-1.107003498481</v>
      </c>
      <c r="AE3080">
        <v>-4.9000000000006497E-2</v>
      </c>
      <c r="AF3080">
        <v>0.61494020575139097</v>
      </c>
      <c r="AG3080">
        <v>-1.107003498481</v>
      </c>
      <c r="AH3080">
        <v>31.298048374101501</v>
      </c>
      <c r="AI3080">
        <v>92.025301207980405</v>
      </c>
      <c r="AJ3080">
        <v>88.874404396142396</v>
      </c>
      <c r="AK3080">
        <v>31.323656239811701</v>
      </c>
      <c r="AL3080">
        <v>94.340149559523098</v>
      </c>
      <c r="AM3080">
        <v>90.683145759825393</v>
      </c>
      <c r="AN3080">
        <v>1.00000002811788</v>
      </c>
    </row>
    <row r="3081" spans="1:40" x14ac:dyDescent="0.25">
      <c r="A3081" t="str">
        <f>"20190305135253830"</f>
        <v>20190305135253830</v>
      </c>
      <c r="B3081" t="str">
        <f>"1551765173822574"</f>
        <v>1551765173822574</v>
      </c>
      <c r="C3081" t="s">
        <v>40</v>
      </c>
      <c r="D3081">
        <v>4.5455870000000003</v>
      </c>
      <c r="E3081">
        <v>0.51257129999999995</v>
      </c>
      <c r="F3081" t="s">
        <v>66</v>
      </c>
      <c r="G3081">
        <v>-404.0333</v>
      </c>
      <c r="H3081" s="1">
        <v>6.4831459999999998E-6</v>
      </c>
      <c r="I3081">
        <v>215.24789999999999</v>
      </c>
      <c r="J3081">
        <v>-435.01690000000002</v>
      </c>
      <c r="K3081">
        <v>1.106949</v>
      </c>
      <c r="L3081">
        <v>215.2912</v>
      </c>
      <c r="M3081">
        <v>0.99985089999999999</v>
      </c>
      <c r="N3081">
        <v>-2.9064379999999999E-3</v>
      </c>
      <c r="O3081">
        <v>1.7026949999999999E-2</v>
      </c>
      <c r="P3081">
        <v>0.99654299999999996</v>
      </c>
      <c r="Q3081">
        <v>-7.7556340000000001E-2</v>
      </c>
      <c r="R3081">
        <v>2.978683E-2</v>
      </c>
      <c r="S3081">
        <v>3.00238</v>
      </c>
      <c r="T3081">
        <v>-0.10616399999999999</v>
      </c>
      <c r="U3081">
        <v>-3.6773679999999999E-3</v>
      </c>
      <c r="V3081">
        <v>-1.294087E-2</v>
      </c>
      <c r="W3081">
        <v>-7.4636739999999993E-2</v>
      </c>
      <c r="X3081">
        <v>0.99712679999999998</v>
      </c>
      <c r="Y3081">
        <v>1.8230349999999999E-2</v>
      </c>
      <c r="Z3081">
        <v>-9.0110090000000004E-4</v>
      </c>
      <c r="AA3081">
        <v>0.99983339999999998</v>
      </c>
      <c r="AB3081">
        <v>33</v>
      </c>
      <c r="AC3081">
        <v>30.983599999999999</v>
      </c>
      <c r="AD3081">
        <v>-1.1069425168539999</v>
      </c>
      <c r="AE3081">
        <v>-4.3300000000016298E-2</v>
      </c>
      <c r="AF3081">
        <v>0.57012440514803098</v>
      </c>
      <c r="AG3081">
        <v>-1.1069425168539999</v>
      </c>
      <c r="AH3081">
        <v>30.938880757994301</v>
      </c>
      <c r="AI3081">
        <v>92.048727662825499</v>
      </c>
      <c r="AJ3081">
        <v>88.944304877040807</v>
      </c>
      <c r="AK3081">
        <v>30.963925883685199</v>
      </c>
      <c r="AL3081">
        <v>94.280350616276905</v>
      </c>
      <c r="AM3081">
        <v>90.743551983467796</v>
      </c>
      <c r="AN3081">
        <v>0.999999982176212</v>
      </c>
    </row>
    <row r="3082" spans="1:40" x14ac:dyDescent="0.25">
      <c r="A3082" t="str">
        <f>"20190305135253852"</f>
        <v>20190305135253852</v>
      </c>
      <c r="B3082" t="str">
        <f>"1551765173843069"</f>
        <v>1551765173843069</v>
      </c>
      <c r="C3082" t="s">
        <v>40</v>
      </c>
      <c r="D3082">
        <v>4.5783509999999996</v>
      </c>
      <c r="E3082">
        <v>0.51296529999999996</v>
      </c>
      <c r="F3082" t="s">
        <v>66</v>
      </c>
      <c r="G3082">
        <v>-403.35390000000001</v>
      </c>
      <c r="H3082" s="1">
        <v>6.7888080000000003E-6</v>
      </c>
      <c r="I3082">
        <v>215.22669999999999</v>
      </c>
      <c r="J3082">
        <v>-434.68130000000002</v>
      </c>
      <c r="K3082">
        <v>1.106903</v>
      </c>
      <c r="L3082">
        <v>215.29599999999999</v>
      </c>
      <c r="M3082">
        <v>0.99986900000000001</v>
      </c>
      <c r="N3082">
        <v>-2.9386009999999999E-3</v>
      </c>
      <c r="O3082">
        <v>1.5920429999999999E-2</v>
      </c>
      <c r="P3082">
        <v>0.99656869999999997</v>
      </c>
      <c r="Q3082">
        <v>-7.7244859999999999E-2</v>
      </c>
      <c r="R3082">
        <v>2.9737679999999999E-2</v>
      </c>
      <c r="S3082">
        <v>3.0024109999999999</v>
      </c>
      <c r="T3082">
        <v>-0.10496460000000001</v>
      </c>
      <c r="U3082">
        <v>-6.1187739999999996E-3</v>
      </c>
      <c r="V3082">
        <v>-1.4003420000000001E-2</v>
      </c>
      <c r="W3082">
        <v>-7.4289579999999994E-2</v>
      </c>
      <c r="X3082">
        <v>0.99713839999999998</v>
      </c>
      <c r="Y3082">
        <v>1.7938119999999998E-2</v>
      </c>
      <c r="Z3082">
        <v>-8.4945059999999995E-4</v>
      </c>
      <c r="AA3082">
        <v>0.99983869999999997</v>
      </c>
      <c r="AB3082">
        <v>33</v>
      </c>
      <c r="AC3082">
        <v>31.327400000000001</v>
      </c>
      <c r="AD3082">
        <v>-1.106896211192</v>
      </c>
      <c r="AE3082">
        <v>-6.9299999999998294E-2</v>
      </c>
      <c r="AF3082">
        <v>0.56733075038189296</v>
      </c>
      <c r="AG3082">
        <v>-1.106896211192</v>
      </c>
      <c r="AH3082">
        <v>31.283271436774001</v>
      </c>
      <c r="AI3082">
        <v>92.026118692805994</v>
      </c>
      <c r="AJ3082">
        <v>88.961039136279993</v>
      </c>
      <c r="AK3082">
        <v>31.307988680040701</v>
      </c>
      <c r="AL3082">
        <v>94.260404305686805</v>
      </c>
      <c r="AM3082">
        <v>90.804586529400595</v>
      </c>
      <c r="AN3082">
        <v>1.00000001311141</v>
      </c>
    </row>
    <row r="3083" spans="1:40" x14ac:dyDescent="0.25">
      <c r="A3083" t="str">
        <f>"20190305135253875"</f>
        <v>20190305135253875</v>
      </c>
      <c r="B3083" t="str">
        <f>"1551765173862589"</f>
        <v>1551765173862589</v>
      </c>
      <c r="C3083" t="s">
        <v>40</v>
      </c>
      <c r="D3083">
        <v>4.5810579999999996</v>
      </c>
      <c r="E3083">
        <v>0.51337129999999997</v>
      </c>
      <c r="F3083" t="s">
        <v>66</v>
      </c>
      <c r="G3083">
        <v>-403.47460000000001</v>
      </c>
      <c r="H3083" s="1">
        <v>6.7418200000000001E-6</v>
      </c>
      <c r="I3083">
        <v>215.19499999999999</v>
      </c>
      <c r="J3083">
        <v>-434.36250000000001</v>
      </c>
      <c r="K3083">
        <v>1.1068579999999999</v>
      </c>
      <c r="L3083">
        <v>215.30029999999999</v>
      </c>
      <c r="M3083">
        <v>0.99988500000000002</v>
      </c>
      <c r="N3083">
        <v>-2.9689360000000001E-3</v>
      </c>
      <c r="O3083">
        <v>1.4877619999999999E-2</v>
      </c>
      <c r="P3083">
        <v>0.99653979999999998</v>
      </c>
      <c r="Q3083">
        <v>-7.77587E-2</v>
      </c>
      <c r="R3083">
        <v>2.9368089999999999E-2</v>
      </c>
      <c r="S3083">
        <v>3.00238</v>
      </c>
      <c r="T3083">
        <v>-0.10649409999999999</v>
      </c>
      <c r="U3083">
        <v>-9.7198489999999992E-3</v>
      </c>
      <c r="V3083">
        <v>-1.4682809999999999E-2</v>
      </c>
      <c r="W3083">
        <v>-7.4770500000000004E-2</v>
      </c>
      <c r="X3083">
        <v>0.99709270000000005</v>
      </c>
      <c r="Y3083">
        <v>1.809442E-2</v>
      </c>
      <c r="Z3083">
        <v>-8.3104139999999995E-4</v>
      </c>
      <c r="AA3083">
        <v>0.9998359</v>
      </c>
      <c r="AB3083">
        <v>33</v>
      </c>
      <c r="AC3083">
        <v>30.887899999999998</v>
      </c>
      <c r="AD3083">
        <v>-1.1068512581800001</v>
      </c>
      <c r="AE3083">
        <v>-0.10529999999999901</v>
      </c>
      <c r="AF3083">
        <v>0.56410440735381195</v>
      </c>
      <c r="AG3083">
        <v>-1.1068512581800001</v>
      </c>
      <c r="AH3083">
        <v>30.8433090432946</v>
      </c>
      <c r="AI3083">
        <v>92.054906381587003</v>
      </c>
      <c r="AJ3083">
        <v>88.952213634188496</v>
      </c>
      <c r="AK3083">
        <v>30.868317839336601</v>
      </c>
      <c r="AL3083">
        <v>94.288035758327496</v>
      </c>
      <c r="AM3083">
        <v>90.843655002895602</v>
      </c>
      <c r="AN3083">
        <v>1.0000000324865099</v>
      </c>
    </row>
    <row r="3084" spans="1:40" x14ac:dyDescent="0.25">
      <c r="A3084" t="str">
        <f>"20190305135253899"</f>
        <v>20190305135253899</v>
      </c>
      <c r="B3084" t="str">
        <f>"1551765173892376"</f>
        <v>1551765173892376</v>
      </c>
      <c r="C3084" t="s">
        <v>40</v>
      </c>
      <c r="D3084">
        <v>4.5816030000000003</v>
      </c>
      <c r="E3084">
        <v>0.51408889999999996</v>
      </c>
      <c r="F3084" t="s">
        <v>66</v>
      </c>
      <c r="G3084">
        <v>-404.0052</v>
      </c>
      <c r="H3084" s="1">
        <v>6.5140300000000002E-6</v>
      </c>
      <c r="I3084">
        <v>215.15860000000001</v>
      </c>
      <c r="J3084">
        <v>-434.00130000000001</v>
      </c>
      <c r="K3084">
        <v>1.1068070000000001</v>
      </c>
      <c r="L3084">
        <v>215.3047</v>
      </c>
      <c r="M3084">
        <v>0.9999015</v>
      </c>
      <c r="N3084">
        <v>-3.0027169999999998E-3</v>
      </c>
      <c r="O3084">
        <v>1.3711640000000001E-2</v>
      </c>
      <c r="P3084">
        <v>0.99647810000000003</v>
      </c>
      <c r="Q3084">
        <v>-7.8648629999999997E-2</v>
      </c>
      <c r="R3084">
        <v>2.9086520000000001E-2</v>
      </c>
      <c r="S3084">
        <v>3.0022890000000002</v>
      </c>
      <c r="T3084">
        <v>-0.1094662</v>
      </c>
      <c r="U3084">
        <v>-1.400757E-2</v>
      </c>
      <c r="V3084">
        <v>-1.55747E-2</v>
      </c>
      <c r="W3084">
        <v>-7.5623629999999997E-2</v>
      </c>
      <c r="X3084">
        <v>0.99701479999999998</v>
      </c>
      <c r="Y3084">
        <v>1.8355819999999998E-2</v>
      </c>
      <c r="Z3084">
        <v>-8.2069300000000005E-4</v>
      </c>
      <c r="AA3084">
        <v>0.99983120000000003</v>
      </c>
      <c r="AB3084">
        <v>33</v>
      </c>
      <c r="AC3084">
        <v>29.996099999999998</v>
      </c>
      <c r="AD3084">
        <v>-1.10680048596999</v>
      </c>
      <c r="AE3084">
        <v>-0.14609999999998899</v>
      </c>
      <c r="AF3084">
        <v>0.55662602331941902</v>
      </c>
      <c r="AG3084">
        <v>-1.10680048596999</v>
      </c>
      <c r="AH3084">
        <v>29.950500956027302</v>
      </c>
      <c r="AI3084">
        <v>92.115998642036004</v>
      </c>
      <c r="AJ3084">
        <v>88.935288232032903</v>
      </c>
      <c r="AK3084">
        <v>29.9761129461872</v>
      </c>
      <c r="AL3084">
        <v>94.337055402160701</v>
      </c>
      <c r="AM3084">
        <v>90.894963646555098</v>
      </c>
      <c r="AN3084">
        <v>1.0000000080567499</v>
      </c>
    </row>
    <row r="3085" spans="1:40" x14ac:dyDescent="0.25">
      <c r="A3085" t="str">
        <f>"20190305135253922"</f>
        <v>20190305135253922</v>
      </c>
      <c r="B3085" t="str">
        <f>"1551765173912874"</f>
        <v>1551765173912874</v>
      </c>
      <c r="C3085" t="s">
        <v>40</v>
      </c>
      <c r="D3085">
        <v>4.5824740000000004</v>
      </c>
      <c r="E3085">
        <v>0.51450640000000003</v>
      </c>
      <c r="F3085" t="s">
        <v>66</v>
      </c>
      <c r="G3085">
        <v>-404.8329</v>
      </c>
      <c r="H3085" s="1">
        <v>6.1583750000000001E-6</v>
      </c>
      <c r="I3085">
        <v>215.1035</v>
      </c>
      <c r="J3085">
        <v>-433.654</v>
      </c>
      <c r="K3085">
        <v>1.10676</v>
      </c>
      <c r="L3085">
        <v>215.30850000000001</v>
      </c>
      <c r="M3085">
        <v>0.99991609999999997</v>
      </c>
      <c r="N3085">
        <v>-3.0349270000000002E-3</v>
      </c>
      <c r="O3085">
        <v>1.260232E-2</v>
      </c>
      <c r="P3085">
        <v>0.996394</v>
      </c>
      <c r="Q3085">
        <v>-7.9986360000000006E-2</v>
      </c>
      <c r="R3085">
        <v>2.831185E-2</v>
      </c>
      <c r="S3085">
        <v>3.0022280000000001</v>
      </c>
      <c r="T3085">
        <v>-0.11392049999999999</v>
      </c>
      <c r="U3085">
        <v>-2.0706180000000001E-2</v>
      </c>
      <c r="V3085">
        <v>-1.591683E-2</v>
      </c>
      <c r="W3085">
        <v>-7.6927480000000006E-2</v>
      </c>
      <c r="X3085">
        <v>0.99690959999999995</v>
      </c>
      <c r="Y3085">
        <v>1.9475490000000002E-2</v>
      </c>
      <c r="Z3085">
        <v>-8.3871219999999999E-4</v>
      </c>
      <c r="AA3085">
        <v>0.99980999999999998</v>
      </c>
      <c r="AB3085">
        <v>33</v>
      </c>
      <c r="AC3085">
        <v>28.821100000000001</v>
      </c>
      <c r="AD3085">
        <v>-1.106753841625</v>
      </c>
      <c r="AE3085">
        <v>-0.20500000000001201</v>
      </c>
      <c r="AF3085">
        <v>0.567361473211348</v>
      </c>
      <c r="AG3085">
        <v>-1.106753841625</v>
      </c>
      <c r="AH3085">
        <v>28.773799383185398</v>
      </c>
      <c r="AI3085">
        <v>92.202308187466002</v>
      </c>
      <c r="AJ3085">
        <v>88.870388805061495</v>
      </c>
      <c r="AK3085">
        <v>28.800665514030001</v>
      </c>
      <c r="AL3085">
        <v>94.411978960839306</v>
      </c>
      <c r="AM3085">
        <v>90.914716541598693</v>
      </c>
      <c r="AN3085">
        <v>0.99999996661427903</v>
      </c>
    </row>
    <row r="3086" spans="1:40" x14ac:dyDescent="0.25">
      <c r="A3086" t="str">
        <f>"20190305135253944"</f>
        <v>20190305135253944</v>
      </c>
      <c r="B3086" t="str">
        <f>"1551765173932395"</f>
        <v>1551765173932395</v>
      </c>
      <c r="C3086" t="s">
        <v>40</v>
      </c>
      <c r="D3086">
        <v>4.5667220000000004</v>
      </c>
      <c r="E3086">
        <v>0.51491489999999995</v>
      </c>
      <c r="F3086" t="s">
        <v>66</v>
      </c>
      <c r="G3086">
        <v>-405.88330000000002</v>
      </c>
      <c r="H3086" s="1">
        <v>5.7002699999999897E-6</v>
      </c>
      <c r="I3086">
        <v>215.06639999999999</v>
      </c>
      <c r="J3086">
        <v>-433.32670000000002</v>
      </c>
      <c r="K3086">
        <v>1.106717</v>
      </c>
      <c r="L3086">
        <v>215.31180000000001</v>
      </c>
      <c r="M3086">
        <v>0.9999285</v>
      </c>
      <c r="N3086">
        <v>-3.0649280000000002E-3</v>
      </c>
      <c r="O3086">
        <v>1.1562799999999899E-2</v>
      </c>
      <c r="P3086">
        <v>0.9962763</v>
      </c>
      <c r="Q3086">
        <v>-8.1753629999999994E-2</v>
      </c>
      <c r="R3086">
        <v>2.7386870000000001E-2</v>
      </c>
      <c r="S3086">
        <v>3.002014</v>
      </c>
      <c r="T3086">
        <v>-0.1196402</v>
      </c>
      <c r="U3086">
        <v>-2.6168819999999999E-2</v>
      </c>
      <c r="V3086">
        <v>-1.6038239999999999E-2</v>
      </c>
      <c r="W3086">
        <v>-7.866389E-2</v>
      </c>
      <c r="X3086">
        <v>0.9967722</v>
      </c>
      <c r="Y3086">
        <v>2.0253449999999999E-2</v>
      </c>
      <c r="Z3086">
        <v>-8.5966399999999903E-4</v>
      </c>
      <c r="AA3086">
        <v>0.99979450000000003</v>
      </c>
      <c r="AB3086">
        <v>33</v>
      </c>
      <c r="AC3086">
        <v>27.4434</v>
      </c>
      <c r="AD3086">
        <v>-1.1067112997299999</v>
      </c>
      <c r="AE3086">
        <v>-0.24540000000001699</v>
      </c>
      <c r="AF3086">
        <v>0.561794058833887</v>
      </c>
      <c r="AG3086">
        <v>-1.1067112997299999</v>
      </c>
      <c r="AH3086">
        <v>27.394181034746701</v>
      </c>
      <c r="AI3086">
        <v>92.312977144952399</v>
      </c>
      <c r="AJ3086">
        <v>88.825154979621999</v>
      </c>
      <c r="AK3086">
        <v>27.4222824912509</v>
      </c>
      <c r="AL3086">
        <v>94.511770109829897</v>
      </c>
      <c r="AM3086">
        <v>90.921819623330805</v>
      </c>
      <c r="AN3086">
        <v>1.0000000257125301</v>
      </c>
    </row>
    <row r="3087" spans="1:40" x14ac:dyDescent="0.25">
      <c r="A3087" t="str">
        <f>"20190305135253964"</f>
        <v>20190305135253964</v>
      </c>
      <c r="B3087" t="str">
        <f>"1551765173952887"</f>
        <v>1551765173952887</v>
      </c>
      <c r="C3087" t="s">
        <v>40</v>
      </c>
      <c r="D3087">
        <v>4.6043000000000003</v>
      </c>
      <c r="E3087">
        <v>0.51532479999999903</v>
      </c>
      <c r="F3087" t="s">
        <v>66</v>
      </c>
      <c r="G3087">
        <v>-407.02629999999999</v>
      </c>
      <c r="H3087" s="1">
        <v>5.2008469999999996E-6</v>
      </c>
      <c r="I3087">
        <v>215.03030000000001</v>
      </c>
      <c r="J3087">
        <v>-433.01889999999997</v>
      </c>
      <c r="K3087">
        <v>1.1066819999999999</v>
      </c>
      <c r="L3087">
        <v>215.31450000000001</v>
      </c>
      <c r="M3087">
        <v>0.99993929999999998</v>
      </c>
      <c r="N3087">
        <v>-3.0955750000000001E-3</v>
      </c>
      <c r="O3087">
        <v>1.058685E-2</v>
      </c>
      <c r="P3087">
        <v>0.99617089999999997</v>
      </c>
      <c r="Q3087">
        <v>-8.3322300000000002E-2</v>
      </c>
      <c r="R3087">
        <v>2.647654E-2</v>
      </c>
      <c r="S3087">
        <v>3.00177</v>
      </c>
      <c r="T3087">
        <v>-0.12631329999999999</v>
      </c>
      <c r="U3087">
        <v>-3.2119750000000002E-2</v>
      </c>
      <c r="V3087">
        <v>-1.6109459999999999E-2</v>
      </c>
      <c r="W3087">
        <v>-8.0201389999999997E-2</v>
      </c>
      <c r="X3087">
        <v>0.99664850000000005</v>
      </c>
      <c r="Y3087">
        <v>2.1257109999999999E-2</v>
      </c>
      <c r="Z3087">
        <v>-8.9247580000000005E-4</v>
      </c>
      <c r="AA3087">
        <v>0.99977360000000004</v>
      </c>
      <c r="AB3087">
        <v>33</v>
      </c>
      <c r="AC3087">
        <v>25.9925999999999</v>
      </c>
      <c r="AD3087">
        <v>-1.106676799153</v>
      </c>
      <c r="AE3087">
        <v>-0.28419999999999801</v>
      </c>
      <c r="AF3087">
        <v>0.55835306815805796</v>
      </c>
      <c r="AG3087">
        <v>-1.106676799153</v>
      </c>
      <c r="AH3087">
        <v>25.941114910381199</v>
      </c>
      <c r="AI3087">
        <v>92.442255441507797</v>
      </c>
      <c r="AJ3087">
        <v>88.766963737089199</v>
      </c>
      <c r="AK3087">
        <v>25.9707130144728</v>
      </c>
      <c r="AL3087">
        <v>94.600141705552502</v>
      </c>
      <c r="AM3087">
        <v>90.926027278983895</v>
      </c>
      <c r="AN3087">
        <v>1.00000000510583</v>
      </c>
    </row>
    <row r="3088" spans="1:40" x14ac:dyDescent="0.25">
      <c r="A3088" t="str">
        <f>"20190305135253988"</f>
        <v>20190305135253988</v>
      </c>
      <c r="B3088" t="str">
        <f>"1551765173983144"</f>
        <v>1551765173983144</v>
      </c>
      <c r="C3088" t="s">
        <v>40</v>
      </c>
      <c r="D3088">
        <v>4.5813189999999997</v>
      </c>
      <c r="E3088">
        <v>0.51589659999999904</v>
      </c>
      <c r="F3088" t="s">
        <v>66</v>
      </c>
      <c r="G3088">
        <v>-407.71159999999998</v>
      </c>
      <c r="H3088" s="1">
        <v>4.9044750000000002E-6</v>
      </c>
      <c r="I3088">
        <v>214.9939</v>
      </c>
      <c r="J3088">
        <v>-432.6807</v>
      </c>
      <c r="K3088">
        <v>1.1066549999999999</v>
      </c>
      <c r="L3088">
        <v>215.31710000000001</v>
      </c>
      <c r="M3088">
        <v>0.99994989999999995</v>
      </c>
      <c r="N3088">
        <v>-3.1363139999999999E-3</v>
      </c>
      <c r="O3088">
        <v>9.5140840000000008E-3</v>
      </c>
      <c r="P3088">
        <v>0.99610909999999997</v>
      </c>
      <c r="Q3088">
        <v>-8.4464360000000002E-2</v>
      </c>
      <c r="R3088">
        <v>2.515415E-2</v>
      </c>
      <c r="S3088">
        <v>3.001617</v>
      </c>
      <c r="T3088">
        <v>-0.1312593</v>
      </c>
      <c r="U3088">
        <v>-3.80249E-2</v>
      </c>
      <c r="V3088">
        <v>-1.5862810000000001E-2</v>
      </c>
      <c r="W3088">
        <v>-8.1302940000000004E-2</v>
      </c>
      <c r="X3088">
        <v>0.99656319999999998</v>
      </c>
      <c r="Y3088">
        <v>2.21494E-2</v>
      </c>
      <c r="Z3088">
        <v>-9.0480170000000002E-4</v>
      </c>
      <c r="AA3088">
        <v>0.99975429999999998</v>
      </c>
      <c r="AB3088">
        <v>34</v>
      </c>
      <c r="AC3088">
        <v>24.969100000000001</v>
      </c>
      <c r="AD3088">
        <v>-1.106650095525</v>
      </c>
      <c r="AE3088">
        <v>-0.32320000000001398</v>
      </c>
      <c r="AF3088">
        <v>0.55964549106526396</v>
      </c>
      <c r="AG3088">
        <v>-1.106650095525</v>
      </c>
      <c r="AH3088">
        <v>24.915959906237699</v>
      </c>
      <c r="AI3088">
        <v>92.542497979533593</v>
      </c>
      <c r="AJ3088">
        <v>88.713277193574797</v>
      </c>
      <c r="AK3088">
        <v>24.9468021108686</v>
      </c>
      <c r="AL3088">
        <v>94.6634626715732</v>
      </c>
      <c r="AM3088">
        <v>90.911929435483501</v>
      </c>
      <c r="AN3088">
        <v>1.0000000041939801</v>
      </c>
    </row>
    <row r="3089" spans="1:40" x14ac:dyDescent="0.25">
      <c r="A3089" t="str">
        <f>"20190305135254009"</f>
        <v>20190305135254009</v>
      </c>
      <c r="B3089" t="str">
        <f>"1551765174002664"</f>
        <v>1551765174002664</v>
      </c>
      <c r="C3089" t="s">
        <v>40</v>
      </c>
      <c r="D3089">
        <v>4.5910599999999997</v>
      </c>
      <c r="E3089">
        <v>0.52513719999999997</v>
      </c>
      <c r="F3089" t="s">
        <v>66</v>
      </c>
      <c r="G3089">
        <v>-408.49619999999999</v>
      </c>
      <c r="H3089" s="1">
        <v>4.5675580000000002E-6</v>
      </c>
      <c r="I3089">
        <v>214.94049999999999</v>
      </c>
      <c r="J3089">
        <v>-432.3306</v>
      </c>
      <c r="K3089">
        <v>1.106643</v>
      </c>
      <c r="L3089">
        <v>215.31950000000001</v>
      </c>
      <c r="M3089">
        <v>0.99995959999999995</v>
      </c>
      <c r="N3089">
        <v>-3.1870879999999998E-3</v>
      </c>
      <c r="O3089">
        <v>8.4031639999999994E-3</v>
      </c>
      <c r="P3089">
        <v>0.99610560000000004</v>
      </c>
      <c r="Q3089">
        <v>-8.4699529999999995E-2</v>
      </c>
      <c r="R3089">
        <v>2.4494809999999999E-2</v>
      </c>
      <c r="S3089">
        <v>3.0012509999999999</v>
      </c>
      <c r="T3089">
        <v>-0.13733299999999901</v>
      </c>
      <c r="U3089">
        <v>-4.6737670000000002E-2</v>
      </c>
      <c r="V3089">
        <v>-1.6314479999999999E-2</v>
      </c>
      <c r="W3089">
        <v>-8.1485929999999998E-2</v>
      </c>
      <c r="X3089">
        <v>0.99654100000000001</v>
      </c>
      <c r="Y3089">
        <v>2.393808E-2</v>
      </c>
      <c r="Z3089">
        <v>-9.4306570000000001E-4</v>
      </c>
      <c r="AA3089">
        <v>0.99971299999999996</v>
      </c>
      <c r="AB3089">
        <v>34</v>
      </c>
      <c r="AC3089">
        <v>23.834399999999999</v>
      </c>
      <c r="AD3089">
        <v>-1.106638432442</v>
      </c>
      <c r="AE3089">
        <v>-0.37900000000001899</v>
      </c>
      <c r="AF3089">
        <v>0.578026232043232</v>
      </c>
      <c r="AG3089">
        <v>-1.106638432442</v>
      </c>
      <c r="AH3089">
        <v>23.7791242120778</v>
      </c>
      <c r="AI3089">
        <v>92.663736124010498</v>
      </c>
      <c r="AJ3089">
        <v>88.607520508905694</v>
      </c>
      <c r="AK3089">
        <v>23.8118775244312</v>
      </c>
      <c r="AL3089">
        <v>94.673981953676602</v>
      </c>
      <c r="AM3089">
        <v>90.937911590055293</v>
      </c>
      <c r="AN3089">
        <v>1.0000000418633099</v>
      </c>
    </row>
    <row r="3090" spans="1:40" x14ac:dyDescent="0.25">
      <c r="A3090" t="str">
        <f>"20190305135254032"</f>
        <v>20190305135254032</v>
      </c>
      <c r="B3090" t="str">
        <f>"1551765174023160"</f>
        <v>1551765174023160</v>
      </c>
      <c r="C3090" t="s">
        <v>40</v>
      </c>
      <c r="D3090">
        <v>4.5129950000000001</v>
      </c>
      <c r="E3090">
        <v>0.52525339999999998</v>
      </c>
      <c r="F3090" t="s">
        <v>41</v>
      </c>
      <c r="G3090">
        <v>-431.35649999999998</v>
      </c>
      <c r="H3090">
        <v>1.056009</v>
      </c>
      <c r="I3090">
        <v>215.27930000000001</v>
      </c>
      <c r="J3090">
        <v>-431.98059999999998</v>
      </c>
      <c r="K3090">
        <v>1.1066419999999999</v>
      </c>
      <c r="L3090">
        <v>215.32149999999999</v>
      </c>
      <c r="M3090">
        <v>0.99996819999999997</v>
      </c>
      <c r="N3090">
        <v>-3.2420629999999999E-3</v>
      </c>
      <c r="O3090">
        <v>7.2920679999999996E-3</v>
      </c>
      <c r="P3090">
        <v>0.99615169999999997</v>
      </c>
      <c r="Q3090">
        <v>-8.4051390000000004E-2</v>
      </c>
      <c r="R3090">
        <v>2.4843919999999999E-2</v>
      </c>
      <c r="S3090">
        <v>3.0014340000000002</v>
      </c>
      <c r="T3090">
        <v>-0.1560994</v>
      </c>
      <c r="U3090">
        <v>-0.1229553</v>
      </c>
      <c r="V3090">
        <v>-1.7771459999999999E-2</v>
      </c>
      <c r="W3090">
        <v>-8.0778920000000004E-2</v>
      </c>
      <c r="X3090">
        <v>0.99657359999999995</v>
      </c>
      <c r="Y3090">
        <v>4.8138439999999998E-2</v>
      </c>
      <c r="Z3090">
        <v>-1.683782E-3</v>
      </c>
      <c r="AA3090">
        <v>0.99883929999999999</v>
      </c>
      <c r="AB3090">
        <v>34</v>
      </c>
      <c r="AC3090">
        <v>0.62409999999999799</v>
      </c>
      <c r="AD3090">
        <v>-5.06329999999999E-2</v>
      </c>
      <c r="AE3090">
        <v>-4.2199999999979802E-2</v>
      </c>
      <c r="AF3090">
        <v>4.6445567232527497E-2</v>
      </c>
      <c r="AG3090">
        <v>-5.06329999999999E-2</v>
      </c>
      <c r="AH3090">
        <v>0.61971526833663304</v>
      </c>
      <c r="AI3090">
        <v>94.657893655745497</v>
      </c>
      <c r="AJ3090">
        <v>85.713887793842503</v>
      </c>
      <c r="AK3090">
        <v>0.62351255417521201</v>
      </c>
      <c r="AL3090">
        <v>94.633339476882497</v>
      </c>
      <c r="AM3090">
        <v>91.021622228349699</v>
      </c>
      <c r="AN3090">
        <v>0.99999999946192897</v>
      </c>
    </row>
    <row r="3091" spans="1:40" x14ac:dyDescent="0.25">
      <c r="A3091" t="str">
        <f>"20190305135254054"</f>
        <v>20190305135254054</v>
      </c>
      <c r="B3091" t="str">
        <f>"1551765174042683"</f>
        <v>1551765174042683</v>
      </c>
      <c r="C3091" t="s">
        <v>40</v>
      </c>
      <c r="D3091">
        <v>4.5680809999999896</v>
      </c>
      <c r="E3091">
        <v>0.52585490000000001</v>
      </c>
      <c r="F3091" t="s">
        <v>41</v>
      </c>
      <c r="G3091">
        <v>-431.04489999999998</v>
      </c>
      <c r="H3091">
        <v>1.0582290000000001</v>
      </c>
      <c r="I3091">
        <v>215.28319999999999</v>
      </c>
      <c r="J3091">
        <v>-431.65339999999998</v>
      </c>
      <c r="K3091">
        <v>1.1066469999999999</v>
      </c>
      <c r="L3091">
        <v>215.32300000000001</v>
      </c>
      <c r="M3091">
        <v>0.99997510000000001</v>
      </c>
      <c r="N3091">
        <v>-3.294258E-3</v>
      </c>
      <c r="O3091">
        <v>6.2514980000000003E-3</v>
      </c>
      <c r="P3091">
        <v>0.99622449999999996</v>
      </c>
      <c r="Q3091">
        <v>-8.2983680000000004E-2</v>
      </c>
      <c r="R3091">
        <v>2.5504470000000001E-2</v>
      </c>
      <c r="S3091">
        <v>3.0015869999999998</v>
      </c>
      <c r="T3091">
        <v>-0.15529499999999999</v>
      </c>
      <c r="U3091">
        <v>-0.122818</v>
      </c>
      <c r="V3091">
        <v>-1.94673E-2</v>
      </c>
      <c r="W3091">
        <v>-7.9654409999999995E-2</v>
      </c>
      <c r="X3091">
        <v>0.99663250000000003</v>
      </c>
      <c r="Y3091">
        <v>4.7054819999999997E-2</v>
      </c>
      <c r="Z3091">
        <v>-1.5960480000000001E-3</v>
      </c>
      <c r="AA3091">
        <v>0.99889110000000003</v>
      </c>
      <c r="AB3091">
        <v>34</v>
      </c>
      <c r="AC3091">
        <v>0.60849999999999205</v>
      </c>
      <c r="AD3091">
        <v>-4.8417999999999801E-2</v>
      </c>
      <c r="AE3091">
        <v>-3.9799999999985403E-2</v>
      </c>
      <c r="AF3091">
        <v>4.3330112099099302E-2</v>
      </c>
      <c r="AG3091">
        <v>-4.8417999999999801E-2</v>
      </c>
      <c r="AH3091">
        <v>0.60442878314581505</v>
      </c>
      <c r="AI3091">
        <v>94.568247343340801</v>
      </c>
      <c r="AJ3091">
        <v>85.899611618124496</v>
      </c>
      <c r="AK3091">
        <v>0.60791114090272402</v>
      </c>
      <c r="AL3091">
        <v>94.568701172366104</v>
      </c>
      <c r="AM3091">
        <v>91.119020606630897</v>
      </c>
      <c r="AN3091">
        <v>1.00000007042899</v>
      </c>
    </row>
    <row r="3092" spans="1:40" x14ac:dyDescent="0.25">
      <c r="A3092" t="str">
        <f>"20190305135254154"</f>
        <v>20190305135254154</v>
      </c>
      <c r="B3092" t="str">
        <f>"1551765174142232"</f>
        <v>1551765174142232</v>
      </c>
      <c r="C3092" t="s">
        <v>40</v>
      </c>
      <c r="D3092">
        <v>4.5757909999999997</v>
      </c>
      <c r="E3092">
        <v>0.52470919999999999</v>
      </c>
      <c r="F3092" t="s">
        <v>66</v>
      </c>
      <c r="G3092">
        <v>-409.5523</v>
      </c>
      <c r="H3092" s="1">
        <v>4.1870550000000004E-6</v>
      </c>
      <c r="I3092">
        <v>214.5153</v>
      </c>
      <c r="J3092">
        <v>-430.09070000000003</v>
      </c>
      <c r="K3092">
        <v>1.106519</v>
      </c>
      <c r="L3092">
        <v>215.32499999999999</v>
      </c>
      <c r="M3092">
        <v>0.99999349999999998</v>
      </c>
      <c r="N3092">
        <v>-3.52827E-3</v>
      </c>
      <c r="O3092">
        <v>8.3023109999999999E-4</v>
      </c>
      <c r="P3092">
        <v>0.99689570000000005</v>
      </c>
      <c r="Q3092">
        <v>-7.4219110000000005E-2</v>
      </c>
      <c r="R3092">
        <v>2.628198E-2</v>
      </c>
      <c r="S3092">
        <v>3.0006409999999999</v>
      </c>
      <c r="T3092">
        <v>-0.15923039999999999</v>
      </c>
      <c r="U3092">
        <v>-0.1165619</v>
      </c>
      <c r="V3092">
        <v>-2.5656689999999999E-2</v>
      </c>
      <c r="W3092">
        <v>-7.062823E-2</v>
      </c>
      <c r="X3092">
        <v>0.99717270000000002</v>
      </c>
      <c r="Y3092">
        <v>3.958565E-2</v>
      </c>
      <c r="Z3092">
        <v>-1.160178E-3</v>
      </c>
      <c r="AA3092">
        <v>0.99921550000000003</v>
      </c>
      <c r="AB3092">
        <v>35</v>
      </c>
      <c r="AC3092">
        <v>20.538399999999999</v>
      </c>
      <c r="AD3092">
        <v>-1.106514812945</v>
      </c>
      <c r="AE3092">
        <v>-0.80969999999999198</v>
      </c>
      <c r="AF3092">
        <v>0.82436239590056004</v>
      </c>
      <c r="AG3092">
        <v>-1.106514812945</v>
      </c>
      <c r="AH3092">
        <v>20.4783732060381</v>
      </c>
      <c r="AI3092">
        <v>93.090376353015301</v>
      </c>
      <c r="AJ3092">
        <v>87.694787707315598</v>
      </c>
      <c r="AK3092">
        <v>20.524807369542401</v>
      </c>
      <c r="AL3092">
        <v>94.050071445685404</v>
      </c>
      <c r="AM3092">
        <v>91.473862848196902</v>
      </c>
      <c r="AN3092">
        <v>1.0000000031199801</v>
      </c>
    </row>
    <row r="3093" spans="1:40" x14ac:dyDescent="0.25">
      <c r="A3093" t="str">
        <f>"20190305135254176"</f>
        <v>20190305135254176</v>
      </c>
      <c r="B3093" t="str">
        <f>"1551765174162728"</f>
        <v>1551765174162728</v>
      </c>
      <c r="C3093" t="s">
        <v>40</v>
      </c>
      <c r="D3093">
        <v>4.6596919999999997</v>
      </c>
      <c r="E3093">
        <v>0.52139429999999998</v>
      </c>
      <c r="F3093" t="s">
        <v>41</v>
      </c>
      <c r="G3093">
        <v>-429.1816</v>
      </c>
      <c r="H3093">
        <v>1.055296</v>
      </c>
      <c r="I3093">
        <v>215.28970000000001</v>
      </c>
      <c r="J3093">
        <v>-429.74860000000001</v>
      </c>
      <c r="K3093">
        <v>1.106454</v>
      </c>
      <c r="L3093">
        <v>215.32419999999999</v>
      </c>
      <c r="M3093">
        <v>0.99999349999999998</v>
      </c>
      <c r="N3093">
        <v>-3.5747919999999998E-3</v>
      </c>
      <c r="O3093">
        <v>-5.4354779999999997E-4</v>
      </c>
      <c r="P3093">
        <v>0.99701119999999999</v>
      </c>
      <c r="Q3093">
        <v>-7.2876930000000006E-2</v>
      </c>
      <c r="R3093">
        <v>2.5641850000000001E-2</v>
      </c>
      <c r="S3093">
        <v>2.9997859999999998</v>
      </c>
      <c r="T3093">
        <v>-0.169089299999999</v>
      </c>
      <c r="U3093">
        <v>-0.115921</v>
      </c>
      <c r="V3093">
        <v>-2.6393900000000001E-2</v>
      </c>
      <c r="W3093">
        <v>-6.9232619999999995E-2</v>
      </c>
      <c r="X3093">
        <v>0.99725129999999995</v>
      </c>
      <c r="Y3093">
        <v>3.8007800000000001E-2</v>
      </c>
      <c r="Z3093">
        <v>-1.109304E-3</v>
      </c>
      <c r="AA3093">
        <v>0.99927679999999997</v>
      </c>
      <c r="AB3093">
        <v>35</v>
      </c>
      <c r="AC3093">
        <v>0.56700000000000705</v>
      </c>
      <c r="AD3093">
        <v>-5.1158000000000002E-2</v>
      </c>
      <c r="AE3093">
        <v>-3.4499999999979901E-2</v>
      </c>
      <c r="AF3093">
        <v>3.3916714479579099E-2</v>
      </c>
      <c r="AG3093">
        <v>-5.1158000000000002E-2</v>
      </c>
      <c r="AH3093">
        <v>0.56245677435539698</v>
      </c>
      <c r="AI3093">
        <v>95.187640309463603</v>
      </c>
      <c r="AJ3093">
        <v>86.549184914964897</v>
      </c>
      <c r="AK3093">
        <v>0.56579599459820096</v>
      </c>
      <c r="AL3093">
        <v>93.969912751221202</v>
      </c>
      <c r="AM3093">
        <v>91.516073349861102</v>
      </c>
      <c r="AN3093">
        <v>0.99999997449048095</v>
      </c>
    </row>
    <row r="3094" spans="1:40" x14ac:dyDescent="0.25">
      <c r="A3094" t="str">
        <f>"20190305135254199"</f>
        <v>20190305135254199</v>
      </c>
      <c r="B3094" t="str">
        <f>"1551765174192985"</f>
        <v>1551765174192985</v>
      </c>
      <c r="C3094" t="s">
        <v>40</v>
      </c>
      <c r="D3094">
        <v>4.8598819999999998</v>
      </c>
      <c r="E3094">
        <v>0.51896850000000005</v>
      </c>
      <c r="F3094" t="s">
        <v>41</v>
      </c>
      <c r="G3094">
        <v>-428.87290000000002</v>
      </c>
      <c r="H3094">
        <v>1.0464359999999999</v>
      </c>
      <c r="I3094">
        <v>215.29669999999999</v>
      </c>
      <c r="J3094">
        <v>-429.36559999999997</v>
      </c>
      <c r="K3094">
        <v>1.1063769999999999</v>
      </c>
      <c r="L3094">
        <v>215.32259999999999</v>
      </c>
      <c r="M3094">
        <v>0.99999110000000002</v>
      </c>
      <c r="N3094">
        <v>-3.6244519999999998E-3</v>
      </c>
      <c r="O3094">
        <v>-2.167895E-3</v>
      </c>
      <c r="P3094">
        <v>0.99710569999999998</v>
      </c>
      <c r="Q3094">
        <v>-7.2183709999999998E-2</v>
      </c>
      <c r="R3094">
        <v>2.3869049999999999E-2</v>
      </c>
      <c r="S3094">
        <v>2.9963679999999999</v>
      </c>
      <c r="T3094">
        <v>-0.2053788</v>
      </c>
      <c r="U3094">
        <v>-9.3002319999999999E-2</v>
      </c>
      <c r="V3094">
        <v>-2.6252600000000001E-2</v>
      </c>
      <c r="W3094">
        <v>-6.8484929999999999E-2</v>
      </c>
      <c r="X3094">
        <v>0.99730669999999999</v>
      </c>
      <c r="Y3094">
        <v>2.878996E-2</v>
      </c>
      <c r="Z3094">
        <v>-8.9699249999999995E-4</v>
      </c>
      <c r="AA3094">
        <v>0.9995851</v>
      </c>
      <c r="AB3094">
        <v>35</v>
      </c>
      <c r="AC3094">
        <v>0.49269999999995601</v>
      </c>
      <c r="AD3094">
        <v>-5.99409999999998E-2</v>
      </c>
      <c r="AE3094">
        <v>-2.5900000000007101E-2</v>
      </c>
      <c r="AF3094">
        <v>2.4470625474335098E-2</v>
      </c>
      <c r="AG3094">
        <v>-5.99409999999998E-2</v>
      </c>
      <c r="AH3094">
        <v>0.485587748265221</v>
      </c>
      <c r="AI3094">
        <v>97.028169688273607</v>
      </c>
      <c r="AJ3094">
        <v>87.115086804827698</v>
      </c>
      <c r="AK3094">
        <v>0.48988488061726598</v>
      </c>
      <c r="AL3094">
        <v>93.926971166688602</v>
      </c>
      <c r="AM3094">
        <v>91.507877066077697</v>
      </c>
      <c r="AN3094">
        <v>1.0000000192543701</v>
      </c>
    </row>
    <row r="3095" spans="1:40" x14ac:dyDescent="0.25">
      <c r="A3095" t="str">
        <f>"20190305135254222"</f>
        <v>20190305135254222</v>
      </c>
      <c r="B3095" t="str">
        <f>"1551765174212507"</f>
        <v>1551765174212507</v>
      </c>
      <c r="C3095" t="s">
        <v>40</v>
      </c>
      <c r="D3095">
        <v>4.8052140000000003</v>
      </c>
      <c r="E3095">
        <v>0.5177214</v>
      </c>
      <c r="F3095" t="s">
        <v>41</v>
      </c>
      <c r="G3095">
        <v>-428.55840000000001</v>
      </c>
      <c r="H3095">
        <v>1.042897</v>
      </c>
      <c r="I3095">
        <v>215.3006</v>
      </c>
      <c r="J3095">
        <v>-429.02260000000001</v>
      </c>
      <c r="K3095">
        <v>1.1063149999999999</v>
      </c>
      <c r="L3095">
        <v>215.32060000000001</v>
      </c>
      <c r="M3095">
        <v>0.99998659999999995</v>
      </c>
      <c r="N3095">
        <v>-3.66665E-3</v>
      </c>
      <c r="O3095">
        <v>-3.688995E-3</v>
      </c>
      <c r="P3095">
        <v>0.99712809999999996</v>
      </c>
      <c r="Q3095">
        <v>-7.2476009999999993E-2</v>
      </c>
      <c r="R3095">
        <v>2.1975990000000001E-2</v>
      </c>
      <c r="S3095">
        <v>2.9936219999999998</v>
      </c>
      <c r="T3095">
        <v>-0.23537530000000001</v>
      </c>
      <c r="U3095">
        <v>-8.0627439999999995E-2</v>
      </c>
      <c r="V3095">
        <v>-2.5887879999999999E-2</v>
      </c>
      <c r="W3095">
        <v>-6.8732260000000003E-2</v>
      </c>
      <c r="X3095">
        <v>0.99729920000000005</v>
      </c>
      <c r="Y3095">
        <v>2.3170989999999999E-2</v>
      </c>
      <c r="Z3095">
        <v>-6.7586289999999895E-4</v>
      </c>
      <c r="AA3095">
        <v>0.99973129999999999</v>
      </c>
      <c r="AB3095">
        <v>35</v>
      </c>
      <c r="AC3095">
        <v>0.464200000000005</v>
      </c>
      <c r="AD3095">
        <v>-6.3417999999999905E-2</v>
      </c>
      <c r="AE3095">
        <v>-2.0000000000010201E-2</v>
      </c>
      <c r="AF3095">
        <v>1.79529601695976E-2</v>
      </c>
      <c r="AG3095">
        <v>-6.3417999999999905E-2</v>
      </c>
      <c r="AH3095">
        <v>0.455779517393407</v>
      </c>
      <c r="AI3095">
        <v>97.915320684215203</v>
      </c>
      <c r="AJ3095">
        <v>87.744309875226904</v>
      </c>
      <c r="AK3095">
        <v>0.46052048811992902</v>
      </c>
      <c r="AL3095">
        <v>93.941175677738599</v>
      </c>
      <c r="AM3095">
        <v>91.486949201508295</v>
      </c>
      <c r="AN3095">
        <v>1.00000000010812</v>
      </c>
    </row>
    <row r="3096" spans="1:40" x14ac:dyDescent="0.25">
      <c r="A3096" t="str">
        <f>"20190305135254243"</f>
        <v>20190305135254243</v>
      </c>
      <c r="B3096" t="str">
        <f>"1551765174233000"</f>
        <v>1551765174233000</v>
      </c>
      <c r="C3096" t="s">
        <v>40</v>
      </c>
      <c r="D3096">
        <v>4.8243589999999896</v>
      </c>
      <c r="E3096">
        <v>0.51671899999999904</v>
      </c>
      <c r="F3096" t="s">
        <v>41</v>
      </c>
      <c r="G3096">
        <v>-428.24119999999999</v>
      </c>
      <c r="H3096">
        <v>1.0407649999999999</v>
      </c>
      <c r="I3096">
        <v>215.30019999999999</v>
      </c>
      <c r="J3096">
        <v>-428.67039999999997</v>
      </c>
      <c r="K3096">
        <v>1.106258</v>
      </c>
      <c r="L3096">
        <v>215.31800000000001</v>
      </c>
      <c r="M3096">
        <v>0.99997910000000001</v>
      </c>
      <c r="N3096">
        <v>-3.7077730000000001E-3</v>
      </c>
      <c r="O3096">
        <v>-5.2984850000000003E-3</v>
      </c>
      <c r="P3096">
        <v>0.99714309999999995</v>
      </c>
      <c r="Q3096">
        <v>-7.2764460000000003E-2</v>
      </c>
      <c r="R3096">
        <v>2.028135E-2</v>
      </c>
      <c r="S3096">
        <v>2.9920960000000001</v>
      </c>
      <c r="T3096">
        <v>-0.25099680000000002</v>
      </c>
      <c r="U3096">
        <v>-7.7117920000000006E-2</v>
      </c>
      <c r="V3096">
        <v>-2.580851E-2</v>
      </c>
      <c r="W3096">
        <v>-6.8976490000000001E-2</v>
      </c>
      <c r="X3096">
        <v>0.99728439999999996</v>
      </c>
      <c r="Y3096">
        <v>2.0410370000000001E-2</v>
      </c>
      <c r="Z3096">
        <v>-4.6835030000000002E-4</v>
      </c>
      <c r="AA3096">
        <v>0.9997916</v>
      </c>
      <c r="AB3096">
        <v>35</v>
      </c>
      <c r="AC3096">
        <v>0.42919999999997999</v>
      </c>
      <c r="AD3096">
        <v>-6.5492999999999996E-2</v>
      </c>
      <c r="AE3096">
        <v>-1.7799999999994001E-2</v>
      </c>
      <c r="AF3096">
        <v>1.5172934406321999E-2</v>
      </c>
      <c r="AG3096">
        <v>-6.5492999999999996E-2</v>
      </c>
      <c r="AH3096">
        <v>0.41953629216944399</v>
      </c>
      <c r="AI3096">
        <v>98.867015851977698</v>
      </c>
      <c r="AJ3096">
        <v>87.928745641501393</v>
      </c>
      <c r="AK3096">
        <v>0.424888516477892</v>
      </c>
      <c r="AL3096">
        <v>93.955202296051695</v>
      </c>
      <c r="AM3096">
        <v>91.482414370551993</v>
      </c>
      <c r="AN3096">
        <v>1.0000000049222499</v>
      </c>
    </row>
    <row r="3097" spans="1:40" x14ac:dyDescent="0.25">
      <c r="A3097" t="str">
        <f>"20190305135254266"</f>
        <v>20190305135254266</v>
      </c>
      <c r="B3097" t="str">
        <f>"1551765174252520"</f>
        <v>1551765174252520</v>
      </c>
      <c r="C3097" t="s">
        <v>40</v>
      </c>
      <c r="D3097">
        <v>4.8332329999999999</v>
      </c>
      <c r="E3097">
        <v>0.51599640000000002</v>
      </c>
      <c r="F3097" t="s">
        <v>41</v>
      </c>
      <c r="G3097">
        <v>-427.9221</v>
      </c>
      <c r="H3097">
        <v>1.0401020000000001</v>
      </c>
      <c r="I3097">
        <v>215.29910000000001</v>
      </c>
      <c r="J3097">
        <v>-428.31819999999999</v>
      </c>
      <c r="K3097">
        <v>1.106214</v>
      </c>
      <c r="L3097">
        <v>215.31469999999999</v>
      </c>
      <c r="M3097">
        <v>0.999969</v>
      </c>
      <c r="N3097">
        <v>-3.7466959999999999E-3</v>
      </c>
      <c r="O3097">
        <v>-6.9426879999999998E-3</v>
      </c>
      <c r="P3097">
        <v>0.99724849999999998</v>
      </c>
      <c r="Q3097">
        <v>-7.1778880000000003E-2</v>
      </c>
      <c r="R3097">
        <v>1.853204E-2</v>
      </c>
      <c r="S3097">
        <v>2.9907840000000001</v>
      </c>
      <c r="T3097">
        <v>-0.2645304</v>
      </c>
      <c r="U3097">
        <v>-7.4874880000000005E-2</v>
      </c>
      <c r="V3097">
        <v>-2.570333E-2</v>
      </c>
      <c r="W3097">
        <v>-6.7949389999999998E-2</v>
      </c>
      <c r="X3097">
        <v>0.99735759999999996</v>
      </c>
      <c r="Y3097">
        <v>1.8037669999999999E-2</v>
      </c>
      <c r="Z3097">
        <v>-2.4308819999999999E-4</v>
      </c>
      <c r="AA3097">
        <v>0.99983730000000004</v>
      </c>
      <c r="AB3097">
        <v>36</v>
      </c>
      <c r="AC3097">
        <v>0.39609999999998902</v>
      </c>
      <c r="AD3097">
        <v>-6.6111999999999893E-2</v>
      </c>
      <c r="AE3097">
        <v>-1.55999999999778E-2</v>
      </c>
      <c r="AF3097">
        <v>1.2501867895018099E-2</v>
      </c>
      <c r="AG3097">
        <v>-6.6111999999999893E-2</v>
      </c>
      <c r="AH3097">
        <v>0.38547675563567102</v>
      </c>
      <c r="AI3097">
        <v>99.726932817848706</v>
      </c>
      <c r="AJ3097">
        <v>88.142421647115</v>
      </c>
      <c r="AK3097">
        <v>0.39130476917649099</v>
      </c>
      <c r="AL3097">
        <v>93.896215486557395</v>
      </c>
      <c r="AM3097">
        <v>91.476267309386998</v>
      </c>
      <c r="AN3097">
        <v>0.99999998152611003</v>
      </c>
    </row>
    <row r="3098" spans="1:40" x14ac:dyDescent="0.25">
      <c r="A3098" t="str">
        <f>"20190305135254290"</f>
        <v>20190305135254290</v>
      </c>
      <c r="B3098" t="str">
        <f>"1551765174282776"</f>
        <v>1551765174282776</v>
      </c>
      <c r="C3098" t="s">
        <v>40</v>
      </c>
      <c r="D3098">
        <v>4.8517460000000003</v>
      </c>
      <c r="E3098">
        <v>0.51520250000000001</v>
      </c>
      <c r="F3098" t="s">
        <v>41</v>
      </c>
      <c r="G3098">
        <v>-427.29250000000002</v>
      </c>
      <c r="H3098">
        <v>1.013185</v>
      </c>
      <c r="I3098">
        <v>215.28909999999999</v>
      </c>
      <c r="J3098">
        <v>-427.92219999999998</v>
      </c>
      <c r="K3098">
        <v>1.106182</v>
      </c>
      <c r="L3098">
        <v>215.31039999999999</v>
      </c>
      <c r="M3098">
        <v>0.99995400000000001</v>
      </c>
      <c r="N3098">
        <v>-3.7882910000000001E-3</v>
      </c>
      <c r="O3098">
        <v>-8.8164599999999999E-3</v>
      </c>
      <c r="P3098">
        <v>0.9973303</v>
      </c>
      <c r="Q3098">
        <v>-7.1061669999999993E-2</v>
      </c>
      <c r="R3098">
        <v>1.6815150000000001E-2</v>
      </c>
      <c r="S3098">
        <v>2.9901430000000002</v>
      </c>
      <c r="T3098">
        <v>-0.27117849999999999</v>
      </c>
      <c r="U3098">
        <v>-7.4874880000000005E-2</v>
      </c>
      <c r="V3098">
        <v>-2.585923E-2</v>
      </c>
      <c r="W3098">
        <v>-6.7187469999999999E-2</v>
      </c>
      <c r="X3098">
        <v>0.99740519999999999</v>
      </c>
      <c r="Y3098">
        <v>1.6182040000000002E-2</v>
      </c>
      <c r="Z3098" s="1">
        <v>1.564738E-6</v>
      </c>
      <c r="AA3098">
        <v>0.99986900000000001</v>
      </c>
      <c r="AB3098">
        <v>36</v>
      </c>
      <c r="AC3098">
        <v>0.62969999999995696</v>
      </c>
      <c r="AD3098">
        <v>-9.2996999999999996E-2</v>
      </c>
      <c r="AE3098">
        <v>-2.1299999999996499E-2</v>
      </c>
      <c r="AF3098">
        <v>1.5411652232416299E-2</v>
      </c>
      <c r="AG3098">
        <v>-9.2996999999999996E-2</v>
      </c>
      <c r="AH3098">
        <v>0.61643380331588205</v>
      </c>
      <c r="AI3098">
        <v>98.576472733054104</v>
      </c>
      <c r="AJ3098">
        <v>88.567828840431204</v>
      </c>
      <c r="AK3098">
        <v>0.62359970726742397</v>
      </c>
      <c r="AL3098">
        <v>93.852460639136197</v>
      </c>
      <c r="AM3098">
        <v>91.485146557946607</v>
      </c>
      <c r="AN3098">
        <v>0.99999999444411602</v>
      </c>
    </row>
    <row r="3099" spans="1:40" x14ac:dyDescent="0.25">
      <c r="A3099" t="str">
        <f>"20190305135254314"</f>
        <v>20190305135254314</v>
      </c>
      <c r="B3099" t="str">
        <f>"1551765174302296"</f>
        <v>1551765174302296</v>
      </c>
      <c r="C3099" t="s">
        <v>40</v>
      </c>
      <c r="D3099">
        <v>4.8739109999999997</v>
      </c>
      <c r="E3099">
        <v>0.51486719999999997</v>
      </c>
      <c r="F3099" t="s">
        <v>41</v>
      </c>
      <c r="G3099">
        <v>-426.96789999999999</v>
      </c>
      <c r="H3099">
        <v>1.0163759999999999</v>
      </c>
      <c r="I3099">
        <v>215.28639999999999</v>
      </c>
      <c r="J3099">
        <v>-427.55189999999999</v>
      </c>
      <c r="K3099">
        <v>1.106163</v>
      </c>
      <c r="L3099">
        <v>215.3057</v>
      </c>
      <c r="M3099">
        <v>0.99993679999999996</v>
      </c>
      <c r="N3099">
        <v>-3.8257460000000001E-3</v>
      </c>
      <c r="O3099">
        <v>-1.057773E-2</v>
      </c>
      <c r="P3099">
        <v>0.99737909999999996</v>
      </c>
      <c r="Q3099">
        <v>-7.0728009999999994E-2</v>
      </c>
      <c r="R3099">
        <v>1.525223E-2</v>
      </c>
      <c r="S3099">
        <v>2.9892270000000001</v>
      </c>
      <c r="T3099">
        <v>-0.28134100000000001</v>
      </c>
      <c r="U3099">
        <v>-7.4417109999999995E-2</v>
      </c>
      <c r="V3099">
        <v>-2.605679E-2</v>
      </c>
      <c r="W3099">
        <v>-6.6813670000000006E-2</v>
      </c>
      <c r="X3099">
        <v>0.99742520000000001</v>
      </c>
      <c r="Y3099">
        <v>1.4288779999999999E-2</v>
      </c>
      <c r="Z3099">
        <v>2.545542E-4</v>
      </c>
      <c r="AA3099">
        <v>0.99989790000000001</v>
      </c>
      <c r="AB3099">
        <v>36</v>
      </c>
      <c r="AC3099">
        <v>0.58400000000000296</v>
      </c>
      <c r="AD3099">
        <v>-8.9787000000000006E-2</v>
      </c>
      <c r="AE3099">
        <v>-1.9300000000015399E-2</v>
      </c>
      <c r="AF3099">
        <v>1.28188073322342E-2</v>
      </c>
      <c r="AG3099">
        <v>-8.9787000000000006E-2</v>
      </c>
      <c r="AH3099">
        <v>0.57069637024742104</v>
      </c>
      <c r="AI3099">
        <v>98.938771018374993</v>
      </c>
      <c r="AJ3099">
        <v>88.7132560935745</v>
      </c>
      <c r="AK3099">
        <v>0.57785843785827196</v>
      </c>
      <c r="AL3099">
        <v>93.830995120576105</v>
      </c>
      <c r="AM3099">
        <v>91.496457684943493</v>
      </c>
      <c r="AN3099">
        <v>1.0000000261994999</v>
      </c>
    </row>
    <row r="3100" spans="1:40" x14ac:dyDescent="0.25">
      <c r="A3100" t="str">
        <f>"20190305135254336"</f>
        <v>20190305135254336</v>
      </c>
      <c r="B3100" t="str">
        <f>"1551765174322792"</f>
        <v>1551765174322792</v>
      </c>
      <c r="C3100" t="s">
        <v>40</v>
      </c>
      <c r="D3100">
        <v>4.9448829999999999</v>
      </c>
      <c r="E3100">
        <v>0.51457589999999997</v>
      </c>
      <c r="F3100" t="s">
        <v>41</v>
      </c>
      <c r="G3100">
        <v>-426.6422</v>
      </c>
      <c r="H3100">
        <v>1.0191859999999999</v>
      </c>
      <c r="I3100">
        <v>215.28229999999999</v>
      </c>
      <c r="J3100">
        <v>-427.18079999999998</v>
      </c>
      <c r="K3100">
        <v>1.106141</v>
      </c>
      <c r="L3100">
        <v>215.30029999999999</v>
      </c>
      <c r="M3100">
        <v>0.99991640000000004</v>
      </c>
      <c r="N3100">
        <v>-3.8620619999999999E-3</v>
      </c>
      <c r="O3100">
        <v>-1.234565E-2</v>
      </c>
      <c r="P3100">
        <v>0.99738859999999996</v>
      </c>
      <c r="Q3100">
        <v>-7.0866760000000001E-2</v>
      </c>
      <c r="R3100">
        <v>1.392433E-2</v>
      </c>
      <c r="S3100">
        <v>2.9887700000000001</v>
      </c>
      <c r="T3100">
        <v>-0.2858057</v>
      </c>
      <c r="U3100">
        <v>-7.6690670000000002E-2</v>
      </c>
      <c r="V3100">
        <v>-2.6496539999999999E-2</v>
      </c>
      <c r="W3100">
        <v>-6.6912860000000005E-2</v>
      </c>
      <c r="X3100">
        <v>0.99740700000000004</v>
      </c>
      <c r="Y3100">
        <v>1.3296290000000001E-2</v>
      </c>
      <c r="Z3100">
        <v>4.7012310000000001E-4</v>
      </c>
      <c r="AA3100">
        <v>0.99991149999999995</v>
      </c>
      <c r="AB3100">
        <v>36</v>
      </c>
      <c r="AC3100">
        <v>0.53859999999997399</v>
      </c>
      <c r="AD3100">
        <v>-8.6954999999999893E-2</v>
      </c>
      <c r="AE3100">
        <v>-1.8000000000000599E-2</v>
      </c>
      <c r="AF3100">
        <v>1.10612236950089E-2</v>
      </c>
      <c r="AG3100">
        <v>-8.6954999999999893E-2</v>
      </c>
      <c r="AH3100">
        <v>0.52510950753447105</v>
      </c>
      <c r="AI3100">
        <v>99.400467225865199</v>
      </c>
      <c r="AJ3100">
        <v>88.793265570685193</v>
      </c>
      <c r="AK3100">
        <v>0.53237535404799297</v>
      </c>
      <c r="AL3100">
        <v>93.8366909033967</v>
      </c>
      <c r="AM3100">
        <v>91.521728779444302</v>
      </c>
      <c r="AN3100">
        <v>1.0000000605571699</v>
      </c>
    </row>
    <row r="3101" spans="1:40" x14ac:dyDescent="0.25">
      <c r="A3101" t="str">
        <f>"20190305135254355"</f>
        <v>20190305135254355</v>
      </c>
      <c r="B3101" t="str">
        <f>"1551765174342312"</f>
        <v>1551765174342312</v>
      </c>
      <c r="C3101" t="s">
        <v>40</v>
      </c>
      <c r="D3101">
        <v>4.96312</v>
      </c>
      <c r="E3101">
        <v>0.51388859999999903</v>
      </c>
      <c r="F3101" t="s">
        <v>41</v>
      </c>
      <c r="G3101">
        <v>-426.31549999999999</v>
      </c>
      <c r="H3101">
        <v>1.0219739999999999</v>
      </c>
      <c r="I3101">
        <v>215.27719999999999</v>
      </c>
      <c r="J3101">
        <v>-426.8698</v>
      </c>
      <c r="K3101">
        <v>1.1061219999999901</v>
      </c>
      <c r="L3101">
        <v>215.2953</v>
      </c>
      <c r="M3101">
        <v>0.99989680000000003</v>
      </c>
      <c r="N3101">
        <v>-3.891622E-3</v>
      </c>
      <c r="O3101">
        <v>-1.3825219999999999E-2</v>
      </c>
      <c r="P3101">
        <v>0.99739940000000005</v>
      </c>
      <c r="Q3101">
        <v>-7.0892049999999998E-2</v>
      </c>
      <c r="R3101">
        <v>1.299442E-2</v>
      </c>
      <c r="S3101">
        <v>2.9883730000000002</v>
      </c>
      <c r="T3101">
        <v>-0.29064759999999901</v>
      </c>
      <c r="U3101">
        <v>-7.8842159999999994E-2</v>
      </c>
      <c r="V3101">
        <v>-2.704587E-2</v>
      </c>
      <c r="W3101">
        <v>-6.6905220000000001E-2</v>
      </c>
      <c r="X3101">
        <v>0.99739270000000002</v>
      </c>
      <c r="Y3101">
        <v>1.2549279999999999E-2</v>
      </c>
      <c r="Z3101">
        <v>6.5425990000000001E-4</v>
      </c>
      <c r="AA3101">
        <v>0.99992099999999995</v>
      </c>
      <c r="AB3101">
        <v>36</v>
      </c>
      <c r="AC3101">
        <v>0.55430000000001201</v>
      </c>
      <c r="AD3101">
        <v>-8.4147999999999806E-2</v>
      </c>
      <c r="AE3101">
        <v>-1.8100000000003998E-2</v>
      </c>
      <c r="AF3101">
        <v>1.02000705368918E-2</v>
      </c>
      <c r="AG3101">
        <v>-8.4147999999999806E-2</v>
      </c>
      <c r="AH3101">
        <v>0.54201912812012498</v>
      </c>
      <c r="AI3101">
        <v>98.823134270495501</v>
      </c>
      <c r="AJ3101">
        <v>88.921897793733393</v>
      </c>
      <c r="AK3101">
        <v>0.54860702018025398</v>
      </c>
      <c r="AL3101">
        <v>93.836252440923104</v>
      </c>
      <c r="AM3101">
        <v>91.553284435455495</v>
      </c>
      <c r="AN3101">
        <v>0.99999999278029705</v>
      </c>
    </row>
    <row r="3102" spans="1:40" x14ac:dyDescent="0.25">
      <c r="A3102" t="str">
        <f>"20190305135254378"</f>
        <v>20190305135254378</v>
      </c>
      <c r="B3102" t="str">
        <f>"1551765174372568"</f>
        <v>1551765174372568</v>
      </c>
      <c r="C3102" t="s">
        <v>40</v>
      </c>
      <c r="D3102">
        <v>4.965446</v>
      </c>
      <c r="E3102">
        <v>0.51325540000000003</v>
      </c>
      <c r="F3102" t="s">
        <v>41</v>
      </c>
      <c r="G3102">
        <v>-425.99040000000002</v>
      </c>
      <c r="H3102">
        <v>1.0185820000000001</v>
      </c>
      <c r="I3102">
        <v>215.27250000000001</v>
      </c>
      <c r="J3102">
        <v>-426.50209999999998</v>
      </c>
      <c r="K3102">
        <v>1.106106</v>
      </c>
      <c r="L3102">
        <v>215.28880000000001</v>
      </c>
      <c r="M3102">
        <v>0.99987119999999996</v>
      </c>
      <c r="N3102">
        <v>-3.9255970000000003E-3</v>
      </c>
      <c r="O3102">
        <v>-1.5563489999999999E-2</v>
      </c>
      <c r="P3102">
        <v>0.99746020000000002</v>
      </c>
      <c r="Q3102">
        <v>-7.0221320000000004E-2</v>
      </c>
      <c r="R3102">
        <v>1.1922459999999999E-2</v>
      </c>
      <c r="S3102">
        <v>2.9876710000000002</v>
      </c>
      <c r="T3102">
        <v>-0.297431</v>
      </c>
      <c r="U3102">
        <v>-7.6202389999999995E-2</v>
      </c>
      <c r="V3102">
        <v>-2.7708719999999999E-2</v>
      </c>
      <c r="W3102">
        <v>-6.6196619999999998E-2</v>
      </c>
      <c r="X3102">
        <v>0.99742180000000003</v>
      </c>
      <c r="Y3102">
        <v>9.9554870000000007E-3</v>
      </c>
      <c r="Z3102">
        <v>9.7040940000000001E-4</v>
      </c>
      <c r="AA3102">
        <v>0.99995000000000001</v>
      </c>
      <c r="AB3102">
        <v>36</v>
      </c>
      <c r="AC3102">
        <v>0.51169999999996196</v>
      </c>
      <c r="AD3102">
        <v>-8.7524000000000102E-2</v>
      </c>
      <c r="AE3102">
        <v>-1.6300000000001001E-2</v>
      </c>
      <c r="AF3102">
        <v>8.0974628565327108E-3</v>
      </c>
      <c r="AG3102">
        <v>-8.7524000000000102E-2</v>
      </c>
      <c r="AH3102">
        <v>0.49735554005937599</v>
      </c>
      <c r="AI3102">
        <v>99.979351685719294</v>
      </c>
      <c r="AJ3102">
        <v>89.067247829454999</v>
      </c>
      <c r="AK3102">
        <v>0.50506291955405602</v>
      </c>
      <c r="AL3102">
        <v>93.795562390166097</v>
      </c>
      <c r="AM3102">
        <v>91.591287150361097</v>
      </c>
      <c r="AN3102">
        <v>1.0000000063893499</v>
      </c>
    </row>
    <row r="3103" spans="1:40" x14ac:dyDescent="0.25">
      <c r="A3103" t="str">
        <f>"20190305135254400"</f>
        <v>20190305135254400</v>
      </c>
      <c r="B3103" t="str">
        <f>"1551765174393064"</f>
        <v>1551765174393064</v>
      </c>
      <c r="C3103" t="s">
        <v>40</v>
      </c>
      <c r="D3103">
        <v>4.9766529999999998</v>
      </c>
      <c r="E3103">
        <v>0.51294050000000002</v>
      </c>
      <c r="F3103" t="s">
        <v>41</v>
      </c>
      <c r="G3103">
        <v>-425.66160000000002</v>
      </c>
      <c r="H3103">
        <v>1.0206949999999999</v>
      </c>
      <c r="I3103">
        <v>215.26740000000001</v>
      </c>
      <c r="J3103">
        <v>-426.12369999999999</v>
      </c>
      <c r="K3103">
        <v>1.106096</v>
      </c>
      <c r="L3103">
        <v>215.28149999999999</v>
      </c>
      <c r="M3103">
        <v>0.99984200000000001</v>
      </c>
      <c r="N3103">
        <v>-3.9597149999999999E-3</v>
      </c>
      <c r="O3103">
        <v>-1.73285E-2</v>
      </c>
      <c r="P3103">
        <v>0.99754529999999997</v>
      </c>
      <c r="Q3103">
        <v>-6.9213839999999999E-2</v>
      </c>
      <c r="R3103">
        <v>1.063243E-2</v>
      </c>
      <c r="S3103">
        <v>2.9871219999999998</v>
      </c>
      <c r="T3103">
        <v>-0.30351319999999998</v>
      </c>
      <c r="U3103">
        <v>-7.473755E-2</v>
      </c>
      <c r="V3103">
        <v>-2.8178180000000001E-2</v>
      </c>
      <c r="W3103">
        <v>-6.5152340000000003E-2</v>
      </c>
      <c r="X3103">
        <v>0.99747739999999996</v>
      </c>
      <c r="Y3103">
        <v>7.7261519999999896E-3</v>
      </c>
      <c r="Z3103">
        <v>1.280516E-3</v>
      </c>
      <c r="AA3103">
        <v>0.99996929999999995</v>
      </c>
      <c r="AB3103">
        <v>36</v>
      </c>
      <c r="AC3103">
        <v>0.46209999999996398</v>
      </c>
      <c r="AD3103">
        <v>-8.5400999999999797E-2</v>
      </c>
      <c r="AE3103">
        <v>-1.4099999999984901E-2</v>
      </c>
      <c r="AF3103">
        <v>5.88935643452202E-3</v>
      </c>
      <c r="AG3103">
        <v>-8.5400999999999797E-2</v>
      </c>
      <c r="AH3103">
        <v>0.44702115386312902</v>
      </c>
      <c r="AI3103">
        <v>100.814808212508</v>
      </c>
      <c r="AJ3103">
        <v>89.2451906497827</v>
      </c>
      <c r="AK3103">
        <v>0.45514385343684099</v>
      </c>
      <c r="AL3103">
        <v>93.735600121123795</v>
      </c>
      <c r="AM3103">
        <v>91.618143451332202</v>
      </c>
      <c r="AN3103">
        <v>1.0000000003731699</v>
      </c>
    </row>
    <row r="3104" spans="1:40" x14ac:dyDescent="0.25">
      <c r="A3104" t="str">
        <f>"20190305135254423"</f>
        <v>20190305135254423</v>
      </c>
      <c r="B3104" t="str">
        <f>"1551765174412584"</f>
        <v>1551765174412584</v>
      </c>
      <c r="C3104" t="s">
        <v>40</v>
      </c>
      <c r="D3104">
        <v>4.9236149999999999</v>
      </c>
      <c r="E3104">
        <v>0.51252779999999998</v>
      </c>
      <c r="F3104" t="s">
        <v>41</v>
      </c>
      <c r="G3104">
        <v>-425.3304</v>
      </c>
      <c r="H3104">
        <v>1.0251060000000001</v>
      </c>
      <c r="I3104">
        <v>215.261</v>
      </c>
      <c r="J3104">
        <v>-425.74810000000002</v>
      </c>
      <c r="K3104">
        <v>1.1061030000000001</v>
      </c>
      <c r="L3104">
        <v>215.27359999999999</v>
      </c>
      <c r="M3104">
        <v>0.99981089999999995</v>
      </c>
      <c r="N3104">
        <v>-3.9925300000000002E-3</v>
      </c>
      <c r="O3104">
        <v>-1.9032529999999999E-2</v>
      </c>
      <c r="P3104">
        <v>0.99758880000000005</v>
      </c>
      <c r="Q3104">
        <v>-6.872143E-2</v>
      </c>
      <c r="R3104">
        <v>9.7000780000000009E-3</v>
      </c>
      <c r="S3104">
        <v>2.9870299999999999</v>
      </c>
      <c r="T3104">
        <v>-0.3050756</v>
      </c>
      <c r="U3104">
        <v>-7.6263429999999993E-2</v>
      </c>
      <c r="V3104">
        <v>-2.894304E-2</v>
      </c>
      <c r="W3104">
        <v>-6.4624609999999999E-2</v>
      </c>
      <c r="X3104">
        <v>0.99748979999999998</v>
      </c>
      <c r="Y3104">
        <v>6.5480620000000003E-3</v>
      </c>
      <c r="Z3104">
        <v>1.5159259999999999E-3</v>
      </c>
      <c r="AA3104">
        <v>0.99997740000000002</v>
      </c>
      <c r="AB3104">
        <v>37</v>
      </c>
      <c r="AC3104">
        <v>0.417700000000024</v>
      </c>
      <c r="AD3104">
        <v>-8.0997000000000194E-2</v>
      </c>
      <c r="AE3104">
        <v>-1.2599999999991901E-2</v>
      </c>
      <c r="AF3104">
        <v>4.47948296764537E-3</v>
      </c>
      <c r="AG3104">
        <v>-8.0997000000000194E-2</v>
      </c>
      <c r="AH3104">
        <v>0.40273437059039902</v>
      </c>
      <c r="AI3104">
        <v>101.370809224223</v>
      </c>
      <c r="AJ3104">
        <v>89.362744021799898</v>
      </c>
      <c r="AK3104">
        <v>0.41082301911103097</v>
      </c>
      <c r="AL3104">
        <v>93.705299672352794</v>
      </c>
      <c r="AM3104">
        <v>91.662020888237095</v>
      </c>
      <c r="AN3104">
        <v>0.99999997044306599</v>
      </c>
    </row>
    <row r="3105" spans="1:40" x14ac:dyDescent="0.25">
      <c r="A3105" t="str">
        <f>"20190305135254446"</f>
        <v>20190305135254446</v>
      </c>
      <c r="B3105" t="str">
        <f>"1551765174433080"</f>
        <v>1551765174433080</v>
      </c>
      <c r="C3105" t="s">
        <v>40</v>
      </c>
      <c r="D3105">
        <v>4.993131</v>
      </c>
      <c r="E3105">
        <v>0.51222520000000005</v>
      </c>
      <c r="F3105" t="s">
        <v>41</v>
      </c>
      <c r="G3105">
        <v>-424.99849999999998</v>
      </c>
      <c r="H3105">
        <v>1.0286420000000001</v>
      </c>
      <c r="I3105">
        <v>215.25409999999999</v>
      </c>
      <c r="J3105">
        <v>-425.38319999999999</v>
      </c>
      <c r="K3105">
        <v>1.1061270000000001</v>
      </c>
      <c r="L3105">
        <v>215.2654</v>
      </c>
      <c r="M3105">
        <v>0.99977959999999999</v>
      </c>
      <c r="N3105">
        <v>-4.0232459999999899E-3</v>
      </c>
      <c r="O3105">
        <v>-2.0610440000000001E-2</v>
      </c>
      <c r="P3105">
        <v>0.99759520000000002</v>
      </c>
      <c r="Q3105">
        <v>-6.8754640000000006E-2</v>
      </c>
      <c r="R3105">
        <v>8.7652670000000002E-3</v>
      </c>
      <c r="S3105">
        <v>2.9867249999999999</v>
      </c>
      <c r="T3105">
        <v>-0.30867270000000002</v>
      </c>
      <c r="U3105">
        <v>-7.6034550000000006E-2</v>
      </c>
      <c r="V3105">
        <v>-2.9577539999999999E-2</v>
      </c>
      <c r="W3105">
        <v>-6.4626950000000002E-2</v>
      </c>
      <c r="X3105">
        <v>0.99747110000000005</v>
      </c>
      <c r="Y3105">
        <v>4.9140420000000004E-3</v>
      </c>
      <c r="Z3105">
        <v>1.77796799999999E-3</v>
      </c>
      <c r="AA3105">
        <v>0.99998640000000005</v>
      </c>
      <c r="AB3105">
        <v>37</v>
      </c>
      <c r="AC3105">
        <v>0.38470000000000898</v>
      </c>
      <c r="AD3105">
        <v>-7.7484999999999998E-2</v>
      </c>
      <c r="AE3105">
        <v>-1.1300000000005601E-2</v>
      </c>
      <c r="AF3105">
        <v>3.23747329381174E-3</v>
      </c>
      <c r="AG3105">
        <v>-7.7484999999999998E-2</v>
      </c>
      <c r="AH3105">
        <v>0.36985940760192298</v>
      </c>
      <c r="AI3105">
        <v>101.83181698649901</v>
      </c>
      <c r="AJ3105">
        <v>89.498488304054305</v>
      </c>
      <c r="AK3105">
        <v>0.37790261688690902</v>
      </c>
      <c r="AL3105">
        <v>93.705433787880096</v>
      </c>
      <c r="AM3105">
        <v>91.698467033852793</v>
      </c>
      <c r="AN3105">
        <v>1.0000000344369799</v>
      </c>
    </row>
    <row r="3106" spans="1:40" x14ac:dyDescent="0.25">
      <c r="A3106" t="str">
        <f>"20190305135254468"</f>
        <v>20190305135254468</v>
      </c>
      <c r="B3106" t="str">
        <f>"1551765174462360"</f>
        <v>1551765174462360</v>
      </c>
      <c r="C3106" t="s">
        <v>40</v>
      </c>
      <c r="D3106">
        <v>4.9525169999999896</v>
      </c>
      <c r="E3106">
        <v>0.51183480000000003</v>
      </c>
      <c r="F3106" t="s">
        <v>41</v>
      </c>
      <c r="G3106">
        <v>-424.34949999999998</v>
      </c>
      <c r="H3106">
        <v>0.99781869999999995</v>
      </c>
      <c r="I3106">
        <v>215.2388</v>
      </c>
      <c r="J3106">
        <v>-425.0095</v>
      </c>
      <c r="K3106">
        <v>1.106182</v>
      </c>
      <c r="L3106">
        <v>215.25640000000001</v>
      </c>
      <c r="M3106">
        <v>0.99974750000000001</v>
      </c>
      <c r="N3106">
        <v>-4.0534109999999998E-3</v>
      </c>
      <c r="O3106">
        <v>-2.210496E-2</v>
      </c>
      <c r="P3106">
        <v>0.9975811</v>
      </c>
      <c r="Q3106">
        <v>-6.9141699999999903E-2</v>
      </c>
      <c r="R3106">
        <v>7.1753349999999997E-3</v>
      </c>
      <c r="S3106">
        <v>2.9863279999999999</v>
      </c>
      <c r="T3106">
        <v>-0.3129497</v>
      </c>
      <c r="U3106">
        <v>-7.6690670000000002E-2</v>
      </c>
      <c r="V3106">
        <v>-2.9469829999999999E-2</v>
      </c>
      <c r="W3106">
        <v>-6.4988859999999996E-2</v>
      </c>
      <c r="X3106">
        <v>0.99745079999999997</v>
      </c>
      <c r="Y3106">
        <v>3.658952E-3</v>
      </c>
      <c r="Z3106">
        <v>2.021499E-3</v>
      </c>
      <c r="AA3106">
        <v>0.99999119999999997</v>
      </c>
      <c r="AB3106">
        <v>37</v>
      </c>
      <c r="AC3106">
        <v>0.66000000000002501</v>
      </c>
      <c r="AD3106">
        <v>-0.1083633</v>
      </c>
      <c r="AE3106">
        <v>-1.7600000000015801E-2</v>
      </c>
      <c r="AF3106">
        <v>2.9274468931456202E-3</v>
      </c>
      <c r="AG3106">
        <v>-0.1083633</v>
      </c>
      <c r="AH3106">
        <v>0.64290899808334201</v>
      </c>
      <c r="AI3106">
        <v>99.5672689814146</v>
      </c>
      <c r="AJ3106">
        <v>89.739108967193104</v>
      </c>
      <c r="AK3106">
        <v>0.65198401402851103</v>
      </c>
      <c r="AL3106">
        <v>93.7262132889133</v>
      </c>
      <c r="AM3106">
        <v>91.692319895871805</v>
      </c>
      <c r="AN3106">
        <v>1.0000000606124799</v>
      </c>
    </row>
    <row r="3107" spans="1:40" x14ac:dyDescent="0.25">
      <c r="A3107" t="str">
        <f>"20190305135254490"</f>
        <v>20190305135254490</v>
      </c>
      <c r="B3107" t="str">
        <f>"1551765174482857"</f>
        <v>1551765174482857</v>
      </c>
      <c r="C3107" t="s">
        <v>40</v>
      </c>
      <c r="D3107">
        <v>4.9462339999999996</v>
      </c>
      <c r="E3107">
        <v>0.51166809999999996</v>
      </c>
      <c r="F3107" t="s">
        <v>41</v>
      </c>
      <c r="G3107">
        <v>-424.01499999999999</v>
      </c>
      <c r="H3107">
        <v>0.99974890000000005</v>
      </c>
      <c r="I3107">
        <v>215.23009999999999</v>
      </c>
      <c r="J3107">
        <v>-424.63780000000003</v>
      </c>
      <c r="K3107">
        <v>1.1062459999999901</v>
      </c>
      <c r="L3107">
        <v>215.24709999999999</v>
      </c>
      <c r="M3107">
        <v>0.99971600000000005</v>
      </c>
      <c r="N3107">
        <v>-4.0831009999999996E-3</v>
      </c>
      <c r="O3107">
        <v>-2.3481700000000001E-2</v>
      </c>
      <c r="P3107">
        <v>0.99755629999999995</v>
      </c>
      <c r="Q3107">
        <v>-6.9673830000000006E-2</v>
      </c>
      <c r="R3107">
        <v>5.2193789999999997E-3</v>
      </c>
      <c r="S3107">
        <v>2.985687</v>
      </c>
      <c r="T3107">
        <v>-0.31957479999999999</v>
      </c>
      <c r="U3107">
        <v>-7.8430180000000002E-2</v>
      </c>
      <c r="V3107">
        <v>-2.8877179999999999E-2</v>
      </c>
      <c r="W3107">
        <v>-6.5498899999999999E-2</v>
      </c>
      <c r="X3107">
        <v>0.99743470000000001</v>
      </c>
      <c r="Y3107">
        <v>2.885482E-3</v>
      </c>
      <c r="Z3107">
        <v>2.2499450000000002E-3</v>
      </c>
      <c r="AA3107">
        <v>0.99999329999999997</v>
      </c>
      <c r="AB3107">
        <v>37</v>
      </c>
      <c r="AC3107">
        <v>0.62280000000003999</v>
      </c>
      <c r="AD3107">
        <v>-0.106497099999999</v>
      </c>
      <c r="AE3107">
        <v>-1.69999999999959E-2</v>
      </c>
      <c r="AF3107">
        <v>2.30348492769672E-3</v>
      </c>
      <c r="AG3107">
        <v>-0.106497099999999</v>
      </c>
      <c r="AH3107">
        <v>0.60534044605279103</v>
      </c>
      <c r="AI3107">
        <v>99.977827426571906</v>
      </c>
      <c r="AJ3107">
        <v>89.781975038397405</v>
      </c>
      <c r="AK3107">
        <v>0.614641353944407</v>
      </c>
      <c r="AL3107">
        <v>93.755499093086101</v>
      </c>
      <c r="AM3107">
        <v>91.658332620122295</v>
      </c>
      <c r="AN3107">
        <v>0.99999998909502597</v>
      </c>
    </row>
    <row r="3108" spans="1:40" x14ac:dyDescent="0.25">
      <c r="A3108" t="str">
        <f>"20190305135254515"</f>
        <v>20190305135254515</v>
      </c>
      <c r="B3108" t="str">
        <f>"1551765174502376"</f>
        <v>1551765174502376</v>
      </c>
      <c r="C3108" t="s">
        <v>40</v>
      </c>
      <c r="D3108">
        <v>4.9700199999999999</v>
      </c>
      <c r="E3108">
        <v>0.51159949999999998</v>
      </c>
      <c r="F3108" t="s">
        <v>41</v>
      </c>
      <c r="G3108">
        <v>-423.67860000000002</v>
      </c>
      <c r="H3108">
        <v>1.0031699999999999</v>
      </c>
      <c r="I3108">
        <v>215.22030000000001</v>
      </c>
      <c r="J3108">
        <v>-424.23649999999998</v>
      </c>
      <c r="K3108">
        <v>1.1063400000000001</v>
      </c>
      <c r="L3108">
        <v>215.23660000000001</v>
      </c>
      <c r="M3108">
        <v>0.99968369999999995</v>
      </c>
      <c r="N3108">
        <v>-4.1146840000000004E-3</v>
      </c>
      <c r="O3108">
        <v>-2.4814010000000001E-2</v>
      </c>
      <c r="P3108">
        <v>0.99757589999999996</v>
      </c>
      <c r="Q3108">
        <v>-6.9530380000000003E-2</v>
      </c>
      <c r="R3108">
        <v>2.8690339999999999E-3</v>
      </c>
      <c r="S3108">
        <v>2.9854129999999999</v>
      </c>
      <c r="T3108">
        <v>-0.32086789999999998</v>
      </c>
      <c r="U3108">
        <v>-8.2855219999999993E-2</v>
      </c>
      <c r="V3108">
        <v>-2.7840150000000001E-2</v>
      </c>
      <c r="W3108">
        <v>-6.533419E-2</v>
      </c>
      <c r="X3108">
        <v>0.997475</v>
      </c>
      <c r="Y3108">
        <v>3.0433080000000002E-3</v>
      </c>
      <c r="Z3108">
        <v>2.3872329999999999E-3</v>
      </c>
      <c r="AA3108">
        <v>0.99999249999999995</v>
      </c>
      <c r="AB3108">
        <v>37</v>
      </c>
      <c r="AC3108">
        <v>0.55789999999996098</v>
      </c>
      <c r="AD3108">
        <v>-0.103169999999999</v>
      </c>
      <c r="AE3108">
        <v>-1.6300000000001001E-2</v>
      </c>
      <c r="AF3108">
        <v>2.3701448201754699E-3</v>
      </c>
      <c r="AG3108">
        <v>-0.103169999999999</v>
      </c>
      <c r="AH3108">
        <v>0.53969230583886096</v>
      </c>
      <c r="AI3108">
        <v>100.822246642832</v>
      </c>
      <c r="AJ3108">
        <v>89.748378065551506</v>
      </c>
      <c r="AK3108">
        <v>0.54947015521148601</v>
      </c>
      <c r="AL3108">
        <v>93.746041595606897</v>
      </c>
      <c r="AM3108">
        <v>91.598745921086902</v>
      </c>
      <c r="AN3108">
        <v>1.00000000297998</v>
      </c>
    </row>
    <row r="3109" spans="1:40" x14ac:dyDescent="0.25">
      <c r="A3109" t="str">
        <f>"20190305135254535"</f>
        <v>20190305135254535</v>
      </c>
      <c r="B3109" t="str">
        <f>"1551765174532632"</f>
        <v>1551765174532632</v>
      </c>
      <c r="C3109" t="s">
        <v>40</v>
      </c>
      <c r="D3109">
        <v>4.9892789999999998</v>
      </c>
      <c r="E3109">
        <v>0.51152429999999904</v>
      </c>
      <c r="F3109" t="s">
        <v>41</v>
      </c>
      <c r="G3109">
        <v>-423.33940000000001</v>
      </c>
      <c r="H3109">
        <v>1.0105839999999999</v>
      </c>
      <c r="I3109">
        <v>215.20949999999999</v>
      </c>
      <c r="J3109">
        <v>-423.88130000000001</v>
      </c>
      <c r="K3109">
        <v>1.1064430000000001</v>
      </c>
      <c r="L3109">
        <v>215.2269</v>
      </c>
      <c r="M3109">
        <v>0.99965769999999998</v>
      </c>
      <c r="N3109">
        <v>-4.1426759999999997E-3</v>
      </c>
      <c r="O3109">
        <v>-2.583537E-2</v>
      </c>
      <c r="P3109">
        <v>0.99752779999999996</v>
      </c>
      <c r="Q3109">
        <v>-7.0265019999999997E-2</v>
      </c>
      <c r="R3109">
        <v>1.1276770000000001E-3</v>
      </c>
      <c r="S3109">
        <v>2.9853209999999999</v>
      </c>
      <c r="T3109">
        <v>-0.31879679999999999</v>
      </c>
      <c r="U3109">
        <v>-8.9263919999999997E-2</v>
      </c>
      <c r="V3109">
        <v>-2.7102109999999999E-2</v>
      </c>
      <c r="W3109">
        <v>-6.6050479999999995E-2</v>
      </c>
      <c r="X3109">
        <v>0.99744809999999995</v>
      </c>
      <c r="Y3109">
        <v>4.1645249999999997E-3</v>
      </c>
      <c r="Z3109">
        <v>2.412918E-3</v>
      </c>
      <c r="AA3109">
        <v>0.9999884</v>
      </c>
      <c r="AB3109">
        <v>37</v>
      </c>
      <c r="AC3109">
        <v>0.54189999999999805</v>
      </c>
      <c r="AD3109">
        <v>-9.5859000000000097E-2</v>
      </c>
      <c r="AE3109">
        <v>-1.7400000000009099E-2</v>
      </c>
      <c r="AF3109">
        <v>3.29101098544721E-3</v>
      </c>
      <c r="AG3109">
        <v>-9.5859000000000097E-2</v>
      </c>
      <c r="AH3109">
        <v>0.52573453558541205</v>
      </c>
      <c r="AI3109">
        <v>100.333224628113</v>
      </c>
      <c r="AJ3109">
        <v>89.641342608982399</v>
      </c>
      <c r="AK3109">
        <v>0.53441236937548098</v>
      </c>
      <c r="AL3109">
        <v>93.787171028752098</v>
      </c>
      <c r="AM3109">
        <v>91.556426385919806</v>
      </c>
      <c r="AN3109">
        <v>0.99999995123414498</v>
      </c>
    </row>
    <row r="3110" spans="1:40" x14ac:dyDescent="0.25">
      <c r="A3110" t="str">
        <f>"20190305135254556"</f>
        <v>20190305135254556</v>
      </c>
      <c r="B3110" t="str">
        <f>"1551765174553128"</f>
        <v>1551765174553128</v>
      </c>
      <c r="C3110" t="s">
        <v>40</v>
      </c>
      <c r="D3110">
        <v>4.976305</v>
      </c>
      <c r="E3110">
        <v>0.51143559999999999</v>
      </c>
      <c r="F3110" t="s">
        <v>41</v>
      </c>
      <c r="G3110">
        <v>-423.00170000000003</v>
      </c>
      <c r="H3110">
        <v>1.012421</v>
      </c>
      <c r="I3110">
        <v>215.19909999999999</v>
      </c>
      <c r="J3110">
        <v>-423.53089999999997</v>
      </c>
      <c r="K3110">
        <v>1.1065689999999999</v>
      </c>
      <c r="L3110">
        <v>215.21719999999999</v>
      </c>
      <c r="M3110">
        <v>0.99963539999999995</v>
      </c>
      <c r="N3110">
        <v>-4.1701910000000002E-3</v>
      </c>
      <c r="O3110">
        <v>-2.668067E-2</v>
      </c>
      <c r="P3110">
        <v>0.99744790000000005</v>
      </c>
      <c r="Q3110">
        <v>-7.1396539999999994E-2</v>
      </c>
      <c r="R3110">
        <v>-6.5610279999999896E-4</v>
      </c>
      <c r="S3110">
        <v>2.9851070000000002</v>
      </c>
      <c r="T3110">
        <v>-0.31909789999999999</v>
      </c>
      <c r="U3110">
        <v>-9.3673709999999993E-2</v>
      </c>
      <c r="V3110">
        <v>-2.6143199999999998E-2</v>
      </c>
      <c r="W3110">
        <v>-6.7165420000000003E-2</v>
      </c>
      <c r="X3110">
        <v>0.99739929999999999</v>
      </c>
      <c r="Y3110">
        <v>4.7977749999999998E-3</v>
      </c>
      <c r="Z3110">
        <v>2.4660950000000002E-3</v>
      </c>
      <c r="AA3110">
        <v>0.99998549999999997</v>
      </c>
      <c r="AB3110">
        <v>38</v>
      </c>
      <c r="AC3110">
        <v>0.52919999999994605</v>
      </c>
      <c r="AD3110">
        <v>-9.4148000000000107E-2</v>
      </c>
      <c r="AE3110">
        <v>-1.8100000000003998E-2</v>
      </c>
      <c r="AF3110">
        <v>3.8522409351794099E-3</v>
      </c>
      <c r="AG3110">
        <v>-9.4148000000000107E-2</v>
      </c>
      <c r="AH3110">
        <v>0.51326824212647604</v>
      </c>
      <c r="AI3110">
        <v>100.393844142874</v>
      </c>
      <c r="AJ3110">
        <v>89.569985078051005</v>
      </c>
      <c r="AK3110">
        <v>0.52184573778064502</v>
      </c>
      <c r="AL3110">
        <v>93.851194338832698</v>
      </c>
      <c r="AM3110">
        <v>91.501456967600603</v>
      </c>
      <c r="AN3110">
        <v>1.0000000120952499</v>
      </c>
    </row>
    <row r="3111" spans="1:40" x14ac:dyDescent="0.25">
      <c r="A3111" t="str">
        <f>"20190305135254579"</f>
        <v>20190305135254579</v>
      </c>
      <c r="B3111" t="str">
        <f>"1551765174572649"</f>
        <v>1551765174572649</v>
      </c>
      <c r="C3111" t="s">
        <v>40</v>
      </c>
      <c r="D3111">
        <v>4.9590690000000004</v>
      </c>
      <c r="E3111">
        <v>0.51128379999999995</v>
      </c>
      <c r="F3111" t="s">
        <v>41</v>
      </c>
      <c r="G3111">
        <v>-422.6635</v>
      </c>
      <c r="H3111">
        <v>1.0130220000000001</v>
      </c>
      <c r="I3111">
        <v>215.18870000000001</v>
      </c>
      <c r="J3111">
        <v>-423.14299999999997</v>
      </c>
      <c r="K3111">
        <v>1.1067209999999901</v>
      </c>
      <c r="L3111">
        <v>215.2063</v>
      </c>
      <c r="M3111">
        <v>0.99961500000000003</v>
      </c>
      <c r="N3111">
        <v>-4.2005200000000001E-3</v>
      </c>
      <c r="O3111">
        <v>-2.7429490000000001E-2</v>
      </c>
      <c r="P3111">
        <v>0.99747030000000003</v>
      </c>
      <c r="Q3111">
        <v>-7.1046449999999997E-2</v>
      </c>
      <c r="R3111">
        <v>-2.4463520000000002E-3</v>
      </c>
      <c r="S3111">
        <v>2.9846189999999999</v>
      </c>
      <c r="T3111">
        <v>-0.32185340000000001</v>
      </c>
      <c r="U3111">
        <v>-9.8449709999999996E-2</v>
      </c>
      <c r="V3111">
        <v>-2.5076560000000001E-2</v>
      </c>
      <c r="W3111">
        <v>-6.6796750000000002E-2</v>
      </c>
      <c r="X3111">
        <v>0.99745139999999999</v>
      </c>
      <c r="Y3111">
        <v>5.6531730000000001E-3</v>
      </c>
      <c r="Z3111">
        <v>2.5173159999999999E-3</v>
      </c>
      <c r="AA3111">
        <v>0.99998089999999995</v>
      </c>
      <c r="AB3111">
        <v>38</v>
      </c>
      <c r="AC3111">
        <v>0.47950000000003001</v>
      </c>
      <c r="AD3111">
        <v>-9.3698999999999893E-2</v>
      </c>
      <c r="AE3111">
        <v>-1.75999999999874E-2</v>
      </c>
      <c r="AF3111">
        <v>4.2776982477401998E-3</v>
      </c>
      <c r="AG3111">
        <v>-9.3698999999999893E-2</v>
      </c>
      <c r="AH3111">
        <v>0.46217783218919101</v>
      </c>
      <c r="AI3111">
        <v>101.45997777951099</v>
      </c>
      <c r="AJ3111">
        <v>89.469712651111294</v>
      </c>
      <c r="AK3111">
        <v>0.47159956517197799</v>
      </c>
      <c r="AL3111">
        <v>93.830023730550593</v>
      </c>
      <c r="AM3111">
        <v>91.440148824228601</v>
      </c>
      <c r="AN3111">
        <v>0.99999996751697695</v>
      </c>
    </row>
    <row r="3112" spans="1:40" x14ac:dyDescent="0.25">
      <c r="A3112" t="str">
        <f>"20190305135254601"</f>
        <v>20190305135254601</v>
      </c>
      <c r="B3112" t="str">
        <f>"1551765174593145"</f>
        <v>1551765174593145</v>
      </c>
      <c r="C3112" t="s">
        <v>40</v>
      </c>
      <c r="D3112">
        <v>4.9654449999999999</v>
      </c>
      <c r="E3112">
        <v>0.51115940000000004</v>
      </c>
      <c r="F3112" t="s">
        <v>41</v>
      </c>
      <c r="G3112">
        <v>-422.3218</v>
      </c>
      <c r="H3112">
        <v>1.0187010000000001</v>
      </c>
      <c r="I3112">
        <v>215.17760000000001</v>
      </c>
      <c r="J3112">
        <v>-422.75069999999999</v>
      </c>
      <c r="K3112">
        <v>1.106884</v>
      </c>
      <c r="L3112">
        <v>215.1951</v>
      </c>
      <c r="M3112">
        <v>0.99959900000000002</v>
      </c>
      <c r="N3112">
        <v>-4.2313300000000002E-3</v>
      </c>
      <c r="O3112">
        <v>-2.8002849999999999E-2</v>
      </c>
      <c r="P3112">
        <v>0.99760570000000004</v>
      </c>
      <c r="Q3112">
        <v>-6.9049550000000001E-2</v>
      </c>
      <c r="R3112">
        <v>-3.9182189999999997E-3</v>
      </c>
      <c r="S3112">
        <v>2.9845579999999998</v>
      </c>
      <c r="T3112">
        <v>-0.3200461</v>
      </c>
      <c r="U3112">
        <v>-0.10266110000000001</v>
      </c>
      <c r="V3112">
        <v>-2.415231E-2</v>
      </c>
      <c r="W3112">
        <v>-6.4779550000000005E-2</v>
      </c>
      <c r="X3112">
        <v>0.99760729999999997</v>
      </c>
      <c r="Y3112">
        <v>6.4863419999999896E-3</v>
      </c>
      <c r="Z3112">
        <v>2.5141360000000001E-3</v>
      </c>
      <c r="AA3112">
        <v>0.99997579999999997</v>
      </c>
      <c r="AB3112">
        <v>38</v>
      </c>
      <c r="AC3112">
        <v>0.42889999999999801</v>
      </c>
      <c r="AD3112">
        <v>-8.81829999999999E-2</v>
      </c>
      <c r="AE3112">
        <v>-1.7499999999984001E-2</v>
      </c>
      <c r="AF3112">
        <v>5.2605996503477604E-3</v>
      </c>
      <c r="AG3112">
        <v>-8.81829999999999E-2</v>
      </c>
      <c r="AH3112">
        <v>0.41184124312291898</v>
      </c>
      <c r="AI3112">
        <v>102.084662584632</v>
      </c>
      <c r="AJ3112">
        <v>89.268179737399606</v>
      </c>
      <c r="AK3112">
        <v>0.421209122568247</v>
      </c>
      <c r="AL3112">
        <v>93.714195519847706</v>
      </c>
      <c r="AM3112">
        <v>91.386873526031493</v>
      </c>
      <c r="AN3112">
        <v>1.0000000245949101</v>
      </c>
    </row>
    <row r="3113" spans="1:40" x14ac:dyDescent="0.25">
      <c r="A3113" t="str">
        <f>"20190305135254626"</f>
        <v>20190305135254626</v>
      </c>
      <c r="B3113" t="str">
        <f>"1551765174622424"</f>
        <v>1551765174622424</v>
      </c>
      <c r="C3113" t="s">
        <v>40</v>
      </c>
      <c r="D3113">
        <v>4.9570410000000003</v>
      </c>
      <c r="E3113">
        <v>0.51092590000000004</v>
      </c>
      <c r="F3113" t="s">
        <v>41</v>
      </c>
      <c r="G3113">
        <v>-421.97820000000002</v>
      </c>
      <c r="H3113">
        <v>1.0257849999999999</v>
      </c>
      <c r="I3113">
        <v>215.16749999999999</v>
      </c>
      <c r="J3113">
        <v>-422.36040000000003</v>
      </c>
      <c r="K3113">
        <v>1.1070340000000001</v>
      </c>
      <c r="L3113">
        <v>215.18379999999999</v>
      </c>
      <c r="M3113">
        <v>0.99958720000000001</v>
      </c>
      <c r="N3113">
        <v>-4.2624350000000002E-3</v>
      </c>
      <c r="O3113">
        <v>-2.8412429999999999E-2</v>
      </c>
      <c r="P3113">
        <v>0.99772130000000003</v>
      </c>
      <c r="Q3113">
        <v>-6.7286009999999993E-2</v>
      </c>
      <c r="R3113">
        <v>-5.0243409999999999E-3</v>
      </c>
      <c r="S3113">
        <v>2.9851380000000001</v>
      </c>
      <c r="T3113">
        <v>-0.31339050000000002</v>
      </c>
      <c r="U3113">
        <v>-0.10612489999999999</v>
      </c>
      <c r="V3113">
        <v>-2.3433349999999999E-2</v>
      </c>
      <c r="W3113">
        <v>-6.299391E-2</v>
      </c>
      <c r="X3113">
        <v>0.99773880000000004</v>
      </c>
      <c r="Y3113">
        <v>7.2217640000000003E-3</v>
      </c>
      <c r="Z3113">
        <v>2.458914E-3</v>
      </c>
      <c r="AA3113">
        <v>0.9999709</v>
      </c>
      <c r="AB3113">
        <v>38</v>
      </c>
      <c r="AC3113">
        <v>0.38220000000001098</v>
      </c>
      <c r="AD3113">
        <v>-8.1249000000000099E-2</v>
      </c>
      <c r="AE3113">
        <v>-1.6300000000001001E-2</v>
      </c>
      <c r="AF3113">
        <v>5.1995425626076702E-3</v>
      </c>
      <c r="AG3113">
        <v>-8.1249000000000099E-2</v>
      </c>
      <c r="AH3113">
        <v>0.36599889315522099</v>
      </c>
      <c r="AI3113">
        <v>102.515039937305</v>
      </c>
      <c r="AJ3113">
        <v>89.186085503509403</v>
      </c>
      <c r="AK3113">
        <v>0.37494482932120499</v>
      </c>
      <c r="AL3113">
        <v>93.6116764090565</v>
      </c>
      <c r="AM3113">
        <v>91.345427545886906</v>
      </c>
      <c r="AN3113">
        <v>1.00000003380737</v>
      </c>
    </row>
    <row r="3114" spans="1:40" x14ac:dyDescent="0.25">
      <c r="A3114" t="str">
        <f>"20190305135254647"</f>
        <v>20190305135254647</v>
      </c>
      <c r="B3114" t="str">
        <f>"1551765174642921"</f>
        <v>1551765174642921</v>
      </c>
      <c r="C3114" t="s">
        <v>40</v>
      </c>
      <c r="D3114">
        <v>4.8802349999999999</v>
      </c>
      <c r="E3114">
        <v>0.51073049999999998</v>
      </c>
      <c r="F3114" t="s">
        <v>41</v>
      </c>
      <c r="G3114">
        <v>-421.63380000000001</v>
      </c>
      <c r="H3114">
        <v>1.032384</v>
      </c>
      <c r="I3114">
        <v>215.15719999999999</v>
      </c>
      <c r="J3114">
        <v>-421.99610000000001</v>
      </c>
      <c r="K3114">
        <v>1.107154</v>
      </c>
      <c r="L3114">
        <v>215.17320000000001</v>
      </c>
      <c r="M3114">
        <v>0.99957969999999896</v>
      </c>
      <c r="N3114">
        <v>-4.2912580000000001E-3</v>
      </c>
      <c r="O3114">
        <v>-2.866954E-2</v>
      </c>
      <c r="P3114">
        <v>0.9977878</v>
      </c>
      <c r="Q3114">
        <v>-6.625963E-2</v>
      </c>
      <c r="R3114">
        <v>-5.4186679999999997E-3</v>
      </c>
      <c r="S3114">
        <v>2.9856259999999999</v>
      </c>
      <c r="T3114">
        <v>-0.30699920000000003</v>
      </c>
      <c r="U3114">
        <v>-0.10760500000000001</v>
      </c>
      <c r="V3114">
        <v>-2.3278360000000001E-2</v>
      </c>
      <c r="W3114">
        <v>-6.1945260000000002E-2</v>
      </c>
      <c r="X3114">
        <v>0.99780800000000003</v>
      </c>
      <c r="Y3114">
        <v>7.4493149999999998E-3</v>
      </c>
      <c r="Z3114">
        <v>2.417986E-3</v>
      </c>
      <c r="AA3114">
        <v>0.99996929999999995</v>
      </c>
      <c r="AB3114">
        <v>38</v>
      </c>
      <c r="AC3114">
        <v>0.36230000000000401</v>
      </c>
      <c r="AD3114">
        <v>-7.4770000000000197E-2</v>
      </c>
      <c r="AE3114">
        <v>-1.6000000000019499E-2</v>
      </c>
      <c r="AF3114">
        <v>5.3777544264553504E-3</v>
      </c>
      <c r="AG3114">
        <v>-7.4770000000000197E-2</v>
      </c>
      <c r="AH3114">
        <v>0.34782442579004602</v>
      </c>
      <c r="AI3114">
        <v>102.13054432547899</v>
      </c>
      <c r="AJ3114">
        <v>89.114213779350607</v>
      </c>
      <c r="AK3114">
        <v>0.35581077038061498</v>
      </c>
      <c r="AL3114">
        <v>93.551475903219099</v>
      </c>
      <c r="AM3114">
        <v>91.3364393643716</v>
      </c>
      <c r="AN3114">
        <v>0.99999995107237705</v>
      </c>
    </row>
    <row r="3115" spans="1:40" x14ac:dyDescent="0.25">
      <c r="A3115" t="str">
        <f>"20190305135254669"</f>
        <v>20190305135254669</v>
      </c>
      <c r="B3115" t="str">
        <f>"1551765174662441"</f>
        <v>1551765174662441</v>
      </c>
      <c r="C3115" t="s">
        <v>40</v>
      </c>
      <c r="D3115">
        <v>4.856808</v>
      </c>
      <c r="E3115">
        <v>0.51053440000000005</v>
      </c>
      <c r="F3115" t="s">
        <v>41</v>
      </c>
      <c r="G3115">
        <v>-420.96230000000003</v>
      </c>
      <c r="H3115">
        <v>1.0021929999999999</v>
      </c>
      <c r="I3115">
        <v>215.13579999999999</v>
      </c>
      <c r="J3115">
        <v>-421.60950000000003</v>
      </c>
      <c r="K3115">
        <v>1.1072500000000001</v>
      </c>
      <c r="L3115">
        <v>215.16200000000001</v>
      </c>
      <c r="M3115">
        <v>0.99957430000000003</v>
      </c>
      <c r="N3115">
        <v>-4.3216970000000002E-3</v>
      </c>
      <c r="O3115">
        <v>-2.885358E-2</v>
      </c>
      <c r="P3115">
        <v>0.99775700000000001</v>
      </c>
      <c r="Q3115">
        <v>-6.6741250000000002E-2</v>
      </c>
      <c r="R3115">
        <v>-5.1806090000000001E-3</v>
      </c>
      <c r="S3115">
        <v>2.9859309999999999</v>
      </c>
      <c r="T3115">
        <v>-0.30325039999999998</v>
      </c>
      <c r="U3115">
        <v>-0.1072998</v>
      </c>
      <c r="V3115">
        <v>-2.3684009999999998E-2</v>
      </c>
      <c r="W3115">
        <v>-6.240188E-2</v>
      </c>
      <c r="X3115">
        <v>0.99777009999999999</v>
      </c>
      <c r="Y3115">
        <v>7.1592180000000002E-3</v>
      </c>
      <c r="Z3115">
        <v>2.4188360000000002E-3</v>
      </c>
      <c r="AA3115">
        <v>0.99997139999999995</v>
      </c>
      <c r="AB3115">
        <v>38</v>
      </c>
      <c r="AC3115">
        <v>0.647199999999997</v>
      </c>
      <c r="AD3115">
        <v>-0.105056999999999</v>
      </c>
      <c r="AE3115">
        <v>-2.6200000000017099E-2</v>
      </c>
      <c r="AF3115">
        <v>7.3222574913945201E-3</v>
      </c>
      <c r="AG3115">
        <v>-0.105056999999999</v>
      </c>
      <c r="AH3115">
        <v>0.63108491525266797</v>
      </c>
      <c r="AI3115">
        <v>99.450759580244494</v>
      </c>
      <c r="AJ3115">
        <v>89.335246943749596</v>
      </c>
      <c r="AK3115">
        <v>0.63981150268124798</v>
      </c>
      <c r="AL3115">
        <v>93.577688663381196</v>
      </c>
      <c r="AM3115">
        <v>91.359771192249795</v>
      </c>
      <c r="AN3115">
        <v>1.0000000497056101</v>
      </c>
    </row>
    <row r="3116" spans="1:40" x14ac:dyDescent="0.25">
      <c r="A3116" t="str">
        <f>"20190305135254691"</f>
        <v>20190305135254691</v>
      </c>
      <c r="B3116" t="str">
        <f>"1551765174682937"</f>
        <v>1551765174682937</v>
      </c>
      <c r="C3116" t="s">
        <v>40</v>
      </c>
      <c r="D3116">
        <v>4.8853400000000002</v>
      </c>
      <c r="E3116">
        <v>0.51037500000000002</v>
      </c>
      <c r="F3116" t="s">
        <v>41</v>
      </c>
      <c r="G3116">
        <v>-420.61579999999998</v>
      </c>
      <c r="H3116">
        <v>1.006051</v>
      </c>
      <c r="I3116">
        <v>215.1267</v>
      </c>
      <c r="J3116">
        <v>-421.21080000000001</v>
      </c>
      <c r="K3116">
        <v>1.1073280000000001</v>
      </c>
      <c r="L3116">
        <v>215.15039999999999</v>
      </c>
      <c r="M3116">
        <v>0.99957050000000003</v>
      </c>
      <c r="N3116">
        <v>-4.3529379999999998E-3</v>
      </c>
      <c r="O3116">
        <v>-2.8980559999999999E-2</v>
      </c>
      <c r="P3116">
        <v>0.99772260000000002</v>
      </c>
      <c r="Q3116">
        <v>-6.7317119999999994E-2</v>
      </c>
      <c r="R3116">
        <v>-4.2602029999999997E-3</v>
      </c>
      <c r="S3116">
        <v>2.9858699999999998</v>
      </c>
      <c r="T3116">
        <v>-0.30413570000000001</v>
      </c>
      <c r="U3116">
        <v>-0.1051025</v>
      </c>
      <c r="V3116">
        <v>-2.471843E-2</v>
      </c>
      <c r="W3116">
        <v>-6.2950549999999994E-2</v>
      </c>
      <c r="X3116">
        <v>0.99771049999999994</v>
      </c>
      <c r="Y3116">
        <v>6.3037099999999997E-3</v>
      </c>
      <c r="Z3116">
        <v>2.4829980000000001E-3</v>
      </c>
      <c r="AA3116">
        <v>0.99997709999999995</v>
      </c>
      <c r="AB3116">
        <v>38</v>
      </c>
      <c r="AC3116">
        <v>0.59500000000002695</v>
      </c>
      <c r="AD3116">
        <v>-0.10127700000000001</v>
      </c>
      <c r="AE3116">
        <v>-2.3699999999990898E-2</v>
      </c>
      <c r="AF3116">
        <v>6.2652165278263396E-3</v>
      </c>
      <c r="AG3116">
        <v>-0.10127700000000001</v>
      </c>
      <c r="AH3116">
        <v>0.57869711559693404</v>
      </c>
      <c r="AI3116">
        <v>99.926156154212805</v>
      </c>
      <c r="AJ3116">
        <v>89.379716209121298</v>
      </c>
      <c r="AK3116">
        <v>0.58752585923289502</v>
      </c>
      <c r="AL3116">
        <v>93.609187219876901</v>
      </c>
      <c r="AM3116">
        <v>91.419221358146302</v>
      </c>
      <c r="AN3116">
        <v>1.0000000071685999</v>
      </c>
    </row>
    <row r="3117" spans="1:40" x14ac:dyDescent="0.25">
      <c r="A3117" t="str">
        <f>"20190305135254715"</f>
        <v>20190305135254715</v>
      </c>
      <c r="B3117" t="str">
        <f>"1551765174702460"</f>
        <v>1551765174702460</v>
      </c>
      <c r="C3117" t="s">
        <v>40</v>
      </c>
      <c r="D3117">
        <v>4.8757099999999998</v>
      </c>
      <c r="E3117">
        <v>0.51028629999999997</v>
      </c>
      <c r="F3117" t="s">
        <v>41</v>
      </c>
      <c r="G3117">
        <v>-420.26760000000002</v>
      </c>
      <c r="H3117">
        <v>1.010915</v>
      </c>
      <c r="I3117">
        <v>215.11799999999999</v>
      </c>
      <c r="J3117">
        <v>-420.8193</v>
      </c>
      <c r="K3117">
        <v>1.1073949999999999</v>
      </c>
      <c r="L3117">
        <v>215.13890000000001</v>
      </c>
      <c r="M3117">
        <v>0.99956789999999995</v>
      </c>
      <c r="N3117">
        <v>-4.3834620000000003E-3</v>
      </c>
      <c r="O3117">
        <v>-2.906713E-2</v>
      </c>
      <c r="P3117">
        <v>0.99773959999999995</v>
      </c>
      <c r="Q3117">
        <v>-6.7137299999999997E-2</v>
      </c>
      <c r="R3117">
        <v>-2.93086E-3</v>
      </c>
      <c r="S3117">
        <v>2.9858090000000002</v>
      </c>
      <c r="T3117">
        <v>-0.30531979999999997</v>
      </c>
      <c r="U3117">
        <v>-0.1010437</v>
      </c>
      <c r="V3117">
        <v>-2.612362E-2</v>
      </c>
      <c r="W3117">
        <v>-6.2743069999999998E-2</v>
      </c>
      <c r="X3117">
        <v>0.99768780000000001</v>
      </c>
      <c r="Y3117">
        <v>4.869066E-3</v>
      </c>
      <c r="Z3117">
        <v>2.5770430000000002E-3</v>
      </c>
      <c r="AA3117">
        <v>0.99998480000000001</v>
      </c>
      <c r="AB3117">
        <v>39</v>
      </c>
      <c r="AC3117">
        <v>0.55169999999998198</v>
      </c>
      <c r="AD3117">
        <v>-9.6480000000000093E-2</v>
      </c>
      <c r="AE3117">
        <v>-2.09000000000116E-2</v>
      </c>
      <c r="AF3117">
        <v>4.7108191651846296E-3</v>
      </c>
      <c r="AG3117">
        <v>-9.6480000000000093E-2</v>
      </c>
      <c r="AH3117">
        <v>0.53571454282158704</v>
      </c>
      <c r="AI3117">
        <v>100.208910212351</v>
      </c>
      <c r="AJ3117">
        <v>89.496181122717402</v>
      </c>
      <c r="AK3117">
        <v>0.54435342711123702</v>
      </c>
      <c r="AL3117">
        <v>93.597275822240704</v>
      </c>
      <c r="AM3117">
        <v>91.499899311690697</v>
      </c>
      <c r="AN3117">
        <v>1.0000000413118799</v>
      </c>
    </row>
    <row r="3118" spans="1:40" x14ac:dyDescent="0.25">
      <c r="A3118" t="str">
        <f>"20190305135254736"</f>
        <v>20190305135254736</v>
      </c>
      <c r="B3118" t="str">
        <f>"1551765174732712"</f>
        <v>1551765174732712</v>
      </c>
      <c r="C3118" t="s">
        <v>40</v>
      </c>
      <c r="D3118">
        <v>4.8345129999999896</v>
      </c>
      <c r="E3118">
        <v>0.51020029999999905</v>
      </c>
      <c r="F3118" t="s">
        <v>41</v>
      </c>
      <c r="G3118">
        <v>-419.91829999999999</v>
      </c>
      <c r="H3118">
        <v>1.015609</v>
      </c>
      <c r="I3118">
        <v>215.10980000000001</v>
      </c>
      <c r="J3118">
        <v>-420.43540000000002</v>
      </c>
      <c r="K3118">
        <v>1.1074440000000001</v>
      </c>
      <c r="L3118">
        <v>215.1277</v>
      </c>
      <c r="M3118">
        <v>0.99956579999999995</v>
      </c>
      <c r="N3118">
        <v>-4.4133469999999998E-3</v>
      </c>
      <c r="O3118">
        <v>-2.913352E-2</v>
      </c>
      <c r="P3118">
        <v>0.99776100000000001</v>
      </c>
      <c r="Q3118">
        <v>-6.6855510000000007E-2</v>
      </c>
      <c r="R3118">
        <v>-1.776449E-3</v>
      </c>
      <c r="S3118">
        <v>2.9860530000000001</v>
      </c>
      <c r="T3118">
        <v>-0.30420979999999997</v>
      </c>
      <c r="U3118">
        <v>-9.6343990000000004E-2</v>
      </c>
      <c r="V3118">
        <v>-2.7336300000000001E-2</v>
      </c>
      <c r="W3118">
        <v>-6.2433860000000001E-2</v>
      </c>
      <c r="X3118">
        <v>0.99767459999999997</v>
      </c>
      <c r="Y3118">
        <v>3.2358819999999998E-3</v>
      </c>
      <c r="Z3118">
        <v>2.6591660000000001E-3</v>
      </c>
      <c r="AA3118">
        <v>0.99999119999999997</v>
      </c>
      <c r="AB3118">
        <v>39</v>
      </c>
      <c r="AC3118">
        <v>0.51710000000002698</v>
      </c>
      <c r="AD3118">
        <v>-9.1835000000000097E-2</v>
      </c>
      <c r="AE3118">
        <v>-1.78999999999973E-2</v>
      </c>
      <c r="AF3118">
        <v>2.7409644391178998E-3</v>
      </c>
      <c r="AG3118">
        <v>-9.1835000000000097E-2</v>
      </c>
      <c r="AH3118">
        <v>0.50160025221543902</v>
      </c>
      <c r="AI3118">
        <v>100.374886616808</v>
      </c>
      <c r="AJ3118">
        <v>89.686913771758</v>
      </c>
      <c r="AK3118">
        <v>0.50994508835133301</v>
      </c>
      <c r="AL3118">
        <v>93.579524977455705</v>
      </c>
      <c r="AM3118">
        <v>91.569512577621595</v>
      </c>
      <c r="AN3118">
        <v>0.99999993382867203</v>
      </c>
    </row>
    <row r="3119" spans="1:40" x14ac:dyDescent="0.25">
      <c r="A3119" t="str">
        <f>"20190305135254757"</f>
        <v>20190305135254757</v>
      </c>
      <c r="B3119" t="str">
        <f>"1551765174753208"</f>
        <v>1551765174753208</v>
      </c>
      <c r="C3119" t="s">
        <v>40</v>
      </c>
      <c r="D3119">
        <v>4.7832949999999999</v>
      </c>
      <c r="E3119">
        <v>0.51013359999999996</v>
      </c>
      <c r="F3119" t="s">
        <v>41</v>
      </c>
      <c r="G3119">
        <v>-419.56819999999999</v>
      </c>
      <c r="H3119">
        <v>1.0196069999999999</v>
      </c>
      <c r="I3119">
        <v>215.10059999999999</v>
      </c>
      <c r="J3119">
        <v>-420.07900000000001</v>
      </c>
      <c r="K3119">
        <v>1.1074790000000001</v>
      </c>
      <c r="L3119">
        <v>215.1172</v>
      </c>
      <c r="M3119">
        <v>0.99956400000000001</v>
      </c>
      <c r="N3119">
        <v>-4.4410959999999899E-3</v>
      </c>
      <c r="O3119">
        <v>-2.9190580000000001E-2</v>
      </c>
      <c r="P3119">
        <v>0.99773599999999996</v>
      </c>
      <c r="Q3119">
        <v>-6.7249310000000007E-2</v>
      </c>
      <c r="R3119">
        <v>-4.8054640000000002E-4</v>
      </c>
      <c r="S3119">
        <v>2.9862980000000001</v>
      </c>
      <c r="T3119">
        <v>-0.30258550000000001</v>
      </c>
      <c r="U3119">
        <v>-9.2102050000000005E-2</v>
      </c>
      <c r="V3119">
        <v>-2.8682880000000001E-2</v>
      </c>
      <c r="W3119">
        <v>-6.2801899999999994E-2</v>
      </c>
      <c r="X3119">
        <v>0.9976138</v>
      </c>
      <c r="Y3119">
        <v>1.7637919999999999E-3</v>
      </c>
      <c r="Z3119">
        <v>2.726474E-3</v>
      </c>
      <c r="AA3119">
        <v>0.99999479999999996</v>
      </c>
      <c r="AB3119">
        <v>39</v>
      </c>
      <c r="AC3119">
        <v>0.51080000000001702</v>
      </c>
      <c r="AD3119">
        <v>-8.7872000000000103E-2</v>
      </c>
      <c r="AE3119">
        <v>-1.6600000000010998E-2</v>
      </c>
      <c r="AF3119">
        <v>1.63392777082665E-3</v>
      </c>
      <c r="AG3119">
        <v>-8.7872000000000103E-2</v>
      </c>
      <c r="AH3119">
        <v>0.49639230781523402</v>
      </c>
      <c r="AI3119">
        <v>100.03852283929</v>
      </c>
      <c r="AJ3119">
        <v>89.811405564263893</v>
      </c>
      <c r="AK3119">
        <v>0.504112568145344</v>
      </c>
      <c r="AL3119">
        <v>93.600653197820094</v>
      </c>
      <c r="AM3119">
        <v>91.646885150130203</v>
      </c>
      <c r="AN3119">
        <v>1.0000000400995701</v>
      </c>
    </row>
    <row r="3120" spans="1:40" x14ac:dyDescent="0.25">
      <c r="A3120" t="str">
        <f>"20190305135254780"</f>
        <v>20190305135254780</v>
      </c>
      <c r="B3120" t="str">
        <f>"1551765174772729"</f>
        <v>1551765174772729</v>
      </c>
      <c r="C3120" t="s">
        <v>40</v>
      </c>
      <c r="D3120">
        <v>4.7766000000000002</v>
      </c>
      <c r="E3120">
        <v>0.51009659999999901</v>
      </c>
      <c r="F3120" t="s">
        <v>41</v>
      </c>
      <c r="G3120">
        <v>-419.21879999999999</v>
      </c>
      <c r="H3120">
        <v>1.020038</v>
      </c>
      <c r="I3120">
        <v>215.09180000000001</v>
      </c>
      <c r="J3120">
        <v>-419.666</v>
      </c>
      <c r="K3120">
        <v>1.1075120000000001</v>
      </c>
      <c r="L3120">
        <v>215.10499999999999</v>
      </c>
      <c r="M3120">
        <v>0.99956210000000001</v>
      </c>
      <c r="N3120">
        <v>-4.4732060000000004E-3</v>
      </c>
      <c r="O3120">
        <v>-2.925792E-2</v>
      </c>
      <c r="P3120">
        <v>0.99768670000000004</v>
      </c>
      <c r="Q3120">
        <v>-6.7981659999999999E-2</v>
      </c>
      <c r="R3120">
        <v>5.4339920000000003E-4</v>
      </c>
      <c r="S3120">
        <v>2.9862669999999998</v>
      </c>
      <c r="T3120">
        <v>-0.30355270000000001</v>
      </c>
      <c r="U3120">
        <v>-8.7615970000000001E-2</v>
      </c>
      <c r="V3120">
        <v>-2.9767080000000001E-2</v>
      </c>
      <c r="W3120">
        <v>-6.3504389999999994E-2</v>
      </c>
      <c r="X3120">
        <v>0.99753760000000002</v>
      </c>
      <c r="Y3120">
        <v>2.05334E-4</v>
      </c>
      <c r="Z3120">
        <v>2.82372E-3</v>
      </c>
      <c r="AA3120">
        <v>0.999996</v>
      </c>
      <c r="AB3120">
        <v>39</v>
      </c>
      <c r="AC3120">
        <v>0.44720000000000898</v>
      </c>
      <c r="AD3120">
        <v>-8.7473999999999996E-2</v>
      </c>
      <c r="AE3120">
        <v>-1.31999999999834E-2</v>
      </c>
      <c r="AF3120">
        <v>1.06025867421829E-4</v>
      </c>
      <c r="AG3120">
        <v>-8.7473999999999996E-2</v>
      </c>
      <c r="AH3120">
        <v>0.43092168715871698</v>
      </c>
      <c r="AI3120">
        <v>101.474716483802</v>
      </c>
      <c r="AJ3120">
        <v>89.985902694663693</v>
      </c>
      <c r="AK3120">
        <v>0.43971037329269402</v>
      </c>
      <c r="AL3120">
        <v>93.640983287170101</v>
      </c>
      <c r="AM3120">
        <v>91.709230898630196</v>
      </c>
      <c r="AN3120">
        <v>1.0000000750073701</v>
      </c>
    </row>
    <row r="3121" spans="1:40" x14ac:dyDescent="0.25">
      <c r="A3121" t="str">
        <f>"20190305135254802"</f>
        <v>20190305135254802</v>
      </c>
      <c r="B3121" t="str">
        <f>"1551765174793225"</f>
        <v>1551765174793225</v>
      </c>
      <c r="C3121" t="s">
        <v>40</v>
      </c>
      <c r="D3121">
        <v>4.7374229999999997</v>
      </c>
      <c r="E3121">
        <v>0.51004609999999995</v>
      </c>
      <c r="F3121" t="s">
        <v>41</v>
      </c>
      <c r="G3121">
        <v>-418.8657</v>
      </c>
      <c r="H3121">
        <v>1.025676</v>
      </c>
      <c r="I3121">
        <v>215.0821</v>
      </c>
      <c r="J3121">
        <v>-419.27229999999997</v>
      </c>
      <c r="K3121">
        <v>1.107537</v>
      </c>
      <c r="L3121">
        <v>215.0934</v>
      </c>
      <c r="M3121">
        <v>0.9995598</v>
      </c>
      <c r="N3121">
        <v>-4.5037810000000001E-3</v>
      </c>
      <c r="O3121">
        <v>-2.9325299999999999E-2</v>
      </c>
      <c r="P3121">
        <v>0.99764390000000003</v>
      </c>
      <c r="Q3121">
        <v>-6.8596039999999997E-2</v>
      </c>
      <c r="R3121">
        <v>1.2173900000000001E-3</v>
      </c>
      <c r="S3121">
        <v>2.9862060000000001</v>
      </c>
      <c r="T3121">
        <v>-0.30552049999999997</v>
      </c>
      <c r="U3121">
        <v>-8.4259029999999999E-2</v>
      </c>
      <c r="V3121">
        <v>-3.050274E-2</v>
      </c>
      <c r="W3121">
        <v>-6.4090170000000002E-2</v>
      </c>
      <c r="X3121">
        <v>0.99747779999999997</v>
      </c>
      <c r="Y3121">
        <v>-9.7616900000000004E-4</v>
      </c>
      <c r="Z3121">
        <v>2.91151E-3</v>
      </c>
      <c r="AA3121">
        <v>0.99999530000000003</v>
      </c>
      <c r="AB3121">
        <v>39</v>
      </c>
      <c r="AC3121">
        <v>0.40659999999996899</v>
      </c>
      <c r="AD3121">
        <v>-8.1860999999999906E-2</v>
      </c>
      <c r="AE3121">
        <v>-1.1300000000005601E-2</v>
      </c>
      <c r="AF3121">
        <v>-6.0417680431803795E-4</v>
      </c>
      <c r="AG3121">
        <v>-8.1860999999999906E-2</v>
      </c>
      <c r="AH3121">
        <v>0.39092306366322199</v>
      </c>
      <c r="AI3121">
        <v>101.82707613273701</v>
      </c>
      <c r="AJ3121">
        <v>90.088551320254098</v>
      </c>
      <c r="AK3121">
        <v>0.39940259144683898</v>
      </c>
      <c r="AL3121">
        <v>93.674614925245393</v>
      </c>
      <c r="AM3121">
        <v>91.751551566561801</v>
      </c>
      <c r="AN3121">
        <v>0.99999996426548698</v>
      </c>
    </row>
    <row r="3122" spans="1:40" x14ac:dyDescent="0.25">
      <c r="A3122" t="str">
        <f>"20190305135254824"</f>
        <v>20190305135254824</v>
      </c>
      <c r="B3122" t="str">
        <f>"1551765174812748"</f>
        <v>1551765174812748</v>
      </c>
      <c r="C3122" t="s">
        <v>40</v>
      </c>
      <c r="D3122">
        <v>4.7881650000000002</v>
      </c>
      <c r="E3122">
        <v>0.5100481</v>
      </c>
      <c r="F3122" t="s">
        <v>41</v>
      </c>
      <c r="G3122">
        <v>-418.51240000000001</v>
      </c>
      <c r="H3122">
        <v>1.029393</v>
      </c>
      <c r="I3122">
        <v>215.07239999999999</v>
      </c>
      <c r="J3122">
        <v>-418.8965</v>
      </c>
      <c r="K3122">
        <v>1.107559</v>
      </c>
      <c r="L3122">
        <v>215.0823</v>
      </c>
      <c r="M3122">
        <v>0.99955769999999999</v>
      </c>
      <c r="N3122">
        <v>-4.5331440000000002E-3</v>
      </c>
      <c r="O3122">
        <v>-2.939224E-2</v>
      </c>
      <c r="P3122">
        <v>0.99764059999999999</v>
      </c>
      <c r="Q3122">
        <v>-6.8618429999999994E-2</v>
      </c>
      <c r="R3122">
        <v>2.2176650000000002E-3</v>
      </c>
      <c r="S3122">
        <v>2.986084</v>
      </c>
      <c r="T3122">
        <v>-0.30709930000000002</v>
      </c>
      <c r="U3122">
        <v>-8.1710820000000003E-2</v>
      </c>
      <c r="V3122">
        <v>-3.156672E-2</v>
      </c>
      <c r="W3122">
        <v>-6.4084539999999995E-2</v>
      </c>
      <c r="X3122">
        <v>0.99744509999999997</v>
      </c>
      <c r="Y3122">
        <v>-1.887852E-3</v>
      </c>
      <c r="Z3122">
        <v>2.981849E-3</v>
      </c>
      <c r="AA3122">
        <v>0.99999380000000004</v>
      </c>
      <c r="AB3122">
        <v>39</v>
      </c>
      <c r="AC3122">
        <v>0.38409999999998901</v>
      </c>
      <c r="AD3122">
        <v>-7.8165999999999902E-2</v>
      </c>
      <c r="AE3122">
        <v>-9.9000000000160002E-3</v>
      </c>
      <c r="AF3122">
        <v>-1.33855435693492E-3</v>
      </c>
      <c r="AG3122">
        <v>-7.8165999999999902E-2</v>
      </c>
      <c r="AH3122">
        <v>0.36895526553118602</v>
      </c>
      <c r="AI3122">
        <v>101.961605107998</v>
      </c>
      <c r="AJ3122">
        <v>90.207865792920302</v>
      </c>
      <c r="AK3122">
        <v>0.37714679270405299</v>
      </c>
      <c r="AL3122">
        <v>93.674291529023705</v>
      </c>
      <c r="AM3122">
        <v>91.812667550082693</v>
      </c>
      <c r="AN3122">
        <v>1.00000000679629</v>
      </c>
    </row>
    <row r="3123" spans="1:40" x14ac:dyDescent="0.25">
      <c r="A3123" t="str">
        <f>"20190305135254846"</f>
        <v>20190305135254846</v>
      </c>
      <c r="B3123" t="str">
        <f>"1551765174843000"</f>
        <v>1551765174843000</v>
      </c>
      <c r="C3123" t="s">
        <v>40</v>
      </c>
      <c r="D3123">
        <v>4.751881</v>
      </c>
      <c r="E3123">
        <v>0.51011870000000004</v>
      </c>
      <c r="F3123" t="s">
        <v>41</v>
      </c>
      <c r="G3123">
        <v>-418.15870000000001</v>
      </c>
      <c r="H3123">
        <v>1.03179</v>
      </c>
      <c r="I3123">
        <v>215.0626</v>
      </c>
      <c r="J3123">
        <v>-418.51479999999998</v>
      </c>
      <c r="K3123">
        <v>1.1075790000000001</v>
      </c>
      <c r="L3123">
        <v>215.071</v>
      </c>
      <c r="M3123">
        <v>0.99955550000000004</v>
      </c>
      <c r="N3123">
        <v>-4.5627630000000001E-3</v>
      </c>
      <c r="O3123">
        <v>-2.9462539999999999E-2</v>
      </c>
      <c r="P3123">
        <v>0.99768049999999997</v>
      </c>
      <c r="Q3123">
        <v>-6.8003569999999999E-2</v>
      </c>
      <c r="R3123">
        <v>3.0451699999999998E-3</v>
      </c>
      <c r="S3123">
        <v>2.9861759999999999</v>
      </c>
      <c r="T3123">
        <v>-0.30676540000000002</v>
      </c>
      <c r="U3123">
        <v>-7.8521729999999998E-2</v>
      </c>
      <c r="V3123">
        <v>-3.2461730000000001E-2</v>
      </c>
      <c r="W3123">
        <v>-6.3441109999999995E-2</v>
      </c>
      <c r="X3123">
        <v>0.9974575</v>
      </c>
      <c r="Y3123">
        <v>-3.020071E-3</v>
      </c>
      <c r="Z3123">
        <v>3.045065E-3</v>
      </c>
      <c r="AA3123">
        <v>0.99999079999999996</v>
      </c>
      <c r="AB3123">
        <v>39</v>
      </c>
      <c r="AC3123">
        <v>0.356099999999969</v>
      </c>
      <c r="AD3123">
        <v>-7.5789000000000106E-2</v>
      </c>
      <c r="AE3123">
        <v>-8.3999999999946305E-3</v>
      </c>
      <c r="AF3123">
        <v>-2.00461376919564E-3</v>
      </c>
      <c r="AG3123">
        <v>-7.5789000000000106E-2</v>
      </c>
      <c r="AH3123">
        <v>0.34076584672440302</v>
      </c>
      <c r="AI3123">
        <v>102.538732510586</v>
      </c>
      <c r="AJ3123">
        <v>90.337048400728804</v>
      </c>
      <c r="AK3123">
        <v>0.34909791361617099</v>
      </c>
      <c r="AL3123">
        <v>93.637350553180397</v>
      </c>
      <c r="AM3123">
        <v>91.864003129277606</v>
      </c>
      <c r="AN3123">
        <v>1.0000000013294299</v>
      </c>
    </row>
    <row r="3124" spans="1:40" x14ac:dyDescent="0.25">
      <c r="A3124" t="str">
        <f>"20190305135254869"</f>
        <v>20190305135254869</v>
      </c>
      <c r="B3124" t="str">
        <f>"1551765174862521"</f>
        <v>1551765174862521</v>
      </c>
      <c r="C3124" t="s">
        <v>40</v>
      </c>
      <c r="D3124">
        <v>4.7376379999999996</v>
      </c>
      <c r="E3124">
        <v>0.51014199999999998</v>
      </c>
      <c r="F3124" t="s">
        <v>41</v>
      </c>
      <c r="G3124">
        <v>-417.4649</v>
      </c>
      <c r="H3124">
        <v>1.0007699999999999</v>
      </c>
      <c r="I3124">
        <v>215.04349999999999</v>
      </c>
      <c r="J3124">
        <v>-418.10180000000003</v>
      </c>
      <c r="K3124">
        <v>1.107593</v>
      </c>
      <c r="L3124">
        <v>215.05879999999999</v>
      </c>
      <c r="M3124">
        <v>0.99955320000000003</v>
      </c>
      <c r="N3124">
        <v>-4.5947799999999997E-3</v>
      </c>
      <c r="O3124">
        <v>-2.953882E-2</v>
      </c>
      <c r="P3124">
        <v>0.99772119999999997</v>
      </c>
      <c r="Q3124">
        <v>-6.7373669999999997E-2</v>
      </c>
      <c r="R3124">
        <v>3.6466160000000001E-3</v>
      </c>
      <c r="S3124">
        <v>2.9865110000000001</v>
      </c>
      <c r="T3124">
        <v>-0.3038768</v>
      </c>
      <c r="U3124">
        <v>-7.6690670000000002E-2</v>
      </c>
      <c r="V3124">
        <v>-3.3137550000000002E-2</v>
      </c>
      <c r="W3124">
        <v>-6.278019E-2</v>
      </c>
      <c r="X3124">
        <v>0.99747710000000001</v>
      </c>
      <c r="Y3124">
        <v>-3.7111309999999999E-3</v>
      </c>
      <c r="Z3124">
        <v>3.0581670000000001E-3</v>
      </c>
      <c r="AA3124">
        <v>0.9999884</v>
      </c>
      <c r="AB3124">
        <v>40</v>
      </c>
      <c r="AC3124">
        <v>0.636900000000025</v>
      </c>
      <c r="AD3124">
        <v>-0.106822999999999</v>
      </c>
      <c r="AE3124">
        <v>-1.5299999999996299E-2</v>
      </c>
      <c r="AF3124">
        <v>-3.4238850369521798E-3</v>
      </c>
      <c r="AG3124">
        <v>-0.106822999999999</v>
      </c>
      <c r="AH3124">
        <v>0.61965255379521</v>
      </c>
      <c r="AI3124">
        <v>99.781035147990707</v>
      </c>
      <c r="AJ3124">
        <v>90.316584131739802</v>
      </c>
      <c r="AK3124">
        <v>0.62880216582218595</v>
      </c>
      <c r="AL3124">
        <v>93.599406965460403</v>
      </c>
      <c r="AM3124">
        <v>91.902744169458799</v>
      </c>
      <c r="AN3124">
        <v>1.00000000725042</v>
      </c>
    </row>
    <row r="3125" spans="1:40" x14ac:dyDescent="0.25">
      <c r="A3125" t="str">
        <f>"20190305135254891"</f>
        <v>20190305135254891</v>
      </c>
      <c r="B3125" t="str">
        <f>"1551765174883016"</f>
        <v>1551765174883016</v>
      </c>
      <c r="C3125" t="s">
        <v>40</v>
      </c>
      <c r="D3125">
        <v>4.7318300000000004</v>
      </c>
      <c r="E3125">
        <v>0.51018279999999905</v>
      </c>
      <c r="F3125" t="s">
        <v>41</v>
      </c>
      <c r="G3125">
        <v>-417.10579999999999</v>
      </c>
      <c r="H3125">
        <v>1.0071049999999999</v>
      </c>
      <c r="I3125">
        <v>215.0333</v>
      </c>
      <c r="J3125">
        <v>-417.69659999999999</v>
      </c>
      <c r="K3125">
        <v>1.107593</v>
      </c>
      <c r="L3125">
        <v>215.04669999999999</v>
      </c>
      <c r="M3125">
        <v>0.99955079999999996</v>
      </c>
      <c r="N3125">
        <v>-4.6261979999999998E-3</v>
      </c>
      <c r="O3125">
        <v>-2.9611660000000001E-2</v>
      </c>
      <c r="P3125">
        <v>0.99769779999999997</v>
      </c>
      <c r="Q3125">
        <v>-6.7689589999999994E-2</v>
      </c>
      <c r="R3125">
        <v>4.1978809999999997E-3</v>
      </c>
      <c r="S3125">
        <v>2.9867249999999999</v>
      </c>
      <c r="T3125">
        <v>-0.30148269999999999</v>
      </c>
      <c r="U3125">
        <v>-7.4890139999999994E-2</v>
      </c>
      <c r="V3125">
        <v>-3.375906E-2</v>
      </c>
      <c r="W3125">
        <v>-6.3065750000000004E-2</v>
      </c>
      <c r="X3125">
        <v>0.9974383</v>
      </c>
      <c r="Y3125">
        <v>-4.3870549999999999E-3</v>
      </c>
      <c r="Z3125">
        <v>3.0747159999999999E-3</v>
      </c>
      <c r="AA3125">
        <v>0.99998560000000003</v>
      </c>
      <c r="AB3125">
        <v>40</v>
      </c>
      <c r="AC3125">
        <v>0.59080000000000099</v>
      </c>
      <c r="AD3125">
        <v>-0.10048799999999999</v>
      </c>
      <c r="AE3125">
        <v>-1.339999999999E-2</v>
      </c>
      <c r="AF3125">
        <v>-3.9853938811092197E-3</v>
      </c>
      <c r="AG3125">
        <v>-0.10048799999999999</v>
      </c>
      <c r="AH3125">
        <v>0.57433090486563998</v>
      </c>
      <c r="AI3125">
        <v>99.924084254936204</v>
      </c>
      <c r="AJ3125">
        <v>90.3975801791522</v>
      </c>
      <c r="AK3125">
        <v>0.583069215267083</v>
      </c>
      <c r="AL3125">
        <v>93.615800633995903</v>
      </c>
      <c r="AM3125">
        <v>91.938479383450598</v>
      </c>
      <c r="AN3125">
        <v>1.0000000626310099</v>
      </c>
    </row>
    <row r="3126" spans="1:40" x14ac:dyDescent="0.25">
      <c r="A3126" t="str">
        <f>"20190305135254916"</f>
        <v>20190305135254916</v>
      </c>
      <c r="B3126" t="str">
        <f>"1551765174913273"</f>
        <v>1551765174913273</v>
      </c>
      <c r="C3126" t="s">
        <v>40</v>
      </c>
      <c r="D3126">
        <v>4.7256539999999996</v>
      </c>
      <c r="E3126">
        <v>0.51507970000000003</v>
      </c>
      <c r="F3126" t="s">
        <v>41</v>
      </c>
      <c r="G3126">
        <v>-416.7466</v>
      </c>
      <c r="H3126">
        <v>1.011754</v>
      </c>
      <c r="I3126">
        <v>215.02279999999999</v>
      </c>
      <c r="J3126">
        <v>-417.2801</v>
      </c>
      <c r="K3126">
        <v>1.1075969999999999</v>
      </c>
      <c r="L3126">
        <v>215.0343</v>
      </c>
      <c r="M3126">
        <v>0.99954869999999996</v>
      </c>
      <c r="N3126">
        <v>-4.6585150000000002E-3</v>
      </c>
      <c r="O3126">
        <v>-2.968092E-2</v>
      </c>
      <c r="P3126">
        <v>0.99765340000000002</v>
      </c>
      <c r="Q3126">
        <v>-6.829855E-2</v>
      </c>
      <c r="R3126">
        <v>4.845518E-3</v>
      </c>
      <c r="S3126">
        <v>2.9867859999999999</v>
      </c>
      <c r="T3126">
        <v>-0.3014944</v>
      </c>
      <c r="U3126">
        <v>-7.3654170000000005E-2</v>
      </c>
      <c r="V3126">
        <v>-3.4472160000000002E-2</v>
      </c>
      <c r="W3126">
        <v>-6.3643530000000004E-2</v>
      </c>
      <c r="X3126">
        <v>0.99737719999999996</v>
      </c>
      <c r="Y3126">
        <v>-4.8676149999999996E-3</v>
      </c>
      <c r="Z3126">
        <v>3.1058700000000002E-3</v>
      </c>
      <c r="AA3126">
        <v>0.99998330000000002</v>
      </c>
      <c r="AB3126">
        <v>40</v>
      </c>
      <c r="AC3126">
        <v>0.53350000000000297</v>
      </c>
      <c r="AD3126">
        <v>-9.58429999999999E-2</v>
      </c>
      <c r="AE3126">
        <v>-1.15000000000122E-2</v>
      </c>
      <c r="AF3126">
        <v>-4.2043784667006199E-3</v>
      </c>
      <c r="AG3126">
        <v>-9.58429999999999E-2</v>
      </c>
      <c r="AH3126">
        <v>0.51693064332113503</v>
      </c>
      <c r="AI3126">
        <v>100.503471687833</v>
      </c>
      <c r="AJ3126">
        <v>90.465996421636902</v>
      </c>
      <c r="AK3126">
        <v>0.52575740361091805</v>
      </c>
      <c r="AL3126">
        <v>93.648971657732403</v>
      </c>
      <c r="AM3126">
        <v>91.979515233919898</v>
      </c>
      <c r="AN3126">
        <v>1.0000000539028799</v>
      </c>
    </row>
    <row r="3127" spans="1:40" x14ac:dyDescent="0.25">
      <c r="A3127" t="str">
        <f>"20190305135254936"</f>
        <v>20190305135254936</v>
      </c>
      <c r="B3127" t="str">
        <f>"1551765174932794"</f>
        <v>1551765174932794</v>
      </c>
      <c r="C3127" t="s">
        <v>40</v>
      </c>
      <c r="D3127">
        <v>4.7610780000000004</v>
      </c>
      <c r="E3127">
        <v>0.51505730000000005</v>
      </c>
      <c r="F3127" t="s">
        <v>41</v>
      </c>
      <c r="G3127">
        <v>-416.37819999999999</v>
      </c>
      <c r="H3127">
        <v>1.0344869999999999</v>
      </c>
      <c r="I3127">
        <v>215.0016</v>
      </c>
      <c r="J3127">
        <v>-416.90289999999999</v>
      </c>
      <c r="K3127">
        <v>1.107605</v>
      </c>
      <c r="L3127">
        <v>215.0231</v>
      </c>
      <c r="M3127">
        <v>0.99954699999999996</v>
      </c>
      <c r="N3127">
        <v>-4.6877159999999998E-3</v>
      </c>
      <c r="O3127">
        <v>-2.9734449999999999E-2</v>
      </c>
      <c r="P3127">
        <v>0.99764379999999997</v>
      </c>
      <c r="Q3127">
        <v>-6.8413210000000002E-2</v>
      </c>
      <c r="R3127">
        <v>5.2211150000000001E-3</v>
      </c>
      <c r="S3127">
        <v>2.9909970000000001</v>
      </c>
      <c r="T3127">
        <v>-0.24251130000000001</v>
      </c>
      <c r="U3127">
        <v>-0.1077728</v>
      </c>
      <c r="V3127">
        <v>-3.4899050000000001E-2</v>
      </c>
      <c r="W3127">
        <v>-6.3730010000000004E-2</v>
      </c>
      <c r="X3127">
        <v>0.99735680000000004</v>
      </c>
      <c r="Y3127">
        <v>6.3420949999999999E-3</v>
      </c>
      <c r="Z3127">
        <v>1.994904E-3</v>
      </c>
      <c r="AA3127">
        <v>0.99997789999999998</v>
      </c>
      <c r="AB3127">
        <v>40</v>
      </c>
      <c r="AC3127">
        <v>0.52469999999999495</v>
      </c>
      <c r="AD3127">
        <v>-7.3117999999999794E-2</v>
      </c>
      <c r="AE3127">
        <v>-2.15000000000031E-2</v>
      </c>
      <c r="AF3127">
        <v>5.7766693398117299E-3</v>
      </c>
      <c r="AG3127">
        <v>-7.3117999999999794E-2</v>
      </c>
      <c r="AH3127">
        <v>0.51512093052380004</v>
      </c>
      <c r="AI3127">
        <v>98.078286256204095</v>
      </c>
      <c r="AJ3127">
        <v>89.357500579363801</v>
      </c>
      <c r="AK3127">
        <v>0.52031642766336705</v>
      </c>
      <c r="AL3127">
        <v>93.653936791826396</v>
      </c>
      <c r="AM3127">
        <v>92.004049881986006</v>
      </c>
      <c r="AN3127">
        <v>1.00000002218587</v>
      </c>
    </row>
    <row r="3128" spans="1:40" x14ac:dyDescent="0.25">
      <c r="A3128" t="str">
        <f>"20190305135254959"</f>
        <v>20190305135254959</v>
      </c>
      <c r="B3128" t="str">
        <f>"1551765174953289"</f>
        <v>1551765174953289</v>
      </c>
      <c r="C3128" t="s">
        <v>40</v>
      </c>
      <c r="D3128">
        <v>4.7012199999999904</v>
      </c>
      <c r="E3128">
        <v>0.51531590000000005</v>
      </c>
      <c r="F3128" t="s">
        <v>41</v>
      </c>
      <c r="G3128">
        <v>-416.0188</v>
      </c>
      <c r="H3128">
        <v>1.034721</v>
      </c>
      <c r="I3128">
        <v>214.99119999999999</v>
      </c>
      <c r="J3128">
        <v>-416.50850000000003</v>
      </c>
      <c r="K3128">
        <v>1.107618</v>
      </c>
      <c r="L3128">
        <v>215.01130000000001</v>
      </c>
      <c r="M3128">
        <v>0.99954549999999998</v>
      </c>
      <c r="N3128">
        <v>-4.7182550000000002E-3</v>
      </c>
      <c r="O3128">
        <v>-2.9779880000000002E-2</v>
      </c>
      <c r="P3128">
        <v>0.99764730000000001</v>
      </c>
      <c r="Q3128">
        <v>-6.8322999999999995E-2</v>
      </c>
      <c r="R3128">
        <v>5.6622740000000001E-3</v>
      </c>
      <c r="S3128">
        <v>2.9907530000000002</v>
      </c>
      <c r="T3128">
        <v>-0.2466662</v>
      </c>
      <c r="U3128">
        <v>-0.10668950000000001</v>
      </c>
      <c r="V3128">
        <v>-3.5383919999999999E-2</v>
      </c>
      <c r="W3128">
        <v>-6.3610269999999997E-2</v>
      </c>
      <c r="X3128">
        <v>0.9973474</v>
      </c>
      <c r="Y3128">
        <v>5.9417559999999899E-3</v>
      </c>
      <c r="Z3128">
        <v>2.0517410000000002E-3</v>
      </c>
      <c r="AA3128">
        <v>0.99998030000000004</v>
      </c>
      <c r="AB3128">
        <v>40</v>
      </c>
      <c r="AC3128">
        <v>0.489700000000027</v>
      </c>
      <c r="AD3128">
        <v>-7.2896999999999906E-2</v>
      </c>
      <c r="AE3128">
        <v>-2.0100000000013499E-2</v>
      </c>
      <c r="AF3128">
        <v>5.3885120984447999E-3</v>
      </c>
      <c r="AG3128">
        <v>-7.2896999999999906E-2</v>
      </c>
      <c r="AH3128">
        <v>0.47947436486731598</v>
      </c>
      <c r="AI3128">
        <v>98.644238436664494</v>
      </c>
      <c r="AJ3128">
        <v>89.356115724462001</v>
      </c>
      <c r="AK3128">
        <v>0.48501409797711198</v>
      </c>
      <c r="AL3128">
        <v>93.647062100501898</v>
      </c>
      <c r="AM3128">
        <v>92.031889107697097</v>
      </c>
      <c r="AN3128">
        <v>1.00000006226539</v>
      </c>
    </row>
    <row r="3129" spans="1:40" x14ac:dyDescent="0.25">
      <c r="A3129" t="str">
        <f>"20190305135254981"</f>
        <v>20190305135254981</v>
      </c>
      <c r="B3129" t="str">
        <f>"1551765174972809"</f>
        <v>1551765174972809</v>
      </c>
      <c r="C3129" t="s">
        <v>40</v>
      </c>
      <c r="D3129">
        <v>4.7138210000000003</v>
      </c>
      <c r="E3129">
        <v>0.51540750000000002</v>
      </c>
      <c r="F3129" t="s">
        <v>41</v>
      </c>
      <c r="G3129">
        <v>-415.65809999999999</v>
      </c>
      <c r="H3129">
        <v>1.0355460000000001</v>
      </c>
      <c r="I3129">
        <v>214.9804</v>
      </c>
      <c r="J3129">
        <v>-416.09089999999998</v>
      </c>
      <c r="K3129">
        <v>1.1076379999999999</v>
      </c>
      <c r="L3129">
        <v>214.99879999999999</v>
      </c>
      <c r="M3129">
        <v>0.99954430000000005</v>
      </c>
      <c r="N3129">
        <v>-4.7505749999999999E-3</v>
      </c>
      <c r="O3129">
        <v>-2.9816599999999999E-2</v>
      </c>
      <c r="P3129">
        <v>0.99762070000000003</v>
      </c>
      <c r="Q3129">
        <v>-6.8693270000000001E-2</v>
      </c>
      <c r="R3129">
        <v>5.8767539999999997E-3</v>
      </c>
      <c r="S3129">
        <v>2.9903559999999998</v>
      </c>
      <c r="T3129">
        <v>-0.25352930000000001</v>
      </c>
      <c r="U3129">
        <v>-0.10772710000000001</v>
      </c>
      <c r="V3129">
        <v>-3.563235E-2</v>
      </c>
      <c r="W3129">
        <v>-6.3949469999999994E-2</v>
      </c>
      <c r="X3129">
        <v>0.9973168</v>
      </c>
      <c r="Y3129">
        <v>6.2593179999999998E-3</v>
      </c>
      <c r="Z3129">
        <v>2.1008839999999999E-3</v>
      </c>
      <c r="AA3129">
        <v>0.99997820000000004</v>
      </c>
      <c r="AB3129">
        <v>40</v>
      </c>
      <c r="AC3129">
        <v>0.43279999999998597</v>
      </c>
      <c r="AD3129">
        <v>-7.2092000000000003E-2</v>
      </c>
      <c r="AE3129">
        <v>-1.8399999999985501E-2</v>
      </c>
      <c r="AF3129">
        <v>5.3391781300827397E-3</v>
      </c>
      <c r="AG3129">
        <v>-7.2092000000000003E-2</v>
      </c>
      <c r="AH3129">
        <v>0.42148285381164902</v>
      </c>
      <c r="AI3129">
        <v>99.705393096649203</v>
      </c>
      <c r="AJ3129">
        <v>89.274238539809303</v>
      </c>
      <c r="AK3129">
        <v>0.427637181901102</v>
      </c>
      <c r="AL3129">
        <v>93.666536708894995</v>
      </c>
      <c r="AM3129">
        <v>92.046205615406294</v>
      </c>
      <c r="AN3129">
        <v>0.99999999932102102</v>
      </c>
    </row>
    <row r="3130" spans="1:40" x14ac:dyDescent="0.25">
      <c r="A3130" t="str">
        <f>"20190305135255004"</f>
        <v>20190305135255004</v>
      </c>
      <c r="B3130" t="str">
        <f>"1551765174992332"</f>
        <v>1551765174992332</v>
      </c>
      <c r="C3130" t="s">
        <v>40</v>
      </c>
      <c r="D3130">
        <v>4.698645</v>
      </c>
      <c r="E3130">
        <v>0.51553329999999997</v>
      </c>
      <c r="F3130" t="s">
        <v>41</v>
      </c>
      <c r="G3130">
        <v>-415.29500000000002</v>
      </c>
      <c r="H3130">
        <v>1.038789</v>
      </c>
      <c r="I3130">
        <v>214.96969999999999</v>
      </c>
      <c r="J3130">
        <v>-415.6857</v>
      </c>
      <c r="K3130">
        <v>1.10765</v>
      </c>
      <c r="L3130">
        <v>214.98670000000001</v>
      </c>
      <c r="M3130">
        <v>0.99954310000000002</v>
      </c>
      <c r="N3130">
        <v>-4.7820199999999997E-3</v>
      </c>
      <c r="O3130">
        <v>-2.9841639999999999E-2</v>
      </c>
      <c r="P3130">
        <v>0.99763009999999996</v>
      </c>
      <c r="Q3130">
        <v>-6.8549280000000004E-2</v>
      </c>
      <c r="R3130">
        <v>5.9042620000000004E-3</v>
      </c>
      <c r="S3130">
        <v>2.9899290000000001</v>
      </c>
      <c r="T3130">
        <v>-0.25882379999999999</v>
      </c>
      <c r="U3130">
        <v>-0.1083221</v>
      </c>
      <c r="V3130">
        <v>-3.5683159999999998E-2</v>
      </c>
      <c r="W3130">
        <v>-6.3775029999999996E-2</v>
      </c>
      <c r="X3130">
        <v>0.99732609999999999</v>
      </c>
      <c r="Y3130">
        <v>6.4407469999999897E-3</v>
      </c>
      <c r="Z3130">
        <v>2.140912E-3</v>
      </c>
      <c r="AA3130">
        <v>0.999977</v>
      </c>
      <c r="AB3130">
        <v>40</v>
      </c>
      <c r="AC3130">
        <v>0.39069999999998101</v>
      </c>
      <c r="AD3130">
        <v>-6.8861000000000006E-2</v>
      </c>
      <c r="AE3130">
        <v>-1.7000000000024301E-2</v>
      </c>
      <c r="AF3130">
        <v>5.1727809407955197E-3</v>
      </c>
      <c r="AG3130">
        <v>-6.8861000000000006E-2</v>
      </c>
      <c r="AH3130">
        <v>0.37927374506067202</v>
      </c>
      <c r="AI3130">
        <v>100.289598555727</v>
      </c>
      <c r="AJ3130">
        <v>89.218611503063002</v>
      </c>
      <c r="AK3130">
        <v>0.38550897353500002</v>
      </c>
      <c r="AL3130">
        <v>93.656521784516102</v>
      </c>
      <c r="AM3130">
        <v>92.049101827968201</v>
      </c>
      <c r="AN3130">
        <v>0.99999994605014597</v>
      </c>
    </row>
    <row r="3131" spans="1:40" x14ac:dyDescent="0.25">
      <c r="A3131" t="str">
        <f>"20190305135255024"</f>
        <v>20190305135255024</v>
      </c>
      <c r="B3131" t="str">
        <f>"1551765175012824"</f>
        <v>1551765175012824</v>
      </c>
      <c r="C3131" t="s">
        <v>40</v>
      </c>
      <c r="D3131">
        <v>4.6986270000000001</v>
      </c>
      <c r="E3131">
        <v>0.51561400000000002</v>
      </c>
      <c r="F3131" t="s">
        <v>41</v>
      </c>
      <c r="G3131">
        <v>-414.92989999999998</v>
      </c>
      <c r="H3131">
        <v>1.0417299999999901</v>
      </c>
      <c r="I3131">
        <v>214.95920000000001</v>
      </c>
      <c r="J3131">
        <v>-415.30430000000001</v>
      </c>
      <c r="K3131">
        <v>1.1076600000000001</v>
      </c>
      <c r="L3131">
        <v>214.9753</v>
      </c>
      <c r="M3131">
        <v>0.99954279999999995</v>
      </c>
      <c r="N3131">
        <v>-4.8114560000000004E-3</v>
      </c>
      <c r="O3131">
        <v>-2.9857870000000002E-2</v>
      </c>
      <c r="P3131">
        <v>0.99762390000000001</v>
      </c>
      <c r="Q3131">
        <v>-6.8651920000000005E-2</v>
      </c>
      <c r="R3131">
        <v>5.8127589999999998E-3</v>
      </c>
      <c r="S3131">
        <v>2.989868</v>
      </c>
      <c r="T3131">
        <v>-0.26080799999999998</v>
      </c>
      <c r="U3131">
        <v>-0.1092072</v>
      </c>
      <c r="V3131">
        <v>-3.560642E-2</v>
      </c>
      <c r="W3131">
        <v>-6.3849069999999994E-2</v>
      </c>
      <c r="X3131">
        <v>0.99732419999999999</v>
      </c>
      <c r="Y3131">
        <v>6.7209490000000004E-3</v>
      </c>
      <c r="Z3131">
        <v>2.1459970000000002E-3</v>
      </c>
      <c r="AA3131">
        <v>0.99997510000000001</v>
      </c>
      <c r="AB3131">
        <v>40</v>
      </c>
      <c r="AC3131">
        <v>0.37440000000003598</v>
      </c>
      <c r="AD3131">
        <v>-6.5930000000000197E-2</v>
      </c>
      <c r="AE3131">
        <v>-1.60999999999944E-2</v>
      </c>
      <c r="AF3131">
        <v>4.7663782258040499E-3</v>
      </c>
      <c r="AG3131">
        <v>-6.5930000000000197E-2</v>
      </c>
      <c r="AH3131">
        <v>0.36346376994887503</v>
      </c>
      <c r="AI3131">
        <v>100.280431083495</v>
      </c>
      <c r="AJ3131">
        <v>89.248679716111795</v>
      </c>
      <c r="AK3131">
        <v>0.36942576429756502</v>
      </c>
      <c r="AL3131">
        <v>93.660772281912799</v>
      </c>
      <c r="AM3131">
        <v>92.044702677889106</v>
      </c>
      <c r="AN3131">
        <v>1.00000004039535</v>
      </c>
    </row>
    <row r="3132" spans="1:40" x14ac:dyDescent="0.25">
      <c r="A3132" t="str">
        <f>"20190305135255048"</f>
        <v>20190305135255048</v>
      </c>
      <c r="B3132" t="str">
        <f>"1551765175043081"</f>
        <v>1551765175043081</v>
      </c>
      <c r="C3132" t="s">
        <v>40</v>
      </c>
      <c r="D3132">
        <v>4.7201009999999997</v>
      </c>
      <c r="E3132">
        <v>0.51597150000000003</v>
      </c>
      <c r="F3132" t="s">
        <v>41</v>
      </c>
      <c r="G3132">
        <v>-414.56540000000001</v>
      </c>
      <c r="H3132">
        <v>1.042799</v>
      </c>
      <c r="I3132">
        <v>214.9478</v>
      </c>
      <c r="J3132">
        <v>-414.8793</v>
      </c>
      <c r="K3132">
        <v>1.1076760000000001</v>
      </c>
      <c r="L3132">
        <v>214.96260000000001</v>
      </c>
      <c r="M3132">
        <v>0.99954219999999905</v>
      </c>
      <c r="N3132">
        <v>-4.8442069999999997E-3</v>
      </c>
      <c r="O3132">
        <v>-2.986815E-2</v>
      </c>
      <c r="P3132">
        <v>0.99763869999999999</v>
      </c>
      <c r="Q3132">
        <v>-6.8470719999999999E-2</v>
      </c>
      <c r="R3132">
        <v>5.3545989999999998E-3</v>
      </c>
      <c r="S3132">
        <v>2.989716</v>
      </c>
      <c r="T3132">
        <v>-0.26263059999999899</v>
      </c>
      <c r="U3132">
        <v>-0.11026</v>
      </c>
      <c r="V3132">
        <v>-3.515749E-2</v>
      </c>
      <c r="W3132">
        <v>-6.3635860000000002E-2</v>
      </c>
      <c r="X3132">
        <v>0.99735370000000001</v>
      </c>
      <c r="Y3132">
        <v>7.0638849999999998E-3</v>
      </c>
      <c r="Z3132">
        <v>2.146055E-3</v>
      </c>
      <c r="AA3132">
        <v>0.9999728</v>
      </c>
      <c r="AB3132">
        <v>41</v>
      </c>
      <c r="AC3132">
        <v>0.31389999999998902</v>
      </c>
      <c r="AD3132">
        <v>-6.4877000000000004E-2</v>
      </c>
      <c r="AE3132">
        <v>-1.48000000000081E-2</v>
      </c>
      <c r="AF3132">
        <v>5.1962024529977197E-3</v>
      </c>
      <c r="AG3132">
        <v>-6.4877000000000004E-2</v>
      </c>
      <c r="AH3132">
        <v>0.30135752231428697</v>
      </c>
      <c r="AI3132">
        <v>102.147598018529</v>
      </c>
      <c r="AJ3132">
        <v>89.012166784367196</v>
      </c>
      <c r="AK3132">
        <v>0.308305663107797</v>
      </c>
      <c r="AL3132">
        <v>93.648531549685998</v>
      </c>
      <c r="AM3132">
        <v>92.018884625263595</v>
      </c>
      <c r="AN3132">
        <v>0.99999998734236395</v>
      </c>
    </row>
    <row r="3133" spans="1:40" x14ac:dyDescent="0.25">
      <c r="A3133" t="str">
        <f>"20190305135255070"</f>
        <v>20190305135255070</v>
      </c>
      <c r="B3133" t="str">
        <f>"1551765175062601"</f>
        <v>1551765175062601</v>
      </c>
      <c r="C3133" t="s">
        <v>40</v>
      </c>
      <c r="D3133">
        <v>4.7436600000000002</v>
      </c>
      <c r="E3133">
        <v>0.51617780000000002</v>
      </c>
      <c r="F3133" t="s">
        <v>41</v>
      </c>
      <c r="G3133">
        <v>-413.8492</v>
      </c>
      <c r="H3133">
        <v>1.0171749999999999</v>
      </c>
      <c r="I3133">
        <v>214.9229</v>
      </c>
      <c r="J3133">
        <v>-414.46789999999999</v>
      </c>
      <c r="K3133">
        <v>1.1076839999999999</v>
      </c>
      <c r="L3133">
        <v>214.9503</v>
      </c>
      <c r="M3133">
        <v>0.99954189999999998</v>
      </c>
      <c r="N3133">
        <v>-4.8758509999999996E-3</v>
      </c>
      <c r="O3133">
        <v>-2.9871169999999999E-2</v>
      </c>
      <c r="P3133">
        <v>0.99761469999999997</v>
      </c>
      <c r="Q3133">
        <v>-6.8832829999999998E-2</v>
      </c>
      <c r="R3133">
        <v>5.1987400000000003E-3</v>
      </c>
      <c r="S3133">
        <v>2.9896850000000001</v>
      </c>
      <c r="T3133">
        <v>-0.26275579999999998</v>
      </c>
      <c r="U3133">
        <v>-0.1144867</v>
      </c>
      <c r="V3133">
        <v>-3.5003140000000002E-2</v>
      </c>
      <c r="W3133">
        <v>-6.396715E-2</v>
      </c>
      <c r="X3133">
        <v>0.9973379</v>
      </c>
      <c r="Y3133">
        <v>8.4672469999999903E-3</v>
      </c>
      <c r="Z3133">
        <v>2.0813379999999999E-3</v>
      </c>
      <c r="AA3133">
        <v>0.99996200000000002</v>
      </c>
      <c r="AB3133">
        <v>41</v>
      </c>
      <c r="AC3133">
        <v>0.61869999999998904</v>
      </c>
      <c r="AD3133">
        <v>-9.0509000000000103E-2</v>
      </c>
      <c r="AE3133">
        <v>-2.7400000000000001E-2</v>
      </c>
      <c r="AF3133">
        <v>8.7200136338237404E-3</v>
      </c>
      <c r="AG3133">
        <v>-9.0509000000000103E-2</v>
      </c>
      <c r="AH3133">
        <v>0.60629282927250405</v>
      </c>
      <c r="AI3133">
        <v>98.489699430423101</v>
      </c>
      <c r="AJ3133">
        <v>89.175999601568805</v>
      </c>
      <c r="AK3133">
        <v>0.61307333374241002</v>
      </c>
      <c r="AL3133">
        <v>93.667551952429307</v>
      </c>
      <c r="AM3133">
        <v>92.010060330384803</v>
      </c>
      <c r="AN3133">
        <v>0.99999995143269405</v>
      </c>
    </row>
    <row r="3134" spans="1:40" x14ac:dyDescent="0.25">
      <c r="A3134" t="str">
        <f>"20190305135255092"</f>
        <v>20190305135255092</v>
      </c>
      <c r="B3134" t="str">
        <f>"1551765175083096"</f>
        <v>1551765175083096</v>
      </c>
      <c r="C3134" t="s">
        <v>40</v>
      </c>
      <c r="D3134">
        <v>4.6883299999999997</v>
      </c>
      <c r="E3134">
        <v>0.516432</v>
      </c>
      <c r="F3134" t="s">
        <v>41</v>
      </c>
      <c r="G3134">
        <v>-413.48090000000002</v>
      </c>
      <c r="H3134">
        <v>1.0203739999999999</v>
      </c>
      <c r="I3134">
        <v>214.91200000000001</v>
      </c>
      <c r="J3134">
        <v>-414.05930000000001</v>
      </c>
      <c r="K3134">
        <v>1.1076790000000001</v>
      </c>
      <c r="L3134">
        <v>214.93809999999999</v>
      </c>
      <c r="M3134">
        <v>0.99954200000000004</v>
      </c>
      <c r="N3134">
        <v>-4.9072810000000003E-3</v>
      </c>
      <c r="O3134">
        <v>-2.986463E-2</v>
      </c>
      <c r="P3134">
        <v>0.99756809999999996</v>
      </c>
      <c r="Q3134">
        <v>-6.9520739999999998E-2</v>
      </c>
      <c r="R3134">
        <v>5.0006820000000002E-3</v>
      </c>
      <c r="S3134">
        <v>2.9895320000000001</v>
      </c>
      <c r="T3134">
        <v>-0.26448379999999999</v>
      </c>
      <c r="U3134">
        <v>-0.1165771</v>
      </c>
      <c r="V3134">
        <v>-3.4796220000000003E-2</v>
      </c>
      <c r="W3134">
        <v>-6.4624619999999994E-2</v>
      </c>
      <c r="X3134">
        <v>0.99730280000000004</v>
      </c>
      <c r="Y3134">
        <v>9.1719000000000002E-3</v>
      </c>
      <c r="Z3134">
        <v>2.0616969999999999E-3</v>
      </c>
      <c r="AA3134">
        <v>0.99995579999999995</v>
      </c>
      <c r="AB3134">
        <v>41</v>
      </c>
      <c r="AC3134">
        <v>0.57839999999998704</v>
      </c>
      <c r="AD3134">
        <v>-8.7305000000000105E-2</v>
      </c>
      <c r="AE3134">
        <v>-2.6099999999985302E-2</v>
      </c>
      <c r="AF3134">
        <v>8.6184886452549594E-3</v>
      </c>
      <c r="AG3134">
        <v>-8.7305000000000105E-2</v>
      </c>
      <c r="AH3134">
        <v>0.56605102332349699</v>
      </c>
      <c r="AI3134">
        <v>98.766936683120093</v>
      </c>
      <c r="AJ3134">
        <v>89.127702535114807</v>
      </c>
      <c r="AK3134">
        <v>0.57280904529965904</v>
      </c>
      <c r="AL3134">
        <v>93.705300149225707</v>
      </c>
      <c r="AM3134">
        <v>91.998257849800098</v>
      </c>
      <c r="AN3134">
        <v>0.99999999666213601</v>
      </c>
    </row>
    <row r="3135" spans="1:40" x14ac:dyDescent="0.25">
      <c r="A3135" t="str">
        <f>"20190305135255116"</f>
        <v>20190305135255116</v>
      </c>
      <c r="B3135" t="str">
        <f>"1551765175112377"</f>
        <v>1551765175112377</v>
      </c>
      <c r="C3135" t="s">
        <v>40</v>
      </c>
      <c r="D3135">
        <v>4.6848559999999999</v>
      </c>
      <c r="E3135">
        <v>0.51670519999999998</v>
      </c>
      <c r="F3135" t="s">
        <v>41</v>
      </c>
      <c r="G3135">
        <v>-413.11169999999998</v>
      </c>
      <c r="H3135">
        <v>1.02312</v>
      </c>
      <c r="I3135">
        <v>214.8999</v>
      </c>
      <c r="J3135">
        <v>-413.63920000000002</v>
      </c>
      <c r="K3135">
        <v>1.107688</v>
      </c>
      <c r="L3135">
        <v>214.9256</v>
      </c>
      <c r="M3135">
        <v>0.99954279999999995</v>
      </c>
      <c r="N3135">
        <v>-4.9396079999999998E-3</v>
      </c>
      <c r="O3135">
        <v>-2.9831940000000001E-2</v>
      </c>
      <c r="P3135">
        <v>0.9974556</v>
      </c>
      <c r="Q3135">
        <v>-7.1148799999999998E-2</v>
      </c>
      <c r="R3135">
        <v>4.5105950000000001E-3</v>
      </c>
      <c r="S3135">
        <v>2.9893190000000001</v>
      </c>
      <c r="T3135">
        <v>-0.26694600000000002</v>
      </c>
      <c r="U3135">
        <v>-0.1190643</v>
      </c>
      <c r="V3135">
        <v>-3.4268079999999999E-2</v>
      </c>
      <c r="W3135">
        <v>-6.6222340000000005E-2</v>
      </c>
      <c r="X3135">
        <v>0.99721630000000006</v>
      </c>
      <c r="Y3135">
        <v>1.003561E-2</v>
      </c>
      <c r="Z3135">
        <v>2.0380289999999998E-3</v>
      </c>
      <c r="AA3135">
        <v>0.99994749999999999</v>
      </c>
      <c r="AB3135">
        <v>41</v>
      </c>
      <c r="AC3135">
        <v>0.52750000000003106</v>
      </c>
      <c r="AD3135">
        <v>-8.4567999999999893E-2</v>
      </c>
      <c r="AE3135">
        <v>-2.57000000000005E-2</v>
      </c>
      <c r="AF3135">
        <v>9.7032205054197098E-3</v>
      </c>
      <c r="AG3135">
        <v>-8.4567999999999893E-2</v>
      </c>
      <c r="AH3135">
        <v>0.514831047976261</v>
      </c>
      <c r="AI3135">
        <v>99.3266784676388</v>
      </c>
      <c r="AJ3135">
        <v>88.920252052592005</v>
      </c>
      <c r="AK3135">
        <v>0.52182076144257805</v>
      </c>
      <c r="AL3135">
        <v>93.797039210153201</v>
      </c>
      <c r="AM3135">
        <v>91.968122722144003</v>
      </c>
      <c r="AN3135">
        <v>1.0000000243038201</v>
      </c>
    </row>
    <row r="3136" spans="1:40" x14ac:dyDescent="0.25">
      <c r="A3136" t="str">
        <f>"20190305135255151"</f>
        <v>20190305135255151</v>
      </c>
      <c r="B3136" t="str">
        <f>"1551765175142633"</f>
        <v>1551765175142633</v>
      </c>
      <c r="C3136" t="s">
        <v>40</v>
      </c>
      <c r="D3136">
        <v>4.6763940000000002</v>
      </c>
      <c r="E3136">
        <v>0.5170534</v>
      </c>
      <c r="F3136" t="s">
        <v>41</v>
      </c>
      <c r="G3136">
        <v>-412.74130000000002</v>
      </c>
      <c r="H3136">
        <v>1.026316</v>
      </c>
      <c r="I3136">
        <v>214.88849999999999</v>
      </c>
      <c r="J3136">
        <v>-413.0016</v>
      </c>
      <c r="K3136">
        <v>1.1077159999999999</v>
      </c>
      <c r="L3136">
        <v>214.9067</v>
      </c>
      <c r="M3136">
        <v>0.9995465</v>
      </c>
      <c r="N3136">
        <v>-4.9888689999999999E-3</v>
      </c>
      <c r="O3136">
        <v>-2.9693830000000001E-2</v>
      </c>
      <c r="P3136">
        <v>0.99734239999999996</v>
      </c>
      <c r="Q3136">
        <v>-7.2720209999999993E-2</v>
      </c>
      <c r="R3136">
        <v>4.4554159999999898E-3</v>
      </c>
      <c r="S3136">
        <v>2.9888919999999999</v>
      </c>
      <c r="T3136">
        <v>-0.27094030000000002</v>
      </c>
      <c r="U3136">
        <v>-0.1227722</v>
      </c>
      <c r="V3136">
        <v>-3.4062960000000003E-2</v>
      </c>
      <c r="W3136">
        <v>-6.7749429999999999E-2</v>
      </c>
      <c r="X3136">
        <v>0.99712069999999997</v>
      </c>
      <c r="Y3136">
        <v>1.141346E-2</v>
      </c>
      <c r="Z3136">
        <v>1.9919730000000002E-3</v>
      </c>
      <c r="AA3136">
        <v>0.99993290000000001</v>
      </c>
      <c r="AB3136">
        <v>41</v>
      </c>
      <c r="AC3136">
        <v>0.260299999999972</v>
      </c>
      <c r="AD3136">
        <v>-8.1399999999999903E-2</v>
      </c>
      <c r="AE3136">
        <v>-1.8200000000007301E-2</v>
      </c>
      <c r="AF3136">
        <v>9.5346985100071904E-3</v>
      </c>
      <c r="AG3136">
        <v>-8.1399999999999903E-2</v>
      </c>
      <c r="AH3136">
        <v>0.237603154263611</v>
      </c>
      <c r="AI3136">
        <v>108.896718519453</v>
      </c>
      <c r="AJ3136">
        <v>87.702029538087203</v>
      </c>
      <c r="AK3136">
        <v>0.25134066402334099</v>
      </c>
      <c r="AL3136">
        <v>93.884732164002401</v>
      </c>
      <c r="AM3136">
        <v>91.956538644060103</v>
      </c>
      <c r="AN3136">
        <v>0.99999998043888805</v>
      </c>
    </row>
    <row r="3137" spans="1:40" x14ac:dyDescent="0.25">
      <c r="A3137" t="str">
        <f>"20190305135255170"</f>
        <v>20190305135255170</v>
      </c>
      <c r="B3137" t="str">
        <f>"1551765175163130"</f>
        <v>1551765175163130</v>
      </c>
      <c r="C3137" t="s">
        <v>40</v>
      </c>
      <c r="D3137">
        <v>4.6772400000000003</v>
      </c>
      <c r="E3137">
        <v>0.51728839999999998</v>
      </c>
      <c r="F3137" t="s">
        <v>41</v>
      </c>
      <c r="G3137">
        <v>-412.00549999999998</v>
      </c>
      <c r="H3137">
        <v>1.0159670000000001</v>
      </c>
      <c r="I3137">
        <v>214.86449999999999</v>
      </c>
      <c r="J3137">
        <v>-412.6123</v>
      </c>
      <c r="K3137">
        <v>1.107758</v>
      </c>
      <c r="L3137">
        <v>214.89519999999999</v>
      </c>
      <c r="M3137">
        <v>0.99955110000000003</v>
      </c>
      <c r="N3137">
        <v>-5.0189029999999999E-3</v>
      </c>
      <c r="O3137">
        <v>-2.9541410000000001E-2</v>
      </c>
      <c r="P3137">
        <v>0.99731760000000003</v>
      </c>
      <c r="Q3137">
        <v>-7.3027579999999995E-2</v>
      </c>
      <c r="R3137">
        <v>5.0094019999999996E-3</v>
      </c>
      <c r="S3137">
        <v>2.9884949999999999</v>
      </c>
      <c r="T3137">
        <v>-0.27539940000000002</v>
      </c>
      <c r="U3137">
        <v>-0.1255493</v>
      </c>
      <c r="V3137">
        <v>-3.4456460000000001E-2</v>
      </c>
      <c r="W3137">
        <v>-6.8030809999999997E-2</v>
      </c>
      <c r="X3137">
        <v>0.99708799999999997</v>
      </c>
      <c r="Y3137">
        <v>1.249571E-2</v>
      </c>
      <c r="Z3137">
        <v>1.960996E-3</v>
      </c>
      <c r="AA3137">
        <v>0.99992000000000003</v>
      </c>
      <c r="AB3137">
        <v>41</v>
      </c>
      <c r="AC3137">
        <v>0.60680000000002099</v>
      </c>
      <c r="AD3137">
        <v>-9.17909999999999E-2</v>
      </c>
      <c r="AE3137">
        <v>-3.0699999999995901E-2</v>
      </c>
      <c r="AF3137">
        <v>1.2475895602331101E-2</v>
      </c>
      <c r="AG3137">
        <v>-9.17909999999999E-2</v>
      </c>
      <c r="AH3137">
        <v>0.59388699526247701</v>
      </c>
      <c r="AI3137">
        <v>98.784188484756399</v>
      </c>
      <c r="AJ3137">
        <v>88.796553810279306</v>
      </c>
      <c r="AK3137">
        <v>0.60106821475933503</v>
      </c>
      <c r="AL3137">
        <v>93.900891415984603</v>
      </c>
      <c r="AM3137">
        <v>91.979187830381903</v>
      </c>
      <c r="AN3137">
        <v>0.99999995924449303</v>
      </c>
    </row>
    <row r="3138" spans="1:40" x14ac:dyDescent="0.25">
      <c r="A3138" t="str">
        <f>"20190305135255194"</f>
        <v>20190305135255194</v>
      </c>
      <c r="B3138" t="str">
        <f>"1551765175182649"</f>
        <v>1551765175182649</v>
      </c>
      <c r="C3138" t="s">
        <v>40</v>
      </c>
      <c r="D3138">
        <v>4.6906030000000003</v>
      </c>
      <c r="E3138">
        <v>0.51755890000000004</v>
      </c>
      <c r="F3138" t="s">
        <v>41</v>
      </c>
      <c r="G3138">
        <v>-411.63290000000001</v>
      </c>
      <c r="H3138">
        <v>1.017185</v>
      </c>
      <c r="I3138">
        <v>214.8537</v>
      </c>
      <c r="J3138">
        <v>-412.18529999999998</v>
      </c>
      <c r="K3138">
        <v>1.1078159999999999</v>
      </c>
      <c r="L3138">
        <v>214.8827</v>
      </c>
      <c r="M3138">
        <v>0.99955740000000004</v>
      </c>
      <c r="N3138">
        <v>-5.0519299999999996E-3</v>
      </c>
      <c r="O3138">
        <v>-2.932017E-2</v>
      </c>
      <c r="P3138">
        <v>0.99735180000000001</v>
      </c>
      <c r="Q3138">
        <v>-7.2503059999999994E-2</v>
      </c>
      <c r="R3138">
        <v>5.7525349999999996E-3</v>
      </c>
      <c r="S3138">
        <v>2.9884339999999998</v>
      </c>
      <c r="T3138">
        <v>-0.27644970000000002</v>
      </c>
      <c r="U3138">
        <v>-0.12570190000000001</v>
      </c>
      <c r="V3138">
        <v>-3.4971259999999997E-2</v>
      </c>
      <c r="W3138">
        <v>-6.7477789999999996E-2</v>
      </c>
      <c r="X3138">
        <v>0.99710770000000004</v>
      </c>
      <c r="Y3138">
        <v>1.276717E-2</v>
      </c>
      <c r="Z3138">
        <v>1.93549E-3</v>
      </c>
      <c r="AA3138">
        <v>0.99991660000000004</v>
      </c>
      <c r="AB3138">
        <v>42</v>
      </c>
      <c r="AC3138">
        <v>0.55239999999997702</v>
      </c>
      <c r="AD3138">
        <v>-9.0630999999999906E-2</v>
      </c>
      <c r="AE3138">
        <v>-2.89999999999963E-2</v>
      </c>
      <c r="AF3138">
        <v>1.24564801158338E-2</v>
      </c>
      <c r="AG3138">
        <v>-9.0630999999999906E-2</v>
      </c>
      <c r="AH3138">
        <v>0.53855568583371505</v>
      </c>
      <c r="AI3138">
        <v>99.550025185709998</v>
      </c>
      <c r="AJ3138">
        <v>88.675018149846807</v>
      </c>
      <c r="AK3138">
        <v>0.54627041728588899</v>
      </c>
      <c r="AL3138">
        <v>93.869132551333905</v>
      </c>
      <c r="AM3138">
        <v>92.008694372523806</v>
      </c>
      <c r="AN3138">
        <v>1.00000000328428</v>
      </c>
    </row>
    <row r="3139" spans="1:40" x14ac:dyDescent="0.25">
      <c r="A3139" t="str">
        <f>"20190305135255215"</f>
        <v>20190305135255215</v>
      </c>
      <c r="B3139" t="str">
        <f>"1551765175212904"</f>
        <v>1551765175212904</v>
      </c>
      <c r="C3139" t="s">
        <v>40</v>
      </c>
      <c r="D3139">
        <v>4.6921739999999996</v>
      </c>
      <c r="E3139">
        <v>0.51784679999999905</v>
      </c>
      <c r="F3139" t="s">
        <v>41</v>
      </c>
      <c r="G3139">
        <v>-411.25709999999998</v>
      </c>
      <c r="H3139">
        <v>1.0226040000000001</v>
      </c>
      <c r="I3139">
        <v>214.84370000000001</v>
      </c>
      <c r="J3139">
        <v>-411.78250000000003</v>
      </c>
      <c r="K3139">
        <v>1.1078600000000001</v>
      </c>
      <c r="L3139">
        <v>214.87110000000001</v>
      </c>
      <c r="M3139">
        <v>0.99956460000000003</v>
      </c>
      <c r="N3139">
        <v>-5.0829250000000003E-3</v>
      </c>
      <c r="O3139">
        <v>-2.9066660000000001E-2</v>
      </c>
      <c r="P3139">
        <v>0.99735459999999998</v>
      </c>
      <c r="Q3139">
        <v>-7.2373580000000007E-2</v>
      </c>
      <c r="R3139">
        <v>6.7738019999999998E-3</v>
      </c>
      <c r="S3139">
        <v>2.9887700000000001</v>
      </c>
      <c r="T3139">
        <v>-0.27438010000000002</v>
      </c>
      <c r="U3139">
        <v>-0.12567139999999999</v>
      </c>
      <c r="V3139">
        <v>-3.5732350000000003E-2</v>
      </c>
      <c r="W3139">
        <v>-6.732175E-2</v>
      </c>
      <c r="X3139">
        <v>0.99709119999999996</v>
      </c>
      <c r="Y3139">
        <v>1.300283E-2</v>
      </c>
      <c r="Z3139">
        <v>1.8850729999999999E-3</v>
      </c>
      <c r="AA3139">
        <v>0.99991370000000002</v>
      </c>
      <c r="AB3139">
        <v>42</v>
      </c>
      <c r="AC3139">
        <v>0.52540000000004705</v>
      </c>
      <c r="AD3139">
        <v>-8.5255999999999998E-2</v>
      </c>
      <c r="AE3139">
        <v>-2.7400000000000001E-2</v>
      </c>
      <c r="AF3139">
        <v>1.18065656156814E-2</v>
      </c>
      <c r="AG3139">
        <v>-8.5255999999999998E-2</v>
      </c>
      <c r="AH3139">
        <v>0.51251590829728499</v>
      </c>
      <c r="AI3139">
        <v>99.442096996250697</v>
      </c>
      <c r="AJ3139">
        <v>88.680339975527701</v>
      </c>
      <c r="AK3139">
        <v>0.51969273305043295</v>
      </c>
      <c r="AL3139">
        <v>93.860171986189002</v>
      </c>
      <c r="AM3139">
        <v>92.052407135466893</v>
      </c>
      <c r="AN3139">
        <v>0.99999993998851</v>
      </c>
    </row>
    <row r="3140" spans="1:40" x14ac:dyDescent="0.25">
      <c r="A3140" t="str">
        <f>"20190305135255237"</f>
        <v>20190305135255237</v>
      </c>
      <c r="B3140" t="str">
        <f>"1551765175233401"</f>
        <v>1551765175233401</v>
      </c>
      <c r="C3140" t="s">
        <v>40</v>
      </c>
      <c r="D3140">
        <v>4.6592739999999999</v>
      </c>
      <c r="E3140">
        <v>0.51801019999999998</v>
      </c>
      <c r="F3140" t="s">
        <v>41</v>
      </c>
      <c r="G3140">
        <v>-410.88170000000002</v>
      </c>
      <c r="H3140">
        <v>1.025379</v>
      </c>
      <c r="I3140">
        <v>214.833</v>
      </c>
      <c r="J3140">
        <v>-411.3777</v>
      </c>
      <c r="K3140">
        <v>1.107901</v>
      </c>
      <c r="L3140">
        <v>214.8596</v>
      </c>
      <c r="M3140">
        <v>0.99957280000000004</v>
      </c>
      <c r="N3140">
        <v>-5.1138950000000002E-3</v>
      </c>
      <c r="O3140">
        <v>-2.8776590000000001E-2</v>
      </c>
      <c r="P3140">
        <v>0.99735390000000002</v>
      </c>
      <c r="Q3140">
        <v>-7.2287669999999998E-2</v>
      </c>
      <c r="R3140">
        <v>7.7367669999999899E-3</v>
      </c>
      <c r="S3140">
        <v>2.988953</v>
      </c>
      <c r="T3140">
        <v>-0.27386630000000001</v>
      </c>
      <c r="U3140">
        <v>-0.12527469999999999</v>
      </c>
      <c r="V3140">
        <v>-3.63992E-2</v>
      </c>
      <c r="W3140">
        <v>-6.7208829999999997E-2</v>
      </c>
      <c r="X3140">
        <v>0.99707480000000004</v>
      </c>
      <c r="Y3140">
        <v>1.315585E-2</v>
      </c>
      <c r="Z3140">
        <v>1.8476020000000001E-3</v>
      </c>
      <c r="AA3140">
        <v>0.99991169999999996</v>
      </c>
      <c r="AB3140">
        <v>42</v>
      </c>
      <c r="AC3140">
        <v>0.49599999999998001</v>
      </c>
      <c r="AD3140">
        <v>-8.2521999999999901E-2</v>
      </c>
      <c r="AE3140">
        <v>-2.66000000000019E-2</v>
      </c>
      <c r="AF3140">
        <v>1.1984812812731E-2</v>
      </c>
      <c r="AG3140">
        <v>-8.2521999999999901E-2</v>
      </c>
      <c r="AH3140">
        <v>0.48322250383784798</v>
      </c>
      <c r="AI3140">
        <v>99.688236728765503</v>
      </c>
      <c r="AJ3140">
        <v>88.579249849701597</v>
      </c>
      <c r="AK3140">
        <v>0.49036466475213603</v>
      </c>
      <c r="AL3140">
        <v>93.853687063346399</v>
      </c>
      <c r="AM3140">
        <v>92.090710575544193</v>
      </c>
      <c r="AN3140">
        <v>1.0000000426928199</v>
      </c>
    </row>
    <row r="3141" spans="1:40" x14ac:dyDescent="0.25">
      <c r="A3141" t="str">
        <f>"20190305135255260"</f>
        <v>20190305135255260</v>
      </c>
      <c r="B3141" t="str">
        <f>"1551765175252921"</f>
        <v>1551765175252921</v>
      </c>
      <c r="C3141" t="s">
        <v>40</v>
      </c>
      <c r="D3141">
        <v>4.6708100000000004</v>
      </c>
      <c r="E3141">
        <v>0.51816179999999901</v>
      </c>
      <c r="F3141" t="s">
        <v>41</v>
      </c>
      <c r="G3141">
        <v>-410.50510000000003</v>
      </c>
      <c r="H3141">
        <v>1.0281880000000001</v>
      </c>
      <c r="I3141">
        <v>214.8235</v>
      </c>
      <c r="J3141">
        <v>-410.93779999999998</v>
      </c>
      <c r="K3141">
        <v>1.107934</v>
      </c>
      <c r="L3141">
        <v>214.84719999999999</v>
      </c>
      <c r="M3141">
        <v>0.99958259999999999</v>
      </c>
      <c r="N3141">
        <v>-5.1475239999999997E-3</v>
      </c>
      <c r="O3141">
        <v>-2.843184E-2</v>
      </c>
      <c r="P3141">
        <v>0.99734140000000004</v>
      </c>
      <c r="Q3141">
        <v>-7.2336639999999994E-2</v>
      </c>
      <c r="R3141">
        <v>8.8130069999999994E-3</v>
      </c>
      <c r="S3141">
        <v>2.9890750000000001</v>
      </c>
      <c r="T3141">
        <v>-0.27301779999999998</v>
      </c>
      <c r="U3141">
        <v>-0.123535199999999</v>
      </c>
      <c r="V3141">
        <v>-3.7125140000000001E-2</v>
      </c>
      <c r="W3141">
        <v>-6.7227919999999997E-2</v>
      </c>
      <c r="X3141">
        <v>0.99704669999999895</v>
      </c>
      <c r="Y3141">
        <v>1.2917430000000001E-2</v>
      </c>
      <c r="Z3141">
        <v>1.821958E-3</v>
      </c>
      <c r="AA3141">
        <v>0.99991490000000005</v>
      </c>
      <c r="AB3141">
        <v>42</v>
      </c>
      <c r="AC3141">
        <v>0.43269999999995401</v>
      </c>
      <c r="AD3141">
        <v>-7.9746000000000095E-2</v>
      </c>
      <c r="AE3141">
        <v>-2.3699999999990898E-2</v>
      </c>
      <c r="AF3141">
        <v>1.1014790922698201E-2</v>
      </c>
      <c r="AG3141">
        <v>-7.9746000000000095E-2</v>
      </c>
      <c r="AH3141">
        <v>0.41900941985678702</v>
      </c>
      <c r="AI3141">
        <v>100.77204445513</v>
      </c>
      <c r="AJ3141">
        <v>88.494172947367503</v>
      </c>
      <c r="AK3141">
        <v>0.42667275992707998</v>
      </c>
      <c r="AL3141">
        <v>93.854783500898094</v>
      </c>
      <c r="AM3141">
        <v>92.132429308375805</v>
      </c>
      <c r="AN3141">
        <v>0.99999999561421704</v>
      </c>
    </row>
    <row r="3142" spans="1:40" x14ac:dyDescent="0.25">
      <c r="A3142" t="str">
        <f>"20190305135255283"</f>
        <v>20190305135255283</v>
      </c>
      <c r="B3142" t="str">
        <f>"1551765175272441"</f>
        <v>1551765175272441</v>
      </c>
      <c r="C3142" t="s">
        <v>40</v>
      </c>
      <c r="D3142">
        <v>4.683046</v>
      </c>
      <c r="E3142">
        <v>0.51828450000000004</v>
      </c>
      <c r="F3142" t="s">
        <v>41</v>
      </c>
      <c r="G3142">
        <v>-410.12619999999998</v>
      </c>
      <c r="H3142">
        <v>1.03389</v>
      </c>
      <c r="I3142">
        <v>214.81389999999999</v>
      </c>
      <c r="J3142">
        <v>-410.51179999999999</v>
      </c>
      <c r="K3142">
        <v>1.1079410000000001</v>
      </c>
      <c r="L3142">
        <v>214.83529999999999</v>
      </c>
      <c r="M3142">
        <v>0.99959219999999904</v>
      </c>
      <c r="N3142">
        <v>-5.1799100000000002E-3</v>
      </c>
      <c r="O3142">
        <v>-2.8082030000000001E-2</v>
      </c>
      <c r="P3142">
        <v>0.99725469999999905</v>
      </c>
      <c r="Q3142">
        <v>-7.3308390000000001E-2</v>
      </c>
      <c r="R3142">
        <v>1.0446459999999999E-2</v>
      </c>
      <c r="S3142">
        <v>2.9893190000000001</v>
      </c>
      <c r="T3142">
        <v>-0.27284589999999997</v>
      </c>
      <c r="U3142">
        <v>-0.12150569999999999</v>
      </c>
      <c r="V3142">
        <v>-3.8402510000000001E-2</v>
      </c>
      <c r="W3142">
        <v>-6.8170980000000006E-2</v>
      </c>
      <c r="X3142">
        <v>0.99693430000000005</v>
      </c>
      <c r="Y3142">
        <v>1.258627E-2</v>
      </c>
      <c r="Z3142">
        <v>1.805358E-3</v>
      </c>
      <c r="AA3142">
        <v>0.99991920000000001</v>
      </c>
      <c r="AB3142">
        <v>42</v>
      </c>
      <c r="AC3142">
        <v>0.38560000000000999</v>
      </c>
      <c r="AD3142">
        <v>-7.4051000000000006E-2</v>
      </c>
      <c r="AE3142">
        <v>-2.1399999999999801E-2</v>
      </c>
      <c r="AF3142">
        <v>1.0188392553068699E-2</v>
      </c>
      <c r="AG3142">
        <v>-7.4051000000000006E-2</v>
      </c>
      <c r="AH3142">
        <v>0.37235856800146999</v>
      </c>
      <c r="AI3142">
        <v>101.243571738314</v>
      </c>
      <c r="AJ3142">
        <v>88.432676644786795</v>
      </c>
      <c r="AK3142">
        <v>0.379787120776786</v>
      </c>
      <c r="AL3142">
        <v>93.908941028190497</v>
      </c>
      <c r="AM3142">
        <v>92.205977281896196</v>
      </c>
      <c r="AN3142">
        <v>1.0000000169024701</v>
      </c>
    </row>
    <row r="3143" spans="1:40" x14ac:dyDescent="0.25">
      <c r="A3143" t="str">
        <f>"20190305135255304"</f>
        <v>20190305135255304</v>
      </c>
      <c r="B3143" t="str">
        <f>"1551765175292472"</f>
        <v>1551765175292472</v>
      </c>
      <c r="C3143" t="s">
        <v>40</v>
      </c>
      <c r="D3143">
        <v>4.6449590000000001</v>
      </c>
      <c r="E3143">
        <v>0.51819550000000003</v>
      </c>
      <c r="F3143" t="s">
        <v>41</v>
      </c>
      <c r="G3143">
        <v>-409.74720000000002</v>
      </c>
      <c r="H3143">
        <v>1.037466</v>
      </c>
      <c r="I3143">
        <v>214.80520000000001</v>
      </c>
      <c r="J3143">
        <v>-410.11700000000002</v>
      </c>
      <c r="K3143">
        <v>1.107952</v>
      </c>
      <c r="L3143">
        <v>214.8244</v>
      </c>
      <c r="M3143">
        <v>0.99960110000000002</v>
      </c>
      <c r="N3143">
        <v>-5.2095989999999997E-3</v>
      </c>
      <c r="O3143">
        <v>-2.776052E-2</v>
      </c>
      <c r="P3143">
        <v>0.99716130000000003</v>
      </c>
      <c r="Q3143">
        <v>-7.4373770000000006E-2</v>
      </c>
      <c r="R3143">
        <v>1.174561E-2</v>
      </c>
      <c r="S3143">
        <v>2.9892270000000001</v>
      </c>
      <c r="T3143">
        <v>-0.27561629999999998</v>
      </c>
      <c r="U3143">
        <v>-0.1174164</v>
      </c>
      <c r="V3143">
        <v>-3.9375140000000003E-2</v>
      </c>
      <c r="W3143">
        <v>-6.9209229999999997E-2</v>
      </c>
      <c r="X3143">
        <v>0.99682479999999996</v>
      </c>
      <c r="Y3143">
        <v>1.154788E-2</v>
      </c>
      <c r="Z3143">
        <v>1.8471029999999999E-3</v>
      </c>
      <c r="AA3143">
        <v>0.99993160000000003</v>
      </c>
      <c r="AB3143">
        <v>42</v>
      </c>
      <c r="AC3143">
        <v>0.36979999999994101</v>
      </c>
      <c r="AD3143">
        <v>-7.0485999999999993E-2</v>
      </c>
      <c r="AE3143">
        <v>-1.9199999999983602E-2</v>
      </c>
      <c r="AF3143">
        <v>8.6144934609509796E-3</v>
      </c>
      <c r="AG3143">
        <v>-7.0485999999999993E-2</v>
      </c>
      <c r="AH3143">
        <v>0.35724642109786597</v>
      </c>
      <c r="AI3143">
        <v>101.15814250526699</v>
      </c>
      <c r="AJ3143">
        <v>88.618660798862805</v>
      </c>
      <c r="AK3143">
        <v>0.36423548849723902</v>
      </c>
      <c r="AL3143">
        <v>93.968569277125198</v>
      </c>
      <c r="AM3143">
        <v>92.262039508171299</v>
      </c>
      <c r="AN3143">
        <v>1.00000000053112</v>
      </c>
    </row>
    <row r="3144" spans="1:40" x14ac:dyDescent="0.25">
      <c r="A3144" t="str">
        <f>"20190305135255328"</f>
        <v>20190305135255328</v>
      </c>
      <c r="B3144" t="str">
        <f>"1551765175322724"</f>
        <v>1551765175322724</v>
      </c>
      <c r="C3144" t="s">
        <v>40</v>
      </c>
      <c r="D3144">
        <v>4.6764960000000002</v>
      </c>
      <c r="E3144">
        <v>0.51769889999999996</v>
      </c>
      <c r="F3144" t="s">
        <v>41</v>
      </c>
      <c r="G3144">
        <v>-409.3682</v>
      </c>
      <c r="H3144">
        <v>1.038861</v>
      </c>
      <c r="I3144">
        <v>214.79589999999999</v>
      </c>
      <c r="J3144">
        <v>-409.67239999999998</v>
      </c>
      <c r="K3144">
        <v>1.107958</v>
      </c>
      <c r="L3144">
        <v>214.81229999999999</v>
      </c>
      <c r="M3144">
        <v>0.99961029999999995</v>
      </c>
      <c r="N3144">
        <v>-5.2430150000000002E-3</v>
      </c>
      <c r="O3144">
        <v>-2.7418809999999998E-2</v>
      </c>
      <c r="P3144">
        <v>0.99713940000000001</v>
      </c>
      <c r="Q3144">
        <v>-7.4451059999999999E-2</v>
      </c>
      <c r="R3144">
        <v>1.3036229999999999E-2</v>
      </c>
      <c r="S3144">
        <v>2.9892880000000002</v>
      </c>
      <c r="T3144">
        <v>-0.27603169999999999</v>
      </c>
      <c r="U3144">
        <v>-0.11267089999999901</v>
      </c>
      <c r="V3144">
        <v>-4.032326E-2</v>
      </c>
      <c r="W3144">
        <v>-6.9254399999999994E-2</v>
      </c>
      <c r="X3144">
        <v>0.99678370000000005</v>
      </c>
      <c r="Y3144">
        <v>1.030822E-2</v>
      </c>
      <c r="Z3144">
        <v>1.8797320000000001E-3</v>
      </c>
      <c r="AA3144">
        <v>0.99994510000000003</v>
      </c>
      <c r="AB3144">
        <v>42</v>
      </c>
      <c r="AC3144">
        <v>0.30419999999997999</v>
      </c>
      <c r="AD3144">
        <v>-6.9096999999999895E-2</v>
      </c>
      <c r="AE3144">
        <v>-1.6400000000004401E-2</v>
      </c>
      <c r="AF3144">
        <v>7.6589082498766201E-3</v>
      </c>
      <c r="AG3144">
        <v>-6.9096999999999895E-2</v>
      </c>
      <c r="AH3144">
        <v>0.28963514764699999</v>
      </c>
      <c r="AI3144">
        <v>103.41348290558</v>
      </c>
      <c r="AJ3144">
        <v>88.485263674681093</v>
      </c>
      <c r="AK3144">
        <v>0.29786166761951699</v>
      </c>
      <c r="AL3144">
        <v>93.971163789370706</v>
      </c>
      <c r="AM3144">
        <v>92.316544273338593</v>
      </c>
      <c r="AN3144">
        <v>0.99999994090103705</v>
      </c>
    </row>
    <row r="3145" spans="1:40" x14ac:dyDescent="0.25">
      <c r="A3145" t="str">
        <f>"20190305135255352"</f>
        <v>20190305135255352</v>
      </c>
      <c r="B3145" t="str">
        <f>"1551765175343220"</f>
        <v>1551765175343220</v>
      </c>
      <c r="C3145" t="s">
        <v>40</v>
      </c>
      <c r="D3145">
        <v>4.6937879999999996</v>
      </c>
      <c r="E3145">
        <v>0.51749290000000003</v>
      </c>
      <c r="F3145" t="s">
        <v>41</v>
      </c>
      <c r="G3145">
        <v>-408.62079999999997</v>
      </c>
      <c r="H3145">
        <v>1.0135620000000001</v>
      </c>
      <c r="I3145">
        <v>214.77520000000001</v>
      </c>
      <c r="J3145">
        <v>-409.21870000000001</v>
      </c>
      <c r="K3145">
        <v>1.1079589999999999</v>
      </c>
      <c r="L3145">
        <v>214.8</v>
      </c>
      <c r="M3145">
        <v>0.99961869999999997</v>
      </c>
      <c r="N3145">
        <v>-5.2769210000000004E-3</v>
      </c>
      <c r="O3145">
        <v>-2.7104329999999999E-2</v>
      </c>
      <c r="P3145">
        <v>0.997228</v>
      </c>
      <c r="Q3145">
        <v>-7.3241819999999999E-2</v>
      </c>
      <c r="R3145">
        <v>1.3119499999999999E-2</v>
      </c>
      <c r="S3145">
        <v>2.9899290000000001</v>
      </c>
      <c r="T3145">
        <v>-0.26855869999999998</v>
      </c>
      <c r="U3145">
        <v>-0.10432429999999999</v>
      </c>
      <c r="V3145">
        <v>-4.0097609999999999E-2</v>
      </c>
      <c r="W3145">
        <v>-6.8009970000000003E-2</v>
      </c>
      <c r="X3145">
        <v>0.99687859999999995</v>
      </c>
      <c r="Y3145">
        <v>7.8328219999999997E-3</v>
      </c>
      <c r="Z3145">
        <v>1.9139809999999999E-3</v>
      </c>
      <c r="AA3145">
        <v>0.99996750000000001</v>
      </c>
      <c r="AB3145">
        <v>42</v>
      </c>
      <c r="AC3145">
        <v>0.59790000000003796</v>
      </c>
      <c r="AD3145">
        <v>-9.4396999999999801E-2</v>
      </c>
      <c r="AE3145">
        <v>-2.4799999999999E-2</v>
      </c>
      <c r="AF3145">
        <v>8.3765458422670001E-3</v>
      </c>
      <c r="AG3145">
        <v>-9.4396999999999801E-2</v>
      </c>
      <c r="AH3145">
        <v>0.58382487954622497</v>
      </c>
      <c r="AI3145">
        <v>99.183578450531698</v>
      </c>
      <c r="AJ3145">
        <v>89.177993587537102</v>
      </c>
      <c r="AK3145">
        <v>0.59146635585332497</v>
      </c>
      <c r="AL3145">
        <v>93.899694211370203</v>
      </c>
      <c r="AM3145">
        <v>92.303375777258793</v>
      </c>
      <c r="AN3145">
        <v>1.00000005874253</v>
      </c>
    </row>
    <row r="3146" spans="1:40" x14ac:dyDescent="0.25">
      <c r="A3146" t="str">
        <f>"20190305135255373"</f>
        <v>20190305135255373</v>
      </c>
      <c r="B3146" t="str">
        <f>"1551765175362740"</f>
        <v>1551765175362740</v>
      </c>
      <c r="C3146" t="s">
        <v>40</v>
      </c>
      <c r="D3146">
        <v>4.6626130000000003</v>
      </c>
      <c r="E3146">
        <v>0.51726970000000005</v>
      </c>
      <c r="F3146" t="s">
        <v>41</v>
      </c>
      <c r="G3146">
        <v>-408.23509999999999</v>
      </c>
      <c r="H3146">
        <v>1.0226040000000001</v>
      </c>
      <c r="I3146">
        <v>214.7664</v>
      </c>
      <c r="J3146">
        <v>-408.80040000000002</v>
      </c>
      <c r="K3146">
        <v>1.1079619999999999</v>
      </c>
      <c r="L3146">
        <v>214.78880000000001</v>
      </c>
      <c r="M3146">
        <v>0.9996256</v>
      </c>
      <c r="N3146">
        <v>-5.3081430000000004E-3</v>
      </c>
      <c r="O3146">
        <v>-2.684518E-2</v>
      </c>
      <c r="P3146">
        <v>0.99733890000000003</v>
      </c>
      <c r="Q3146">
        <v>-7.1706439999999996E-2</v>
      </c>
      <c r="R3146">
        <v>1.3172359999999999E-2</v>
      </c>
      <c r="S3146">
        <v>2.990631</v>
      </c>
      <c r="T3146">
        <v>-0.25946609999999998</v>
      </c>
      <c r="U3146">
        <v>-0.102356</v>
      </c>
      <c r="V3146">
        <v>-3.98979E-2</v>
      </c>
      <c r="W3146">
        <v>-6.6441669999999994E-2</v>
      </c>
      <c r="X3146">
        <v>0.99699230000000005</v>
      </c>
      <c r="Y3146">
        <v>7.4225180000000003E-3</v>
      </c>
      <c r="Z3146">
        <v>1.840288E-3</v>
      </c>
      <c r="AA3146">
        <v>0.99997069999999999</v>
      </c>
      <c r="AB3146">
        <v>43</v>
      </c>
      <c r="AC3146">
        <v>0.565300000000036</v>
      </c>
      <c r="AD3146">
        <v>-8.5358000000000003E-2</v>
      </c>
      <c r="AE3146">
        <v>-2.24000000000046E-2</v>
      </c>
      <c r="AF3146">
        <v>7.0555220919410796E-3</v>
      </c>
      <c r="AG3146">
        <v>-8.5358000000000003E-2</v>
      </c>
      <c r="AH3146">
        <v>0.55310666646529505</v>
      </c>
      <c r="AI3146">
        <v>98.772240412732998</v>
      </c>
      <c r="AJ3146">
        <v>89.269164994403098</v>
      </c>
      <c r="AK3146">
        <v>0.55969880564848495</v>
      </c>
      <c r="AL3146">
        <v>93.809633753926803</v>
      </c>
      <c r="AM3146">
        <v>92.291654759105697</v>
      </c>
      <c r="AN3146">
        <v>0.99999999209804402</v>
      </c>
    </row>
    <row r="3147" spans="1:40" x14ac:dyDescent="0.25">
      <c r="A3147" t="str">
        <f>"20190305135255394"</f>
        <v>20190305135255394</v>
      </c>
      <c r="B3147" t="str">
        <f>"1551765175383236"</f>
        <v>1551765175383236</v>
      </c>
      <c r="C3147" t="s">
        <v>40</v>
      </c>
      <c r="D3147">
        <v>4.7160010000000003</v>
      </c>
      <c r="E3147">
        <v>0.517123</v>
      </c>
      <c r="F3147" t="s">
        <v>41</v>
      </c>
      <c r="G3147">
        <v>-407.84969999999998</v>
      </c>
      <c r="H3147">
        <v>1.028683</v>
      </c>
      <c r="I3147">
        <v>214.7567</v>
      </c>
      <c r="J3147">
        <v>-408.40370000000001</v>
      </c>
      <c r="K3147">
        <v>1.107955</v>
      </c>
      <c r="L3147">
        <v>214.7783</v>
      </c>
      <c r="M3147">
        <v>0.99963109999999999</v>
      </c>
      <c r="N3147">
        <v>-5.337881E-3</v>
      </c>
      <c r="O3147">
        <v>-2.663242E-2</v>
      </c>
      <c r="P3147">
        <v>0.99747549999999996</v>
      </c>
      <c r="Q3147">
        <v>-6.9763249999999999E-2</v>
      </c>
      <c r="R3147">
        <v>1.32631E-2</v>
      </c>
      <c r="S3147">
        <v>2.9913639999999999</v>
      </c>
      <c r="T3147">
        <v>-0.24954319999999999</v>
      </c>
      <c r="U3147">
        <v>-0.100174</v>
      </c>
      <c r="V3147">
        <v>-3.978375E-2</v>
      </c>
      <c r="W3147">
        <v>-6.4466599999999999E-2</v>
      </c>
      <c r="X3147">
        <v>0.99712650000000003</v>
      </c>
      <c r="Y3147">
        <v>6.8946709999999998E-3</v>
      </c>
      <c r="Z3147">
        <v>1.7694329999999999E-3</v>
      </c>
      <c r="AA3147">
        <v>0.99997469999999999</v>
      </c>
      <c r="AB3147">
        <v>43</v>
      </c>
      <c r="AC3147">
        <v>0.55400000000003002</v>
      </c>
      <c r="AD3147">
        <v>-7.9271999999999995E-2</v>
      </c>
      <c r="AE3147">
        <v>-2.1600000000006499E-2</v>
      </c>
      <c r="AF3147">
        <v>6.70077909804983E-3</v>
      </c>
      <c r="AG3147">
        <v>-7.9271999999999995E-2</v>
      </c>
      <c r="AH3147">
        <v>0.54327223796183799</v>
      </c>
      <c r="AI3147">
        <v>98.301148575187298</v>
      </c>
      <c r="AJ3147">
        <v>89.293343433032405</v>
      </c>
      <c r="AK3147">
        <v>0.549066184502911</v>
      </c>
      <c r="AL3147">
        <v>93.696227438187904</v>
      </c>
      <c r="AM3147">
        <v>92.284797955268104</v>
      </c>
      <c r="AN3147">
        <v>0.99999997314093503</v>
      </c>
    </row>
    <row r="3148" spans="1:40" x14ac:dyDescent="0.25">
      <c r="A3148" t="str">
        <f>"20190305135255415"</f>
        <v>20190305135255415</v>
      </c>
      <c r="B3148" t="str">
        <f>"1551765175413024"</f>
        <v>1551765175413024</v>
      </c>
      <c r="C3148" t="s">
        <v>40</v>
      </c>
      <c r="D3148">
        <v>4.7023919999999997</v>
      </c>
      <c r="E3148">
        <v>0.51696869999999995</v>
      </c>
      <c r="F3148" t="s">
        <v>41</v>
      </c>
      <c r="G3148">
        <v>-407.46409999999997</v>
      </c>
      <c r="H3148">
        <v>1.0328870000000001</v>
      </c>
      <c r="I3148">
        <v>214.7473</v>
      </c>
      <c r="J3148">
        <v>-407.97840000000002</v>
      </c>
      <c r="K3148">
        <v>1.1079399999999999</v>
      </c>
      <c r="L3148">
        <v>214.7671</v>
      </c>
      <c r="M3148">
        <v>0.99963590000000002</v>
      </c>
      <c r="N3148">
        <v>-5.3698499999999998E-3</v>
      </c>
      <c r="O3148">
        <v>-2.644403E-2</v>
      </c>
      <c r="P3148">
        <v>0.99760309999999996</v>
      </c>
      <c r="Q3148">
        <v>-6.7830829999999995E-2</v>
      </c>
      <c r="R3148">
        <v>1.368195E-2</v>
      </c>
      <c r="S3148">
        <v>2.9921570000000002</v>
      </c>
      <c r="T3148">
        <v>-0.23908399999999999</v>
      </c>
      <c r="U3148">
        <v>-9.8510739999999999E-2</v>
      </c>
      <c r="V3148">
        <v>-4.0022210000000003E-2</v>
      </c>
      <c r="W3148">
        <v>-6.249979E-2</v>
      </c>
      <c r="X3148">
        <v>0.99724219999999997</v>
      </c>
      <c r="Y3148">
        <v>6.5146450000000003E-3</v>
      </c>
      <c r="Z3148">
        <v>1.6895339999999999E-3</v>
      </c>
      <c r="AA3148">
        <v>0.99997740000000002</v>
      </c>
      <c r="AB3148">
        <v>43</v>
      </c>
      <c r="AC3148">
        <v>0.51430000000004805</v>
      </c>
      <c r="AD3148">
        <v>-7.50529999999998E-2</v>
      </c>
      <c r="AE3148">
        <v>-1.9800000000003599E-2</v>
      </c>
      <c r="AF3148">
        <v>6.0637708654594598E-3</v>
      </c>
      <c r="AG3148">
        <v>-7.50529999999998E-2</v>
      </c>
      <c r="AH3148">
        <v>0.50392785212980695</v>
      </c>
      <c r="AI3148">
        <v>98.470530930251002</v>
      </c>
      <c r="AJ3148">
        <v>89.310592359480594</v>
      </c>
      <c r="AK3148">
        <v>0.50952232755618199</v>
      </c>
      <c r="AL3148">
        <v>93.583309631120599</v>
      </c>
      <c r="AM3148">
        <v>92.2982117884345</v>
      </c>
      <c r="AN3148">
        <v>1.0000000032520799</v>
      </c>
    </row>
    <row r="3149" spans="1:40" x14ac:dyDescent="0.25">
      <c r="A3149" t="str">
        <f>"20190305135255438"</f>
        <v>20190305135255438</v>
      </c>
      <c r="B3149" t="str">
        <f>"1551765175432544"</f>
        <v>1551765175432544</v>
      </c>
      <c r="C3149" t="s">
        <v>40</v>
      </c>
      <c r="D3149">
        <v>4.6669460000000003</v>
      </c>
      <c r="E3149">
        <v>0.51686869999999996</v>
      </c>
      <c r="F3149" t="s">
        <v>41</v>
      </c>
      <c r="G3149">
        <v>-407.07569999999998</v>
      </c>
      <c r="H3149">
        <v>1.0398620000000001</v>
      </c>
      <c r="I3149">
        <v>214.73769999999999</v>
      </c>
      <c r="J3149">
        <v>-407.54899999999998</v>
      </c>
      <c r="K3149">
        <v>1.107917</v>
      </c>
      <c r="L3149">
        <v>214.75579999999999</v>
      </c>
      <c r="M3149">
        <v>0.99963959999999996</v>
      </c>
      <c r="N3149">
        <v>-5.402095E-3</v>
      </c>
      <c r="O3149">
        <v>-2.629453E-2</v>
      </c>
      <c r="P3149">
        <v>0.99769439999999998</v>
      </c>
      <c r="Q3149">
        <v>-6.6454559999999996E-2</v>
      </c>
      <c r="R3149">
        <v>1.3777640000000001E-2</v>
      </c>
      <c r="S3149">
        <v>2.9931640000000002</v>
      </c>
      <c r="T3149">
        <v>-0.22588159999999999</v>
      </c>
      <c r="U3149">
        <v>-9.5672610000000005E-2</v>
      </c>
      <c r="V3149">
        <v>-3.9975780000000002E-2</v>
      </c>
      <c r="W3149">
        <v>-6.1088370000000003E-2</v>
      </c>
      <c r="X3149">
        <v>0.99733150000000004</v>
      </c>
      <c r="Y3149">
        <v>5.7018479999999998E-3</v>
      </c>
      <c r="Z3149">
        <v>1.608572E-3</v>
      </c>
      <c r="AA3149">
        <v>0.9999825</v>
      </c>
      <c r="AB3149">
        <v>43</v>
      </c>
      <c r="AC3149">
        <v>0.47330000000005101</v>
      </c>
      <c r="AD3149">
        <v>-6.8054999999999893E-2</v>
      </c>
      <c r="AE3149">
        <v>-1.8100000000003998E-2</v>
      </c>
      <c r="AF3149">
        <v>5.5341073784187502E-3</v>
      </c>
      <c r="AG3149">
        <v>-6.8054999999999893E-2</v>
      </c>
      <c r="AH3149">
        <v>0.464032390825943</v>
      </c>
      <c r="AI3149">
        <v>98.342933866189199</v>
      </c>
      <c r="AJ3149">
        <v>89.316715878800494</v>
      </c>
      <c r="AK3149">
        <v>0.46902896403646199</v>
      </c>
      <c r="AL3149">
        <v>93.502286432544196</v>
      </c>
      <c r="AM3149">
        <v>92.295343152266199</v>
      </c>
      <c r="AN3149">
        <v>0.99999998641405696</v>
      </c>
    </row>
    <row r="3150" spans="1:40" x14ac:dyDescent="0.25">
      <c r="A3150" t="str">
        <f>"20190305135255461"</f>
        <v>20190305135255461</v>
      </c>
      <c r="B3150" t="str">
        <f>"1551765175453040"</f>
        <v>1551765175453040</v>
      </c>
      <c r="C3150" t="s">
        <v>40</v>
      </c>
      <c r="D3150">
        <v>4.6702050000000002</v>
      </c>
      <c r="E3150">
        <v>0.51680870000000001</v>
      </c>
      <c r="F3150" t="s">
        <v>41</v>
      </c>
      <c r="G3150">
        <v>-406.68549999999999</v>
      </c>
      <c r="H3150">
        <v>1.0451790000000001</v>
      </c>
      <c r="I3150">
        <v>214.7285</v>
      </c>
      <c r="J3150">
        <v>-407.10469999999998</v>
      </c>
      <c r="K3150">
        <v>1.1078920000000001</v>
      </c>
      <c r="L3150">
        <v>214.7441</v>
      </c>
      <c r="M3150">
        <v>0.99964260000000005</v>
      </c>
      <c r="N3150">
        <v>-5.435245E-3</v>
      </c>
      <c r="O3150">
        <v>-2.6177590000000001E-2</v>
      </c>
      <c r="P3150">
        <v>0.99765979999999999</v>
      </c>
      <c r="Q3150">
        <v>-6.6864999999999994E-2</v>
      </c>
      <c r="R3150">
        <v>1.4285229999999999E-2</v>
      </c>
      <c r="S3150">
        <v>2.993744</v>
      </c>
      <c r="T3150">
        <v>-0.21756829999999999</v>
      </c>
      <c r="U3150">
        <v>-9.42688E-2</v>
      </c>
      <c r="V3150">
        <v>-4.036957E-2</v>
      </c>
      <c r="W3150">
        <v>-6.1463419999999998E-2</v>
      </c>
      <c r="X3150">
        <v>0.99729259999999997</v>
      </c>
      <c r="Y3150">
        <v>5.3410899999999997E-3</v>
      </c>
      <c r="Z3150">
        <v>1.548689E-3</v>
      </c>
      <c r="AA3150">
        <v>0.9999846</v>
      </c>
      <c r="AB3150">
        <v>43</v>
      </c>
      <c r="AC3150">
        <v>0.41919999999998903</v>
      </c>
      <c r="AD3150">
        <v>-6.2713000000000005E-2</v>
      </c>
      <c r="AE3150">
        <v>-1.5600000000006199E-2</v>
      </c>
      <c r="AF3150">
        <v>4.51982995605291E-3</v>
      </c>
      <c r="AG3150">
        <v>-6.2713000000000005E-2</v>
      </c>
      <c r="AH3150">
        <v>0.41029475353918998</v>
      </c>
      <c r="AI3150">
        <v>98.689803507619203</v>
      </c>
      <c r="AJ3150">
        <v>89.368852017716605</v>
      </c>
      <c r="AK3150">
        <v>0.41508449021086802</v>
      </c>
      <c r="AL3150">
        <v>93.523815651327098</v>
      </c>
      <c r="AM3150">
        <v>92.318019693778893</v>
      </c>
      <c r="AN3150">
        <v>0.99999999209741997</v>
      </c>
    </row>
    <row r="3151" spans="1:40" x14ac:dyDescent="0.25">
      <c r="A3151" t="str">
        <f>"20190305135255484"</f>
        <v>20190305135255484</v>
      </c>
      <c r="B3151" t="str">
        <f>"1551765175472563"</f>
        <v>1551765175472563</v>
      </c>
      <c r="C3151" t="s">
        <v>40</v>
      </c>
      <c r="D3151">
        <v>4.6469370000000003</v>
      </c>
      <c r="E3151">
        <v>0.51677299999999904</v>
      </c>
      <c r="F3151" t="s">
        <v>56</v>
      </c>
      <c r="G3151">
        <v>-391.67509999999999</v>
      </c>
      <c r="H3151" s="1">
        <v>-6.453756E-7</v>
      </c>
      <c r="I3151">
        <v>214.26920000000001</v>
      </c>
      <c r="J3151">
        <v>-406.67619999999999</v>
      </c>
      <c r="K3151">
        <v>1.107861</v>
      </c>
      <c r="L3151">
        <v>214.7329</v>
      </c>
      <c r="M3151">
        <v>0.99964470000000005</v>
      </c>
      <c r="N3151">
        <v>-5.4672779999999999E-3</v>
      </c>
      <c r="O3151">
        <v>-2.6094860000000001E-2</v>
      </c>
      <c r="P3151">
        <v>0.99761719999999998</v>
      </c>
      <c r="Q3151">
        <v>-6.7418510000000001E-2</v>
      </c>
      <c r="R3151">
        <v>1.4665579999999999E-2</v>
      </c>
      <c r="S3151">
        <v>2.9939580000000001</v>
      </c>
      <c r="T3151">
        <v>-0.214976</v>
      </c>
      <c r="U3151">
        <v>-9.214783E-2</v>
      </c>
      <c r="V3151">
        <v>-4.0670230000000002E-2</v>
      </c>
      <c r="W3151">
        <v>-6.1982790000000003E-2</v>
      </c>
      <c r="X3151">
        <v>0.99724820000000003</v>
      </c>
      <c r="Y3151">
        <v>4.7142059999999899E-3</v>
      </c>
      <c r="Z3151">
        <v>1.5461089999999999E-3</v>
      </c>
      <c r="AA3151">
        <v>0.99998770000000003</v>
      </c>
      <c r="AB3151">
        <v>43</v>
      </c>
      <c r="AC3151">
        <v>15.001099999999999</v>
      </c>
      <c r="AD3151">
        <v>-1.1078616453756001</v>
      </c>
      <c r="AE3151">
        <v>-0.46369999999998801</v>
      </c>
      <c r="AF3151">
        <v>7.1694052620424997E-2</v>
      </c>
      <c r="AG3151">
        <v>-1.1078616453756001</v>
      </c>
      <c r="AH3151">
        <v>14.926757267908201</v>
      </c>
      <c r="AI3151">
        <v>94.2446525418531</v>
      </c>
      <c r="AJ3151">
        <v>89.724807272589899</v>
      </c>
      <c r="AK3151">
        <v>14.9679851682692</v>
      </c>
      <c r="AL3151">
        <v>93.553630346622995</v>
      </c>
      <c r="AM3151">
        <v>92.335368397627406</v>
      </c>
      <c r="AN3151">
        <v>0.99999995313383705</v>
      </c>
    </row>
    <row r="3152" spans="1:40" x14ac:dyDescent="0.25">
      <c r="A3152" t="str">
        <f>"20190305135255505"</f>
        <v>20190305135255505</v>
      </c>
      <c r="B3152" t="str">
        <f>"1551765175492593"</f>
        <v>1551765175492593</v>
      </c>
      <c r="C3152" t="s">
        <v>40</v>
      </c>
      <c r="D3152">
        <v>4.6749619999999998</v>
      </c>
      <c r="E3152">
        <v>0.51674039999999999</v>
      </c>
      <c r="F3152" t="s">
        <v>56</v>
      </c>
      <c r="G3152">
        <v>-391.10329999999999</v>
      </c>
      <c r="H3152" s="1">
        <v>-9.4967310000000003E-7</v>
      </c>
      <c r="I3152">
        <v>214.26259999999999</v>
      </c>
      <c r="J3152">
        <v>-406.26240000000001</v>
      </c>
      <c r="K3152">
        <v>1.107837</v>
      </c>
      <c r="L3152">
        <v>214.72210000000001</v>
      </c>
      <c r="M3152">
        <v>0.99964589999999998</v>
      </c>
      <c r="N3152">
        <v>-5.4981939999999997E-3</v>
      </c>
      <c r="O3152">
        <v>-2.6035119999999998E-2</v>
      </c>
      <c r="P3152">
        <v>0.99755850000000001</v>
      </c>
      <c r="Q3152">
        <v>-6.8151320000000001E-2</v>
      </c>
      <c r="R3152">
        <v>1.5252480000000001E-2</v>
      </c>
      <c r="S3152">
        <v>2.9940799999999999</v>
      </c>
      <c r="T3152">
        <v>-0.2130002</v>
      </c>
      <c r="U3152">
        <v>-9.0423580000000003E-2</v>
      </c>
      <c r="V3152">
        <v>-4.1199100000000002E-2</v>
      </c>
      <c r="W3152">
        <v>-6.2683119999999995E-2</v>
      </c>
      <c r="X3152">
        <v>0.99718280000000004</v>
      </c>
      <c r="Y3152">
        <v>4.197681E-3</v>
      </c>
      <c r="Z3152">
        <v>1.5454310000000001E-3</v>
      </c>
      <c r="AA3152">
        <v>0.99999000000000005</v>
      </c>
      <c r="AB3152">
        <v>43</v>
      </c>
      <c r="AC3152">
        <v>15.1591</v>
      </c>
      <c r="AD3152">
        <v>-1.1078379496730999</v>
      </c>
      <c r="AE3152">
        <v>-0.459500000000019</v>
      </c>
      <c r="AF3152">
        <v>6.4326044857218101E-2</v>
      </c>
      <c r="AG3152">
        <v>-1.1078379496730999</v>
      </c>
      <c r="AH3152">
        <v>15.085430481615001</v>
      </c>
      <c r="AI3152">
        <v>94.200087309672398</v>
      </c>
      <c r="AJ3152">
        <v>89.755685557020797</v>
      </c>
      <c r="AK3152">
        <v>15.1261910466059</v>
      </c>
      <c r="AL3152">
        <v>93.593834177769196</v>
      </c>
      <c r="AM3152">
        <v>92.3658578979434</v>
      </c>
      <c r="AN3152">
        <v>1.00000003799479</v>
      </c>
    </row>
    <row r="3153" spans="1:40" x14ac:dyDescent="0.25">
      <c r="A3153" t="str">
        <f>"20190305135255529"</f>
        <v>20190305135255529</v>
      </c>
      <c r="B3153" t="str">
        <f>"1551765175522845"</f>
        <v>1551765175522845</v>
      </c>
      <c r="C3153" t="s">
        <v>40</v>
      </c>
      <c r="D3153">
        <v>4.6691989999999999</v>
      </c>
      <c r="E3153">
        <v>0.51669560000000003</v>
      </c>
      <c r="F3153" t="s">
        <v>56</v>
      </c>
      <c r="G3153">
        <v>-390.62079999999997</v>
      </c>
      <c r="H3153" s="1">
        <v>-1.2064399999999901E-6</v>
      </c>
      <c r="I3153">
        <v>214.26130000000001</v>
      </c>
      <c r="J3153">
        <v>-405.79039999999998</v>
      </c>
      <c r="K3153">
        <v>1.107818</v>
      </c>
      <c r="L3153">
        <v>214.7099</v>
      </c>
      <c r="M3153">
        <v>0.99964699999999995</v>
      </c>
      <c r="N3153">
        <v>-5.5333669999999904E-3</v>
      </c>
      <c r="O3153">
        <v>-2.598396E-2</v>
      </c>
      <c r="P3153">
        <v>0.99749650000000001</v>
      </c>
      <c r="Q3153">
        <v>-6.887153E-2</v>
      </c>
      <c r="R3153">
        <v>1.6044269999999999E-2</v>
      </c>
      <c r="S3153">
        <v>2.9942319999999998</v>
      </c>
      <c r="T3153">
        <v>-0.21207090000000001</v>
      </c>
      <c r="U3153">
        <v>-8.8211059999999994E-2</v>
      </c>
      <c r="V3153">
        <v>-4.1940480000000002E-2</v>
      </c>
      <c r="W3153">
        <v>-6.3366829999999999E-2</v>
      </c>
      <c r="X3153">
        <v>0.99710860000000001</v>
      </c>
      <c r="Y3153">
        <v>3.5102919999999999E-3</v>
      </c>
      <c r="Z3153">
        <v>1.5598579999999999E-3</v>
      </c>
      <c r="AA3153">
        <v>0.99999260000000001</v>
      </c>
      <c r="AB3153">
        <v>43</v>
      </c>
      <c r="AC3153">
        <v>15.169600000000001</v>
      </c>
      <c r="AD3153">
        <v>-1.1078192064400001</v>
      </c>
      <c r="AE3153">
        <v>-0.448599999999998</v>
      </c>
      <c r="AF3153">
        <v>5.3988516909786399E-2</v>
      </c>
      <c r="AG3153">
        <v>-1.1078192064400001</v>
      </c>
      <c r="AH3153">
        <v>15.0956962326986</v>
      </c>
      <c r="AI3153">
        <v>94.197181789284301</v>
      </c>
      <c r="AJ3153">
        <v>89.795087227186997</v>
      </c>
      <c r="AK3153">
        <v>15.136387379557499</v>
      </c>
      <c r="AL3153">
        <v>93.633086194057199</v>
      </c>
      <c r="AM3153">
        <v>92.408560957677395</v>
      </c>
      <c r="AN3153">
        <v>0.99999995960041799</v>
      </c>
    </row>
    <row r="3154" spans="1:40" x14ac:dyDescent="0.25">
      <c r="A3154" t="str">
        <f>"20190305135255553"</f>
        <v>20190305135255553</v>
      </c>
      <c r="B3154" t="str">
        <f>"1551765175543340"</f>
        <v>1551765175543340</v>
      </c>
      <c r="C3154" t="s">
        <v>40</v>
      </c>
      <c r="D3154">
        <v>4.6548559999999997</v>
      </c>
      <c r="E3154">
        <v>0.51669189999999998</v>
      </c>
      <c r="F3154" t="s">
        <v>41</v>
      </c>
      <c r="G3154">
        <v>-404.7509</v>
      </c>
      <c r="H3154">
        <v>1.0344310000000001</v>
      </c>
      <c r="I3154">
        <v>214.6799</v>
      </c>
      <c r="J3154">
        <v>-405.32470000000001</v>
      </c>
      <c r="K3154">
        <v>1.1078049999999999</v>
      </c>
      <c r="L3154">
        <v>214.6978</v>
      </c>
      <c r="M3154">
        <v>0.99964819999999999</v>
      </c>
      <c r="N3154">
        <v>-5.5679709999999997E-3</v>
      </c>
      <c r="O3154">
        <v>-2.5935969999999999E-2</v>
      </c>
      <c r="P3154">
        <v>0.99751959999999995</v>
      </c>
      <c r="Q3154">
        <v>-6.8368200000000004E-2</v>
      </c>
      <c r="R3154">
        <v>1.676323E-2</v>
      </c>
      <c r="S3154">
        <v>2.9942630000000001</v>
      </c>
      <c r="T3154">
        <v>-0.2114866</v>
      </c>
      <c r="U3154">
        <v>-8.5311890000000001E-2</v>
      </c>
      <c r="V3154">
        <v>-4.2613749999999999E-2</v>
      </c>
      <c r="W3154">
        <v>-6.2827809999999998E-2</v>
      </c>
      <c r="X3154">
        <v>0.99711419999999995</v>
      </c>
      <c r="Y3154">
        <v>2.5925980000000002E-3</v>
      </c>
      <c r="Z3154">
        <v>1.586004E-3</v>
      </c>
      <c r="AA3154">
        <v>0.99999539999999998</v>
      </c>
      <c r="AB3154">
        <v>44</v>
      </c>
      <c r="AC3154">
        <v>0.57380000000000497</v>
      </c>
      <c r="AD3154">
        <v>-7.3373999999999995E-2</v>
      </c>
      <c r="AE3154">
        <v>-1.78999999999973E-2</v>
      </c>
      <c r="AF3154">
        <v>2.9632819442434702E-3</v>
      </c>
      <c r="AG3154">
        <v>-7.3373999999999995E-2</v>
      </c>
      <c r="AH3154">
        <v>0.56484404313842496</v>
      </c>
      <c r="AI3154">
        <v>97.401252670782696</v>
      </c>
      <c r="AJ3154">
        <v>89.699417930710894</v>
      </c>
      <c r="AK3154">
        <v>0.56959750524808594</v>
      </c>
      <c r="AL3154">
        <v>93.602140825695699</v>
      </c>
      <c r="AM3154">
        <v>92.447165194378698</v>
      </c>
      <c r="AN3154">
        <v>0.99999999662004901</v>
      </c>
    </row>
    <row r="3155" spans="1:40" x14ac:dyDescent="0.25">
      <c r="A3155" t="str">
        <f>"20190305135255573"</f>
        <v>20190305135255573</v>
      </c>
      <c r="B3155" t="str">
        <f>"1551765175562860"</f>
        <v>1551765175562860</v>
      </c>
      <c r="C3155" t="s">
        <v>40</v>
      </c>
      <c r="D3155">
        <v>4.6499550000000003</v>
      </c>
      <c r="E3155">
        <v>0.51672229999999997</v>
      </c>
      <c r="F3155" t="s">
        <v>41</v>
      </c>
      <c r="G3155">
        <v>-404.35500000000002</v>
      </c>
      <c r="H3155">
        <v>1.040483</v>
      </c>
      <c r="I3155">
        <v>214.67080000000001</v>
      </c>
      <c r="J3155">
        <v>-404.92669999999998</v>
      </c>
      <c r="K3155">
        <v>1.1078049999999999</v>
      </c>
      <c r="L3155">
        <v>214.6875</v>
      </c>
      <c r="M3155">
        <v>0.99964920000000002</v>
      </c>
      <c r="N3155">
        <v>-5.5975510000000001E-3</v>
      </c>
      <c r="O3155">
        <v>-2.588708E-2</v>
      </c>
      <c r="P3155">
        <v>0.99751970000000001</v>
      </c>
      <c r="Q3155">
        <v>-6.8156720000000004E-2</v>
      </c>
      <c r="R3155">
        <v>1.7580269999999999E-2</v>
      </c>
      <c r="S3155">
        <v>2.9945979999999999</v>
      </c>
      <c r="T3155">
        <v>-0.20793</v>
      </c>
      <c r="U3155">
        <v>-8.2916260000000006E-2</v>
      </c>
      <c r="V3155">
        <v>-4.3383209999999998E-2</v>
      </c>
      <c r="W3155">
        <v>-6.2586669999999997E-2</v>
      </c>
      <c r="X3155">
        <v>0.99709619999999999</v>
      </c>
      <c r="Y3155">
        <v>1.838992E-3</v>
      </c>
      <c r="Z3155">
        <v>1.5810010000000001E-3</v>
      </c>
      <c r="AA3155">
        <v>0.99999709999999997</v>
      </c>
      <c r="AB3155">
        <v>44</v>
      </c>
      <c r="AC3155">
        <v>0.57169999999996401</v>
      </c>
      <c r="AD3155">
        <v>-6.7321999999999799E-2</v>
      </c>
      <c r="AE3155">
        <v>-1.66999999999859E-2</v>
      </c>
      <c r="AF3155">
        <v>1.86863767201896E-3</v>
      </c>
      <c r="AG3155">
        <v>-6.7321999999999799E-2</v>
      </c>
      <c r="AH3155">
        <v>0.56412476224124197</v>
      </c>
      <c r="AI3155">
        <v>96.805390113156093</v>
      </c>
      <c r="AJ3155">
        <v>89.810211024884296</v>
      </c>
      <c r="AK3155">
        <v>0.56813069875204503</v>
      </c>
      <c r="AL3155">
        <v>93.588297217487295</v>
      </c>
      <c r="AM3155">
        <v>92.491342446025101</v>
      </c>
      <c r="AN3155">
        <v>1.00000001311301</v>
      </c>
    </row>
    <row r="3156" spans="1:40" x14ac:dyDescent="0.25">
      <c r="A3156" t="str">
        <f>"20190305135255595"</f>
        <v>20190305135255595</v>
      </c>
      <c r="B3156" t="str">
        <f>"1551765175592479"</f>
        <v>1551765175592479</v>
      </c>
      <c r="C3156" t="s">
        <v>40</v>
      </c>
      <c r="D3156">
        <v>4.6087610000000003</v>
      </c>
      <c r="E3156">
        <v>0.51690999999999998</v>
      </c>
      <c r="F3156" t="s">
        <v>41</v>
      </c>
      <c r="G3156">
        <v>-403.96120000000002</v>
      </c>
      <c r="H3156">
        <v>1.041736</v>
      </c>
      <c r="I3156">
        <v>214.66130000000001</v>
      </c>
      <c r="J3156">
        <v>-404.5034</v>
      </c>
      <c r="K3156">
        <v>1.107812</v>
      </c>
      <c r="L3156">
        <v>214.67660000000001</v>
      </c>
      <c r="M3156">
        <v>0.99965130000000002</v>
      </c>
      <c r="N3156">
        <v>-5.6291359999999999E-3</v>
      </c>
      <c r="O3156">
        <v>-2.5806530000000001E-2</v>
      </c>
      <c r="P3156">
        <v>0.99753199999999997</v>
      </c>
      <c r="Q3156">
        <v>-6.7877229999999997E-2</v>
      </c>
      <c r="R3156">
        <v>1.7977070000000001E-2</v>
      </c>
      <c r="S3156">
        <v>2.9948730000000001</v>
      </c>
      <c r="T3156">
        <v>-0.20497319999999999</v>
      </c>
      <c r="U3156">
        <v>-8.0780030000000003E-2</v>
      </c>
      <c r="V3156">
        <v>-4.3698340000000002E-2</v>
      </c>
      <c r="W3156">
        <v>-6.2276560000000002E-2</v>
      </c>
      <c r="X3156">
        <v>0.99710180000000004</v>
      </c>
      <c r="Y3156">
        <v>1.20418E-3</v>
      </c>
      <c r="Z3156">
        <v>1.5738919999999999E-3</v>
      </c>
      <c r="AA3156">
        <v>0.99999800000000005</v>
      </c>
      <c r="AB3156">
        <v>44</v>
      </c>
      <c r="AC3156">
        <v>0.54219999999997903</v>
      </c>
      <c r="AD3156">
        <v>-6.6075999999999996E-2</v>
      </c>
      <c r="AE3156">
        <v>-1.5299999999996299E-2</v>
      </c>
      <c r="AF3156">
        <v>1.28334042311861E-3</v>
      </c>
      <c r="AG3156">
        <v>-6.6075999999999996E-2</v>
      </c>
      <c r="AH3156">
        <v>0.53448274316802702</v>
      </c>
      <c r="AI3156">
        <v>97.047473761225405</v>
      </c>
      <c r="AJ3156">
        <v>89.862428021188805</v>
      </c>
      <c r="AK3156">
        <v>0.53855314267308896</v>
      </c>
      <c r="AL3156">
        <v>93.5704946945785</v>
      </c>
      <c r="AM3156">
        <v>92.509402107871395</v>
      </c>
      <c r="AN3156">
        <v>0.99999995720371304</v>
      </c>
    </row>
    <row r="3157" spans="1:40" x14ac:dyDescent="0.25">
      <c r="A3157" t="str">
        <f>"20190305135255618"</f>
        <v>20190305135255618</v>
      </c>
      <c r="B3157" t="str">
        <f>"1551765175612976"</f>
        <v>1551765175612976</v>
      </c>
      <c r="C3157" t="s">
        <v>40</v>
      </c>
      <c r="D3157">
        <v>4.5815729999999997</v>
      </c>
      <c r="E3157">
        <v>0.53403020000000001</v>
      </c>
      <c r="F3157" t="s">
        <v>41</v>
      </c>
      <c r="G3157">
        <v>-403.56509999999997</v>
      </c>
      <c r="H3157">
        <v>1.0448770000000001</v>
      </c>
      <c r="I3157">
        <v>214.65100000000001</v>
      </c>
      <c r="J3157">
        <v>-404.04259999999999</v>
      </c>
      <c r="K3157">
        <v>1.107831</v>
      </c>
      <c r="L3157">
        <v>214.66480000000001</v>
      </c>
      <c r="M3157">
        <v>0.99965479999999995</v>
      </c>
      <c r="N3157">
        <v>-5.6634880000000004E-3</v>
      </c>
      <c r="O3157">
        <v>-2.5657180000000002E-2</v>
      </c>
      <c r="P3157">
        <v>0.9975231</v>
      </c>
      <c r="Q3157">
        <v>-6.7956180000000005E-2</v>
      </c>
      <c r="R3157">
        <v>1.8160010000000001E-2</v>
      </c>
      <c r="S3157">
        <v>2.9952390000000002</v>
      </c>
      <c r="T3157">
        <v>-0.20102610000000001</v>
      </c>
      <c r="U3157">
        <v>-8.094788E-2</v>
      </c>
      <c r="V3157">
        <v>-4.372815E-2</v>
      </c>
      <c r="W3157">
        <v>-6.2324419999999998E-2</v>
      </c>
      <c r="X3157">
        <v>0.99709760000000003</v>
      </c>
      <c r="Y3157">
        <v>1.4034449999999999E-3</v>
      </c>
      <c r="Z3157">
        <v>1.5232749999999999E-3</v>
      </c>
      <c r="AA3157">
        <v>0.9999979</v>
      </c>
      <c r="AB3157">
        <v>44</v>
      </c>
      <c r="AC3157">
        <v>0.47750000000002002</v>
      </c>
      <c r="AD3157">
        <v>-6.2953999999999899E-2</v>
      </c>
      <c r="AE3157">
        <v>-1.38000000000317E-2</v>
      </c>
      <c r="AF3157">
        <v>1.5176005574289099E-3</v>
      </c>
      <c r="AG3157">
        <v>-6.2953999999999899E-2</v>
      </c>
      <c r="AH3157">
        <v>0.46954210418980102</v>
      </c>
      <c r="AI3157">
        <v>97.636369066713598</v>
      </c>
      <c r="AJ3157">
        <v>89.814815746287493</v>
      </c>
      <c r="AK3157">
        <v>0.47374602566611401</v>
      </c>
      <c r="AL3157">
        <v>93.573241860956401</v>
      </c>
      <c r="AM3157">
        <v>92.5111223374346</v>
      </c>
      <c r="AN3157">
        <v>1.0000000541782501</v>
      </c>
    </row>
    <row r="3158" spans="1:40" x14ac:dyDescent="0.25">
      <c r="A3158" t="str">
        <f>"20190305135255641"</f>
        <v>20190305135255641</v>
      </c>
      <c r="B3158" t="str">
        <f>"1551765175632496"</f>
        <v>1551765175632496</v>
      </c>
      <c r="C3158" t="s">
        <v>40</v>
      </c>
      <c r="D3158">
        <v>4.5769070000000003</v>
      </c>
      <c r="E3158">
        <v>0.53641729999999999</v>
      </c>
      <c r="F3158" t="s">
        <v>56</v>
      </c>
      <c r="G3158">
        <v>-367.88760000000002</v>
      </c>
      <c r="H3158" s="1">
        <v>2.660616E-6</v>
      </c>
      <c r="I3158">
        <v>212.1156</v>
      </c>
      <c r="J3158">
        <v>-403.60109999999997</v>
      </c>
      <c r="K3158">
        <v>1.107877</v>
      </c>
      <c r="L3158">
        <v>214.65369999999999</v>
      </c>
      <c r="M3158">
        <v>0.99966060000000001</v>
      </c>
      <c r="N3158">
        <v>-5.6964919999999896E-3</v>
      </c>
      <c r="O3158">
        <v>-2.542734E-2</v>
      </c>
      <c r="P3158">
        <v>0.99750300000000003</v>
      </c>
      <c r="Q3158">
        <v>-6.837472E-2</v>
      </c>
      <c r="R3158">
        <v>1.768457E-2</v>
      </c>
      <c r="S3158">
        <v>3.0050349999999999</v>
      </c>
      <c r="T3158">
        <v>-9.2077489999999998E-2</v>
      </c>
      <c r="U3158">
        <v>-0.2118835</v>
      </c>
      <c r="V3158">
        <v>-4.3014860000000002E-2</v>
      </c>
      <c r="W3158">
        <v>-6.2715110000000004E-2</v>
      </c>
      <c r="X3158">
        <v>0.99710399999999999</v>
      </c>
      <c r="Y3158">
        <v>4.4930339999999999E-2</v>
      </c>
      <c r="Z3158">
        <v>-1.8245920000000001E-4</v>
      </c>
      <c r="AA3158">
        <v>0.99899009999999999</v>
      </c>
      <c r="AB3158">
        <v>44</v>
      </c>
      <c r="AC3158">
        <v>35.713499999999897</v>
      </c>
      <c r="AD3158">
        <v>-1.107874339384</v>
      </c>
      <c r="AE3158">
        <v>-2.53809999999998</v>
      </c>
      <c r="AF3158">
        <v>1.6276070429699601</v>
      </c>
      <c r="AG3158">
        <v>-1.107874339384</v>
      </c>
      <c r="AH3158">
        <v>35.732277833263701</v>
      </c>
      <c r="AI3158">
        <v>91.774040560024801</v>
      </c>
      <c r="AJ3158">
        <v>87.391977094602296</v>
      </c>
      <c r="AK3158">
        <v>35.786480259893402</v>
      </c>
      <c r="AL3158">
        <v>93.595671089848096</v>
      </c>
      <c r="AM3158">
        <v>92.470196439001498</v>
      </c>
      <c r="AN3158">
        <v>0.99999992500956303</v>
      </c>
    </row>
    <row r="3159" spans="1:40" x14ac:dyDescent="0.25">
      <c r="A3159" t="str">
        <f>"20190305135255664"</f>
        <v>20190305135255664</v>
      </c>
      <c r="B3159" t="str">
        <f>"1551765175652992"</f>
        <v>1551765175652992</v>
      </c>
      <c r="C3159" t="s">
        <v>40</v>
      </c>
      <c r="D3159">
        <v>4.5959440000000003</v>
      </c>
      <c r="E3159">
        <v>0.53731569999999995</v>
      </c>
      <c r="F3159" t="s">
        <v>56</v>
      </c>
      <c r="G3159">
        <v>-362.66210000000001</v>
      </c>
      <c r="H3159" s="1">
        <v>-1.2015900000000001E-7</v>
      </c>
      <c r="I3159">
        <v>211.494</v>
      </c>
      <c r="J3159">
        <v>-403.13049999999998</v>
      </c>
      <c r="K3159">
        <v>1.1079559999999999</v>
      </c>
      <c r="L3159">
        <v>214.64189999999999</v>
      </c>
      <c r="M3159">
        <v>0.99966969999999999</v>
      </c>
      <c r="N3159">
        <v>-5.7320720000000004E-3</v>
      </c>
      <c r="O3159">
        <v>-2.5059990000000001E-2</v>
      </c>
      <c r="P3159">
        <v>0.99746809999999997</v>
      </c>
      <c r="Q3159">
        <v>-6.8994749999999994E-2</v>
      </c>
      <c r="R3159">
        <v>1.7254559999999999E-2</v>
      </c>
      <c r="S3159">
        <v>3.0060730000000002</v>
      </c>
      <c r="T3159">
        <v>-8.1349249999999998E-2</v>
      </c>
      <c r="U3159">
        <v>-0.23200989999999999</v>
      </c>
      <c r="V3159">
        <v>-4.220546E-2</v>
      </c>
      <c r="W3159">
        <v>-6.3307810000000006E-2</v>
      </c>
      <c r="X3159">
        <v>0.99710120000000002</v>
      </c>
      <c r="Y3159">
        <v>5.1924030000000003E-2</v>
      </c>
      <c r="Z3159">
        <v>-3.1711629999999998E-4</v>
      </c>
      <c r="AA3159">
        <v>0.99865099999999996</v>
      </c>
      <c r="AB3159">
        <v>44</v>
      </c>
      <c r="AC3159">
        <v>40.468399999999903</v>
      </c>
      <c r="AD3159">
        <v>-1.107956120159</v>
      </c>
      <c r="AE3159">
        <v>-3.14789999999996</v>
      </c>
      <c r="AF3159">
        <v>2.1311693378726799</v>
      </c>
      <c r="AG3159">
        <v>-1.107956120159</v>
      </c>
      <c r="AH3159">
        <v>40.5043997340589</v>
      </c>
      <c r="AI3159">
        <v>91.564712977056701</v>
      </c>
      <c r="AJ3159">
        <v>86.988116968863594</v>
      </c>
      <c r="AK3159">
        <v>40.575557264532002</v>
      </c>
      <c r="AL3159">
        <v>93.629697678302193</v>
      </c>
      <c r="AM3159">
        <v>92.423778124076804</v>
      </c>
      <c r="AN3159">
        <v>0.99999999135112305</v>
      </c>
    </row>
    <row r="3160" spans="1:40" x14ac:dyDescent="0.25">
      <c r="A3160" t="str">
        <f>"20190305135255685"</f>
        <v>20190305135255685</v>
      </c>
      <c r="B3160" t="str">
        <f>"1551765175683247"</f>
        <v>1551765175683247</v>
      </c>
      <c r="C3160" t="s">
        <v>40</v>
      </c>
      <c r="D3160">
        <v>4.5440990000000001</v>
      </c>
      <c r="E3160">
        <v>0.53781319999999999</v>
      </c>
      <c r="F3160" t="s">
        <v>56</v>
      </c>
      <c r="G3160">
        <v>-360.15890000000002</v>
      </c>
      <c r="H3160" s="1">
        <v>-1.452252E-6</v>
      </c>
      <c r="I3160">
        <v>211.20859999999999</v>
      </c>
      <c r="J3160">
        <v>-402.72190000000001</v>
      </c>
      <c r="K3160">
        <v>1.1080559999999999</v>
      </c>
      <c r="L3160">
        <v>214.63200000000001</v>
      </c>
      <c r="M3160">
        <v>0.99968069999999998</v>
      </c>
      <c r="N3160">
        <v>-5.7630939999999999E-3</v>
      </c>
      <c r="O3160">
        <v>-2.4606969999999999E-2</v>
      </c>
      <c r="P3160">
        <v>0.99745399999999995</v>
      </c>
      <c r="Q3160">
        <v>-6.9247820000000002E-2</v>
      </c>
      <c r="R3160">
        <v>1.70393E-2</v>
      </c>
      <c r="S3160">
        <v>3.0064090000000001</v>
      </c>
      <c r="T3160">
        <v>-7.7515600000000004E-2</v>
      </c>
      <c r="U3160">
        <v>-0.2402039</v>
      </c>
      <c r="V3160">
        <v>-4.152256E-2</v>
      </c>
      <c r="W3160">
        <v>-6.3539199999999907E-2</v>
      </c>
      <c r="X3160">
        <v>0.99711510000000003</v>
      </c>
      <c r="Y3160">
        <v>5.507277E-2</v>
      </c>
      <c r="Z3160">
        <v>-3.7619710000000002E-4</v>
      </c>
      <c r="AA3160">
        <v>0.99848230000000004</v>
      </c>
      <c r="AB3160">
        <v>44</v>
      </c>
      <c r="AC3160">
        <v>42.562999999999903</v>
      </c>
      <c r="AD3160">
        <v>-1.1080574522519999</v>
      </c>
      <c r="AE3160">
        <v>-3.4234000000000102</v>
      </c>
      <c r="AF3160">
        <v>2.3734014274239601</v>
      </c>
      <c r="AG3160">
        <v>-1.1080574522519999</v>
      </c>
      <c r="AH3160">
        <v>42.605662741836902</v>
      </c>
      <c r="AI3160">
        <v>91.487466511386401</v>
      </c>
      <c r="AJ3160">
        <v>86.811562728585301</v>
      </c>
      <c r="AK3160">
        <v>42.686102226888103</v>
      </c>
      <c r="AL3160">
        <v>93.642982289743401</v>
      </c>
      <c r="AM3160">
        <v>92.384572934687</v>
      </c>
      <c r="AN3160">
        <v>0.99999993778679996</v>
      </c>
    </row>
    <row r="3161" spans="1:40" x14ac:dyDescent="0.25">
      <c r="A3161" t="str">
        <f>"20190305135255706"</f>
        <v>20190305135255706</v>
      </c>
      <c r="B3161" t="str">
        <f>"1551765175702768"</f>
        <v>1551765175702768</v>
      </c>
      <c r="C3161" t="s">
        <v>40</v>
      </c>
      <c r="D3161">
        <v>4.5312390000000002</v>
      </c>
      <c r="E3161">
        <v>0.53790909999999903</v>
      </c>
      <c r="F3161" t="s">
        <v>56</v>
      </c>
      <c r="G3161">
        <v>-358.70339999999999</v>
      </c>
      <c r="H3161" s="1">
        <v>3.250576E-6</v>
      </c>
      <c r="I3161">
        <v>211.05090000000001</v>
      </c>
      <c r="J3161">
        <v>-402.29790000000003</v>
      </c>
      <c r="K3161">
        <v>1.108182</v>
      </c>
      <c r="L3161">
        <v>214.62200000000001</v>
      </c>
      <c r="M3161">
        <v>0.99969560000000002</v>
      </c>
      <c r="N3161">
        <v>-5.7959219999999898E-3</v>
      </c>
      <c r="O3161">
        <v>-2.3988140000000002E-2</v>
      </c>
      <c r="P3161">
        <v>0.99741310000000005</v>
      </c>
      <c r="Q3161">
        <v>-6.974967E-2</v>
      </c>
      <c r="R3161">
        <v>1.739537E-2</v>
      </c>
      <c r="S3161">
        <v>3.006561</v>
      </c>
      <c r="T3161">
        <v>-7.5682399999999997E-2</v>
      </c>
      <c r="U3161">
        <v>-0.24459839999999999</v>
      </c>
      <c r="V3161">
        <v>-4.1241729999999997E-2</v>
      </c>
      <c r="W3161">
        <v>-6.4020309999999997E-2</v>
      </c>
      <c r="X3161">
        <v>0.99709610000000004</v>
      </c>
      <c r="Y3161">
        <v>5.7136430000000002E-2</v>
      </c>
      <c r="Z3161">
        <v>-4.1999140000000001E-4</v>
      </c>
      <c r="AA3161">
        <v>0.99836630000000004</v>
      </c>
      <c r="AB3161">
        <v>44</v>
      </c>
      <c r="AC3161">
        <v>43.594499999999996</v>
      </c>
      <c r="AD3161">
        <v>-1.1081787494239901</v>
      </c>
      <c r="AE3161">
        <v>-3.5710999999999999</v>
      </c>
      <c r="AF3161">
        <v>2.5226847352572701</v>
      </c>
      <c r="AG3161">
        <v>-1.1081787494239901</v>
      </c>
      <c r="AH3161">
        <v>43.639609183322499</v>
      </c>
      <c r="AI3161">
        <v>91.452225830336403</v>
      </c>
      <c r="AJ3161">
        <v>86.691571897642604</v>
      </c>
      <c r="AK3161">
        <v>43.726507842352298</v>
      </c>
      <c r="AL3161">
        <v>93.6706036658762</v>
      </c>
      <c r="AM3161">
        <v>92.368508834624507</v>
      </c>
      <c r="AN3161">
        <v>1.00000005651054</v>
      </c>
    </row>
    <row r="3162" spans="1:40" x14ac:dyDescent="0.25">
      <c r="A3162" t="str">
        <f>"20190305135255732"</f>
        <v>20190305135255732</v>
      </c>
      <c r="B3162" t="str">
        <f>"1551765175723264"</f>
        <v>1551765175723264</v>
      </c>
      <c r="C3162" t="s">
        <v>40</v>
      </c>
      <c r="D3162">
        <v>4.5199339999999903</v>
      </c>
      <c r="E3162">
        <v>0.53785919999999998</v>
      </c>
      <c r="F3162" t="s">
        <v>56</v>
      </c>
      <c r="G3162">
        <v>-358.36189999999999</v>
      </c>
      <c r="H3162" s="1">
        <v>3.0687209999999999E-6</v>
      </c>
      <c r="I3162">
        <v>211.05359999999999</v>
      </c>
      <c r="J3162">
        <v>-401.79300000000001</v>
      </c>
      <c r="K3162">
        <v>1.108336</v>
      </c>
      <c r="L3162">
        <v>214.61060000000001</v>
      </c>
      <c r="M3162">
        <v>0.99971739999999998</v>
      </c>
      <c r="N3162">
        <v>-5.8356049999999998E-3</v>
      </c>
      <c r="O3162">
        <v>-2.3050399999999999E-2</v>
      </c>
      <c r="P3162">
        <v>0.99740090000000003</v>
      </c>
      <c r="Q3162">
        <v>-6.9658269999999994E-2</v>
      </c>
      <c r="R3162">
        <v>1.841895E-2</v>
      </c>
      <c r="S3162">
        <v>3.0067439999999999</v>
      </c>
      <c r="T3162">
        <v>-7.5837730000000006E-2</v>
      </c>
      <c r="U3162">
        <v>-0.24420169999999999</v>
      </c>
      <c r="V3162">
        <v>-4.1305269999999998E-2</v>
      </c>
      <c r="W3162">
        <v>-6.3905329999999996E-2</v>
      </c>
      <c r="X3162">
        <v>0.99710080000000001</v>
      </c>
      <c r="Y3162">
        <v>5.7936500000000002E-2</v>
      </c>
      <c r="Z3162">
        <v>-4.5284520000000002E-4</v>
      </c>
      <c r="AA3162">
        <v>0.99832019999999999</v>
      </c>
      <c r="AB3162">
        <v>45</v>
      </c>
      <c r="AC3162">
        <v>43.431100000000001</v>
      </c>
      <c r="AD3162">
        <v>-1.108332931279</v>
      </c>
      <c r="AE3162">
        <v>-3.5570000000000102</v>
      </c>
      <c r="AF3162">
        <v>2.5532820303028601</v>
      </c>
      <c r="AG3162">
        <v>-1.108332931279</v>
      </c>
      <c r="AH3162">
        <v>43.4734289561612</v>
      </c>
      <c r="AI3162">
        <v>91.457899144006603</v>
      </c>
      <c r="AJ3162">
        <v>86.6387647408079</v>
      </c>
      <c r="AK3162">
        <v>43.562445709799398</v>
      </c>
      <c r="AL3162">
        <v>93.664002446917394</v>
      </c>
      <c r="AM3162">
        <v>92.372142596971997</v>
      </c>
      <c r="AN3162">
        <v>1.00000001094641</v>
      </c>
    </row>
    <row r="3163" spans="1:40" x14ac:dyDescent="0.25">
      <c r="A3163" t="str">
        <f>"20190305135255753"</f>
        <v>20190305135255753</v>
      </c>
      <c r="B3163" t="str">
        <f>"1551765175742783"</f>
        <v>1551765175742783</v>
      </c>
      <c r="C3163" t="s">
        <v>40</v>
      </c>
      <c r="D3163">
        <v>4.5492980000000003</v>
      </c>
      <c r="E3163">
        <v>0.53783400000000003</v>
      </c>
      <c r="F3163" t="s">
        <v>56</v>
      </c>
      <c r="G3163">
        <v>-356.33580000000001</v>
      </c>
      <c r="H3163" s="1">
        <v>1.9940689999999999E-6</v>
      </c>
      <c r="I3163">
        <v>210.9727</v>
      </c>
      <c r="J3163">
        <v>-401.35340000000002</v>
      </c>
      <c r="K3163">
        <v>1.1084700000000001</v>
      </c>
      <c r="L3163">
        <v>214.6011</v>
      </c>
      <c r="M3163">
        <v>0.99973880000000004</v>
      </c>
      <c r="N3163">
        <v>-5.869918E-3</v>
      </c>
      <c r="O3163">
        <v>-2.2096129999999999E-2</v>
      </c>
      <c r="P3163">
        <v>0.99738130000000003</v>
      </c>
      <c r="Q3163">
        <v>-6.9610340000000007E-2</v>
      </c>
      <c r="R3163">
        <v>1.9626979999999999E-2</v>
      </c>
      <c r="S3163">
        <v>3.0071409999999998</v>
      </c>
      <c r="T3163">
        <v>-7.3319910000000002E-2</v>
      </c>
      <c r="U3163">
        <v>-0.2406616</v>
      </c>
      <c r="V3163">
        <v>-4.1539840000000001E-2</v>
      </c>
      <c r="W3163">
        <v>-6.383722E-2</v>
      </c>
      <c r="X3163">
        <v>0.99709539999999997</v>
      </c>
      <c r="Y3163">
        <v>5.7711999999999999E-2</v>
      </c>
      <c r="Z3163">
        <v>-4.6388670000000002E-4</v>
      </c>
      <c r="AA3163">
        <v>0.99833320000000003</v>
      </c>
      <c r="AB3163">
        <v>45</v>
      </c>
      <c r="AC3163">
        <v>45.017600000000002</v>
      </c>
      <c r="AD3163">
        <v>-1.1084680059309999</v>
      </c>
      <c r="AE3163">
        <v>-3.6283999999999899</v>
      </c>
      <c r="AF3163">
        <v>2.6311974231141799</v>
      </c>
      <c r="AG3163">
        <v>-1.1084680059309999</v>
      </c>
      <c r="AH3163">
        <v>45.0596406160548</v>
      </c>
      <c r="AI3163">
        <v>91.406797579246501</v>
      </c>
      <c r="AJ3163">
        <v>86.658084613508393</v>
      </c>
      <c r="AK3163">
        <v>45.150006795653802</v>
      </c>
      <c r="AL3163">
        <v>93.660092113336901</v>
      </c>
      <c r="AM3163">
        <v>92.385611228740899</v>
      </c>
      <c r="AN3163">
        <v>0.99999999283285701</v>
      </c>
    </row>
    <row r="3164" spans="1:40" x14ac:dyDescent="0.25">
      <c r="A3164" t="str">
        <f>"20190305135255774"</f>
        <v>20190305135255774</v>
      </c>
      <c r="B3164" t="str">
        <f>"1551765175762303"</f>
        <v>1551765175762303</v>
      </c>
      <c r="C3164" t="s">
        <v>40</v>
      </c>
      <c r="D3164">
        <v>4.5389239999999997</v>
      </c>
      <c r="E3164">
        <v>0.53790109999999902</v>
      </c>
      <c r="F3164" t="s">
        <v>56</v>
      </c>
      <c r="G3164">
        <v>-354.42790000000002</v>
      </c>
      <c r="H3164" s="1">
        <v>9.8153690000000007E-7</v>
      </c>
      <c r="I3164">
        <v>210.9093</v>
      </c>
      <c r="J3164">
        <v>-400.94349999999997</v>
      </c>
      <c r="K3164">
        <v>1.1085929999999999</v>
      </c>
      <c r="L3164">
        <v>214.59270000000001</v>
      </c>
      <c r="M3164">
        <v>0.99976010000000004</v>
      </c>
      <c r="N3164">
        <v>-5.9014200000000001E-3</v>
      </c>
      <c r="O3164">
        <v>-2.109691E-2</v>
      </c>
      <c r="P3164">
        <v>0.99738199999999999</v>
      </c>
      <c r="Q3164">
        <v>-6.9163760000000005E-2</v>
      </c>
      <c r="R3164">
        <v>2.1106730000000001E-2</v>
      </c>
      <c r="S3164">
        <v>3.0075379999999998</v>
      </c>
      <c r="T3164">
        <v>-7.1043729999999999E-2</v>
      </c>
      <c r="U3164">
        <v>-0.23661799999999999</v>
      </c>
      <c r="V3164">
        <v>-4.2006080000000001E-2</v>
      </c>
      <c r="W3164">
        <v>-6.3372429999999993E-2</v>
      </c>
      <c r="X3164">
        <v>0.99710549999999998</v>
      </c>
      <c r="Y3164">
        <v>5.7366300000000002E-2</v>
      </c>
      <c r="Z3164">
        <v>-4.7292470000000002E-4</v>
      </c>
      <c r="AA3164">
        <v>0.99835309999999999</v>
      </c>
      <c r="AB3164">
        <v>45</v>
      </c>
      <c r="AC3164">
        <v>46.5155999999999</v>
      </c>
      <c r="AD3164">
        <v>-1.1085920184631</v>
      </c>
      <c r="AE3164">
        <v>-3.6833999999999998</v>
      </c>
      <c r="AF3164">
        <v>2.69970387303974</v>
      </c>
      <c r="AG3164">
        <v>-1.1085920184631</v>
      </c>
      <c r="AH3164">
        <v>46.556677340009799</v>
      </c>
      <c r="AI3164">
        <v>91.3617634491156</v>
      </c>
      <c r="AJ3164">
        <v>86.681279229888702</v>
      </c>
      <c r="AK3164">
        <v>46.648060862240499</v>
      </c>
      <c r="AL3164">
        <v>93.633407633726705</v>
      </c>
      <c r="AM3164">
        <v>92.412331283303701</v>
      </c>
      <c r="AN3164">
        <v>0.99999997688566</v>
      </c>
    </row>
    <row r="3165" spans="1:40" x14ac:dyDescent="0.25">
      <c r="A3165" t="str">
        <f>"20190305135255796"</f>
        <v>20190305135255796</v>
      </c>
      <c r="B3165" t="str">
        <f>"1551765175792560"</f>
        <v>1551765175792560</v>
      </c>
      <c r="C3165" t="s">
        <v>40</v>
      </c>
      <c r="D3165">
        <v>4.5443569999999998</v>
      </c>
      <c r="E3165">
        <v>0.53814910000000005</v>
      </c>
      <c r="F3165" t="s">
        <v>56</v>
      </c>
      <c r="G3165">
        <v>-352.66989999999998</v>
      </c>
      <c r="H3165" s="1">
        <v>4.8154259999999999E-8</v>
      </c>
      <c r="I3165">
        <v>210.8605</v>
      </c>
      <c r="J3165">
        <v>-400.51490000000001</v>
      </c>
      <c r="K3165">
        <v>1.108711</v>
      </c>
      <c r="L3165">
        <v>214.58439999999999</v>
      </c>
      <c r="M3165">
        <v>0.99978339999999999</v>
      </c>
      <c r="N3165">
        <v>-5.9339700000000002E-3</v>
      </c>
      <c r="O3165">
        <v>-1.9949540000000002E-2</v>
      </c>
      <c r="P3165">
        <v>0.99737469999999995</v>
      </c>
      <c r="Q3165">
        <v>-6.8726170000000003E-2</v>
      </c>
      <c r="R3165">
        <v>2.2814060000000001E-2</v>
      </c>
      <c r="S3165">
        <v>3.0079349999999998</v>
      </c>
      <c r="T3165">
        <v>-6.9076540000000006E-2</v>
      </c>
      <c r="U3165">
        <v>-0.23255919999999999</v>
      </c>
      <c r="V3165">
        <v>-4.2551699999999998E-2</v>
      </c>
      <c r="W3165">
        <v>-6.2915940000000004E-2</v>
      </c>
      <c r="X3165">
        <v>0.99711130000000003</v>
      </c>
      <c r="Y3165">
        <v>5.7163329999999998E-2</v>
      </c>
      <c r="Z3165">
        <v>-4.8613109999999998E-4</v>
      </c>
      <c r="AA3165">
        <v>0.99836469999999999</v>
      </c>
      <c r="AB3165">
        <v>45</v>
      </c>
      <c r="AC3165">
        <v>47.844999999999999</v>
      </c>
      <c r="AD3165">
        <v>-1.1087109518457301</v>
      </c>
      <c r="AE3165">
        <v>-3.72389999999998</v>
      </c>
      <c r="AF3165">
        <v>2.7671793566147098</v>
      </c>
      <c r="AG3165">
        <v>-1.1087109518457301</v>
      </c>
      <c r="AH3165">
        <v>47.884210984432698</v>
      </c>
      <c r="AI3165">
        <v>91.324180937778905</v>
      </c>
      <c r="AJ3165">
        <v>86.692614238125898</v>
      </c>
      <c r="AK3165">
        <v>47.976913022495303</v>
      </c>
      <c r="AL3165">
        <v>93.607200287086101</v>
      </c>
      <c r="AM3165">
        <v>92.443613291241206</v>
      </c>
      <c r="AN3165">
        <v>1.0000000036333301</v>
      </c>
    </row>
    <row r="3166" spans="1:40" x14ac:dyDescent="0.25">
      <c r="A3166" t="str">
        <f>"20190305135255819"</f>
        <v>20190305135255819</v>
      </c>
      <c r="B3166" t="str">
        <f>"1551765175813056"</f>
        <v>1551765175813056</v>
      </c>
      <c r="C3166" t="s">
        <v>40</v>
      </c>
      <c r="D3166">
        <v>4.5968169999999997</v>
      </c>
      <c r="E3166">
        <v>0.53817519999999996</v>
      </c>
      <c r="F3166" t="s">
        <v>56</v>
      </c>
      <c r="G3166">
        <v>-350.60879999999997</v>
      </c>
      <c r="H3166" s="1">
        <v>-1.0450440000000001E-6</v>
      </c>
      <c r="I3166">
        <v>210.77809999999999</v>
      </c>
      <c r="J3166">
        <v>-400.03140000000002</v>
      </c>
      <c r="K3166">
        <v>1.108832</v>
      </c>
      <c r="L3166">
        <v>214.57570000000001</v>
      </c>
      <c r="M3166">
        <v>0.99980999999999998</v>
      </c>
      <c r="N3166">
        <v>-5.9704290000000002E-3</v>
      </c>
      <c r="O3166">
        <v>-1.855592E-2</v>
      </c>
      <c r="P3166">
        <v>0.99735949999999995</v>
      </c>
      <c r="Q3166">
        <v>-6.8153039999999998E-2</v>
      </c>
      <c r="R3166">
        <v>2.509318E-2</v>
      </c>
      <c r="S3166">
        <v>3.0085449999999998</v>
      </c>
      <c r="T3166">
        <v>-6.6837670000000002E-2</v>
      </c>
      <c r="U3166">
        <v>-0.22946169999999999</v>
      </c>
      <c r="V3166">
        <v>-4.3423870000000003E-2</v>
      </c>
      <c r="W3166">
        <v>-6.232174E-2</v>
      </c>
      <c r="X3166">
        <v>0.99711099999999997</v>
      </c>
      <c r="Y3166">
        <v>5.7518020000000003E-2</v>
      </c>
      <c r="Z3166">
        <v>-5.0902779999999995E-4</v>
      </c>
      <c r="AA3166">
        <v>0.99834440000000002</v>
      </c>
      <c r="AB3166">
        <v>45</v>
      </c>
      <c r="AC3166">
        <v>49.422600000000003</v>
      </c>
      <c r="AD3166">
        <v>-1.108833045044</v>
      </c>
      <c r="AE3166">
        <v>-3.7976000000000099</v>
      </c>
      <c r="AF3166">
        <v>2.8784075870693702</v>
      </c>
      <c r="AG3166">
        <v>-1.108833045044</v>
      </c>
      <c r="AH3166">
        <v>49.459809435342699</v>
      </c>
      <c r="AI3166">
        <v>91.2821228690255</v>
      </c>
      <c r="AJ3166">
        <v>86.669320058814293</v>
      </c>
      <c r="AK3166">
        <v>49.5559026790906</v>
      </c>
      <c r="AL3166">
        <v>93.573088242232899</v>
      </c>
      <c r="AM3166">
        <v>92.493637491530293</v>
      </c>
      <c r="AN3166">
        <v>0.99999998904170195</v>
      </c>
    </row>
    <row r="3167" spans="1:40" x14ac:dyDescent="0.25">
      <c r="A3167" t="str">
        <f>"20190305135255841"</f>
        <v>20190305135255841</v>
      </c>
      <c r="B3167" t="str">
        <f>"1551765175832576"</f>
        <v>1551765175832576</v>
      </c>
      <c r="C3167" t="s">
        <v>40</v>
      </c>
      <c r="D3167">
        <v>4.5858179999999997</v>
      </c>
      <c r="E3167">
        <v>0.52710939999999995</v>
      </c>
      <c r="F3167" t="s">
        <v>56</v>
      </c>
      <c r="G3167">
        <v>-348.31810000000002</v>
      </c>
      <c r="H3167" s="1">
        <v>2.8897180000000001E-6</v>
      </c>
      <c r="I3167">
        <v>210.7484</v>
      </c>
      <c r="J3167">
        <v>-399.59500000000003</v>
      </c>
      <c r="K3167">
        <v>1.1089209999999901</v>
      </c>
      <c r="L3167">
        <v>214.5684</v>
      </c>
      <c r="M3167">
        <v>0.99983359999999999</v>
      </c>
      <c r="N3167">
        <v>-6.0030359999999998E-3</v>
      </c>
      <c r="O3167">
        <v>-1.723334E-2</v>
      </c>
      <c r="P3167">
        <v>0.99729109999999999</v>
      </c>
      <c r="Q3167">
        <v>-6.8361710000000006E-2</v>
      </c>
      <c r="R3167">
        <v>2.7152639999999999E-2</v>
      </c>
      <c r="S3167">
        <v>3.009064</v>
      </c>
      <c r="T3167">
        <v>-6.4519999999999994E-2</v>
      </c>
      <c r="U3167">
        <v>-0.22270200000000001</v>
      </c>
      <c r="V3167">
        <v>-4.4146980000000002E-2</v>
      </c>
      <c r="W3167">
        <v>-6.2510999999999997E-2</v>
      </c>
      <c r="X3167">
        <v>0.99706740000000005</v>
      </c>
      <c r="Y3167">
        <v>5.6596420000000001E-2</v>
      </c>
      <c r="Z3167">
        <v>-5.1043050000000004E-4</v>
      </c>
      <c r="AA3167">
        <v>0.99839699999999998</v>
      </c>
      <c r="AB3167">
        <v>45</v>
      </c>
      <c r="AC3167">
        <v>51.276899999999998</v>
      </c>
      <c r="AD3167">
        <v>-1.1089181102819901</v>
      </c>
      <c r="AE3167">
        <v>-3.8199999999999901</v>
      </c>
      <c r="AF3167">
        <v>2.9343798301528299</v>
      </c>
      <c r="AG3167">
        <v>-1.1089181102819901</v>
      </c>
      <c r="AH3167">
        <v>51.3112522223878</v>
      </c>
      <c r="AI3167">
        <v>91.236041649115705</v>
      </c>
      <c r="AJ3167">
        <v>86.726942979342894</v>
      </c>
      <c r="AK3167">
        <v>51.407050965722703</v>
      </c>
      <c r="AL3167">
        <v>93.583953220746906</v>
      </c>
      <c r="AM3167">
        <v>92.5352194249446</v>
      </c>
      <c r="AN3167">
        <v>0.99999999055344002</v>
      </c>
    </row>
    <row r="3168" spans="1:40" x14ac:dyDescent="0.25">
      <c r="A3168" t="str">
        <f>"20190305135255862"</f>
        <v>20190305135255862</v>
      </c>
      <c r="B3168" t="str">
        <f>"1551765175853072"</f>
        <v>1551765175853072</v>
      </c>
      <c r="C3168" t="s">
        <v>40</v>
      </c>
      <c r="D3168">
        <v>4.5687230000000003</v>
      </c>
      <c r="E3168">
        <v>0.52586769999999905</v>
      </c>
      <c r="F3168" t="s">
        <v>56</v>
      </c>
      <c r="G3168">
        <v>-359.21820000000002</v>
      </c>
      <c r="H3168" s="1">
        <v>3.446486E-6</v>
      </c>
      <c r="I3168">
        <v>212.83580000000001</v>
      </c>
      <c r="J3168">
        <v>-399.14159999999998</v>
      </c>
      <c r="K3168">
        <v>1.109011</v>
      </c>
      <c r="L3168">
        <v>214.56129999999999</v>
      </c>
      <c r="M3168">
        <v>0.99985679999999999</v>
      </c>
      <c r="N3168">
        <v>-6.0363429999999996E-3</v>
      </c>
      <c r="O3168">
        <v>-1.5815079999999999E-2</v>
      </c>
      <c r="P3168">
        <v>0.99720900000000001</v>
      </c>
      <c r="Q3168">
        <v>-6.8518460000000003E-2</v>
      </c>
      <c r="R3168">
        <v>2.9654949999999999E-2</v>
      </c>
      <c r="S3168">
        <v>3.0059809999999998</v>
      </c>
      <c r="T3168">
        <v>-8.2556840000000006E-2</v>
      </c>
      <c r="U3168">
        <v>-0.1289825</v>
      </c>
      <c r="V3168">
        <v>-4.5219160000000001E-2</v>
      </c>
      <c r="W3168">
        <v>-6.2648330000000002E-2</v>
      </c>
      <c r="X3168">
        <v>0.99701079999999997</v>
      </c>
      <c r="Y3168">
        <v>2.7054189999999999E-2</v>
      </c>
      <c r="Z3168">
        <v>-1.1438399999999999E-4</v>
      </c>
      <c r="AA3168">
        <v>0.99963400000000002</v>
      </c>
      <c r="AB3168">
        <v>45</v>
      </c>
      <c r="AC3168">
        <v>39.923399999999901</v>
      </c>
      <c r="AD3168">
        <v>-1.109007553514</v>
      </c>
      <c r="AE3168">
        <v>-1.72549999999998</v>
      </c>
      <c r="AF3168">
        <v>1.0930391186308599</v>
      </c>
      <c r="AG3168">
        <v>-1.109007553514</v>
      </c>
      <c r="AH3168">
        <v>39.914953672446401</v>
      </c>
      <c r="AI3168">
        <v>91.590915445293405</v>
      </c>
      <c r="AJ3168">
        <v>88.431392869332001</v>
      </c>
      <c r="AK3168">
        <v>39.9453146056224</v>
      </c>
      <c r="AL3168">
        <v>93.591836851293294</v>
      </c>
      <c r="AM3168">
        <v>92.596855214145705</v>
      </c>
      <c r="AN3168">
        <v>1.0000000604997601</v>
      </c>
    </row>
    <row r="3169" spans="1:40" x14ac:dyDescent="0.25">
      <c r="A3169" t="str">
        <f>"20190305135255884"</f>
        <v>20190305135255884</v>
      </c>
      <c r="B3169" t="str">
        <f>"1551765175872592"</f>
        <v>1551765175872592</v>
      </c>
      <c r="C3169" t="s">
        <v>40</v>
      </c>
      <c r="D3169">
        <v>4.5559969999999996</v>
      </c>
      <c r="E3169">
        <v>0.52586279999999996</v>
      </c>
      <c r="F3169" t="s">
        <v>56</v>
      </c>
      <c r="G3169">
        <v>-361.30759999999998</v>
      </c>
      <c r="H3169" s="1">
        <v>-8.409787E-7</v>
      </c>
      <c r="I3169">
        <v>213.15350000000001</v>
      </c>
      <c r="J3169">
        <v>-398.7099</v>
      </c>
      <c r="K3169">
        <v>1.1090880000000001</v>
      </c>
      <c r="L3169">
        <v>214.55529999999999</v>
      </c>
      <c r="M3169">
        <v>0.99987740000000003</v>
      </c>
      <c r="N3169">
        <v>-6.0678769999999898E-3</v>
      </c>
      <c r="O3169">
        <v>-1.4437180000000001E-2</v>
      </c>
      <c r="P3169">
        <v>0.99713490000000005</v>
      </c>
      <c r="Q3169">
        <v>-6.8773059999999997E-2</v>
      </c>
      <c r="R3169">
        <v>3.150377E-2</v>
      </c>
      <c r="S3169">
        <v>3.0057070000000001</v>
      </c>
      <c r="T3169">
        <v>-8.8104959999999996E-2</v>
      </c>
      <c r="U3169">
        <v>-0.1118469</v>
      </c>
      <c r="V3169">
        <v>-4.5681060000000002E-2</v>
      </c>
      <c r="W3169">
        <v>-6.2881809999999996E-2</v>
      </c>
      <c r="X3169">
        <v>0.99697499999999994</v>
      </c>
      <c r="Y3169">
        <v>2.2746570000000001E-2</v>
      </c>
      <c r="Z3169" s="1">
        <v>-6.6900010000000001E-5</v>
      </c>
      <c r="AA3169">
        <v>0.99974130000000005</v>
      </c>
      <c r="AB3169">
        <v>45</v>
      </c>
      <c r="AC3169">
        <v>37.402299999999997</v>
      </c>
      <c r="AD3169">
        <v>-1.1090888409787001</v>
      </c>
      <c r="AE3169">
        <v>-1.40179999999998</v>
      </c>
      <c r="AF3169">
        <v>0.86090430662217299</v>
      </c>
      <c r="AG3169">
        <v>-1.1090888409787001</v>
      </c>
      <c r="AH3169">
        <v>37.385812986544103</v>
      </c>
      <c r="AI3169">
        <v>91.698790154522399</v>
      </c>
      <c r="AJ3169">
        <v>88.680850743778706</v>
      </c>
      <c r="AK3169">
        <v>37.412167097712903</v>
      </c>
      <c r="AL3169">
        <v>93.605240857914097</v>
      </c>
      <c r="AM3169">
        <v>92.623438501723399</v>
      </c>
      <c r="AN3169">
        <v>1.00000001594829</v>
      </c>
    </row>
    <row r="3170" spans="1:40" x14ac:dyDescent="0.25">
      <c r="A3170" t="str">
        <f>"20190305135255908"</f>
        <v>20190305135255908</v>
      </c>
      <c r="B3170" t="str">
        <f>"1551765175902848"</f>
        <v>1551765175902848</v>
      </c>
      <c r="C3170" t="s">
        <v>40</v>
      </c>
      <c r="D3170">
        <v>4.5395209999999997</v>
      </c>
      <c r="E3170">
        <v>0.52616439999999998</v>
      </c>
      <c r="F3170" t="s">
        <v>56</v>
      </c>
      <c r="G3170">
        <v>-363.03339999999997</v>
      </c>
      <c r="H3170" s="1">
        <v>7.7436599999999999E-8</v>
      </c>
      <c r="I3170">
        <v>213.29069999999999</v>
      </c>
      <c r="J3170">
        <v>-398.238</v>
      </c>
      <c r="K3170">
        <v>1.109159</v>
      </c>
      <c r="L3170">
        <v>214.54939999999999</v>
      </c>
      <c r="M3170">
        <v>0.99989819999999996</v>
      </c>
      <c r="N3170">
        <v>-6.1014850000000002E-3</v>
      </c>
      <c r="O3170">
        <v>-1.2912440000000001E-2</v>
      </c>
      <c r="P3170">
        <v>0.99707080000000003</v>
      </c>
      <c r="Q3170">
        <v>-6.8829219999999997E-2</v>
      </c>
      <c r="R3170">
        <v>3.335917E-2</v>
      </c>
      <c r="S3170">
        <v>3.0055540000000001</v>
      </c>
      <c r="T3170">
        <v>-9.3434809999999993E-2</v>
      </c>
      <c r="U3170">
        <v>-0.1065369</v>
      </c>
      <c r="V3170">
        <v>-4.6004709999999997E-2</v>
      </c>
      <c r="W3170">
        <v>-6.2913930000000007E-2</v>
      </c>
      <c r="X3170">
        <v>0.99695809999999996</v>
      </c>
      <c r="Y3170">
        <v>2.2507920000000001E-2</v>
      </c>
      <c r="Z3170" s="1">
        <v>-9.5962080000000006E-5</v>
      </c>
      <c r="AA3170">
        <v>0.99974669999999999</v>
      </c>
      <c r="AB3170">
        <v>45</v>
      </c>
      <c r="AC3170">
        <v>35.204599999999999</v>
      </c>
      <c r="AD3170">
        <v>-1.1091589225634</v>
      </c>
      <c r="AE3170">
        <v>-1.2586999999999999</v>
      </c>
      <c r="AF3170">
        <v>0.80321311858841904</v>
      </c>
      <c r="AG3170">
        <v>-1.1091589225634</v>
      </c>
      <c r="AH3170">
        <v>35.183038846990797</v>
      </c>
      <c r="AI3170">
        <v>91.805203549882194</v>
      </c>
      <c r="AJ3170">
        <v>88.692190026966301</v>
      </c>
      <c r="AK3170">
        <v>35.209680591255498</v>
      </c>
      <c r="AL3170">
        <v>93.607084818441095</v>
      </c>
      <c r="AM3170">
        <v>92.642044024408904</v>
      </c>
      <c r="AN3170">
        <v>1.0000000245429099</v>
      </c>
    </row>
    <row r="3171" spans="1:40" x14ac:dyDescent="0.25">
      <c r="A3171" t="str">
        <f>"20190305135255932"</f>
        <v>20190305135255932</v>
      </c>
      <c r="B3171" t="str">
        <f>"1551765175923344"</f>
        <v>1551765175923344</v>
      </c>
      <c r="C3171" t="s">
        <v>40</v>
      </c>
      <c r="D3171">
        <v>4.5206629999999999</v>
      </c>
      <c r="E3171">
        <v>0.52667330000000001</v>
      </c>
      <c r="F3171" t="s">
        <v>56</v>
      </c>
      <c r="G3171">
        <v>-362.32100000000003</v>
      </c>
      <c r="H3171" s="1">
        <v>-3.017014E-7</v>
      </c>
      <c r="I3171">
        <v>213.31139999999999</v>
      </c>
      <c r="J3171">
        <v>-397.74790000000002</v>
      </c>
      <c r="K3171">
        <v>1.109229</v>
      </c>
      <c r="L3171">
        <v>214.54400000000001</v>
      </c>
      <c r="M3171">
        <v>0.99991719999999895</v>
      </c>
      <c r="N3171">
        <v>-6.1364949999999996E-3</v>
      </c>
      <c r="O3171">
        <v>-1.13167999999999E-2</v>
      </c>
      <c r="P3171">
        <v>0.99700900000000003</v>
      </c>
      <c r="Q3171">
        <v>-6.8704799999999996E-2</v>
      </c>
      <c r="R3171">
        <v>3.5401050000000003E-2</v>
      </c>
      <c r="S3171">
        <v>3.00589</v>
      </c>
      <c r="T3171">
        <v>-9.2825290000000005E-2</v>
      </c>
      <c r="U3171">
        <v>-0.103607199999999</v>
      </c>
      <c r="V3171">
        <v>-4.6445819999999999E-2</v>
      </c>
      <c r="W3171">
        <v>-6.2763840000000001E-2</v>
      </c>
      <c r="X3171">
        <v>0.99694709999999997</v>
      </c>
      <c r="Y3171">
        <v>2.3125360000000001E-2</v>
      </c>
      <c r="Z3171">
        <v>-1.4802470000000001E-4</v>
      </c>
      <c r="AA3171">
        <v>0.99973259999999997</v>
      </c>
      <c r="AB3171">
        <v>46</v>
      </c>
      <c r="AC3171">
        <v>35.426900000000003</v>
      </c>
      <c r="AD3171">
        <v>-1.1092293017013899</v>
      </c>
      <c r="AE3171">
        <v>-1.2326000000000099</v>
      </c>
      <c r="AF3171">
        <v>0.83078093859455604</v>
      </c>
      <c r="AG3171">
        <v>-1.1092293017013899</v>
      </c>
      <c r="AH3171">
        <v>35.403914749985397</v>
      </c>
      <c r="AI3171">
        <v>91.794036098320007</v>
      </c>
      <c r="AJ3171">
        <v>88.655755789082704</v>
      </c>
      <c r="AK3171">
        <v>35.4310282977494</v>
      </c>
      <c r="AL3171">
        <v>93.598468293239407</v>
      </c>
      <c r="AM3171">
        <v>92.667369884932697</v>
      </c>
      <c r="AN3171">
        <v>1.0000000170027099</v>
      </c>
    </row>
    <row r="3172" spans="1:40" x14ac:dyDescent="0.25">
      <c r="A3172" t="str">
        <f>"20190305135255954"</f>
        <v>20190305135255954</v>
      </c>
      <c r="B3172" t="str">
        <f>"1551765175942864"</f>
        <v>1551765175942864</v>
      </c>
      <c r="C3172" t="s">
        <v>40</v>
      </c>
      <c r="D3172">
        <v>4.5545589999999896</v>
      </c>
      <c r="E3172">
        <v>0.52710400000000002</v>
      </c>
      <c r="F3172" t="s">
        <v>56</v>
      </c>
      <c r="G3172">
        <v>-360.75740000000002</v>
      </c>
      <c r="H3172" s="1">
        <v>-1.133745E-6</v>
      </c>
      <c r="I3172">
        <v>213.29830000000001</v>
      </c>
      <c r="J3172">
        <v>-397.28949999999998</v>
      </c>
      <c r="K3172">
        <v>1.1092770000000001</v>
      </c>
      <c r="L3172">
        <v>214.53960000000001</v>
      </c>
      <c r="M3172">
        <v>0.99993290000000001</v>
      </c>
      <c r="N3172">
        <v>-6.1692049999999997E-3</v>
      </c>
      <c r="O3172">
        <v>-9.8193029999999997E-3</v>
      </c>
      <c r="P3172">
        <v>0.99695029999999996</v>
      </c>
      <c r="Q3172">
        <v>-6.8650230000000007E-2</v>
      </c>
      <c r="R3172">
        <v>3.7117499999999998E-2</v>
      </c>
      <c r="S3172">
        <v>3.0063170000000001</v>
      </c>
      <c r="T3172">
        <v>-9.0149999999999994E-2</v>
      </c>
      <c r="U3172">
        <v>-0.1012421</v>
      </c>
      <c r="V3172">
        <v>-4.6660930000000003E-2</v>
      </c>
      <c r="W3172">
        <v>-6.268377E-2</v>
      </c>
      <c r="X3172">
        <v>0.99694210000000005</v>
      </c>
      <c r="Y3172">
        <v>2.3831700000000001E-2</v>
      </c>
      <c r="Z3172">
        <v>-1.9695849999999999E-4</v>
      </c>
      <c r="AA3172">
        <v>0.99971600000000005</v>
      </c>
      <c r="AB3172">
        <v>46</v>
      </c>
      <c r="AC3172">
        <v>36.5320999999999</v>
      </c>
      <c r="AD3172">
        <v>-1.109278133745</v>
      </c>
      <c r="AE3172">
        <v>-1.2412999999999901</v>
      </c>
      <c r="AF3172">
        <v>0.88170162630883397</v>
      </c>
      <c r="AG3172">
        <v>-1.109278133745</v>
      </c>
      <c r="AH3172">
        <v>36.508905185645503</v>
      </c>
      <c r="AI3172">
        <v>91.739819329527506</v>
      </c>
      <c r="AJ3172">
        <v>88.6165576901696</v>
      </c>
      <c r="AK3172">
        <v>36.536393549313203</v>
      </c>
      <c r="AL3172">
        <v>93.593871543476695</v>
      </c>
      <c r="AM3172">
        <v>92.679719043742097</v>
      </c>
      <c r="AN3172">
        <v>1.00000002408114</v>
      </c>
    </row>
    <row r="3173" spans="1:40" x14ac:dyDescent="0.25">
      <c r="A3173" t="str">
        <f>"20190305135255975"</f>
        <v>20190305135255975</v>
      </c>
      <c r="B3173" t="str">
        <f>"1551765175963367"</f>
        <v>1551765175963367</v>
      </c>
      <c r="C3173" t="s">
        <v>40</v>
      </c>
      <c r="D3173">
        <v>4.5080140000000002</v>
      </c>
      <c r="E3173">
        <v>0.52766950000000001</v>
      </c>
      <c r="F3173" t="s">
        <v>56</v>
      </c>
      <c r="G3173">
        <v>-359.76069999999999</v>
      </c>
      <c r="H3173" s="1">
        <v>3.7149779999999998E-6</v>
      </c>
      <c r="I3173">
        <v>213.29810000000001</v>
      </c>
      <c r="J3173">
        <v>-396.85890000000001</v>
      </c>
      <c r="K3173">
        <v>1.1093189999999999</v>
      </c>
      <c r="L3173">
        <v>214.53620000000001</v>
      </c>
      <c r="M3173">
        <v>0.99994550000000004</v>
      </c>
      <c r="N3173">
        <v>-6.1999109999999998E-3</v>
      </c>
      <c r="O3173">
        <v>-8.4090959999999996E-3</v>
      </c>
      <c r="P3173">
        <v>0.99686699999999995</v>
      </c>
      <c r="Q3173">
        <v>-6.8716379999999994E-2</v>
      </c>
      <c r="R3173">
        <v>3.917578E-2</v>
      </c>
      <c r="S3173">
        <v>3.0068049999999999</v>
      </c>
      <c r="T3173">
        <v>-8.8874819999999993E-2</v>
      </c>
      <c r="U3173">
        <v>-9.9472050000000006E-2</v>
      </c>
      <c r="V3173">
        <v>-4.7305890000000003E-2</v>
      </c>
      <c r="W3173">
        <v>-6.2727329999999998E-2</v>
      </c>
      <c r="X3173">
        <v>0.99690900000000005</v>
      </c>
      <c r="Y3173">
        <v>2.464767E-2</v>
      </c>
      <c r="Z3173">
        <v>-2.4422890000000002E-4</v>
      </c>
      <c r="AA3173">
        <v>0.99969620000000003</v>
      </c>
      <c r="AB3173">
        <v>46</v>
      </c>
      <c r="AC3173">
        <v>37.098199999999999</v>
      </c>
      <c r="AD3173">
        <v>-1.1093152850220001</v>
      </c>
      <c r="AE3173">
        <v>-1.2381</v>
      </c>
      <c r="AF3173">
        <v>0.92526153510898601</v>
      </c>
      <c r="AG3173">
        <v>-1.1093152850220001</v>
      </c>
      <c r="AH3173">
        <v>37.074187225995203</v>
      </c>
      <c r="AI3173">
        <v>91.713331128511498</v>
      </c>
      <c r="AJ3173">
        <v>88.570364384917596</v>
      </c>
      <c r="AK3173">
        <v>37.1023186307552</v>
      </c>
      <c r="AL3173">
        <v>93.596372140486295</v>
      </c>
      <c r="AM3173">
        <v>92.716793798538106</v>
      </c>
      <c r="AN3173">
        <v>1.0000000597192999</v>
      </c>
    </row>
    <row r="3174" spans="1:40" x14ac:dyDescent="0.25">
      <c r="A3174" t="str">
        <f>"20190305135255997"</f>
        <v>20190305135255997</v>
      </c>
      <c r="B3174" t="str">
        <f>"1551765175992639"</f>
        <v>1551765175992639</v>
      </c>
      <c r="C3174" t="s">
        <v>40</v>
      </c>
      <c r="D3174">
        <v>4.5052070000000004</v>
      </c>
      <c r="E3174">
        <v>0.52825900000000003</v>
      </c>
      <c r="F3174" t="s">
        <v>56</v>
      </c>
      <c r="G3174">
        <v>-358.88549999999998</v>
      </c>
      <c r="H3174" s="1">
        <v>3.2491189999999998E-6</v>
      </c>
      <c r="I3174">
        <v>213.3015</v>
      </c>
      <c r="J3174">
        <v>-396.41019999999997</v>
      </c>
      <c r="K3174">
        <v>1.109356</v>
      </c>
      <c r="L3174">
        <v>214.53319999999999</v>
      </c>
      <c r="M3174">
        <v>0.99995650000000003</v>
      </c>
      <c r="N3174">
        <v>-6.2318010000000004E-3</v>
      </c>
      <c r="O3174">
        <v>-6.9373919999999997E-3</v>
      </c>
      <c r="P3174">
        <v>0.99676480000000001</v>
      </c>
      <c r="Q3174">
        <v>-6.9088949999999996E-2</v>
      </c>
      <c r="R3174">
        <v>4.1067630000000001E-2</v>
      </c>
      <c r="S3174">
        <v>3.0072019999999999</v>
      </c>
      <c r="T3174">
        <v>-8.7849259999999998E-2</v>
      </c>
      <c r="U3174">
        <v>-9.7778320000000002E-2</v>
      </c>
      <c r="V3174">
        <v>-4.7722199999999999E-2</v>
      </c>
      <c r="W3174">
        <v>-6.3074950000000005E-2</v>
      </c>
      <c r="X3174">
        <v>0.99686719999999895</v>
      </c>
      <c r="Y3174">
        <v>2.555151E-2</v>
      </c>
      <c r="Z3174">
        <v>-2.9335549999999998E-4</v>
      </c>
      <c r="AA3174">
        <v>0.99967349999999999</v>
      </c>
      <c r="AB3174">
        <v>46</v>
      </c>
      <c r="AC3174">
        <v>37.524700000000003</v>
      </c>
      <c r="AD3174">
        <v>-1.1093527508809999</v>
      </c>
      <c r="AE3174">
        <v>-1.23169999999998</v>
      </c>
      <c r="AF3174">
        <v>0.97049445953764002</v>
      </c>
      <c r="AG3174">
        <v>-1.1093527508809999</v>
      </c>
      <c r="AH3174">
        <v>37.499603037398899</v>
      </c>
      <c r="AI3174">
        <v>91.693923039601003</v>
      </c>
      <c r="AJ3174">
        <v>88.517508917065697</v>
      </c>
      <c r="AK3174">
        <v>37.528559138133403</v>
      </c>
      <c r="AL3174">
        <v>93.616328902888</v>
      </c>
      <c r="AM3174">
        <v>92.740781077448901</v>
      </c>
      <c r="AN3174">
        <v>1.0000000360630901</v>
      </c>
    </row>
    <row r="3175" spans="1:40" x14ac:dyDescent="0.25">
      <c r="A3175" t="str">
        <f>"20190305135256019"</f>
        <v>20190305135256019</v>
      </c>
      <c r="B3175" t="str">
        <f>"1551765176013136"</f>
        <v>1551765176013136</v>
      </c>
      <c r="C3175" t="s">
        <v>40</v>
      </c>
      <c r="D3175">
        <v>4.4894959999999999</v>
      </c>
      <c r="E3175">
        <v>0.53364199999999995</v>
      </c>
      <c r="F3175" t="s">
        <v>56</v>
      </c>
      <c r="G3175">
        <v>-358.5034</v>
      </c>
      <c r="H3175" s="1">
        <v>3.045129E-6</v>
      </c>
      <c r="I3175">
        <v>213.316</v>
      </c>
      <c r="J3175">
        <v>-395.9436</v>
      </c>
      <c r="K3175">
        <v>1.109389</v>
      </c>
      <c r="L3175">
        <v>214.5308</v>
      </c>
      <c r="M3175">
        <v>0.99996589999999996</v>
      </c>
      <c r="N3175">
        <v>-6.2648510000000001E-3</v>
      </c>
      <c r="O3175">
        <v>-5.4057389999999997E-3</v>
      </c>
      <c r="P3175">
        <v>0.9966412</v>
      </c>
      <c r="Q3175">
        <v>-6.9630789999999998E-2</v>
      </c>
      <c r="R3175">
        <v>4.3108420000000001E-2</v>
      </c>
      <c r="S3175">
        <v>3.0076290000000001</v>
      </c>
      <c r="T3175">
        <v>-8.8019130000000001E-2</v>
      </c>
      <c r="U3175">
        <v>-9.657288E-2</v>
      </c>
      <c r="V3175">
        <v>-4.8228279999999998E-2</v>
      </c>
      <c r="W3175">
        <v>-6.3590709999999995E-2</v>
      </c>
      <c r="X3175">
        <v>0.99680999999999997</v>
      </c>
      <c r="Y3175">
        <v>2.6676809999999999E-2</v>
      </c>
      <c r="Z3175">
        <v>-3.495064E-4</v>
      </c>
      <c r="AA3175">
        <v>0.99964399999999998</v>
      </c>
      <c r="AB3175">
        <v>46</v>
      </c>
      <c r="AC3175">
        <v>37.440199999999997</v>
      </c>
      <c r="AD3175">
        <v>-1.1093859548709999</v>
      </c>
      <c r="AE3175">
        <v>-1.2148000000000201</v>
      </c>
      <c r="AF3175">
        <v>1.0114992049360401</v>
      </c>
      <c r="AG3175">
        <v>-1.1093859548709999</v>
      </c>
      <c r="AH3175">
        <v>37.413405947244897</v>
      </c>
      <c r="AI3175">
        <v>91.697822345264996</v>
      </c>
      <c r="AJ3175">
        <v>88.451343312400695</v>
      </c>
      <c r="AK3175">
        <v>37.443514958024302</v>
      </c>
      <c r="AL3175">
        <v>93.645939492223306</v>
      </c>
      <c r="AM3175">
        <v>92.769959928008902</v>
      </c>
      <c r="AN3175">
        <v>0.99999996074502995</v>
      </c>
    </row>
    <row r="3176" spans="1:40" x14ac:dyDescent="0.25">
      <c r="A3176" t="str">
        <f>"20190305135256042"</f>
        <v>20190305135256042</v>
      </c>
      <c r="B3176" t="str">
        <f>"1551765176032656"</f>
        <v>1551765176032656</v>
      </c>
      <c r="C3176" t="s">
        <v>40</v>
      </c>
      <c r="D3176">
        <v>4.4603409999999997</v>
      </c>
      <c r="E3176">
        <v>0.53328869999999995</v>
      </c>
      <c r="F3176" t="s">
        <v>56</v>
      </c>
      <c r="G3176">
        <v>-353.12029999999999</v>
      </c>
      <c r="H3176" s="1">
        <v>2.0989780000000001E-7</v>
      </c>
      <c r="I3176">
        <v>212.64349999999999</v>
      </c>
      <c r="J3176">
        <v>-395.47399999999999</v>
      </c>
      <c r="K3176">
        <v>1.109421</v>
      </c>
      <c r="L3176">
        <v>214.5291</v>
      </c>
      <c r="M3176">
        <v>0.9999728</v>
      </c>
      <c r="N3176">
        <v>-6.29811E-3</v>
      </c>
      <c r="O3176">
        <v>-3.8626559999999999E-3</v>
      </c>
      <c r="P3176">
        <v>0.99649670000000001</v>
      </c>
      <c r="Q3176">
        <v>-7.0217940000000006E-2</v>
      </c>
      <c r="R3176">
        <v>4.5431920000000001E-2</v>
      </c>
      <c r="S3176">
        <v>3.010437</v>
      </c>
      <c r="T3176">
        <v>-7.7988979999999999E-2</v>
      </c>
      <c r="U3176">
        <v>-0.13267519999999999</v>
      </c>
      <c r="V3176">
        <v>-4.900649E-2</v>
      </c>
      <c r="W3176">
        <v>-6.4152340000000002E-2</v>
      </c>
      <c r="X3176">
        <v>0.99673610000000001</v>
      </c>
      <c r="Y3176">
        <v>4.0153700000000001E-2</v>
      </c>
      <c r="Z3176">
        <v>-5.7062499999999995E-4</v>
      </c>
      <c r="AA3176">
        <v>0.99919340000000001</v>
      </c>
      <c r="AB3176">
        <v>46</v>
      </c>
      <c r="AC3176">
        <v>42.353700000000003</v>
      </c>
      <c r="AD3176">
        <v>-1.1094207901022</v>
      </c>
      <c r="AE3176">
        <v>-1.8856000000000099</v>
      </c>
      <c r="AF3176">
        <v>1.7208065589739201</v>
      </c>
      <c r="AG3176">
        <v>-1.1094207901022</v>
      </c>
      <c r="AH3176">
        <v>42.331679780701002</v>
      </c>
      <c r="AI3176">
        <v>91.500015198389903</v>
      </c>
      <c r="AJ3176">
        <v>87.672176036010299</v>
      </c>
      <c r="AK3176">
        <v>42.381164480919203</v>
      </c>
      <c r="AL3176">
        <v>93.678184196040505</v>
      </c>
      <c r="AM3176">
        <v>92.814792955719199</v>
      </c>
      <c r="AN3176">
        <v>1.0000000059164</v>
      </c>
    </row>
    <row r="3177" spans="1:40" x14ac:dyDescent="0.25">
      <c r="A3177" t="str">
        <f>"20190305135256063"</f>
        <v>20190305135256063</v>
      </c>
      <c r="B3177" t="str">
        <f>"1551765176053152"</f>
        <v>1551765176053152</v>
      </c>
      <c r="C3177" t="s">
        <v>40</v>
      </c>
      <c r="D3177">
        <v>4.5507109999999997</v>
      </c>
      <c r="E3177">
        <v>0.51886460000000001</v>
      </c>
      <c r="F3177" t="s">
        <v>56</v>
      </c>
      <c r="G3177">
        <v>-351.96449999999999</v>
      </c>
      <c r="H3177" s="1">
        <v>-4.1001850000000003E-7</v>
      </c>
      <c r="I3177">
        <v>212.75550000000001</v>
      </c>
      <c r="J3177">
        <v>-395.0265</v>
      </c>
      <c r="K3177">
        <v>1.1094440000000001</v>
      </c>
      <c r="L3177">
        <v>214.52809999999999</v>
      </c>
      <c r="M3177">
        <v>0.99997720000000001</v>
      </c>
      <c r="N3177">
        <v>-6.3298240000000004E-3</v>
      </c>
      <c r="O3177">
        <v>-2.3907550000000001E-3</v>
      </c>
      <c r="P3177">
        <v>0.9963938</v>
      </c>
      <c r="Q3177">
        <v>-7.0347019999999996E-2</v>
      </c>
      <c r="R3177">
        <v>4.744582E-2</v>
      </c>
      <c r="S3177">
        <v>3.010742</v>
      </c>
      <c r="T3177">
        <v>-7.6769110000000002E-2</v>
      </c>
      <c r="U3177">
        <v>-0.1227264</v>
      </c>
      <c r="V3177">
        <v>-4.9548920000000003E-2</v>
      </c>
      <c r="W3177">
        <v>-6.425554E-2</v>
      </c>
      <c r="X3177">
        <v>0.99670259999999999</v>
      </c>
      <c r="Y3177">
        <v>3.8324999999999998E-2</v>
      </c>
      <c r="Z3177">
        <v>-5.6390339999999996E-4</v>
      </c>
      <c r="AA3177">
        <v>0.99926519999999996</v>
      </c>
      <c r="AB3177">
        <v>46</v>
      </c>
      <c r="AC3177">
        <v>43.061999999999998</v>
      </c>
      <c r="AD3177">
        <v>-1.1094444100184999</v>
      </c>
      <c r="AE3177">
        <v>-1.77259999999998</v>
      </c>
      <c r="AF3177">
        <v>1.6685365251234301</v>
      </c>
      <c r="AG3177">
        <v>-1.1094444100184999</v>
      </c>
      <c r="AH3177">
        <v>43.037595792357301</v>
      </c>
      <c r="AI3177">
        <v>91.4755638539595</v>
      </c>
      <c r="AJ3177">
        <v>87.779795902204995</v>
      </c>
      <c r="AK3177">
        <v>43.084214425017898</v>
      </c>
      <c r="AL3177">
        <v>93.684109472676894</v>
      </c>
      <c r="AM3177">
        <v>92.845993144353699</v>
      </c>
      <c r="AN3177">
        <v>0.99999997137030805</v>
      </c>
    </row>
    <row r="3178" spans="1:40" x14ac:dyDescent="0.25">
      <c r="A3178" t="str">
        <f>"20190305135256086"</f>
        <v>20190305135256086</v>
      </c>
      <c r="B3178" t="str">
        <f>"1551765176082432"</f>
        <v>1551765176082432</v>
      </c>
      <c r="C3178" t="s">
        <v>40</v>
      </c>
      <c r="D3178">
        <v>4.583126</v>
      </c>
      <c r="E3178">
        <v>0.5026661</v>
      </c>
      <c r="F3178" t="s">
        <v>56</v>
      </c>
      <c r="G3178">
        <v>-367.73180000000002</v>
      </c>
      <c r="H3178" s="1">
        <v>2.577704E-6</v>
      </c>
      <c r="I3178">
        <v>214.4948</v>
      </c>
      <c r="J3178">
        <v>-394.56990000000002</v>
      </c>
      <c r="K3178">
        <v>1.109469</v>
      </c>
      <c r="L3178">
        <v>214.52780000000001</v>
      </c>
      <c r="M3178">
        <v>0.99997939999999996</v>
      </c>
      <c r="N3178">
        <v>-6.36179E-3</v>
      </c>
      <c r="O3178">
        <v>-8.8751039999999904E-4</v>
      </c>
      <c r="P3178">
        <v>0.9962896</v>
      </c>
      <c r="Q3178">
        <v>-7.0666629999999994E-2</v>
      </c>
      <c r="R3178">
        <v>4.9127650000000002E-2</v>
      </c>
      <c r="S3178">
        <v>3.0024109999999999</v>
      </c>
      <c r="T3178">
        <v>-0.12203849999999999</v>
      </c>
      <c r="U3178">
        <v>-3.6621090000000002E-3</v>
      </c>
      <c r="V3178">
        <v>-4.9727630000000002E-2</v>
      </c>
      <c r="W3178">
        <v>-6.4547069999999998E-2</v>
      </c>
      <c r="X3178">
        <v>0.99667490000000003</v>
      </c>
      <c r="Y3178">
        <v>3.3239789999999999E-4</v>
      </c>
      <c r="Z3178" s="1">
        <v>2.2604819999999999E-5</v>
      </c>
      <c r="AA3178">
        <v>0.99999990000000005</v>
      </c>
      <c r="AB3178">
        <v>46</v>
      </c>
      <c r="AC3178">
        <v>26.838100000000001</v>
      </c>
      <c r="AD3178">
        <v>-1.109466422296</v>
      </c>
      <c r="AE3178">
        <v>-3.3000000000015399E-2</v>
      </c>
      <c r="AF3178">
        <v>9.1647509218014695E-3</v>
      </c>
      <c r="AG3178">
        <v>-1.109466422296</v>
      </c>
      <c r="AH3178">
        <v>26.792332511911599</v>
      </c>
      <c r="AI3178">
        <v>92.371254623030495</v>
      </c>
      <c r="AJ3178">
        <v>89.980401052152004</v>
      </c>
      <c r="AK3178">
        <v>26.815295656839201</v>
      </c>
      <c r="AL3178">
        <v>93.700847519994795</v>
      </c>
      <c r="AM3178">
        <v>92.856320180851498</v>
      </c>
      <c r="AN3178">
        <v>1.0000000088604999</v>
      </c>
    </row>
    <row r="3179" spans="1:40" x14ac:dyDescent="0.25">
      <c r="A3179" t="str">
        <f>"20190305135256108"</f>
        <v>20190305135256108</v>
      </c>
      <c r="B3179" t="str">
        <f>"1551765176102928"</f>
        <v>1551765176102928</v>
      </c>
      <c r="C3179" t="s">
        <v>40</v>
      </c>
      <c r="D3179">
        <v>4.5306199999999999</v>
      </c>
      <c r="E3179">
        <v>0.4998647</v>
      </c>
      <c r="F3179" t="s">
        <v>56</v>
      </c>
      <c r="G3179">
        <v>-370.77390000000003</v>
      </c>
      <c r="H3179" s="1">
        <v>-1.1249410000000001E-6</v>
      </c>
      <c r="I3179">
        <v>215.55789999999999</v>
      </c>
      <c r="J3179">
        <v>-394.1003</v>
      </c>
      <c r="K3179">
        <v>1.109491</v>
      </c>
      <c r="L3179">
        <v>214.5283</v>
      </c>
      <c r="M3179">
        <v>0.99997939999999996</v>
      </c>
      <c r="N3179">
        <v>-6.3946849999999998E-3</v>
      </c>
      <c r="O3179">
        <v>6.5965449999999895E-4</v>
      </c>
      <c r="P3179">
        <v>0.99627200000000005</v>
      </c>
      <c r="Q3179">
        <v>-6.9690360000000007E-2</v>
      </c>
      <c r="R3179">
        <v>5.0845969999999997E-2</v>
      </c>
      <c r="S3179">
        <v>2.9948730000000001</v>
      </c>
      <c r="T3179">
        <v>-0.13963349999999999</v>
      </c>
      <c r="U3179">
        <v>0.1296387</v>
      </c>
      <c r="V3179">
        <v>-4.9906230000000003E-2</v>
      </c>
      <c r="W3179">
        <v>-6.3540849999999996E-2</v>
      </c>
      <c r="X3179">
        <v>0.99673060000000002</v>
      </c>
      <c r="Y3179">
        <v>-4.2535379999999998E-2</v>
      </c>
      <c r="Z3179">
        <v>1.1002259999999999E-3</v>
      </c>
      <c r="AA3179">
        <v>0.99909440000000005</v>
      </c>
      <c r="AB3179">
        <v>47</v>
      </c>
      <c r="AC3179">
        <v>23.3263999999999</v>
      </c>
      <c r="AD3179">
        <v>-1.1094921249409999</v>
      </c>
      <c r="AE3179">
        <v>1.0295999999999801</v>
      </c>
      <c r="AF3179">
        <v>-1.0119272511720501</v>
      </c>
      <c r="AG3179">
        <v>-1.1094921249409999</v>
      </c>
      <c r="AH3179">
        <v>23.274522209355698</v>
      </c>
      <c r="AI3179">
        <v>92.726641044499701</v>
      </c>
      <c r="AJ3179">
        <v>92.489532043926999</v>
      </c>
      <c r="AK3179">
        <v>23.322914775189702</v>
      </c>
      <c r="AL3179">
        <v>93.643076864505204</v>
      </c>
      <c r="AM3179">
        <v>92.866401835666807</v>
      </c>
      <c r="AN3179">
        <v>0.99999998019394698</v>
      </c>
    </row>
    <row r="3180" spans="1:40" x14ac:dyDescent="0.25">
      <c r="A3180" t="str">
        <f>"20190305135256133"</f>
        <v>20190305135256133</v>
      </c>
      <c r="B3180" t="str">
        <f>"1551765176123425"</f>
        <v>1551765176123425</v>
      </c>
      <c r="C3180" t="s">
        <v>40</v>
      </c>
      <c r="D3180">
        <v>4.4987000000000004</v>
      </c>
      <c r="E3180">
        <v>0.49873509999999999</v>
      </c>
      <c r="F3180" t="s">
        <v>56</v>
      </c>
      <c r="G3180">
        <v>-370.22230000000002</v>
      </c>
      <c r="H3180" s="1">
        <v>-1.4184799999999999E-6</v>
      </c>
      <c r="I3180">
        <v>215.78100000000001</v>
      </c>
      <c r="J3180">
        <v>-393.58839999999998</v>
      </c>
      <c r="K3180">
        <v>1.109515</v>
      </c>
      <c r="L3180">
        <v>214.52959999999999</v>
      </c>
      <c r="M3180">
        <v>0.99997659999999999</v>
      </c>
      <c r="N3180">
        <v>-6.4305219999999897E-3</v>
      </c>
      <c r="O3180">
        <v>2.3468249999999999E-3</v>
      </c>
      <c r="P3180">
        <v>0.99620690000000001</v>
      </c>
      <c r="Q3180">
        <v>-6.9114640000000005E-2</v>
      </c>
      <c r="R3180">
        <v>5.2870010000000002E-2</v>
      </c>
      <c r="S3180">
        <v>2.9934690000000002</v>
      </c>
      <c r="T3180">
        <v>-0.13909199999999999</v>
      </c>
      <c r="U3180">
        <v>0.1570435</v>
      </c>
      <c r="V3180">
        <v>-5.0249420000000003E-2</v>
      </c>
      <c r="W3180">
        <v>-6.2933149999999993E-2</v>
      </c>
      <c r="X3180">
        <v>0.99675190000000002</v>
      </c>
      <c r="Y3180">
        <v>-4.998681E-2</v>
      </c>
      <c r="Z3180">
        <v>1.226995E-3</v>
      </c>
      <c r="AA3180">
        <v>0.99874909999999995</v>
      </c>
      <c r="AB3180">
        <v>47</v>
      </c>
      <c r="AC3180">
        <v>23.3660999999999</v>
      </c>
      <c r="AD3180">
        <v>-1.1095164184799999</v>
      </c>
      <c r="AE3180">
        <v>1.2513999999999801</v>
      </c>
      <c r="AF3180">
        <v>-1.19387510399361</v>
      </c>
      <c r="AG3180">
        <v>-1.1095164184799999</v>
      </c>
      <c r="AH3180">
        <v>23.316550308986901</v>
      </c>
      <c r="AI3180">
        <v>92.720801715204402</v>
      </c>
      <c r="AJ3180">
        <v>92.931150558918205</v>
      </c>
      <c r="AK3180">
        <v>23.373443964429601</v>
      </c>
      <c r="AL3180">
        <v>93.608188434641093</v>
      </c>
      <c r="AM3180">
        <v>92.886018429731095</v>
      </c>
      <c r="AN3180">
        <v>0.99999996786643397</v>
      </c>
    </row>
    <row r="3181" spans="1:40" x14ac:dyDescent="0.25">
      <c r="A3181" t="str">
        <f>"20190305135256156"</f>
        <v>20190305135256156</v>
      </c>
      <c r="B3181" t="str">
        <f>"1551765176152704"</f>
        <v>1551765176152704</v>
      </c>
      <c r="C3181" t="s">
        <v>40</v>
      </c>
      <c r="D3181">
        <v>4.4838879999999897</v>
      </c>
      <c r="E3181">
        <v>0.49819950000000002</v>
      </c>
      <c r="F3181" t="s">
        <v>56</v>
      </c>
      <c r="G3181">
        <v>-369.90609999999998</v>
      </c>
      <c r="H3181" s="1">
        <v>3.7347419999999999E-6</v>
      </c>
      <c r="I3181">
        <v>215.8903</v>
      </c>
      <c r="J3181">
        <v>-393.13440000000003</v>
      </c>
      <c r="K3181">
        <v>1.109523</v>
      </c>
      <c r="L3181">
        <v>214.53149999999999</v>
      </c>
      <c r="M3181">
        <v>0.99997190000000002</v>
      </c>
      <c r="N3181">
        <v>-6.4623140000000003E-3</v>
      </c>
      <c r="O3181">
        <v>3.843553E-3</v>
      </c>
      <c r="P3181">
        <v>0.99609990000000004</v>
      </c>
      <c r="Q3181">
        <v>-6.9329719999999997E-2</v>
      </c>
      <c r="R3181">
        <v>5.4580339999999998E-2</v>
      </c>
      <c r="S3181">
        <v>2.9925839999999999</v>
      </c>
      <c r="T3181">
        <v>-0.14020170000000001</v>
      </c>
      <c r="U3181">
        <v>0.17193599999999901</v>
      </c>
      <c r="V3181">
        <v>-5.046556E-2</v>
      </c>
      <c r="W3181">
        <v>-6.3119510000000004E-2</v>
      </c>
      <c r="X3181">
        <v>0.99672930000000004</v>
      </c>
      <c r="Y3181">
        <v>-5.34583E-2</v>
      </c>
      <c r="Z3181">
        <v>1.26851E-3</v>
      </c>
      <c r="AA3181">
        <v>0.99856929999999999</v>
      </c>
      <c r="AB3181">
        <v>47</v>
      </c>
      <c r="AC3181">
        <v>23.228300000000001</v>
      </c>
      <c r="AD3181">
        <v>-1.1095192652579999</v>
      </c>
      <c r="AE3181">
        <v>1.3588</v>
      </c>
      <c r="AF3181">
        <v>-1.26662885748362</v>
      </c>
      <c r="AG3181">
        <v>-1.1095192652579999</v>
      </c>
      <c r="AH3181">
        <v>23.180643123731599</v>
      </c>
      <c r="AI3181">
        <v>92.736240639242993</v>
      </c>
      <c r="AJ3181">
        <v>93.127626340677693</v>
      </c>
      <c r="AK3181">
        <v>23.241721048416299</v>
      </c>
      <c r="AL3181">
        <v>93.618886972243303</v>
      </c>
      <c r="AM3181">
        <v>92.898476670353404</v>
      </c>
      <c r="AN3181">
        <v>1.0000000713836099</v>
      </c>
    </row>
    <row r="3182" spans="1:40" x14ac:dyDescent="0.25">
      <c r="A3182" t="str">
        <f>"20190305135256187"</f>
        <v>20190305135256187</v>
      </c>
      <c r="B3182" t="str">
        <f>"1551765176182960"</f>
        <v>1551765176182960</v>
      </c>
      <c r="C3182" t="s">
        <v>40</v>
      </c>
      <c r="D3182">
        <v>4.5024309999999996</v>
      </c>
      <c r="E3182">
        <v>0.49806539999999999</v>
      </c>
      <c r="F3182" t="s">
        <v>56</v>
      </c>
      <c r="G3182">
        <v>-369.6893</v>
      </c>
      <c r="H3182" s="1">
        <v>3.619384E-6</v>
      </c>
      <c r="I3182">
        <v>215.95259999999999</v>
      </c>
      <c r="J3182">
        <v>-392.45979999999997</v>
      </c>
      <c r="K3182">
        <v>1.109537</v>
      </c>
      <c r="L3182">
        <v>214.53550000000001</v>
      </c>
      <c r="M3182">
        <v>0.99996050000000003</v>
      </c>
      <c r="N3182">
        <v>-6.5094250000000001E-3</v>
      </c>
      <c r="O3182">
        <v>6.0675700000000004E-3</v>
      </c>
      <c r="P3182">
        <v>0.99596629999999997</v>
      </c>
      <c r="Q3182">
        <v>-6.9576949999999999E-2</v>
      </c>
      <c r="R3182">
        <v>5.6660339999999997E-2</v>
      </c>
      <c r="S3182">
        <v>2.991943</v>
      </c>
      <c r="T3182">
        <v>-0.141591299999999</v>
      </c>
      <c r="U3182">
        <v>0.1813507</v>
      </c>
      <c r="V3182">
        <v>-5.0326120000000002E-2</v>
      </c>
      <c r="W3182">
        <v>-6.3321619999999995E-2</v>
      </c>
      <c r="X3182">
        <v>0.99672349999999998</v>
      </c>
      <c r="Y3182">
        <v>-5.4380310000000001E-2</v>
      </c>
      <c r="Z3182">
        <v>1.2148630000000001E-3</v>
      </c>
      <c r="AA3182">
        <v>0.9985195</v>
      </c>
      <c r="AB3182">
        <v>47</v>
      </c>
      <c r="AC3182">
        <v>22.770499999999899</v>
      </c>
      <c r="AD3182">
        <v>-1.1095333806159999</v>
      </c>
      <c r="AE3182">
        <v>1.4170999999999701</v>
      </c>
      <c r="AF3182">
        <v>-1.27589173404559</v>
      </c>
      <c r="AG3182">
        <v>-1.1095333806159999</v>
      </c>
      <c r="AH3182">
        <v>22.724931721580901</v>
      </c>
      <c r="AI3182">
        <v>92.790829677118296</v>
      </c>
      <c r="AJ3182">
        <v>93.213498892110394</v>
      </c>
      <c r="AK3182">
        <v>22.787748589762501</v>
      </c>
      <c r="AL3182">
        <v>93.630490344441995</v>
      </c>
      <c r="AM3182">
        <v>92.890498360788101</v>
      </c>
      <c r="AN3182">
        <v>1.0000000406829599</v>
      </c>
    </row>
    <row r="3183" spans="1:40" x14ac:dyDescent="0.25">
      <c r="A3183" t="str">
        <f>"20190305135256209"</f>
        <v>20190305135256209</v>
      </c>
      <c r="B3183" t="str">
        <f>"1551765176202480"</f>
        <v>1551765176202480</v>
      </c>
      <c r="C3183" t="s">
        <v>40</v>
      </c>
      <c r="D3183">
        <v>4.525099</v>
      </c>
      <c r="E3183">
        <v>0.49813849999999998</v>
      </c>
      <c r="F3183" t="s">
        <v>56</v>
      </c>
      <c r="G3183">
        <v>-369.91219999999998</v>
      </c>
      <c r="H3183" s="1">
        <v>3.737982E-6</v>
      </c>
      <c r="I3183">
        <v>215.95500000000001</v>
      </c>
      <c r="J3183">
        <v>-391.98570000000001</v>
      </c>
      <c r="K3183">
        <v>1.1095520000000001</v>
      </c>
      <c r="L3183">
        <v>214.53919999999999</v>
      </c>
      <c r="M3183">
        <v>0.99994939999999999</v>
      </c>
      <c r="N3183">
        <v>-6.55341E-3</v>
      </c>
      <c r="O3183">
        <v>7.62954699999999E-3</v>
      </c>
      <c r="P3183">
        <v>0.99591750000000001</v>
      </c>
      <c r="Q3183">
        <v>-6.9392919999999997E-2</v>
      </c>
      <c r="R3183">
        <v>5.7731159999999997E-2</v>
      </c>
      <c r="S3183">
        <v>2.9911500000000002</v>
      </c>
      <c r="T3183">
        <v>-0.14718989999999901</v>
      </c>
      <c r="U3183">
        <v>0.1883087</v>
      </c>
      <c r="V3183">
        <v>-4.9840160000000001E-2</v>
      </c>
      <c r="W3183">
        <v>-6.3092839999999997E-2</v>
      </c>
      <c r="X3183">
        <v>0.99676240000000005</v>
      </c>
      <c r="Y3183">
        <v>-5.5146010000000002E-2</v>
      </c>
      <c r="Z3183">
        <v>1.2107789999999999E-3</v>
      </c>
      <c r="AA3183">
        <v>0.99847759999999997</v>
      </c>
      <c r="AB3183">
        <v>47</v>
      </c>
      <c r="AC3183">
        <v>22.073499999999999</v>
      </c>
      <c r="AD3183">
        <v>-1.1095482620179999</v>
      </c>
      <c r="AE3183">
        <v>1.4158000000000099</v>
      </c>
      <c r="AF3183">
        <v>-1.2442135177972999</v>
      </c>
      <c r="AG3183">
        <v>-1.1095482620179999</v>
      </c>
      <c r="AH3183">
        <v>22.0282294423797</v>
      </c>
      <c r="AI3183">
        <v>92.878935050854693</v>
      </c>
      <c r="AJ3183">
        <v>93.232784472104299</v>
      </c>
      <c r="AK3183">
        <v>22.091221265238801</v>
      </c>
      <c r="AL3183">
        <v>93.617356046212606</v>
      </c>
      <c r="AM3183">
        <v>92.862522196714295</v>
      </c>
      <c r="AN3183">
        <v>1.0000000150309201</v>
      </c>
    </row>
    <row r="3184" spans="1:40" x14ac:dyDescent="0.25">
      <c r="A3184" t="str">
        <f>"20190305135256231"</f>
        <v>20190305135256231</v>
      </c>
      <c r="B3184" t="str">
        <f>"1551765176222976"</f>
        <v>1551765176222976</v>
      </c>
      <c r="C3184" t="s">
        <v>40</v>
      </c>
      <c r="D3184">
        <v>4.5357969999999996</v>
      </c>
      <c r="E3184">
        <v>0.49838500000000002</v>
      </c>
      <c r="F3184" t="s">
        <v>56</v>
      </c>
      <c r="G3184">
        <v>-369.3263</v>
      </c>
      <c r="H3184" s="1">
        <v>3.4262080000000001E-6</v>
      </c>
      <c r="I3184">
        <v>215.9871</v>
      </c>
      <c r="J3184">
        <v>-391.51799999999997</v>
      </c>
      <c r="K3184">
        <v>1.109586</v>
      </c>
      <c r="L3184">
        <v>214.5436</v>
      </c>
      <c r="M3184">
        <v>0.99993569999999998</v>
      </c>
      <c r="N3184">
        <v>-6.6850919999999897E-3</v>
      </c>
      <c r="O3184">
        <v>9.1633670000000004E-3</v>
      </c>
      <c r="P3184">
        <v>0.99589070000000002</v>
      </c>
      <c r="Q3184">
        <v>-6.8863859999999999E-2</v>
      </c>
      <c r="R3184">
        <v>5.8817889999999998E-2</v>
      </c>
      <c r="S3184">
        <v>2.991028</v>
      </c>
      <c r="T3184">
        <v>-0.14646020000000001</v>
      </c>
      <c r="U3184">
        <v>0.19111629999999999</v>
      </c>
      <c r="V3184">
        <v>-4.9399239999999997E-2</v>
      </c>
      <c r="W3184">
        <v>-6.243191E-2</v>
      </c>
      <c r="X3184">
        <v>0.99682590000000004</v>
      </c>
      <c r="Y3184">
        <v>-5.4553049999999999E-2</v>
      </c>
      <c r="Z3184">
        <v>1.1293710000000001E-3</v>
      </c>
      <c r="AA3184">
        <v>0.99851020000000001</v>
      </c>
      <c r="AB3184">
        <v>47</v>
      </c>
      <c r="AC3184">
        <v>22.191700000000001</v>
      </c>
      <c r="AD3184">
        <v>-1.109582573792</v>
      </c>
      <c r="AE3184">
        <v>1.4435</v>
      </c>
      <c r="AF3184">
        <v>-1.23700469469834</v>
      </c>
      <c r="AG3184">
        <v>-1.109582573792</v>
      </c>
      <c r="AH3184">
        <v>22.1488572612698</v>
      </c>
      <c r="AI3184">
        <v>92.863471591125503</v>
      </c>
      <c r="AJ3184">
        <v>93.196625193780093</v>
      </c>
      <c r="AK3184">
        <v>22.2111060526682</v>
      </c>
      <c r="AL3184">
        <v>93.579412968580499</v>
      </c>
      <c r="AM3184">
        <v>92.837059495058796</v>
      </c>
      <c r="AN3184">
        <v>0.99999995160481603</v>
      </c>
    </row>
    <row r="3185" spans="1:40" x14ac:dyDescent="0.25">
      <c r="A3185" t="str">
        <f>"20190305135256253"</f>
        <v>20190305135256253</v>
      </c>
      <c r="B3185" t="str">
        <f>"1551765176242500"</f>
        <v>1551765176242500</v>
      </c>
      <c r="C3185" t="s">
        <v>40</v>
      </c>
      <c r="D3185">
        <v>4.4661059999999999</v>
      </c>
      <c r="E3185">
        <v>0.49863790000000002</v>
      </c>
      <c r="F3185" t="s">
        <v>56</v>
      </c>
      <c r="G3185">
        <v>-368.7099</v>
      </c>
      <c r="H3185" s="1">
        <v>3.0981640000000001E-6</v>
      </c>
      <c r="I3185">
        <v>216.01079999999999</v>
      </c>
      <c r="J3185">
        <v>-391.05290000000002</v>
      </c>
      <c r="K3185">
        <v>1.109677</v>
      </c>
      <c r="L3185">
        <v>214.5487</v>
      </c>
      <c r="M3185">
        <v>0.9999188</v>
      </c>
      <c r="N3185">
        <v>-6.974325E-3</v>
      </c>
      <c r="O3185">
        <v>1.068032E-2</v>
      </c>
      <c r="P3185">
        <v>0.99583390000000005</v>
      </c>
      <c r="Q3185">
        <v>-6.906495E-2</v>
      </c>
      <c r="R3185">
        <v>5.9539620000000001E-2</v>
      </c>
      <c r="S3185">
        <v>2.9909970000000001</v>
      </c>
      <c r="T3185">
        <v>-0.14550759999999999</v>
      </c>
      <c r="U3185">
        <v>0.19239809999999999</v>
      </c>
      <c r="V3185">
        <v>-4.8607600000000001E-2</v>
      </c>
      <c r="W3185">
        <v>-6.2343059999999999E-2</v>
      </c>
      <c r="X3185">
        <v>0.99687040000000005</v>
      </c>
      <c r="Y3185">
        <v>-5.3468040000000001E-2</v>
      </c>
      <c r="Z3185">
        <v>1.040928E-3</v>
      </c>
      <c r="AA3185">
        <v>0.99856900000000004</v>
      </c>
      <c r="AB3185">
        <v>47</v>
      </c>
      <c r="AC3185">
        <v>22.343</v>
      </c>
      <c r="AD3185">
        <v>-1.109673901836</v>
      </c>
      <c r="AE3185">
        <v>1.46209999999999</v>
      </c>
      <c r="AF3185">
        <v>-1.22038302372684</v>
      </c>
      <c r="AG3185">
        <v>-1.109673901836</v>
      </c>
      <c r="AH3185">
        <v>22.302563574602299</v>
      </c>
      <c r="AI3185">
        <v>92.844179984597105</v>
      </c>
      <c r="AJ3185">
        <v>93.132067468380797</v>
      </c>
      <c r="AK3185">
        <v>22.363475867856401</v>
      </c>
      <c r="AL3185">
        <v>93.574312217967204</v>
      </c>
      <c r="AM3185">
        <v>92.791542713916101</v>
      </c>
      <c r="AN3185">
        <v>0.99999997515204098</v>
      </c>
    </row>
    <row r="3186" spans="1:40" x14ac:dyDescent="0.25">
      <c r="A3186" t="str">
        <f>"20190305135256275"</f>
        <v>20190305135256275</v>
      </c>
      <c r="B3186" t="str">
        <f>"1551765176272753"</f>
        <v>1551765176272753</v>
      </c>
      <c r="C3186" t="s">
        <v>40</v>
      </c>
      <c r="D3186">
        <v>4.482024</v>
      </c>
      <c r="E3186">
        <v>0.49899909999999997</v>
      </c>
      <c r="F3186" t="s">
        <v>56</v>
      </c>
      <c r="G3186">
        <v>-368.40809999999999</v>
      </c>
      <c r="H3186" s="1">
        <v>2.937598E-6</v>
      </c>
      <c r="I3186">
        <v>216.0059</v>
      </c>
      <c r="J3186">
        <v>-390.59690000000001</v>
      </c>
      <c r="K3186">
        <v>1.109799</v>
      </c>
      <c r="L3186">
        <v>214.55449999999999</v>
      </c>
      <c r="M3186">
        <v>0.99989850000000002</v>
      </c>
      <c r="N3186">
        <v>-7.4567269999999998E-3</v>
      </c>
      <c r="O3186">
        <v>1.214781E-2</v>
      </c>
      <c r="P3186">
        <v>0.99574790000000002</v>
      </c>
      <c r="Q3186">
        <v>-6.9518679999999999E-2</v>
      </c>
      <c r="R3186">
        <v>6.0445289999999999E-2</v>
      </c>
      <c r="S3186">
        <v>2.9908450000000002</v>
      </c>
      <c r="T3186">
        <v>-0.14656189999999999</v>
      </c>
      <c r="U3186">
        <v>0.19245909999999999</v>
      </c>
      <c r="V3186">
        <v>-4.8049630000000003E-2</v>
      </c>
      <c r="W3186">
        <v>-6.2315479999999999E-2</v>
      </c>
      <c r="X3186">
        <v>0.99689919999999999</v>
      </c>
      <c r="Y3186">
        <v>-5.202756E-2</v>
      </c>
      <c r="Z3186">
        <v>9.6321180000000001E-4</v>
      </c>
      <c r="AA3186">
        <v>0.99864520000000001</v>
      </c>
      <c r="AB3186">
        <v>47</v>
      </c>
      <c r="AC3186">
        <v>22.188800000000001</v>
      </c>
      <c r="AD3186">
        <v>-1.109796062402</v>
      </c>
      <c r="AE3186">
        <v>1.4514</v>
      </c>
      <c r="AF3186">
        <v>-1.1788037653068799</v>
      </c>
      <c r="AG3186">
        <v>-1.109796062402</v>
      </c>
      <c r="AH3186">
        <v>22.1496209428885</v>
      </c>
      <c r="AI3186">
        <v>92.864331857893404</v>
      </c>
      <c r="AJ3186">
        <v>93.046409793589206</v>
      </c>
      <c r="AK3186">
        <v>22.208713009331898</v>
      </c>
      <c r="AL3186">
        <v>93.572728831240298</v>
      </c>
      <c r="AM3186">
        <v>92.759468622416406</v>
      </c>
      <c r="AN3186">
        <v>1.0000000004756999</v>
      </c>
    </row>
    <row r="3187" spans="1:40" x14ac:dyDescent="0.25">
      <c r="A3187" t="str">
        <f>"20190305135256299"</f>
        <v>20190305135256299</v>
      </c>
      <c r="B3187" t="str">
        <f>"1551765176293248"</f>
        <v>1551765176293248</v>
      </c>
      <c r="C3187" t="s">
        <v>40</v>
      </c>
      <c r="D3187">
        <v>4.4800469999999999</v>
      </c>
      <c r="E3187">
        <v>0.49915559999999998</v>
      </c>
      <c r="F3187" t="s">
        <v>56</v>
      </c>
      <c r="G3187">
        <v>-368.28059999999999</v>
      </c>
      <c r="H3187" s="1">
        <v>2.869731E-6</v>
      </c>
      <c r="I3187">
        <v>215.99010000000001</v>
      </c>
      <c r="J3187">
        <v>-390.10590000000002</v>
      </c>
      <c r="K3187">
        <v>1.109945</v>
      </c>
      <c r="L3187">
        <v>214.56139999999999</v>
      </c>
      <c r="M3187">
        <v>0.99987320000000002</v>
      </c>
      <c r="N3187">
        <v>-8.1274539999999992E-3</v>
      </c>
      <c r="O3187">
        <v>1.3705510000000001E-2</v>
      </c>
      <c r="P3187">
        <v>0.9955638</v>
      </c>
      <c r="Q3187">
        <v>-7.0974700000000002E-2</v>
      </c>
      <c r="R3187">
        <v>6.1770499999999999E-2</v>
      </c>
      <c r="S3187">
        <v>2.9907840000000001</v>
      </c>
      <c r="T3187">
        <v>-0.1487328</v>
      </c>
      <c r="U3187">
        <v>0.19239809999999999</v>
      </c>
      <c r="V3187">
        <v>-4.7818600000000003E-2</v>
      </c>
      <c r="W3187">
        <v>-6.3103759999999995E-2</v>
      </c>
      <c r="X3187">
        <v>0.99686070000000004</v>
      </c>
      <c r="Y3187">
        <v>-5.0453419999999999E-2</v>
      </c>
      <c r="Z3187">
        <v>8.8872679999999903E-4</v>
      </c>
      <c r="AA3187">
        <v>0.998726</v>
      </c>
      <c r="AB3187">
        <v>47</v>
      </c>
      <c r="AC3187">
        <v>21.825299999999999</v>
      </c>
      <c r="AD3187">
        <v>-1.109942130269</v>
      </c>
      <c r="AE3187">
        <v>1.4287000000000201</v>
      </c>
      <c r="AF3187">
        <v>-1.1265279833861801</v>
      </c>
      <c r="AG3187">
        <v>-1.109942130269</v>
      </c>
      <c r="AH3187">
        <v>21.786724876128801</v>
      </c>
      <c r="AI3187">
        <v>92.912573626966605</v>
      </c>
      <c r="AJ3187">
        <v>92.959961543887104</v>
      </c>
      <c r="AK3187">
        <v>21.844047648227399</v>
      </c>
      <c r="AL3187">
        <v>93.617983095470905</v>
      </c>
      <c r="AM3187">
        <v>92.746326933896199</v>
      </c>
      <c r="AN3187">
        <v>0.99999997911829297</v>
      </c>
    </row>
    <row r="3188" spans="1:40" x14ac:dyDescent="0.25">
      <c r="A3188" t="str">
        <f>"20190305135256321"</f>
        <v>20190305135256321</v>
      </c>
      <c r="B3188" t="str">
        <f>"1551765176312768"</f>
        <v>1551765176312768</v>
      </c>
      <c r="C3188" t="s">
        <v>40</v>
      </c>
      <c r="D3188">
        <v>4.4843099999999998</v>
      </c>
      <c r="E3188">
        <v>0.49928980000000001</v>
      </c>
      <c r="F3188" t="s">
        <v>56</v>
      </c>
      <c r="G3188">
        <v>-368.505</v>
      </c>
      <c r="H3188" s="1">
        <v>2.989136E-6</v>
      </c>
      <c r="I3188">
        <v>215.97059999999999</v>
      </c>
      <c r="J3188">
        <v>-389.62430000000001</v>
      </c>
      <c r="K3188">
        <v>1.1100559999999999</v>
      </c>
      <c r="L3188">
        <v>214.56899999999999</v>
      </c>
      <c r="M3188">
        <v>0.99984589999999995</v>
      </c>
      <c r="N3188">
        <v>-8.7527760000000003E-3</v>
      </c>
      <c r="O3188">
        <v>1.5222899999999999E-2</v>
      </c>
      <c r="P3188">
        <v>0.99547850000000004</v>
      </c>
      <c r="Q3188">
        <v>-7.1444240000000006E-2</v>
      </c>
      <c r="R3188">
        <v>6.2596280000000004E-2</v>
      </c>
      <c r="S3188">
        <v>2.9902950000000001</v>
      </c>
      <c r="T3188">
        <v>-0.1536534</v>
      </c>
      <c r="U3188">
        <v>0.1950836</v>
      </c>
      <c r="V3188">
        <v>-4.7135059999999999E-2</v>
      </c>
      <c r="W3188">
        <v>-6.2946500000000002E-2</v>
      </c>
      <c r="X3188">
        <v>0.99690319999999999</v>
      </c>
      <c r="Y3188">
        <v>-4.9838880000000002E-2</v>
      </c>
      <c r="Z3188">
        <v>8.4907959999999997E-4</v>
      </c>
      <c r="AA3188">
        <v>0.99875689999999995</v>
      </c>
      <c r="AB3188">
        <v>47</v>
      </c>
      <c r="AC3188">
        <v>21.119299999999999</v>
      </c>
      <c r="AD3188">
        <v>-1.1100530108640001</v>
      </c>
      <c r="AE3188">
        <v>1.40159999999997</v>
      </c>
      <c r="AF3188">
        <v>-1.0769660463006601</v>
      </c>
      <c r="AG3188">
        <v>-1.1100530108640001</v>
      </c>
      <c r="AH3188">
        <v>21.080207648032399</v>
      </c>
      <c r="AI3188">
        <v>93.010409221182897</v>
      </c>
      <c r="AJ3188">
        <v>92.924639476989597</v>
      </c>
      <c r="AK3188">
        <v>21.136868926971601</v>
      </c>
      <c r="AL3188">
        <v>93.608954798348805</v>
      </c>
      <c r="AM3188">
        <v>92.7070133174511</v>
      </c>
      <c r="AN3188">
        <v>0.999999982956846</v>
      </c>
    </row>
    <row r="3189" spans="1:40" x14ac:dyDescent="0.25">
      <c r="A3189" t="str">
        <f>"20190305135256344"</f>
        <v>20190305135256344</v>
      </c>
      <c r="B3189" t="str">
        <f>"1551765176333264"</f>
        <v>1551765176333264</v>
      </c>
      <c r="C3189" t="s">
        <v>40</v>
      </c>
      <c r="D3189">
        <v>4.4824149999999996</v>
      </c>
      <c r="E3189">
        <v>0.4993821</v>
      </c>
      <c r="F3189" t="s">
        <v>56</v>
      </c>
      <c r="G3189">
        <v>-368.42669999999998</v>
      </c>
      <c r="H3189" s="1">
        <v>2.9474759999999999E-6</v>
      </c>
      <c r="I3189">
        <v>215.96010000000001</v>
      </c>
      <c r="J3189">
        <v>-389.1361</v>
      </c>
      <c r="K3189">
        <v>1.110106</v>
      </c>
      <c r="L3189">
        <v>214.57740000000001</v>
      </c>
      <c r="M3189">
        <v>0.99981719999999996</v>
      </c>
      <c r="N3189">
        <v>-9.2859750000000001E-3</v>
      </c>
      <c r="O3189">
        <v>1.6718219999999999E-2</v>
      </c>
      <c r="P3189">
        <v>0.9954286</v>
      </c>
      <c r="Q3189">
        <v>-7.1109919999999993E-2</v>
      </c>
      <c r="R3189">
        <v>6.3759330000000003E-2</v>
      </c>
      <c r="S3189">
        <v>2.9900820000000001</v>
      </c>
      <c r="T3189">
        <v>-0.15658150000000001</v>
      </c>
      <c r="U3189">
        <v>0.19622800000000001</v>
      </c>
      <c r="V3189">
        <v>-4.6815309999999999E-2</v>
      </c>
      <c r="W3189">
        <v>-6.2076529999999998E-2</v>
      </c>
      <c r="X3189">
        <v>0.99697290000000005</v>
      </c>
      <c r="Y3189">
        <v>-4.8730349999999999E-2</v>
      </c>
      <c r="Z3189">
        <v>7.8160039999999897E-4</v>
      </c>
      <c r="AA3189">
        <v>0.99881169999999997</v>
      </c>
      <c r="AB3189">
        <v>47</v>
      </c>
      <c r="AC3189">
        <v>20.709399999999999</v>
      </c>
      <c r="AD3189">
        <v>-1.1101030525239901</v>
      </c>
      <c r="AE3189">
        <v>1.38269999999999</v>
      </c>
      <c r="AF3189">
        <v>-1.03331162291013</v>
      </c>
      <c r="AG3189">
        <v>-1.1101030525239901</v>
      </c>
      <c r="AH3189">
        <v>20.670492317253899</v>
      </c>
      <c r="AI3189">
        <v>93.070274248919702</v>
      </c>
      <c r="AJ3189">
        <v>92.861816310743606</v>
      </c>
      <c r="AK3189">
        <v>20.726053998166599</v>
      </c>
      <c r="AL3189">
        <v>93.559011213427198</v>
      </c>
      <c r="AM3189">
        <v>92.688489101899094</v>
      </c>
      <c r="AN3189">
        <v>1.0000000660808199</v>
      </c>
    </row>
    <row r="3190" spans="1:40" x14ac:dyDescent="0.25">
      <c r="A3190" t="str">
        <f>"20190305135256367"</f>
        <v>20190305135256367</v>
      </c>
      <c r="B3190" t="str">
        <f>"1551765176362544"</f>
        <v>1551765176362544</v>
      </c>
      <c r="C3190" t="s">
        <v>40</v>
      </c>
      <c r="D3190">
        <v>4.4468310000000004</v>
      </c>
      <c r="E3190">
        <v>0.49954140000000002</v>
      </c>
      <c r="F3190" t="s">
        <v>56</v>
      </c>
      <c r="G3190">
        <v>-367.87520000000001</v>
      </c>
      <c r="H3190" s="1">
        <v>2.6539870000000002E-6</v>
      </c>
      <c r="I3190">
        <v>215.99369999999999</v>
      </c>
      <c r="J3190">
        <v>-388.67570000000001</v>
      </c>
      <c r="K3190">
        <v>1.110101</v>
      </c>
      <c r="L3190">
        <v>214.58600000000001</v>
      </c>
      <c r="M3190">
        <v>0.99979030000000002</v>
      </c>
      <c r="N3190">
        <v>-9.7042540000000007E-3</v>
      </c>
      <c r="O3190">
        <v>1.803859E-2</v>
      </c>
      <c r="P3190">
        <v>0.99539449999999996</v>
      </c>
      <c r="Q3190">
        <v>-7.0370929999999998E-2</v>
      </c>
      <c r="R3190">
        <v>6.509819E-2</v>
      </c>
      <c r="S3190">
        <v>2.989868</v>
      </c>
      <c r="T3190">
        <v>-0.156111</v>
      </c>
      <c r="U3190">
        <v>0.19917299999999999</v>
      </c>
      <c r="V3190">
        <v>-4.6851469999999999E-2</v>
      </c>
      <c r="W3190">
        <v>-6.0914629999999997E-2</v>
      </c>
      <c r="X3190">
        <v>0.99704280000000001</v>
      </c>
      <c r="Y3190">
        <v>-4.8396620000000001E-2</v>
      </c>
      <c r="Z3190">
        <v>7.3130380000000004E-4</v>
      </c>
      <c r="AA3190">
        <v>0.99882789999999999</v>
      </c>
      <c r="AB3190">
        <v>47</v>
      </c>
      <c r="AC3190">
        <v>20.8005</v>
      </c>
      <c r="AD3190">
        <v>-1.1100983460130001</v>
      </c>
      <c r="AE3190">
        <v>1.4077</v>
      </c>
      <c r="AF3190">
        <v>-1.02932322766472</v>
      </c>
      <c r="AG3190">
        <v>-1.1100983460130001</v>
      </c>
      <c r="AH3190">
        <v>20.763639345042101</v>
      </c>
      <c r="AI3190">
        <v>93.056577115274294</v>
      </c>
      <c r="AJ3190">
        <v>92.838020609883799</v>
      </c>
      <c r="AK3190">
        <v>20.818754609625699</v>
      </c>
      <c r="AL3190">
        <v>93.492313247428598</v>
      </c>
      <c r="AM3190">
        <v>92.690374281262393</v>
      </c>
      <c r="AN3190">
        <v>0.99999999871051803</v>
      </c>
    </row>
    <row r="3191" spans="1:40" x14ac:dyDescent="0.25">
      <c r="A3191" t="str">
        <f>"20190305135256388"</f>
        <v>20190305135256388</v>
      </c>
      <c r="B3191" t="str">
        <f>"1551765176383041"</f>
        <v>1551765176383041</v>
      </c>
      <c r="C3191" t="s">
        <v>40</v>
      </c>
      <c r="D3191">
        <v>4.4737019999999896</v>
      </c>
      <c r="E3191">
        <v>0.49966500000000003</v>
      </c>
      <c r="F3191" t="s">
        <v>56</v>
      </c>
      <c r="G3191">
        <v>-367.07220000000001</v>
      </c>
      <c r="H3191" s="1">
        <v>2.226685E-6</v>
      </c>
      <c r="I3191">
        <v>216.04400000000001</v>
      </c>
      <c r="J3191">
        <v>-388.21129999999999</v>
      </c>
      <c r="K3191">
        <v>1.1100490000000001</v>
      </c>
      <c r="L3191">
        <v>214.59530000000001</v>
      </c>
      <c r="M3191">
        <v>0.99976399999999999</v>
      </c>
      <c r="N3191">
        <v>-1.007252E-2</v>
      </c>
      <c r="O3191">
        <v>1.9259660000000001E-2</v>
      </c>
      <c r="P3191">
        <v>0.99536119999999995</v>
      </c>
      <c r="Q3191">
        <v>-6.9193779999999996E-2</v>
      </c>
      <c r="R3191">
        <v>6.6849160000000005E-2</v>
      </c>
      <c r="S3191">
        <v>2.9898380000000002</v>
      </c>
      <c r="T3191">
        <v>-0.153633399999999</v>
      </c>
      <c r="U3191">
        <v>0.20178219999999999</v>
      </c>
      <c r="V3191">
        <v>-4.7405019999999999E-2</v>
      </c>
      <c r="W3191">
        <v>-5.9362640000000001E-2</v>
      </c>
      <c r="X3191">
        <v>0.99711019999999995</v>
      </c>
      <c r="Y3191">
        <v>-4.8047600000000003E-2</v>
      </c>
      <c r="Z3191">
        <v>6.8074089999999997E-4</v>
      </c>
      <c r="AA3191">
        <v>0.99884479999999998</v>
      </c>
      <c r="AB3191">
        <v>47</v>
      </c>
      <c r="AC3191">
        <v>21.1390999999999</v>
      </c>
      <c r="AD3191">
        <v>-1.1100467733149999</v>
      </c>
      <c r="AE3191">
        <v>1.4487000000000001</v>
      </c>
      <c r="AF3191">
        <v>-1.0384287765056299</v>
      </c>
      <c r="AG3191">
        <v>-1.1100467733149999</v>
      </c>
      <c r="AH3191">
        <v>21.1051568843891</v>
      </c>
      <c r="AI3191">
        <v>93.007123372234005</v>
      </c>
      <c r="AJ3191">
        <v>92.816830202233206</v>
      </c>
      <c r="AK3191">
        <v>21.159824793166401</v>
      </c>
      <c r="AL3191">
        <v>93.403229672041604</v>
      </c>
      <c r="AM3191">
        <v>92.721929788825804</v>
      </c>
      <c r="AN3191">
        <v>0.99999995494650396</v>
      </c>
    </row>
    <row r="3192" spans="1:40" x14ac:dyDescent="0.25">
      <c r="A3192" t="str">
        <f>"20190305135256534"</f>
        <v>20190305135256534</v>
      </c>
      <c r="B3192" t="str">
        <f>"1551765176522612"</f>
        <v>1551765176522612</v>
      </c>
      <c r="C3192" t="s">
        <v>40</v>
      </c>
      <c r="D3192">
        <v>4.4827490000000001</v>
      </c>
      <c r="E3192">
        <v>0.50037180000000003</v>
      </c>
      <c r="F3192" t="s">
        <v>56</v>
      </c>
      <c r="G3192">
        <v>-366.15370000000001</v>
      </c>
      <c r="H3192" s="1">
        <v>1.737894E-6</v>
      </c>
      <c r="I3192">
        <v>216.11600000000001</v>
      </c>
      <c r="J3192">
        <v>-385.17070000000001</v>
      </c>
      <c r="K3192">
        <v>1.109105</v>
      </c>
      <c r="L3192">
        <v>214.66470000000001</v>
      </c>
      <c r="M3192">
        <v>0.99965179999999998</v>
      </c>
      <c r="N3192">
        <v>-1.161102E-2</v>
      </c>
      <c r="O3192">
        <v>2.3694239999999998E-2</v>
      </c>
      <c r="P3192">
        <v>0.9951392</v>
      </c>
      <c r="Q3192">
        <v>-6.5828609999999996E-2</v>
      </c>
      <c r="R3192">
        <v>7.3245160000000004E-2</v>
      </c>
      <c r="S3192">
        <v>2.989716</v>
      </c>
      <c r="T3192">
        <v>-0.15045729999999999</v>
      </c>
      <c r="U3192">
        <v>0.20611570000000001</v>
      </c>
      <c r="V3192">
        <v>-4.9540109999999998E-2</v>
      </c>
      <c r="W3192">
        <v>-5.43475E-2</v>
      </c>
      <c r="X3192">
        <v>0.99729239999999997</v>
      </c>
      <c r="Y3192">
        <v>-4.5067040000000003E-2</v>
      </c>
      <c r="Z3192">
        <v>4.7891809999999998E-4</v>
      </c>
      <c r="AA3192">
        <v>0.99898390000000004</v>
      </c>
      <c r="AB3192">
        <v>47</v>
      </c>
      <c r="AC3192">
        <v>19.016999999999999</v>
      </c>
      <c r="AD3192">
        <v>-1.109103262106</v>
      </c>
      <c r="AE3192">
        <v>1.4512999999999701</v>
      </c>
      <c r="AF3192">
        <v>-0.99689751624279199</v>
      </c>
      <c r="AG3192">
        <v>-1.109103262106</v>
      </c>
      <c r="AH3192">
        <v>18.981858696590201</v>
      </c>
      <c r="AI3192">
        <v>93.339378336660104</v>
      </c>
      <c r="AJ3192">
        <v>93.006322715449798</v>
      </c>
      <c r="AK3192">
        <v>19.0403485861268</v>
      </c>
      <c r="AL3192">
        <v>93.115417298154597</v>
      </c>
      <c r="AM3192">
        <v>92.843807884910305</v>
      </c>
      <c r="AN3192">
        <v>1.0000000021764099</v>
      </c>
    </row>
    <row r="3193" spans="1:40" x14ac:dyDescent="0.25">
      <c r="A3193" t="str">
        <f>"20190305135256557"</f>
        <v>20190305135256557</v>
      </c>
      <c r="B3193" t="str">
        <f>"1551765176552865"</f>
        <v>1551765176552865</v>
      </c>
      <c r="C3193" t="s">
        <v>40</v>
      </c>
      <c r="D3193">
        <v>4.4600210000000002</v>
      </c>
      <c r="E3193">
        <v>0.50081799999999999</v>
      </c>
      <c r="F3193" t="s">
        <v>56</v>
      </c>
      <c r="G3193">
        <v>-359.64830000000001</v>
      </c>
      <c r="H3193" s="1">
        <v>3.5133080000000001E-6</v>
      </c>
      <c r="I3193">
        <v>216.54400000000001</v>
      </c>
      <c r="J3193">
        <v>-384.67779999999999</v>
      </c>
      <c r="K3193">
        <v>1.108948</v>
      </c>
      <c r="L3193">
        <v>214.6765</v>
      </c>
      <c r="M3193">
        <v>0.99964770000000003</v>
      </c>
      <c r="N3193">
        <v>-1.1754769999999999E-2</v>
      </c>
      <c r="O3193">
        <v>2.3803020000000001E-2</v>
      </c>
      <c r="P3193">
        <v>0.99512370000000006</v>
      </c>
      <c r="Q3193">
        <v>-6.5884330000000005E-2</v>
      </c>
      <c r="R3193">
        <v>7.3404250000000004E-2</v>
      </c>
      <c r="S3193">
        <v>2.989868</v>
      </c>
      <c r="T3193">
        <v>-0.12992809999999999</v>
      </c>
      <c r="U3193">
        <v>0.22015380000000001</v>
      </c>
      <c r="V3193">
        <v>-4.9612200000000002E-2</v>
      </c>
      <c r="W3193">
        <v>-5.4240829999999997E-2</v>
      </c>
      <c r="X3193">
        <v>0.99729460000000003</v>
      </c>
      <c r="Y3193">
        <v>-4.9625929999999999E-2</v>
      </c>
      <c r="Z3193">
        <v>6.1577229999999999E-4</v>
      </c>
      <c r="AA3193">
        <v>0.99876770000000004</v>
      </c>
      <c r="AB3193">
        <v>47</v>
      </c>
      <c r="AC3193">
        <v>25.029499999999899</v>
      </c>
      <c r="AD3193">
        <v>-1.108944486692</v>
      </c>
      <c r="AE3193">
        <v>1.8674999999999999</v>
      </c>
      <c r="AF3193">
        <v>-1.2686754406540299</v>
      </c>
      <c r="AG3193">
        <v>-1.108944486692</v>
      </c>
      <c r="AH3193">
        <v>25.018024633160501</v>
      </c>
      <c r="AI3193">
        <v>92.534768338519598</v>
      </c>
      <c r="AJ3193">
        <v>92.903008406864799</v>
      </c>
      <c r="AK3193">
        <v>25.0747054178849</v>
      </c>
      <c r="AL3193">
        <v>93.109296602483496</v>
      </c>
      <c r="AM3193">
        <v>92.847933070023004</v>
      </c>
      <c r="AN3193">
        <v>0.99999997860854395</v>
      </c>
    </row>
    <row r="3194" spans="1:40" x14ac:dyDescent="0.25">
      <c r="A3194" t="str">
        <f>"20190305135256578"</f>
        <v>20190305135256578</v>
      </c>
      <c r="B3194" t="str">
        <f>"1551765176573361"</f>
        <v>1551765176573361</v>
      </c>
      <c r="C3194" t="s">
        <v>40</v>
      </c>
      <c r="D3194">
        <v>4.5092150000000002</v>
      </c>
      <c r="E3194">
        <v>0.50050699999999904</v>
      </c>
      <c r="F3194" t="s">
        <v>56</v>
      </c>
      <c r="G3194">
        <v>-358.7937</v>
      </c>
      <c r="H3194" s="1">
        <v>3.0580000000000002E-6</v>
      </c>
      <c r="I3194">
        <v>216.5558</v>
      </c>
      <c r="J3194">
        <v>-384.24639999999999</v>
      </c>
      <c r="K3194">
        <v>1.108827</v>
      </c>
      <c r="L3194">
        <v>214.68690000000001</v>
      </c>
      <c r="M3194">
        <v>0.99964609999999998</v>
      </c>
      <c r="N3194">
        <v>-1.1874300000000001E-2</v>
      </c>
      <c r="O3194">
        <v>2.3805920000000001E-2</v>
      </c>
      <c r="P3194">
        <v>0.995062</v>
      </c>
      <c r="Q3194">
        <v>-6.6091029999999995E-2</v>
      </c>
      <c r="R3194">
        <v>7.4053430000000003E-2</v>
      </c>
      <c r="S3194">
        <v>2.9902340000000001</v>
      </c>
      <c r="T3194">
        <v>-0.1281099</v>
      </c>
      <c r="U3194">
        <v>0.21710209999999999</v>
      </c>
      <c r="V3194">
        <v>-5.0275859999999999E-2</v>
      </c>
      <c r="W3194">
        <v>-5.4314559999999998E-2</v>
      </c>
      <c r="X3194">
        <v>0.99725739999999996</v>
      </c>
      <c r="Y3194">
        <v>-4.8602119999999999E-2</v>
      </c>
      <c r="Z3194">
        <v>5.9288839999999999E-4</v>
      </c>
      <c r="AA3194">
        <v>0.99881799999999998</v>
      </c>
      <c r="AB3194">
        <v>47</v>
      </c>
      <c r="AC3194">
        <v>25.4527</v>
      </c>
      <c r="AD3194">
        <v>-1.1088239419999999</v>
      </c>
      <c r="AE3194">
        <v>1.86889999999999</v>
      </c>
      <c r="AF3194">
        <v>-1.2600241400644201</v>
      </c>
      <c r="AG3194">
        <v>-1.1088239419999999</v>
      </c>
      <c r="AH3194">
        <v>25.441954085165801</v>
      </c>
      <c r="AI3194">
        <v>92.492463051718403</v>
      </c>
      <c r="AJ3194">
        <v>92.835282488102905</v>
      </c>
      <c r="AK3194">
        <v>25.497258265146499</v>
      </c>
      <c r="AL3194">
        <v>93.113527103924099</v>
      </c>
      <c r="AM3194">
        <v>92.886073224150493</v>
      </c>
      <c r="AN3194">
        <v>1.0000000276907399</v>
      </c>
    </row>
    <row r="3195" spans="1:40" x14ac:dyDescent="0.25">
      <c r="A3195" t="str">
        <f>"20190305135256600"</f>
        <v>20190305135256600</v>
      </c>
      <c r="B3195" t="str">
        <f>"1551765176592881"</f>
        <v>1551765176592881</v>
      </c>
      <c r="C3195" t="s">
        <v>40</v>
      </c>
      <c r="D3195">
        <v>4.5385989999999996</v>
      </c>
      <c r="E3195">
        <v>0.49994159999999999</v>
      </c>
      <c r="F3195" t="s">
        <v>56</v>
      </c>
      <c r="G3195">
        <v>-359.48610000000002</v>
      </c>
      <c r="H3195" s="1">
        <v>3.4280360000000002E-6</v>
      </c>
      <c r="I3195">
        <v>216.52019999999999</v>
      </c>
      <c r="J3195">
        <v>-383.7484</v>
      </c>
      <c r="K3195">
        <v>1.108514</v>
      </c>
      <c r="L3195">
        <v>214.69880000000001</v>
      </c>
      <c r="M3195">
        <v>0.99965499999999996</v>
      </c>
      <c r="N3195">
        <v>-1.1226689999999999E-2</v>
      </c>
      <c r="O3195">
        <v>2.374414E-2</v>
      </c>
      <c r="P3195">
        <v>0.99512959999999995</v>
      </c>
      <c r="Q3195">
        <v>-6.5132889999999999E-2</v>
      </c>
      <c r="R3195">
        <v>7.3991230000000005E-2</v>
      </c>
      <c r="S3195">
        <v>2.9895019999999999</v>
      </c>
      <c r="T3195">
        <v>-0.13387689999999999</v>
      </c>
      <c r="U3195">
        <v>0.22134400000000001</v>
      </c>
      <c r="V3195">
        <v>-5.0289590000000002E-2</v>
      </c>
      <c r="W3195">
        <v>-5.3987420000000001E-2</v>
      </c>
      <c r="X3195">
        <v>0.99727449999999995</v>
      </c>
      <c r="Y3195">
        <v>-5.008746E-2</v>
      </c>
      <c r="Z3195">
        <v>6.063145E-4</v>
      </c>
      <c r="AA3195">
        <v>0.99874470000000004</v>
      </c>
      <c r="AB3195">
        <v>47</v>
      </c>
      <c r="AC3195">
        <v>24.2622999999999</v>
      </c>
      <c r="AD3195">
        <v>-1.108510571964</v>
      </c>
      <c r="AE3195">
        <v>1.8213999999999799</v>
      </c>
      <c r="AF3195">
        <v>-1.24218418789715</v>
      </c>
      <c r="AG3195">
        <v>-1.108510571964</v>
      </c>
      <c r="AH3195">
        <v>24.248375558207801</v>
      </c>
      <c r="AI3195">
        <v>92.614022043864694</v>
      </c>
      <c r="AJ3195">
        <v>92.932557324344401</v>
      </c>
      <c r="AK3195">
        <v>24.305463057854102</v>
      </c>
      <c r="AL3195">
        <v>93.094755732221898</v>
      </c>
      <c r="AM3195">
        <v>92.886810641821398</v>
      </c>
      <c r="AN3195">
        <v>1.0000000563654301</v>
      </c>
    </row>
    <row r="3196" spans="1:40" x14ac:dyDescent="0.25">
      <c r="A3196" t="str">
        <f>"20190305135256624"</f>
        <v>20190305135256624</v>
      </c>
      <c r="B3196" t="str">
        <f>"1551765176612402"</f>
        <v>1551765176612402</v>
      </c>
      <c r="C3196" t="s">
        <v>40</v>
      </c>
      <c r="D3196">
        <v>4.5809089999999903</v>
      </c>
      <c r="E3196">
        <v>0.49945319999999999</v>
      </c>
      <c r="F3196" t="s">
        <v>56</v>
      </c>
      <c r="G3196">
        <v>-359.13830000000002</v>
      </c>
      <c r="H3196" s="1">
        <v>3.241393E-6</v>
      </c>
      <c r="I3196">
        <v>216.55539999999999</v>
      </c>
      <c r="J3196">
        <v>-383.26310000000001</v>
      </c>
      <c r="K3196">
        <v>1.108088</v>
      </c>
      <c r="L3196">
        <v>214.71039999999999</v>
      </c>
      <c r="M3196">
        <v>0.99967099999999998</v>
      </c>
      <c r="N3196">
        <v>-9.9064219999999998E-3</v>
      </c>
      <c r="O3196">
        <v>2.3658209999999999E-2</v>
      </c>
      <c r="P3196">
        <v>0.99526610000000004</v>
      </c>
      <c r="Q3196">
        <v>-6.3207810000000003E-2</v>
      </c>
      <c r="R3196">
        <v>7.3825020000000005E-2</v>
      </c>
      <c r="S3196">
        <v>2.9891359999999998</v>
      </c>
      <c r="T3196">
        <v>-0.1346396</v>
      </c>
      <c r="U3196">
        <v>0.22549440000000001</v>
      </c>
      <c r="V3196">
        <v>-5.0218980000000003E-2</v>
      </c>
      <c r="W3196">
        <v>-5.3366530000000002E-2</v>
      </c>
      <c r="X3196">
        <v>0.99731139999999996</v>
      </c>
      <c r="Y3196">
        <v>-5.1561889999999999E-2</v>
      </c>
      <c r="Z3196">
        <v>5.8568260000000001E-4</v>
      </c>
      <c r="AA3196">
        <v>0.99866960000000005</v>
      </c>
      <c r="AB3196">
        <v>47</v>
      </c>
      <c r="AC3196">
        <v>24.1248</v>
      </c>
      <c r="AD3196">
        <v>-1.108084758607</v>
      </c>
      <c r="AE3196">
        <v>1.84499999999999</v>
      </c>
      <c r="AF3196">
        <v>-1.2710400313319501</v>
      </c>
      <c r="AG3196">
        <v>-1.108084758607</v>
      </c>
      <c r="AH3196">
        <v>24.111127265954099</v>
      </c>
      <c r="AI3196">
        <v>92.627670226219706</v>
      </c>
      <c r="AJ3196">
        <v>93.017605987510805</v>
      </c>
      <c r="AK3196">
        <v>24.170019706829802</v>
      </c>
      <c r="AL3196">
        <v>93.059130229575501</v>
      </c>
      <c r="AM3196">
        <v>92.8826577245827</v>
      </c>
      <c r="AN3196">
        <v>0.99999998052322003</v>
      </c>
    </row>
    <row r="3197" spans="1:40" x14ac:dyDescent="0.25">
      <c r="A3197" t="str">
        <f>"20190305135256643"</f>
        <v>20190305135256643</v>
      </c>
      <c r="B3197" t="str">
        <f>"1551765176632897"</f>
        <v>1551765176632897</v>
      </c>
      <c r="C3197" t="s">
        <v>40</v>
      </c>
      <c r="D3197">
        <v>4.5718439999999996</v>
      </c>
      <c r="E3197">
        <v>0.49895689999999998</v>
      </c>
      <c r="F3197" t="s">
        <v>56</v>
      </c>
      <c r="G3197">
        <v>-358.18770000000001</v>
      </c>
      <c r="H3197" s="1">
        <v>2.732381E-6</v>
      </c>
      <c r="I3197">
        <v>216.62799999999999</v>
      </c>
      <c r="J3197">
        <v>-382.83909999999997</v>
      </c>
      <c r="K3197">
        <v>1.1077549999999901</v>
      </c>
      <c r="L3197">
        <v>214.72059999999999</v>
      </c>
      <c r="M3197">
        <v>0.99968429999999997</v>
      </c>
      <c r="N3197">
        <v>-8.6881930000000003E-3</v>
      </c>
      <c r="O3197">
        <v>2.3574410000000001E-2</v>
      </c>
      <c r="P3197">
        <v>0.99539100000000003</v>
      </c>
      <c r="Q3197">
        <v>-6.2070769999999997E-2</v>
      </c>
      <c r="R3197">
        <v>7.3101810000000003E-2</v>
      </c>
      <c r="S3197">
        <v>2.9888919999999999</v>
      </c>
      <c r="T3197">
        <v>-0.13207959999999999</v>
      </c>
      <c r="U3197">
        <v>0.2285614</v>
      </c>
      <c r="V3197">
        <v>-4.9586310000000001E-2</v>
      </c>
      <c r="W3197">
        <v>-5.3434379999999997E-2</v>
      </c>
      <c r="X3197">
        <v>0.99733939999999999</v>
      </c>
      <c r="Y3197">
        <v>-5.267339E-2</v>
      </c>
      <c r="Z3197">
        <v>5.5592870000000004E-4</v>
      </c>
      <c r="AA3197">
        <v>0.99861160000000004</v>
      </c>
      <c r="AB3197">
        <v>47</v>
      </c>
      <c r="AC3197">
        <v>24.651399999999899</v>
      </c>
      <c r="AD3197">
        <v>-1.1077522676189999</v>
      </c>
      <c r="AE3197">
        <v>1.90739999999999</v>
      </c>
      <c r="AF3197">
        <v>-1.3230499579839601</v>
      </c>
      <c r="AG3197">
        <v>-1.1077522676189999</v>
      </c>
      <c r="AH3197">
        <v>24.640056313861098</v>
      </c>
      <c r="AI3197">
        <v>92.570436716358401</v>
      </c>
      <c r="AJ3197">
        <v>93.073550263172095</v>
      </c>
      <c r="AK3197">
        <v>24.7004038717585</v>
      </c>
      <c r="AL3197">
        <v>93.063023375293497</v>
      </c>
      <c r="AM3197">
        <v>92.846321677357807</v>
      </c>
      <c r="AN3197">
        <v>0.999999956948879</v>
      </c>
    </row>
    <row r="3198" spans="1:40" x14ac:dyDescent="0.25">
      <c r="A3198" t="str">
        <f>"20190305135256668"</f>
        <v>20190305135256668</v>
      </c>
      <c r="B3198" t="str">
        <f>"1551765176663153"</f>
        <v>1551765176663153</v>
      </c>
      <c r="C3198" t="s">
        <v>40</v>
      </c>
      <c r="D3198">
        <v>4.6195779999999997</v>
      </c>
      <c r="E3198">
        <v>0.49820900000000001</v>
      </c>
      <c r="F3198" t="s">
        <v>56</v>
      </c>
      <c r="G3198">
        <v>-357.53179999999998</v>
      </c>
      <c r="H3198" s="1">
        <v>2.3814589999999999E-6</v>
      </c>
      <c r="I3198">
        <v>216.6705</v>
      </c>
      <c r="J3198">
        <v>-382.33640000000003</v>
      </c>
      <c r="K3198">
        <v>1.1074569999999999</v>
      </c>
      <c r="L3198">
        <v>214.73249999999999</v>
      </c>
      <c r="M3198">
        <v>0.99969710000000001</v>
      </c>
      <c r="N3198">
        <v>-7.4147049999999997E-3</v>
      </c>
      <c r="O3198">
        <v>2.3469500000000001E-2</v>
      </c>
      <c r="P3198">
        <v>0.99551559999999994</v>
      </c>
      <c r="Q3198">
        <v>-6.0257489999999997E-2</v>
      </c>
      <c r="R3198">
        <v>7.2923799999999997E-2</v>
      </c>
      <c r="S3198">
        <v>2.9888309999999998</v>
      </c>
      <c r="T3198">
        <v>-0.13082739999999901</v>
      </c>
      <c r="U3198">
        <v>0.23028560000000001</v>
      </c>
      <c r="V3198">
        <v>-4.9520700000000001E-2</v>
      </c>
      <c r="W3198">
        <v>-5.2880709999999997E-2</v>
      </c>
      <c r="X3198">
        <v>0.99737220000000004</v>
      </c>
      <c r="Y3198">
        <v>-5.3355090000000001E-2</v>
      </c>
      <c r="Z3198">
        <v>5.1240879999999995E-4</v>
      </c>
      <c r="AA3198">
        <v>0.9985754</v>
      </c>
      <c r="AB3198">
        <v>48</v>
      </c>
      <c r="AC3198">
        <v>24.804600000000001</v>
      </c>
      <c r="AD3198">
        <v>-1.1074546185409999</v>
      </c>
      <c r="AE3198">
        <v>1.9380000000000099</v>
      </c>
      <c r="AF3198">
        <v>-1.3526187100917599</v>
      </c>
      <c r="AG3198">
        <v>-1.1074546185409999</v>
      </c>
      <c r="AH3198">
        <v>24.794128477174699</v>
      </c>
      <c r="AI3198">
        <v>92.553681409904897</v>
      </c>
      <c r="AJ3198">
        <v>93.122618225113598</v>
      </c>
      <c r="AK3198">
        <v>24.8556802371141</v>
      </c>
      <c r="AL3198">
        <v>93.031255411876998</v>
      </c>
      <c r="AM3198">
        <v>92.842468426557403</v>
      </c>
      <c r="AN3198">
        <v>0.99999998727571704</v>
      </c>
    </row>
    <row r="3199" spans="1:40" x14ac:dyDescent="0.25">
      <c r="A3199" t="str">
        <f>"20190305135256690"</f>
        <v>20190305135256690</v>
      </c>
      <c r="B3199" t="str">
        <f>"1551765176682673"</f>
        <v>1551765176682673</v>
      </c>
      <c r="C3199" t="s">
        <v>40</v>
      </c>
      <c r="D3199">
        <v>4.6115700000000004</v>
      </c>
      <c r="E3199">
        <v>0.4977666</v>
      </c>
      <c r="F3199" t="s">
        <v>56</v>
      </c>
      <c r="G3199">
        <v>-356.79520000000002</v>
      </c>
      <c r="H3199" s="1">
        <v>1.9861719999999998E-6</v>
      </c>
      <c r="I3199">
        <v>216.74629999999999</v>
      </c>
      <c r="J3199">
        <v>-381.84030000000001</v>
      </c>
      <c r="K3199">
        <v>1.1072879999999901</v>
      </c>
      <c r="L3199">
        <v>214.74420000000001</v>
      </c>
      <c r="M3199">
        <v>0.99970579999999998</v>
      </c>
      <c r="N3199">
        <v>-6.4886639999999999E-3</v>
      </c>
      <c r="O3199">
        <v>2.3367470000000001E-2</v>
      </c>
      <c r="P3199">
        <v>0.99560839999999995</v>
      </c>
      <c r="Q3199">
        <v>-5.9340589999999999E-2</v>
      </c>
      <c r="R3199">
        <v>7.2404560000000007E-2</v>
      </c>
      <c r="S3199">
        <v>2.9884029999999999</v>
      </c>
      <c r="T3199">
        <v>-0.12957569999999999</v>
      </c>
      <c r="U3199">
        <v>0.23561099999999999</v>
      </c>
      <c r="V3199">
        <v>-4.9110760000000003E-2</v>
      </c>
      <c r="W3199">
        <v>-5.2878050000000003E-2</v>
      </c>
      <c r="X3199">
        <v>0.99739259999999996</v>
      </c>
      <c r="Y3199">
        <v>-5.523716E-2</v>
      </c>
      <c r="Z3199">
        <v>5.1521459999999896E-4</v>
      </c>
      <c r="AA3199">
        <v>0.9984731</v>
      </c>
      <c r="AB3199">
        <v>48</v>
      </c>
      <c r="AC3199">
        <v>25.045099999999898</v>
      </c>
      <c r="AD3199">
        <v>-1.1072860138279901</v>
      </c>
      <c r="AE3199">
        <v>2.00209999999998</v>
      </c>
      <c r="AF3199">
        <v>-1.4135548039652801</v>
      </c>
      <c r="AG3199">
        <v>-1.1072860138279901</v>
      </c>
      <c r="AH3199">
        <v>25.036418718802501</v>
      </c>
      <c r="AI3199">
        <v>92.528349512692202</v>
      </c>
      <c r="AJ3199">
        <v>93.231485732220094</v>
      </c>
      <c r="AK3199">
        <v>25.100726717835101</v>
      </c>
      <c r="AL3199">
        <v>93.031102823575196</v>
      </c>
      <c r="AM3199">
        <v>92.818918582292895</v>
      </c>
      <c r="AN3199">
        <v>0.999999976727169</v>
      </c>
    </row>
    <row r="3200" spans="1:40" x14ac:dyDescent="0.25">
      <c r="A3200" t="str">
        <f>"20190305135256712"</f>
        <v>20190305135256712</v>
      </c>
      <c r="B3200" t="str">
        <f>"1551765176702406"</f>
        <v>1551765176702406</v>
      </c>
      <c r="C3200" t="s">
        <v>40</v>
      </c>
      <c r="D3200">
        <v>4.6453189999999998</v>
      </c>
      <c r="E3200">
        <v>0.49727979999999999</v>
      </c>
      <c r="F3200" t="s">
        <v>56</v>
      </c>
      <c r="G3200">
        <v>-356.1875</v>
      </c>
      <c r="H3200" s="1">
        <v>1.6612629999999999E-6</v>
      </c>
      <c r="I3200">
        <v>216.78149999999999</v>
      </c>
      <c r="J3200">
        <v>-381.36160000000001</v>
      </c>
      <c r="K3200">
        <v>1.1072299999999999</v>
      </c>
      <c r="L3200">
        <v>214.75550000000001</v>
      </c>
      <c r="M3200">
        <v>0.99971129999999997</v>
      </c>
      <c r="N3200">
        <v>-5.9514049999999999E-3</v>
      </c>
      <c r="O3200">
        <v>2.3275219999999999E-2</v>
      </c>
      <c r="P3200">
        <v>0.99564390000000003</v>
      </c>
      <c r="Q3200">
        <v>-5.8691199999999902E-2</v>
      </c>
      <c r="R3200">
        <v>7.2448299999999993E-2</v>
      </c>
      <c r="S3200">
        <v>2.9883120000000001</v>
      </c>
      <c r="T3200">
        <v>-0.12898850000000001</v>
      </c>
      <c r="U3200">
        <v>0.2373199</v>
      </c>
      <c r="V3200">
        <v>-4.9254220000000001E-2</v>
      </c>
      <c r="W3200">
        <v>-5.2756659999999997E-2</v>
      </c>
      <c r="X3200">
        <v>0.99739199999999995</v>
      </c>
      <c r="Y3200">
        <v>-5.5899900000000002E-2</v>
      </c>
      <c r="Z3200">
        <v>5.0665180000000005E-4</v>
      </c>
      <c r="AA3200">
        <v>0.99843630000000005</v>
      </c>
      <c r="AB3200">
        <v>48</v>
      </c>
      <c r="AC3200">
        <v>25.174099999999999</v>
      </c>
      <c r="AD3200">
        <v>-1.1072283387370001</v>
      </c>
      <c r="AE3200">
        <v>2.0259999999999798</v>
      </c>
      <c r="AF3200">
        <v>-1.43674650198238</v>
      </c>
      <c r="AG3200">
        <v>-1.1072283387370001</v>
      </c>
      <c r="AH3200">
        <v>25.166066201202</v>
      </c>
      <c r="AI3200">
        <v>92.515120536871606</v>
      </c>
      <c r="AJ3200">
        <v>93.267505095195403</v>
      </c>
      <c r="AK3200">
        <v>25.231351195454099</v>
      </c>
      <c r="AL3200">
        <v>93.024137828521006</v>
      </c>
      <c r="AM3200">
        <v>92.827141430325298</v>
      </c>
      <c r="AN3200">
        <v>1.0000000225130801</v>
      </c>
    </row>
    <row r="3201" spans="1:40" x14ac:dyDescent="0.25">
      <c r="A3201" t="str">
        <f>"20190305135256734"</f>
        <v>20190305135256734</v>
      </c>
      <c r="B3201" t="str">
        <f>"1551765176722899"</f>
        <v>1551765176722899</v>
      </c>
      <c r="C3201" t="s">
        <v>40</v>
      </c>
      <c r="D3201">
        <v>4.6447839999999996</v>
      </c>
      <c r="E3201">
        <v>0.49685960000000001</v>
      </c>
      <c r="F3201" t="s">
        <v>56</v>
      </c>
      <c r="G3201">
        <v>-355.79640000000001</v>
      </c>
      <c r="H3201" s="1">
        <v>1.4514640000000001E-6</v>
      </c>
      <c r="I3201">
        <v>216.81960000000001</v>
      </c>
      <c r="J3201">
        <v>-380.88659999999999</v>
      </c>
      <c r="K3201">
        <v>1.1072420000000001</v>
      </c>
      <c r="L3201">
        <v>214.76650000000001</v>
      </c>
      <c r="M3201">
        <v>0.99971500000000002</v>
      </c>
      <c r="N3201">
        <v>-5.6994159999999997E-3</v>
      </c>
      <c r="O3201">
        <v>2.3184940000000001E-2</v>
      </c>
      <c r="P3201">
        <v>0.99567660000000002</v>
      </c>
      <c r="Q3201">
        <v>-5.8342770000000002E-2</v>
      </c>
      <c r="R3201">
        <v>7.2277960000000002E-2</v>
      </c>
      <c r="S3201">
        <v>2.9878849999999999</v>
      </c>
      <c r="T3201">
        <v>-0.129405399999999</v>
      </c>
      <c r="U3201">
        <v>0.2412415</v>
      </c>
      <c r="V3201">
        <v>-4.9179830000000001E-2</v>
      </c>
      <c r="W3201">
        <v>-5.2653119999999998E-2</v>
      </c>
      <c r="X3201">
        <v>0.99740110000000004</v>
      </c>
      <c r="Y3201">
        <v>-5.7302110000000003E-2</v>
      </c>
      <c r="Z3201">
        <v>5.3210430000000003E-4</v>
      </c>
      <c r="AA3201">
        <v>0.99835680000000004</v>
      </c>
      <c r="AB3201">
        <v>49</v>
      </c>
      <c r="AC3201">
        <v>25.0901999999999</v>
      </c>
      <c r="AD3201">
        <v>-1.107240548536</v>
      </c>
      <c r="AE3201">
        <v>2.0531000000000001</v>
      </c>
      <c r="AF3201">
        <v>-1.4679840240375599</v>
      </c>
      <c r="AG3201">
        <v>-1.107240548536</v>
      </c>
      <c r="AH3201">
        <v>25.082534004930299</v>
      </c>
      <c r="AI3201">
        <v>92.523305169945402</v>
      </c>
      <c r="AJ3201">
        <v>93.349480255272098</v>
      </c>
      <c r="AK3201">
        <v>25.1498403739594</v>
      </c>
      <c r="AL3201">
        <v>93.018197293815007</v>
      </c>
      <c r="AM3201">
        <v>92.822852719247294</v>
      </c>
      <c r="AN3201">
        <v>0.99999998050288597</v>
      </c>
    </row>
    <row r="3202" spans="1:40" x14ac:dyDescent="0.25">
      <c r="A3202" t="str">
        <f>"20190305135256757"</f>
        <v>20190305135256757</v>
      </c>
      <c r="B3202" t="str">
        <f>"1551765176753155"</f>
        <v>1551765176753155</v>
      </c>
      <c r="C3202" t="s">
        <v>40</v>
      </c>
      <c r="D3202">
        <v>4.6329459999999996</v>
      </c>
      <c r="E3202">
        <v>0.49641109999999999</v>
      </c>
      <c r="F3202" t="s">
        <v>56</v>
      </c>
      <c r="G3202">
        <v>-355.5976</v>
      </c>
      <c r="H3202" s="1">
        <v>1.3451269999999999E-6</v>
      </c>
      <c r="I3202">
        <v>216.83199999999999</v>
      </c>
      <c r="J3202">
        <v>-380.392</v>
      </c>
      <c r="K3202">
        <v>1.1072879999999901</v>
      </c>
      <c r="L3202">
        <v>214.77799999999999</v>
      </c>
      <c r="M3202">
        <v>0.99971790000000005</v>
      </c>
      <c r="N3202">
        <v>-5.5966089999999998E-3</v>
      </c>
      <c r="O3202">
        <v>2.3085669999999999E-2</v>
      </c>
      <c r="P3202">
        <v>0.99566569999999999</v>
      </c>
      <c r="Q3202">
        <v>-5.8151590000000003E-2</v>
      </c>
      <c r="R3202">
        <v>7.2584029999999994E-2</v>
      </c>
      <c r="S3202">
        <v>2.9876399999999999</v>
      </c>
      <c r="T3202">
        <v>-0.13080939999999999</v>
      </c>
      <c r="U3202">
        <v>0.2440186</v>
      </c>
      <c r="V3202">
        <v>-4.9590040000000002E-2</v>
      </c>
      <c r="W3202">
        <v>-5.2559790000000002E-2</v>
      </c>
      <c r="X3202">
        <v>0.99738570000000004</v>
      </c>
      <c r="Y3202">
        <v>-5.8327909999999997E-2</v>
      </c>
      <c r="Z3202">
        <v>5.5841669999999997E-4</v>
      </c>
      <c r="AA3202">
        <v>0.99829730000000005</v>
      </c>
      <c r="AB3202">
        <v>49</v>
      </c>
      <c r="AC3202">
        <v>24.7944</v>
      </c>
      <c r="AD3202">
        <v>-1.1072866548729901</v>
      </c>
      <c r="AE3202">
        <v>2.0539999999999998</v>
      </c>
      <c r="AF3202">
        <v>-1.4781204395263601</v>
      </c>
      <c r="AG3202">
        <v>-1.1072866548729901</v>
      </c>
      <c r="AH3202">
        <v>24.786113986937298</v>
      </c>
      <c r="AI3202">
        <v>92.553381668705697</v>
      </c>
      <c r="AJ3202">
        <v>93.412793190940207</v>
      </c>
      <c r="AK3202">
        <v>24.854825896458301</v>
      </c>
      <c r="AL3202">
        <v>93.012842498342593</v>
      </c>
      <c r="AM3202">
        <v>92.846403509578195</v>
      </c>
      <c r="AN3202">
        <v>0.99999996907826705</v>
      </c>
    </row>
    <row r="3203" spans="1:40" x14ac:dyDescent="0.25">
      <c r="A3203" t="str">
        <f>"20190305135256780"</f>
        <v>20190305135256780</v>
      </c>
      <c r="B3203" t="str">
        <f>"1551765176772675"</f>
        <v>1551765176772675</v>
      </c>
      <c r="C3203" t="s">
        <v>40</v>
      </c>
      <c r="D3203">
        <v>4.6725159999999999</v>
      </c>
      <c r="E3203">
        <v>0.49608029999999997</v>
      </c>
      <c r="F3203" t="s">
        <v>56</v>
      </c>
      <c r="G3203">
        <v>-355.11509999999998</v>
      </c>
      <c r="H3203" s="1">
        <v>1.08622E-6</v>
      </c>
      <c r="I3203">
        <v>216.88069999999999</v>
      </c>
      <c r="J3203">
        <v>-379.87759999999997</v>
      </c>
      <c r="K3203">
        <v>1.107343</v>
      </c>
      <c r="L3203">
        <v>214.78980000000001</v>
      </c>
      <c r="M3203">
        <v>0.99972070000000002</v>
      </c>
      <c r="N3203">
        <v>-5.5611929999999999E-3</v>
      </c>
      <c r="O3203">
        <v>2.2975289999999999E-2</v>
      </c>
      <c r="P3203">
        <v>0.99568089999999998</v>
      </c>
      <c r="Q3203">
        <v>-5.7502959999999999E-2</v>
      </c>
      <c r="R3203">
        <v>7.2894089999999995E-2</v>
      </c>
      <c r="S3203">
        <v>2.9872740000000002</v>
      </c>
      <c r="T3203">
        <v>-0.13086120000000001</v>
      </c>
      <c r="U3203">
        <v>0.24850459999999999</v>
      </c>
      <c r="V3203">
        <v>-5.0012550000000003E-2</v>
      </c>
      <c r="W3203">
        <v>-5.1943450000000002E-2</v>
      </c>
      <c r="X3203">
        <v>0.99739690000000003</v>
      </c>
      <c r="Y3203">
        <v>-5.9935290000000002E-2</v>
      </c>
      <c r="Z3203">
        <v>6.005111E-4</v>
      </c>
      <c r="AA3203">
        <v>0.99820209999999998</v>
      </c>
      <c r="AB3203">
        <v>49</v>
      </c>
      <c r="AC3203">
        <v>24.7624999999999</v>
      </c>
      <c r="AD3203">
        <v>-1.10734191378</v>
      </c>
      <c r="AE3203">
        <v>2.0908999999999698</v>
      </c>
      <c r="AF3203">
        <v>-1.51839880113276</v>
      </c>
      <c r="AG3203">
        <v>-1.10734191378</v>
      </c>
      <c r="AH3203">
        <v>24.7548501680374</v>
      </c>
      <c r="AI3203">
        <v>92.556467620189096</v>
      </c>
      <c r="AJ3203">
        <v>93.509978228429603</v>
      </c>
      <c r="AK3203">
        <v>24.8260820081478</v>
      </c>
      <c r="AL3203">
        <v>92.977480487187606</v>
      </c>
      <c r="AM3203">
        <v>92.870582458212994</v>
      </c>
      <c r="AN3203">
        <v>0.99999997664250695</v>
      </c>
    </row>
    <row r="3204" spans="1:40" x14ac:dyDescent="0.25">
      <c r="A3204" t="str">
        <f>"20190305135256801"</f>
        <v>20190305135256801</v>
      </c>
      <c r="B3204" t="str">
        <f>"1551765176793171"</f>
        <v>1551765176793171</v>
      </c>
      <c r="C3204" t="s">
        <v>40</v>
      </c>
      <c r="D3204">
        <v>4.6863330000000003</v>
      </c>
      <c r="E3204">
        <v>0.49578119999999998</v>
      </c>
      <c r="F3204" t="s">
        <v>56</v>
      </c>
      <c r="G3204">
        <v>-354.5847</v>
      </c>
      <c r="H3204" s="1">
        <v>8.0218409999999899E-7</v>
      </c>
      <c r="I3204">
        <v>216.92259999999999</v>
      </c>
      <c r="J3204">
        <v>-379.3922</v>
      </c>
      <c r="K3204">
        <v>1.107397</v>
      </c>
      <c r="L3204">
        <v>214.80090000000001</v>
      </c>
      <c r="M3204">
        <v>0.99972300000000003</v>
      </c>
      <c r="N3204">
        <v>-5.5629619999999899E-3</v>
      </c>
      <c r="O3204">
        <v>2.2868590000000001E-2</v>
      </c>
      <c r="P3204">
        <v>0.99574770000000001</v>
      </c>
      <c r="Q3204">
        <v>-5.66341E-2</v>
      </c>
      <c r="R3204">
        <v>7.2655819999999996E-2</v>
      </c>
      <c r="S3204">
        <v>2.9870299999999999</v>
      </c>
      <c r="T3204">
        <v>-0.13077469999999999</v>
      </c>
      <c r="U3204">
        <v>0.25187680000000001</v>
      </c>
      <c r="V3204">
        <v>-4.98802E-2</v>
      </c>
      <c r="W3204">
        <v>-5.107159E-2</v>
      </c>
      <c r="X3204">
        <v>0.99744860000000002</v>
      </c>
      <c r="Y3204">
        <v>-6.1166230000000002E-2</v>
      </c>
      <c r="Z3204">
        <v>6.3480090000000002E-4</v>
      </c>
      <c r="AA3204">
        <v>0.9981274</v>
      </c>
      <c r="AB3204">
        <v>49</v>
      </c>
      <c r="AC3204">
        <v>24.807500000000001</v>
      </c>
      <c r="AD3204">
        <v>-1.1073961978158999</v>
      </c>
      <c r="AE3204">
        <v>2.1216999999999699</v>
      </c>
      <c r="AF3204">
        <v>-1.550756050508</v>
      </c>
      <c r="AG3204">
        <v>-1.1073961978158999</v>
      </c>
      <c r="AH3204">
        <v>24.800472350728299</v>
      </c>
      <c r="AI3204">
        <v>92.551708573667</v>
      </c>
      <c r="AJ3204">
        <v>93.578006317881602</v>
      </c>
      <c r="AK3204">
        <v>24.8735723105139</v>
      </c>
      <c r="AL3204">
        <v>92.927460045893497</v>
      </c>
      <c r="AM3204">
        <v>92.862850439869305</v>
      </c>
      <c r="AN3204">
        <v>1.00000002564956</v>
      </c>
    </row>
    <row r="3205" spans="1:40" x14ac:dyDescent="0.25">
      <c r="A3205" t="str">
        <f>"20190305135256824"</f>
        <v>20190305135256824</v>
      </c>
      <c r="B3205" t="str">
        <f>"1551765176812694"</f>
        <v>1551765176812694</v>
      </c>
      <c r="C3205" t="s">
        <v>40</v>
      </c>
      <c r="D3205">
        <v>4.7351979999999996</v>
      </c>
      <c r="E3205">
        <v>0.49554490000000001</v>
      </c>
      <c r="F3205" t="s">
        <v>56</v>
      </c>
      <c r="G3205">
        <v>-353.94830000000002</v>
      </c>
      <c r="H3205" s="1">
        <v>4.6190739999999998E-7</v>
      </c>
      <c r="I3205">
        <v>216.95920000000001</v>
      </c>
      <c r="J3205">
        <v>-378.91570000000002</v>
      </c>
      <c r="K3205">
        <v>1.1074469999999901</v>
      </c>
      <c r="L3205">
        <v>214.8117</v>
      </c>
      <c r="M3205">
        <v>0.99972519999999998</v>
      </c>
      <c r="N3205">
        <v>-5.5901070000000004E-3</v>
      </c>
      <c r="O3205">
        <v>2.2768859999999998E-2</v>
      </c>
      <c r="P3205">
        <v>0.99584130000000004</v>
      </c>
      <c r="Q3205">
        <v>-5.5595520000000002E-2</v>
      </c>
      <c r="R3205">
        <v>7.2177480000000002E-2</v>
      </c>
      <c r="S3205">
        <v>2.9869379999999999</v>
      </c>
      <c r="T3205">
        <v>-0.13000110000000001</v>
      </c>
      <c r="U3205">
        <v>0.25337219999999999</v>
      </c>
      <c r="V3205">
        <v>-4.9499029999999999E-2</v>
      </c>
      <c r="W3205">
        <v>-5.0005750000000002E-2</v>
      </c>
      <c r="X3205">
        <v>0.99752160000000001</v>
      </c>
      <c r="Y3205">
        <v>-6.1764239999999998E-2</v>
      </c>
      <c r="Z3205">
        <v>6.5269519999999997E-4</v>
      </c>
      <c r="AA3205">
        <v>0.99809060000000005</v>
      </c>
      <c r="AB3205">
        <v>49</v>
      </c>
      <c r="AC3205">
        <v>24.967400000000001</v>
      </c>
      <c r="AD3205">
        <v>-1.10744653809259</v>
      </c>
      <c r="AE3205">
        <v>2.1475</v>
      </c>
      <c r="AF3205">
        <v>-1.57537849719747</v>
      </c>
      <c r="AG3205">
        <v>-1.10744653809259</v>
      </c>
      <c r="AH3205">
        <v>24.961075555570201</v>
      </c>
      <c r="AI3205">
        <v>92.535334552390907</v>
      </c>
      <c r="AJ3205">
        <v>93.611341858811599</v>
      </c>
      <c r="AK3205">
        <v>25.035246116925801</v>
      </c>
      <c r="AL3205">
        <v>92.866313743451698</v>
      </c>
      <c r="AM3205">
        <v>92.840801778970601</v>
      </c>
      <c r="AN3205">
        <v>1.0000000357352801</v>
      </c>
    </row>
    <row r="3206" spans="1:40" x14ac:dyDescent="0.25">
      <c r="A3206" t="str">
        <f>"20190305135256843"</f>
        <v>20190305135256843</v>
      </c>
      <c r="B3206" t="str">
        <f>"1551765176833187"</f>
        <v>1551765176833187</v>
      </c>
      <c r="C3206" t="s">
        <v>40</v>
      </c>
      <c r="D3206">
        <v>4.7169189999999999</v>
      </c>
      <c r="E3206">
        <v>0.49538149999999997</v>
      </c>
      <c r="F3206" t="s">
        <v>56</v>
      </c>
      <c r="G3206">
        <v>-353.15309999999999</v>
      </c>
      <c r="H3206" s="1">
        <v>3.6856609999999999E-8</v>
      </c>
      <c r="I3206">
        <v>217.00219999999999</v>
      </c>
      <c r="J3206">
        <v>-378.47829999999999</v>
      </c>
      <c r="K3206">
        <v>1.1074870000000001</v>
      </c>
      <c r="L3206">
        <v>214.82159999999999</v>
      </c>
      <c r="M3206">
        <v>0.99972680000000003</v>
      </c>
      <c r="N3206">
        <v>-5.6323299999999996E-3</v>
      </c>
      <c r="O3206">
        <v>2.2690459999999999E-2</v>
      </c>
      <c r="P3206">
        <v>0.99589090000000002</v>
      </c>
      <c r="Q3206">
        <v>-5.5069420000000001E-2</v>
      </c>
      <c r="R3206">
        <v>7.1894429999999995E-2</v>
      </c>
      <c r="S3206">
        <v>2.9868769999999998</v>
      </c>
      <c r="T3206">
        <v>-0.1283957</v>
      </c>
      <c r="U3206">
        <v>0.25396729999999901</v>
      </c>
      <c r="V3206">
        <v>-4.9292099999999998E-2</v>
      </c>
      <c r="W3206">
        <v>-4.9438240000000001E-2</v>
      </c>
      <c r="X3206">
        <v>0.99756009999999995</v>
      </c>
      <c r="Y3206">
        <v>-6.2042269999999997E-2</v>
      </c>
      <c r="Z3206">
        <v>6.6028219999999995E-4</v>
      </c>
      <c r="AA3206">
        <v>0.99807330000000005</v>
      </c>
      <c r="AB3206">
        <v>49</v>
      </c>
      <c r="AC3206">
        <v>25.325199999999899</v>
      </c>
      <c r="AD3206">
        <v>-1.1074869631433899</v>
      </c>
      <c r="AE3206">
        <v>2.1805999999999899</v>
      </c>
      <c r="AF3206">
        <v>-1.6023473553474401</v>
      </c>
      <c r="AG3206">
        <v>-1.1074869631433899</v>
      </c>
      <c r="AH3206">
        <v>25.320094132883298</v>
      </c>
      <c r="AI3206">
        <v>92.499495836879106</v>
      </c>
      <c r="AJ3206">
        <v>93.621055917311494</v>
      </c>
      <c r="AK3206">
        <v>25.394905223662398</v>
      </c>
      <c r="AL3206">
        <v>92.833757643423098</v>
      </c>
      <c r="AM3206">
        <v>92.828836175580605</v>
      </c>
      <c r="AN3206">
        <v>1.00000000190435</v>
      </c>
    </row>
    <row r="3207" spans="1:40" x14ac:dyDescent="0.25">
      <c r="A3207" t="str">
        <f>"20190305135256869"</f>
        <v>20190305135256869</v>
      </c>
      <c r="B3207" t="str">
        <f>"1551765176862467"</f>
        <v>1551765176862467</v>
      </c>
      <c r="C3207" t="s">
        <v>40</v>
      </c>
      <c r="D3207">
        <v>4.7188999999999997</v>
      </c>
      <c r="E3207">
        <v>0.49497930000000001</v>
      </c>
      <c r="F3207" t="s">
        <v>56</v>
      </c>
      <c r="G3207">
        <v>-352.28919999999999</v>
      </c>
      <c r="H3207" s="1">
        <v>-4.2505379999999998E-7</v>
      </c>
      <c r="I3207">
        <v>217.05189999999999</v>
      </c>
      <c r="J3207">
        <v>-377.93779999999998</v>
      </c>
      <c r="K3207">
        <v>1.107526</v>
      </c>
      <c r="L3207">
        <v>214.8339</v>
      </c>
      <c r="M3207">
        <v>0.99972799999999995</v>
      </c>
      <c r="N3207">
        <v>-5.698308E-3</v>
      </c>
      <c r="O3207">
        <v>2.2616150000000002E-2</v>
      </c>
      <c r="P3207">
        <v>0.99592170000000002</v>
      </c>
      <c r="Q3207">
        <v>-5.5041619999999999E-2</v>
      </c>
      <c r="R3207">
        <v>7.1489010000000006E-2</v>
      </c>
      <c r="S3207">
        <v>2.9870000000000001</v>
      </c>
      <c r="T3207">
        <v>-0.1263146</v>
      </c>
      <c r="U3207">
        <v>0.25437929999999997</v>
      </c>
      <c r="V3207">
        <v>-4.8958389999999997E-2</v>
      </c>
      <c r="W3207">
        <v>-4.9346069999999999E-2</v>
      </c>
      <c r="X3207">
        <v>0.9975811</v>
      </c>
      <c r="Y3207">
        <v>-6.2250659999999999E-2</v>
      </c>
      <c r="Z3207">
        <v>6.6572289999999998E-4</v>
      </c>
      <c r="AA3207">
        <v>0.99806030000000001</v>
      </c>
      <c r="AB3207">
        <v>49</v>
      </c>
      <c r="AC3207">
        <v>25.648599999999899</v>
      </c>
      <c r="AD3207">
        <v>-1.1075264250537999</v>
      </c>
      <c r="AE3207">
        <v>2.21799999999998</v>
      </c>
      <c r="AF3207">
        <v>-1.6343259626156901</v>
      </c>
      <c r="AG3207">
        <v>-1.1075264250537999</v>
      </c>
      <c r="AH3207">
        <v>25.6447411511332</v>
      </c>
      <c r="AI3207">
        <v>92.4679114083592</v>
      </c>
      <c r="AJ3207">
        <v>93.646498759154397</v>
      </c>
      <c r="AK3207">
        <v>25.720621781809601</v>
      </c>
      <c r="AL3207">
        <v>92.828470229685806</v>
      </c>
      <c r="AM3207">
        <v>92.809656552909701</v>
      </c>
      <c r="AN3207">
        <v>1.0000000048265201</v>
      </c>
    </row>
    <row r="3208" spans="1:40" x14ac:dyDescent="0.25">
      <c r="A3208" t="str">
        <f>"20190305135256890"</f>
        <v>20190305135256890</v>
      </c>
      <c r="B3208" t="str">
        <f>"1551765176882964"</f>
        <v>1551765176882964</v>
      </c>
      <c r="C3208" t="s">
        <v>40</v>
      </c>
      <c r="D3208">
        <v>4.623577</v>
      </c>
      <c r="E3208">
        <v>0.49495820000000001</v>
      </c>
      <c r="F3208" t="s">
        <v>56</v>
      </c>
      <c r="G3208">
        <v>-352.10680000000002</v>
      </c>
      <c r="H3208" s="1">
        <v>-5.2203000000000002E-7</v>
      </c>
      <c r="I3208">
        <v>217.0498</v>
      </c>
      <c r="J3208">
        <v>-377.44479999999999</v>
      </c>
      <c r="K3208">
        <v>1.107551</v>
      </c>
      <c r="L3208">
        <v>214.845</v>
      </c>
      <c r="M3208">
        <v>0.99972879999999997</v>
      </c>
      <c r="N3208">
        <v>-5.7643620000000003E-3</v>
      </c>
      <c r="O3208">
        <v>2.2568700000000001E-2</v>
      </c>
      <c r="P3208">
        <v>0.99591730000000001</v>
      </c>
      <c r="Q3208">
        <v>-5.5613999999999997E-2</v>
      </c>
      <c r="R3208">
        <v>7.1107219999999999E-2</v>
      </c>
      <c r="S3208">
        <v>2.9868160000000001</v>
      </c>
      <c r="T3208">
        <v>-0.12806219999999999</v>
      </c>
      <c r="U3208">
        <v>0.2562256</v>
      </c>
      <c r="V3208">
        <v>-4.8623230000000003E-2</v>
      </c>
      <c r="W3208">
        <v>-4.9854019999999999E-2</v>
      </c>
      <c r="X3208">
        <v>0.99757220000000002</v>
      </c>
      <c r="Y3208">
        <v>-6.2913640000000007E-2</v>
      </c>
      <c r="Z3208">
        <v>6.9210929999999901E-4</v>
      </c>
      <c r="AA3208">
        <v>0.99801870000000004</v>
      </c>
      <c r="AB3208">
        <v>49</v>
      </c>
      <c r="AC3208">
        <v>25.337999999999901</v>
      </c>
      <c r="AD3208">
        <v>-1.1075515220299901</v>
      </c>
      <c r="AE3208">
        <v>2.2048000000000001</v>
      </c>
      <c r="AF3208">
        <v>-1.6292936250944301</v>
      </c>
      <c r="AG3208">
        <v>-1.1075515220299901</v>
      </c>
      <c r="AH3208">
        <v>25.333266851734901</v>
      </c>
      <c r="AI3208">
        <v>92.498179829725501</v>
      </c>
      <c r="AJ3208">
        <v>93.679875001288295</v>
      </c>
      <c r="AK3208">
        <v>25.409755557107101</v>
      </c>
      <c r="AL3208">
        <v>92.857609592116106</v>
      </c>
      <c r="AM3208">
        <v>92.790477529996906</v>
      </c>
      <c r="AN3208">
        <v>0.99999996800931601</v>
      </c>
    </row>
    <row r="3209" spans="1:40" x14ac:dyDescent="0.25">
      <c r="A3209" t="str">
        <f>"20190305135256913"</f>
        <v>20190305135256913</v>
      </c>
      <c r="B3209" t="str">
        <f>"1551765176902487"</f>
        <v>1551765176902487</v>
      </c>
      <c r="C3209" t="s">
        <v>40</v>
      </c>
      <c r="D3209">
        <v>4.638039</v>
      </c>
      <c r="E3209">
        <v>0.4949057</v>
      </c>
      <c r="F3209" t="s">
        <v>56</v>
      </c>
      <c r="G3209">
        <v>-351.54539999999997</v>
      </c>
      <c r="H3209" s="1">
        <v>-8.2111020000000001E-7</v>
      </c>
      <c r="I3209">
        <v>217.05760000000001</v>
      </c>
      <c r="J3209">
        <v>-376.9391</v>
      </c>
      <c r="K3209">
        <v>1.1075630000000001</v>
      </c>
      <c r="L3209">
        <v>214.85650000000001</v>
      </c>
      <c r="M3209">
        <v>0.99972910000000004</v>
      </c>
      <c r="N3209">
        <v>-5.8335289999999996E-3</v>
      </c>
      <c r="O3209">
        <v>2.2537080000000001E-2</v>
      </c>
      <c r="P3209">
        <v>0.99591189999999996</v>
      </c>
      <c r="Q3209">
        <v>-5.6004320000000003E-2</v>
      </c>
      <c r="R3209">
        <v>7.0876990000000001E-2</v>
      </c>
      <c r="S3209">
        <v>2.9869080000000001</v>
      </c>
      <c r="T3209">
        <v>-0.12773109999999999</v>
      </c>
      <c r="U3209">
        <v>0.25517269999999997</v>
      </c>
      <c r="V3209">
        <v>-4.8423620000000001E-2</v>
      </c>
      <c r="W3209">
        <v>-5.0176499999999999E-2</v>
      </c>
      <c r="X3209">
        <v>0.9975657</v>
      </c>
      <c r="Y3209">
        <v>-6.2593739999999995E-2</v>
      </c>
      <c r="Z3209">
        <v>6.8826179999999996E-4</v>
      </c>
      <c r="AA3209">
        <v>0.9980388</v>
      </c>
      <c r="AB3209">
        <v>49</v>
      </c>
      <c r="AC3209">
        <v>25.393699999999999</v>
      </c>
      <c r="AD3209">
        <v>-1.1075638211101999</v>
      </c>
      <c r="AE3209">
        <v>2.2010999999999901</v>
      </c>
      <c r="AF3209">
        <v>-1.6251628571561101</v>
      </c>
      <c r="AG3209">
        <v>-1.1075638211101999</v>
      </c>
      <c r="AH3209">
        <v>25.388919284604999</v>
      </c>
      <c r="AI3209">
        <v>92.4927866985702</v>
      </c>
      <c r="AJ3209">
        <v>93.662546951562106</v>
      </c>
      <c r="AK3209">
        <v>25.4649774076141</v>
      </c>
      <c r="AL3209">
        <v>92.876109607373706</v>
      </c>
      <c r="AM3209">
        <v>92.779058026364098</v>
      </c>
      <c r="AN3209">
        <v>0.99999992697131901</v>
      </c>
    </row>
    <row r="3210" spans="1:40" x14ac:dyDescent="0.25">
      <c r="A3210" t="str">
        <f>"20190305135256934"</f>
        <v>20190305135256934</v>
      </c>
      <c r="B3210" t="str">
        <f>"1551765176922979"</f>
        <v>1551765176922979</v>
      </c>
      <c r="C3210" t="s">
        <v>40</v>
      </c>
      <c r="D3210">
        <v>4.6531510000000003</v>
      </c>
      <c r="E3210">
        <v>0.49485750000000001</v>
      </c>
      <c r="F3210" t="s">
        <v>56</v>
      </c>
      <c r="G3210">
        <v>-350.97669999999999</v>
      </c>
      <c r="H3210" s="1">
        <v>-1.1244429999999999E-6</v>
      </c>
      <c r="I3210">
        <v>217.07409999999999</v>
      </c>
      <c r="J3210">
        <v>-376.47390000000001</v>
      </c>
      <c r="K3210">
        <v>1.1075680000000001</v>
      </c>
      <c r="L3210">
        <v>214.86699999999999</v>
      </c>
      <c r="M3210">
        <v>0.99972899999999998</v>
      </c>
      <c r="N3210">
        <v>-5.8963990000000001E-3</v>
      </c>
      <c r="O3210">
        <v>2.2523419999999999E-2</v>
      </c>
      <c r="P3210">
        <v>0.99589669999999997</v>
      </c>
      <c r="Q3210">
        <v>-5.6144260000000001E-2</v>
      </c>
      <c r="R3210">
        <v>7.0977910000000005E-2</v>
      </c>
      <c r="S3210">
        <v>2.9870299999999999</v>
      </c>
      <c r="T3210">
        <v>-0.12742809999999999</v>
      </c>
      <c r="U3210">
        <v>0.25514219999999999</v>
      </c>
      <c r="V3210">
        <v>-4.8537110000000001E-2</v>
      </c>
      <c r="W3210">
        <v>-5.0254750000000001E-2</v>
      </c>
      <c r="X3210">
        <v>0.99755629999999995</v>
      </c>
      <c r="Y3210">
        <v>-6.2593850000000006E-2</v>
      </c>
      <c r="Z3210">
        <v>6.9124989999999999E-4</v>
      </c>
      <c r="AA3210">
        <v>0.9980388</v>
      </c>
      <c r="AB3210">
        <v>50</v>
      </c>
      <c r="AC3210">
        <v>25.497199999999999</v>
      </c>
      <c r="AD3210">
        <v>-1.1075691244429999</v>
      </c>
      <c r="AE3210">
        <v>2.2070999999999601</v>
      </c>
      <c r="AF3210">
        <v>-1.62919466858781</v>
      </c>
      <c r="AG3210">
        <v>-1.1075691244429999</v>
      </c>
      <c r="AH3210">
        <v>25.492698554525401</v>
      </c>
      <c r="AI3210">
        <v>92.482679485256597</v>
      </c>
      <c r="AJ3210">
        <v>93.6567021523189</v>
      </c>
      <c r="AK3210">
        <v>25.5687047819297</v>
      </c>
      <c r="AL3210">
        <v>92.880598509195707</v>
      </c>
      <c r="AM3210">
        <v>92.785587240106295</v>
      </c>
      <c r="AN3210">
        <v>0.99999998130720202</v>
      </c>
    </row>
    <row r="3211" spans="1:40" x14ac:dyDescent="0.25">
      <c r="A3211" t="str">
        <f>"20190305135256958"</f>
        <v>20190305135256958</v>
      </c>
      <c r="B3211" t="str">
        <f>"1551765176953235"</f>
        <v>1551765176953235</v>
      </c>
      <c r="C3211" t="s">
        <v>40</v>
      </c>
      <c r="D3211">
        <v>4.6508190000000003</v>
      </c>
      <c r="E3211">
        <v>0.49480269999999998</v>
      </c>
      <c r="F3211" t="s">
        <v>56</v>
      </c>
      <c r="G3211">
        <v>-350.28120000000001</v>
      </c>
      <c r="H3211" s="1">
        <v>-1.496192E-6</v>
      </c>
      <c r="I3211">
        <v>217.11070000000001</v>
      </c>
      <c r="J3211">
        <v>-375.95569999999998</v>
      </c>
      <c r="K3211">
        <v>1.107577</v>
      </c>
      <c r="L3211">
        <v>214.87870000000001</v>
      </c>
      <c r="M3211">
        <v>0.99972830000000001</v>
      </c>
      <c r="N3211">
        <v>-5.9637869999999999E-3</v>
      </c>
      <c r="O3211">
        <v>2.253602E-2</v>
      </c>
      <c r="P3211">
        <v>0.99584280000000003</v>
      </c>
      <c r="Q3211">
        <v>-5.6496030000000003E-2</v>
      </c>
      <c r="R3211">
        <v>7.1452039999999994E-2</v>
      </c>
      <c r="S3211">
        <v>2.9870000000000001</v>
      </c>
      <c r="T3211">
        <v>-0.12630630000000001</v>
      </c>
      <c r="U3211">
        <v>0.25587460000000001</v>
      </c>
      <c r="V3211">
        <v>-4.8998269999999997E-2</v>
      </c>
      <c r="W3211">
        <v>-5.0541269999999999E-2</v>
      </c>
      <c r="X3211">
        <v>0.9975193</v>
      </c>
      <c r="Y3211">
        <v>-6.2825450000000005E-2</v>
      </c>
      <c r="Z3211">
        <v>6.9671429999999996E-4</v>
      </c>
      <c r="AA3211">
        <v>0.99802429999999998</v>
      </c>
      <c r="AB3211">
        <v>50</v>
      </c>
      <c r="AC3211">
        <v>25.674499999999899</v>
      </c>
      <c r="AD3211">
        <v>-1.1075784961920001</v>
      </c>
      <c r="AE3211">
        <v>2.23199999999999</v>
      </c>
      <c r="AF3211">
        <v>-1.64977462824148</v>
      </c>
      <c r="AG3211">
        <v>-1.1075784961920001</v>
      </c>
      <c r="AH3211">
        <v>25.6708655564018</v>
      </c>
      <c r="AI3211">
        <v>92.465434493348994</v>
      </c>
      <c r="AJ3211">
        <v>93.677137790661703</v>
      </c>
      <c r="AK3211">
        <v>25.7476566868535</v>
      </c>
      <c r="AL3211">
        <v>92.897035724138206</v>
      </c>
      <c r="AM3211">
        <v>92.812115471580398</v>
      </c>
      <c r="AN3211">
        <v>1.00000000215434</v>
      </c>
    </row>
    <row r="3212" spans="1:40" x14ac:dyDescent="0.25">
      <c r="A3212" t="str">
        <f>"20190305135256982"</f>
        <v>20190305135256982</v>
      </c>
      <c r="B3212" t="str">
        <f>"1551765176972756"</f>
        <v>1551765176972756</v>
      </c>
      <c r="C3212" t="s">
        <v>40</v>
      </c>
      <c r="D3212">
        <v>4.6455310000000001</v>
      </c>
      <c r="E3212">
        <v>0.49476019999999998</v>
      </c>
      <c r="F3212" t="s">
        <v>56</v>
      </c>
      <c r="G3212">
        <v>-349.4923</v>
      </c>
      <c r="H3212" s="1">
        <v>3.5145570000000001E-6</v>
      </c>
      <c r="I3212">
        <v>217.1635</v>
      </c>
      <c r="J3212">
        <v>-375.41469999999998</v>
      </c>
      <c r="K3212">
        <v>1.10759599999999</v>
      </c>
      <c r="L3212">
        <v>214.89089999999999</v>
      </c>
      <c r="M3212">
        <v>0.99972669999999997</v>
      </c>
      <c r="N3212">
        <v>-6.0305430000000002E-3</v>
      </c>
      <c r="O3212">
        <v>2.2591799999999999E-2</v>
      </c>
      <c r="P3212">
        <v>0.9958418</v>
      </c>
      <c r="Q3212">
        <v>-5.6427890000000001E-2</v>
      </c>
      <c r="R3212">
        <v>7.1519280000000005E-2</v>
      </c>
      <c r="S3212">
        <v>2.9869379999999999</v>
      </c>
      <c r="T3212">
        <v>-0.1250125</v>
      </c>
      <c r="U3212">
        <v>0.25788879999999997</v>
      </c>
      <c r="V3212">
        <v>-4.9006210000000001E-2</v>
      </c>
      <c r="W3212">
        <v>-5.0409750000000003E-2</v>
      </c>
      <c r="X3212">
        <v>0.99752560000000001</v>
      </c>
      <c r="Y3212">
        <v>-6.3439690000000007E-2</v>
      </c>
      <c r="Z3212">
        <v>7.0917149999999895E-4</v>
      </c>
      <c r="AA3212">
        <v>0.99798540000000002</v>
      </c>
      <c r="AB3212">
        <v>50</v>
      </c>
      <c r="AC3212">
        <v>25.9223999999999</v>
      </c>
      <c r="AD3212">
        <v>-1.1075924854429899</v>
      </c>
      <c r="AE3212">
        <v>2.2726000000000099</v>
      </c>
      <c r="AF3212">
        <v>-1.68332602320499</v>
      </c>
      <c r="AG3212">
        <v>-1.1075924854429899</v>
      </c>
      <c r="AH3212">
        <v>25.920167346348101</v>
      </c>
      <c r="AI3212">
        <v>92.441675321760698</v>
      </c>
      <c r="AJ3212">
        <v>93.715725542650702</v>
      </c>
      <c r="AK3212">
        <v>25.998373465986301</v>
      </c>
      <c r="AL3212">
        <v>92.889490464390207</v>
      </c>
      <c r="AM3212">
        <v>92.812552698888396</v>
      </c>
      <c r="AN3212">
        <v>1.0000000370844899</v>
      </c>
    </row>
    <row r="3213" spans="1:40" x14ac:dyDescent="0.25">
      <c r="A3213" t="str">
        <f>"20190305135257003"</f>
        <v>20190305135257003</v>
      </c>
      <c r="B3213" t="str">
        <f>"1551765176993251"</f>
        <v>1551765176993251</v>
      </c>
      <c r="C3213" t="s">
        <v>40</v>
      </c>
      <c r="D3213">
        <v>4.645454</v>
      </c>
      <c r="E3213">
        <v>0.4947298</v>
      </c>
      <c r="F3213" t="s">
        <v>56</v>
      </c>
      <c r="G3213">
        <v>-348.60950000000003</v>
      </c>
      <c r="H3213" s="1">
        <v>3.0447499999999999E-6</v>
      </c>
      <c r="I3213">
        <v>217.21029999999999</v>
      </c>
      <c r="J3213">
        <v>-374.94290000000001</v>
      </c>
      <c r="K3213">
        <v>1.1076239999999999</v>
      </c>
      <c r="L3213">
        <v>214.90170000000001</v>
      </c>
      <c r="M3213">
        <v>0.9997241</v>
      </c>
      <c r="N3213">
        <v>-6.084959E-3</v>
      </c>
      <c r="O3213">
        <v>2.2686419999999999E-2</v>
      </c>
      <c r="P3213">
        <v>0.99579130000000005</v>
      </c>
      <c r="Q3213">
        <v>-5.654667E-2</v>
      </c>
      <c r="R3213">
        <v>7.2127919999999998E-2</v>
      </c>
      <c r="S3213">
        <v>2.9869690000000002</v>
      </c>
      <c r="T3213">
        <v>-0.123421699999999</v>
      </c>
      <c r="U3213">
        <v>0.2584534</v>
      </c>
      <c r="V3213">
        <v>-4.9517360000000003E-2</v>
      </c>
      <c r="W3213">
        <v>-5.0478639999999998E-2</v>
      </c>
      <c r="X3213">
        <v>0.99749679999999996</v>
      </c>
      <c r="Y3213">
        <v>-6.353251E-2</v>
      </c>
      <c r="Z3213">
        <v>7.061449E-4</v>
      </c>
      <c r="AA3213">
        <v>0.99797950000000002</v>
      </c>
      <c r="AB3213">
        <v>50</v>
      </c>
      <c r="AC3213">
        <v>26.333399999999902</v>
      </c>
      <c r="AD3213">
        <v>-1.10762095525</v>
      </c>
      <c r="AE3213">
        <v>2.3085999999999798</v>
      </c>
      <c r="AF3213">
        <v>-1.7075862127552499</v>
      </c>
      <c r="AG3213">
        <v>-1.10762095525</v>
      </c>
      <c r="AH3213">
        <v>26.332765466129299</v>
      </c>
      <c r="AI3213">
        <v>92.403539499779896</v>
      </c>
      <c r="AJ3213">
        <v>93.710232816169494</v>
      </c>
      <c r="AK3213">
        <v>26.411308410388799</v>
      </c>
      <c r="AL3213">
        <v>92.893442813612097</v>
      </c>
      <c r="AM3213">
        <v>92.841922571891999</v>
      </c>
      <c r="AN3213">
        <v>0.99999996402392799</v>
      </c>
    </row>
    <row r="3214" spans="1:40" x14ac:dyDescent="0.25">
      <c r="A3214" t="str">
        <f>"20190305135257024"</f>
        <v>20190305135257024</v>
      </c>
      <c r="B3214" t="str">
        <f>"1551765177012771"</f>
        <v>1551765177012771</v>
      </c>
      <c r="C3214" t="s">
        <v>40</v>
      </c>
      <c r="D3214">
        <v>4.6399889999999999</v>
      </c>
      <c r="E3214">
        <v>0.49460150000000003</v>
      </c>
      <c r="F3214" t="s">
        <v>56</v>
      </c>
      <c r="G3214">
        <v>-347.91120000000001</v>
      </c>
      <c r="H3214" s="1">
        <v>2.6731490000000002E-6</v>
      </c>
      <c r="I3214">
        <v>217.2603</v>
      </c>
      <c r="J3214">
        <v>-374.46370000000002</v>
      </c>
      <c r="K3214">
        <v>1.1076569999999999</v>
      </c>
      <c r="L3214">
        <v>214.9126</v>
      </c>
      <c r="M3214">
        <v>0.99972059999999996</v>
      </c>
      <c r="N3214">
        <v>-6.1367089999999997E-3</v>
      </c>
      <c r="O3214">
        <v>2.2831730000000001E-2</v>
      </c>
      <c r="P3214">
        <v>0.99571989999999999</v>
      </c>
      <c r="Q3214">
        <v>-5.7014200000000001E-2</v>
      </c>
      <c r="R3214">
        <v>7.2742940000000006E-2</v>
      </c>
      <c r="S3214">
        <v>2.9867859999999999</v>
      </c>
      <c r="T3214">
        <v>-0.12238300000000001</v>
      </c>
      <c r="U3214">
        <v>0.26060489999999997</v>
      </c>
      <c r="V3214">
        <v>-4.9983359999999998E-2</v>
      </c>
      <c r="W3214">
        <v>-5.0900389999999997E-2</v>
      </c>
      <c r="X3214">
        <v>0.99745209999999995</v>
      </c>
      <c r="Y3214">
        <v>-6.410631E-2</v>
      </c>
      <c r="Z3214">
        <v>7.142769E-4</v>
      </c>
      <c r="AA3214">
        <v>0.99794280000000002</v>
      </c>
      <c r="AB3214">
        <v>50</v>
      </c>
      <c r="AC3214">
        <v>26.552499999999998</v>
      </c>
      <c r="AD3214">
        <v>-1.107654326851</v>
      </c>
      <c r="AE3214">
        <v>2.3477000000000001</v>
      </c>
      <c r="AF3214">
        <v>-1.73783641135638</v>
      </c>
      <c r="AG3214">
        <v>-1.107654326851</v>
      </c>
      <c r="AH3214">
        <v>26.5533316321916</v>
      </c>
      <c r="AI3214">
        <v>92.383576513462302</v>
      </c>
      <c r="AJ3214">
        <v>93.744497803636904</v>
      </c>
      <c r="AK3214">
        <v>26.6331822032136</v>
      </c>
      <c r="AL3214">
        <v>92.917638487485704</v>
      </c>
      <c r="AM3214">
        <v>92.868751329404006</v>
      </c>
      <c r="AN3214">
        <v>0.99999993888672301</v>
      </c>
    </row>
    <row r="3215" spans="1:40" x14ac:dyDescent="0.25">
      <c r="A3215" t="str">
        <f>"20190305135257046"</f>
        <v>20190305135257046</v>
      </c>
      <c r="B3215" t="str">
        <f>"1551765177043027"</f>
        <v>1551765177043027</v>
      </c>
      <c r="C3215" t="s">
        <v>40</v>
      </c>
      <c r="D3215">
        <v>4.6401079999999997</v>
      </c>
      <c r="E3215">
        <v>0.49454239999999999</v>
      </c>
      <c r="F3215" t="s">
        <v>56</v>
      </c>
      <c r="G3215">
        <v>-347.76839999999999</v>
      </c>
      <c r="H3215" s="1">
        <v>2.5971550000000001E-6</v>
      </c>
      <c r="I3215">
        <v>217.26669999999999</v>
      </c>
      <c r="J3215">
        <v>-373.96660000000003</v>
      </c>
      <c r="K3215">
        <v>1.1076950000000001</v>
      </c>
      <c r="L3215">
        <v>214.92410000000001</v>
      </c>
      <c r="M3215">
        <v>0.99971540000000003</v>
      </c>
      <c r="N3215">
        <v>-6.186418E-3</v>
      </c>
      <c r="O3215">
        <v>2.3039270000000001E-2</v>
      </c>
      <c r="P3215">
        <v>0.9956545</v>
      </c>
      <c r="Q3215">
        <v>-5.7193149999999998E-2</v>
      </c>
      <c r="R3215">
        <v>7.3491609999999999E-2</v>
      </c>
      <c r="S3215">
        <v>2.986542</v>
      </c>
      <c r="T3215">
        <v>-0.123918899999999</v>
      </c>
      <c r="U3215">
        <v>0.26336670000000001</v>
      </c>
      <c r="V3215">
        <v>-5.0519500000000002E-2</v>
      </c>
      <c r="W3215">
        <v>-5.1036720000000001E-2</v>
      </c>
      <c r="X3215">
        <v>0.99741820000000003</v>
      </c>
      <c r="Y3215">
        <v>-6.4820240000000001E-2</v>
      </c>
      <c r="Z3215">
        <v>7.3144619999999895E-4</v>
      </c>
      <c r="AA3215">
        <v>0.99789669999999997</v>
      </c>
      <c r="AB3215">
        <v>50</v>
      </c>
      <c r="AC3215">
        <v>26.1982</v>
      </c>
      <c r="AD3215">
        <v>-1.1076924028449999</v>
      </c>
      <c r="AE3215">
        <v>2.3425999999999698</v>
      </c>
      <c r="AF3215">
        <v>-1.73530159553857</v>
      </c>
      <c r="AG3215">
        <v>-1.1076924028449999</v>
      </c>
      <c r="AH3215">
        <v>26.198754441672701</v>
      </c>
      <c r="AI3215">
        <v>92.415756301935701</v>
      </c>
      <c r="AJ3215">
        <v>93.789509886006897</v>
      </c>
      <c r="AK3215">
        <v>26.2795165172775</v>
      </c>
      <c r="AL3215">
        <v>92.925459560944205</v>
      </c>
      <c r="AM3215">
        <v>92.899568765189201</v>
      </c>
      <c r="AN3215">
        <v>1.0000000161799201</v>
      </c>
    </row>
    <row r="3216" spans="1:40" x14ac:dyDescent="0.25">
      <c r="A3216" t="str">
        <f>"20190305135257069"</f>
        <v>20190305135257069</v>
      </c>
      <c r="B3216" t="str">
        <f>"1551765177062547"</f>
        <v>1551765177062547</v>
      </c>
      <c r="C3216" t="s">
        <v>40</v>
      </c>
      <c r="D3216">
        <v>4.7253489999999996</v>
      </c>
      <c r="E3216">
        <v>0.49444569999999999</v>
      </c>
      <c r="F3216" t="s">
        <v>56</v>
      </c>
      <c r="G3216">
        <v>-346.97890000000001</v>
      </c>
      <c r="H3216" s="1">
        <v>2.177044E-6</v>
      </c>
      <c r="I3216">
        <v>217.33109999999999</v>
      </c>
      <c r="J3216">
        <v>-373.45229999999998</v>
      </c>
      <c r="K3216">
        <v>1.1077440000000001</v>
      </c>
      <c r="L3216">
        <v>214.93610000000001</v>
      </c>
      <c r="M3216">
        <v>0.99970890000000001</v>
      </c>
      <c r="N3216">
        <v>-6.2339930000000002E-3</v>
      </c>
      <c r="O3216">
        <v>2.3314149999999999E-2</v>
      </c>
      <c r="P3216">
        <v>0.99560510000000002</v>
      </c>
      <c r="Q3216">
        <v>-5.7279049999999998E-2</v>
      </c>
      <c r="R3216">
        <v>7.4095729999999999E-2</v>
      </c>
      <c r="S3216">
        <v>2.986389</v>
      </c>
      <c r="T3216">
        <v>-0.12257460000000001</v>
      </c>
      <c r="U3216">
        <v>0.26635740000000002</v>
      </c>
      <c r="V3216">
        <v>-5.08428E-2</v>
      </c>
      <c r="W3216">
        <v>-5.108273E-2</v>
      </c>
      <c r="X3216">
        <v>0.99739940000000005</v>
      </c>
      <c r="Y3216">
        <v>-6.5542139999999999E-2</v>
      </c>
      <c r="Z3216">
        <v>7.3738440000000003E-4</v>
      </c>
      <c r="AA3216">
        <v>0.99784949999999994</v>
      </c>
      <c r="AB3216">
        <v>50</v>
      </c>
      <c r="AC3216">
        <v>26.473399999999899</v>
      </c>
      <c r="AD3216">
        <v>-1.1077418229559901</v>
      </c>
      <c r="AE3216">
        <v>2.39499999999998</v>
      </c>
      <c r="AF3216">
        <v>-1.7740513211884099</v>
      </c>
      <c r="AG3216">
        <v>-1.1077418229559901</v>
      </c>
      <c r="AH3216">
        <v>26.476062187792799</v>
      </c>
      <c r="AI3216">
        <v>92.390468018781405</v>
      </c>
      <c r="AJ3216">
        <v>93.833422762251502</v>
      </c>
      <c r="AK3216">
        <v>26.558543239575599</v>
      </c>
      <c r="AL3216">
        <v>92.928099232105097</v>
      </c>
      <c r="AM3216">
        <v>92.918147520404105</v>
      </c>
      <c r="AN3216">
        <v>0.99999999936822603</v>
      </c>
    </row>
    <row r="3217" spans="1:40" x14ac:dyDescent="0.25">
      <c r="A3217" t="str">
        <f>"20190305135257091"</f>
        <v>20190305135257091</v>
      </c>
      <c r="B3217" t="str">
        <f>"1551765177083043"</f>
        <v>1551765177083043</v>
      </c>
      <c r="C3217" t="s">
        <v>40</v>
      </c>
      <c r="D3217">
        <v>4.6429130000000001</v>
      </c>
      <c r="E3217">
        <v>0.4943459</v>
      </c>
      <c r="F3217" t="s">
        <v>56</v>
      </c>
      <c r="G3217">
        <v>-346.56959999999998</v>
      </c>
      <c r="H3217" s="1">
        <v>1.959224E-6</v>
      </c>
      <c r="I3217">
        <v>217.3571</v>
      </c>
      <c r="J3217">
        <v>-372.93329999999997</v>
      </c>
      <c r="K3217">
        <v>1.1077969999999999</v>
      </c>
      <c r="L3217">
        <v>214.9485</v>
      </c>
      <c r="M3217">
        <v>0.99970079999999995</v>
      </c>
      <c r="N3217">
        <v>-6.2783860000000004E-3</v>
      </c>
      <c r="O3217">
        <v>2.3643620000000001E-2</v>
      </c>
      <c r="P3217">
        <v>0.99558800000000003</v>
      </c>
      <c r="Q3217">
        <v>-5.7239730000000003E-2</v>
      </c>
      <c r="R3217">
        <v>7.4351920000000002E-2</v>
      </c>
      <c r="S3217">
        <v>2.986145</v>
      </c>
      <c r="T3217">
        <v>-0.12304850000000001</v>
      </c>
      <c r="U3217">
        <v>0.26892090000000002</v>
      </c>
      <c r="V3217">
        <v>-5.0764049999999998E-2</v>
      </c>
      <c r="W3217">
        <v>-5.1006219999999998E-2</v>
      </c>
      <c r="X3217">
        <v>0.9974073</v>
      </c>
      <c r="Y3217">
        <v>-6.6069550000000005E-2</v>
      </c>
      <c r="Z3217">
        <v>7.4242699999999895E-4</v>
      </c>
      <c r="AA3217">
        <v>0.99781470000000005</v>
      </c>
      <c r="AB3217">
        <v>50</v>
      </c>
      <c r="AC3217">
        <v>26.363699999999898</v>
      </c>
      <c r="AD3217">
        <v>-1.107795040776</v>
      </c>
      <c r="AE3217">
        <v>2.4085999999999999</v>
      </c>
      <c r="AF3217">
        <v>-1.78146168873401</v>
      </c>
      <c r="AG3217">
        <v>-1.107795040776</v>
      </c>
      <c r="AH3217">
        <v>26.3671090159941</v>
      </c>
      <c r="AI3217">
        <v>92.400359872054196</v>
      </c>
      <c r="AJ3217">
        <v>93.865245438456199</v>
      </c>
      <c r="AK3217">
        <v>26.450430118659899</v>
      </c>
      <c r="AL3217">
        <v>92.923709887996097</v>
      </c>
      <c r="AM3217">
        <v>92.913612381854506</v>
      </c>
      <c r="AN3217">
        <v>0.99999997267218999</v>
      </c>
    </row>
    <row r="3218" spans="1:40" x14ac:dyDescent="0.25">
      <c r="A3218" t="str">
        <f>"20190305135257113"</f>
        <v>20190305135257113</v>
      </c>
      <c r="B3218" t="str">
        <f>"1551765177102567"</f>
        <v>1551765177102567</v>
      </c>
      <c r="C3218" t="s">
        <v>40</v>
      </c>
      <c r="D3218">
        <v>4.6846540000000001</v>
      </c>
      <c r="E3218">
        <v>0.49426029999999999</v>
      </c>
      <c r="F3218" t="s">
        <v>56</v>
      </c>
      <c r="G3218">
        <v>-346.0616</v>
      </c>
      <c r="H3218" s="1">
        <v>1.688915E-6</v>
      </c>
      <c r="I3218">
        <v>217.38310000000001</v>
      </c>
      <c r="J3218">
        <v>-372.45269999999999</v>
      </c>
      <c r="K3218">
        <v>1.1078410000000001</v>
      </c>
      <c r="L3218">
        <v>214.96</v>
      </c>
      <c r="M3218">
        <v>0.99969220000000003</v>
      </c>
      <c r="N3218">
        <v>-6.316454E-3</v>
      </c>
      <c r="O3218">
        <v>2.3990640000000001E-2</v>
      </c>
      <c r="P3218">
        <v>0.99558349999999995</v>
      </c>
      <c r="Q3218">
        <v>-5.7196150000000001E-2</v>
      </c>
      <c r="R3218">
        <v>7.444489E-2</v>
      </c>
      <c r="S3218">
        <v>2.985992</v>
      </c>
      <c r="T3218">
        <v>-0.123099</v>
      </c>
      <c r="U3218">
        <v>0.27053829999999901</v>
      </c>
      <c r="V3218">
        <v>-5.0504569999999999E-2</v>
      </c>
      <c r="W3218">
        <v>-5.0930690000000001E-2</v>
      </c>
      <c r="X3218">
        <v>0.99742439999999999</v>
      </c>
      <c r="Y3218">
        <v>-6.6263730000000007E-2</v>
      </c>
      <c r="Z3218">
        <v>7.372937E-4</v>
      </c>
      <c r="AA3218">
        <v>0.99780190000000002</v>
      </c>
      <c r="AB3218">
        <v>51</v>
      </c>
      <c r="AC3218">
        <v>26.391099999999899</v>
      </c>
      <c r="AD3218">
        <v>-1.107839311085</v>
      </c>
      <c r="AE3218">
        <v>2.4230999999999998</v>
      </c>
      <c r="AF3218">
        <v>-1.78612944916129</v>
      </c>
      <c r="AG3218">
        <v>-1.107839311085</v>
      </c>
      <c r="AH3218">
        <v>26.395513205388902</v>
      </c>
      <c r="AI3218">
        <v>92.397858785630902</v>
      </c>
      <c r="AJ3218">
        <v>93.8711847136058</v>
      </c>
      <c r="AK3218">
        <v>26.479061231928299</v>
      </c>
      <c r="AL3218">
        <v>92.919376508213702</v>
      </c>
      <c r="AM3218">
        <v>92.898695331200699</v>
      </c>
      <c r="AN3218">
        <v>1.00000004024505</v>
      </c>
    </row>
    <row r="3219" spans="1:40" x14ac:dyDescent="0.25">
      <c r="A3219" t="str">
        <f>"20190305135257134"</f>
        <v>20190305135257134</v>
      </c>
      <c r="B3219" t="str">
        <f>"1551765177123059"</f>
        <v>1551765177123059</v>
      </c>
      <c r="C3219" t="s">
        <v>40</v>
      </c>
      <c r="D3219">
        <v>4.5696269999999997</v>
      </c>
      <c r="E3219">
        <v>0.49416139999999997</v>
      </c>
      <c r="F3219" t="s">
        <v>56</v>
      </c>
      <c r="G3219">
        <v>-345.57139999999998</v>
      </c>
      <c r="H3219" s="1">
        <v>1.428032E-6</v>
      </c>
      <c r="I3219">
        <v>217.40379999999999</v>
      </c>
      <c r="J3219">
        <v>-371.96269999999998</v>
      </c>
      <c r="K3219">
        <v>1.107883</v>
      </c>
      <c r="L3219">
        <v>214.97190000000001</v>
      </c>
      <c r="M3219">
        <v>0.99968250000000003</v>
      </c>
      <c r="N3219">
        <v>-6.3525409999999997E-3</v>
      </c>
      <c r="O3219">
        <v>2.4381759999999999E-2</v>
      </c>
      <c r="P3219">
        <v>0.99558139999999995</v>
      </c>
      <c r="Q3219">
        <v>-5.6930410000000001E-2</v>
      </c>
      <c r="R3219">
        <v>7.4677430000000003E-2</v>
      </c>
      <c r="S3219">
        <v>2.9859309999999999</v>
      </c>
      <c r="T3219">
        <v>-0.1230569</v>
      </c>
      <c r="U3219">
        <v>0.27145390000000003</v>
      </c>
      <c r="V3219">
        <v>-5.0340759999999998E-2</v>
      </c>
      <c r="W3219">
        <v>-5.0634779999999997E-2</v>
      </c>
      <c r="X3219">
        <v>0.99744770000000005</v>
      </c>
      <c r="Y3219">
        <v>-6.6178890000000004E-2</v>
      </c>
      <c r="Z3219">
        <v>7.2363219999999995E-4</v>
      </c>
      <c r="AA3219">
        <v>0.99780749999999996</v>
      </c>
      <c r="AB3219">
        <v>51</v>
      </c>
      <c r="AC3219">
        <v>26.391300000000001</v>
      </c>
      <c r="AD3219">
        <v>-1.107881571968</v>
      </c>
      <c r="AE3219">
        <v>2.4318999999999802</v>
      </c>
      <c r="AF3219">
        <v>-1.7845792882365501</v>
      </c>
      <c r="AG3219">
        <v>-1.107881571968</v>
      </c>
      <c r="AH3219">
        <v>26.396623766021701</v>
      </c>
      <c r="AI3219">
        <v>92.397859310322204</v>
      </c>
      <c r="AJ3219">
        <v>93.86767292591</v>
      </c>
      <c r="AK3219">
        <v>26.480065541051999</v>
      </c>
      <c r="AL3219">
        <v>92.902400345974598</v>
      </c>
      <c r="AM3219">
        <v>92.889242081199797</v>
      </c>
      <c r="AN3219">
        <v>0.99999999364915704</v>
      </c>
    </row>
    <row r="3220" spans="1:40" x14ac:dyDescent="0.25">
      <c r="A3220" t="str">
        <f>"20190305135257160"</f>
        <v>20190305135257160</v>
      </c>
      <c r="B3220" t="str">
        <f>"1551765177153315"</f>
        <v>1551765177153315</v>
      </c>
      <c r="C3220" t="s">
        <v>40</v>
      </c>
      <c r="D3220">
        <v>4.5491190000000001</v>
      </c>
      <c r="E3220">
        <v>0.49410140000000002</v>
      </c>
      <c r="F3220" t="s">
        <v>56</v>
      </c>
      <c r="G3220">
        <v>-344.89240000000001</v>
      </c>
      <c r="H3220" s="1">
        <v>1.0667089999999999E-6</v>
      </c>
      <c r="I3220">
        <v>217.4461</v>
      </c>
      <c r="J3220">
        <v>-371.41030000000001</v>
      </c>
      <c r="K3220">
        <v>1.1079270000000001</v>
      </c>
      <c r="L3220">
        <v>214.98560000000001</v>
      </c>
      <c r="M3220">
        <v>0.99967050000000002</v>
      </c>
      <c r="N3220">
        <v>-6.3903400000000004E-3</v>
      </c>
      <c r="O3220">
        <v>2.485967E-2</v>
      </c>
      <c r="P3220">
        <v>0.99558250000000004</v>
      </c>
      <c r="Q3220">
        <v>-5.6581819999999998E-2</v>
      </c>
      <c r="R3220">
        <v>7.4926590000000001E-2</v>
      </c>
      <c r="S3220">
        <v>2.9858699999999998</v>
      </c>
      <c r="T3220">
        <v>-0.1221999</v>
      </c>
      <c r="U3220">
        <v>0.27290340000000002</v>
      </c>
      <c r="V3220">
        <v>-5.0107239999999997E-2</v>
      </c>
      <c r="W3220">
        <v>-5.0254510000000002E-2</v>
      </c>
      <c r="X3220">
        <v>0.99747870000000005</v>
      </c>
      <c r="Y3220">
        <v>-6.6184919999999994E-2</v>
      </c>
      <c r="Z3220">
        <v>7.0701119999999997E-4</v>
      </c>
      <c r="AA3220">
        <v>0.99780709999999995</v>
      </c>
      <c r="AB3220">
        <v>51</v>
      </c>
      <c r="AC3220">
        <v>26.517900000000001</v>
      </c>
      <c r="AD3220">
        <v>-1.1079259332910001</v>
      </c>
      <c r="AE3220">
        <v>2.4604999999999899</v>
      </c>
      <c r="AF3220">
        <v>-1.7973891020806501</v>
      </c>
      <c r="AG3220">
        <v>-1.1079259332910001</v>
      </c>
      <c r="AH3220">
        <v>26.5249662003989</v>
      </c>
      <c r="AI3220">
        <v>92.386341003188306</v>
      </c>
      <c r="AJ3220">
        <v>93.876559891627906</v>
      </c>
      <c r="AK3220">
        <v>26.608869562426801</v>
      </c>
      <c r="AL3220">
        <v>92.880584675056795</v>
      </c>
      <c r="AM3220">
        <v>92.875772830761306</v>
      </c>
      <c r="AN3220">
        <v>1.0000000041147199</v>
      </c>
    </row>
    <row r="3221" spans="1:40" x14ac:dyDescent="0.25">
      <c r="A3221" t="str">
        <f>"20190305135257182"</f>
        <v>20190305135257182</v>
      </c>
      <c r="B3221" t="str">
        <f>"1551765177172835"</f>
        <v>1551765177172835</v>
      </c>
      <c r="C3221" t="s">
        <v>40</v>
      </c>
      <c r="D3221">
        <v>4.5339729999999996</v>
      </c>
      <c r="E3221">
        <v>0.4940367</v>
      </c>
      <c r="F3221" t="s">
        <v>56</v>
      </c>
      <c r="G3221">
        <v>-343.60059999999999</v>
      </c>
      <c r="H3221" s="1">
        <v>3.7928289999999998E-7</v>
      </c>
      <c r="I3221">
        <v>217.54060000000001</v>
      </c>
      <c r="J3221">
        <v>-370.8897</v>
      </c>
      <c r="K3221">
        <v>1.1079619999999999</v>
      </c>
      <c r="L3221">
        <v>214.99879999999999</v>
      </c>
      <c r="M3221">
        <v>0.99965839999999995</v>
      </c>
      <c r="N3221">
        <v>-6.4236329999999998E-3</v>
      </c>
      <c r="O3221">
        <v>2.5335460000000001E-2</v>
      </c>
      <c r="P3221">
        <v>0.99557390000000001</v>
      </c>
      <c r="Q3221">
        <v>-5.6649110000000003E-2</v>
      </c>
      <c r="R3221">
        <v>7.499082E-2</v>
      </c>
      <c r="S3221">
        <v>2.9859010000000001</v>
      </c>
      <c r="T3221">
        <v>-0.1189572</v>
      </c>
      <c r="U3221">
        <v>0.27432250000000002</v>
      </c>
      <c r="V3221">
        <v>-4.9691430000000002E-2</v>
      </c>
      <c r="W3221">
        <v>-5.0293589999999999E-2</v>
      </c>
      <c r="X3221">
        <v>0.99749750000000004</v>
      </c>
      <c r="Y3221">
        <v>-6.6181740000000003E-2</v>
      </c>
      <c r="Z3221">
        <v>6.8409649999999998E-4</v>
      </c>
      <c r="AA3221">
        <v>0.99780729999999995</v>
      </c>
      <c r="AB3221">
        <v>51</v>
      </c>
      <c r="AC3221">
        <v>27.289100000000001</v>
      </c>
      <c r="AD3221">
        <v>-1.1079616207170999</v>
      </c>
      <c r="AE3221">
        <v>2.5418000000000198</v>
      </c>
      <c r="AF3221">
        <v>-1.84657015554784</v>
      </c>
      <c r="AG3221">
        <v>-1.1079616207170999</v>
      </c>
      <c r="AH3221">
        <v>27.300123667174201</v>
      </c>
      <c r="AI3221">
        <v>92.318752196303294</v>
      </c>
      <c r="AJ3221">
        <v>93.869571032807002</v>
      </c>
      <c r="AK3221">
        <v>27.3849256441449</v>
      </c>
      <c r="AL3221">
        <v>92.8828267190449</v>
      </c>
      <c r="AM3221">
        <v>92.851894413513705</v>
      </c>
      <c r="AN3221">
        <v>0.99999997295839105</v>
      </c>
    </row>
    <row r="3222" spans="1:40" x14ac:dyDescent="0.25">
      <c r="A3222" t="str">
        <f>"20190305135257203"</f>
        <v>20190305135257203</v>
      </c>
      <c r="B3222" t="str">
        <f>"1551765177193332"</f>
        <v>1551765177193332</v>
      </c>
      <c r="C3222" t="s">
        <v>40</v>
      </c>
      <c r="D3222">
        <v>4.6665769999999904</v>
      </c>
      <c r="E3222">
        <v>0.49392740000000002</v>
      </c>
      <c r="F3222" t="s">
        <v>56</v>
      </c>
      <c r="G3222">
        <v>-342.82549999999998</v>
      </c>
      <c r="H3222" s="1">
        <v>-3.3187289999999998E-8</v>
      </c>
      <c r="I3222">
        <v>217.58359999999999</v>
      </c>
      <c r="J3222">
        <v>-370.40280000000001</v>
      </c>
      <c r="K3222">
        <v>1.1079909999999999</v>
      </c>
      <c r="L3222">
        <v>215.01130000000001</v>
      </c>
      <c r="M3222">
        <v>0.99964640000000005</v>
      </c>
      <c r="N3222">
        <v>-6.4526890000000002E-3</v>
      </c>
      <c r="O3222">
        <v>2.579596E-2</v>
      </c>
      <c r="P3222">
        <v>0.99557030000000002</v>
      </c>
      <c r="Q3222">
        <v>-5.6743960000000003E-2</v>
      </c>
      <c r="R3222">
        <v>7.4968519999999997E-2</v>
      </c>
      <c r="S3222">
        <v>2.9859010000000001</v>
      </c>
      <c r="T3222">
        <v>-0.117882</v>
      </c>
      <c r="U3222">
        <v>0.27500920000000001</v>
      </c>
      <c r="V3222">
        <v>-4.9205140000000001E-2</v>
      </c>
      <c r="W3222">
        <v>-5.0363449999999997E-2</v>
      </c>
      <c r="X3222">
        <v>0.99751809999999996</v>
      </c>
      <c r="Y3222">
        <v>-6.5950739999999994E-2</v>
      </c>
      <c r="Z3222">
        <v>6.6255739999999995E-4</v>
      </c>
      <c r="AA3222">
        <v>0.9978226</v>
      </c>
      <c r="AB3222">
        <v>51</v>
      </c>
      <c r="AC3222">
        <v>27.577300000000001</v>
      </c>
      <c r="AD3222">
        <v>-1.10799103318729</v>
      </c>
      <c r="AE3222">
        <v>2.5722999999999798</v>
      </c>
      <c r="AF3222">
        <v>-1.8570743237515701</v>
      </c>
      <c r="AG3222">
        <v>-1.10799103318729</v>
      </c>
      <c r="AH3222">
        <v>27.590325670347301</v>
      </c>
      <c r="AI3222">
        <v>92.294500938649705</v>
      </c>
      <c r="AJ3222">
        <v>93.850707402045899</v>
      </c>
      <c r="AK3222">
        <v>27.674942452864901</v>
      </c>
      <c r="AL3222">
        <v>92.886834428103896</v>
      </c>
      <c r="AM3222">
        <v>92.823972396529001</v>
      </c>
      <c r="AN3222">
        <v>0.99999999136296502</v>
      </c>
    </row>
    <row r="3223" spans="1:40" x14ac:dyDescent="0.25">
      <c r="A3223" t="str">
        <f>"20190305135257225"</f>
        <v>20190305135257225</v>
      </c>
      <c r="B3223" t="str">
        <f>"1551765177212382"</f>
        <v>1551765177212382</v>
      </c>
      <c r="C3223" t="s">
        <v>40</v>
      </c>
      <c r="D3223">
        <v>4.525455</v>
      </c>
      <c r="E3223">
        <v>0.4938845</v>
      </c>
      <c r="F3223" t="s">
        <v>56</v>
      </c>
      <c r="G3223">
        <v>-342.41969999999998</v>
      </c>
      <c r="H3223" s="1">
        <v>-2.491504E-7</v>
      </c>
      <c r="I3223">
        <v>217.5949</v>
      </c>
      <c r="J3223">
        <v>-369.90530000000001</v>
      </c>
      <c r="K3223">
        <v>1.1080239999999999</v>
      </c>
      <c r="L3223">
        <v>215.02430000000001</v>
      </c>
      <c r="M3223">
        <v>0.99963369999999996</v>
      </c>
      <c r="N3223">
        <v>-6.4804509999999999E-3</v>
      </c>
      <c r="O3223">
        <v>2.6276219999999999E-2</v>
      </c>
      <c r="P3223">
        <v>0.99558380000000002</v>
      </c>
      <c r="Q3223">
        <v>-5.6721580000000001E-2</v>
      </c>
      <c r="R3223">
        <v>7.4801899999999893E-2</v>
      </c>
      <c r="S3223">
        <v>2.9858699999999998</v>
      </c>
      <c r="T3223">
        <v>-0.1182256</v>
      </c>
      <c r="U3223">
        <v>0.27568049999999999</v>
      </c>
      <c r="V3223">
        <v>-4.8554550000000002E-2</v>
      </c>
      <c r="W3223">
        <v>-5.0316670000000001E-2</v>
      </c>
      <c r="X3223">
        <v>0.99755229999999995</v>
      </c>
      <c r="Y3223">
        <v>-6.5694939999999993E-2</v>
      </c>
      <c r="Z3223">
        <v>6.4328870000000002E-4</v>
      </c>
      <c r="AA3223">
        <v>0.99783960000000005</v>
      </c>
      <c r="AB3223">
        <v>51</v>
      </c>
      <c r="AC3223">
        <v>27.485600000000002</v>
      </c>
      <c r="AD3223">
        <v>-1.10802424915039</v>
      </c>
      <c r="AE3223">
        <v>2.5705999999999798</v>
      </c>
      <c r="AF3223">
        <v>-1.84450796559282</v>
      </c>
      <c r="AG3223">
        <v>-1.10802424915039</v>
      </c>
      <c r="AH3223">
        <v>27.499353948623099</v>
      </c>
      <c r="AI3223">
        <v>92.302188297217498</v>
      </c>
      <c r="AJ3223">
        <v>93.8373432251624</v>
      </c>
      <c r="AK3223">
        <v>27.583407964997601</v>
      </c>
      <c r="AL3223">
        <v>92.884150844245397</v>
      </c>
      <c r="AM3223">
        <v>92.786597715759299</v>
      </c>
      <c r="AN3223">
        <v>0.99999995142043896</v>
      </c>
    </row>
    <row r="3224" spans="1:40" x14ac:dyDescent="0.25">
      <c r="A3224" t="str">
        <f>"20190305135257248"</f>
        <v>20190305135257248</v>
      </c>
      <c r="B3224" t="str">
        <f>"1551765177242638"</f>
        <v>1551765177242638</v>
      </c>
      <c r="C3224" t="s">
        <v>40</v>
      </c>
      <c r="D3224">
        <v>6.0237639999999999</v>
      </c>
      <c r="E3224">
        <v>0.49379390000000001</v>
      </c>
      <c r="F3224" t="s">
        <v>56</v>
      </c>
      <c r="G3224">
        <v>-341.52449999999999</v>
      </c>
      <c r="H3224" s="1">
        <v>-7.2553049999999997E-7</v>
      </c>
      <c r="I3224">
        <v>217.64490000000001</v>
      </c>
      <c r="J3224">
        <v>-369.37990000000002</v>
      </c>
      <c r="K3224">
        <v>1.1080479999999999</v>
      </c>
      <c r="L3224">
        <v>215.03829999999999</v>
      </c>
      <c r="M3224">
        <v>0.99961999999999995</v>
      </c>
      <c r="N3224">
        <v>-6.5079169999999898E-3</v>
      </c>
      <c r="O3224">
        <v>2.6790330000000001E-2</v>
      </c>
      <c r="P3224">
        <v>0.99564560000000002</v>
      </c>
      <c r="Q3224">
        <v>-5.6658239999999999E-2</v>
      </c>
      <c r="R3224">
        <v>7.4027270000000006E-2</v>
      </c>
      <c r="S3224">
        <v>2.9859619999999998</v>
      </c>
      <c r="T3224">
        <v>-0.1165761</v>
      </c>
      <c r="U3224">
        <v>0.27571109999999999</v>
      </c>
      <c r="V3224">
        <v>-4.7261869999999997E-2</v>
      </c>
      <c r="W3224">
        <v>-5.0227769999999998E-2</v>
      </c>
      <c r="X3224">
        <v>0.99761889999999998</v>
      </c>
      <c r="Y3224">
        <v>-6.5190780000000004E-2</v>
      </c>
      <c r="Z3224">
        <v>6.1315619999999997E-4</v>
      </c>
      <c r="AA3224">
        <v>0.99787269999999995</v>
      </c>
      <c r="AB3224">
        <v>51</v>
      </c>
      <c r="AC3224">
        <v>27.855399999999999</v>
      </c>
      <c r="AD3224">
        <v>-1.1080487255304901</v>
      </c>
      <c r="AE3224">
        <v>2.60660000000001</v>
      </c>
      <c r="AF3224">
        <v>-1.8564812268892199</v>
      </c>
      <c r="AG3224">
        <v>-1.1080487255304901</v>
      </c>
      <c r="AH3224">
        <v>27.871515420084901</v>
      </c>
      <c r="AI3224">
        <v>92.271600659991904</v>
      </c>
      <c r="AJ3224">
        <v>93.810759712428705</v>
      </c>
      <c r="AK3224">
        <v>27.955243986343099</v>
      </c>
      <c r="AL3224">
        <v>92.879050685155207</v>
      </c>
      <c r="AM3224">
        <v>92.712340923380907</v>
      </c>
      <c r="AN3224">
        <v>0.99999999143613905</v>
      </c>
    </row>
    <row r="3225" spans="1:40" x14ac:dyDescent="0.25">
      <c r="A3225" t="str">
        <f>"20190305135257281"</f>
        <v>20190305135257281</v>
      </c>
      <c r="B3225" t="str">
        <f>"1551765177272898"</f>
        <v>1551765177272898</v>
      </c>
      <c r="C3225" t="s">
        <v>40</v>
      </c>
      <c r="D3225">
        <v>4.7198200000000003</v>
      </c>
      <c r="E3225">
        <v>0.55652669999999904</v>
      </c>
      <c r="F3225" t="s">
        <v>56</v>
      </c>
      <c r="G3225">
        <v>-340.80930000000001</v>
      </c>
      <c r="H3225" s="1">
        <v>-1.1061369999999901E-6</v>
      </c>
      <c r="I3225">
        <v>217.66149999999999</v>
      </c>
      <c r="J3225">
        <v>-368.60759999999999</v>
      </c>
      <c r="K3225">
        <v>1.1080749999999999</v>
      </c>
      <c r="L3225">
        <v>215.05940000000001</v>
      </c>
      <c r="M3225">
        <v>0.99959900000000002</v>
      </c>
      <c r="N3225">
        <v>-6.5456630000000002E-3</v>
      </c>
      <c r="O3225">
        <v>2.7552770000000001E-2</v>
      </c>
      <c r="P3225">
        <v>0.99565079999999995</v>
      </c>
      <c r="Q3225">
        <v>-5.7367929999999998E-2</v>
      </c>
      <c r="R3225">
        <v>7.3408390000000004E-2</v>
      </c>
      <c r="S3225">
        <v>2.986145</v>
      </c>
      <c r="T3225">
        <v>-0.11581089999999999</v>
      </c>
      <c r="U3225">
        <v>0.27416990000000002</v>
      </c>
      <c r="V3225">
        <v>-4.5876430000000003E-2</v>
      </c>
      <c r="W3225">
        <v>-5.0902540000000003E-2</v>
      </c>
      <c r="X3225">
        <v>0.99764940000000002</v>
      </c>
      <c r="Y3225">
        <v>-6.3915239999999998E-2</v>
      </c>
      <c r="Z3225">
        <v>5.6055669999999897E-4</v>
      </c>
      <c r="AA3225">
        <v>0.99795509999999998</v>
      </c>
      <c r="AB3225">
        <v>51</v>
      </c>
      <c r="AC3225">
        <v>27.798299999999902</v>
      </c>
      <c r="AD3225">
        <v>-1.1080761061369999</v>
      </c>
      <c r="AE3225">
        <v>2.6020999999999699</v>
      </c>
      <c r="AF3225">
        <v>-1.8322894807775501</v>
      </c>
      <c r="AG3225">
        <v>-1.1080761061369999</v>
      </c>
      <c r="AH3225">
        <v>27.815629545968001</v>
      </c>
      <c r="AI3225">
        <v>92.276326403264903</v>
      </c>
      <c r="AJ3225">
        <v>93.768780467957001</v>
      </c>
      <c r="AK3225">
        <v>27.897927601111999</v>
      </c>
      <c r="AL3225">
        <v>92.9177615953773</v>
      </c>
      <c r="AM3225">
        <v>92.632864236541096</v>
      </c>
      <c r="AN3225">
        <v>1.0000000203641699</v>
      </c>
    </row>
    <row r="3226" spans="1:40" x14ac:dyDescent="0.25">
      <c r="A3226" t="str">
        <f>"20190305135257303"</f>
        <v>20190305135257303</v>
      </c>
      <c r="B3226" t="str">
        <f>"1551765177293390"</f>
        <v>1551765177293390</v>
      </c>
      <c r="C3226" t="s">
        <v>40</v>
      </c>
      <c r="D3226">
        <v>4.7194940000000001</v>
      </c>
      <c r="E3226">
        <v>0.56301509999999999</v>
      </c>
      <c r="F3226" t="s">
        <v>41</v>
      </c>
      <c r="G3226">
        <v>-367.815</v>
      </c>
      <c r="H3226">
        <v>1.0049950000000001</v>
      </c>
      <c r="I3226">
        <v>214.9957</v>
      </c>
      <c r="J3226">
        <v>-368.10640000000001</v>
      </c>
      <c r="K3226">
        <v>1.108087</v>
      </c>
      <c r="L3226">
        <v>215.07329999999999</v>
      </c>
      <c r="M3226">
        <v>0.99958519999999895</v>
      </c>
      <c r="N3226">
        <v>-6.5689069999999997E-3</v>
      </c>
      <c r="O3226">
        <v>2.8044329999999999E-2</v>
      </c>
      <c r="P3226">
        <v>0.99568319999999999</v>
      </c>
      <c r="Q3226">
        <v>-5.7692159999999999E-2</v>
      </c>
      <c r="R3226">
        <v>7.2708410000000001E-2</v>
      </c>
      <c r="S3226">
        <v>3.0083009999999999</v>
      </c>
      <c r="T3226">
        <v>-0.39130569999999998</v>
      </c>
      <c r="U3226">
        <v>-0.2407379</v>
      </c>
      <c r="V3226">
        <v>-4.4682609999999998E-2</v>
      </c>
      <c r="W3226">
        <v>-5.1203980000000003E-2</v>
      </c>
      <c r="X3226">
        <v>0.99768809999999997</v>
      </c>
      <c r="Y3226">
        <v>0.106544</v>
      </c>
      <c r="Z3226">
        <v>-1.0685800000000001E-2</v>
      </c>
      <c r="AA3226">
        <v>0.99425059999999998</v>
      </c>
      <c r="AB3226">
        <v>51</v>
      </c>
      <c r="AC3226">
        <v>0.29140000000000998</v>
      </c>
      <c r="AD3226">
        <v>-0.103091999999999</v>
      </c>
      <c r="AE3226">
        <v>-7.7599999999989594E-2</v>
      </c>
      <c r="AF3226">
        <v>7.6769467029736804E-2</v>
      </c>
      <c r="AG3226">
        <v>-0.103091999999999</v>
      </c>
      <c r="AH3226">
        <v>0.25885576018654699</v>
      </c>
      <c r="AI3226">
        <v>110.897986445174</v>
      </c>
      <c r="AJ3226">
        <v>73.481098301600397</v>
      </c>
      <c r="AK3226">
        <v>0.28901179234381602</v>
      </c>
      <c r="AL3226">
        <v>92.935055552598001</v>
      </c>
      <c r="AM3226">
        <v>92.564343835205506</v>
      </c>
      <c r="AN3226">
        <v>0.99999996404293001</v>
      </c>
    </row>
    <row r="3227" spans="1:40" x14ac:dyDescent="0.25">
      <c r="A3227" t="str">
        <f>"20190305135257326"</f>
        <v>20190305135257326</v>
      </c>
      <c r="B3227" t="str">
        <f>"1551765177323177"</f>
        <v>1551765177323177</v>
      </c>
      <c r="C3227" t="s">
        <v>40</v>
      </c>
      <c r="D3227">
        <v>4.682499</v>
      </c>
      <c r="E3227">
        <v>0.56415740000000003</v>
      </c>
      <c r="F3227" t="s">
        <v>41</v>
      </c>
      <c r="G3227">
        <v>-367.34199999999998</v>
      </c>
      <c r="H3227">
        <v>1.0282129999999901</v>
      </c>
      <c r="I3227">
        <v>214.99930000000001</v>
      </c>
      <c r="J3227">
        <v>-367.59780000000001</v>
      </c>
      <c r="K3227">
        <v>1.108096</v>
      </c>
      <c r="L3227">
        <v>215.08779999999999</v>
      </c>
      <c r="M3227">
        <v>0.9995714</v>
      </c>
      <c r="N3227">
        <v>-6.5914809999999997E-3</v>
      </c>
      <c r="O3227">
        <v>2.8524089999999998E-2</v>
      </c>
      <c r="P3227">
        <v>0.99575380000000002</v>
      </c>
      <c r="Q3227">
        <v>-5.7624599999999998E-2</v>
      </c>
      <c r="R3227">
        <v>7.1791190000000005E-2</v>
      </c>
      <c r="S3227">
        <v>3.016022</v>
      </c>
      <c r="T3227">
        <v>-0.31532510000000002</v>
      </c>
      <c r="U3227">
        <v>-0.29086299999999998</v>
      </c>
      <c r="V3227">
        <v>-4.3283629999999997E-2</v>
      </c>
      <c r="W3227">
        <v>-5.1112530000000003E-2</v>
      </c>
      <c r="X3227">
        <v>0.99775449999999999</v>
      </c>
      <c r="Y3227">
        <v>0.1235026</v>
      </c>
      <c r="Z3227">
        <v>-9.6138270000000001E-3</v>
      </c>
      <c r="AA3227">
        <v>0.99229769999999995</v>
      </c>
      <c r="AB3227">
        <v>52</v>
      </c>
      <c r="AC3227">
        <v>0.25580000000002201</v>
      </c>
      <c r="AD3227">
        <v>-7.9883000000000107E-2</v>
      </c>
      <c r="AE3227">
        <v>-8.8499999999981996E-2</v>
      </c>
      <c r="AF3227">
        <v>8.8088315309485493E-2</v>
      </c>
      <c r="AG3227">
        <v>-7.9883000000000107E-2</v>
      </c>
      <c r="AH3227">
        <v>0.232887499426019</v>
      </c>
      <c r="AI3227">
        <v>107.787687109169</v>
      </c>
      <c r="AJ3227">
        <v>69.281173050143806</v>
      </c>
      <c r="AK3227">
        <v>0.261490788311878</v>
      </c>
      <c r="AL3227">
        <v>92.929808869620501</v>
      </c>
      <c r="AM3227">
        <v>92.483993184955295</v>
      </c>
      <c r="AN3227">
        <v>1.0000000028096101</v>
      </c>
    </row>
    <row r="3228" spans="1:40" x14ac:dyDescent="0.25">
      <c r="A3228" t="str">
        <f>"20190305135257347"</f>
        <v>20190305135257347</v>
      </c>
      <c r="B3228" t="str">
        <f>"1551765177342697"</f>
        <v>1551765177342697</v>
      </c>
      <c r="C3228" t="s">
        <v>40</v>
      </c>
      <c r="D3228">
        <v>4.7035999999999998</v>
      </c>
      <c r="E3228">
        <v>0.56446269999999998</v>
      </c>
      <c r="F3228" t="s">
        <v>41</v>
      </c>
      <c r="G3228">
        <v>-366.42790000000002</v>
      </c>
      <c r="H3228">
        <v>0.99972859999999997</v>
      </c>
      <c r="I3228">
        <v>214.9709</v>
      </c>
      <c r="J3228">
        <v>-367.08179999999999</v>
      </c>
      <c r="K3228">
        <v>1.108093</v>
      </c>
      <c r="L3228">
        <v>215.1026</v>
      </c>
      <c r="M3228">
        <v>0.99955839999999996</v>
      </c>
      <c r="N3228">
        <v>-6.6132810000000004E-3</v>
      </c>
      <c r="O3228">
        <v>2.8973769999999999E-2</v>
      </c>
      <c r="P3228">
        <v>0.99588659999999996</v>
      </c>
      <c r="Q3228">
        <v>-5.7227809999999997E-2</v>
      </c>
      <c r="R3228">
        <v>7.0252029999999993E-2</v>
      </c>
      <c r="S3228">
        <v>3.0183110000000002</v>
      </c>
      <c r="T3228">
        <v>-0.27967619999999999</v>
      </c>
      <c r="U3228">
        <v>-0.30081180000000002</v>
      </c>
      <c r="V3228">
        <v>-4.1293360000000001E-2</v>
      </c>
      <c r="W3228">
        <v>-5.0689900000000003E-2</v>
      </c>
      <c r="X3228">
        <v>0.99786039999999998</v>
      </c>
      <c r="Y3228">
        <v>0.12727569999999999</v>
      </c>
      <c r="Z3228">
        <v>-8.7748319999999998E-3</v>
      </c>
      <c r="AA3228">
        <v>0.99182859999999995</v>
      </c>
      <c r="AB3228">
        <v>52</v>
      </c>
      <c r="AC3228">
        <v>0.65389999999996395</v>
      </c>
      <c r="AD3228">
        <v>-0.1083644</v>
      </c>
      <c r="AE3228">
        <v>-0.13169999999999499</v>
      </c>
      <c r="AF3228">
        <v>0.14671878291065199</v>
      </c>
      <c r="AG3228">
        <v>-0.1083644</v>
      </c>
      <c r="AH3228">
        <v>0.63310039558537901</v>
      </c>
      <c r="AI3228">
        <v>99.466719224712705</v>
      </c>
      <c r="AJ3228">
        <v>76.952233867421697</v>
      </c>
      <c r="AK3228">
        <v>0.65885154271391499</v>
      </c>
      <c r="AL3228">
        <v>92.905562552856907</v>
      </c>
      <c r="AM3228">
        <v>92.369656227811802</v>
      </c>
      <c r="AN3228">
        <v>0.99999999271512896</v>
      </c>
    </row>
    <row r="3229" spans="1:40" x14ac:dyDescent="0.25">
      <c r="A3229" t="str">
        <f>"20190305135257372"</f>
        <v>20190305135257372</v>
      </c>
      <c r="B3229" t="str">
        <f>"1551765177363193"</f>
        <v>1551765177363193</v>
      </c>
      <c r="C3229" t="s">
        <v>40</v>
      </c>
      <c r="D3229">
        <v>4.5934140000000001</v>
      </c>
      <c r="E3229">
        <v>0.56470259999999906</v>
      </c>
      <c r="F3229" t="s">
        <v>41</v>
      </c>
      <c r="G3229">
        <v>-365.9597</v>
      </c>
      <c r="H3229">
        <v>1.00918</v>
      </c>
      <c r="I3229">
        <v>214.98830000000001</v>
      </c>
      <c r="J3229">
        <v>-366.50650000000002</v>
      </c>
      <c r="K3229">
        <v>1.1080700000000001</v>
      </c>
      <c r="L3229">
        <v>215.11940000000001</v>
      </c>
      <c r="M3229">
        <v>0.99954469999999995</v>
      </c>
      <c r="N3229">
        <v>-6.6367680000000004E-3</v>
      </c>
      <c r="O3229">
        <v>2.9432920000000001E-2</v>
      </c>
      <c r="P3229">
        <v>0.99599150000000003</v>
      </c>
      <c r="Q3229">
        <v>-5.7444240000000001E-2</v>
      </c>
      <c r="R3229">
        <v>6.856582E-2</v>
      </c>
      <c r="S3229">
        <v>3.018799</v>
      </c>
      <c r="T3229">
        <v>-0.26609179999999999</v>
      </c>
      <c r="U3229">
        <v>-0.30751040000000002</v>
      </c>
      <c r="V3229">
        <v>-3.9148860000000001E-2</v>
      </c>
      <c r="W3229">
        <v>-5.0877720000000001E-2</v>
      </c>
      <c r="X3229">
        <v>0.99793730000000003</v>
      </c>
      <c r="Y3229">
        <v>0.12994520000000001</v>
      </c>
      <c r="Z3229">
        <v>-8.523414E-3</v>
      </c>
      <c r="AA3229">
        <v>0.99148449999999999</v>
      </c>
      <c r="AB3229">
        <v>52</v>
      </c>
      <c r="AC3229">
        <v>0.54680000000001805</v>
      </c>
      <c r="AD3229">
        <v>-9.8890000000000103E-2</v>
      </c>
      <c r="AE3229">
        <v>-0.13110000000000299</v>
      </c>
      <c r="AF3229">
        <v>0.14272311071283</v>
      </c>
      <c r="AG3229">
        <v>-9.8890000000000103E-2</v>
      </c>
      <c r="AH3229">
        <v>0.52642233609668398</v>
      </c>
      <c r="AI3229">
        <v>100.276523966274</v>
      </c>
      <c r="AJ3229">
        <v>74.830682721625706</v>
      </c>
      <c r="AK3229">
        <v>0.55431903663236903</v>
      </c>
      <c r="AL3229">
        <v>92.916337684245093</v>
      </c>
      <c r="AM3229">
        <v>92.246548794489996</v>
      </c>
      <c r="AN3229">
        <v>1.0000000151814901</v>
      </c>
    </row>
    <row r="3230" spans="1:40" x14ac:dyDescent="0.25">
      <c r="A3230" t="str">
        <f>"20190305135257394"</f>
        <v>20190305135257394</v>
      </c>
      <c r="B3230" t="str">
        <f>"1551765177382714"</f>
        <v>1551765177382714</v>
      </c>
      <c r="C3230" t="s">
        <v>40</v>
      </c>
      <c r="D3230">
        <v>4.5957889999999999</v>
      </c>
      <c r="E3230">
        <v>0.56477630000000001</v>
      </c>
      <c r="F3230" t="s">
        <v>41</v>
      </c>
      <c r="G3230">
        <v>-365.48919999999998</v>
      </c>
      <c r="H3230">
        <v>1.0223199999999999</v>
      </c>
      <c r="I3230">
        <v>215.01349999999999</v>
      </c>
      <c r="J3230">
        <v>-366.0059</v>
      </c>
      <c r="K3230">
        <v>1.1080399999999999</v>
      </c>
      <c r="L3230">
        <v>215.1343</v>
      </c>
      <c r="M3230">
        <v>0.99953409999999998</v>
      </c>
      <c r="N3230">
        <v>-6.6565249999999999E-3</v>
      </c>
      <c r="O3230">
        <v>2.9787230000000001E-2</v>
      </c>
      <c r="P3230">
        <v>0.99607690000000004</v>
      </c>
      <c r="Q3230">
        <v>-5.7684140000000002E-2</v>
      </c>
      <c r="R3230">
        <v>6.7109360000000007E-2</v>
      </c>
      <c r="S3230">
        <v>3.0189819999999998</v>
      </c>
      <c r="T3230">
        <v>-0.25449450000000001</v>
      </c>
      <c r="U3230">
        <v>-0.31373600000000001</v>
      </c>
      <c r="V3230">
        <v>-3.7339669999999998E-2</v>
      </c>
      <c r="W3230">
        <v>-5.1092760000000001E-2</v>
      </c>
      <c r="X3230">
        <v>0.99799559999999998</v>
      </c>
      <c r="Y3230">
        <v>0.13235629999999901</v>
      </c>
      <c r="Z3230">
        <v>-8.2996589999999992E-3</v>
      </c>
      <c r="AA3230">
        <v>0.99116740000000003</v>
      </c>
      <c r="AB3230">
        <v>52</v>
      </c>
      <c r="AC3230">
        <v>0.51670000000001404</v>
      </c>
      <c r="AD3230">
        <v>-8.5719999999999796E-2</v>
      </c>
      <c r="AE3230">
        <v>-0.120800000000002</v>
      </c>
      <c r="AF3230">
        <v>0.13267548425546599</v>
      </c>
      <c r="AG3230">
        <v>-8.5719999999999796E-2</v>
      </c>
      <c r="AH3230">
        <v>0.49982875292349599</v>
      </c>
      <c r="AI3230">
        <v>99.4116874072607</v>
      </c>
      <c r="AJ3230">
        <v>75.1341189125379</v>
      </c>
      <c r="AK3230">
        <v>0.52419412889833095</v>
      </c>
      <c r="AL3230">
        <v>92.928674748177102</v>
      </c>
      <c r="AM3230">
        <v>92.142702883398101</v>
      </c>
      <c r="AN3230">
        <v>0.999999969349742</v>
      </c>
    </row>
    <row r="3231" spans="1:40" x14ac:dyDescent="0.25">
      <c r="A3231" t="str">
        <f>"20190305135257414"</f>
        <v>20190305135257414</v>
      </c>
      <c r="B3231" t="str">
        <f>"1551765177403209"</f>
        <v>1551765177403209</v>
      </c>
      <c r="C3231" t="s">
        <v>40</v>
      </c>
      <c r="D3231">
        <v>4.6751209999999999</v>
      </c>
      <c r="E3231">
        <v>0.56487949999999998</v>
      </c>
      <c r="F3231" t="s">
        <v>41</v>
      </c>
      <c r="G3231">
        <v>-365.0213</v>
      </c>
      <c r="H3231">
        <v>1.0270319999999999</v>
      </c>
      <c r="I3231">
        <v>215.03030000000001</v>
      </c>
      <c r="J3231">
        <v>-365.5215</v>
      </c>
      <c r="K3231">
        <v>1.1080019999999999</v>
      </c>
      <c r="L3231">
        <v>215.14869999999999</v>
      </c>
      <c r="M3231">
        <v>0.9995252</v>
      </c>
      <c r="N3231">
        <v>-6.6752269999999997E-3</v>
      </c>
      <c r="O3231">
        <v>3.0078179999999999E-2</v>
      </c>
      <c r="P3231">
        <v>0.99618980000000001</v>
      </c>
      <c r="Q3231">
        <v>-5.7912930000000001E-2</v>
      </c>
      <c r="R3231">
        <v>6.520832E-2</v>
      </c>
      <c r="S3231">
        <v>3.0188600000000001</v>
      </c>
      <c r="T3231">
        <v>-0.24840709999999999</v>
      </c>
      <c r="U3231">
        <v>-0.31854250000000001</v>
      </c>
      <c r="V3231">
        <v>-3.5149199999999999E-2</v>
      </c>
      <c r="W3231">
        <v>-5.1296580000000001E-2</v>
      </c>
      <c r="X3231">
        <v>0.99806470000000003</v>
      </c>
      <c r="Y3231">
        <v>0.1342295</v>
      </c>
      <c r="Z3231">
        <v>-8.2129390000000007E-3</v>
      </c>
      <c r="AA3231">
        <v>0.99091629999999997</v>
      </c>
      <c r="AB3231">
        <v>52</v>
      </c>
      <c r="AC3231">
        <v>0.50020000000000597</v>
      </c>
      <c r="AD3231">
        <v>-8.0970000000000195E-2</v>
      </c>
      <c r="AE3231">
        <v>-0.11839999999997899</v>
      </c>
      <c r="AF3231">
        <v>0.130162114847056</v>
      </c>
      <c r="AG3231">
        <v>-8.0970000000000195E-2</v>
      </c>
      <c r="AH3231">
        <v>0.484392940464975</v>
      </c>
      <c r="AI3231">
        <v>99.170208343715004</v>
      </c>
      <c r="AJ3231">
        <v>74.959238783822599</v>
      </c>
      <c r="AK3231">
        <v>0.50806971747365903</v>
      </c>
      <c r="AL3231">
        <v>92.940368090163602</v>
      </c>
      <c r="AM3231">
        <v>92.016972290429507</v>
      </c>
      <c r="AN3231">
        <v>0.99999997538321195</v>
      </c>
    </row>
    <row r="3232" spans="1:40" x14ac:dyDescent="0.25">
      <c r="A3232" t="str">
        <f>"20190305135257437"</f>
        <v>20190305135257437</v>
      </c>
      <c r="B3232" t="str">
        <f>"1551765177432490"</f>
        <v>1551765177432490</v>
      </c>
      <c r="C3232" t="s">
        <v>40</v>
      </c>
      <c r="D3232">
        <v>4.75007</v>
      </c>
      <c r="E3232">
        <v>0.56495649999999997</v>
      </c>
      <c r="F3232" t="s">
        <v>41</v>
      </c>
      <c r="G3232">
        <v>-364.55270000000002</v>
      </c>
      <c r="H3232">
        <v>1.0310729999999999</v>
      </c>
      <c r="I3232">
        <v>215.04409999999999</v>
      </c>
      <c r="J3232">
        <v>-365.00229999999999</v>
      </c>
      <c r="K3232">
        <v>1.107955</v>
      </c>
      <c r="L3232">
        <v>215.1644</v>
      </c>
      <c r="M3232">
        <v>0.99951769999999995</v>
      </c>
      <c r="N3232">
        <v>-6.6948789999999999E-3</v>
      </c>
      <c r="O3232">
        <v>3.0325709999999999E-2</v>
      </c>
      <c r="P3232">
        <v>0.99630399999999997</v>
      </c>
      <c r="Q3232">
        <v>-5.7870119999999997E-2</v>
      </c>
      <c r="R3232">
        <v>6.3477259999999994E-2</v>
      </c>
      <c r="S3232">
        <v>3.018799</v>
      </c>
      <c r="T3232">
        <v>-0.23989279999999999</v>
      </c>
      <c r="U3232">
        <v>-0.32458500000000001</v>
      </c>
      <c r="V3232">
        <v>-3.3174210000000003E-2</v>
      </c>
      <c r="W3232">
        <v>-5.1227389999999998E-2</v>
      </c>
      <c r="X3232">
        <v>0.99813589999999996</v>
      </c>
      <c r="Y3232">
        <v>0.13646730000000001</v>
      </c>
      <c r="Z3232">
        <v>-8.0549619999999902E-3</v>
      </c>
      <c r="AA3232">
        <v>0.99061189999999999</v>
      </c>
      <c r="AB3232">
        <v>52</v>
      </c>
      <c r="AC3232">
        <v>0.44959999999997502</v>
      </c>
      <c r="AD3232">
        <v>-7.6882000000000103E-2</v>
      </c>
      <c r="AE3232">
        <v>-0.12030000000001401</v>
      </c>
      <c r="AF3232">
        <v>0.130323196638788</v>
      </c>
      <c r="AG3232">
        <v>-7.6882000000000103E-2</v>
      </c>
      <c r="AH3232">
        <v>0.43390469685541999</v>
      </c>
      <c r="AI3232">
        <v>99.631194837293705</v>
      </c>
      <c r="AJ3232">
        <v>73.282369387366103</v>
      </c>
      <c r="AK3232">
        <v>0.45953048153451798</v>
      </c>
      <c r="AL3232">
        <v>92.9363984324104</v>
      </c>
      <c r="AM3232">
        <v>91.903591289368507</v>
      </c>
      <c r="AN3232">
        <v>1.0000000242820699</v>
      </c>
    </row>
    <row r="3233" spans="1:40" x14ac:dyDescent="0.25">
      <c r="A3233" t="str">
        <f>"20190305135257459"</f>
        <v>20190305135257459</v>
      </c>
      <c r="B3233" t="str">
        <f>"1551765177452986"</f>
        <v>1551765177452986</v>
      </c>
      <c r="C3233" t="s">
        <v>40</v>
      </c>
      <c r="D3233">
        <v>4.6237089999999998</v>
      </c>
      <c r="E3233">
        <v>0.56513269999999904</v>
      </c>
      <c r="F3233" t="s">
        <v>41</v>
      </c>
      <c r="G3233">
        <v>-364.08269999999999</v>
      </c>
      <c r="H3233">
        <v>1.036662</v>
      </c>
      <c r="I3233">
        <v>215.06379999999999</v>
      </c>
      <c r="J3233">
        <v>-364.47329999999999</v>
      </c>
      <c r="K3233">
        <v>1.107901</v>
      </c>
      <c r="L3233">
        <v>215.18039999999999</v>
      </c>
      <c r="M3233">
        <v>0.99951179999999995</v>
      </c>
      <c r="N3233">
        <v>-6.7145649999999996E-3</v>
      </c>
      <c r="O3233">
        <v>3.0513390000000001E-2</v>
      </c>
      <c r="P3233">
        <v>0.99639480000000002</v>
      </c>
      <c r="Q3233">
        <v>-5.7692889999999997E-2</v>
      </c>
      <c r="R3233">
        <v>6.2201659999999999E-2</v>
      </c>
      <c r="S3233">
        <v>3.0185240000000002</v>
      </c>
      <c r="T3233">
        <v>-0.2340856</v>
      </c>
      <c r="U3233">
        <v>-0.33016970000000001</v>
      </c>
      <c r="V3233">
        <v>-3.1716189999999998E-2</v>
      </c>
      <c r="W3233">
        <v>-5.102425E-2</v>
      </c>
      <c r="X3233">
        <v>0.99819369999999996</v>
      </c>
      <c r="Y3233">
        <v>0.13849229999999901</v>
      </c>
      <c r="Z3233">
        <v>-7.9657189999999996E-3</v>
      </c>
      <c r="AA3233">
        <v>0.99033150000000003</v>
      </c>
      <c r="AB3233">
        <v>52</v>
      </c>
      <c r="AC3233">
        <v>0.390600000000006</v>
      </c>
      <c r="AD3233">
        <v>-7.1238999999999997E-2</v>
      </c>
      <c r="AE3233">
        <v>-0.11660000000000501</v>
      </c>
      <c r="AF3233">
        <v>0.12465720957467601</v>
      </c>
      <c r="AG3233">
        <v>-7.1238999999999997E-2</v>
      </c>
      <c r="AH3233">
        <v>0.37539482417931602</v>
      </c>
      <c r="AI3233">
        <v>100.209557351702</v>
      </c>
      <c r="AJ3233">
        <v>71.630241727559806</v>
      </c>
      <c r="AK3233">
        <v>0.40191502713952398</v>
      </c>
      <c r="AL3233">
        <v>92.924744119509299</v>
      </c>
      <c r="AM3233">
        <v>91.819879922728504</v>
      </c>
      <c r="AN3233">
        <v>1.0000000267579301</v>
      </c>
    </row>
    <row r="3234" spans="1:40" x14ac:dyDescent="0.25">
      <c r="A3234" t="str">
        <f>"20190305135257482"</f>
        <v>20190305135257482</v>
      </c>
      <c r="B3234" t="str">
        <f>"1551765177472509"</f>
        <v>1551765177472509</v>
      </c>
      <c r="C3234" t="s">
        <v>40</v>
      </c>
      <c r="D3234">
        <v>4.6536799999999996</v>
      </c>
      <c r="E3234">
        <v>0.56513279999999999</v>
      </c>
      <c r="F3234" t="s">
        <v>41</v>
      </c>
      <c r="G3234">
        <v>-363.61259999999999</v>
      </c>
      <c r="H3234">
        <v>1.040044</v>
      </c>
      <c r="I3234">
        <v>215.08410000000001</v>
      </c>
      <c r="J3234">
        <v>-363.94670000000002</v>
      </c>
      <c r="K3234">
        <v>1.107839</v>
      </c>
      <c r="L3234">
        <v>215.19640000000001</v>
      </c>
      <c r="M3234">
        <v>0.99950779999999995</v>
      </c>
      <c r="N3234">
        <v>-6.7339059999999996E-3</v>
      </c>
      <c r="O3234">
        <v>3.0642880000000001E-2</v>
      </c>
      <c r="P3234">
        <v>0.99641959999999996</v>
      </c>
      <c r="Q3234">
        <v>-5.7653290000000003E-2</v>
      </c>
      <c r="R3234">
        <v>6.1839940000000003E-2</v>
      </c>
      <c r="S3234">
        <v>3.018005</v>
      </c>
      <c r="T3234">
        <v>-0.23813709999999999</v>
      </c>
      <c r="U3234">
        <v>-0.33583069999999998</v>
      </c>
      <c r="V3234">
        <v>-3.1231749999999999E-2</v>
      </c>
      <c r="W3234">
        <v>-5.0960499999999999E-2</v>
      </c>
      <c r="X3234">
        <v>0.99821219999999999</v>
      </c>
      <c r="Y3234">
        <v>0.1404492</v>
      </c>
      <c r="Z3234">
        <v>-8.19282E-3</v>
      </c>
      <c r="AA3234">
        <v>0.99005399999999999</v>
      </c>
      <c r="AB3234">
        <v>52</v>
      </c>
      <c r="AC3234">
        <v>0.33410000000003398</v>
      </c>
      <c r="AD3234">
        <v>-6.7794999999999994E-2</v>
      </c>
      <c r="AE3234">
        <v>-0.11230000000000399</v>
      </c>
      <c r="AF3234">
        <v>0.118115480882953</v>
      </c>
      <c r="AG3234">
        <v>-6.7794999999999994E-2</v>
      </c>
      <c r="AH3234">
        <v>0.31871080729475199</v>
      </c>
      <c r="AI3234">
        <v>101.280142029422</v>
      </c>
      <c r="AJ3234">
        <v>69.665095815843898</v>
      </c>
      <c r="AK3234">
        <v>0.346589104756171</v>
      </c>
      <c r="AL3234">
        <v>92.921086846978497</v>
      </c>
      <c r="AM3234">
        <v>91.792067755039199</v>
      </c>
      <c r="AN3234">
        <v>0.99999999549857599</v>
      </c>
    </row>
    <row r="3235" spans="1:40" x14ac:dyDescent="0.25">
      <c r="A3235" t="str">
        <f>"20190305135257504"</f>
        <v>20190305135257504</v>
      </c>
      <c r="B3235" t="str">
        <f>"1551765177493003"</f>
        <v>1551765177493003</v>
      </c>
      <c r="C3235" t="s">
        <v>40</v>
      </c>
      <c r="D3235">
        <v>5.401878</v>
      </c>
      <c r="E3235">
        <v>0.565106</v>
      </c>
      <c r="F3235" t="s">
        <v>41</v>
      </c>
      <c r="G3235">
        <v>-363.14060000000001</v>
      </c>
      <c r="H3235">
        <v>1.04451</v>
      </c>
      <c r="I3235">
        <v>215.10640000000001</v>
      </c>
      <c r="J3235">
        <v>-363.43180000000001</v>
      </c>
      <c r="K3235">
        <v>1.107772</v>
      </c>
      <c r="L3235">
        <v>215.2122</v>
      </c>
      <c r="M3235">
        <v>0.99950550000000005</v>
      </c>
      <c r="N3235">
        <v>-6.7525659999999998E-3</v>
      </c>
      <c r="O3235">
        <v>3.0711309999999999E-2</v>
      </c>
      <c r="P3235">
        <v>0.99641659999999999</v>
      </c>
      <c r="Q3235">
        <v>-5.7995940000000003E-2</v>
      </c>
      <c r="R3235">
        <v>6.1566450000000002E-2</v>
      </c>
      <c r="S3235">
        <v>3.0179749999999999</v>
      </c>
      <c r="T3235">
        <v>-0.23715649999999999</v>
      </c>
      <c r="U3235">
        <v>-0.3367462</v>
      </c>
      <c r="V3235">
        <v>-3.089662E-2</v>
      </c>
      <c r="W3235">
        <v>-5.1279980000000003E-2</v>
      </c>
      <c r="X3235">
        <v>0.99820629999999999</v>
      </c>
      <c r="Y3235">
        <v>0.14081769999999999</v>
      </c>
      <c r="Z3235">
        <v>-8.1815529999999994E-3</v>
      </c>
      <c r="AA3235">
        <v>0.99000169999999998</v>
      </c>
      <c r="AB3235">
        <v>52</v>
      </c>
      <c r="AC3235">
        <v>0.29120000000000301</v>
      </c>
      <c r="AD3235">
        <v>-6.3261999999999902E-2</v>
      </c>
      <c r="AE3235">
        <v>-0.105799999999987</v>
      </c>
      <c r="AF3235">
        <v>0.110102991275549</v>
      </c>
      <c r="AG3235">
        <v>-6.3261999999999902E-2</v>
      </c>
      <c r="AH3235">
        <v>0.276293994695405</v>
      </c>
      <c r="AI3235">
        <v>102.007847002166</v>
      </c>
      <c r="AJ3235">
        <v>68.272747820979305</v>
      </c>
      <c r="AK3235">
        <v>0.304077491499401</v>
      </c>
      <c r="AL3235">
        <v>92.939415573699307</v>
      </c>
      <c r="AM3235">
        <v>91.772860913448696</v>
      </c>
      <c r="AN3235">
        <v>1.0000000274179499</v>
      </c>
    </row>
    <row r="3236" spans="1:40" x14ac:dyDescent="0.25">
      <c r="A3236" t="str">
        <f>"20190305135257527"</f>
        <v>20190305135257527</v>
      </c>
      <c r="B3236" t="str">
        <f>"1551765177523258"</f>
        <v>1551765177523258</v>
      </c>
      <c r="C3236" t="s">
        <v>40</v>
      </c>
      <c r="D3236">
        <v>4.6402130000000001</v>
      </c>
      <c r="E3236">
        <v>0.56522130000000004</v>
      </c>
      <c r="F3236" t="s">
        <v>41</v>
      </c>
      <c r="G3236">
        <v>-362.66840000000002</v>
      </c>
      <c r="H3236">
        <v>1.04793</v>
      </c>
      <c r="I3236">
        <v>215.1266</v>
      </c>
      <c r="J3236">
        <v>-362.90660000000003</v>
      </c>
      <c r="K3236">
        <v>1.107693</v>
      </c>
      <c r="L3236">
        <v>215.22819999999999</v>
      </c>
      <c r="M3236">
        <v>0.99950539999999999</v>
      </c>
      <c r="N3236">
        <v>-6.7714109999999997E-3</v>
      </c>
      <c r="O3236">
        <v>3.0711720000000001E-2</v>
      </c>
      <c r="P3236">
        <v>0.99640070000000003</v>
      </c>
      <c r="Q3236">
        <v>-5.8170029999999998E-2</v>
      </c>
      <c r="R3236">
        <v>6.1660510000000002E-2</v>
      </c>
      <c r="S3236">
        <v>3.0178219999999998</v>
      </c>
      <c r="T3236">
        <v>-0.23671159999999999</v>
      </c>
      <c r="U3236">
        <v>-0.3370514</v>
      </c>
      <c r="V3236">
        <v>-3.0999200000000001E-2</v>
      </c>
      <c r="W3236">
        <v>-5.1430480000000001E-2</v>
      </c>
      <c r="X3236">
        <v>0.99819539999999995</v>
      </c>
      <c r="Y3236">
        <v>0.14092399999999999</v>
      </c>
      <c r="Z3236">
        <v>-8.1724109999999992E-3</v>
      </c>
      <c r="AA3236">
        <v>0.9899867</v>
      </c>
      <c r="AB3236">
        <v>53</v>
      </c>
      <c r="AC3236">
        <v>0.23820000000000599</v>
      </c>
      <c r="AD3236">
        <v>-5.9762999999999997E-2</v>
      </c>
      <c r="AE3236">
        <v>-0.10159999999999</v>
      </c>
      <c r="AF3236">
        <v>0.103362813901222</v>
      </c>
      <c r="AG3236">
        <v>-5.9762999999999997E-2</v>
      </c>
      <c r="AH3236">
        <v>0.22308600627623401</v>
      </c>
      <c r="AI3236">
        <v>103.66188764872901</v>
      </c>
      <c r="AJ3236">
        <v>65.140216253643104</v>
      </c>
      <c r="AK3236">
        <v>0.25302737729909602</v>
      </c>
      <c r="AL3236">
        <v>92.948049913341094</v>
      </c>
      <c r="AM3236">
        <v>91.778762632436298</v>
      </c>
      <c r="AN3236">
        <v>1.00000005062741</v>
      </c>
    </row>
    <row r="3237" spans="1:40" x14ac:dyDescent="0.25">
      <c r="A3237" t="str">
        <f>"20190305135257549"</f>
        <v>20190305135257549</v>
      </c>
      <c r="B3237" t="str">
        <f>"1551765177542778"</f>
        <v>1551765177542778</v>
      </c>
      <c r="C3237" t="s">
        <v>40</v>
      </c>
      <c r="D3237">
        <v>4.596336</v>
      </c>
      <c r="E3237">
        <v>0.5653878</v>
      </c>
      <c r="F3237" t="s">
        <v>41</v>
      </c>
      <c r="G3237">
        <v>-361.73829999999998</v>
      </c>
      <c r="H3237">
        <v>1.0182599999999999</v>
      </c>
      <c r="I3237">
        <v>215.09719999999999</v>
      </c>
      <c r="J3237">
        <v>-362.35559999999998</v>
      </c>
      <c r="K3237">
        <v>1.1076060000000001</v>
      </c>
      <c r="L3237">
        <v>215.24510000000001</v>
      </c>
      <c r="M3237">
        <v>0.99950779999999995</v>
      </c>
      <c r="N3237">
        <v>-6.7909579999999997E-3</v>
      </c>
      <c r="O3237">
        <v>3.062958E-2</v>
      </c>
      <c r="P3237">
        <v>0.99637439999999999</v>
      </c>
      <c r="Q3237">
        <v>-5.8354120000000002E-2</v>
      </c>
      <c r="R3237">
        <v>6.1912380000000003E-2</v>
      </c>
      <c r="S3237">
        <v>3.0181879999999999</v>
      </c>
      <c r="T3237">
        <v>-0.23112949999999999</v>
      </c>
      <c r="U3237">
        <v>-0.33744809999999997</v>
      </c>
      <c r="V3237">
        <v>-3.1343070000000001E-2</v>
      </c>
      <c r="W3237">
        <v>-5.1589459999999997E-2</v>
      </c>
      <c r="X3237">
        <v>0.99817639999999996</v>
      </c>
      <c r="Y3237">
        <v>0.14098269999999999</v>
      </c>
      <c r="Z3237">
        <v>-7.9831480000000007E-3</v>
      </c>
      <c r="AA3237">
        <v>0.98997990000000002</v>
      </c>
      <c r="AB3237">
        <v>53</v>
      </c>
      <c r="AC3237">
        <v>0.61729999999999996</v>
      </c>
      <c r="AD3237">
        <v>-8.9345999999999898E-2</v>
      </c>
      <c r="AE3237">
        <v>-0.14790000000002099</v>
      </c>
      <c r="AF3237">
        <v>0.16349951207371599</v>
      </c>
      <c r="AG3237">
        <v>-8.9345999999999898E-2</v>
      </c>
      <c r="AH3237">
        <v>0.60058172804097598</v>
      </c>
      <c r="AI3237">
        <v>98.168538750684704</v>
      </c>
      <c r="AJ3237">
        <v>74.771124152651296</v>
      </c>
      <c r="AK3237">
        <v>0.628818900973109</v>
      </c>
      <c r="AL3237">
        <v>92.957171074868796</v>
      </c>
      <c r="AM3237">
        <v>91.798515533282995</v>
      </c>
      <c r="AN3237">
        <v>0.99999999296853803</v>
      </c>
    </row>
    <row r="3238" spans="1:40" x14ac:dyDescent="0.25">
      <c r="A3238" t="str">
        <f>"20190305135257574"</f>
        <v>20190305135257574</v>
      </c>
      <c r="B3238" t="str">
        <f>"1551765177563274"</f>
        <v>1551765177563274</v>
      </c>
      <c r="C3238" t="s">
        <v>40</v>
      </c>
      <c r="D3238">
        <v>4.6049759999999997</v>
      </c>
      <c r="E3238">
        <v>0.56559499999999996</v>
      </c>
      <c r="F3238" t="s">
        <v>41</v>
      </c>
      <c r="G3238">
        <v>-361.26229999999998</v>
      </c>
      <c r="H3238">
        <v>1.025207</v>
      </c>
      <c r="I3238">
        <v>215.1225</v>
      </c>
      <c r="J3238">
        <v>-361.7937</v>
      </c>
      <c r="K3238">
        <v>1.1075159999999999</v>
      </c>
      <c r="L3238">
        <v>215.2621</v>
      </c>
      <c r="M3238">
        <v>0.99951239999999997</v>
      </c>
      <c r="N3238">
        <v>-6.8107569999999997E-3</v>
      </c>
      <c r="O3238">
        <v>3.047364E-2</v>
      </c>
      <c r="P3238">
        <v>0.99637010000000004</v>
      </c>
      <c r="Q3238">
        <v>-5.8153360000000001E-2</v>
      </c>
      <c r="R3238">
        <v>6.2167090000000001E-2</v>
      </c>
      <c r="S3238">
        <v>3.0185849999999999</v>
      </c>
      <c r="T3238">
        <v>-0.227631</v>
      </c>
      <c r="U3238">
        <v>-0.33790589999999998</v>
      </c>
      <c r="V3238">
        <v>-3.1764189999999998E-2</v>
      </c>
      <c r="W3238">
        <v>-5.1362629999999999E-2</v>
      </c>
      <c r="X3238">
        <v>0.99817480000000003</v>
      </c>
      <c r="Y3238">
        <v>0.14097789999999999</v>
      </c>
      <c r="Z3238">
        <v>-7.8556540000000001E-3</v>
      </c>
      <c r="AA3238">
        <v>0.98998160000000002</v>
      </c>
      <c r="AB3238">
        <v>53</v>
      </c>
      <c r="AC3238">
        <v>0.53140000000001897</v>
      </c>
      <c r="AD3238">
        <v>-8.2308999999999896E-2</v>
      </c>
      <c r="AE3238">
        <v>-0.139600000000001</v>
      </c>
      <c r="AF3238">
        <v>0.15231100959933999</v>
      </c>
      <c r="AG3238">
        <v>-8.2308999999999896E-2</v>
      </c>
      <c r="AH3238">
        <v>0.51533366214674403</v>
      </c>
      <c r="AI3238">
        <v>98.708303753077004</v>
      </c>
      <c r="AJ3238">
        <v>73.534531362468798</v>
      </c>
      <c r="AK3238">
        <v>0.54363792957054102</v>
      </c>
      <c r="AL3238">
        <v>92.944157377316401</v>
      </c>
      <c r="AM3238">
        <v>91.822666801365102</v>
      </c>
      <c r="AN3238">
        <v>1.0000000074409501</v>
      </c>
    </row>
    <row r="3239" spans="1:40" x14ac:dyDescent="0.25">
      <c r="A3239" t="str">
        <f>"20190305135257594"</f>
        <v>20190305135257594</v>
      </c>
      <c r="B3239" t="str">
        <f>"1551765177582794"</f>
        <v>1551765177582794</v>
      </c>
      <c r="C3239" t="s">
        <v>40</v>
      </c>
      <c r="D3239">
        <v>4.5521229999999999</v>
      </c>
      <c r="E3239">
        <v>0.56579080000000004</v>
      </c>
      <c r="F3239" t="s">
        <v>41</v>
      </c>
      <c r="G3239">
        <v>-360.78500000000003</v>
      </c>
      <c r="H3239">
        <v>1.0330699999999999</v>
      </c>
      <c r="I3239">
        <v>215.1489</v>
      </c>
      <c r="J3239">
        <v>-361.30290000000002</v>
      </c>
      <c r="K3239">
        <v>1.107442</v>
      </c>
      <c r="L3239">
        <v>215.27699999999999</v>
      </c>
      <c r="M3239">
        <v>0.99951840000000003</v>
      </c>
      <c r="N3239">
        <v>-6.8278599999999998E-3</v>
      </c>
      <c r="O3239">
        <v>3.02756E-2</v>
      </c>
      <c r="P3239">
        <v>0.99633360000000004</v>
      </c>
      <c r="Q3239">
        <v>-5.8614189999999997E-2</v>
      </c>
      <c r="R3239">
        <v>6.2321719999999997E-2</v>
      </c>
      <c r="S3239">
        <v>3.0190429999999999</v>
      </c>
      <c r="T3239">
        <v>-0.2228636</v>
      </c>
      <c r="U3239">
        <v>-0.33853149999999999</v>
      </c>
      <c r="V3239">
        <v>-3.2127099999999999E-2</v>
      </c>
      <c r="W3239">
        <v>-5.1800659999999998E-2</v>
      </c>
      <c r="X3239">
        <v>0.99814049999999999</v>
      </c>
      <c r="Y3239">
        <v>0.14098859999999999</v>
      </c>
      <c r="Z3239">
        <v>-7.6840119999999996E-3</v>
      </c>
      <c r="AA3239">
        <v>0.98998140000000001</v>
      </c>
      <c r="AB3239">
        <v>53</v>
      </c>
      <c r="AC3239">
        <v>0.51789999999999703</v>
      </c>
      <c r="AD3239">
        <v>-7.4371999999999799E-2</v>
      </c>
      <c r="AE3239">
        <v>-0.12810000000001701</v>
      </c>
      <c r="AF3239">
        <v>0.140981684720932</v>
      </c>
      <c r="AG3239">
        <v>-7.4371999999999799E-2</v>
      </c>
      <c r="AH3239">
        <v>0.503990179321118</v>
      </c>
      <c r="AI3239">
        <v>98.088203457863202</v>
      </c>
      <c r="AJ3239">
        <v>74.372045777756895</v>
      </c>
      <c r="AK3239">
        <v>0.52859543193531799</v>
      </c>
      <c r="AL3239">
        <v>92.969288248072303</v>
      </c>
      <c r="AM3239">
        <v>91.843540024219806</v>
      </c>
      <c r="AN3239">
        <v>0.999999958335546</v>
      </c>
    </row>
    <row r="3240" spans="1:40" x14ac:dyDescent="0.25">
      <c r="A3240" t="str">
        <f>"20190305135257616"</f>
        <v>20190305135257616</v>
      </c>
      <c r="B3240" t="str">
        <f>"1551765177613050"</f>
        <v>1551765177613050</v>
      </c>
      <c r="C3240" t="s">
        <v>40</v>
      </c>
      <c r="D3240">
        <v>4.6270509999999998</v>
      </c>
      <c r="E3240">
        <v>0.56585640000000004</v>
      </c>
      <c r="F3240" t="s">
        <v>41</v>
      </c>
      <c r="G3240">
        <v>-360.30939999999998</v>
      </c>
      <c r="H3240">
        <v>1.0348759999999999</v>
      </c>
      <c r="I3240">
        <v>215.1653</v>
      </c>
      <c r="J3240">
        <v>-360.78579999999999</v>
      </c>
      <c r="K3240">
        <v>1.107351</v>
      </c>
      <c r="L3240">
        <v>215.29249999999999</v>
      </c>
      <c r="M3240">
        <v>0.99952660000000004</v>
      </c>
      <c r="N3240">
        <v>-6.846001E-3</v>
      </c>
      <c r="O3240">
        <v>2.999717E-2</v>
      </c>
      <c r="P3240">
        <v>0.99634829999999996</v>
      </c>
      <c r="Q3240">
        <v>-5.8331500000000001E-2</v>
      </c>
      <c r="R3240">
        <v>6.2351940000000002E-2</v>
      </c>
      <c r="S3240">
        <v>3.0192869999999998</v>
      </c>
      <c r="T3240">
        <v>-0.22050030000000001</v>
      </c>
      <c r="U3240">
        <v>-0.33938600000000002</v>
      </c>
      <c r="V3240">
        <v>-3.2446030000000001E-2</v>
      </c>
      <c r="W3240">
        <v>-5.1492980000000001E-2</v>
      </c>
      <c r="X3240">
        <v>0.99814610000000004</v>
      </c>
      <c r="Y3240">
        <v>0.14099130000000001</v>
      </c>
      <c r="Z3240">
        <v>-7.5874619999999997E-3</v>
      </c>
      <c r="AA3240">
        <v>0.98998180000000002</v>
      </c>
      <c r="AB3240">
        <v>53</v>
      </c>
      <c r="AC3240">
        <v>0.47640000000001198</v>
      </c>
      <c r="AD3240">
        <v>-7.2474999999999803E-2</v>
      </c>
      <c r="AE3240">
        <v>-0.12719999999998699</v>
      </c>
      <c r="AF3240">
        <v>0.13844287906237199</v>
      </c>
      <c r="AG3240">
        <v>-7.2474999999999803E-2</v>
      </c>
      <c r="AH3240">
        <v>0.462380791942817</v>
      </c>
      <c r="AI3240">
        <v>98.539557081024</v>
      </c>
      <c r="AJ3240">
        <v>73.331609655914704</v>
      </c>
      <c r="AK3240">
        <v>0.48807279492484101</v>
      </c>
      <c r="AL3240">
        <v>92.951635934882404</v>
      </c>
      <c r="AM3240">
        <v>91.861817836179497</v>
      </c>
      <c r="AN3240">
        <v>0.99999995439862399</v>
      </c>
    </row>
    <row r="3241" spans="1:40" x14ac:dyDescent="0.25">
      <c r="A3241" t="str">
        <f>"20190305135257640"</f>
        <v>20190305135257640</v>
      </c>
      <c r="B3241" t="str">
        <f>"1551765177632570"</f>
        <v>1551765177632570</v>
      </c>
      <c r="C3241" t="s">
        <v>40</v>
      </c>
      <c r="D3241">
        <v>5.18574</v>
      </c>
      <c r="E3241">
        <v>0.5657392</v>
      </c>
      <c r="F3241" t="s">
        <v>41</v>
      </c>
      <c r="G3241">
        <v>-359.83069999999998</v>
      </c>
      <c r="H3241">
        <v>1.0395380000000001</v>
      </c>
      <c r="I3241">
        <v>215.18469999999999</v>
      </c>
      <c r="J3241">
        <v>-360.22669999999999</v>
      </c>
      <c r="K3241">
        <v>1.1072489999999999</v>
      </c>
      <c r="L3241">
        <v>215.3091</v>
      </c>
      <c r="M3241">
        <v>0.99953789999999998</v>
      </c>
      <c r="N3241">
        <v>-6.8657140000000002E-3</v>
      </c>
      <c r="O3241">
        <v>2.961333E-2</v>
      </c>
      <c r="P3241">
        <v>0.99636939999999996</v>
      </c>
      <c r="Q3241">
        <v>-5.8016249999999998E-2</v>
      </c>
      <c r="R3241">
        <v>6.2308040000000002E-2</v>
      </c>
      <c r="S3241">
        <v>3.019714</v>
      </c>
      <c r="T3241">
        <v>-0.21451500000000001</v>
      </c>
      <c r="U3241">
        <v>-0.3396149</v>
      </c>
      <c r="V3241">
        <v>-3.2796909999999999E-2</v>
      </c>
      <c r="W3241">
        <v>-5.1149930000000003E-2</v>
      </c>
      <c r="X3241">
        <v>0.99815229999999999</v>
      </c>
      <c r="Y3241">
        <v>0.14069589999999901</v>
      </c>
      <c r="Z3241">
        <v>-7.353348E-3</v>
      </c>
      <c r="AA3241">
        <v>0.9900255</v>
      </c>
      <c r="AB3241">
        <v>53</v>
      </c>
      <c r="AC3241">
        <v>0.39600000000001501</v>
      </c>
      <c r="AD3241">
        <v>-6.7710999999999993E-2</v>
      </c>
      <c r="AE3241">
        <v>-0.124400000000008</v>
      </c>
      <c r="AF3241">
        <v>0.13254547669746999</v>
      </c>
      <c r="AG3241">
        <v>-6.7710999999999993E-2</v>
      </c>
      <c r="AH3241">
        <v>0.38197767109431002</v>
      </c>
      <c r="AI3241">
        <v>99.507018524060797</v>
      </c>
      <c r="AJ3241">
        <v>70.863329598455806</v>
      </c>
      <c r="AK3241">
        <v>0.40995124603859001</v>
      </c>
      <c r="AL3241">
        <v>92.931954595617995</v>
      </c>
      <c r="AM3241">
        <v>91.881925947514503</v>
      </c>
      <c r="AN3241">
        <v>0.99999998331992102</v>
      </c>
    </row>
    <row r="3242" spans="1:40" x14ac:dyDescent="0.25">
      <c r="A3242" t="str">
        <f>"20190305135257662"</f>
        <v>20190305135257662</v>
      </c>
      <c r="B3242" t="str">
        <f>"1551765177653066"</f>
        <v>1551765177653066</v>
      </c>
      <c r="C3242" t="s">
        <v>40</v>
      </c>
      <c r="D3242">
        <v>4.5742770000000004</v>
      </c>
      <c r="E3242">
        <v>0.56592299999999995</v>
      </c>
      <c r="F3242" t="s">
        <v>41</v>
      </c>
      <c r="G3242">
        <v>-359.34949999999998</v>
      </c>
      <c r="H3242">
        <v>1.0473749999999999</v>
      </c>
      <c r="I3242">
        <v>215.2107</v>
      </c>
      <c r="J3242">
        <v>-359.68680000000001</v>
      </c>
      <c r="K3242">
        <v>1.107148</v>
      </c>
      <c r="L3242">
        <v>215.32490000000001</v>
      </c>
      <c r="M3242">
        <v>0.99955110000000003</v>
      </c>
      <c r="N3242">
        <v>-6.8844020000000004E-3</v>
      </c>
      <c r="O3242">
        <v>2.916144E-2</v>
      </c>
      <c r="P3242">
        <v>0.99640039999999996</v>
      </c>
      <c r="Q3242">
        <v>-5.786782E-2</v>
      </c>
      <c r="R3242">
        <v>6.1948980000000001E-2</v>
      </c>
      <c r="S3242">
        <v>3.0200809999999998</v>
      </c>
      <c r="T3242">
        <v>-0.2061356</v>
      </c>
      <c r="U3242">
        <v>-0.33842470000000002</v>
      </c>
      <c r="V3242">
        <v>-3.2900489999999998E-2</v>
      </c>
      <c r="W3242">
        <v>-5.0974699999999998E-2</v>
      </c>
      <c r="X3242">
        <v>0.99815790000000004</v>
      </c>
      <c r="Y3242">
        <v>0.1398858</v>
      </c>
      <c r="Z3242">
        <v>-7.0198630000000003E-3</v>
      </c>
      <c r="AA3242">
        <v>0.99014279999999999</v>
      </c>
      <c r="AB3242">
        <v>53</v>
      </c>
      <c r="AC3242">
        <v>0.33730000000002702</v>
      </c>
      <c r="AD3242">
        <v>-5.9773E-2</v>
      </c>
      <c r="AE3242">
        <v>-0.11420000000001</v>
      </c>
      <c r="AF3242">
        <v>0.120590319545874</v>
      </c>
      <c r="AG3242">
        <v>-5.9773E-2</v>
      </c>
      <c r="AH3242">
        <v>0.32467877064096101</v>
      </c>
      <c r="AI3242">
        <v>99.791641211576106</v>
      </c>
      <c r="AJ3242">
        <v>69.624286261912701</v>
      </c>
      <c r="AK3242">
        <v>0.35146997140879899</v>
      </c>
      <c r="AL3242">
        <v>92.921901411372502</v>
      </c>
      <c r="AM3242">
        <v>91.887854613877806</v>
      </c>
      <c r="AN3242">
        <v>1.00000002780736</v>
      </c>
    </row>
    <row r="3243" spans="1:40" x14ac:dyDescent="0.25">
      <c r="A3243" t="str">
        <f>"20190305135257683"</f>
        <v>20190305135257683</v>
      </c>
      <c r="B3243" t="str">
        <f>"1551765177672586"</f>
        <v>1551765177672586</v>
      </c>
      <c r="C3243" t="s">
        <v>40</v>
      </c>
      <c r="D3243">
        <v>4.5367519999999999</v>
      </c>
      <c r="E3243">
        <v>0.56559399999999904</v>
      </c>
      <c r="F3243" t="s">
        <v>56</v>
      </c>
      <c r="G3243">
        <v>-342.44130000000001</v>
      </c>
      <c r="H3243" s="1">
        <v>-2.376299E-7</v>
      </c>
      <c r="I3243">
        <v>213.381</v>
      </c>
      <c r="J3243">
        <v>-359.17250000000001</v>
      </c>
      <c r="K3243">
        <v>1.107051</v>
      </c>
      <c r="L3243">
        <v>215.33969999999999</v>
      </c>
      <c r="M3243">
        <v>0.9995655</v>
      </c>
      <c r="N3243">
        <v>-6.9019839999999999E-3</v>
      </c>
      <c r="O3243">
        <v>2.865842E-2</v>
      </c>
      <c r="P3243">
        <v>0.99642770000000003</v>
      </c>
      <c r="Q3243">
        <v>-5.7716650000000001E-2</v>
      </c>
      <c r="R3243">
        <v>6.165085E-2</v>
      </c>
      <c r="S3243">
        <v>3.020721</v>
      </c>
      <c r="T3243">
        <v>-0.1939282</v>
      </c>
      <c r="U3243">
        <v>-0.34048460000000003</v>
      </c>
      <c r="V3243">
        <v>-3.311592E-2</v>
      </c>
      <c r="W3243">
        <v>-5.0798000000000003E-2</v>
      </c>
      <c r="X3243">
        <v>0.99815980000000004</v>
      </c>
      <c r="Y3243">
        <v>0.14007739999999999</v>
      </c>
      <c r="Z3243">
        <v>-6.5989480000000003E-3</v>
      </c>
      <c r="AA3243">
        <v>0.99011859999999996</v>
      </c>
      <c r="AB3243">
        <v>53</v>
      </c>
      <c r="AC3243">
        <v>16.731200000000001</v>
      </c>
      <c r="AD3243">
        <v>-1.10705123762989</v>
      </c>
      <c r="AE3243">
        <v>-1.9587000000000201</v>
      </c>
      <c r="AF3243">
        <v>2.42691507912031</v>
      </c>
      <c r="AG3243">
        <v>-1.10705123762989</v>
      </c>
      <c r="AH3243">
        <v>16.596514863405201</v>
      </c>
      <c r="AI3243">
        <v>93.776153390493107</v>
      </c>
      <c r="AJ3243">
        <v>81.680579568598802</v>
      </c>
      <c r="AK3243">
        <v>16.809514712067902</v>
      </c>
      <c r="AL3243">
        <v>92.911764067864496</v>
      </c>
      <c r="AM3243">
        <v>91.9002035003533</v>
      </c>
      <c r="AN3243">
        <v>1.00000004364874</v>
      </c>
    </row>
    <row r="3244" spans="1:40" x14ac:dyDescent="0.25">
      <c r="A3244" t="str">
        <f>"20190305135257704"</f>
        <v>20190305135257704</v>
      </c>
      <c r="B3244" t="str">
        <f>"1551765177693081"</f>
        <v>1551765177693081</v>
      </c>
      <c r="C3244" t="s">
        <v>40</v>
      </c>
      <c r="D3244">
        <v>4.5469339999999896</v>
      </c>
      <c r="E3244">
        <v>0.56529859999999998</v>
      </c>
      <c r="F3244" t="s">
        <v>56</v>
      </c>
      <c r="G3244">
        <v>-341.63630000000001</v>
      </c>
      <c r="H3244" s="1">
        <v>-6.6604969999999898E-7</v>
      </c>
      <c r="I3244">
        <v>213.37530000000001</v>
      </c>
      <c r="J3244">
        <v>-358.66809999999998</v>
      </c>
      <c r="K3244">
        <v>1.1069530000000001</v>
      </c>
      <c r="L3244">
        <v>215.35390000000001</v>
      </c>
      <c r="M3244">
        <v>0.99958119999999995</v>
      </c>
      <c r="N3244">
        <v>-6.9188699999999997E-3</v>
      </c>
      <c r="O3244">
        <v>2.8099909999999999E-2</v>
      </c>
      <c r="P3244">
        <v>0.99648630000000005</v>
      </c>
      <c r="Q3244">
        <v>-5.7857890000000002E-2</v>
      </c>
      <c r="R3244">
        <v>6.0562320000000003E-2</v>
      </c>
      <c r="S3244">
        <v>3.0206599999999999</v>
      </c>
      <c r="T3244">
        <v>-0.19069230000000001</v>
      </c>
      <c r="U3244">
        <v>-0.33836359999999999</v>
      </c>
      <c r="V3244">
        <v>-3.2595489999999998E-2</v>
      </c>
      <c r="W3244">
        <v>-5.0915299999999997E-2</v>
      </c>
      <c r="X3244">
        <v>0.99817089999999997</v>
      </c>
      <c r="Y3244">
        <v>0.1388549</v>
      </c>
      <c r="Z3244">
        <v>-6.4209150000000001E-3</v>
      </c>
      <c r="AA3244">
        <v>0.99029199999999995</v>
      </c>
      <c r="AB3244">
        <v>53</v>
      </c>
      <c r="AC3244">
        <v>17.031799999999901</v>
      </c>
      <c r="AD3244">
        <v>-1.1069536660496999</v>
      </c>
      <c r="AE3244">
        <v>-1.9785999999999999</v>
      </c>
      <c r="AF3244">
        <v>2.44622654817038</v>
      </c>
      <c r="AG3244">
        <v>-1.1069536660496999</v>
      </c>
      <c r="AH3244">
        <v>16.899041057111301</v>
      </c>
      <c r="AI3244">
        <v>93.709194482210094</v>
      </c>
      <c r="AJ3244">
        <v>81.763342194713601</v>
      </c>
      <c r="AK3244">
        <v>17.111018654472002</v>
      </c>
      <c r="AL3244">
        <v>92.918493728394296</v>
      </c>
      <c r="AM3244">
        <v>91.870341633397103</v>
      </c>
      <c r="AN3244">
        <v>0.99999998967462</v>
      </c>
    </row>
    <row r="3245" spans="1:40" x14ac:dyDescent="0.25">
      <c r="A3245" t="str">
        <f>"20190305135257728"</f>
        <v>20190305135257728</v>
      </c>
      <c r="B3245" t="str">
        <f>"1551765177723338"</f>
        <v>1551765177723338</v>
      </c>
      <c r="C3245" t="s">
        <v>40</v>
      </c>
      <c r="D3245">
        <v>4.5668389999999999</v>
      </c>
      <c r="E3245">
        <v>0.56486419999999904</v>
      </c>
      <c r="F3245" t="s">
        <v>56</v>
      </c>
      <c r="G3245">
        <v>-340.9228</v>
      </c>
      <c r="H3245" s="1">
        <v>-1.045747E-6</v>
      </c>
      <c r="I3245">
        <v>213.3604</v>
      </c>
      <c r="J3245">
        <v>-358.12240000000003</v>
      </c>
      <c r="K3245">
        <v>1.1068480000000001</v>
      </c>
      <c r="L3245">
        <v>215.369</v>
      </c>
      <c r="M3245">
        <v>0.99959969999999998</v>
      </c>
      <c r="N3245">
        <v>-6.9374950000000001E-3</v>
      </c>
      <c r="O3245">
        <v>2.742795E-2</v>
      </c>
      <c r="P3245">
        <v>0.99652379999999996</v>
      </c>
      <c r="Q3245">
        <v>-5.7933289999999998E-2</v>
      </c>
      <c r="R3245">
        <v>5.9865460000000002E-2</v>
      </c>
      <c r="S3245">
        <v>3.0202640000000001</v>
      </c>
      <c r="T3245">
        <v>-0.1884043</v>
      </c>
      <c r="U3245">
        <v>-0.3392944</v>
      </c>
      <c r="V3245">
        <v>-3.258113E-2</v>
      </c>
      <c r="W3245">
        <v>-5.0964370000000002E-2</v>
      </c>
      <c r="X3245">
        <v>0.99816890000000003</v>
      </c>
      <c r="Y3245">
        <v>0.13851469999999999</v>
      </c>
      <c r="Z3245">
        <v>-6.300066E-3</v>
      </c>
      <c r="AA3245">
        <v>0.99034040000000001</v>
      </c>
      <c r="AB3245">
        <v>53</v>
      </c>
      <c r="AC3245">
        <v>17.1996</v>
      </c>
      <c r="AD3245">
        <v>-1.1068490457469999</v>
      </c>
      <c r="AE3245">
        <v>-2.0086000000000199</v>
      </c>
      <c r="AF3245">
        <v>2.46951593391042</v>
      </c>
      <c r="AG3245">
        <v>-1.1068490457469999</v>
      </c>
      <c r="AH3245">
        <v>17.068301327397599</v>
      </c>
      <c r="AI3245">
        <v>93.6722036005565</v>
      </c>
      <c r="AJ3245">
        <v>81.767327052354304</v>
      </c>
      <c r="AK3245">
        <v>17.281508439969901</v>
      </c>
      <c r="AL3245">
        <v>92.921308783937704</v>
      </c>
      <c r="AM3245">
        <v>91.869521979213204</v>
      </c>
      <c r="AN3245">
        <v>1.0000000249843899</v>
      </c>
    </row>
    <row r="3246" spans="1:40" x14ac:dyDescent="0.25">
      <c r="A3246" t="str">
        <f>"20190305135257762"</f>
        <v>20190305135257762</v>
      </c>
      <c r="B3246" t="str">
        <f>"1551765177752621"</f>
        <v>1551765177752621</v>
      </c>
      <c r="C3246" t="s">
        <v>40</v>
      </c>
      <c r="D3246">
        <v>5.3594989999999996</v>
      </c>
      <c r="E3246">
        <v>0.56461340000000004</v>
      </c>
      <c r="F3246" t="s">
        <v>56</v>
      </c>
      <c r="G3246">
        <v>-340.2226</v>
      </c>
      <c r="H3246" s="1">
        <v>-1.4183480000000001E-6</v>
      </c>
      <c r="I3246">
        <v>213.36590000000001</v>
      </c>
      <c r="J3246">
        <v>-357.29169999999999</v>
      </c>
      <c r="K3246">
        <v>1.1067009999999999</v>
      </c>
      <c r="L3246">
        <v>215.3912</v>
      </c>
      <c r="M3246">
        <v>0.99963000000000002</v>
      </c>
      <c r="N3246">
        <v>-6.9652150000000003E-3</v>
      </c>
      <c r="O3246">
        <v>2.629635E-2</v>
      </c>
      <c r="P3246">
        <v>0.99655870000000002</v>
      </c>
      <c r="Q3246">
        <v>-5.8917669999999998E-2</v>
      </c>
      <c r="R3246">
        <v>5.8308140000000001E-2</v>
      </c>
      <c r="S3246">
        <v>3.0198969999999998</v>
      </c>
      <c r="T3246">
        <v>-0.1867375</v>
      </c>
      <c r="U3246">
        <v>-0.33793640000000003</v>
      </c>
      <c r="V3246">
        <v>-3.2171659999999998E-2</v>
      </c>
      <c r="W3246">
        <v>-5.1910940000000003E-2</v>
      </c>
      <c r="X3246">
        <v>0.99813339999999995</v>
      </c>
      <c r="Y3246">
        <v>0.1369774</v>
      </c>
      <c r="Z3246">
        <v>-6.1344399999999997E-3</v>
      </c>
      <c r="AA3246">
        <v>0.99055519999999997</v>
      </c>
      <c r="AB3246">
        <v>54</v>
      </c>
      <c r="AC3246">
        <v>17.069099999999899</v>
      </c>
      <c r="AD3246">
        <v>-1.1067024183480001</v>
      </c>
      <c r="AE3246">
        <v>-2.0252999999999801</v>
      </c>
      <c r="AF3246">
        <v>2.4632542506635402</v>
      </c>
      <c r="AG3246">
        <v>-1.1067024183480001</v>
      </c>
      <c r="AH3246">
        <v>16.939715492808201</v>
      </c>
      <c r="AI3246">
        <v>93.699130753300395</v>
      </c>
      <c r="AJ3246">
        <v>81.726440229329398</v>
      </c>
      <c r="AK3246">
        <v>17.1536110694943</v>
      </c>
      <c r="AL3246">
        <v>92.975615147495304</v>
      </c>
      <c r="AM3246">
        <v>91.846108352324094</v>
      </c>
      <c r="AN3246">
        <v>1.0000000227971899</v>
      </c>
    </row>
    <row r="3247" spans="1:40" x14ac:dyDescent="0.25">
      <c r="A3247" t="str">
        <f>"20190305135257784"</f>
        <v>20190305135257784</v>
      </c>
      <c r="B3247" t="str">
        <f>"1551765177773113"</f>
        <v>1551765177773113</v>
      </c>
      <c r="C3247" t="s">
        <v>40</v>
      </c>
      <c r="D3247">
        <v>4.5763610000000003</v>
      </c>
      <c r="E3247">
        <v>0.5645268</v>
      </c>
      <c r="F3247" t="s">
        <v>56</v>
      </c>
      <c r="G3247">
        <v>-339.41609999999997</v>
      </c>
      <c r="H3247" s="1">
        <v>3.5282459999999999E-6</v>
      </c>
      <c r="I3247">
        <v>213.3751</v>
      </c>
      <c r="J3247">
        <v>-356.7475</v>
      </c>
      <c r="K3247">
        <v>1.1066100000000001</v>
      </c>
      <c r="L3247">
        <v>215.40530000000001</v>
      </c>
      <c r="M3247">
        <v>0.9996505</v>
      </c>
      <c r="N3247">
        <v>-6.9831590000000001E-3</v>
      </c>
      <c r="O3247">
        <v>2.549887E-2</v>
      </c>
      <c r="P3247">
        <v>0.996583</v>
      </c>
      <c r="Q3247">
        <v>-5.9294069999999997E-2</v>
      </c>
      <c r="R3247">
        <v>5.7505430000000003E-2</v>
      </c>
      <c r="S3247">
        <v>3.019196</v>
      </c>
      <c r="T3247">
        <v>-0.186921</v>
      </c>
      <c r="U3247">
        <v>-0.34051510000000001</v>
      </c>
      <c r="V3247">
        <v>-3.2175820000000001E-2</v>
      </c>
      <c r="W3247">
        <v>-5.2262959999999997E-2</v>
      </c>
      <c r="X3247">
        <v>0.99811490000000003</v>
      </c>
      <c r="Y3247">
        <v>0.13704849999999999</v>
      </c>
      <c r="Z3247">
        <v>-6.1008290000000003E-3</v>
      </c>
      <c r="AA3247">
        <v>0.99054560000000003</v>
      </c>
      <c r="AB3247">
        <v>54</v>
      </c>
      <c r="AC3247">
        <v>17.331399999999999</v>
      </c>
      <c r="AD3247">
        <v>-1.1066064717540001</v>
      </c>
      <c r="AE3247">
        <v>-2.0301999999999998</v>
      </c>
      <c r="AF3247">
        <v>2.4615821914957801</v>
      </c>
      <c r="AG3247">
        <v>-1.1066064717540001</v>
      </c>
      <c r="AH3247">
        <v>17.204804295872499</v>
      </c>
      <c r="AI3247">
        <v>93.643174844488797</v>
      </c>
      <c r="AJ3247">
        <v>81.857649650757594</v>
      </c>
      <c r="AK3247">
        <v>17.415201854359601</v>
      </c>
      <c r="AL3247">
        <v>92.995811810774597</v>
      </c>
      <c r="AM3247">
        <v>91.846381098888202</v>
      </c>
      <c r="AN3247">
        <v>1.0000000269913201</v>
      </c>
    </row>
    <row r="3248" spans="1:40" x14ac:dyDescent="0.25">
      <c r="A3248" t="str">
        <f>"20190305135257805"</f>
        <v>20190305135257805</v>
      </c>
      <c r="B3248" t="str">
        <f>"1551765177803370"</f>
        <v>1551765177803370</v>
      </c>
      <c r="C3248" t="s">
        <v>40</v>
      </c>
      <c r="D3248">
        <v>5.4800930000000001</v>
      </c>
      <c r="E3248">
        <v>0.56439079999999997</v>
      </c>
      <c r="F3248" t="s">
        <v>56</v>
      </c>
      <c r="G3248">
        <v>-338.81889999999999</v>
      </c>
      <c r="H3248" s="1">
        <v>3.2105169999999998E-6</v>
      </c>
      <c r="I3248">
        <v>213.3734</v>
      </c>
      <c r="J3248">
        <v>-356.2509</v>
      </c>
      <c r="K3248">
        <v>1.1065259999999999</v>
      </c>
      <c r="L3248">
        <v>215.4177</v>
      </c>
      <c r="M3248">
        <v>0.99966960000000005</v>
      </c>
      <c r="N3248">
        <v>-6.999468E-3</v>
      </c>
      <c r="O3248">
        <v>2.4731779999999998E-2</v>
      </c>
      <c r="P3248">
        <v>0.99659379999999997</v>
      </c>
      <c r="Q3248">
        <v>-5.9158080000000002E-2</v>
      </c>
      <c r="R3248">
        <v>5.7456680000000003E-2</v>
      </c>
      <c r="S3248">
        <v>3.0189819999999998</v>
      </c>
      <c r="T3248">
        <v>-0.1863406</v>
      </c>
      <c r="U3248">
        <v>-0.3421478</v>
      </c>
      <c r="V3248">
        <v>-3.2901899999999998E-2</v>
      </c>
      <c r="W3248">
        <v>-5.2103459999999997E-2</v>
      </c>
      <c r="X3248">
        <v>0.99809959999999998</v>
      </c>
      <c r="Y3248">
        <v>0.13682859999999999</v>
      </c>
      <c r="Z3248">
        <v>-6.0344589999999998E-3</v>
      </c>
      <c r="AA3248">
        <v>0.99057640000000002</v>
      </c>
      <c r="AB3248">
        <v>54</v>
      </c>
      <c r="AC3248">
        <v>17.431999999999999</v>
      </c>
      <c r="AD3248">
        <v>-1.1065227894830001</v>
      </c>
      <c r="AE3248">
        <v>-2.04429999999999</v>
      </c>
      <c r="AF3248">
        <v>2.4650121686100199</v>
      </c>
      <c r="AG3248">
        <v>-1.1065227894830001</v>
      </c>
      <c r="AH3248">
        <v>17.307317486631899</v>
      </c>
      <c r="AI3248">
        <v>93.621708449346201</v>
      </c>
      <c r="AJ3248">
        <v>81.894107172537304</v>
      </c>
      <c r="AK3248">
        <v>17.516960816823101</v>
      </c>
      <c r="AL3248">
        <v>92.986660571680304</v>
      </c>
      <c r="AM3248">
        <v>91.888045658573901</v>
      </c>
      <c r="AN3248">
        <v>1.00000005854386</v>
      </c>
    </row>
    <row r="3249" spans="1:40" x14ac:dyDescent="0.25">
      <c r="A3249" t="str">
        <f>"20190305135257828"</f>
        <v>20190305135257828</v>
      </c>
      <c r="B3249" t="str">
        <f>"1551765177822891"</f>
        <v>1551765177822891</v>
      </c>
      <c r="C3249" t="s">
        <v>40</v>
      </c>
      <c r="D3249">
        <v>4.5850900000000001</v>
      </c>
      <c r="E3249">
        <v>0.56412530000000005</v>
      </c>
      <c r="F3249" t="s">
        <v>56</v>
      </c>
      <c r="G3249">
        <v>-338.07199999999898</v>
      </c>
      <c r="H3249" s="1">
        <v>2.8134640000000001E-6</v>
      </c>
      <c r="I3249">
        <v>213.36420000000001</v>
      </c>
      <c r="J3249">
        <v>-355.69749999999999</v>
      </c>
      <c r="K3249">
        <v>1.1064430000000001</v>
      </c>
      <c r="L3249">
        <v>215.43109999999999</v>
      </c>
      <c r="M3249">
        <v>0.99969140000000001</v>
      </c>
      <c r="N3249">
        <v>-7.0177310000000001E-3</v>
      </c>
      <c r="O3249">
        <v>2.3833090000000001E-2</v>
      </c>
      <c r="P3249">
        <v>0.9965311</v>
      </c>
      <c r="Q3249">
        <v>-5.9624339999999998E-2</v>
      </c>
      <c r="R3249">
        <v>5.8061479999999999E-2</v>
      </c>
      <c r="S3249">
        <v>3.0189819999999998</v>
      </c>
      <c r="T3249">
        <v>-0.18376120000000001</v>
      </c>
      <c r="U3249">
        <v>-0.3410339</v>
      </c>
      <c r="V3249">
        <v>-3.4415960000000002E-2</v>
      </c>
      <c r="W3249">
        <v>-5.2542060000000002E-2</v>
      </c>
      <c r="X3249">
        <v>0.99802550000000001</v>
      </c>
      <c r="Y3249">
        <v>0.1355895</v>
      </c>
      <c r="Z3249">
        <v>-5.8660869999999999E-3</v>
      </c>
      <c r="AA3249">
        <v>0.99074770000000001</v>
      </c>
      <c r="AB3249">
        <v>54</v>
      </c>
      <c r="AC3249">
        <v>17.625499999999999</v>
      </c>
      <c r="AD3249">
        <v>-1.1064401865360001</v>
      </c>
      <c r="AE3249">
        <v>-2.0668999999999702</v>
      </c>
      <c r="AF3249">
        <v>2.4767655269494702</v>
      </c>
      <c r="AG3249">
        <v>-1.1064401865360001</v>
      </c>
      <c r="AH3249">
        <v>17.503192319392699</v>
      </c>
      <c r="AI3249">
        <v>93.581476516896899</v>
      </c>
      <c r="AJ3249">
        <v>81.945910678533807</v>
      </c>
      <c r="AK3249">
        <v>17.712151725059101</v>
      </c>
      <c r="AL3249">
        <v>93.011825107604494</v>
      </c>
      <c r="AM3249">
        <v>91.975007842297501</v>
      </c>
      <c r="AN3249">
        <v>1.000000012511</v>
      </c>
    </row>
    <row r="3250" spans="1:40" x14ac:dyDescent="0.25">
      <c r="A3250" t="str">
        <f>"20190305135257851"</f>
        <v>20190305135257851</v>
      </c>
      <c r="B3250" t="str">
        <f>"1551765177843385"</f>
        <v>1551765177843385</v>
      </c>
      <c r="C3250" t="s">
        <v>40</v>
      </c>
      <c r="D3250">
        <v>4.7308529999999998</v>
      </c>
      <c r="E3250">
        <v>0.48735309999999998</v>
      </c>
      <c r="F3250" t="s">
        <v>56</v>
      </c>
      <c r="G3250">
        <v>-337.05630000000002</v>
      </c>
      <c r="H3250" s="1">
        <v>2.2735770000000001E-6</v>
      </c>
      <c r="I3250">
        <v>213.3502</v>
      </c>
      <c r="J3250">
        <v>-355.12119999999999</v>
      </c>
      <c r="K3250">
        <v>1.1063620000000001</v>
      </c>
      <c r="L3250">
        <v>215.44450000000001</v>
      </c>
      <c r="M3250">
        <v>0.99971399999999999</v>
      </c>
      <c r="N3250">
        <v>-7.0368380000000001E-3</v>
      </c>
      <c r="O3250">
        <v>2.2854559999999999E-2</v>
      </c>
      <c r="P3250">
        <v>0.99642030000000004</v>
      </c>
      <c r="Q3250">
        <v>-6.0016600000000003E-2</v>
      </c>
      <c r="R3250">
        <v>5.9537880000000001E-2</v>
      </c>
      <c r="S3250">
        <v>3.0193789999999998</v>
      </c>
      <c r="T3250">
        <v>-0.1792144</v>
      </c>
      <c r="U3250">
        <v>-0.3370514</v>
      </c>
      <c r="V3250">
        <v>-3.6882180000000001E-2</v>
      </c>
      <c r="W3250">
        <v>-5.2902959999999999E-2</v>
      </c>
      <c r="X3250">
        <v>0.99791830000000004</v>
      </c>
      <c r="Y3250">
        <v>0.1333348</v>
      </c>
      <c r="Z3250">
        <v>-5.6037040000000002E-3</v>
      </c>
      <c r="AA3250">
        <v>0.99105520000000003</v>
      </c>
      <c r="AB3250">
        <v>54</v>
      </c>
      <c r="AC3250">
        <v>18.064899999999898</v>
      </c>
      <c r="AD3250">
        <v>-1.1063597264229901</v>
      </c>
      <c r="AE3250">
        <v>-2.0943000000000001</v>
      </c>
      <c r="AF3250">
        <v>2.4973856032937398</v>
      </c>
      <c r="AG3250">
        <v>-1.1063597264229901</v>
      </c>
      <c r="AH3250">
        <v>17.945897296193799</v>
      </c>
      <c r="AI3250">
        <v>93.494216810492802</v>
      </c>
      <c r="AJ3250">
        <v>82.077490143935904</v>
      </c>
      <c r="AK3250">
        <v>18.152580986221398</v>
      </c>
      <c r="AL3250">
        <v>93.032532064385904</v>
      </c>
      <c r="AM3250">
        <v>92.116638055815898</v>
      </c>
      <c r="AN3250">
        <v>0.99999997592660095</v>
      </c>
    </row>
    <row r="3251" spans="1:40" x14ac:dyDescent="0.25">
      <c r="A3251" t="str">
        <f>"20190305135257872"</f>
        <v>20190305135257872</v>
      </c>
      <c r="B3251" t="str">
        <f>"1551765177862906"</f>
        <v>1551765177862906</v>
      </c>
      <c r="C3251" t="s">
        <v>40</v>
      </c>
      <c r="D3251">
        <v>4.5487869999999999</v>
      </c>
      <c r="E3251">
        <v>0.46236529999999998</v>
      </c>
      <c r="F3251" t="s">
        <v>56</v>
      </c>
      <c r="G3251">
        <v>-331.04599999999999</v>
      </c>
      <c r="H3251" s="1">
        <v>-1.1156650000000001E-6</v>
      </c>
      <c r="I3251">
        <v>217.7157</v>
      </c>
      <c r="J3251">
        <v>-354.5967</v>
      </c>
      <c r="K3251">
        <v>1.1062860000000001</v>
      </c>
      <c r="L3251">
        <v>215.4563</v>
      </c>
      <c r="M3251">
        <v>0.99973449999999997</v>
      </c>
      <c r="N3251">
        <v>-7.0540259999999997E-3</v>
      </c>
      <c r="O3251">
        <v>2.193324E-2</v>
      </c>
      <c r="P3251">
        <v>0.99627319999999997</v>
      </c>
      <c r="Q3251">
        <v>-6.0136769999999999E-2</v>
      </c>
      <c r="R3251">
        <v>6.1831839999999999E-2</v>
      </c>
      <c r="S3251">
        <v>2.985687</v>
      </c>
      <c r="T3251">
        <v>-0.13720550000000001</v>
      </c>
      <c r="U3251">
        <v>0.28166200000000002</v>
      </c>
      <c r="V3251">
        <v>-4.0107549999999999E-2</v>
      </c>
      <c r="W3251">
        <v>-5.2991870000000003E-2</v>
      </c>
      <c r="X3251">
        <v>0.99778920000000004</v>
      </c>
      <c r="Y3251">
        <v>-7.1990490000000004E-2</v>
      </c>
      <c r="Z3251">
        <v>1.05375E-3</v>
      </c>
      <c r="AA3251">
        <v>0.99740479999999998</v>
      </c>
      <c r="AB3251">
        <v>54</v>
      </c>
      <c r="AC3251">
        <v>23.550699999999999</v>
      </c>
      <c r="AD3251">
        <v>-1.106287115665</v>
      </c>
      <c r="AE3251">
        <v>2.2593999999999901</v>
      </c>
      <c r="AF3251">
        <v>-1.7384991872762501</v>
      </c>
      <c r="AG3251">
        <v>-1.106287115665</v>
      </c>
      <c r="AH3251">
        <v>23.543114528383501</v>
      </c>
      <c r="AI3251">
        <v>92.683045957644197</v>
      </c>
      <c r="AJ3251">
        <v>94.223239311276302</v>
      </c>
      <c r="AK3251">
        <v>23.6331227793331</v>
      </c>
      <c r="AL3251">
        <v>93.037633251615006</v>
      </c>
      <c r="AM3251">
        <v>92.301845798418498</v>
      </c>
      <c r="AN3251">
        <v>1.0000000207448601</v>
      </c>
    </row>
    <row r="3252" spans="1:40" x14ac:dyDescent="0.25">
      <c r="A3252" t="str">
        <f>"20190305135257895"</f>
        <v>20190305135257895</v>
      </c>
      <c r="B3252" t="str">
        <f>"1551765177882431"</f>
        <v>1551765177882431</v>
      </c>
      <c r="C3252" t="s">
        <v>40</v>
      </c>
      <c r="D3252">
        <v>4.4439890000000002</v>
      </c>
      <c r="E3252">
        <v>0.4559531</v>
      </c>
      <c r="F3252" t="s">
        <v>66</v>
      </c>
      <c r="G3252">
        <v>-317.12509999999997</v>
      </c>
      <c r="H3252">
        <v>7.9999580000000001E-2</v>
      </c>
      <c r="I3252">
        <v>221.63339999999999</v>
      </c>
      <c r="J3252">
        <v>-354.07530000000003</v>
      </c>
      <c r="K3252">
        <v>1.106223</v>
      </c>
      <c r="L3252">
        <v>215.4674</v>
      </c>
      <c r="M3252">
        <v>0.9997547</v>
      </c>
      <c r="N3252">
        <v>-7.0712029999999999E-3</v>
      </c>
      <c r="O3252">
        <v>2.0989130000000002E-2</v>
      </c>
      <c r="P3252">
        <v>0.99615109999999996</v>
      </c>
      <c r="Q3252">
        <v>-5.9358429999999997E-2</v>
      </c>
      <c r="R3252">
        <v>6.449473E-2</v>
      </c>
      <c r="S3252">
        <v>2.9758909999999998</v>
      </c>
      <c r="T3252">
        <v>-8.1504699999999999E-2</v>
      </c>
      <c r="U3252">
        <v>0.49057010000000001</v>
      </c>
      <c r="V3252">
        <v>-4.3720820000000001E-2</v>
      </c>
      <c r="W3252">
        <v>-5.2180360000000002E-2</v>
      </c>
      <c r="X3252">
        <v>0.99768020000000002</v>
      </c>
      <c r="Y3252">
        <v>-0.14184569999999999</v>
      </c>
      <c r="Z3252">
        <v>2.0109339999999998E-3</v>
      </c>
      <c r="AA3252">
        <v>0.98988679999999996</v>
      </c>
      <c r="AB3252">
        <v>54</v>
      </c>
      <c r="AC3252">
        <v>36.950200000000002</v>
      </c>
      <c r="AD3252">
        <v>-1.02622342</v>
      </c>
      <c r="AE3252">
        <v>6.1659999999999897</v>
      </c>
      <c r="AF3252">
        <v>-5.3850284511378002</v>
      </c>
      <c r="AG3252">
        <v>-1.02622342</v>
      </c>
      <c r="AH3252">
        <v>37.043682379185498</v>
      </c>
      <c r="AI3252">
        <v>91.570365043420793</v>
      </c>
      <c r="AJ3252">
        <v>98.271131379715399</v>
      </c>
      <c r="AK3252">
        <v>37.4471103042317</v>
      </c>
      <c r="AL3252">
        <v>92.991072671845799</v>
      </c>
      <c r="AM3252">
        <v>92.509237683669298</v>
      </c>
      <c r="AN3252">
        <v>1.0000000407716201</v>
      </c>
    </row>
    <row r="3253" spans="1:40" x14ac:dyDescent="0.25">
      <c r="A3253" t="str">
        <f>"20190305135257917"</f>
        <v>20190305135257917</v>
      </c>
      <c r="B3253" t="str">
        <f>"1551765177912682"</f>
        <v>1551765177912682</v>
      </c>
      <c r="C3253" t="s">
        <v>40</v>
      </c>
      <c r="D3253">
        <v>4.6210279999999999</v>
      </c>
      <c r="E3253">
        <v>0.45513399999999998</v>
      </c>
      <c r="F3253" t="s">
        <v>66</v>
      </c>
      <c r="G3253">
        <v>-294.42970000000003</v>
      </c>
      <c r="H3253" s="1">
        <v>6.7081530000000002E-7</v>
      </c>
      <c r="I3253">
        <v>226.5249</v>
      </c>
      <c r="J3253">
        <v>-353.51609999999999</v>
      </c>
      <c r="K3253">
        <v>1.10616</v>
      </c>
      <c r="L3253">
        <v>215.47890000000001</v>
      </c>
      <c r="M3253">
        <v>0.99977590000000005</v>
      </c>
      <c r="N3253">
        <v>-7.0895069999999897E-3</v>
      </c>
      <c r="O3253">
        <v>1.9948919999999998E-2</v>
      </c>
      <c r="P3253">
        <v>0.9960696</v>
      </c>
      <c r="Q3253">
        <v>-5.9030499999999902E-2</v>
      </c>
      <c r="R3253">
        <v>6.6035090000000005E-2</v>
      </c>
      <c r="S3253">
        <v>2.9726560000000002</v>
      </c>
      <c r="T3253">
        <v>-5.5132630000000002E-2</v>
      </c>
      <c r="U3253">
        <v>0.55108639999999998</v>
      </c>
      <c r="V3253">
        <v>-4.6307609999999999E-2</v>
      </c>
      <c r="W3253">
        <v>-5.1820020000000001E-2</v>
      </c>
      <c r="X3253">
        <v>0.99758219999999997</v>
      </c>
      <c r="Y3253">
        <v>-0.1625915</v>
      </c>
      <c r="Z3253">
        <v>1.8498449999999999E-3</v>
      </c>
      <c r="AA3253">
        <v>0.98669169999999995</v>
      </c>
      <c r="AB3253">
        <v>54</v>
      </c>
      <c r="AC3253">
        <v>59.086399999999898</v>
      </c>
      <c r="AD3253">
        <v>-1.1061593291847001</v>
      </c>
      <c r="AE3253">
        <v>11.0459999999999</v>
      </c>
      <c r="AF3253">
        <v>-9.8617226957786404</v>
      </c>
      <c r="AG3253">
        <v>-1.1061593291847001</v>
      </c>
      <c r="AH3253">
        <v>59.274929540441399</v>
      </c>
      <c r="AI3253">
        <v>91.054608593110501</v>
      </c>
      <c r="AJ3253">
        <v>99.445926659485494</v>
      </c>
      <c r="AK3253">
        <v>60.099870507466697</v>
      </c>
      <c r="AL3253">
        <v>92.970398929257499</v>
      </c>
      <c r="AM3253">
        <v>92.657753259468507</v>
      </c>
      <c r="AN3253">
        <v>0.99999997748677505</v>
      </c>
    </row>
    <row r="3254" spans="1:40" x14ac:dyDescent="0.25">
      <c r="A3254" t="str">
        <f>"20190305135257940"</f>
        <v>20190305135257940</v>
      </c>
      <c r="B3254" t="str">
        <f>"1551765177933178"</f>
        <v>1551765177933178</v>
      </c>
      <c r="C3254" t="s">
        <v>40</v>
      </c>
      <c r="D3254">
        <v>4.4123559999999999</v>
      </c>
      <c r="E3254">
        <v>0.45539879999999999</v>
      </c>
      <c r="F3254" t="s">
        <v>66</v>
      </c>
      <c r="G3254">
        <v>-289.7482</v>
      </c>
      <c r="H3254">
        <v>7.9999689999999998E-2</v>
      </c>
      <c r="I3254">
        <v>227.5455</v>
      </c>
      <c r="J3254">
        <v>-352.94290000000001</v>
      </c>
      <c r="K3254">
        <v>1.106096</v>
      </c>
      <c r="L3254">
        <v>215.49</v>
      </c>
      <c r="M3254">
        <v>0.99979689999999999</v>
      </c>
      <c r="N3254">
        <v>-7.1082159999999997E-3</v>
      </c>
      <c r="O3254">
        <v>1.8858799999999998E-2</v>
      </c>
      <c r="P3254">
        <v>0.99599760000000004</v>
      </c>
      <c r="Q3254">
        <v>-5.887324E-2</v>
      </c>
      <c r="R3254">
        <v>6.7251899999999906E-2</v>
      </c>
      <c r="S3254">
        <v>2.9717410000000002</v>
      </c>
      <c r="T3254">
        <v>-4.7821639999999999E-2</v>
      </c>
      <c r="U3254">
        <v>0.56233219999999995</v>
      </c>
      <c r="V3254">
        <v>-4.8619780000000001E-2</v>
      </c>
      <c r="W3254">
        <v>-5.1630580000000002E-2</v>
      </c>
      <c r="X3254">
        <v>0.99748199999999998</v>
      </c>
      <c r="Y3254">
        <v>-0.16733390000000001</v>
      </c>
      <c r="Z3254">
        <v>1.7667620000000001E-3</v>
      </c>
      <c r="AA3254">
        <v>0.98589870000000002</v>
      </c>
      <c r="AB3254">
        <v>55</v>
      </c>
      <c r="AC3254">
        <v>63.194699999999997</v>
      </c>
      <c r="AD3254">
        <v>-1.02609631</v>
      </c>
      <c r="AE3254">
        <v>12.055499999999901</v>
      </c>
      <c r="AF3254">
        <v>-10.8587872931554</v>
      </c>
      <c r="AG3254">
        <v>-1.02609631</v>
      </c>
      <c r="AH3254">
        <v>63.394692071333601</v>
      </c>
      <c r="AI3254">
        <v>90.913990417299203</v>
      </c>
      <c r="AJ3254">
        <v>99.719786885786903</v>
      </c>
      <c r="AK3254">
        <v>64.326146456434003</v>
      </c>
      <c r="AL3254">
        <v>92.959530289193793</v>
      </c>
      <c r="AM3254">
        <v>92.790531767867904</v>
      </c>
      <c r="AN3254">
        <v>0.99999997006119201</v>
      </c>
    </row>
    <row r="3255" spans="1:40" x14ac:dyDescent="0.25">
      <c r="A3255" t="str">
        <f>"20190305135257962"</f>
        <v>20190305135257962</v>
      </c>
      <c r="B3255" t="str">
        <f>"1551765177952701"</f>
        <v>1551765177952701</v>
      </c>
      <c r="C3255" t="s">
        <v>40</v>
      </c>
      <c r="D3255">
        <v>4.4301500000000003</v>
      </c>
      <c r="E3255">
        <v>0.45558140000000003</v>
      </c>
      <c r="F3255" t="s">
        <v>75</v>
      </c>
      <c r="G3255">
        <v>-277.42189999999999</v>
      </c>
      <c r="H3255">
        <v>0.121645699999999</v>
      </c>
      <c r="I3255">
        <v>229.83</v>
      </c>
      <c r="J3255">
        <v>-352.41140000000001</v>
      </c>
      <c r="K3255">
        <v>1.1060399999999999</v>
      </c>
      <c r="L3255">
        <v>215.49979999999999</v>
      </c>
      <c r="M3255">
        <v>0.99981569999999997</v>
      </c>
      <c r="N3255">
        <v>-7.1255169999999996E-3</v>
      </c>
      <c r="O3255">
        <v>1.7830499999999999E-2</v>
      </c>
      <c r="P3255">
        <v>0.99595469999999997</v>
      </c>
      <c r="Q3255">
        <v>-5.9121100000000003E-2</v>
      </c>
      <c r="R3255">
        <v>6.7667190000000002E-2</v>
      </c>
      <c r="S3255">
        <v>2.9717099999999999</v>
      </c>
      <c r="T3255">
        <v>-3.8738130000000003E-2</v>
      </c>
      <c r="U3255">
        <v>0.56426999999999905</v>
      </c>
      <c r="V3255">
        <v>-5.0068429999999997E-2</v>
      </c>
      <c r="W3255">
        <v>-5.1851050000000003E-2</v>
      </c>
      <c r="X3255">
        <v>0.99739889999999998</v>
      </c>
      <c r="Y3255">
        <v>-0.1689785</v>
      </c>
      <c r="Z3255">
        <v>1.594706E-3</v>
      </c>
      <c r="AA3255">
        <v>0.98561849999999995</v>
      </c>
      <c r="AB3255">
        <v>55</v>
      </c>
      <c r="AC3255">
        <v>74.989500000000007</v>
      </c>
      <c r="AD3255">
        <v>-0.98439430000000006</v>
      </c>
      <c r="AE3255">
        <v>14.3302</v>
      </c>
      <c r="AF3255">
        <v>-12.9886282368842</v>
      </c>
      <c r="AG3255">
        <v>-0.98439430000000006</v>
      </c>
      <c r="AH3255">
        <v>75.220593574729904</v>
      </c>
      <c r="AI3255">
        <v>90.738841059422896</v>
      </c>
      <c r="AJ3255">
        <v>99.796875492579005</v>
      </c>
      <c r="AK3255">
        <v>76.340102130849601</v>
      </c>
      <c r="AL3255">
        <v>92.972179225831297</v>
      </c>
      <c r="AM3255">
        <v>92.873778689701894</v>
      </c>
      <c r="AN3255">
        <v>0.99999997239498795</v>
      </c>
    </row>
    <row r="3256" spans="1:40" x14ac:dyDescent="0.25">
      <c r="A3256" t="str">
        <f>"20190305135257986"</f>
        <v>20190305135257986</v>
      </c>
      <c r="B3256" t="str">
        <f>"1551765177973194"</f>
        <v>1551765177973194</v>
      </c>
      <c r="C3256" t="s">
        <v>40</v>
      </c>
      <c r="D3256">
        <v>4.4493150000000004</v>
      </c>
      <c r="E3256">
        <v>0.4556713</v>
      </c>
      <c r="F3256" t="s">
        <v>75</v>
      </c>
      <c r="G3256">
        <v>-276.9212</v>
      </c>
      <c r="H3256">
        <v>0.2329426</v>
      </c>
      <c r="I3256">
        <v>229.83</v>
      </c>
      <c r="J3256">
        <v>-351.84179999999998</v>
      </c>
      <c r="K3256">
        <v>1.105985</v>
      </c>
      <c r="L3256">
        <v>215.50970000000001</v>
      </c>
      <c r="M3256">
        <v>0.99983489999999997</v>
      </c>
      <c r="N3256">
        <v>-7.1439729999999996E-3</v>
      </c>
      <c r="O3256">
        <v>1.6714779999999999E-2</v>
      </c>
      <c r="P3256">
        <v>0.99596110000000004</v>
      </c>
      <c r="Q3256">
        <v>-5.951948E-2</v>
      </c>
      <c r="R3256">
        <v>6.7224889999999995E-2</v>
      </c>
      <c r="S3256">
        <v>2.9718019999999998</v>
      </c>
      <c r="T3256">
        <v>-3.437138E-2</v>
      </c>
      <c r="U3256">
        <v>0.56413269999999904</v>
      </c>
      <c r="V3256">
        <v>-5.0746109999999997E-2</v>
      </c>
      <c r="W3256">
        <v>-5.2223289999999999E-2</v>
      </c>
      <c r="X3256">
        <v>0.99734529999999999</v>
      </c>
      <c r="Y3256">
        <v>-0.17003219999999999</v>
      </c>
      <c r="Z3256">
        <v>1.5142000000000001E-3</v>
      </c>
      <c r="AA3256">
        <v>0.98543729999999996</v>
      </c>
      <c r="AB3256">
        <v>55</v>
      </c>
      <c r="AC3256">
        <v>74.920599999999894</v>
      </c>
      <c r="AD3256">
        <v>-0.8730424</v>
      </c>
      <c r="AE3256">
        <v>14.3203</v>
      </c>
      <c r="AF3256">
        <v>-13.064274707669</v>
      </c>
      <c r="AG3256">
        <v>-0.8730424</v>
      </c>
      <c r="AH3256">
        <v>75.139656082861507</v>
      </c>
      <c r="AI3256">
        <v>90.655847380033094</v>
      </c>
      <c r="AJ3256">
        <v>99.863222681559293</v>
      </c>
      <c r="AK3256">
        <v>76.271917459313599</v>
      </c>
      <c r="AL3256">
        <v>92.993535729443593</v>
      </c>
      <c r="AM3256">
        <v>92.912765234478897</v>
      </c>
      <c r="AN3256">
        <v>1.00000004356532</v>
      </c>
    </row>
    <row r="3257" spans="1:40" x14ac:dyDescent="0.25">
      <c r="A3257" t="str">
        <f>"20190305135258008"</f>
        <v>20190305135258008</v>
      </c>
      <c r="B3257" t="str">
        <f>"1551765178002474"</f>
        <v>1551765178002474</v>
      </c>
      <c r="C3257" t="s">
        <v>40</v>
      </c>
      <c r="D3257">
        <v>4.4625440000000003</v>
      </c>
      <c r="E3257">
        <v>0.45608480000000001</v>
      </c>
      <c r="F3257" t="s">
        <v>75</v>
      </c>
      <c r="G3257">
        <v>-276.18169999999998</v>
      </c>
      <c r="H3257">
        <v>0.24767700000000001</v>
      </c>
      <c r="I3257">
        <v>229.83</v>
      </c>
      <c r="J3257">
        <v>-351.30799999999999</v>
      </c>
      <c r="K3257">
        <v>1.1059429999999999</v>
      </c>
      <c r="L3257">
        <v>215.51840000000001</v>
      </c>
      <c r="M3257">
        <v>0.99985179999999996</v>
      </c>
      <c r="N3257">
        <v>-7.1674260000000002E-3</v>
      </c>
      <c r="O3257">
        <v>1.5660049999999998E-2</v>
      </c>
      <c r="P3257">
        <v>0.99598880000000001</v>
      </c>
      <c r="Q3257">
        <v>-5.9766920000000001E-2</v>
      </c>
      <c r="R3257">
        <v>6.6589129999999996E-2</v>
      </c>
      <c r="S3257">
        <v>2.9721679999999999</v>
      </c>
      <c r="T3257">
        <v>-3.371739E-2</v>
      </c>
      <c r="U3257">
        <v>0.56254579999999998</v>
      </c>
      <c r="V3257">
        <v>-5.1166879999999998E-2</v>
      </c>
      <c r="W3257">
        <v>-5.244128E-2</v>
      </c>
      <c r="X3257">
        <v>0.99731230000000004</v>
      </c>
      <c r="Y3257">
        <v>-0.170542</v>
      </c>
      <c r="Z3257">
        <v>1.510681E-3</v>
      </c>
      <c r="AA3257">
        <v>0.98534920000000004</v>
      </c>
      <c r="AB3257">
        <v>55</v>
      </c>
      <c r="AC3257">
        <v>75.126300000000001</v>
      </c>
      <c r="AD3257">
        <v>-0.85826599999999997</v>
      </c>
      <c r="AE3257">
        <v>14.3116</v>
      </c>
      <c r="AF3257">
        <v>-13.131679376492</v>
      </c>
      <c r="AG3257">
        <v>-0.85826599999999997</v>
      </c>
      <c r="AH3257">
        <v>75.331725589038001</v>
      </c>
      <c r="AI3257">
        <v>90.6430551930615</v>
      </c>
      <c r="AJ3257">
        <v>99.888329217015098</v>
      </c>
      <c r="AK3257">
        <v>76.472521234727594</v>
      </c>
      <c r="AL3257">
        <v>93.006042963430502</v>
      </c>
      <c r="AM3257">
        <v>92.936971822183295</v>
      </c>
      <c r="AN3257">
        <v>0.99999998059413098</v>
      </c>
    </row>
    <row r="3258" spans="1:40" x14ac:dyDescent="0.25">
      <c r="A3258" t="str">
        <f>"20190305135258029"</f>
        <v>20190305135258029</v>
      </c>
      <c r="B3258" t="str">
        <f>"1551765178022970"</f>
        <v>1551765178022970</v>
      </c>
      <c r="C3258" t="s">
        <v>40</v>
      </c>
      <c r="D3258">
        <v>4.4910589999999999</v>
      </c>
      <c r="E3258">
        <v>0.45594770000000001</v>
      </c>
      <c r="F3258" t="s">
        <v>75</v>
      </c>
      <c r="G3258">
        <v>-274.99900000000002</v>
      </c>
      <c r="H3258">
        <v>0.1848786</v>
      </c>
      <c r="I3258">
        <v>229.83</v>
      </c>
      <c r="J3258">
        <v>-350.75060000000002</v>
      </c>
      <c r="K3258">
        <v>1.1059019999999999</v>
      </c>
      <c r="L3258">
        <v>215.52680000000001</v>
      </c>
      <c r="M3258">
        <v>0.99986830000000004</v>
      </c>
      <c r="N3258">
        <v>-7.1994839999999999E-3</v>
      </c>
      <c r="O3258">
        <v>1.455268E-2</v>
      </c>
      <c r="P3258">
        <v>0.99606519999999998</v>
      </c>
      <c r="Q3258">
        <v>-5.9672709999999997E-2</v>
      </c>
      <c r="R3258">
        <v>6.5524440000000003E-2</v>
      </c>
      <c r="S3258">
        <v>2.972626</v>
      </c>
      <c r="T3258">
        <v>-3.5880450000000001E-2</v>
      </c>
      <c r="U3258">
        <v>0.55751039999999996</v>
      </c>
      <c r="V3258">
        <v>-5.1210029999999997E-2</v>
      </c>
      <c r="W3258">
        <v>-5.2310389999999998E-2</v>
      </c>
      <c r="X3258">
        <v>0.99731700000000001</v>
      </c>
      <c r="Y3258">
        <v>-0.169991899999999</v>
      </c>
      <c r="Z3258">
        <v>1.5641190000000001E-3</v>
      </c>
      <c r="AA3258">
        <v>0.98544419999999999</v>
      </c>
      <c r="AB3258">
        <v>55</v>
      </c>
      <c r="AC3258">
        <v>75.751599999999996</v>
      </c>
      <c r="AD3258">
        <v>-0.92102340000000005</v>
      </c>
      <c r="AE3258">
        <v>14.3032</v>
      </c>
      <c r="AF3258">
        <v>-13.1973842471939</v>
      </c>
      <c r="AG3258">
        <v>-0.92102340000000005</v>
      </c>
      <c r="AH3258">
        <v>75.940893310566295</v>
      </c>
      <c r="AI3258">
        <v>90.684598430854194</v>
      </c>
      <c r="AJ3258">
        <v>99.858682963560994</v>
      </c>
      <c r="AK3258">
        <v>77.084619165422595</v>
      </c>
      <c r="AL3258">
        <v>92.998533089028399</v>
      </c>
      <c r="AM3258">
        <v>92.939430456096801</v>
      </c>
      <c r="AN3258">
        <v>1.0000000212817699</v>
      </c>
    </row>
    <row r="3259" spans="1:40" x14ac:dyDescent="0.25">
      <c r="A3259" t="str">
        <f>"20190305135258053"</f>
        <v>20190305135258053</v>
      </c>
      <c r="B3259" t="str">
        <f>"1551765178042490"</f>
        <v>1551765178042490</v>
      </c>
      <c r="C3259" t="s">
        <v>40</v>
      </c>
      <c r="D3259">
        <v>4.4816050000000001</v>
      </c>
      <c r="E3259">
        <v>0.45593400000000001</v>
      </c>
      <c r="F3259" t="s">
        <v>60</v>
      </c>
      <c r="G3259">
        <v>-274.99669999999998</v>
      </c>
      <c r="H3259">
        <v>0.18820600000000001</v>
      </c>
      <c r="I3259">
        <v>229.68299999999999</v>
      </c>
      <c r="J3259">
        <v>-350.17939999999999</v>
      </c>
      <c r="K3259">
        <v>1.1058730000000001</v>
      </c>
      <c r="L3259">
        <v>215.53489999999999</v>
      </c>
      <c r="M3259">
        <v>0.99988379999999999</v>
      </c>
      <c r="N3259">
        <v>-7.2498889999999998E-3</v>
      </c>
      <c r="O3259">
        <v>1.341447E-2</v>
      </c>
      <c r="P3259">
        <v>0.99613359999999995</v>
      </c>
      <c r="Q3259">
        <v>-5.9497189999999998E-2</v>
      </c>
      <c r="R3259">
        <v>6.4639940000000007E-2</v>
      </c>
      <c r="S3259">
        <v>2.9731139999999998</v>
      </c>
      <c r="T3259">
        <v>-3.601563E-2</v>
      </c>
      <c r="U3259">
        <v>0.55558779999999997</v>
      </c>
      <c r="V3259">
        <v>-5.1462689999999998E-2</v>
      </c>
      <c r="W3259">
        <v>-5.2079500000000001E-2</v>
      </c>
      <c r="X3259">
        <v>0.99731610000000004</v>
      </c>
      <c r="Y3259">
        <v>-0.17046839999999999</v>
      </c>
      <c r="Z3259">
        <v>1.5823009999999999E-3</v>
      </c>
      <c r="AA3259">
        <v>0.98536190000000001</v>
      </c>
      <c r="AB3259">
        <v>55</v>
      </c>
      <c r="AC3259">
        <v>75.182699999999997</v>
      </c>
      <c r="AD3259">
        <v>-0.91766700000000001</v>
      </c>
      <c r="AE3259">
        <v>14.148099999999999</v>
      </c>
      <c r="AF3259">
        <v>-13.1363742465785</v>
      </c>
      <c r="AG3259">
        <v>-0.91766700000000001</v>
      </c>
      <c r="AH3259">
        <v>75.354886520682598</v>
      </c>
      <c r="AI3259">
        <v>90.6873448954493</v>
      </c>
      <c r="AJ3259">
        <v>99.888814401789105</v>
      </c>
      <c r="AK3259">
        <v>76.496832376341004</v>
      </c>
      <c r="AL3259">
        <v>92.985285944806904</v>
      </c>
      <c r="AM3259">
        <v>92.953910054768599</v>
      </c>
      <c r="AN3259">
        <v>1.0000000430507401</v>
      </c>
    </row>
    <row r="3260" spans="1:40" x14ac:dyDescent="0.25">
      <c r="A3260" t="str">
        <f>"20190305135258073"</f>
        <v>20190305135258073</v>
      </c>
      <c r="B3260" t="str">
        <f>"1551765178062986"</f>
        <v>1551765178062986</v>
      </c>
      <c r="C3260" t="s">
        <v>40</v>
      </c>
      <c r="D3260">
        <v>4.466647</v>
      </c>
      <c r="E3260">
        <v>0.45577590000000001</v>
      </c>
      <c r="F3260" t="s">
        <v>60</v>
      </c>
      <c r="G3260">
        <v>-274.99669999999998</v>
      </c>
      <c r="H3260">
        <v>0.21017530000000001</v>
      </c>
      <c r="I3260">
        <v>229.51820000000001</v>
      </c>
      <c r="J3260">
        <v>-349.67290000000003</v>
      </c>
      <c r="K3260">
        <v>1.1058619999999999</v>
      </c>
      <c r="L3260">
        <v>215.54140000000001</v>
      </c>
      <c r="M3260">
        <v>0.99989620000000001</v>
      </c>
      <c r="N3260">
        <v>-7.3270499999999999E-3</v>
      </c>
      <c r="O3260">
        <v>1.2404689999999999E-2</v>
      </c>
      <c r="P3260">
        <v>0.99620690000000001</v>
      </c>
      <c r="Q3260">
        <v>-5.9236549999999999E-2</v>
      </c>
      <c r="R3260">
        <v>6.3742859999999998E-2</v>
      </c>
      <c r="S3260">
        <v>2.973633</v>
      </c>
      <c r="T3260">
        <v>-3.5425659999999998E-2</v>
      </c>
      <c r="U3260">
        <v>0.55307010000000001</v>
      </c>
      <c r="V3260">
        <v>-5.1573939999999999E-2</v>
      </c>
      <c r="W3260">
        <v>-5.173792E-2</v>
      </c>
      <c r="X3260">
        <v>0.99732810000000005</v>
      </c>
      <c r="Y3260">
        <v>-0.17062659999999999</v>
      </c>
      <c r="Z3260">
        <v>1.581807E-3</v>
      </c>
      <c r="AA3260">
        <v>0.9853345</v>
      </c>
      <c r="AB3260">
        <v>55</v>
      </c>
      <c r="AC3260">
        <v>74.676199999999994</v>
      </c>
      <c r="AD3260">
        <v>-0.89568669999999995</v>
      </c>
      <c r="AE3260">
        <v>13.9767999999999</v>
      </c>
      <c r="AF3260">
        <v>-13.047551036124499</v>
      </c>
      <c r="AG3260">
        <v>-0.89568669999999995</v>
      </c>
      <c r="AH3260">
        <v>74.833435186240195</v>
      </c>
      <c r="AI3260">
        <v>90.675554090089193</v>
      </c>
      <c r="AJ3260">
        <v>99.890359755362695</v>
      </c>
      <c r="AK3260">
        <v>75.967650118178895</v>
      </c>
      <c r="AL3260">
        <v>92.965688526587101</v>
      </c>
      <c r="AM3260">
        <v>92.9602487991949</v>
      </c>
      <c r="AN3260">
        <v>1.0000000113513301</v>
      </c>
    </row>
    <row r="3261" spans="1:40" x14ac:dyDescent="0.25">
      <c r="A3261" t="str">
        <f>"20190305135258096"</f>
        <v>20190305135258096</v>
      </c>
      <c r="B3261" t="str">
        <f>"1551765178082506"</f>
        <v>1551765178082506</v>
      </c>
      <c r="C3261" t="s">
        <v>40</v>
      </c>
      <c r="D3261">
        <v>4.4768400000000002</v>
      </c>
      <c r="E3261">
        <v>0.45558989999999999</v>
      </c>
      <c r="F3261" t="s">
        <v>60</v>
      </c>
      <c r="G3261">
        <v>-274.99669999999998</v>
      </c>
      <c r="H3261">
        <v>0.23355980000000001</v>
      </c>
      <c r="I3261">
        <v>229.39359999999999</v>
      </c>
      <c r="J3261">
        <v>-349.12490000000003</v>
      </c>
      <c r="K3261">
        <v>1.105864</v>
      </c>
      <c r="L3261">
        <v>215.548</v>
      </c>
      <c r="M3261">
        <v>0.99990820000000002</v>
      </c>
      <c r="N3261">
        <v>-7.4739130000000004E-3</v>
      </c>
      <c r="O3261">
        <v>1.131301E-2</v>
      </c>
      <c r="P3261">
        <v>0.99627880000000002</v>
      </c>
      <c r="Q3261">
        <v>-5.8475880000000001E-2</v>
      </c>
      <c r="R3261">
        <v>6.3319860000000006E-2</v>
      </c>
      <c r="S3261">
        <v>2.974091</v>
      </c>
      <c r="T3261">
        <v>-3.4739730000000003E-2</v>
      </c>
      <c r="U3261">
        <v>0.55168149999999905</v>
      </c>
      <c r="V3261">
        <v>-5.2238840000000002E-2</v>
      </c>
      <c r="W3261">
        <v>-5.0824540000000001E-2</v>
      </c>
      <c r="X3261">
        <v>0.99734040000000002</v>
      </c>
      <c r="Y3261">
        <v>-0.17123070000000001</v>
      </c>
      <c r="Z3261">
        <v>1.589776E-3</v>
      </c>
      <c r="AA3261">
        <v>0.98522969999999999</v>
      </c>
      <c r="AB3261">
        <v>55</v>
      </c>
      <c r="AC3261">
        <v>74.128200000000007</v>
      </c>
      <c r="AD3261">
        <v>-0.87230419999999997</v>
      </c>
      <c r="AE3261">
        <v>13.8455999999999</v>
      </c>
      <c r="AF3261">
        <v>-13.0043374666792</v>
      </c>
      <c r="AG3261">
        <v>-0.87230419999999997</v>
      </c>
      <c r="AH3261">
        <v>74.270157922337205</v>
      </c>
      <c r="AI3261">
        <v>90.662825985279696</v>
      </c>
      <c r="AJ3261">
        <v>99.931529896641095</v>
      </c>
      <c r="AK3261">
        <v>75.405106361396506</v>
      </c>
      <c r="AL3261">
        <v>92.913286932169598</v>
      </c>
      <c r="AM3261">
        <v>92.998306723818899</v>
      </c>
      <c r="AN3261">
        <v>0.99999995187145696</v>
      </c>
    </row>
    <row r="3262" spans="1:40" x14ac:dyDescent="0.25">
      <c r="A3262" t="str">
        <f>"20190305135258118"</f>
        <v>20190305135258118</v>
      </c>
      <c r="B3262" t="str">
        <f>"1551765178113054"</f>
        <v>1551765178113054</v>
      </c>
      <c r="C3262" t="s">
        <v>40</v>
      </c>
      <c r="D3262">
        <v>4.4851479999999997</v>
      </c>
      <c r="E3262">
        <v>0.45531729999999998</v>
      </c>
      <c r="F3262" t="s">
        <v>60</v>
      </c>
      <c r="G3262">
        <v>-274.60430000000002</v>
      </c>
      <c r="H3262">
        <v>0.25851420000000003</v>
      </c>
      <c r="I3262">
        <v>229.3759</v>
      </c>
      <c r="J3262">
        <v>-348.5462</v>
      </c>
      <c r="K3262">
        <v>1.105898</v>
      </c>
      <c r="L3262">
        <v>215.55420000000001</v>
      </c>
      <c r="M3262">
        <v>0.99991850000000004</v>
      </c>
      <c r="N3262">
        <v>-7.7353119999999899E-3</v>
      </c>
      <c r="O3262">
        <v>1.016269E-2</v>
      </c>
      <c r="P3262">
        <v>0.99626630000000005</v>
      </c>
      <c r="Q3262">
        <v>-5.8385189999999997E-2</v>
      </c>
      <c r="R3262">
        <v>6.3598589999999997E-2</v>
      </c>
      <c r="S3262">
        <v>2.9741520000000001</v>
      </c>
      <c r="T3262">
        <v>-3.381526E-2</v>
      </c>
      <c r="U3262">
        <v>0.55187989999999998</v>
      </c>
      <c r="V3262">
        <v>-5.3666949999999998E-2</v>
      </c>
      <c r="W3262">
        <v>-5.0464259999999997E-2</v>
      </c>
      <c r="X3262">
        <v>0.99728289999999997</v>
      </c>
      <c r="Y3262">
        <v>-0.1724243</v>
      </c>
      <c r="Z3262">
        <v>1.6078780000000001E-3</v>
      </c>
      <c r="AA3262">
        <v>0.98502149999999999</v>
      </c>
      <c r="AB3262">
        <v>55</v>
      </c>
      <c r="AC3262">
        <v>73.941899999999904</v>
      </c>
      <c r="AD3262">
        <v>-0.84738380000000002</v>
      </c>
      <c r="AE3262">
        <v>13.8216999999999</v>
      </c>
      <c r="AF3262">
        <v>-13.067856822712599</v>
      </c>
      <c r="AG3262">
        <v>-0.84738380000000002</v>
      </c>
      <c r="AH3262">
        <v>74.069151738575101</v>
      </c>
      <c r="AI3262">
        <v>90.645492222687494</v>
      </c>
      <c r="AJ3262">
        <v>100.005601739982</v>
      </c>
      <c r="AK3262">
        <v>75.217858122359999</v>
      </c>
      <c r="AL3262">
        <v>92.892617794367396</v>
      </c>
      <c r="AM3262">
        <v>93.080296206925993</v>
      </c>
      <c r="AN3262">
        <v>0.99999998284602898</v>
      </c>
    </row>
    <row r="3263" spans="1:40" x14ac:dyDescent="0.25">
      <c r="A3263" t="str">
        <f>"20190305135258141"</f>
        <v>20190305135258141</v>
      </c>
      <c r="B3263" t="str">
        <f>"1551765178132577"</f>
        <v>1551765178132577</v>
      </c>
      <c r="C3263" t="s">
        <v>40</v>
      </c>
      <c r="D3263">
        <v>4.4863600000000003</v>
      </c>
      <c r="E3263">
        <v>0.45507950000000003</v>
      </c>
      <c r="F3263" t="s">
        <v>60</v>
      </c>
      <c r="G3263">
        <v>-274.447</v>
      </c>
      <c r="H3263">
        <v>0.21456169999999999</v>
      </c>
      <c r="I3263">
        <v>229.3759</v>
      </c>
      <c r="J3263">
        <v>-347.99430000000001</v>
      </c>
      <c r="K3263">
        <v>1.1059410000000001</v>
      </c>
      <c r="L3263">
        <v>215.55950000000001</v>
      </c>
      <c r="M3263">
        <v>0.99992599999999998</v>
      </c>
      <c r="N3263">
        <v>-8.1162730000000002E-3</v>
      </c>
      <c r="O3263">
        <v>9.0706180000000008E-3</v>
      </c>
      <c r="P3263">
        <v>0.99623349999999999</v>
      </c>
      <c r="Q3263">
        <v>-5.8532979999999998E-2</v>
      </c>
      <c r="R3263">
        <v>6.3975749999999998E-2</v>
      </c>
      <c r="S3263">
        <v>2.9737239999999998</v>
      </c>
      <c r="T3263">
        <v>-3.5769219999999997E-2</v>
      </c>
      <c r="U3263">
        <v>0.5546875</v>
      </c>
      <c r="V3263">
        <v>-5.513556E-2</v>
      </c>
      <c r="W3263">
        <v>-5.0223190000000001E-2</v>
      </c>
      <c r="X3263">
        <v>0.99721499999999996</v>
      </c>
      <c r="Y3263">
        <v>-0.17442160000000001</v>
      </c>
      <c r="Z3263">
        <v>1.718797E-3</v>
      </c>
      <c r="AA3263">
        <v>0.98466960000000003</v>
      </c>
      <c r="AB3263">
        <v>55</v>
      </c>
      <c r="AC3263">
        <v>73.547300000000007</v>
      </c>
      <c r="AD3263">
        <v>-0.89137929999999999</v>
      </c>
      <c r="AE3263">
        <v>13.8163999999999</v>
      </c>
      <c r="AF3263">
        <v>-13.146824878790699</v>
      </c>
      <c r="AG3263">
        <v>-0.89137929999999999</v>
      </c>
      <c r="AH3263">
        <v>73.659150591635196</v>
      </c>
      <c r="AI3263">
        <v>90.682540496618699</v>
      </c>
      <c r="AJ3263">
        <v>100.11970028164301</v>
      </c>
      <c r="AK3263">
        <v>74.828497427993696</v>
      </c>
      <c r="AL3263">
        <v>92.878787834942102</v>
      </c>
      <c r="AM3263">
        <v>93.164635303278999</v>
      </c>
      <c r="AN3263">
        <v>1.0000000275076399</v>
      </c>
    </row>
    <row r="3264" spans="1:40" x14ac:dyDescent="0.25">
      <c r="A3264" t="str">
        <f>"20190305135258162"</f>
        <v>20190305135258162</v>
      </c>
      <c r="B3264" t="str">
        <f>"1551765178153070"</f>
        <v>1551765178153070</v>
      </c>
      <c r="C3264" t="s">
        <v>40</v>
      </c>
      <c r="D3264">
        <v>4.5983210000000003</v>
      </c>
      <c r="E3264">
        <v>0.45505810000000002</v>
      </c>
      <c r="F3264" t="s">
        <v>60</v>
      </c>
      <c r="G3264">
        <v>-274.30849999999998</v>
      </c>
      <c r="H3264">
        <v>0.163214</v>
      </c>
      <c r="I3264">
        <v>229.3759</v>
      </c>
      <c r="J3264">
        <v>-347.4529</v>
      </c>
      <c r="K3264">
        <v>1.106017</v>
      </c>
      <c r="L3264">
        <v>215.5641</v>
      </c>
      <c r="M3264">
        <v>0.99993069999999895</v>
      </c>
      <c r="N3264">
        <v>-8.6292109999999995E-3</v>
      </c>
      <c r="O3264">
        <v>8.0161269999999996E-3</v>
      </c>
      <c r="P3264">
        <v>0.99612020000000001</v>
      </c>
      <c r="Q3264">
        <v>-5.9528449999999997E-2</v>
      </c>
      <c r="R3264">
        <v>6.4815600000000001E-2</v>
      </c>
      <c r="S3264">
        <v>2.973328</v>
      </c>
      <c r="T3264">
        <v>-3.8039089999999998E-2</v>
      </c>
      <c r="U3264">
        <v>0.55751039999999996</v>
      </c>
      <c r="V3264">
        <v>-5.703184E-2</v>
      </c>
      <c r="W3264">
        <v>-5.069763E-2</v>
      </c>
      <c r="X3264">
        <v>0.99708430000000003</v>
      </c>
      <c r="Y3264">
        <v>-0.1763836</v>
      </c>
      <c r="Z3264">
        <v>1.853096E-3</v>
      </c>
      <c r="AA3264">
        <v>0.98431970000000002</v>
      </c>
      <c r="AB3264">
        <v>55</v>
      </c>
      <c r="AC3264">
        <v>73.144400000000005</v>
      </c>
      <c r="AD3264">
        <v>-0.94280299999999995</v>
      </c>
      <c r="AE3264">
        <v>13.8118</v>
      </c>
      <c r="AF3264">
        <v>-13.2228783633619</v>
      </c>
      <c r="AG3264">
        <v>-0.94280299999999995</v>
      </c>
      <c r="AH3264">
        <v>73.241021504954801</v>
      </c>
      <c r="AI3264">
        <v>90.725773454607904</v>
      </c>
      <c r="AJ3264">
        <v>100.233897464463</v>
      </c>
      <c r="AK3264">
        <v>74.431046081580206</v>
      </c>
      <c r="AL3264">
        <v>92.906006024751406</v>
      </c>
      <c r="AM3264">
        <v>93.273672148092402</v>
      </c>
      <c r="AN3264">
        <v>0.99999999088394598</v>
      </c>
    </row>
    <row r="3265" spans="1:40" x14ac:dyDescent="0.25">
      <c r="A3265" t="str">
        <f>"20190305135258187"</f>
        <v>20190305135258187</v>
      </c>
      <c r="B3265" t="str">
        <f>"1551765178183326"</f>
        <v>1551765178183326</v>
      </c>
      <c r="C3265" t="s">
        <v>40</v>
      </c>
      <c r="D3265">
        <v>4.5367300000000004</v>
      </c>
      <c r="E3265">
        <v>0.4803886</v>
      </c>
      <c r="F3265" t="s">
        <v>60</v>
      </c>
      <c r="G3265">
        <v>-274.14690000000002</v>
      </c>
      <c r="H3265">
        <v>6.5598249999999997E-2</v>
      </c>
      <c r="I3265">
        <v>229.3759</v>
      </c>
      <c r="J3265">
        <v>-346.88069999999999</v>
      </c>
      <c r="K3265">
        <v>1.1061319999999999</v>
      </c>
      <c r="L3265">
        <v>215.56829999999999</v>
      </c>
      <c r="M3265">
        <v>0.99993290000000001</v>
      </c>
      <c r="N3265">
        <v>-9.2878160000000008E-3</v>
      </c>
      <c r="O3265">
        <v>6.9355519999999898E-3</v>
      </c>
      <c r="P3265">
        <v>0.99600610000000001</v>
      </c>
      <c r="Q3265">
        <v>-6.0213719999999998E-2</v>
      </c>
      <c r="R3265">
        <v>6.5927330000000006E-2</v>
      </c>
      <c r="S3265">
        <v>2.9726870000000001</v>
      </c>
      <c r="T3265">
        <v>-4.2190909999999998E-2</v>
      </c>
      <c r="U3265">
        <v>0.56008910000000001</v>
      </c>
      <c r="V3265">
        <v>-5.9222990000000003E-2</v>
      </c>
      <c r="W3265">
        <v>-5.0717190000000002E-2</v>
      </c>
      <c r="X3265">
        <v>0.99695560000000005</v>
      </c>
      <c r="Y3265">
        <v>-0.17830460000000001</v>
      </c>
      <c r="Z3265">
        <v>2.0558769999999998E-3</v>
      </c>
      <c r="AA3265">
        <v>0.98397319999999999</v>
      </c>
      <c r="AB3265">
        <v>55</v>
      </c>
      <c r="AC3265">
        <v>72.733799999999903</v>
      </c>
      <c r="AD3265">
        <v>-1.04053374999999</v>
      </c>
      <c r="AE3265">
        <v>13.807600000000001</v>
      </c>
      <c r="AF3265">
        <v>-13.3001697436321</v>
      </c>
      <c r="AG3265">
        <v>-1.04053374999999</v>
      </c>
      <c r="AH3265">
        <v>72.813434100452398</v>
      </c>
      <c r="AI3265">
        <v>90.805400334865894</v>
      </c>
      <c r="AJ3265">
        <v>100.351580408964</v>
      </c>
      <c r="AK3265">
        <v>74.025491630891807</v>
      </c>
      <c r="AL3265">
        <v>92.907128053759706</v>
      </c>
      <c r="AM3265">
        <v>93.399594172805095</v>
      </c>
      <c r="AN3265">
        <v>1.0000000321386899</v>
      </c>
    </row>
    <row r="3266" spans="1:40" x14ac:dyDescent="0.25">
      <c r="A3266" t="str">
        <f>"20190305135258209"</f>
        <v>20190305135258209</v>
      </c>
      <c r="B3266" t="str">
        <f>"1551765178202846"</f>
        <v>1551765178202846</v>
      </c>
      <c r="C3266" t="s">
        <v>40</v>
      </c>
      <c r="D3266">
        <v>4.509442</v>
      </c>
      <c r="E3266">
        <v>0.48139739999999998</v>
      </c>
      <c r="F3266" t="s">
        <v>56</v>
      </c>
      <c r="G3266">
        <v>-320.86649999999997</v>
      </c>
      <c r="H3266" s="1">
        <v>-1.0756750000000001E-6</v>
      </c>
      <c r="I3266">
        <v>218.684</v>
      </c>
      <c r="J3266">
        <v>-346.30860000000001</v>
      </c>
      <c r="K3266">
        <v>1.106258</v>
      </c>
      <c r="L3266">
        <v>215.5719</v>
      </c>
      <c r="M3266">
        <v>0.99993290000000001</v>
      </c>
      <c r="N3266">
        <v>-9.9766460000000005E-3</v>
      </c>
      <c r="O3266">
        <v>5.8933269999999899E-3</v>
      </c>
      <c r="P3266">
        <v>0.99596019999999996</v>
      </c>
      <c r="Q3266">
        <v>-6.0333640000000001E-2</v>
      </c>
      <c r="R3266">
        <v>6.6508789999999998E-2</v>
      </c>
      <c r="S3266">
        <v>2.9807429999999999</v>
      </c>
      <c r="T3266">
        <v>-0.1267422</v>
      </c>
      <c r="U3266">
        <v>0.3569946</v>
      </c>
      <c r="V3266">
        <v>-6.0840020000000002E-2</v>
      </c>
      <c r="W3266">
        <v>-5.0146070000000001E-2</v>
      </c>
      <c r="X3266">
        <v>0.99688710000000003</v>
      </c>
      <c r="Y3266">
        <v>-0.11294179999999999</v>
      </c>
      <c r="Z3266">
        <v>2.766279E-3</v>
      </c>
      <c r="AA3266">
        <v>0.99359770000000003</v>
      </c>
      <c r="AB3266">
        <v>55</v>
      </c>
      <c r="AC3266">
        <v>25.4421</v>
      </c>
      <c r="AD3266">
        <v>-1.1062590756749999</v>
      </c>
      <c r="AE3266">
        <v>3.1121000000000199</v>
      </c>
      <c r="AF3266">
        <v>-2.9565924444328999</v>
      </c>
      <c r="AG3266">
        <v>-1.1062590756749999</v>
      </c>
      <c r="AH3266">
        <v>25.412661877669901</v>
      </c>
      <c r="AI3266">
        <v>92.475935540157707</v>
      </c>
      <c r="AJ3266">
        <v>96.636144502456403</v>
      </c>
      <c r="AK3266">
        <v>25.607979844840699</v>
      </c>
      <c r="AL3266">
        <v>92.874363650828002</v>
      </c>
      <c r="AM3266">
        <v>93.492429699712403</v>
      </c>
      <c r="AN3266">
        <v>1.0000000132582201</v>
      </c>
    </row>
    <row r="3267" spans="1:40" x14ac:dyDescent="0.25">
      <c r="A3267" t="str">
        <f>"20190305135258230"</f>
        <v>20190305135258230</v>
      </c>
      <c r="B3267" t="str">
        <f>"1551765178223342"</f>
        <v>1551765178223342</v>
      </c>
      <c r="C3267" t="s">
        <v>40</v>
      </c>
      <c r="D3267">
        <v>4.5058530000000001</v>
      </c>
      <c r="E3267">
        <v>0.48188320000000001</v>
      </c>
      <c r="F3267" t="s">
        <v>56</v>
      </c>
      <c r="G3267">
        <v>-320.22739999999999</v>
      </c>
      <c r="H3267" s="1">
        <v>-1.415799E-6</v>
      </c>
      <c r="I3267">
        <v>218.64</v>
      </c>
      <c r="J3267">
        <v>-345.79250000000002</v>
      </c>
      <c r="K3267">
        <v>1.106366</v>
      </c>
      <c r="L3267">
        <v>215.5745</v>
      </c>
      <c r="M3267">
        <v>0.99993189999999998</v>
      </c>
      <c r="N3267">
        <v>-1.056548E-2</v>
      </c>
      <c r="O3267">
        <v>4.9796199999999997E-3</v>
      </c>
      <c r="P3267">
        <v>0.99590020000000001</v>
      </c>
      <c r="Q3267">
        <v>-6.1154399999999998E-2</v>
      </c>
      <c r="R3267">
        <v>6.6658010000000004E-2</v>
      </c>
      <c r="S3267">
        <v>2.9810789999999998</v>
      </c>
      <c r="T3267">
        <v>-0.1264451</v>
      </c>
      <c r="U3267">
        <v>0.35069270000000002</v>
      </c>
      <c r="V3267">
        <v>-6.189882E-2</v>
      </c>
      <c r="W3267">
        <v>-5.0379769999999997E-2</v>
      </c>
      <c r="X3267">
        <v>0.99681010000000003</v>
      </c>
      <c r="Y3267">
        <v>-0.111765</v>
      </c>
      <c r="Z3267">
        <v>2.7959500000000002E-3</v>
      </c>
      <c r="AA3267">
        <v>0.99373069999999997</v>
      </c>
      <c r="AB3267">
        <v>55</v>
      </c>
      <c r="AC3267">
        <v>25.565100000000001</v>
      </c>
      <c r="AD3267">
        <v>-1.106367415799</v>
      </c>
      <c r="AE3267">
        <v>3.0654999999999801</v>
      </c>
      <c r="AF3267">
        <v>-2.9327356847833901</v>
      </c>
      <c r="AG3267">
        <v>-1.106367415799</v>
      </c>
      <c r="AH3267">
        <v>25.532907300227901</v>
      </c>
      <c r="AI3267">
        <v>92.464947001080404</v>
      </c>
      <c r="AJ3267">
        <v>96.552337042728894</v>
      </c>
      <c r="AK3267">
        <v>25.724586345703901</v>
      </c>
      <c r="AL3267">
        <v>92.887770715735996</v>
      </c>
      <c r="AM3267">
        <v>93.553327903695106</v>
      </c>
      <c r="AN3267">
        <v>0.99999998030232695</v>
      </c>
    </row>
    <row r="3268" spans="1:40" x14ac:dyDescent="0.25">
      <c r="A3268" t="str">
        <f>"20190305135258252"</f>
        <v>20190305135258252</v>
      </c>
      <c r="B3268" t="str">
        <f>"1551765178242866"</f>
        <v>1551765178242866</v>
      </c>
      <c r="C3268" t="s">
        <v>40</v>
      </c>
      <c r="D3268">
        <v>4.7417669999999896</v>
      </c>
      <c r="E3268">
        <v>0.48184070000000001</v>
      </c>
      <c r="F3268" t="s">
        <v>56</v>
      </c>
      <c r="G3268">
        <v>-320.0795</v>
      </c>
      <c r="H3268" s="1">
        <v>-1.494468E-6</v>
      </c>
      <c r="I3268">
        <v>218.57060000000001</v>
      </c>
      <c r="J3268">
        <v>-345.23439999999999</v>
      </c>
      <c r="K3268">
        <v>1.1064700000000001</v>
      </c>
      <c r="L3268">
        <v>215.57679999999999</v>
      </c>
      <c r="M3268">
        <v>0.99992979999999998</v>
      </c>
      <c r="N3268">
        <v>-1.114572E-2</v>
      </c>
      <c r="O3268">
        <v>4.039656E-3</v>
      </c>
      <c r="P3268">
        <v>0.99590020000000001</v>
      </c>
      <c r="Q3268">
        <v>-6.150659E-2</v>
      </c>
      <c r="R3268">
        <v>6.6335350000000001E-2</v>
      </c>
      <c r="S3268">
        <v>2.981201</v>
      </c>
      <c r="T3268">
        <v>-0.12827379999999999</v>
      </c>
      <c r="U3268">
        <v>0.34736630000000002</v>
      </c>
      <c r="V3268">
        <v>-6.2506480000000003E-2</v>
      </c>
      <c r="W3268">
        <v>-5.0157710000000001E-2</v>
      </c>
      <c r="X3268">
        <v>0.99678339999999999</v>
      </c>
      <c r="Y3268">
        <v>-0.11159570000000001</v>
      </c>
      <c r="Z3268">
        <v>2.8877579999999998E-3</v>
      </c>
      <c r="AA3268">
        <v>0.99374949999999995</v>
      </c>
      <c r="AB3268">
        <v>55</v>
      </c>
      <c r="AC3268">
        <v>25.154900000000001</v>
      </c>
      <c r="AD3268">
        <v>-1.1064714944679901</v>
      </c>
      <c r="AE3268">
        <v>2.9938000000000198</v>
      </c>
      <c r="AF3268">
        <v>-2.8866450560188199</v>
      </c>
      <c r="AG3268">
        <v>-1.1064714944679901</v>
      </c>
      <c r="AH3268">
        <v>25.118868278574801</v>
      </c>
      <c r="AI3268">
        <v>92.5057446615873</v>
      </c>
      <c r="AJ3268">
        <v>96.555638110931696</v>
      </c>
      <c r="AK3268">
        <v>25.3083887761331</v>
      </c>
      <c r="AL3268">
        <v>92.875031448658106</v>
      </c>
      <c r="AM3268">
        <v>93.588216052740805</v>
      </c>
      <c r="AN3268">
        <v>1.0000000012149901</v>
      </c>
    </row>
    <row r="3269" spans="1:40" x14ac:dyDescent="0.25">
      <c r="A3269" t="str">
        <f>"20190305135258274"</f>
        <v>20190305135258274</v>
      </c>
      <c r="B3269" t="str">
        <f>"1551765178263362"</f>
        <v>1551765178263362</v>
      </c>
      <c r="C3269" t="s">
        <v>40</v>
      </c>
      <c r="D3269">
        <v>4.511037</v>
      </c>
      <c r="E3269">
        <v>0.48228209999999999</v>
      </c>
      <c r="F3269" t="s">
        <v>66</v>
      </c>
      <c r="G3269">
        <v>-319.49</v>
      </c>
      <c r="H3269" s="1">
        <v>5.1140550000000001E-6</v>
      </c>
      <c r="I3269">
        <v>218.57239999999999</v>
      </c>
      <c r="J3269">
        <v>-344.72059999999999</v>
      </c>
      <c r="K3269">
        <v>1.1065739999999999</v>
      </c>
      <c r="L3269">
        <v>215.57849999999999</v>
      </c>
      <c r="M3269">
        <v>0.99992720000000002</v>
      </c>
      <c r="N3269">
        <v>-1.162901E-2</v>
      </c>
      <c r="O3269">
        <v>3.2373670000000001E-3</v>
      </c>
      <c r="P3269">
        <v>0.99594899999999997</v>
      </c>
      <c r="Q3269">
        <v>-6.1418680000000003E-2</v>
      </c>
      <c r="R3269">
        <v>6.5678769999999997E-2</v>
      </c>
      <c r="S3269">
        <v>2.9813230000000002</v>
      </c>
      <c r="T3269">
        <v>-0.12813369999999999</v>
      </c>
      <c r="U3269">
        <v>0.34690860000000001</v>
      </c>
      <c r="V3269">
        <v>-6.2639899999999998E-2</v>
      </c>
      <c r="W3269">
        <v>-4.959599E-2</v>
      </c>
      <c r="X3269">
        <v>0.99680310000000005</v>
      </c>
      <c r="Y3269">
        <v>-0.1122356</v>
      </c>
      <c r="Z3269">
        <v>2.9567690000000002E-3</v>
      </c>
      <c r="AA3269">
        <v>0.99367720000000004</v>
      </c>
      <c r="AB3269">
        <v>55</v>
      </c>
      <c r="AC3269">
        <v>25.2305999999999</v>
      </c>
      <c r="AD3269">
        <v>-1.106568885945</v>
      </c>
      <c r="AE3269">
        <v>2.9938999999999898</v>
      </c>
      <c r="AF3269">
        <v>-2.9066845806439199</v>
      </c>
      <c r="AG3269">
        <v>-1.106568885945</v>
      </c>
      <c r="AH3269">
        <v>25.192375023565901</v>
      </c>
      <c r="AI3269">
        <v>92.498531777274195</v>
      </c>
      <c r="AJ3269">
        <v>96.581657540502505</v>
      </c>
      <c r="AK3269">
        <v>25.383637825943701</v>
      </c>
      <c r="AL3269">
        <v>92.842807245424595</v>
      </c>
      <c r="AM3269">
        <v>93.595784141892807</v>
      </c>
      <c r="AN3269">
        <v>0.99999996973284899</v>
      </c>
    </row>
    <row r="3270" spans="1:40" x14ac:dyDescent="0.25">
      <c r="A3270" t="str">
        <f>"20190305135258296"</f>
        <v>20190305135258296</v>
      </c>
      <c r="B3270" t="str">
        <f>"1551765178292638"</f>
        <v>1551765178292638</v>
      </c>
      <c r="C3270" t="s">
        <v>40</v>
      </c>
      <c r="D3270">
        <v>4.4884500000000003</v>
      </c>
      <c r="E3270">
        <v>0.48245900000000003</v>
      </c>
      <c r="F3270" t="s">
        <v>66</v>
      </c>
      <c r="G3270">
        <v>-318.71449999999999</v>
      </c>
      <c r="H3270" s="1">
        <v>4.7701899999999998E-6</v>
      </c>
      <c r="I3270">
        <v>218.5564</v>
      </c>
      <c r="J3270">
        <v>-344.15699999999998</v>
      </c>
      <c r="K3270">
        <v>1.106698</v>
      </c>
      <c r="L3270">
        <v>215.57990000000001</v>
      </c>
      <c r="M3270">
        <v>0.99992380000000003</v>
      </c>
      <c r="N3270">
        <v>-1.2106199999999999E-2</v>
      </c>
      <c r="O3270">
        <v>2.4492860000000002E-3</v>
      </c>
      <c r="P3270">
        <v>0.99600880000000003</v>
      </c>
      <c r="Q3270">
        <v>-6.1561570000000003E-2</v>
      </c>
      <c r="R3270">
        <v>6.4627009999999999E-2</v>
      </c>
      <c r="S3270">
        <v>2.9818730000000002</v>
      </c>
      <c r="T3270">
        <v>-0.12687999999999999</v>
      </c>
      <c r="U3270">
        <v>0.34144590000000002</v>
      </c>
      <c r="V3270">
        <v>-6.2361890000000003E-2</v>
      </c>
      <c r="W3270">
        <v>-4.9277019999999998E-2</v>
      </c>
      <c r="X3270">
        <v>0.99683639999999996</v>
      </c>
      <c r="Y3270">
        <v>-0.1112031</v>
      </c>
      <c r="Z3270">
        <v>2.958558E-3</v>
      </c>
      <c r="AA3270">
        <v>0.99379329999999999</v>
      </c>
      <c r="AB3270">
        <v>55</v>
      </c>
      <c r="AC3270">
        <v>25.4424999999999</v>
      </c>
      <c r="AD3270">
        <v>-1.1066932298100001</v>
      </c>
      <c r="AE3270">
        <v>2.9764999999999802</v>
      </c>
      <c r="AF3270">
        <v>-2.90874134294027</v>
      </c>
      <c r="AG3270">
        <v>-1.1066932298100001</v>
      </c>
      <c r="AH3270">
        <v>25.402300754320901</v>
      </c>
      <c r="AI3270">
        <v>92.478432744495095</v>
      </c>
      <c r="AJ3270">
        <v>96.532316913153196</v>
      </c>
      <c r="AK3270">
        <v>25.592233777417899</v>
      </c>
      <c r="AL3270">
        <v>92.824509096629001</v>
      </c>
      <c r="AM3270">
        <v>93.579747557551102</v>
      </c>
      <c r="AN3270">
        <v>1.0000000191947001</v>
      </c>
    </row>
    <row r="3271" spans="1:40" x14ac:dyDescent="0.25">
      <c r="A3271" t="str">
        <f>"20190305135258318"</f>
        <v>20190305135258318</v>
      </c>
      <c r="B3271" t="str">
        <f>"1551765178313135"</f>
        <v>1551765178313135</v>
      </c>
      <c r="C3271" t="s">
        <v>40</v>
      </c>
      <c r="D3271">
        <v>4.5093699999999997</v>
      </c>
      <c r="E3271">
        <v>0.48246679999999997</v>
      </c>
      <c r="F3271" t="s">
        <v>66</v>
      </c>
      <c r="G3271">
        <v>-317.92500000000001</v>
      </c>
      <c r="H3271" s="1">
        <v>4.4200309999999998E-6</v>
      </c>
      <c r="I3271">
        <v>218.5454</v>
      </c>
      <c r="J3271">
        <v>-343.60559999999998</v>
      </c>
      <c r="K3271">
        <v>1.1068340000000001</v>
      </c>
      <c r="L3271">
        <v>215.58099999999999</v>
      </c>
      <c r="M3271">
        <v>0.99992000000000003</v>
      </c>
      <c r="N3271">
        <v>-1.252319E-2</v>
      </c>
      <c r="O3271">
        <v>1.7881430000000001E-3</v>
      </c>
      <c r="P3271">
        <v>0.9960869</v>
      </c>
      <c r="Q3271">
        <v>-6.1592170000000002E-2</v>
      </c>
      <c r="R3271">
        <v>6.3383800000000004E-2</v>
      </c>
      <c r="S3271">
        <v>2.982361</v>
      </c>
      <c r="T3271">
        <v>-0.1258215</v>
      </c>
      <c r="U3271">
        <v>0.33714290000000002</v>
      </c>
      <c r="V3271">
        <v>-6.1763119999999998E-2</v>
      </c>
      <c r="W3271">
        <v>-4.890974E-2</v>
      </c>
      <c r="X3271">
        <v>0.99689170000000005</v>
      </c>
      <c r="Y3271">
        <v>-0.1104277</v>
      </c>
      <c r="Z3271">
        <v>2.9621980000000001E-3</v>
      </c>
      <c r="AA3271">
        <v>0.99387970000000003</v>
      </c>
      <c r="AB3271">
        <v>55</v>
      </c>
      <c r="AC3271">
        <v>25.680599999999899</v>
      </c>
      <c r="AD3271">
        <v>-1.106829579969</v>
      </c>
      <c r="AE3271">
        <v>2.9644000000000101</v>
      </c>
      <c r="AF3271">
        <v>-2.9131308135993699</v>
      </c>
      <c r="AG3271">
        <v>-1.106829579969</v>
      </c>
      <c r="AH3271">
        <v>25.638859764133699</v>
      </c>
      <c r="AI3271">
        <v>92.456140105359196</v>
      </c>
      <c r="AJ3271">
        <v>96.482244196359105</v>
      </c>
      <c r="AK3271">
        <v>25.827553752942901</v>
      </c>
      <c r="AL3271">
        <v>92.803440281924196</v>
      </c>
      <c r="AM3271">
        <v>93.545268401852496</v>
      </c>
      <c r="AN3271">
        <v>0.999999953593944</v>
      </c>
    </row>
    <row r="3272" spans="1:40" x14ac:dyDescent="0.25">
      <c r="A3272" t="str">
        <f>"20190305135258342"</f>
        <v>20190305135258342</v>
      </c>
      <c r="B3272" t="str">
        <f>"1551765178332654"</f>
        <v>1551765178332654</v>
      </c>
      <c r="C3272" t="s">
        <v>40</v>
      </c>
      <c r="D3272">
        <v>4.5171190000000001</v>
      </c>
      <c r="E3272">
        <v>0.48243900000000001</v>
      </c>
      <c r="F3272" t="s">
        <v>66</v>
      </c>
      <c r="G3272">
        <v>-317.21929999999998</v>
      </c>
      <c r="H3272" s="1">
        <v>4.1071029999999999E-6</v>
      </c>
      <c r="I3272">
        <v>218.52600000000001</v>
      </c>
      <c r="J3272">
        <v>-343.03489999999999</v>
      </c>
      <c r="K3272">
        <v>1.1069869999999999</v>
      </c>
      <c r="L3272">
        <v>215.58170000000001</v>
      </c>
      <c r="M3272">
        <v>0.99991600000000003</v>
      </c>
      <c r="N3272">
        <v>-1.290616E-2</v>
      </c>
      <c r="O3272">
        <v>1.2306260000000001E-3</v>
      </c>
      <c r="P3272">
        <v>0.99618119999999999</v>
      </c>
      <c r="Q3272">
        <v>-6.1756230000000002E-2</v>
      </c>
      <c r="R3272">
        <v>6.171803E-2</v>
      </c>
      <c r="S3272">
        <v>2.98291</v>
      </c>
      <c r="T3272">
        <v>-0.1251245</v>
      </c>
      <c r="U3272">
        <v>0.33293149999999999</v>
      </c>
      <c r="V3272">
        <v>-6.0636120000000002E-2</v>
      </c>
      <c r="W3272">
        <v>-4.8714519999999997E-2</v>
      </c>
      <c r="X3272">
        <v>0.99697049999999998</v>
      </c>
      <c r="Y3272">
        <v>-0.1095767</v>
      </c>
      <c r="Z3272">
        <v>2.9642219999999999E-3</v>
      </c>
      <c r="AA3272">
        <v>0.99397389999999997</v>
      </c>
      <c r="AB3272">
        <v>55</v>
      </c>
      <c r="AC3272">
        <v>25.8156</v>
      </c>
      <c r="AD3272">
        <v>-1.106982892897</v>
      </c>
      <c r="AE3272">
        <v>2.9442999999999699</v>
      </c>
      <c r="AF3272">
        <v>-2.9072487799587399</v>
      </c>
      <c r="AG3272">
        <v>-1.106982892897</v>
      </c>
      <c r="AH3272">
        <v>25.772424115948699</v>
      </c>
      <c r="AI3272">
        <v>92.4439877206907</v>
      </c>
      <c r="AJ3272">
        <v>96.436022047562503</v>
      </c>
      <c r="AK3272">
        <v>25.959494436642501</v>
      </c>
      <c r="AL3272">
        <v>92.792241490739599</v>
      </c>
      <c r="AM3272">
        <v>93.480463491330497</v>
      </c>
      <c r="AN3272">
        <v>1.00000001068886</v>
      </c>
    </row>
    <row r="3273" spans="1:40" x14ac:dyDescent="0.25">
      <c r="A3273" t="str">
        <f>"20190305135258363"</f>
        <v>20190305135258363</v>
      </c>
      <c r="B3273" t="str">
        <f>"1551765178353150"</f>
        <v>1551765178353150</v>
      </c>
      <c r="C3273" t="s">
        <v>40</v>
      </c>
      <c r="D3273">
        <v>4.6379049999999999</v>
      </c>
      <c r="E3273">
        <v>0.49812879999999998</v>
      </c>
      <c r="F3273" t="s">
        <v>66</v>
      </c>
      <c r="G3273">
        <v>-316.53210000000001</v>
      </c>
      <c r="H3273" s="1">
        <v>3.8023820000000001E-6</v>
      </c>
      <c r="I3273">
        <v>218.50040000000001</v>
      </c>
      <c r="J3273">
        <v>-342.49930000000001</v>
      </c>
      <c r="K3273">
        <v>1.107143</v>
      </c>
      <c r="L3273">
        <v>215.5822</v>
      </c>
      <c r="M3273">
        <v>0.99991240000000003</v>
      </c>
      <c r="N3273">
        <v>-1.322298E-2</v>
      </c>
      <c r="O3273">
        <v>8.3210149999999997E-4</v>
      </c>
      <c r="P3273">
        <v>0.99631599999999998</v>
      </c>
      <c r="Q3273">
        <v>-6.1244159999999999E-2</v>
      </c>
      <c r="R3273">
        <v>6.0033030000000001E-2</v>
      </c>
      <c r="S3273">
        <v>2.9833980000000002</v>
      </c>
      <c r="T3273">
        <v>-0.1246126</v>
      </c>
      <c r="U3273">
        <v>0.32855220000000002</v>
      </c>
      <c r="V3273">
        <v>-5.9329140000000002E-2</v>
      </c>
      <c r="W3273">
        <v>-4.7908939999999997E-2</v>
      </c>
      <c r="X3273">
        <v>0.99708810000000003</v>
      </c>
      <c r="Y3273">
        <v>-0.10851479999999999</v>
      </c>
      <c r="Z3273">
        <v>2.9548299999999999E-3</v>
      </c>
      <c r="AA3273">
        <v>0.99409040000000004</v>
      </c>
      <c r="AB3273">
        <v>55</v>
      </c>
      <c r="AC3273">
        <v>25.967199999999899</v>
      </c>
      <c r="AD3273">
        <v>-1.1071391976180001</v>
      </c>
      <c r="AE3273">
        <v>2.9182000000000099</v>
      </c>
      <c r="AF3273">
        <v>-2.8913992271984701</v>
      </c>
      <c r="AG3273">
        <v>-1.1071391976180001</v>
      </c>
      <c r="AH3273">
        <v>25.923083318101501</v>
      </c>
      <c r="AI3273">
        <v>92.430484252010501</v>
      </c>
      <c r="AJ3273">
        <v>96.364330219922905</v>
      </c>
      <c r="AK3273">
        <v>26.107320724486101</v>
      </c>
      <c r="AL3273">
        <v>92.746031373482097</v>
      </c>
      <c r="AM3273">
        <v>93.405221697465905</v>
      </c>
      <c r="AN3273">
        <v>0.99999994627333499</v>
      </c>
    </row>
    <row r="3274" spans="1:40" x14ac:dyDescent="0.25">
      <c r="A3274" t="str">
        <f>"20190305135258399"</f>
        <v>20190305135258399</v>
      </c>
      <c r="B3274" t="str">
        <f>"1551765178393166"</f>
        <v>1551765178393166</v>
      </c>
      <c r="C3274" t="s">
        <v>40</v>
      </c>
      <c r="D3274">
        <v>4.5009759999999996</v>
      </c>
      <c r="E3274">
        <v>0.51995089999999999</v>
      </c>
      <c r="F3274" t="s">
        <v>56</v>
      </c>
      <c r="G3274">
        <v>-326.38440000000003</v>
      </c>
      <c r="H3274" s="1">
        <v>1.860691E-6</v>
      </c>
      <c r="I3274">
        <v>216.62729999999999</v>
      </c>
      <c r="J3274">
        <v>-341.65519999999998</v>
      </c>
      <c r="K3274">
        <v>1.10738799999999</v>
      </c>
      <c r="L3274">
        <v>215.58260000000001</v>
      </c>
      <c r="M3274">
        <v>0.99990699999999999</v>
      </c>
      <c r="N3274">
        <v>-1.3642349999999999E-2</v>
      </c>
      <c r="O3274">
        <v>4.2595959999999999E-4</v>
      </c>
      <c r="P3274">
        <v>0.99655059999999995</v>
      </c>
      <c r="Q3274">
        <v>-5.9560630000000003E-2</v>
      </c>
      <c r="R3274">
        <v>5.7790460000000002E-2</v>
      </c>
      <c r="S3274">
        <v>2.9868160000000001</v>
      </c>
      <c r="T3274">
        <v>-0.20520369999999999</v>
      </c>
      <c r="U3274">
        <v>0.1937103</v>
      </c>
      <c r="V3274">
        <v>-5.746184E-2</v>
      </c>
      <c r="W3274">
        <v>-4.583943E-2</v>
      </c>
      <c r="X3274">
        <v>0.99729480000000004</v>
      </c>
      <c r="Y3274">
        <v>-6.4114130000000005E-2</v>
      </c>
      <c r="Z3274">
        <v>2.6125559999999998E-3</v>
      </c>
      <c r="AA3274">
        <v>0.99793920000000003</v>
      </c>
      <c r="AB3274">
        <v>55</v>
      </c>
      <c r="AC3274">
        <v>15.2707999999999</v>
      </c>
      <c r="AD3274">
        <v>-1.1073861393090001</v>
      </c>
      <c r="AE3274">
        <v>1.04469999999997</v>
      </c>
      <c r="AF3274">
        <v>-1.0327887780559399</v>
      </c>
      <c r="AG3274">
        <v>-1.1073861393090001</v>
      </c>
      <c r="AH3274">
        <v>15.191727763498699</v>
      </c>
      <c r="AI3274">
        <v>94.159578528181498</v>
      </c>
      <c r="AJ3274">
        <v>93.889190708269098</v>
      </c>
      <c r="AK3274">
        <v>15.2670085203968</v>
      </c>
      <c r="AL3274">
        <v>92.627326490421794</v>
      </c>
      <c r="AM3274">
        <v>93.297605554867502</v>
      </c>
      <c r="AN3274">
        <v>1.0000000172529699</v>
      </c>
    </row>
    <row r="3275" spans="1:40" x14ac:dyDescent="0.25">
      <c r="A3275" t="str">
        <f>"20190305135258420"</f>
        <v>20190305135258420</v>
      </c>
      <c r="B3275" t="str">
        <f>"1551765178412686"</f>
        <v>1551765178412686</v>
      </c>
      <c r="C3275" t="s">
        <v>40</v>
      </c>
      <c r="D3275">
        <v>4.5347019999999896</v>
      </c>
      <c r="E3275">
        <v>0.52198729999999904</v>
      </c>
      <c r="F3275" t="s">
        <v>56</v>
      </c>
      <c r="G3275">
        <v>-320.95069999999998</v>
      </c>
      <c r="H3275" s="1">
        <v>-1.0308609999999999E-6</v>
      </c>
      <c r="I3275">
        <v>215.68899999999999</v>
      </c>
      <c r="J3275">
        <v>-341.12169999999998</v>
      </c>
      <c r="K3275">
        <v>1.107542</v>
      </c>
      <c r="L3275">
        <v>215.58279999999999</v>
      </c>
      <c r="M3275">
        <v>0.99990389999999996</v>
      </c>
      <c r="N3275">
        <v>-1.386627E-2</v>
      </c>
      <c r="O3275">
        <v>2.7305949999999998E-4</v>
      </c>
      <c r="P3275">
        <v>0.99665709999999996</v>
      </c>
      <c r="Q3275">
        <v>-5.8460119999999997E-2</v>
      </c>
      <c r="R3275">
        <v>5.7074149999999997E-2</v>
      </c>
      <c r="S3275">
        <v>2.999908</v>
      </c>
      <c r="T3275">
        <v>-0.16045119999999999</v>
      </c>
      <c r="U3275">
        <v>1.5411380000000001E-2</v>
      </c>
      <c r="V3275">
        <v>-5.68817E-2</v>
      </c>
      <c r="W3275">
        <v>-4.4532870000000002E-2</v>
      </c>
      <c r="X3275">
        <v>0.99738720000000003</v>
      </c>
      <c r="Y3275">
        <v>-4.8556040000000003E-3</v>
      </c>
      <c r="Z3275">
        <v>1.5264529999999999E-4</v>
      </c>
      <c r="AA3275">
        <v>0.99998819999999999</v>
      </c>
      <c r="AB3275">
        <v>55</v>
      </c>
      <c r="AC3275">
        <v>20.1709999999999</v>
      </c>
      <c r="AD3275">
        <v>-1.1075430308609999</v>
      </c>
      <c r="AE3275">
        <v>0.10620000000002899</v>
      </c>
      <c r="AF3275">
        <v>-0.10038893407157901</v>
      </c>
      <c r="AG3275">
        <v>-1.1075430308609999</v>
      </c>
      <c r="AH3275">
        <v>20.110400000100402</v>
      </c>
      <c r="AI3275">
        <v>93.152235305621602</v>
      </c>
      <c r="AJ3275">
        <v>90.286011936906107</v>
      </c>
      <c r="AK3275">
        <v>20.141125034797099</v>
      </c>
      <c r="AL3275">
        <v>92.552389703063298</v>
      </c>
      <c r="AM3275">
        <v>93.264083228242001</v>
      </c>
      <c r="AN3275">
        <v>0.99999996551458203</v>
      </c>
    </row>
    <row r="3276" spans="1:40" x14ac:dyDescent="0.25">
      <c r="A3276" t="str">
        <f>"20190305135258441"</f>
        <v>20190305135258441</v>
      </c>
      <c r="B3276" t="str">
        <f>"1551765178433182"</f>
        <v>1551765178433182</v>
      </c>
      <c r="C3276" t="s">
        <v>40</v>
      </c>
      <c r="D3276">
        <v>4.5502820000000002</v>
      </c>
      <c r="E3276">
        <v>0.52300389999999997</v>
      </c>
      <c r="F3276" t="s">
        <v>66</v>
      </c>
      <c r="G3276">
        <v>-318.88220000000001</v>
      </c>
      <c r="H3276" s="1">
        <v>4.8445269999999996E-6</v>
      </c>
      <c r="I3276">
        <v>215.56280000000001</v>
      </c>
      <c r="J3276">
        <v>-340.58530000000002</v>
      </c>
      <c r="K3276">
        <v>1.1076790000000001</v>
      </c>
      <c r="L3276">
        <v>215.5829</v>
      </c>
      <c r="M3276">
        <v>0.99990120000000005</v>
      </c>
      <c r="N3276">
        <v>-1.4054469999999999E-2</v>
      </c>
      <c r="O3276">
        <v>1.901761E-4</v>
      </c>
      <c r="P3276">
        <v>0.99675179999999997</v>
      </c>
      <c r="Q3276">
        <v>-5.730246E-2</v>
      </c>
      <c r="R3276">
        <v>5.6591629999999997E-2</v>
      </c>
      <c r="S3276">
        <v>3.001465</v>
      </c>
      <c r="T3276">
        <v>-0.149474</v>
      </c>
      <c r="U3276">
        <v>-2.700806E-3</v>
      </c>
      <c r="V3276">
        <v>-5.6467419999999997E-2</v>
      </c>
      <c r="W3276">
        <v>-4.3202989999999997E-2</v>
      </c>
      <c r="X3276">
        <v>0.99746919999999994</v>
      </c>
      <c r="Y3276">
        <v>1.088173E-3</v>
      </c>
      <c r="Z3276" s="1">
        <v>-4.1525410000000001E-5</v>
      </c>
      <c r="AA3276">
        <v>0.99999939999999998</v>
      </c>
      <c r="AB3276">
        <v>55</v>
      </c>
      <c r="AC3276">
        <v>21.703099999999999</v>
      </c>
      <c r="AD3276">
        <v>-1.1076741554729901</v>
      </c>
      <c r="AE3276">
        <v>-2.0099999999985099E-2</v>
      </c>
      <c r="AF3276">
        <v>2.41648728125488E-2</v>
      </c>
      <c r="AG3276">
        <v>-1.1076741554729901</v>
      </c>
      <c r="AH3276">
        <v>21.646709689010599</v>
      </c>
      <c r="AI3276">
        <v>92.929300095623304</v>
      </c>
      <c r="AJ3276">
        <v>89.936039025358298</v>
      </c>
      <c r="AK3276">
        <v>21.675044782793101</v>
      </c>
      <c r="AL3276">
        <v>92.476119833532593</v>
      </c>
      <c r="AM3276">
        <v>93.240095330855198</v>
      </c>
      <c r="AN3276">
        <v>0.99999993640751605</v>
      </c>
    </row>
    <row r="3277" spans="1:40" x14ac:dyDescent="0.25">
      <c r="A3277" t="str">
        <f>"20190305135258463"</f>
        <v>20190305135258463</v>
      </c>
      <c r="B3277" t="str">
        <f>"1551765178452706"</f>
        <v>1551765178452706</v>
      </c>
      <c r="C3277" t="s">
        <v>40</v>
      </c>
      <c r="D3277">
        <v>4.5380580000000004</v>
      </c>
      <c r="E3277">
        <v>0.52343980000000001</v>
      </c>
      <c r="F3277" t="s">
        <v>66</v>
      </c>
      <c r="G3277">
        <v>-317.17610000000002</v>
      </c>
      <c r="H3277" s="1">
        <v>4.0879710000000003E-6</v>
      </c>
      <c r="I3277">
        <v>215.48939999999999</v>
      </c>
      <c r="J3277">
        <v>-340.05470000000003</v>
      </c>
      <c r="K3277">
        <v>1.1077950000000001</v>
      </c>
      <c r="L3277">
        <v>215.583</v>
      </c>
      <c r="M3277">
        <v>0.99989919999999999</v>
      </c>
      <c r="N3277">
        <v>-1.419931E-2</v>
      </c>
      <c r="O3277">
        <v>1.6560119999999999E-4</v>
      </c>
      <c r="P3277">
        <v>0.99676620000000005</v>
      </c>
      <c r="Q3277">
        <v>-5.6517320000000003E-2</v>
      </c>
      <c r="R3277">
        <v>5.7125189999999999E-2</v>
      </c>
      <c r="S3277">
        <v>3.0022890000000002</v>
      </c>
      <c r="T3277">
        <v>-0.14206240000000001</v>
      </c>
      <c r="U3277">
        <v>-1.1993409999999999E-2</v>
      </c>
      <c r="V3277">
        <v>-5.7012819999999999E-2</v>
      </c>
      <c r="W3277">
        <v>-4.2287129999999999E-2</v>
      </c>
      <c r="X3277">
        <v>0.99747750000000002</v>
      </c>
      <c r="Y3277">
        <v>4.1542039999999999E-3</v>
      </c>
      <c r="Z3277">
        <v>-1.3322639999999999E-4</v>
      </c>
      <c r="AA3277">
        <v>0.99999139999999997</v>
      </c>
      <c r="AB3277">
        <v>55</v>
      </c>
      <c r="AC3277">
        <v>22.878599999999999</v>
      </c>
      <c r="AD3277">
        <v>-1.1077909120289999</v>
      </c>
      <c r="AE3277">
        <v>-9.3600000000009204E-2</v>
      </c>
      <c r="AF3277">
        <v>9.7161309949330504E-2</v>
      </c>
      <c r="AG3277">
        <v>-1.1077909120289999</v>
      </c>
      <c r="AH3277">
        <v>22.825070904322999</v>
      </c>
      <c r="AI3277">
        <v>92.778585174372594</v>
      </c>
      <c r="AJ3277">
        <v>89.756105933201496</v>
      </c>
      <c r="AK3277">
        <v>22.852144381048799</v>
      </c>
      <c r="AL3277">
        <v>92.423596724650693</v>
      </c>
      <c r="AM3277">
        <v>93.271295527186894</v>
      </c>
      <c r="AN3277">
        <v>1.0000000130071101</v>
      </c>
    </row>
    <row r="3278" spans="1:40" x14ac:dyDescent="0.25">
      <c r="A3278" t="str">
        <f>"20190305135258486"</f>
        <v>20190305135258486</v>
      </c>
      <c r="B3278" t="str">
        <f>"1551765178482958"</f>
        <v>1551765178482958</v>
      </c>
      <c r="C3278" t="s">
        <v>40</v>
      </c>
      <c r="D3278">
        <v>4.5581639999999997</v>
      </c>
      <c r="E3278">
        <v>0.52380230000000005</v>
      </c>
      <c r="F3278" t="s">
        <v>66</v>
      </c>
      <c r="G3278">
        <v>-316.19600000000003</v>
      </c>
      <c r="H3278" s="1">
        <v>3.653322E-6</v>
      </c>
      <c r="I3278">
        <v>215.47389999999999</v>
      </c>
      <c r="J3278">
        <v>-339.50549999999998</v>
      </c>
      <c r="K3278">
        <v>1.107901</v>
      </c>
      <c r="L3278">
        <v>215.5831</v>
      </c>
      <c r="M3278">
        <v>0.9998977</v>
      </c>
      <c r="N3278">
        <v>-1.4306849999999999E-2</v>
      </c>
      <c r="O3278">
        <v>1.8333189999999999E-4</v>
      </c>
      <c r="P3278">
        <v>0.99678</v>
      </c>
      <c r="Q3278">
        <v>-5.5539690000000003E-2</v>
      </c>
      <c r="R3278">
        <v>5.7836150000000003E-2</v>
      </c>
      <c r="S3278">
        <v>3.0026549999999999</v>
      </c>
      <c r="T3278">
        <v>-0.13941709999999999</v>
      </c>
      <c r="U3278">
        <v>-1.3732909999999999E-2</v>
      </c>
      <c r="V3278">
        <v>-5.7694599999999999E-2</v>
      </c>
      <c r="W3278">
        <v>-4.1215290000000002E-2</v>
      </c>
      <c r="X3278">
        <v>0.99748309999999996</v>
      </c>
      <c r="Y3278">
        <v>4.7501000000000002E-3</v>
      </c>
      <c r="Z3278">
        <v>-1.5010760000000001E-4</v>
      </c>
      <c r="AA3278">
        <v>0.99998869999999895</v>
      </c>
      <c r="AB3278">
        <v>55</v>
      </c>
      <c r="AC3278">
        <v>23.3095</v>
      </c>
      <c r="AD3278">
        <v>-1.107897346678</v>
      </c>
      <c r="AE3278">
        <v>-0.10920000000001499</v>
      </c>
      <c r="AF3278">
        <v>0.113218046321775</v>
      </c>
      <c r="AG3278">
        <v>-1.107897346678</v>
      </c>
      <c r="AH3278">
        <v>23.256941264830601</v>
      </c>
      <c r="AI3278">
        <v>92.727320812392904</v>
      </c>
      <c r="AJ3278">
        <v>89.721078326603603</v>
      </c>
      <c r="AK3278">
        <v>23.283590183916399</v>
      </c>
      <c r="AL3278">
        <v>92.362131365402803</v>
      </c>
      <c r="AM3278">
        <v>93.310309838092195</v>
      </c>
      <c r="AN3278">
        <v>0.999999950892275</v>
      </c>
    </row>
    <row r="3279" spans="1:40" x14ac:dyDescent="0.25">
      <c r="A3279" t="str">
        <f>"20190305135258509"</f>
        <v>20190305135258509</v>
      </c>
      <c r="B3279" t="str">
        <f>"1551765178503454"</f>
        <v>1551765178503454</v>
      </c>
      <c r="C3279" t="s">
        <v>40</v>
      </c>
      <c r="D3279">
        <v>4.5521289999999999</v>
      </c>
      <c r="E3279">
        <v>0.52389140000000001</v>
      </c>
      <c r="F3279" t="s">
        <v>66</v>
      </c>
      <c r="G3279">
        <v>-315.43060000000003</v>
      </c>
      <c r="H3279" s="1">
        <v>3.3139070000000001E-6</v>
      </c>
      <c r="I3279">
        <v>215.46549999999999</v>
      </c>
      <c r="J3279">
        <v>-338.93689999999998</v>
      </c>
      <c r="K3279">
        <v>1.1079950000000001</v>
      </c>
      <c r="L3279">
        <v>215.58320000000001</v>
      </c>
      <c r="M3279">
        <v>0.99989660000000002</v>
      </c>
      <c r="N3279">
        <v>-1.437797E-2</v>
      </c>
      <c r="O3279">
        <v>2.3236040000000001E-4</v>
      </c>
      <c r="P3279">
        <v>0.99683829999999995</v>
      </c>
      <c r="Q3279">
        <v>-5.3504309999999999E-2</v>
      </c>
      <c r="R3279">
        <v>5.8745060000000002E-2</v>
      </c>
      <c r="S3279">
        <v>3.0028079999999999</v>
      </c>
      <c r="T3279">
        <v>-0.13818559999999999</v>
      </c>
      <c r="U3279">
        <v>-1.46637E-2</v>
      </c>
      <c r="V3279">
        <v>-5.8544249999999999E-2</v>
      </c>
      <c r="W3279">
        <v>-3.9120559999999999E-2</v>
      </c>
      <c r="X3279">
        <v>0.99751800000000002</v>
      </c>
      <c r="Y3279">
        <v>5.1084390000000002E-3</v>
      </c>
      <c r="Z3279">
        <v>-1.6157880000000001E-4</v>
      </c>
      <c r="AA3279">
        <v>0.99998690000000001</v>
      </c>
      <c r="AB3279">
        <v>55</v>
      </c>
      <c r="AC3279">
        <v>23.5062999999999</v>
      </c>
      <c r="AD3279">
        <v>-1.1079916860929999</v>
      </c>
      <c r="AE3279">
        <v>-0.117700000000013</v>
      </c>
      <c r="AF3279">
        <v>0.12288946611631101</v>
      </c>
      <c r="AG3279">
        <v>-1.1079916860929999</v>
      </c>
      <c r="AH3279">
        <v>23.4541629219238</v>
      </c>
      <c r="AI3279">
        <v>92.704646350178294</v>
      </c>
      <c r="AJ3279">
        <v>89.699798140440606</v>
      </c>
      <c r="AK3279">
        <v>23.480641085061499</v>
      </c>
      <c r="AL3279">
        <v>92.242015089792403</v>
      </c>
      <c r="AM3279">
        <v>93.358831653109803</v>
      </c>
      <c r="AN3279">
        <v>1.0000000038733801</v>
      </c>
    </row>
    <row r="3280" spans="1:40" x14ac:dyDescent="0.25">
      <c r="A3280" t="str">
        <f>"20190305135258531"</f>
        <v>20190305135258531</v>
      </c>
      <c r="B3280" t="str">
        <f>"1551765178522974"</f>
        <v>1551765178522974</v>
      </c>
      <c r="C3280" t="s">
        <v>40</v>
      </c>
      <c r="D3280">
        <v>4.5295120000000004</v>
      </c>
      <c r="E3280">
        <v>0.52402629999999994</v>
      </c>
      <c r="F3280" t="s">
        <v>66</v>
      </c>
      <c r="G3280">
        <v>-313.79829999999998</v>
      </c>
      <c r="H3280" s="1">
        <v>2.5900370000000002E-6</v>
      </c>
      <c r="I3280">
        <v>215.47630000000001</v>
      </c>
      <c r="J3280">
        <v>-338.38159999999999</v>
      </c>
      <c r="K3280">
        <v>1.1080749999999999</v>
      </c>
      <c r="L3280">
        <v>215.58330000000001</v>
      </c>
      <c r="M3280">
        <v>0.99989600000000001</v>
      </c>
      <c r="N3280">
        <v>-1.442279E-2</v>
      </c>
      <c r="O3280">
        <v>2.9653479999999999E-4</v>
      </c>
      <c r="P3280">
        <v>0.9968648</v>
      </c>
      <c r="Q3280">
        <v>-5.1847400000000002E-2</v>
      </c>
      <c r="R3280">
        <v>5.9771730000000002E-2</v>
      </c>
      <c r="S3280">
        <v>3.003174</v>
      </c>
      <c r="T3280">
        <v>-0.13236619999999999</v>
      </c>
      <c r="U3280">
        <v>-1.2771609999999999E-2</v>
      </c>
      <c r="V3280">
        <v>-5.9497950000000001E-2</v>
      </c>
      <c r="W3280">
        <v>-3.7429400000000002E-2</v>
      </c>
      <c r="X3280">
        <v>0.99752649999999998</v>
      </c>
      <c r="Y3280">
        <v>4.5432420000000003E-3</v>
      </c>
      <c r="Z3280">
        <v>-1.4164749999999999E-4</v>
      </c>
      <c r="AA3280">
        <v>0.99998969999999998</v>
      </c>
      <c r="AB3280">
        <v>55</v>
      </c>
      <c r="AC3280">
        <v>24.583300000000001</v>
      </c>
      <c r="AD3280">
        <v>-1.1080724099629999</v>
      </c>
      <c r="AE3280">
        <v>-0.106999999999999</v>
      </c>
      <c r="AF3280">
        <v>0.114058830158875</v>
      </c>
      <c r="AG3280">
        <v>-1.1080724099629999</v>
      </c>
      <c r="AH3280">
        <v>24.533423993186702</v>
      </c>
      <c r="AI3280">
        <v>92.586025897268598</v>
      </c>
      <c r="AJ3280">
        <v>89.733626969358198</v>
      </c>
      <c r="AK3280">
        <v>24.558699613618099</v>
      </c>
      <c r="AL3280">
        <v>92.145047612598901</v>
      </c>
      <c r="AM3280">
        <v>93.413390474374097</v>
      </c>
      <c r="AN3280">
        <v>1.0000000421204001</v>
      </c>
    </row>
    <row r="3281" spans="1:40" x14ac:dyDescent="0.25">
      <c r="A3281" t="str">
        <f>"20190305135258554"</f>
        <v>20190305135258554</v>
      </c>
      <c r="B3281" t="str">
        <f>"1551765178542494"</f>
        <v>1551765178542494</v>
      </c>
      <c r="C3281" t="s">
        <v>40</v>
      </c>
      <c r="D3281">
        <v>4.5311149999999998</v>
      </c>
      <c r="E3281">
        <v>0.52407870000000001</v>
      </c>
      <c r="F3281" t="s">
        <v>66</v>
      </c>
      <c r="G3281">
        <v>-312.34559999999999</v>
      </c>
      <c r="H3281" s="1">
        <v>1.9458340000000002E-6</v>
      </c>
      <c r="I3281">
        <v>215.489</v>
      </c>
      <c r="J3281">
        <v>-337.85599999999999</v>
      </c>
      <c r="K3281">
        <v>1.1081369999999999</v>
      </c>
      <c r="L3281">
        <v>215.58340000000001</v>
      </c>
      <c r="M3281">
        <v>0.9998958</v>
      </c>
      <c r="N3281">
        <v>-1.44441E-2</v>
      </c>
      <c r="O3281">
        <v>3.6227139999999998E-4</v>
      </c>
      <c r="P3281">
        <v>0.99684890000000004</v>
      </c>
      <c r="Q3281">
        <v>-5.1098730000000002E-2</v>
      </c>
      <c r="R3281">
        <v>6.0672799999999999E-2</v>
      </c>
      <c r="S3281">
        <v>3.0034480000000001</v>
      </c>
      <c r="T3281">
        <v>-0.12782489999999999</v>
      </c>
      <c r="U3281">
        <v>-1.087952E-2</v>
      </c>
      <c r="V3281">
        <v>-6.0327279999999997E-2</v>
      </c>
      <c r="W3281">
        <v>-3.666867E-2</v>
      </c>
      <c r="X3281">
        <v>0.99750490000000003</v>
      </c>
      <c r="Y3281">
        <v>3.9796550000000003E-3</v>
      </c>
      <c r="Z3281">
        <v>-1.2358719999999999E-4</v>
      </c>
      <c r="AA3281">
        <v>0.99999210000000005</v>
      </c>
      <c r="AB3281">
        <v>55</v>
      </c>
      <c r="AC3281">
        <v>25.510400000000001</v>
      </c>
      <c r="AD3281">
        <v>-1.108135054166</v>
      </c>
      <c r="AE3281">
        <v>-9.4400000000007298E-2</v>
      </c>
      <c r="AF3281">
        <v>0.10344745139776799</v>
      </c>
      <c r="AG3281">
        <v>-1.108135054166</v>
      </c>
      <c r="AH3281">
        <v>25.462319713052999</v>
      </c>
      <c r="AI3281">
        <v>92.491952806749097</v>
      </c>
      <c r="AJ3281">
        <v>89.7672219254749</v>
      </c>
      <c r="AK3281">
        <v>25.486631590761402</v>
      </c>
      <c r="AL3281">
        <v>92.101431141109401</v>
      </c>
      <c r="AM3281">
        <v>93.460928946806604</v>
      </c>
      <c r="AN3281">
        <v>0.99999999879788803</v>
      </c>
    </row>
    <row r="3282" spans="1:40" x14ac:dyDescent="0.25">
      <c r="A3282" t="str">
        <f>"20190305135258574"</f>
        <v>20190305135258574</v>
      </c>
      <c r="B3282" t="str">
        <f>"1551765178562991"</f>
        <v>1551765178562991</v>
      </c>
      <c r="C3282" t="s">
        <v>40</v>
      </c>
      <c r="D3282">
        <v>4.5674380000000001</v>
      </c>
      <c r="E3282">
        <v>0.52413809999999905</v>
      </c>
      <c r="F3282" t="s">
        <v>66</v>
      </c>
      <c r="G3282">
        <v>-311.59269999999998</v>
      </c>
      <c r="H3282" s="1">
        <v>1.611925E-6</v>
      </c>
      <c r="I3282">
        <v>215.50980000000001</v>
      </c>
      <c r="J3282">
        <v>-337.34589999999997</v>
      </c>
      <c r="K3282">
        <v>1.1081920000000001</v>
      </c>
      <c r="L3282">
        <v>215.58359999999999</v>
      </c>
      <c r="M3282">
        <v>0.9998956</v>
      </c>
      <c r="N3282">
        <v>-1.444522E-2</v>
      </c>
      <c r="O3282">
        <v>4.2182180000000001E-4</v>
      </c>
      <c r="P3282">
        <v>0.99675069999999999</v>
      </c>
      <c r="Q3282">
        <v>-5.1737020000000002E-2</v>
      </c>
      <c r="R3282">
        <v>6.1736649999999997E-2</v>
      </c>
      <c r="S3282">
        <v>3.0035099999999999</v>
      </c>
      <c r="T3282">
        <v>-0.1267278</v>
      </c>
      <c r="U3282">
        <v>-8.4228519999999998E-3</v>
      </c>
      <c r="V3282">
        <v>-6.13275E-2</v>
      </c>
      <c r="W3282">
        <v>-3.7314260000000002E-2</v>
      </c>
      <c r="X3282">
        <v>0.99741999999999997</v>
      </c>
      <c r="Y3282">
        <v>3.222178E-3</v>
      </c>
      <c r="Z3282">
        <v>-1.029327E-4</v>
      </c>
      <c r="AA3282">
        <v>0.99999479999999996</v>
      </c>
      <c r="AB3282">
        <v>55</v>
      </c>
      <c r="AC3282">
        <v>25.7532</v>
      </c>
      <c r="AD3282">
        <v>-1.1081903880749999</v>
      </c>
      <c r="AE3282">
        <v>-7.3799999999977203E-2</v>
      </c>
      <c r="AF3282">
        <v>8.45079074200564E-2</v>
      </c>
      <c r="AG3282">
        <v>-1.1081903880749999</v>
      </c>
      <c r="AH3282">
        <v>25.705568432429601</v>
      </c>
      <c r="AI3282">
        <v>92.468531191397005</v>
      </c>
      <c r="AJ3282">
        <v>89.811638906185706</v>
      </c>
      <c r="AK3282">
        <v>25.729583672437499</v>
      </c>
      <c r="AL3282">
        <v>92.138445977494797</v>
      </c>
      <c r="AM3282">
        <v>93.518466544249307</v>
      </c>
      <c r="AN3282">
        <v>1.0000000363277901</v>
      </c>
    </row>
    <row r="3283" spans="1:40" x14ac:dyDescent="0.25">
      <c r="A3283" t="str">
        <f>"20190305135258600"</f>
        <v>20190305135258600</v>
      </c>
      <c r="B3283" t="str">
        <f>"1551765178593246"</f>
        <v>1551765178593246</v>
      </c>
      <c r="C3283" t="s">
        <v>40</v>
      </c>
      <c r="D3283">
        <v>4.5494320000000004</v>
      </c>
      <c r="E3283">
        <v>0.52424629999999905</v>
      </c>
      <c r="F3283" t="s">
        <v>66</v>
      </c>
      <c r="G3283">
        <v>-311.76960000000003</v>
      </c>
      <c r="H3283" s="1">
        <v>1.6904050000000001E-6</v>
      </c>
      <c r="I3283">
        <v>215.5334</v>
      </c>
      <c r="J3283">
        <v>-336.73770000000002</v>
      </c>
      <c r="K3283">
        <v>1.1082350000000001</v>
      </c>
      <c r="L3283">
        <v>215.5838</v>
      </c>
      <c r="M3283">
        <v>0.9998958</v>
      </c>
      <c r="N3283">
        <v>-1.4426619999999999E-2</v>
      </c>
      <c r="O3283">
        <v>4.7816340000000001E-4</v>
      </c>
      <c r="P3283">
        <v>0.99667790000000001</v>
      </c>
      <c r="Q3283">
        <v>-5.2189689999999997E-2</v>
      </c>
      <c r="R3283">
        <v>6.2526410000000004E-2</v>
      </c>
      <c r="S3283">
        <v>3.0034179999999999</v>
      </c>
      <c r="T3283">
        <v>-0.13013459999999999</v>
      </c>
      <c r="U3283">
        <v>-5.8898930000000002E-3</v>
      </c>
      <c r="V3283">
        <v>-6.2057380000000002E-2</v>
      </c>
      <c r="W3283">
        <v>-3.779275E-2</v>
      </c>
      <c r="X3283">
        <v>0.99735680000000004</v>
      </c>
      <c r="Y3283">
        <v>2.4360250000000001E-3</v>
      </c>
      <c r="Z3283" s="1">
        <v>-8.4146039999999898E-5</v>
      </c>
      <c r="AA3283">
        <v>0.99999700000000002</v>
      </c>
      <c r="AB3283">
        <v>55</v>
      </c>
      <c r="AC3283">
        <v>24.9681</v>
      </c>
      <c r="AD3283">
        <v>-1.1082333095950001</v>
      </c>
      <c r="AE3283">
        <v>-5.0399999999996198E-2</v>
      </c>
      <c r="AF3283">
        <v>6.2217493545068697E-2</v>
      </c>
      <c r="AG3283">
        <v>-1.1082333095950001</v>
      </c>
      <c r="AH3283">
        <v>24.918980005950001</v>
      </c>
      <c r="AI3283">
        <v>92.546455754914504</v>
      </c>
      <c r="AJ3283">
        <v>89.856944691011506</v>
      </c>
      <c r="AK3283">
        <v>24.943688913669799</v>
      </c>
      <c r="AL3283">
        <v>92.165880868419507</v>
      </c>
      <c r="AM3283">
        <v>93.560458992480804</v>
      </c>
      <c r="AN3283">
        <v>0.99999999843563303</v>
      </c>
    </row>
    <row r="3284" spans="1:40" x14ac:dyDescent="0.25">
      <c r="A3284" t="str">
        <f>"20190305135258622"</f>
        <v>20190305135258622</v>
      </c>
      <c r="B3284" t="str">
        <f>"1551765178612766"</f>
        <v>1551765178612766</v>
      </c>
      <c r="C3284" t="s">
        <v>40</v>
      </c>
      <c r="D3284">
        <v>4.5658019999999997</v>
      </c>
      <c r="E3284">
        <v>0.52428620000000004</v>
      </c>
      <c r="F3284" t="s">
        <v>66</v>
      </c>
      <c r="G3284">
        <v>-311.82339999999999</v>
      </c>
      <c r="H3284" s="1">
        <v>1.7142269999999999E-6</v>
      </c>
      <c r="I3284">
        <v>215.5455</v>
      </c>
      <c r="J3284">
        <v>-336.17160000000001</v>
      </c>
      <c r="K3284">
        <v>1.108266</v>
      </c>
      <c r="L3284">
        <v>215.58410000000001</v>
      </c>
      <c r="M3284">
        <v>0.99989629999999996</v>
      </c>
      <c r="N3284">
        <v>-1.4395450000000001E-2</v>
      </c>
      <c r="O3284">
        <v>5.1359150000000004E-4</v>
      </c>
      <c r="P3284">
        <v>0.99668000000000001</v>
      </c>
      <c r="Q3284">
        <v>-5.2089870000000003E-2</v>
      </c>
      <c r="R3284">
        <v>6.2578190000000006E-2</v>
      </c>
      <c r="S3284">
        <v>3.0032960000000002</v>
      </c>
      <c r="T3284">
        <v>-0.13359170000000001</v>
      </c>
      <c r="U3284">
        <v>-4.6234129999999998E-3</v>
      </c>
      <c r="V3284">
        <v>-6.2071790000000002E-2</v>
      </c>
      <c r="W3284">
        <v>-3.7727810000000001E-2</v>
      </c>
      <c r="X3284">
        <v>0.99735839999999998</v>
      </c>
      <c r="Y3284">
        <v>2.0501730000000002E-3</v>
      </c>
      <c r="Z3284" s="1">
        <v>-7.5784829999999995E-5</v>
      </c>
      <c r="AA3284">
        <v>0.9999979</v>
      </c>
      <c r="AB3284">
        <v>55</v>
      </c>
      <c r="AC3284">
        <v>24.348199999999999</v>
      </c>
      <c r="AD3284">
        <v>-1.1082642857730001</v>
      </c>
      <c r="AE3284">
        <v>-3.8600000000002403E-2</v>
      </c>
      <c r="AF3284">
        <v>5.1000654586613202E-2</v>
      </c>
      <c r="AG3284">
        <v>-1.1082642857730001</v>
      </c>
      <c r="AH3284">
        <v>24.297836236567001</v>
      </c>
      <c r="AI3284">
        <v>92.6115389873639</v>
      </c>
      <c r="AJ3284">
        <v>89.879737523109696</v>
      </c>
      <c r="AK3284">
        <v>24.323151452328599</v>
      </c>
      <c r="AL3284">
        <v>92.162157342892897</v>
      </c>
      <c r="AM3284">
        <v>93.5612779209834</v>
      </c>
      <c r="AN3284">
        <v>1.0000000364058701</v>
      </c>
    </row>
    <row r="3285" spans="1:40" x14ac:dyDescent="0.25">
      <c r="A3285" t="str">
        <f>"20190305135258644"</f>
        <v>20190305135258644</v>
      </c>
      <c r="B3285" t="str">
        <f>"1551765178633262"</f>
        <v>1551765178633262</v>
      </c>
      <c r="C3285" t="s">
        <v>40</v>
      </c>
      <c r="D3285">
        <v>4.5603339999999903</v>
      </c>
      <c r="E3285">
        <v>0.52443830000000002</v>
      </c>
      <c r="F3285" t="s">
        <v>66</v>
      </c>
      <c r="G3285">
        <v>-311.459</v>
      </c>
      <c r="H3285" s="1">
        <v>1.5526749999999999E-6</v>
      </c>
      <c r="I3285">
        <v>215.54499999999999</v>
      </c>
      <c r="J3285">
        <v>-335.64240000000001</v>
      </c>
      <c r="K3285">
        <v>1.1082829999999999</v>
      </c>
      <c r="L3285">
        <v>215.58430000000001</v>
      </c>
      <c r="M3285">
        <v>0.99989680000000003</v>
      </c>
      <c r="N3285">
        <v>-1.4359739999999999E-2</v>
      </c>
      <c r="O3285">
        <v>5.3466820000000004E-4</v>
      </c>
      <c r="P3285">
        <v>0.9967492</v>
      </c>
      <c r="Q3285">
        <v>-5.1139360000000002E-2</v>
      </c>
      <c r="R3285">
        <v>6.2258599999999997E-2</v>
      </c>
      <c r="S3285">
        <v>3.0032649999999999</v>
      </c>
      <c r="T3285">
        <v>-0.1346849</v>
      </c>
      <c r="U3285">
        <v>-4.745483E-3</v>
      </c>
      <c r="V3285">
        <v>-6.1729579999999999E-2</v>
      </c>
      <c r="W3285">
        <v>-3.6814239999999998E-2</v>
      </c>
      <c r="X3285">
        <v>0.99741380000000002</v>
      </c>
      <c r="Y3285">
        <v>2.111777E-3</v>
      </c>
      <c r="Z3285" s="1">
        <v>-7.8792159999999998E-5</v>
      </c>
      <c r="AA3285">
        <v>0.99999780000000005</v>
      </c>
      <c r="AB3285">
        <v>55</v>
      </c>
      <c r="AC3285">
        <v>24.183399999999999</v>
      </c>
      <c r="AD3285">
        <v>-1.108281447325</v>
      </c>
      <c r="AE3285">
        <v>-3.9300000000025599E-2</v>
      </c>
      <c r="AF3285">
        <v>5.2121954566099298E-2</v>
      </c>
      <c r="AG3285">
        <v>-1.108281447325</v>
      </c>
      <c r="AH3285">
        <v>24.132691628128001</v>
      </c>
      <c r="AI3285">
        <v>92.6294255694676</v>
      </c>
      <c r="AJ3285">
        <v>89.876252370888693</v>
      </c>
      <c r="AK3285">
        <v>24.158183079092499</v>
      </c>
      <c r="AL3285">
        <v>92.109777196252097</v>
      </c>
      <c r="AM3285">
        <v>93.541498019720805</v>
      </c>
      <c r="AN3285">
        <v>1.0000000588720901</v>
      </c>
    </row>
    <row r="3286" spans="1:40" x14ac:dyDescent="0.25">
      <c r="A3286" t="str">
        <f>"20190305135258665"</f>
        <v>20190305135258665</v>
      </c>
      <c r="B3286" t="str">
        <f>"1551765178652783"</f>
        <v>1551765178652783</v>
      </c>
      <c r="C3286" t="s">
        <v>40</v>
      </c>
      <c r="D3286">
        <v>4.5269079999999997</v>
      </c>
      <c r="E3286">
        <v>0.52462219999999904</v>
      </c>
      <c r="F3286" t="s">
        <v>66</v>
      </c>
      <c r="G3286">
        <v>-310.46140000000003</v>
      </c>
      <c r="H3286" s="1">
        <v>1.1102439999999999E-6</v>
      </c>
      <c r="I3286">
        <v>215.52709999999999</v>
      </c>
      <c r="J3286">
        <v>-335.13869999999997</v>
      </c>
      <c r="K3286">
        <v>1.108301</v>
      </c>
      <c r="L3286">
        <v>215.58459999999999</v>
      </c>
      <c r="M3286">
        <v>0.99989720000000004</v>
      </c>
      <c r="N3286">
        <v>-1.4324709999999999E-2</v>
      </c>
      <c r="O3286">
        <v>5.4604640000000004E-4</v>
      </c>
      <c r="P3286">
        <v>0.99683489999999997</v>
      </c>
      <c r="Q3286">
        <v>-5.0011180000000002E-2</v>
      </c>
      <c r="R3286">
        <v>6.1800319999999999E-2</v>
      </c>
      <c r="S3286">
        <v>3.0034179999999999</v>
      </c>
      <c r="T3286">
        <v>-0.13218829999999901</v>
      </c>
      <c r="U3286">
        <v>-6.8206789999999996E-3</v>
      </c>
      <c r="V3286">
        <v>-6.1258769999999997E-2</v>
      </c>
      <c r="W3286">
        <v>-3.5721259999999998E-2</v>
      </c>
      <c r="X3286">
        <v>0.99748250000000005</v>
      </c>
      <c r="Y3286">
        <v>2.8132159999999999E-3</v>
      </c>
      <c r="Z3286" s="1">
        <v>-9.8243210000000002E-5</v>
      </c>
      <c r="AA3286">
        <v>0.99999610000000005</v>
      </c>
      <c r="AB3286">
        <v>55</v>
      </c>
      <c r="AC3286">
        <v>24.677299999999899</v>
      </c>
      <c r="AD3286">
        <v>-1.1082998897559999</v>
      </c>
      <c r="AE3286">
        <v>-5.7500000000004499E-2</v>
      </c>
      <c r="AF3286">
        <v>7.0833450907361303E-2</v>
      </c>
      <c r="AG3286">
        <v>-1.1082998897559999</v>
      </c>
      <c r="AH3286">
        <v>24.627589807714799</v>
      </c>
      <c r="AI3286">
        <v>92.576696659383501</v>
      </c>
      <c r="AJ3286">
        <v>89.835207317241199</v>
      </c>
      <c r="AK3286">
        <v>24.652617016464198</v>
      </c>
      <c r="AL3286">
        <v>92.047112967228898</v>
      </c>
      <c r="AM3286">
        <v>93.5143136116139</v>
      </c>
      <c r="AN3286">
        <v>0.99999999156207497</v>
      </c>
    </row>
    <row r="3287" spans="1:40" x14ac:dyDescent="0.25">
      <c r="A3287" t="str">
        <f>"20190305135258688"</f>
        <v>20190305135258688</v>
      </c>
      <c r="B3287" t="str">
        <f>"1551765178683039"</f>
        <v>1551765178683039</v>
      </c>
      <c r="C3287" t="s">
        <v>40</v>
      </c>
      <c r="D3287">
        <v>4.5407690000000001</v>
      </c>
      <c r="E3287">
        <v>0.52484200000000003</v>
      </c>
      <c r="F3287" t="s">
        <v>66</v>
      </c>
      <c r="G3287">
        <v>-309.30270000000002</v>
      </c>
      <c r="H3287" s="1">
        <v>1.0031209999999999E-6</v>
      </c>
      <c r="I3287">
        <v>215.5008</v>
      </c>
      <c r="J3287">
        <v>-334.57729999999998</v>
      </c>
      <c r="K3287">
        <v>1.108314</v>
      </c>
      <c r="L3287">
        <v>215.5848</v>
      </c>
      <c r="M3287">
        <v>0.99989790000000001</v>
      </c>
      <c r="N3287">
        <v>-1.4283529999999999E-2</v>
      </c>
      <c r="O3287">
        <v>5.5182210000000002E-4</v>
      </c>
      <c r="P3287">
        <v>0.9969268</v>
      </c>
      <c r="Q3287">
        <v>-4.8959500000000003E-2</v>
      </c>
      <c r="R3287">
        <v>6.115756E-2</v>
      </c>
      <c r="S3287">
        <v>3.0036619999999998</v>
      </c>
      <c r="T3287">
        <v>-0.1288494</v>
      </c>
      <c r="U3287">
        <v>-9.7351069999999998E-3</v>
      </c>
      <c r="V3287">
        <v>-6.0609780000000002E-2</v>
      </c>
      <c r="W3287">
        <v>-3.4710489999999997E-2</v>
      </c>
      <c r="X3287">
        <v>0.99755780000000005</v>
      </c>
      <c r="Y3287">
        <v>3.788067E-3</v>
      </c>
      <c r="Z3287">
        <v>-1.2406399999999901E-4</v>
      </c>
      <c r="AA3287">
        <v>0.99999280000000002</v>
      </c>
      <c r="AB3287">
        <v>55</v>
      </c>
      <c r="AC3287">
        <v>25.2745999999999</v>
      </c>
      <c r="AD3287">
        <v>-1.108312996879</v>
      </c>
      <c r="AE3287">
        <v>-8.40000000000031E-2</v>
      </c>
      <c r="AF3287">
        <v>9.7760510651457494E-2</v>
      </c>
      <c r="AG3287">
        <v>-1.108312996879</v>
      </c>
      <c r="AH3287">
        <v>25.226043218519401</v>
      </c>
      <c r="AI3287">
        <v>92.515668772577499</v>
      </c>
      <c r="AJ3287">
        <v>89.777958177027401</v>
      </c>
      <c r="AK3287">
        <v>25.250567741718299</v>
      </c>
      <c r="AL3287">
        <v>91.989164220183596</v>
      </c>
      <c r="AM3287">
        <v>93.476912144613607</v>
      </c>
      <c r="AN3287">
        <v>0.99999996394426305</v>
      </c>
    </row>
    <row r="3288" spans="1:40" x14ac:dyDescent="0.25">
      <c r="A3288" t="str">
        <f>"20190305135258710"</f>
        <v>20190305135258710</v>
      </c>
      <c r="B3288" t="str">
        <f>"1551765178703534"</f>
        <v>1551765178703534</v>
      </c>
      <c r="C3288" t="s">
        <v>40</v>
      </c>
      <c r="D3288">
        <v>4.5262379999999904</v>
      </c>
      <c r="E3288">
        <v>0.52493829999999997</v>
      </c>
      <c r="F3288" t="s">
        <v>66</v>
      </c>
      <c r="G3288">
        <v>-308.27620000000002</v>
      </c>
      <c r="H3288" s="1">
        <v>1.1851920000000001E-6</v>
      </c>
      <c r="I3288">
        <v>215.4667</v>
      </c>
      <c r="J3288">
        <v>-334.02640000000002</v>
      </c>
      <c r="K3288">
        <v>1.108312</v>
      </c>
      <c r="L3288">
        <v>215.58510000000001</v>
      </c>
      <c r="M3288">
        <v>0.99989839999999997</v>
      </c>
      <c r="N3288">
        <v>-1.424254E-2</v>
      </c>
      <c r="O3288">
        <v>5.5302819999999996E-4</v>
      </c>
      <c r="P3288">
        <v>0.99702069999999998</v>
      </c>
      <c r="Q3288">
        <v>-4.7594280000000003E-2</v>
      </c>
      <c r="R3288">
        <v>6.0700459999999998E-2</v>
      </c>
      <c r="S3288">
        <v>3.0038149999999999</v>
      </c>
      <c r="T3288">
        <v>-0.1265792</v>
      </c>
      <c r="U3288">
        <v>-1.3488770000000001E-2</v>
      </c>
      <c r="V3288">
        <v>-6.015061E-2</v>
      </c>
      <c r="W3288">
        <v>-3.3385659999999998E-2</v>
      </c>
      <c r="X3288">
        <v>0.99763080000000004</v>
      </c>
      <c r="Y3288">
        <v>5.0373809999999996E-3</v>
      </c>
      <c r="Z3288">
        <v>-1.574038E-4</v>
      </c>
      <c r="AA3288">
        <v>0.99998730000000002</v>
      </c>
      <c r="AB3288">
        <v>55</v>
      </c>
      <c r="AC3288">
        <v>25.7502</v>
      </c>
      <c r="AD3288">
        <v>-1.1083108148080001</v>
      </c>
      <c r="AE3288">
        <v>-0.118400000000008</v>
      </c>
      <c r="AF3288">
        <v>0.13239675156495301</v>
      </c>
      <c r="AG3288">
        <v>-1.1083108148080001</v>
      </c>
      <c r="AH3288">
        <v>25.7025172626836</v>
      </c>
      <c r="AI3288">
        <v>92.469072434636004</v>
      </c>
      <c r="AJ3288">
        <v>89.7048651727102</v>
      </c>
      <c r="AK3288">
        <v>25.726742417192899</v>
      </c>
      <c r="AL3288">
        <v>91.913213023381402</v>
      </c>
      <c r="AM3288">
        <v>93.4503836176753</v>
      </c>
      <c r="AN3288">
        <v>0.99999995564282296</v>
      </c>
    </row>
    <row r="3289" spans="1:40" x14ac:dyDescent="0.25">
      <c r="A3289" t="str">
        <f>"20190305135258732"</f>
        <v>20190305135258732</v>
      </c>
      <c r="B3289" t="str">
        <f>"1551765178723054"</f>
        <v>1551765178723054</v>
      </c>
      <c r="C3289" t="s">
        <v>40</v>
      </c>
      <c r="D3289">
        <v>4.5186469999999996</v>
      </c>
      <c r="E3289">
        <v>0.52506769999999903</v>
      </c>
      <c r="F3289" t="s">
        <v>66</v>
      </c>
      <c r="G3289">
        <v>-306.91230000000002</v>
      </c>
      <c r="H3289" s="1">
        <v>1.4271299999999901E-6</v>
      </c>
      <c r="I3289">
        <v>215.4442</v>
      </c>
      <c r="J3289">
        <v>-333.48320000000001</v>
      </c>
      <c r="K3289">
        <v>1.1083240000000001</v>
      </c>
      <c r="L3289">
        <v>215.58539999999999</v>
      </c>
      <c r="M3289">
        <v>0.99989899999999998</v>
      </c>
      <c r="N3289">
        <v>-1.420631E-2</v>
      </c>
      <c r="O3289">
        <v>5.5131280000000004E-4</v>
      </c>
      <c r="P3289">
        <v>0.99709829999999999</v>
      </c>
      <c r="Q3289">
        <v>-4.646873E-2</v>
      </c>
      <c r="R3289">
        <v>6.029934E-2</v>
      </c>
      <c r="S3289">
        <v>3.0040279999999999</v>
      </c>
      <c r="T3289">
        <v>-0.1227921</v>
      </c>
      <c r="U3289">
        <v>-1.560974E-2</v>
      </c>
      <c r="V3289">
        <v>-5.9750770000000002E-2</v>
      </c>
      <c r="W3289">
        <v>-3.229572E-2</v>
      </c>
      <c r="X3289">
        <v>0.99769070000000004</v>
      </c>
      <c r="Y3289">
        <v>5.7409019999999896E-3</v>
      </c>
      <c r="Z3289">
        <v>-1.7278160000000001E-4</v>
      </c>
      <c r="AA3289">
        <v>0.99998350000000003</v>
      </c>
      <c r="AB3289">
        <v>54</v>
      </c>
      <c r="AC3289">
        <v>26.570899999999899</v>
      </c>
      <c r="AD3289">
        <v>-1.1083225728699999</v>
      </c>
      <c r="AE3289">
        <v>-0.14119999999999699</v>
      </c>
      <c r="AF3289">
        <v>0.15557965066402499</v>
      </c>
      <c r="AG3289">
        <v>-1.1083225728699999</v>
      </c>
      <c r="AH3289">
        <v>26.524669612509101</v>
      </c>
      <c r="AI3289">
        <v>92.392647963528503</v>
      </c>
      <c r="AJ3289">
        <v>89.663937184972596</v>
      </c>
      <c r="AK3289">
        <v>26.548270791258599</v>
      </c>
      <c r="AL3289">
        <v>91.850730361972495</v>
      </c>
      <c r="AM3289">
        <v>93.427297403214695</v>
      </c>
      <c r="AN3289">
        <v>0.99999995045619905</v>
      </c>
    </row>
    <row r="3290" spans="1:40" x14ac:dyDescent="0.25">
      <c r="A3290" t="str">
        <f>"20190305135258754"</f>
        <v>20190305135258754</v>
      </c>
      <c r="B3290" t="str">
        <f>"1551765178742575"</f>
        <v>1551765178742575</v>
      </c>
      <c r="C3290" t="s">
        <v>40</v>
      </c>
      <c r="D3290">
        <v>4.5764209999999999</v>
      </c>
      <c r="E3290">
        <v>0.52515049999999996</v>
      </c>
      <c r="F3290" t="s">
        <v>66</v>
      </c>
      <c r="G3290">
        <v>-305.73349999999999</v>
      </c>
      <c r="H3290" s="1">
        <v>1.636228E-6</v>
      </c>
      <c r="I3290">
        <v>215.41980000000001</v>
      </c>
      <c r="J3290">
        <v>-332.97050000000002</v>
      </c>
      <c r="K3290">
        <v>1.1083449999999999</v>
      </c>
      <c r="L3290">
        <v>215.5857</v>
      </c>
      <c r="M3290">
        <v>0.99989930000000005</v>
      </c>
      <c r="N3290">
        <v>-1.418405E-2</v>
      </c>
      <c r="O3290">
        <v>5.4899720000000003E-4</v>
      </c>
      <c r="P3290">
        <v>0.99714179999999997</v>
      </c>
      <c r="Q3290">
        <v>-4.5491209999999997E-2</v>
      </c>
      <c r="R3290">
        <v>6.032245E-2</v>
      </c>
      <c r="S3290">
        <v>3.0042420000000001</v>
      </c>
      <c r="T3290">
        <v>-0.11998929999999999</v>
      </c>
      <c r="U3290">
        <v>-1.792908E-2</v>
      </c>
      <c r="V3290">
        <v>-5.9776379999999997E-2</v>
      </c>
      <c r="W3290">
        <v>-3.1340149999999997E-2</v>
      </c>
      <c r="X3290">
        <v>0.99771969999999999</v>
      </c>
      <c r="Y3290">
        <v>6.5096399999999997E-3</v>
      </c>
      <c r="Z3290">
        <v>-1.9027129999999999E-4</v>
      </c>
      <c r="AA3290">
        <v>0.99997879999999995</v>
      </c>
      <c r="AB3290">
        <v>54</v>
      </c>
      <c r="AC3290">
        <v>27.236999999999998</v>
      </c>
      <c r="AD3290">
        <v>-1.1083433637719999</v>
      </c>
      <c r="AE3290">
        <v>-0.165899999999993</v>
      </c>
      <c r="AF3290">
        <v>0.1805555473115</v>
      </c>
      <c r="AG3290">
        <v>-1.1083433637719999</v>
      </c>
      <c r="AH3290">
        <v>27.191879857787701</v>
      </c>
      <c r="AI3290">
        <v>92.334037474141198</v>
      </c>
      <c r="AJ3290">
        <v>89.6195585282222</v>
      </c>
      <c r="AK3290">
        <v>27.215057514509201</v>
      </c>
      <c r="AL3290">
        <v>91.795952386768406</v>
      </c>
      <c r="AM3290">
        <v>93.428663462385799</v>
      </c>
      <c r="AN3290">
        <v>1.000000010188</v>
      </c>
    </row>
    <row r="3291" spans="1:40" x14ac:dyDescent="0.25">
      <c r="A3291" t="str">
        <f>"20190305135258777"</f>
        <v>20190305135258777</v>
      </c>
      <c r="B3291" t="str">
        <f>"1551765178772830"</f>
        <v>1551765178772830</v>
      </c>
      <c r="C3291" t="s">
        <v>40</v>
      </c>
      <c r="D3291">
        <v>4.5630959999999998</v>
      </c>
      <c r="E3291">
        <v>0.52529150000000002</v>
      </c>
      <c r="F3291" t="s">
        <v>66</v>
      </c>
      <c r="G3291">
        <v>-304.73140000000001</v>
      </c>
      <c r="H3291" s="1">
        <v>1.81398E-6</v>
      </c>
      <c r="I3291">
        <v>215.41159999999999</v>
      </c>
      <c r="J3291">
        <v>-332.41120000000001</v>
      </c>
      <c r="K3291">
        <v>1.1083620000000001</v>
      </c>
      <c r="L3291">
        <v>215.58600000000001</v>
      </c>
      <c r="M3291">
        <v>0.99989950000000005</v>
      </c>
      <c r="N3291">
        <v>-1.418087E-2</v>
      </c>
      <c r="O3291">
        <v>5.4718189999999997E-4</v>
      </c>
      <c r="P3291">
        <v>0.99718110000000004</v>
      </c>
      <c r="Q3291">
        <v>-4.4654520000000003E-2</v>
      </c>
      <c r="R3291">
        <v>6.0300840000000001E-2</v>
      </c>
      <c r="S3291">
        <v>3.0043329999999999</v>
      </c>
      <c r="T3291">
        <v>-0.1179157</v>
      </c>
      <c r="U3291">
        <v>-1.852417E-2</v>
      </c>
      <c r="V3291">
        <v>-5.9756509999999999E-2</v>
      </c>
      <c r="W3291">
        <v>-3.050624E-2</v>
      </c>
      <c r="X3291">
        <v>0.99774669999999999</v>
      </c>
      <c r="Y3291">
        <v>6.7057239999999997E-3</v>
      </c>
      <c r="Z3291">
        <v>-1.928271E-4</v>
      </c>
      <c r="AA3291">
        <v>0.99997749999999996</v>
      </c>
      <c r="AB3291">
        <v>54</v>
      </c>
      <c r="AC3291">
        <v>27.6798</v>
      </c>
      <c r="AD3291">
        <v>-1.1083601860200001</v>
      </c>
      <c r="AE3291">
        <v>-0.17439999999999101</v>
      </c>
      <c r="AF3291">
        <v>0.18924396191581999</v>
      </c>
      <c r="AG3291">
        <v>-1.1083601860200001</v>
      </c>
      <c r="AH3291">
        <v>27.6353921945495</v>
      </c>
      <c r="AI3291">
        <v>92.296651229781205</v>
      </c>
      <c r="AJ3291">
        <v>89.607651277115195</v>
      </c>
      <c r="AK3291">
        <v>27.658256946627102</v>
      </c>
      <c r="AL3291">
        <v>91.748150064354704</v>
      </c>
      <c r="AM3291">
        <v>93.427433942112899</v>
      </c>
      <c r="AN3291">
        <v>0.99999997426360299</v>
      </c>
    </row>
    <row r="3292" spans="1:40" x14ac:dyDescent="0.25">
      <c r="A3292" t="str">
        <f>"20190305135258801"</f>
        <v>20190305135258801</v>
      </c>
      <c r="B3292" t="str">
        <f>"1551765178793326"</f>
        <v>1551765178793326</v>
      </c>
      <c r="C3292" t="s">
        <v>40</v>
      </c>
      <c r="D3292">
        <v>4.5364820000000003</v>
      </c>
      <c r="E3292">
        <v>0.5254084</v>
      </c>
      <c r="F3292" t="s">
        <v>66</v>
      </c>
      <c r="G3292">
        <v>-303.8827</v>
      </c>
      <c r="H3292" s="1">
        <v>1.9645349999999999E-6</v>
      </c>
      <c r="I3292">
        <v>215.39879999999999</v>
      </c>
      <c r="J3292">
        <v>-331.84449999999998</v>
      </c>
      <c r="K3292">
        <v>1.1083889999999901</v>
      </c>
      <c r="L3292">
        <v>215.58629999999999</v>
      </c>
      <c r="M3292">
        <v>0.99989899999999998</v>
      </c>
      <c r="N3292">
        <v>-1.421211E-2</v>
      </c>
      <c r="O3292">
        <v>5.4624480000000004E-4</v>
      </c>
      <c r="P3292">
        <v>0.99717990000000001</v>
      </c>
      <c r="Q3292">
        <v>-4.3800289999999999E-2</v>
      </c>
      <c r="R3292">
        <v>6.094339E-2</v>
      </c>
      <c r="S3292">
        <v>3.0044559999999998</v>
      </c>
      <c r="T3292">
        <v>-0.1167262</v>
      </c>
      <c r="U3292">
        <v>-1.971436E-2</v>
      </c>
      <c r="V3292">
        <v>-6.0399439999999999E-2</v>
      </c>
      <c r="W3292">
        <v>-2.9620919999999999E-2</v>
      </c>
      <c r="X3292">
        <v>0.99773469999999997</v>
      </c>
      <c r="Y3292">
        <v>7.1003699999999999E-3</v>
      </c>
      <c r="Z3292">
        <v>-2.018117E-4</v>
      </c>
      <c r="AA3292">
        <v>0.99997480000000005</v>
      </c>
      <c r="AB3292">
        <v>54</v>
      </c>
      <c r="AC3292">
        <v>27.961799999999901</v>
      </c>
      <c r="AD3292">
        <v>-1.1083870354649901</v>
      </c>
      <c r="AE3292">
        <v>-0.1875</v>
      </c>
      <c r="AF3292">
        <v>0.202457398163329</v>
      </c>
      <c r="AG3292">
        <v>-1.1083870354649901</v>
      </c>
      <c r="AH3292">
        <v>27.917828739458301</v>
      </c>
      <c r="AI3292">
        <v>92.273489728724002</v>
      </c>
      <c r="AJ3292">
        <v>89.584503823236801</v>
      </c>
      <c r="AK3292">
        <v>27.940556049302</v>
      </c>
      <c r="AL3292">
        <v>91.697401960078594</v>
      </c>
      <c r="AM3292">
        <v>93.464262494607794</v>
      </c>
      <c r="AN3292">
        <v>1.00000001141902</v>
      </c>
    </row>
    <row r="3293" spans="1:40" x14ac:dyDescent="0.25">
      <c r="A3293" t="str">
        <f>"20190305135258823"</f>
        <v>20190305135258823</v>
      </c>
      <c r="B3293" t="str">
        <f>"1551765178813353"</f>
        <v>1551765178813353</v>
      </c>
      <c r="C3293" t="s">
        <v>40</v>
      </c>
      <c r="D3293">
        <v>4.533385</v>
      </c>
      <c r="E3293">
        <v>0.52555479999999999</v>
      </c>
      <c r="F3293" t="s">
        <v>66</v>
      </c>
      <c r="G3293">
        <v>-302.93419999999998</v>
      </c>
      <c r="H3293" s="1">
        <v>2.132773E-6</v>
      </c>
      <c r="I3293">
        <v>215.40369999999999</v>
      </c>
      <c r="J3293">
        <v>-331.29399999999998</v>
      </c>
      <c r="K3293">
        <v>1.1084149999999999</v>
      </c>
      <c r="L3293">
        <v>215.5866</v>
      </c>
      <c r="M3293">
        <v>0.99989790000000001</v>
      </c>
      <c r="N3293">
        <v>-1.4285040000000001E-2</v>
      </c>
      <c r="O3293">
        <v>5.4625629999999995E-4</v>
      </c>
      <c r="P3293">
        <v>0.99722750000000004</v>
      </c>
      <c r="Q3293">
        <v>-4.2666129999999997E-2</v>
      </c>
      <c r="R3293">
        <v>6.0966340000000001E-2</v>
      </c>
      <c r="S3293">
        <v>3.004578</v>
      </c>
      <c r="T3293">
        <v>-0.1151923</v>
      </c>
      <c r="U3293">
        <v>-1.8981930000000001E-2</v>
      </c>
      <c r="V3293">
        <v>-6.0422959999999998E-2</v>
      </c>
      <c r="W3293">
        <v>-2.841339E-2</v>
      </c>
      <c r="X3293">
        <v>0.9977684</v>
      </c>
      <c r="Y3293">
        <v>6.856773E-3</v>
      </c>
      <c r="Z3293">
        <v>-1.935266E-4</v>
      </c>
      <c r="AA3293">
        <v>0.99997650000000005</v>
      </c>
      <c r="AB3293">
        <v>54</v>
      </c>
      <c r="AC3293">
        <v>28.3598</v>
      </c>
      <c r="AD3293">
        <v>-1.1084128672269999</v>
      </c>
      <c r="AE3293">
        <v>-0.18290000000001699</v>
      </c>
      <c r="AF3293">
        <v>0.198090689884523</v>
      </c>
      <c r="AG3293">
        <v>-1.1084128672269999</v>
      </c>
      <c r="AH3293">
        <v>28.316442729394598</v>
      </c>
      <c r="AI3293">
        <v>92.241574692038995</v>
      </c>
      <c r="AJ3293">
        <v>89.599187812596</v>
      </c>
      <c r="AK3293">
        <v>28.338820509201501</v>
      </c>
      <c r="AL3293">
        <v>91.628186428514596</v>
      </c>
      <c r="AM3293">
        <v>93.465491450487505</v>
      </c>
      <c r="AN3293">
        <v>1.0000000174325001</v>
      </c>
    </row>
    <row r="3294" spans="1:40" x14ac:dyDescent="0.25">
      <c r="A3294" t="str">
        <f>"20190305135258844"</f>
        <v>20190305135258844</v>
      </c>
      <c r="B3294" t="str">
        <f>"1551765178832877"</f>
        <v>1551765178832877</v>
      </c>
      <c r="C3294" t="s">
        <v>40</v>
      </c>
      <c r="D3294">
        <v>4.5341459999999998</v>
      </c>
      <c r="E3294">
        <v>0.52564730000000004</v>
      </c>
      <c r="F3294" t="s">
        <v>66</v>
      </c>
      <c r="G3294">
        <v>-301.6671</v>
      </c>
      <c r="H3294" s="1">
        <v>2.3575330000000002E-6</v>
      </c>
      <c r="I3294">
        <v>215.3897</v>
      </c>
      <c r="J3294">
        <v>-330.79059999999998</v>
      </c>
      <c r="K3294">
        <v>1.108439</v>
      </c>
      <c r="L3294">
        <v>215.58690000000001</v>
      </c>
      <c r="M3294">
        <v>0.99989649999999997</v>
      </c>
      <c r="N3294">
        <v>-1.4376150000000001E-2</v>
      </c>
      <c r="O3294">
        <v>5.4661169999999895E-4</v>
      </c>
      <c r="P3294">
        <v>0.99722</v>
      </c>
      <c r="Q3294">
        <v>-4.2262809999999998E-2</v>
      </c>
      <c r="R3294">
        <v>6.1372780000000002E-2</v>
      </c>
      <c r="S3294">
        <v>3.0047299999999999</v>
      </c>
      <c r="T3294">
        <v>-0.11241420000000001</v>
      </c>
      <c r="U3294">
        <v>-1.9973749999999998E-2</v>
      </c>
      <c r="V3294">
        <v>-6.082916E-2</v>
      </c>
      <c r="W3294">
        <v>-2.791925E-2</v>
      </c>
      <c r="X3294">
        <v>0.99775769999999997</v>
      </c>
      <c r="Y3294">
        <v>7.1868399999999999E-3</v>
      </c>
      <c r="Z3294">
        <v>-1.9866379999999999E-4</v>
      </c>
      <c r="AA3294">
        <v>0.99997409999999998</v>
      </c>
      <c r="AB3294">
        <v>54</v>
      </c>
      <c r="AC3294">
        <v>29.1234999999999</v>
      </c>
      <c r="AD3294">
        <v>-1.108436642467</v>
      </c>
      <c r="AE3294">
        <v>-0.19720000000000901</v>
      </c>
      <c r="AF3294">
        <v>0.212812605447147</v>
      </c>
      <c r="AG3294">
        <v>-1.108436642467</v>
      </c>
      <c r="AH3294">
        <v>29.081264002522499</v>
      </c>
      <c r="AI3294">
        <v>92.182722040091903</v>
      </c>
      <c r="AJ3294">
        <v>89.580725016934096</v>
      </c>
      <c r="AK3294">
        <v>29.103158539578001</v>
      </c>
      <c r="AL3294">
        <v>91.599863003520895</v>
      </c>
      <c r="AM3294">
        <v>93.488768569283295</v>
      </c>
      <c r="AN3294">
        <v>1.0000000495680701</v>
      </c>
    </row>
    <row r="3295" spans="1:40" x14ac:dyDescent="0.25">
      <c r="A3295" t="str">
        <f>"20190305135258867"</f>
        <v>20190305135258867</v>
      </c>
      <c r="B3295" t="str">
        <f>"1551765178863129"</f>
        <v>1551765178863129</v>
      </c>
      <c r="C3295" t="s">
        <v>40</v>
      </c>
      <c r="D3295">
        <v>4.5002110000000002</v>
      </c>
      <c r="E3295">
        <v>0.52582059999999997</v>
      </c>
      <c r="F3295" t="s">
        <v>66</v>
      </c>
      <c r="G3295">
        <v>-301.13350000000003</v>
      </c>
      <c r="H3295" s="1">
        <v>2.4521990000000002E-6</v>
      </c>
      <c r="I3295">
        <v>215.39410000000001</v>
      </c>
      <c r="J3295">
        <v>-330.25049999999999</v>
      </c>
      <c r="K3295">
        <v>1.108463</v>
      </c>
      <c r="L3295">
        <v>215.5872</v>
      </c>
      <c r="M3295">
        <v>0.99989510000000004</v>
      </c>
      <c r="N3295">
        <v>-1.447769E-2</v>
      </c>
      <c r="O3295">
        <v>5.4671039999999998E-4</v>
      </c>
      <c r="P3295">
        <v>0.99721139999999997</v>
      </c>
      <c r="Q3295">
        <v>-4.1863940000000002E-2</v>
      </c>
      <c r="R3295">
        <v>6.1779349999999997E-2</v>
      </c>
      <c r="S3295">
        <v>3.0048219999999999</v>
      </c>
      <c r="T3295">
        <v>-0.1123053</v>
      </c>
      <c r="U3295">
        <v>-1.953125E-2</v>
      </c>
      <c r="V3295">
        <v>-6.1234879999999998E-2</v>
      </c>
      <c r="W3295">
        <v>-2.7419200000000001E-2</v>
      </c>
      <c r="X3295">
        <v>0.99774669999999999</v>
      </c>
      <c r="Y3295">
        <v>7.0396259999999898E-3</v>
      </c>
      <c r="Z3295">
        <v>-1.950047E-4</v>
      </c>
      <c r="AA3295">
        <v>0.99997519999999995</v>
      </c>
      <c r="AB3295">
        <v>54</v>
      </c>
      <c r="AC3295">
        <v>29.116999999999901</v>
      </c>
      <c r="AD3295">
        <v>-1.1084605478009999</v>
      </c>
      <c r="AE3295">
        <v>-0.19309999999998601</v>
      </c>
      <c r="AF3295">
        <v>0.20871773190670401</v>
      </c>
      <c r="AG3295">
        <v>-1.1084605478009999</v>
      </c>
      <c r="AH3295">
        <v>29.074754951171901</v>
      </c>
      <c r="AI3295">
        <v>92.183259459414899</v>
      </c>
      <c r="AJ3295">
        <v>89.588700240051097</v>
      </c>
      <c r="AK3295">
        <v>29.0966256350859</v>
      </c>
      <c r="AL3295">
        <v>91.571201354060307</v>
      </c>
      <c r="AM3295">
        <v>93.512018626994006</v>
      </c>
      <c r="AN3295">
        <v>1.0000000002090701</v>
      </c>
    </row>
    <row r="3296" spans="1:40" x14ac:dyDescent="0.25">
      <c r="A3296" t="str">
        <f>"20190305135258889"</f>
        <v>20190305135258889</v>
      </c>
      <c r="B3296" t="str">
        <f>"1551765178882650"</f>
        <v>1551765178882650</v>
      </c>
      <c r="C3296" t="s">
        <v>40</v>
      </c>
      <c r="D3296">
        <v>4.5596199999999998</v>
      </c>
      <c r="E3296">
        <v>0.52598889999999998</v>
      </c>
      <c r="F3296" t="s">
        <v>66</v>
      </c>
      <c r="G3296">
        <v>-300.7133</v>
      </c>
      <c r="H3296" s="1">
        <v>2.5267349999999998E-6</v>
      </c>
      <c r="I3296">
        <v>215.39400000000001</v>
      </c>
      <c r="J3296">
        <v>-329.6927</v>
      </c>
      <c r="K3296">
        <v>1.1084849999999999</v>
      </c>
      <c r="L3296">
        <v>215.58750000000001</v>
      </c>
      <c r="M3296">
        <v>0.9998937</v>
      </c>
      <c r="N3296">
        <v>-1.457439E-2</v>
      </c>
      <c r="O3296">
        <v>5.4702069999999997E-4</v>
      </c>
      <c r="P3296">
        <v>0.99720980000000004</v>
      </c>
      <c r="Q3296">
        <v>-4.1622890000000003E-2</v>
      </c>
      <c r="R3296">
        <v>6.1969040000000003E-2</v>
      </c>
      <c r="S3296">
        <v>3.0049130000000002</v>
      </c>
      <c r="T3296">
        <v>-0.1127672</v>
      </c>
      <c r="U3296">
        <v>-1.9653319999999998E-2</v>
      </c>
      <c r="V3296">
        <v>-6.1424800000000002E-2</v>
      </c>
      <c r="W3296">
        <v>-2.708172E-2</v>
      </c>
      <c r="X3296">
        <v>0.99774430000000003</v>
      </c>
      <c r="Y3296">
        <v>7.0802570000000004E-3</v>
      </c>
      <c r="Z3296">
        <v>-1.96978E-4</v>
      </c>
      <c r="AA3296">
        <v>0.9999749</v>
      </c>
      <c r="AB3296">
        <v>54</v>
      </c>
      <c r="AC3296">
        <v>28.979399999999998</v>
      </c>
      <c r="AD3296">
        <v>-1.108482473265</v>
      </c>
      <c r="AE3296">
        <v>-0.19350000000000001</v>
      </c>
      <c r="AF3296">
        <v>0.20904813750103299</v>
      </c>
      <c r="AG3296">
        <v>-1.108482473265</v>
      </c>
      <c r="AH3296">
        <v>28.9369535593741</v>
      </c>
      <c r="AI3296">
        <v>92.193688909265603</v>
      </c>
      <c r="AJ3296">
        <v>89.5860874709537</v>
      </c>
      <c r="AK3296">
        <v>28.9589315378641</v>
      </c>
      <c r="AL3296">
        <v>91.551857902903393</v>
      </c>
      <c r="AM3296">
        <v>93.522892216644607</v>
      </c>
      <c r="AN3296">
        <v>1.00000005689784</v>
      </c>
    </row>
    <row r="3297" spans="1:40" x14ac:dyDescent="0.25">
      <c r="A3297" t="str">
        <f>"20190305135258911"</f>
        <v>20190305135258911</v>
      </c>
      <c r="B3297" t="str">
        <f>"1551765178903145"</f>
        <v>1551765178903145</v>
      </c>
      <c r="C3297" t="s">
        <v>40</v>
      </c>
      <c r="D3297">
        <v>4.5365190000000002</v>
      </c>
      <c r="E3297">
        <v>0.52616300000000005</v>
      </c>
      <c r="F3297" t="s">
        <v>66</v>
      </c>
      <c r="G3297">
        <v>-300.19830000000002</v>
      </c>
      <c r="H3297" s="1">
        <v>2.6180810000000001E-6</v>
      </c>
      <c r="I3297">
        <v>215.3854</v>
      </c>
      <c r="J3297">
        <v>-329.15120000000002</v>
      </c>
      <c r="K3297">
        <v>1.108506</v>
      </c>
      <c r="L3297">
        <v>215.58779999999999</v>
      </c>
      <c r="M3297">
        <v>0.99989249999999996</v>
      </c>
      <c r="N3297">
        <v>-1.465905E-2</v>
      </c>
      <c r="O3297">
        <v>5.4705809999999896E-4</v>
      </c>
      <c r="P3297">
        <v>0.99721539999999997</v>
      </c>
      <c r="Q3297">
        <v>-4.0679220000000002E-2</v>
      </c>
      <c r="R3297">
        <v>6.2505549999999993E-2</v>
      </c>
      <c r="S3297">
        <v>3.0049440000000001</v>
      </c>
      <c r="T3297">
        <v>-0.1129344</v>
      </c>
      <c r="U3297">
        <v>-2.0584109999999999E-2</v>
      </c>
      <c r="V3297">
        <v>-6.1961240000000001E-2</v>
      </c>
      <c r="W3297">
        <v>-2.6053570000000002E-2</v>
      </c>
      <c r="X3297">
        <v>0.99773849999999997</v>
      </c>
      <c r="Y3297">
        <v>7.3896259999999998E-3</v>
      </c>
      <c r="Z3297">
        <v>-2.0553809999999999E-4</v>
      </c>
      <c r="AA3297">
        <v>0.99997270000000005</v>
      </c>
      <c r="AB3297">
        <v>54</v>
      </c>
      <c r="AC3297">
        <v>28.9529</v>
      </c>
      <c r="AD3297">
        <v>-1.108503381919</v>
      </c>
      <c r="AE3297">
        <v>-0.20239999999998301</v>
      </c>
      <c r="AF3297">
        <v>0.21792116426373601</v>
      </c>
      <c r="AG3297">
        <v>-1.108503381919</v>
      </c>
      <c r="AH3297">
        <v>28.9104086422313</v>
      </c>
      <c r="AI3297">
        <v>92.195737436146402</v>
      </c>
      <c r="AJ3297">
        <v>89.5681234857921</v>
      </c>
      <c r="AK3297">
        <v>28.932473057835299</v>
      </c>
      <c r="AL3297">
        <v>91.492928458579797</v>
      </c>
      <c r="AM3297">
        <v>93.553600728024406</v>
      </c>
      <c r="AN3297">
        <v>1.0000000490771599</v>
      </c>
    </row>
    <row r="3298" spans="1:40" x14ac:dyDescent="0.25">
      <c r="A3298" t="str">
        <f>"20190305135258933"</f>
        <v>20190305135258933</v>
      </c>
      <c r="B3298" t="str">
        <f>"1551765178923172"</f>
        <v>1551765178923172</v>
      </c>
      <c r="C3298" t="s">
        <v>40</v>
      </c>
      <c r="D3298">
        <v>4.5745779999999998</v>
      </c>
      <c r="E3298">
        <v>0.52629130000000002</v>
      </c>
      <c r="F3298" t="s">
        <v>66</v>
      </c>
      <c r="G3298">
        <v>-299.18079999999998</v>
      </c>
      <c r="H3298" s="1">
        <v>2.5229320000000001E-6</v>
      </c>
      <c r="I3298">
        <v>215.38419999999999</v>
      </c>
      <c r="J3298">
        <v>-328.61930000000001</v>
      </c>
      <c r="K3298">
        <v>1.1085210000000001</v>
      </c>
      <c r="L3298">
        <v>215.5881</v>
      </c>
      <c r="M3298">
        <v>0.99989139999999999</v>
      </c>
      <c r="N3298">
        <v>-1.4734519999999999E-2</v>
      </c>
      <c r="O3298">
        <v>5.4704099999999996E-4</v>
      </c>
      <c r="P3298">
        <v>0.99721309999999996</v>
      </c>
      <c r="Q3298">
        <v>-4.0051469999999999E-2</v>
      </c>
      <c r="R3298">
        <v>6.2946950000000002E-2</v>
      </c>
      <c r="S3298">
        <v>3.0051570000000001</v>
      </c>
      <c r="T3298">
        <v>-0.11115070000000001</v>
      </c>
      <c r="U3298">
        <v>-2.0416259999999999E-2</v>
      </c>
      <c r="V3298">
        <v>-6.2402920000000001E-2</v>
      </c>
      <c r="W3298">
        <v>-2.5350629999999999E-2</v>
      </c>
      <c r="X3298">
        <v>0.99772899999999998</v>
      </c>
      <c r="Y3298">
        <v>7.3335219999999899E-3</v>
      </c>
      <c r="Z3298">
        <v>-2.017977E-4</v>
      </c>
      <c r="AA3298">
        <v>0.99997309999999995</v>
      </c>
      <c r="AB3298">
        <v>54</v>
      </c>
      <c r="AC3298">
        <v>29.438500000000001</v>
      </c>
      <c r="AD3298">
        <v>-1.1085184770680001</v>
      </c>
      <c r="AE3298">
        <v>-0.20390000000000399</v>
      </c>
      <c r="AF3298">
        <v>0.21969428666368099</v>
      </c>
      <c r="AG3298">
        <v>-1.1085184770680001</v>
      </c>
      <c r="AH3298">
        <v>29.396703598327701</v>
      </c>
      <c r="AI3298">
        <v>92.159479548471595</v>
      </c>
      <c r="AJ3298">
        <v>89.571811818043599</v>
      </c>
      <c r="AK3298">
        <v>29.418417041736401</v>
      </c>
      <c r="AL3298">
        <v>91.452639772504696</v>
      </c>
      <c r="AM3298">
        <v>93.578900339999805</v>
      </c>
      <c r="AN3298">
        <v>0.99999996815346104</v>
      </c>
    </row>
    <row r="3299" spans="1:40" x14ac:dyDescent="0.25">
      <c r="A3299" t="str">
        <f>"20190305135258955"</f>
        <v>20190305135258955</v>
      </c>
      <c r="B3299" t="str">
        <f>"1551765178942692"</f>
        <v>1551765178942692</v>
      </c>
      <c r="C3299" t="s">
        <v>40</v>
      </c>
      <c r="D3299">
        <v>4.5646559999999896</v>
      </c>
      <c r="E3299">
        <v>0.4983533</v>
      </c>
      <c r="F3299" t="s">
        <v>66</v>
      </c>
      <c r="G3299">
        <v>-298.20710000000003</v>
      </c>
      <c r="H3299" s="1">
        <v>2.3502099999999998E-6</v>
      </c>
      <c r="I3299">
        <v>215.38499999999999</v>
      </c>
      <c r="J3299">
        <v>-328.09690000000001</v>
      </c>
      <c r="K3299">
        <v>1.1085370000000001</v>
      </c>
      <c r="L3299">
        <v>215.5883</v>
      </c>
      <c r="M3299">
        <v>0.99989039999999996</v>
      </c>
      <c r="N3299">
        <v>-1.4801699999999999E-2</v>
      </c>
      <c r="O3299">
        <v>5.4720150000000004E-4</v>
      </c>
      <c r="P3299">
        <v>0.99727480000000002</v>
      </c>
      <c r="Q3299">
        <v>-3.8827769999999998E-2</v>
      </c>
      <c r="R3299">
        <v>6.273521E-2</v>
      </c>
      <c r="S3299">
        <v>3.0052490000000001</v>
      </c>
      <c r="T3299">
        <v>-0.1095407</v>
      </c>
      <c r="U3299">
        <v>-2.0065309999999999E-2</v>
      </c>
      <c r="V3299">
        <v>-6.2190809999999999E-2</v>
      </c>
      <c r="W3299">
        <v>-2.4059150000000001E-2</v>
      </c>
      <c r="X3299">
        <v>0.99777420000000006</v>
      </c>
      <c r="Y3299">
        <v>7.2169859999999999E-3</v>
      </c>
      <c r="Z3299">
        <v>-1.9676430000000001E-4</v>
      </c>
      <c r="AA3299">
        <v>0.99997400000000003</v>
      </c>
      <c r="AB3299">
        <v>54</v>
      </c>
      <c r="AC3299">
        <v>29.889799999999902</v>
      </c>
      <c r="AD3299">
        <v>-1.1085346497899999</v>
      </c>
      <c r="AE3299">
        <v>-0.203300000000012</v>
      </c>
      <c r="AF3299">
        <v>0.21935579894866</v>
      </c>
      <c r="AG3299">
        <v>-1.1085346497899999</v>
      </c>
      <c r="AH3299">
        <v>29.848630137043799</v>
      </c>
      <c r="AI3299">
        <v>92.126846923049001</v>
      </c>
      <c r="AJ3299">
        <v>89.578944320553404</v>
      </c>
      <c r="AK3299">
        <v>29.8700131753295</v>
      </c>
      <c r="AL3299">
        <v>91.378620849518498</v>
      </c>
      <c r="AM3299">
        <v>93.566605812515206</v>
      </c>
      <c r="AN3299">
        <v>0.99999994686640703</v>
      </c>
    </row>
    <row r="3300" spans="1:40" x14ac:dyDescent="0.25">
      <c r="A3300" t="str">
        <f>"20190305135258978"</f>
        <v>20190305135258978</v>
      </c>
      <c r="B3300" t="str">
        <f>"1551765178972948"</f>
        <v>1551765178972948</v>
      </c>
      <c r="C3300" t="s">
        <v>40</v>
      </c>
      <c r="D3300">
        <v>4.5999249999999998</v>
      </c>
      <c r="E3300">
        <v>0.49393759999999998</v>
      </c>
      <c r="F3300" t="s">
        <v>66</v>
      </c>
      <c r="G3300">
        <v>-302.73329999999999</v>
      </c>
      <c r="H3300" s="1">
        <v>2.1684109999999999E-6</v>
      </c>
      <c r="I3300">
        <v>217.28960000000001</v>
      </c>
      <c r="J3300">
        <v>-327.52969999999999</v>
      </c>
      <c r="K3300">
        <v>1.108568</v>
      </c>
      <c r="L3300">
        <v>215.58860000000001</v>
      </c>
      <c r="M3300">
        <v>0.99988929999999998</v>
      </c>
      <c r="N3300">
        <v>-1.486707E-2</v>
      </c>
      <c r="O3300">
        <v>5.4737290000000005E-4</v>
      </c>
      <c r="P3300">
        <v>0.99737070000000005</v>
      </c>
      <c r="Q3300">
        <v>-3.6879839999999997E-2</v>
      </c>
      <c r="R3300">
        <v>6.2385650000000001E-2</v>
      </c>
      <c r="S3300">
        <v>2.9904790000000001</v>
      </c>
      <c r="T3300">
        <v>-0.13070129999999999</v>
      </c>
      <c r="U3300">
        <v>0.20059199999999999</v>
      </c>
      <c r="V3300">
        <v>-6.1840659999999999E-2</v>
      </c>
      <c r="W3300">
        <v>-2.2044810000000001E-2</v>
      </c>
      <c r="X3300">
        <v>0.99784260000000002</v>
      </c>
      <c r="Y3300">
        <v>-6.6295989999999999E-2</v>
      </c>
      <c r="Z3300">
        <v>1.9243960000000001E-3</v>
      </c>
      <c r="AA3300">
        <v>0.99779810000000002</v>
      </c>
      <c r="AB3300">
        <v>54</v>
      </c>
      <c r="AC3300">
        <v>24.796399999999998</v>
      </c>
      <c r="AD3300">
        <v>-1.1085658315889999</v>
      </c>
      <c r="AE3300">
        <v>1.7009999999999901</v>
      </c>
      <c r="AF3300">
        <v>-1.68407518596753</v>
      </c>
      <c r="AG3300">
        <v>-1.1085658315889999</v>
      </c>
      <c r="AH3300">
        <v>24.748095342633299</v>
      </c>
      <c r="AI3300">
        <v>92.558881959680093</v>
      </c>
      <c r="AJ3300">
        <v>93.892900635985995</v>
      </c>
      <c r="AK3300">
        <v>24.830087606027998</v>
      </c>
      <c r="AL3300">
        <v>91.263176838869995</v>
      </c>
      <c r="AM3300">
        <v>93.546333828320698</v>
      </c>
      <c r="AN3300">
        <v>1.0000000476259601</v>
      </c>
    </row>
    <row r="3301" spans="1:40" x14ac:dyDescent="0.25">
      <c r="A3301" t="str">
        <f>"20190305135259001"</f>
        <v>20190305135259001</v>
      </c>
      <c r="B3301" t="str">
        <f>"1551765178993444"</f>
        <v>1551765178993444</v>
      </c>
      <c r="C3301" t="s">
        <v>40</v>
      </c>
      <c r="D3301">
        <v>4.5562639999999996</v>
      </c>
      <c r="E3301">
        <v>0.4931702</v>
      </c>
      <c r="F3301" t="s">
        <v>66</v>
      </c>
      <c r="G3301">
        <v>-285.64359999999999</v>
      </c>
      <c r="H3301" s="1">
        <v>4.0767299999999998E-6</v>
      </c>
      <c r="I3301">
        <v>218.9068</v>
      </c>
      <c r="J3301">
        <v>-326.97730000000001</v>
      </c>
      <c r="K3301">
        <v>1.108589</v>
      </c>
      <c r="L3301">
        <v>215.5889</v>
      </c>
      <c r="M3301">
        <v>0.99988860000000002</v>
      </c>
      <c r="N3301">
        <v>-1.4923189999999999E-2</v>
      </c>
      <c r="O3301">
        <v>5.4749180000000005E-4</v>
      </c>
      <c r="P3301">
        <v>0.9974674</v>
      </c>
      <c r="Q3301">
        <v>-3.4078110000000002E-2</v>
      </c>
      <c r="R3301">
        <v>6.2430289999999999E-2</v>
      </c>
      <c r="S3301">
        <v>2.990173</v>
      </c>
      <c r="T3301">
        <v>-7.9138520000000004E-2</v>
      </c>
      <c r="U3301">
        <v>0.23687739999999999</v>
      </c>
      <c r="V3301">
        <v>-6.1884740000000001E-2</v>
      </c>
      <c r="W3301">
        <v>-1.9185959999999998E-2</v>
      </c>
      <c r="X3301">
        <v>0.99789890000000003</v>
      </c>
      <c r="Y3301">
        <v>-7.8382670000000002E-2</v>
      </c>
      <c r="Z3301">
        <v>1.615102E-3</v>
      </c>
      <c r="AA3301">
        <v>0.99692199999999997</v>
      </c>
      <c r="AB3301">
        <v>54</v>
      </c>
      <c r="AC3301">
        <v>41.3337</v>
      </c>
      <c r="AD3301">
        <v>-1.10858492327</v>
      </c>
      <c r="AE3301">
        <v>3.3178999999999998</v>
      </c>
      <c r="AF3301">
        <v>-3.29291358975432</v>
      </c>
      <c r="AG3301">
        <v>-1.10858492327</v>
      </c>
      <c r="AH3301">
        <v>41.3059880372073</v>
      </c>
      <c r="AI3301">
        <v>91.532495957768006</v>
      </c>
      <c r="AJ3301">
        <v>94.557980416300694</v>
      </c>
      <c r="AK3301">
        <v>41.451862300403398</v>
      </c>
      <c r="AL3301">
        <v>91.099341965577196</v>
      </c>
      <c r="AM3301">
        <v>93.548655486186107</v>
      </c>
      <c r="AN3301">
        <v>1.00000001836359</v>
      </c>
    </row>
    <row r="3302" spans="1:40" x14ac:dyDescent="0.25">
      <c r="A3302" t="str">
        <f>"20190305135259024"</f>
        <v>20190305135259024</v>
      </c>
      <c r="B3302" t="str">
        <f>"1551765179012964"</f>
        <v>1551765179012964</v>
      </c>
      <c r="C3302" t="s">
        <v>40</v>
      </c>
      <c r="D3302">
        <v>4.5703760000000004</v>
      </c>
      <c r="E3302">
        <v>0.49273090000000003</v>
      </c>
      <c r="F3302" t="s">
        <v>66</v>
      </c>
      <c r="G3302">
        <v>-287.50299999999999</v>
      </c>
      <c r="H3302" s="1">
        <v>3.2661200000000001E-6</v>
      </c>
      <c r="I3302">
        <v>218.78980000000001</v>
      </c>
      <c r="J3302">
        <v>-326.4375</v>
      </c>
      <c r="K3302">
        <v>1.1086</v>
      </c>
      <c r="L3302">
        <v>215.58920000000001</v>
      </c>
      <c r="M3302">
        <v>0.99988779999999999</v>
      </c>
      <c r="N3302">
        <v>-1.497106E-2</v>
      </c>
      <c r="O3302">
        <v>5.4340309999999995E-4</v>
      </c>
      <c r="P3302">
        <v>0.99749429999999994</v>
      </c>
      <c r="Q3302">
        <v>-3.223666E-2</v>
      </c>
      <c r="R3302">
        <v>6.2977080000000005E-2</v>
      </c>
      <c r="S3302">
        <v>2.9895939999999999</v>
      </c>
      <c r="T3302">
        <v>-8.3958980000000002E-2</v>
      </c>
      <c r="U3302">
        <v>0.2424164</v>
      </c>
      <c r="V3302">
        <v>-6.2435999999999998E-2</v>
      </c>
      <c r="W3302">
        <v>-1.7296229999999999E-2</v>
      </c>
      <c r="X3302">
        <v>0.99789910000000004</v>
      </c>
      <c r="Y3302">
        <v>-8.0231529999999995E-2</v>
      </c>
      <c r="Z3302">
        <v>1.7191979999999999E-3</v>
      </c>
      <c r="AA3302">
        <v>0.99677479999999996</v>
      </c>
      <c r="AB3302">
        <v>54</v>
      </c>
      <c r="AC3302">
        <v>38.9345</v>
      </c>
      <c r="AD3302">
        <v>-1.10859673388</v>
      </c>
      <c r="AE3302">
        <v>3.2006000000000001</v>
      </c>
      <c r="AF3302">
        <v>-3.1768817128531999</v>
      </c>
      <c r="AG3302">
        <v>-1.10859673388</v>
      </c>
      <c r="AH3302">
        <v>38.904903876611101</v>
      </c>
      <c r="AI3302">
        <v>91.626792011719502</v>
      </c>
      <c r="AJ3302">
        <v>94.668279188464894</v>
      </c>
      <c r="AK3302">
        <v>39.050135848472799</v>
      </c>
      <c r="AL3302">
        <v>90.991050384775704</v>
      </c>
      <c r="AM3302">
        <v>93.580183804880804</v>
      </c>
      <c r="AN3302">
        <v>1.00000001372451</v>
      </c>
    </row>
    <row r="3303" spans="1:40" x14ac:dyDescent="0.25">
      <c r="A3303" t="str">
        <f>"20190305135259045"</f>
        <v>20190305135259045</v>
      </c>
      <c r="B3303" t="str">
        <f>"1551765179033461"</f>
        <v>1551765179033461</v>
      </c>
      <c r="C3303" t="s">
        <v>40</v>
      </c>
      <c r="D3303">
        <v>4.5819749999999999</v>
      </c>
      <c r="E3303">
        <v>0.49247679999999999</v>
      </c>
      <c r="F3303" t="s">
        <v>66</v>
      </c>
      <c r="G3303">
        <v>-288.8331</v>
      </c>
      <c r="H3303" s="1">
        <v>2.6870400000000001E-6</v>
      </c>
      <c r="I3303">
        <v>218.6996</v>
      </c>
      <c r="J3303">
        <v>-325.92700000000002</v>
      </c>
      <c r="K3303">
        <v>1.1085879999999999</v>
      </c>
      <c r="L3303">
        <v>215.58949999999999</v>
      </c>
      <c r="M3303">
        <v>0.99988730000000003</v>
      </c>
      <c r="N3303">
        <v>-1.501066E-2</v>
      </c>
      <c r="O3303">
        <v>5.2100479999999999E-4</v>
      </c>
      <c r="P3303">
        <v>0.99747030000000003</v>
      </c>
      <c r="Q3303">
        <v>-3.2022420000000003E-2</v>
      </c>
      <c r="R3303">
        <v>6.3465569999999999E-2</v>
      </c>
      <c r="S3303">
        <v>2.9890750000000001</v>
      </c>
      <c r="T3303">
        <v>-8.8119390000000006E-2</v>
      </c>
      <c r="U3303">
        <v>0.24723819999999999</v>
      </c>
      <c r="V3303">
        <v>-6.2946829999999995E-2</v>
      </c>
      <c r="W3303">
        <v>-1.704145E-2</v>
      </c>
      <c r="X3303">
        <v>0.99787139999999996</v>
      </c>
      <c r="Y3303">
        <v>-8.1859769999999998E-2</v>
      </c>
      <c r="Z3303">
        <v>1.8124599999999999E-3</v>
      </c>
      <c r="AA3303">
        <v>0.99664219999999903</v>
      </c>
      <c r="AB3303">
        <v>54</v>
      </c>
      <c r="AC3303">
        <v>37.093899999999998</v>
      </c>
      <c r="AD3303">
        <v>-1.1085853129599901</v>
      </c>
      <c r="AE3303">
        <v>3.1101000000000099</v>
      </c>
      <c r="AF3303">
        <v>-3.08803242363921</v>
      </c>
      <c r="AG3303">
        <v>-1.1085853129599901</v>
      </c>
      <c r="AH3303">
        <v>37.062643434267002</v>
      </c>
      <c r="AI3303">
        <v>91.707357775576</v>
      </c>
      <c r="AJ3303">
        <v>94.762841520821993</v>
      </c>
      <c r="AK3303">
        <v>37.207585839196398</v>
      </c>
      <c r="AL3303">
        <v>90.9764504055169</v>
      </c>
      <c r="AM3303">
        <v>93.609498451424201</v>
      </c>
      <c r="AN3303">
        <v>1.00000002268155</v>
      </c>
    </row>
    <row r="3304" spans="1:40" x14ac:dyDescent="0.25">
      <c r="A3304" t="str">
        <f>"20190305135259067"</f>
        <v>20190305135259067</v>
      </c>
      <c r="B3304" t="str">
        <f>"1551765179062741"</f>
        <v>1551765179062741</v>
      </c>
      <c r="C3304" t="s">
        <v>40</v>
      </c>
      <c r="D3304">
        <v>4.4941899999999997</v>
      </c>
      <c r="E3304">
        <v>0.49371009999999999</v>
      </c>
      <c r="F3304" t="s">
        <v>66</v>
      </c>
      <c r="G3304">
        <v>-290.83260000000001</v>
      </c>
      <c r="H3304" s="1">
        <v>1.042088E-6</v>
      </c>
      <c r="I3304">
        <v>218.52930000000001</v>
      </c>
      <c r="J3304">
        <v>-325.4101</v>
      </c>
      <c r="K3304">
        <v>1.1085689999999999</v>
      </c>
      <c r="L3304">
        <v>215.58969999999999</v>
      </c>
      <c r="M3304">
        <v>0.99988679999999996</v>
      </c>
      <c r="N3304">
        <v>-1.50455E-2</v>
      </c>
      <c r="O3304">
        <v>4.6066910000000001E-4</v>
      </c>
      <c r="P3304">
        <v>0.99741880000000005</v>
      </c>
      <c r="Q3304">
        <v>-3.215523E-2</v>
      </c>
      <c r="R3304">
        <v>6.4203999999999997E-2</v>
      </c>
      <c r="S3304">
        <v>2.9886170000000001</v>
      </c>
      <c r="T3304">
        <v>-9.4406370000000003E-2</v>
      </c>
      <c r="U3304">
        <v>0.25035099999999999</v>
      </c>
      <c r="V3304">
        <v>-6.3746579999999997E-2</v>
      </c>
      <c r="W3304">
        <v>-1.7136780000000001E-2</v>
      </c>
      <c r="X3304">
        <v>0.99781889999999995</v>
      </c>
      <c r="Y3304">
        <v>-8.2955959999999995E-2</v>
      </c>
      <c r="Z3304">
        <v>1.925426E-3</v>
      </c>
      <c r="AA3304">
        <v>0.99655130000000003</v>
      </c>
      <c r="AB3304">
        <v>54</v>
      </c>
      <c r="AC3304">
        <v>34.577499999999901</v>
      </c>
      <c r="AD3304">
        <v>-1.108567957912</v>
      </c>
      <c r="AE3304">
        <v>2.9396000000000102</v>
      </c>
      <c r="AF3304">
        <v>-2.9206885593575298</v>
      </c>
      <c r="AG3304">
        <v>-1.108567957912</v>
      </c>
      <c r="AH3304">
        <v>34.543599177305097</v>
      </c>
      <c r="AI3304">
        <v>91.8315660007422</v>
      </c>
      <c r="AJ3304">
        <v>94.832908670117504</v>
      </c>
      <c r="AK3304">
        <v>34.684572776673797</v>
      </c>
      <c r="AL3304">
        <v>90.9819133042934</v>
      </c>
      <c r="AM3304">
        <v>93.655425979531202</v>
      </c>
      <c r="AN3304">
        <v>0.99999992644383395</v>
      </c>
    </row>
    <row r="3305" spans="1:40" x14ac:dyDescent="0.25">
      <c r="A3305" t="str">
        <f>"20190305135259090"</f>
        <v>20190305135259090</v>
      </c>
      <c r="B3305" t="str">
        <f>"1551765179083236"</f>
        <v>1551765179083236</v>
      </c>
      <c r="C3305" t="s">
        <v>40</v>
      </c>
      <c r="D3305">
        <v>4.514176</v>
      </c>
      <c r="E3305">
        <v>0.49425259999999999</v>
      </c>
      <c r="F3305" t="s">
        <v>66</v>
      </c>
      <c r="G3305">
        <v>-281.0949</v>
      </c>
      <c r="H3305" s="1">
        <v>6.0585859999999999E-6</v>
      </c>
      <c r="I3305">
        <v>219.20320000000001</v>
      </c>
      <c r="J3305">
        <v>-324.8528</v>
      </c>
      <c r="K3305">
        <v>1.1085309999999999</v>
      </c>
      <c r="L3305">
        <v>215.5899</v>
      </c>
      <c r="M3305">
        <v>0.99988619999999995</v>
      </c>
      <c r="N3305">
        <v>-1.5078060000000001E-2</v>
      </c>
      <c r="O3305">
        <v>3.3849889999999999E-4</v>
      </c>
      <c r="P3305">
        <v>0.99739690000000003</v>
      </c>
      <c r="Q3305">
        <v>-3.1626729999999999E-2</v>
      </c>
      <c r="R3305">
        <v>6.4802410000000005E-2</v>
      </c>
      <c r="S3305">
        <v>2.989655</v>
      </c>
      <c r="T3305">
        <v>-7.4787380000000001E-2</v>
      </c>
      <c r="U3305">
        <v>0.2437744</v>
      </c>
      <c r="V3305">
        <v>-6.4468490000000003E-2</v>
      </c>
      <c r="W3305">
        <v>-1.6569830000000001E-2</v>
      </c>
      <c r="X3305">
        <v>0.99778219999999995</v>
      </c>
      <c r="Y3305">
        <v>-8.0891829999999998E-2</v>
      </c>
      <c r="Z3305">
        <v>1.6176230000000001E-3</v>
      </c>
      <c r="AA3305">
        <v>0.99672159999999999</v>
      </c>
      <c r="AB3305">
        <v>54</v>
      </c>
      <c r="AC3305">
        <v>43.757899999999999</v>
      </c>
      <c r="AD3305">
        <v>-1.1085249414139999</v>
      </c>
      <c r="AE3305">
        <v>3.6133000000000002</v>
      </c>
      <c r="AF3305">
        <v>-3.5961938154178901</v>
      </c>
      <c r="AG3305">
        <v>-1.1085249414139999</v>
      </c>
      <c r="AH3305">
        <v>43.731245489907401</v>
      </c>
      <c r="AI3305">
        <v>91.447172787323098</v>
      </c>
      <c r="AJ3305">
        <v>94.701081401965396</v>
      </c>
      <c r="AK3305">
        <v>43.892861260144898</v>
      </c>
      <c r="AL3305">
        <v>90.9494247447563</v>
      </c>
      <c r="AM3305">
        <v>93.696843976414002</v>
      </c>
      <c r="AN3305">
        <v>1.0000000320529701</v>
      </c>
    </row>
    <row r="3306" spans="1:40" x14ac:dyDescent="0.25">
      <c r="A3306" t="str">
        <f>"20190305135259113"</f>
        <v>20190305135259113</v>
      </c>
      <c r="B3306" t="str">
        <f>"1551765179102759"</f>
        <v>1551765179102759</v>
      </c>
      <c r="C3306" t="s">
        <v>40</v>
      </c>
      <c r="D3306">
        <v>4.4933069999999997</v>
      </c>
      <c r="E3306">
        <v>0.49473879999999998</v>
      </c>
      <c r="F3306" t="s">
        <v>56</v>
      </c>
      <c r="G3306">
        <v>-275.00619999999998</v>
      </c>
      <c r="H3306">
        <v>9.5361409999999997E-3</v>
      </c>
      <c r="I3306">
        <v>219.6163</v>
      </c>
      <c r="J3306">
        <v>-324.30009999999999</v>
      </c>
      <c r="K3306">
        <v>1.108487</v>
      </c>
      <c r="L3306">
        <v>215.59</v>
      </c>
      <c r="M3306">
        <v>0.99988589999999999</v>
      </c>
      <c r="N3306">
        <v>-1.5105759999999999E-2</v>
      </c>
      <c r="O3306">
        <v>1.6187959999999999E-4</v>
      </c>
      <c r="P3306">
        <v>0.99734080000000003</v>
      </c>
      <c r="Q3306">
        <v>-3.1595989999999997E-2</v>
      </c>
      <c r="R3306">
        <v>6.5676319999999996E-2</v>
      </c>
      <c r="S3306">
        <v>2.9901119999999999</v>
      </c>
      <c r="T3306">
        <v>-6.5924640000000007E-2</v>
      </c>
      <c r="U3306">
        <v>0.24153140000000001</v>
      </c>
      <c r="V3306">
        <v>-6.552094E-2</v>
      </c>
      <c r="W3306">
        <v>-1.650422E-2</v>
      </c>
      <c r="X3306">
        <v>0.99771469999999995</v>
      </c>
      <c r="Y3306">
        <v>-8.0320310000000006E-2</v>
      </c>
      <c r="Z3306">
        <v>1.4905599999999999E-3</v>
      </c>
      <c r="AA3306">
        <v>0.99676799999999999</v>
      </c>
      <c r="AB3306">
        <v>54</v>
      </c>
      <c r="AC3306">
        <v>49.293900000000001</v>
      </c>
      <c r="AD3306">
        <v>-1.0989508589999999</v>
      </c>
      <c r="AE3306">
        <v>4.0262999999999902</v>
      </c>
      <c r="AF3306">
        <v>-4.01633640667312</v>
      </c>
      <c r="AG3306">
        <v>-1.0989508589999999</v>
      </c>
      <c r="AH3306">
        <v>49.270225414585497</v>
      </c>
      <c r="AI3306">
        <v>91.273522639202596</v>
      </c>
      <c r="AJ3306">
        <v>94.660247372720406</v>
      </c>
      <c r="AK3306">
        <v>49.445867001460599</v>
      </c>
      <c r="AL3306">
        <v>90.945665082395806</v>
      </c>
      <c r="AM3306">
        <v>93.757277049758301</v>
      </c>
      <c r="AN3306">
        <v>1.0000000027261899</v>
      </c>
    </row>
    <row r="3307" spans="1:40" x14ac:dyDescent="0.25">
      <c r="A3307" t="str">
        <f>"20190305135259134"</f>
        <v>20190305135259134</v>
      </c>
      <c r="B3307" t="str">
        <f>"1551765179122786"</f>
        <v>1551765179122786</v>
      </c>
      <c r="C3307" t="s">
        <v>40</v>
      </c>
      <c r="D3307">
        <v>4.4892390000000004</v>
      </c>
      <c r="E3307">
        <v>0.4950987</v>
      </c>
      <c r="F3307" t="s">
        <v>56</v>
      </c>
      <c r="G3307">
        <v>-273.26859999999999</v>
      </c>
      <c r="H3307">
        <v>8.0000749999999995E-2</v>
      </c>
      <c r="I3307">
        <v>219.6944</v>
      </c>
      <c r="J3307">
        <v>-323.79469999999998</v>
      </c>
      <c r="K3307">
        <v>1.108436</v>
      </c>
      <c r="L3307">
        <v>215.5899</v>
      </c>
      <c r="M3307">
        <v>0.99988560000000004</v>
      </c>
      <c r="N3307">
        <v>-1.512756E-2</v>
      </c>
      <c r="O3307" s="1">
        <v>-5.6438640000000001E-5</v>
      </c>
      <c r="P3307">
        <v>0.99733970000000005</v>
      </c>
      <c r="Q3307">
        <v>-3.0853200000000001E-2</v>
      </c>
      <c r="R3307">
        <v>6.6041039999999995E-2</v>
      </c>
      <c r="S3307">
        <v>2.9902950000000001</v>
      </c>
      <c r="T3307">
        <v>-6.0266260000000002E-2</v>
      </c>
      <c r="U3307">
        <v>0.240509</v>
      </c>
      <c r="V3307">
        <v>-6.6104540000000003E-2</v>
      </c>
      <c r="W3307">
        <v>-1.573111E-2</v>
      </c>
      <c r="X3307">
        <v>0.99768869999999998</v>
      </c>
      <c r="Y3307">
        <v>-8.0198820000000004E-2</v>
      </c>
      <c r="Z3307">
        <v>1.414787E-3</v>
      </c>
      <c r="AA3307">
        <v>0.99677789999999999</v>
      </c>
      <c r="AB3307">
        <v>54</v>
      </c>
      <c r="AC3307">
        <v>50.5260999999999</v>
      </c>
      <c r="AD3307">
        <v>-1.02843525</v>
      </c>
      <c r="AE3307">
        <v>4.1044999999999998</v>
      </c>
      <c r="AF3307">
        <v>-4.10566209084321</v>
      </c>
      <c r="AG3307">
        <v>-1.02843525</v>
      </c>
      <c r="AH3307">
        <v>50.505080807834403</v>
      </c>
      <c r="AI3307">
        <v>91.162718596746004</v>
      </c>
      <c r="AJ3307">
        <v>94.647472509248303</v>
      </c>
      <c r="AK3307">
        <v>50.682120394410397</v>
      </c>
      <c r="AL3307">
        <v>90.901363379992105</v>
      </c>
      <c r="AM3307">
        <v>93.790744757835697</v>
      </c>
      <c r="AN3307">
        <v>1.00000001006906</v>
      </c>
    </row>
    <row r="3308" spans="1:40" x14ac:dyDescent="0.25">
      <c r="A3308" t="str">
        <f>"20190305135259156"</f>
        <v>20190305135259156</v>
      </c>
      <c r="B3308" t="str">
        <f>"1551765179153039"</f>
        <v>1551765179153039</v>
      </c>
      <c r="C3308" t="s">
        <v>40</v>
      </c>
      <c r="D3308">
        <v>4.4927070000000002</v>
      </c>
      <c r="E3308">
        <v>0.49552230000000003</v>
      </c>
      <c r="F3308" t="s">
        <v>56</v>
      </c>
      <c r="G3308">
        <v>-266.85879999999997</v>
      </c>
      <c r="H3308">
        <v>8.0000329999999995E-2</v>
      </c>
      <c r="I3308">
        <v>220.13720000000001</v>
      </c>
      <c r="J3308">
        <v>-323.24630000000002</v>
      </c>
      <c r="K3308">
        <v>1.108376</v>
      </c>
      <c r="L3308">
        <v>215.58959999999999</v>
      </c>
      <c r="M3308">
        <v>0.99988509999999997</v>
      </c>
      <c r="N3308">
        <v>-1.514763E-2</v>
      </c>
      <c r="O3308">
        <v>-3.6674169999999999E-4</v>
      </c>
      <c r="P3308">
        <v>0.99729900000000005</v>
      </c>
      <c r="Q3308">
        <v>-3.1328950000000001E-2</v>
      </c>
      <c r="R3308">
        <v>6.6430909999999996E-2</v>
      </c>
      <c r="S3308">
        <v>2.9905089999999999</v>
      </c>
      <c r="T3308">
        <v>-5.4017660000000002E-2</v>
      </c>
      <c r="U3308">
        <v>0.2388458</v>
      </c>
      <c r="V3308">
        <v>-6.6807190000000002E-2</v>
      </c>
      <c r="W3308">
        <v>-1.6176369999999999E-2</v>
      </c>
      <c r="X3308">
        <v>0.99763480000000004</v>
      </c>
      <c r="Y3308">
        <v>-7.9956139999999995E-2</v>
      </c>
      <c r="Z3308">
        <v>1.3286470000000001E-3</v>
      </c>
      <c r="AA3308">
        <v>0.9967975</v>
      </c>
      <c r="AB3308">
        <v>54</v>
      </c>
      <c r="AC3308">
        <v>56.387500000000003</v>
      </c>
      <c r="AD3308">
        <v>-1.02837567</v>
      </c>
      <c r="AE3308">
        <v>4.5476000000000099</v>
      </c>
      <c r="AF3308">
        <v>-4.5667725692634198</v>
      </c>
      <c r="AG3308">
        <v>-1.02837567</v>
      </c>
      <c r="AH3308">
        <v>56.367200970600898</v>
      </c>
      <c r="AI3308">
        <v>91.041788128202796</v>
      </c>
      <c r="AJ3308">
        <v>94.631887560113995</v>
      </c>
      <c r="AK3308">
        <v>56.561243917351497</v>
      </c>
      <c r="AL3308">
        <v>90.926878122975594</v>
      </c>
      <c r="AM3308">
        <v>93.831125014999301</v>
      </c>
      <c r="AN3308">
        <v>1.0000000348765501</v>
      </c>
    </row>
    <row r="3309" spans="1:40" x14ac:dyDescent="0.25">
      <c r="A3309" t="str">
        <f>"20190305135259179"</f>
        <v>20190305135259179</v>
      </c>
      <c r="B3309" t="str">
        <f>"1551765179172559"</f>
        <v>1551765179172559</v>
      </c>
      <c r="C3309" t="s">
        <v>40</v>
      </c>
      <c r="D3309">
        <v>4.4661790000000003</v>
      </c>
      <c r="E3309">
        <v>0.49559690000000001</v>
      </c>
      <c r="F3309" t="s">
        <v>56</v>
      </c>
      <c r="G3309">
        <v>-262.56209999999999</v>
      </c>
      <c r="H3309">
        <v>8.0000520000000006E-2</v>
      </c>
      <c r="I3309">
        <v>220.39439999999999</v>
      </c>
      <c r="J3309">
        <v>-322.70440000000002</v>
      </c>
      <c r="K3309">
        <v>1.1083099999999999</v>
      </c>
      <c r="L3309">
        <v>215.58920000000001</v>
      </c>
      <c r="M3309">
        <v>0.99988469999999996</v>
      </c>
      <c r="N3309">
        <v>-1.516442E-2</v>
      </c>
      <c r="O3309">
        <v>-7.5070759999999997E-4</v>
      </c>
      <c r="P3309">
        <v>0.99727290000000002</v>
      </c>
      <c r="Q3309">
        <v>-3.1045420000000001E-2</v>
      </c>
      <c r="R3309">
        <v>6.6955269999999997E-2</v>
      </c>
      <c r="S3309">
        <v>2.9907840000000001</v>
      </c>
      <c r="T3309">
        <v>-5.0682900000000003E-2</v>
      </c>
      <c r="U3309">
        <v>0.23680109999999999</v>
      </c>
      <c r="V3309">
        <v>-6.7717059999999996E-2</v>
      </c>
      <c r="W3309">
        <v>-1.5864130000000001E-2</v>
      </c>
      <c r="X3309">
        <v>0.99757839999999998</v>
      </c>
      <c r="Y3309">
        <v>-7.9656770000000002E-2</v>
      </c>
      <c r="Z3309">
        <v>1.2802130000000001E-3</v>
      </c>
      <c r="AA3309">
        <v>0.99682150000000003</v>
      </c>
      <c r="AB3309">
        <v>54</v>
      </c>
      <c r="AC3309">
        <v>60.142299999999999</v>
      </c>
      <c r="AD3309">
        <v>-1.0283094800000001</v>
      </c>
      <c r="AE3309">
        <v>4.8051999999999797</v>
      </c>
      <c r="AF3309">
        <v>-4.8489445740891002</v>
      </c>
      <c r="AG3309">
        <v>-1.0283094800000001</v>
      </c>
      <c r="AH3309">
        <v>60.121211009196898</v>
      </c>
      <c r="AI3309">
        <v>90.976716983384094</v>
      </c>
      <c r="AJ3309">
        <v>94.611084692868602</v>
      </c>
      <c r="AK3309">
        <v>60.3251995196172</v>
      </c>
      <c r="AL3309">
        <v>90.908985854422994</v>
      </c>
      <c r="AM3309">
        <v>93.883362725322399</v>
      </c>
      <c r="AN3309">
        <v>0.99999996749112896</v>
      </c>
    </row>
    <row r="3310" spans="1:40" x14ac:dyDescent="0.25">
      <c r="A3310" t="str">
        <f>"20190305135259201"</f>
        <v>20190305135259201</v>
      </c>
      <c r="B3310" t="str">
        <f>"1551765179193054"</f>
        <v>1551765179193054</v>
      </c>
      <c r="C3310" t="s">
        <v>40</v>
      </c>
      <c r="D3310">
        <v>4.4566879999999998</v>
      </c>
      <c r="E3310">
        <v>0.4956354</v>
      </c>
      <c r="F3310" t="s">
        <v>56</v>
      </c>
      <c r="G3310">
        <v>-257.60489999999999</v>
      </c>
      <c r="H3310">
        <v>8.0000509999999997E-2</v>
      </c>
      <c r="I3310">
        <v>220.76580000000001</v>
      </c>
      <c r="J3310">
        <v>-322.15750000000003</v>
      </c>
      <c r="K3310">
        <v>1.108236</v>
      </c>
      <c r="L3310">
        <v>215.58840000000001</v>
      </c>
      <c r="M3310">
        <v>0.99988410000000005</v>
      </c>
      <c r="N3310">
        <v>-1.5178840000000001E-2</v>
      </c>
      <c r="O3310">
        <v>-1.211169E-3</v>
      </c>
      <c r="P3310">
        <v>0.99727960000000004</v>
      </c>
      <c r="Q3310">
        <v>-3.0791280000000001E-2</v>
      </c>
      <c r="R3310">
        <v>6.6973690000000002E-2</v>
      </c>
      <c r="S3310">
        <v>2.9907530000000002</v>
      </c>
      <c r="T3310">
        <v>-4.7241810000000002E-2</v>
      </c>
      <c r="U3310">
        <v>0.23782349999999999</v>
      </c>
      <c r="V3310">
        <v>-6.8197309999999997E-2</v>
      </c>
      <c r="W3310">
        <v>-1.55826E-2</v>
      </c>
      <c r="X3310">
        <v>0.9975501</v>
      </c>
      <c r="Y3310">
        <v>-8.0457219999999996E-2</v>
      </c>
      <c r="Z3310">
        <v>1.2468480000000001E-3</v>
      </c>
      <c r="AA3310">
        <v>0.99675729999999996</v>
      </c>
      <c r="AB3310">
        <v>54</v>
      </c>
      <c r="AC3310">
        <v>64.552599999999998</v>
      </c>
      <c r="AD3310">
        <v>-1.0282354899999999</v>
      </c>
      <c r="AE3310">
        <v>5.1773999999999996</v>
      </c>
      <c r="AF3310">
        <v>-5.2542647144563102</v>
      </c>
      <c r="AG3310">
        <v>-1.0282354899999999</v>
      </c>
      <c r="AH3310">
        <v>64.530013193304697</v>
      </c>
      <c r="AI3310">
        <v>90.909875701361997</v>
      </c>
      <c r="AJ3310">
        <v>94.6549584842884</v>
      </c>
      <c r="AK3310">
        <v>64.751734869735699</v>
      </c>
      <c r="AL3310">
        <v>90.892853397702297</v>
      </c>
      <c r="AM3310">
        <v>93.910929010225402</v>
      </c>
      <c r="AN3310">
        <v>0.99999994626200095</v>
      </c>
    </row>
    <row r="3311" spans="1:40" x14ac:dyDescent="0.25">
      <c r="A3311" t="str">
        <f>"20190305135259224"</f>
        <v>20190305135259224</v>
      </c>
      <c r="B3311" t="str">
        <f>"1551765179213551"</f>
        <v>1551765179213551</v>
      </c>
      <c r="C3311" t="s">
        <v>40</v>
      </c>
      <c r="D3311">
        <v>4.453233</v>
      </c>
      <c r="E3311">
        <v>0.49566470000000001</v>
      </c>
      <c r="F3311" t="s">
        <v>56</v>
      </c>
      <c r="G3311">
        <v>-252.78790000000001</v>
      </c>
      <c r="H3311">
        <v>8.0000559999999998E-2</v>
      </c>
      <c r="I3311">
        <v>221.09950000000001</v>
      </c>
      <c r="J3311">
        <v>-321.62049999999999</v>
      </c>
      <c r="K3311">
        <v>1.10816</v>
      </c>
      <c r="L3311">
        <v>215.58750000000001</v>
      </c>
      <c r="M3311">
        <v>0.99988319999999997</v>
      </c>
      <c r="N3311">
        <v>-1.5190560000000001E-2</v>
      </c>
      <c r="O3311">
        <v>-1.7245050000000001E-3</v>
      </c>
      <c r="P3311">
        <v>0.99726870000000001</v>
      </c>
      <c r="Q3311">
        <v>-3.1118179999999999E-2</v>
      </c>
      <c r="R3311">
        <v>6.6985550000000005E-2</v>
      </c>
      <c r="S3311">
        <v>2.9908450000000002</v>
      </c>
      <c r="T3311">
        <v>-4.4332030000000001E-2</v>
      </c>
      <c r="U3311">
        <v>0.23760990000000001</v>
      </c>
      <c r="V3311">
        <v>-6.8724489999999999E-2</v>
      </c>
      <c r="W3311">
        <v>-1.588525E-2</v>
      </c>
      <c r="X3311">
        <v>0.99750919999999998</v>
      </c>
      <c r="Y3311">
        <v>-8.0897440000000001E-2</v>
      </c>
      <c r="Z3311">
        <v>1.2134509999999999E-3</v>
      </c>
      <c r="AA3311">
        <v>0.99672169999999904</v>
      </c>
      <c r="AB3311">
        <v>54</v>
      </c>
      <c r="AC3311">
        <v>68.8325999999999</v>
      </c>
      <c r="AD3311">
        <v>-1.02815944</v>
      </c>
      <c r="AE3311">
        <v>5.5119999999999996</v>
      </c>
      <c r="AF3311">
        <v>-5.6294596294000696</v>
      </c>
      <c r="AG3311">
        <v>-1.02815944</v>
      </c>
      <c r="AH3311">
        <v>68.807736703333902</v>
      </c>
      <c r="AI3311">
        <v>90.853227945316803</v>
      </c>
      <c r="AJ3311">
        <v>94.677199255617595</v>
      </c>
      <c r="AK3311">
        <v>69.045293523805299</v>
      </c>
      <c r="AL3311">
        <v>90.910196063882907</v>
      </c>
      <c r="AM3311">
        <v>93.941227517285697</v>
      </c>
      <c r="AN3311">
        <v>1.00000000038898</v>
      </c>
    </row>
    <row r="3312" spans="1:40" x14ac:dyDescent="0.25">
      <c r="A3312" t="str">
        <f>"20190305135259246"</f>
        <v>20190305135259246</v>
      </c>
      <c r="B3312" t="str">
        <f>"1551765179233072"</f>
        <v>1551765179233072</v>
      </c>
      <c r="C3312" t="s">
        <v>40</v>
      </c>
      <c r="D3312">
        <v>4.4390219999999996</v>
      </c>
      <c r="E3312">
        <v>0.49571510000000002</v>
      </c>
      <c r="F3312" t="s">
        <v>56</v>
      </c>
      <c r="G3312">
        <v>-251.221</v>
      </c>
      <c r="H3312">
        <v>8.0000089999999996E-2</v>
      </c>
      <c r="I3312">
        <v>221.17420000000001</v>
      </c>
      <c r="J3312">
        <v>-321.11900000000003</v>
      </c>
      <c r="K3312">
        <v>1.1081030000000001</v>
      </c>
      <c r="L3312">
        <v>215.58629999999999</v>
      </c>
      <c r="M3312">
        <v>0.99988189999999999</v>
      </c>
      <c r="N3312">
        <v>-1.519967E-2</v>
      </c>
      <c r="O3312">
        <v>-2.248365E-3</v>
      </c>
      <c r="P3312">
        <v>0.99725929999999996</v>
      </c>
      <c r="Q3312">
        <v>-3.1159889999999999E-2</v>
      </c>
      <c r="R3312">
        <v>6.7105040000000005E-2</v>
      </c>
      <c r="S3312">
        <v>2.9909059999999998</v>
      </c>
      <c r="T3312">
        <v>-4.368114E-2</v>
      </c>
      <c r="U3312">
        <v>0.23735049999999999</v>
      </c>
      <c r="V3312">
        <v>-6.9368970000000002E-2</v>
      </c>
      <c r="W3312">
        <v>-1.590666E-2</v>
      </c>
      <c r="X3312">
        <v>0.99746420000000002</v>
      </c>
      <c r="Y3312">
        <v>-8.1332420000000002E-2</v>
      </c>
      <c r="Z3312">
        <v>1.2107999999999999E-3</v>
      </c>
      <c r="AA3312">
        <v>0.99668630000000003</v>
      </c>
      <c r="AB3312">
        <v>54</v>
      </c>
      <c r="AC3312">
        <v>69.897999999999996</v>
      </c>
      <c r="AD3312">
        <v>-1.0281029100000001</v>
      </c>
      <c r="AE3312">
        <v>5.5879000000000101</v>
      </c>
      <c r="AF3312">
        <v>-5.7438255070774797</v>
      </c>
      <c r="AG3312">
        <v>-1.0281029100000001</v>
      </c>
      <c r="AH3312">
        <v>69.870238222274594</v>
      </c>
      <c r="AI3312">
        <v>90.840181901694393</v>
      </c>
      <c r="AJ3312">
        <v>94.699548967665606</v>
      </c>
      <c r="AK3312">
        <v>70.113470291283605</v>
      </c>
      <c r="AL3312">
        <v>90.9114229646773</v>
      </c>
      <c r="AM3312">
        <v>93.978248077780094</v>
      </c>
      <c r="AN3312">
        <v>0.99999995305642697</v>
      </c>
    </row>
    <row r="3313" spans="1:40" x14ac:dyDescent="0.25">
      <c r="A3313" t="str">
        <f>"20190305135259268"</f>
        <v>20190305135259268</v>
      </c>
      <c r="B3313" t="str">
        <f>"1551765179263327"</f>
        <v>1551765179263327</v>
      </c>
      <c r="C3313" t="s">
        <v>40</v>
      </c>
      <c r="D3313">
        <v>4.4412880000000001</v>
      </c>
      <c r="E3313">
        <v>0.4957858</v>
      </c>
      <c r="F3313" t="s">
        <v>56</v>
      </c>
      <c r="G3313">
        <v>-248.79419999999999</v>
      </c>
      <c r="H3313">
        <v>8.0000840000000004E-2</v>
      </c>
      <c r="I3313">
        <v>221.32910000000001</v>
      </c>
      <c r="J3313">
        <v>-320.58049999999997</v>
      </c>
      <c r="K3313">
        <v>1.1080559999999999</v>
      </c>
      <c r="L3313">
        <v>215.5847</v>
      </c>
      <c r="M3313">
        <v>0.99988030000000006</v>
      </c>
      <c r="N3313">
        <v>-1.520781E-2</v>
      </c>
      <c r="O3313">
        <v>-2.8473819999999999E-3</v>
      </c>
      <c r="P3313">
        <v>0.99724659999999998</v>
      </c>
      <c r="Q3313">
        <v>-2.981615E-2</v>
      </c>
      <c r="R3313">
        <v>6.7899500000000002E-2</v>
      </c>
      <c r="S3313">
        <v>2.990936</v>
      </c>
      <c r="T3313">
        <v>-4.2516350000000001E-2</v>
      </c>
      <c r="U3313">
        <v>0.2374878</v>
      </c>
      <c r="V3313">
        <v>-7.0761110000000002E-2</v>
      </c>
      <c r="W3313">
        <v>-1.4543149999999999E-2</v>
      </c>
      <c r="X3313">
        <v>0.99738729999999998</v>
      </c>
      <c r="Y3313">
        <v>-8.1974729999999996E-2</v>
      </c>
      <c r="Z3313">
        <v>1.203277E-3</v>
      </c>
      <c r="AA3313">
        <v>0.99663369999999996</v>
      </c>
      <c r="AB3313">
        <v>53</v>
      </c>
      <c r="AC3313">
        <v>71.786299999999898</v>
      </c>
      <c r="AD3313">
        <v>-1.0280551600000001</v>
      </c>
      <c r="AE3313">
        <v>5.7444000000000104</v>
      </c>
      <c r="AF3313">
        <v>-5.9475913224910402</v>
      </c>
      <c r="AG3313">
        <v>-1.0280551600000001</v>
      </c>
      <c r="AH3313">
        <v>71.755027751779593</v>
      </c>
      <c r="AI3313">
        <v>90.818032259448799</v>
      </c>
      <c r="AJ3313">
        <v>94.738269748443798</v>
      </c>
      <c r="AK3313">
        <v>72.008435253170404</v>
      </c>
      <c r="AL3313">
        <v>90.833290464812507</v>
      </c>
      <c r="AM3313">
        <v>94.058133783736693</v>
      </c>
      <c r="AN3313">
        <v>1.00000003205082</v>
      </c>
    </row>
    <row r="3314" spans="1:40" x14ac:dyDescent="0.25">
      <c r="A3314" t="str">
        <f>"20190305135259291"</f>
        <v>20190305135259291</v>
      </c>
      <c r="B3314" t="str">
        <f>"1551765179282850"</f>
        <v>1551765179282850</v>
      </c>
      <c r="C3314" t="s">
        <v>40</v>
      </c>
      <c r="D3314">
        <v>4.4575950000000004</v>
      </c>
      <c r="E3314">
        <v>0.49584810000000001</v>
      </c>
      <c r="F3314" t="s">
        <v>56</v>
      </c>
      <c r="G3314">
        <v>-237.15649999999999</v>
      </c>
      <c r="H3314">
        <v>8.0000310000000005E-2</v>
      </c>
      <c r="I3314">
        <v>222.26419999999999</v>
      </c>
      <c r="J3314">
        <v>-320.01749999999998</v>
      </c>
      <c r="K3314">
        <v>1.108004</v>
      </c>
      <c r="L3314">
        <v>215.58269999999999</v>
      </c>
      <c r="M3314">
        <v>0.99987820000000005</v>
      </c>
      <c r="N3314">
        <v>-1.521423E-2</v>
      </c>
      <c r="O3314">
        <v>-3.5001569999999998E-3</v>
      </c>
      <c r="P3314">
        <v>0.9972432</v>
      </c>
      <c r="Q3314">
        <v>-2.8994039999999999E-2</v>
      </c>
      <c r="R3314">
        <v>6.830522E-2</v>
      </c>
      <c r="S3314">
        <v>2.9909059999999998</v>
      </c>
      <c r="T3314">
        <v>-3.6857719999999997E-2</v>
      </c>
      <c r="U3314">
        <v>0.2394714</v>
      </c>
      <c r="V3314">
        <v>-7.1818670000000001E-2</v>
      </c>
      <c r="W3314">
        <v>-1.3703999999999999E-2</v>
      </c>
      <c r="X3314">
        <v>0.99732359999999998</v>
      </c>
      <c r="Y3314">
        <v>-8.3285919999999999E-2</v>
      </c>
      <c r="Z3314">
        <v>1.136902E-3</v>
      </c>
      <c r="AA3314">
        <v>0.99652499999999999</v>
      </c>
      <c r="AB3314">
        <v>53</v>
      </c>
      <c r="AC3314">
        <v>82.860999999999905</v>
      </c>
      <c r="AD3314">
        <v>-1.02800369</v>
      </c>
      <c r="AE3314">
        <v>6.6814999999999998</v>
      </c>
      <c r="AF3314">
        <v>-6.9704531776314296</v>
      </c>
      <c r="AG3314">
        <v>-1.02800369</v>
      </c>
      <c r="AH3314">
        <v>82.824437500663095</v>
      </c>
      <c r="AI3314">
        <v>90.708604780773797</v>
      </c>
      <c r="AJ3314">
        <v>94.8106409578876</v>
      </c>
      <c r="AK3314">
        <v>83.123591455070397</v>
      </c>
      <c r="AL3314">
        <v>90.785205907633397</v>
      </c>
      <c r="AM3314">
        <v>94.118839581689699</v>
      </c>
      <c r="AN3314">
        <v>1.0000000420467601</v>
      </c>
    </row>
    <row r="3315" spans="1:40" x14ac:dyDescent="0.25">
      <c r="A3315" t="str">
        <f>"20190305135259313"</f>
        <v>20190305135259313</v>
      </c>
      <c r="B3315" t="str">
        <f>"1551765179303346"</f>
        <v>1551765179303346</v>
      </c>
      <c r="C3315" t="s">
        <v>40</v>
      </c>
      <c r="D3315">
        <v>4.4486780000000001</v>
      </c>
      <c r="E3315">
        <v>0.49591089999999999</v>
      </c>
      <c r="F3315" t="s">
        <v>56</v>
      </c>
      <c r="G3315">
        <v>-229.4941</v>
      </c>
      <c r="H3315">
        <v>8.0000979999999999E-2</v>
      </c>
      <c r="I3315">
        <v>222.84719999999999</v>
      </c>
      <c r="J3315">
        <v>-319.50220000000002</v>
      </c>
      <c r="K3315">
        <v>1.1079619999999999</v>
      </c>
      <c r="L3315">
        <v>215.5805</v>
      </c>
      <c r="M3315">
        <v>0.99987579999999998</v>
      </c>
      <c r="N3315">
        <v>-1.521848E-2</v>
      </c>
      <c r="O3315">
        <v>-4.1137020000000003E-3</v>
      </c>
      <c r="P3315">
        <v>0.99721150000000003</v>
      </c>
      <c r="Q3315">
        <v>-2.864999E-2</v>
      </c>
      <c r="R3315">
        <v>6.890947E-2</v>
      </c>
      <c r="S3315">
        <v>2.9909059999999998</v>
      </c>
      <c r="T3315">
        <v>-3.3965349999999998E-2</v>
      </c>
      <c r="U3315">
        <v>0.24002080000000001</v>
      </c>
      <c r="V3315">
        <v>-7.3035459999999996E-2</v>
      </c>
      <c r="W3315">
        <v>-1.334691E-2</v>
      </c>
      <c r="X3315">
        <v>0.99724000000000002</v>
      </c>
      <c r="Y3315">
        <v>-8.4080650000000007E-2</v>
      </c>
      <c r="Z3315">
        <v>1.1016750000000001E-3</v>
      </c>
      <c r="AA3315">
        <v>0.99645839999999997</v>
      </c>
      <c r="AB3315">
        <v>53</v>
      </c>
      <c r="AC3315">
        <v>90.008099999999999</v>
      </c>
      <c r="AD3315">
        <v>-1.02796102</v>
      </c>
      <c r="AE3315">
        <v>7.2666999999999797</v>
      </c>
      <c r="AF3315">
        <v>-7.6359583225172001</v>
      </c>
      <c r="AG3315">
        <v>-1.02796102</v>
      </c>
      <c r="AH3315">
        <v>89.965783151265498</v>
      </c>
      <c r="AI3315">
        <v>90.652295577870603</v>
      </c>
      <c r="AJ3315">
        <v>94.851423366022502</v>
      </c>
      <c r="AK3315">
        <v>90.295108956035904</v>
      </c>
      <c r="AL3315">
        <v>90.764744343410797</v>
      </c>
      <c r="AM3315">
        <v>94.188726732909799</v>
      </c>
      <c r="AN3315">
        <v>0.99999996801197899</v>
      </c>
    </row>
    <row r="3316" spans="1:40" x14ac:dyDescent="0.25">
      <c r="A3316" t="str">
        <f>"20190305135259335"</f>
        <v>20190305135259335</v>
      </c>
      <c r="B3316" t="str">
        <f>"1551765179322863"</f>
        <v>1551765179322863</v>
      </c>
      <c r="C3316" t="s">
        <v>40</v>
      </c>
      <c r="D3316">
        <v>4.4215489999999997</v>
      </c>
      <c r="E3316">
        <v>0.49600319999999998</v>
      </c>
      <c r="F3316" t="s">
        <v>56</v>
      </c>
      <c r="G3316">
        <v>-224.02539999999999</v>
      </c>
      <c r="H3316">
        <v>8.0000829999999995E-2</v>
      </c>
      <c r="I3316">
        <v>223.28659999999999</v>
      </c>
      <c r="J3316">
        <v>-318.98329999999999</v>
      </c>
      <c r="K3316">
        <v>1.1079270000000001</v>
      </c>
      <c r="L3316">
        <v>215.578</v>
      </c>
      <c r="M3316">
        <v>0.99987289999999995</v>
      </c>
      <c r="N3316">
        <v>-1.522157E-2</v>
      </c>
      <c r="O3316">
        <v>-4.7414359999999999E-3</v>
      </c>
      <c r="P3316">
        <v>0.99721559999999998</v>
      </c>
      <c r="Q3316">
        <v>-2.8428309999999998E-2</v>
      </c>
      <c r="R3316">
        <v>6.8941970000000005E-2</v>
      </c>
      <c r="S3316">
        <v>2.9908139999999999</v>
      </c>
      <c r="T3316">
        <v>-3.2200930000000003E-2</v>
      </c>
      <c r="U3316">
        <v>0.241394</v>
      </c>
      <c r="V3316">
        <v>-7.3694270000000006E-2</v>
      </c>
      <c r="W3316">
        <v>-1.3114560000000001E-2</v>
      </c>
      <c r="X3316">
        <v>0.99719460000000004</v>
      </c>
      <c r="Y3316">
        <v>-8.5163970000000006E-2</v>
      </c>
      <c r="Z3316">
        <v>1.0859159999999999E-3</v>
      </c>
      <c r="AA3316">
        <v>0.99636639999999999</v>
      </c>
      <c r="AB3316">
        <v>53</v>
      </c>
      <c r="AC3316">
        <v>94.957899999999995</v>
      </c>
      <c r="AD3316">
        <v>-1.02792617</v>
      </c>
      <c r="AE3316">
        <v>7.7085999999999899</v>
      </c>
      <c r="AF3316">
        <v>-8.1578526086630401</v>
      </c>
      <c r="AG3316">
        <v>-1.02792617</v>
      </c>
      <c r="AH3316">
        <v>94.909229433863203</v>
      </c>
      <c r="AI3316">
        <v>90.618245318377006</v>
      </c>
      <c r="AJ3316">
        <v>94.9127414237919</v>
      </c>
      <c r="AK3316">
        <v>95.264731265696199</v>
      </c>
      <c r="AL3316">
        <v>90.751430513985596</v>
      </c>
      <c r="AM3316">
        <v>94.226566195623704</v>
      </c>
      <c r="AN3316">
        <v>0.99999995369199202</v>
      </c>
    </row>
    <row r="3317" spans="1:40" x14ac:dyDescent="0.25">
      <c r="A3317" t="str">
        <f>"20190305135259357"</f>
        <v>20190305135259357</v>
      </c>
      <c r="B3317" t="str">
        <f>"1551765179353119"</f>
        <v>1551765179353119</v>
      </c>
      <c r="C3317" t="s">
        <v>40</v>
      </c>
      <c r="D3317">
        <v>4.4257589999999896</v>
      </c>
      <c r="E3317">
        <v>0.49620170000000002</v>
      </c>
      <c r="F3317" t="s">
        <v>56</v>
      </c>
      <c r="G3317">
        <v>-217.7662</v>
      </c>
      <c r="H3317">
        <v>8.0000429999999997E-2</v>
      </c>
      <c r="I3317">
        <v>223.72720000000001</v>
      </c>
      <c r="J3317">
        <v>-318.45479999999998</v>
      </c>
      <c r="K3317">
        <v>1.107891</v>
      </c>
      <c r="L3317">
        <v>215.5752</v>
      </c>
      <c r="M3317">
        <v>0.99986969999999997</v>
      </c>
      <c r="N3317">
        <v>-1.522393E-2</v>
      </c>
      <c r="O3317">
        <v>-5.3870810000000002E-3</v>
      </c>
      <c r="P3317">
        <v>0.99718790000000002</v>
      </c>
      <c r="Q3317">
        <v>-2.8065280000000001E-2</v>
      </c>
      <c r="R3317">
        <v>6.9491990000000003E-2</v>
      </c>
      <c r="S3317">
        <v>2.990875</v>
      </c>
      <c r="T3317">
        <v>-3.0374290000000002E-2</v>
      </c>
      <c r="U3317">
        <v>0.24079900000000001</v>
      </c>
      <c r="V3317">
        <v>-7.4888560000000007E-2</v>
      </c>
      <c r="W3317">
        <v>-1.274173E-2</v>
      </c>
      <c r="X3317">
        <v>0.99711050000000001</v>
      </c>
      <c r="Y3317">
        <v>-8.5609640000000001E-2</v>
      </c>
      <c r="Z3317">
        <v>1.0595279999999999E-3</v>
      </c>
      <c r="AA3317">
        <v>0.9963282</v>
      </c>
      <c r="AB3317">
        <v>53</v>
      </c>
      <c r="AC3317">
        <v>100.688599999999</v>
      </c>
      <c r="AD3317">
        <v>-1.0278905700000001</v>
      </c>
      <c r="AE3317">
        <v>8.1520000000000099</v>
      </c>
      <c r="AF3317">
        <v>-8.6934620450598992</v>
      </c>
      <c r="AG3317">
        <v>-1.0278905700000001</v>
      </c>
      <c r="AH3317">
        <v>100.632798836745</v>
      </c>
      <c r="AI3317">
        <v>90.583042811291605</v>
      </c>
      <c r="AJ3317">
        <v>94.937407343238206</v>
      </c>
      <c r="AK3317">
        <v>101.012836031218</v>
      </c>
      <c r="AL3317">
        <v>90.730067109188994</v>
      </c>
      <c r="AM3317">
        <v>94.295168594262606</v>
      </c>
      <c r="AN3317">
        <v>0.99999999865625799</v>
      </c>
    </row>
    <row r="3318" spans="1:40" x14ac:dyDescent="0.25">
      <c r="A3318" t="str">
        <f>"20190305135259381"</f>
        <v>20190305135259381</v>
      </c>
      <c r="B3318" t="str">
        <f>"1551765179372642"</f>
        <v>1551765179372642</v>
      </c>
      <c r="C3318" t="s">
        <v>40</v>
      </c>
      <c r="D3318">
        <v>4.4015300000000002</v>
      </c>
      <c r="E3318">
        <v>0.47430450000000002</v>
      </c>
      <c r="F3318" t="s">
        <v>55</v>
      </c>
      <c r="G3318">
        <v>-208.29769999999999</v>
      </c>
      <c r="H3318">
        <v>8.0000139999999997E-2</v>
      </c>
      <c r="I3318">
        <v>224.45140000000001</v>
      </c>
      <c r="J3318">
        <v>-317.88490000000002</v>
      </c>
      <c r="K3318">
        <v>1.1078619999999999</v>
      </c>
      <c r="L3318">
        <v>215.57169999999999</v>
      </c>
      <c r="M3318">
        <v>0.99986560000000002</v>
      </c>
      <c r="N3318">
        <v>-1.5225789999999999E-2</v>
      </c>
      <c r="O3318">
        <v>-6.0863219999999999E-3</v>
      </c>
      <c r="P3318">
        <v>0.99719349999999995</v>
      </c>
      <c r="Q3318">
        <v>-2.7818909999999999E-2</v>
      </c>
      <c r="R3318">
        <v>6.9509020000000005E-2</v>
      </c>
      <c r="S3318">
        <v>2.9908450000000002</v>
      </c>
      <c r="T3318">
        <v>-2.7907970000000001E-2</v>
      </c>
      <c r="U3318">
        <v>0.2409973</v>
      </c>
      <c r="V3318">
        <v>-7.5602909999999995E-2</v>
      </c>
      <c r="W3318">
        <v>-1.248673E-2</v>
      </c>
      <c r="X3318">
        <v>0.99705980000000005</v>
      </c>
      <c r="Y3318">
        <v>-8.6373909999999998E-2</v>
      </c>
      <c r="Z3318">
        <v>1.0252E-3</v>
      </c>
      <c r="AA3318">
        <v>0.99626230000000005</v>
      </c>
      <c r="AB3318">
        <v>53</v>
      </c>
      <c r="AC3318">
        <v>109.5872</v>
      </c>
      <c r="AD3318">
        <v>-1.02786186</v>
      </c>
      <c r="AE3318">
        <v>8.8797000000000104</v>
      </c>
      <c r="AF3318">
        <v>-9.5457614836996694</v>
      </c>
      <c r="AG3318">
        <v>-1.02786186</v>
      </c>
      <c r="AH3318">
        <v>109.521546695613</v>
      </c>
      <c r="AI3318">
        <v>90.535675525348694</v>
      </c>
      <c r="AJ3318">
        <v>94.981240592590794</v>
      </c>
      <c r="AK3318">
        <v>109.941562900053</v>
      </c>
      <c r="AL3318">
        <v>90.715455535021405</v>
      </c>
      <c r="AM3318">
        <v>94.336203647231699</v>
      </c>
      <c r="AN3318">
        <v>0.99999998160129999</v>
      </c>
    </row>
    <row r="3319" spans="1:40" x14ac:dyDescent="0.25">
      <c r="A3319" t="str">
        <f>"20190305135259402"</f>
        <v>20190305135259402</v>
      </c>
      <c r="B3319" t="str">
        <f>"1551765179393134"</f>
        <v>1551765179393134</v>
      </c>
      <c r="C3319" t="s">
        <v>40</v>
      </c>
      <c r="D3319">
        <v>4.4538000000000002</v>
      </c>
      <c r="E3319">
        <v>0.45696910000000002</v>
      </c>
      <c r="F3319" t="s">
        <v>66</v>
      </c>
      <c r="G3319">
        <v>-287.46499999999997</v>
      </c>
      <c r="H3319">
        <v>6.426287E-2</v>
      </c>
      <c r="I3319">
        <v>219.785</v>
      </c>
      <c r="J3319">
        <v>-317.36989999999997</v>
      </c>
      <c r="K3319">
        <v>1.1078410000000001</v>
      </c>
      <c r="L3319">
        <v>215.56819999999999</v>
      </c>
      <c r="M3319">
        <v>0.99986149999999996</v>
      </c>
      <c r="N3319">
        <v>-1.5226730000000001E-2</v>
      </c>
      <c r="O3319">
        <v>-6.7205499999999996E-3</v>
      </c>
      <c r="P3319">
        <v>0.99719930000000001</v>
      </c>
      <c r="Q3319">
        <v>-2.7342450000000001E-2</v>
      </c>
      <c r="R3319">
        <v>6.9615620000000003E-2</v>
      </c>
      <c r="S3319">
        <v>2.9768680000000001</v>
      </c>
      <c r="T3319">
        <v>-0.10212599999999999</v>
      </c>
      <c r="U3319">
        <v>0.4123077</v>
      </c>
      <c r="V3319">
        <v>-7.6341699999999998E-2</v>
      </c>
      <c r="W3319">
        <v>-1.20038E-2</v>
      </c>
      <c r="X3319">
        <v>0.99700949999999999</v>
      </c>
      <c r="Y3319">
        <v>-0.1437273</v>
      </c>
      <c r="Z3319">
        <v>3.6805359999999999E-3</v>
      </c>
      <c r="AA3319">
        <v>0.98961049999999995</v>
      </c>
      <c r="AB3319">
        <v>53</v>
      </c>
      <c r="AC3319">
        <v>29.904900000000001</v>
      </c>
      <c r="AD3319">
        <v>-1.04357813</v>
      </c>
      <c r="AE3319">
        <v>4.2168000000000001</v>
      </c>
      <c r="AF3319">
        <v>-4.4124368461009196</v>
      </c>
      <c r="AG3319">
        <v>-1.04357813</v>
      </c>
      <c r="AH3319">
        <v>29.8402518687747</v>
      </c>
      <c r="AI3319">
        <v>91.981413651622503</v>
      </c>
      <c r="AJ3319">
        <v>98.411296532599295</v>
      </c>
      <c r="AK3319">
        <v>30.182764714753301</v>
      </c>
      <c r="AL3319">
        <v>90.687783565288498</v>
      </c>
      <c r="AM3319">
        <v>94.378632992106901</v>
      </c>
      <c r="AN3319">
        <v>1.0000000447317801</v>
      </c>
    </row>
    <row r="3320" spans="1:40" x14ac:dyDescent="0.25">
      <c r="A3320" t="str">
        <f>"20190305135259436"</f>
        <v>20190305135259436</v>
      </c>
      <c r="B3320" t="str">
        <f>"1551765179433151"</f>
        <v>1551765179433151</v>
      </c>
      <c r="C3320" t="s">
        <v>40</v>
      </c>
      <c r="D3320">
        <v>4.3492009999999999</v>
      </c>
      <c r="E3320">
        <v>0.44950129999999999</v>
      </c>
      <c r="F3320" t="s">
        <v>66</v>
      </c>
      <c r="G3320">
        <v>-290.3578</v>
      </c>
      <c r="H3320" s="1">
        <v>8.7285239999999996E-7</v>
      </c>
      <c r="I3320">
        <v>220.57499999999999</v>
      </c>
      <c r="J3320">
        <v>-316.5872</v>
      </c>
      <c r="K3320">
        <v>1.1078159999999999</v>
      </c>
      <c r="L3320">
        <v>215.56229999999999</v>
      </c>
      <c r="M3320">
        <v>0.99985469999999999</v>
      </c>
      <c r="N3320">
        <v>-1.522688E-2</v>
      </c>
      <c r="O3320">
        <v>-7.6884129999999998E-3</v>
      </c>
      <c r="P3320">
        <v>0.99719740000000001</v>
      </c>
      <c r="Q3320">
        <v>-2.7911769999999999E-2</v>
      </c>
      <c r="R3320">
        <v>6.9414980000000001E-2</v>
      </c>
      <c r="S3320">
        <v>2.966736</v>
      </c>
      <c r="T3320">
        <v>-0.1216739</v>
      </c>
      <c r="U3320">
        <v>0.54989619999999995</v>
      </c>
      <c r="V3320">
        <v>-7.7107980000000007E-2</v>
      </c>
      <c r="W3320">
        <v>-1.256665E-2</v>
      </c>
      <c r="X3320">
        <v>0.99694349999999998</v>
      </c>
      <c r="Y3320">
        <v>-0.18958929999999999</v>
      </c>
      <c r="Z3320">
        <v>5.5064370000000003E-3</v>
      </c>
      <c r="AA3320">
        <v>0.9818481</v>
      </c>
      <c r="AB3320">
        <v>53</v>
      </c>
      <c r="AC3320">
        <v>26.229399999999998</v>
      </c>
      <c r="AD3320">
        <v>-1.1078151271476</v>
      </c>
      <c r="AE3320">
        <v>5.0126999999999899</v>
      </c>
      <c r="AF3320">
        <v>-5.2052793665324497</v>
      </c>
      <c r="AG3320">
        <v>-1.1078151271476</v>
      </c>
      <c r="AH3320">
        <v>26.145084919193302</v>
      </c>
      <c r="AI3320">
        <v>92.379627917546301</v>
      </c>
      <c r="AJ3320">
        <v>101.25990459576801</v>
      </c>
      <c r="AK3320">
        <v>26.681222855622899</v>
      </c>
      <c r="AL3320">
        <v>90.720034994625706</v>
      </c>
      <c r="AM3320">
        <v>94.422701652203401</v>
      </c>
      <c r="AN3320">
        <v>0.99999995173207501</v>
      </c>
    </row>
    <row r="3321" spans="1:40" x14ac:dyDescent="0.25">
      <c r="A3321" t="str">
        <f>"20190305135259458"</f>
        <v>20190305135259458</v>
      </c>
      <c r="B3321" t="str">
        <f>"1551765179452671"</f>
        <v>1551765179452671</v>
      </c>
      <c r="C3321" t="s">
        <v>40</v>
      </c>
      <c r="D3321">
        <v>4.3293239999999997</v>
      </c>
      <c r="E3321">
        <v>0.44841409999999998</v>
      </c>
      <c r="F3321" t="s">
        <v>66</v>
      </c>
      <c r="G3321">
        <v>-289.47550000000001</v>
      </c>
      <c r="H3321" s="1">
        <v>2.338466E-6</v>
      </c>
      <c r="I3321">
        <v>221.1353</v>
      </c>
      <c r="J3321">
        <v>-316.04750000000001</v>
      </c>
      <c r="K3321">
        <v>1.107802</v>
      </c>
      <c r="L3321">
        <v>215.55779999999999</v>
      </c>
      <c r="M3321">
        <v>0.99984910000000005</v>
      </c>
      <c r="N3321">
        <v>-1.522636E-2</v>
      </c>
      <c r="O3321">
        <v>-8.3583240000000003E-3</v>
      </c>
      <c r="P3321">
        <v>0.99724500000000005</v>
      </c>
      <c r="Q3321">
        <v>-2.7685540000000002E-2</v>
      </c>
      <c r="R3321">
        <v>6.8818599999999994E-2</v>
      </c>
      <c r="S3321">
        <v>2.9626160000000001</v>
      </c>
      <c r="T3321">
        <v>-0.121056</v>
      </c>
      <c r="U3321">
        <v>0.60899349999999997</v>
      </c>
      <c r="V3321">
        <v>-7.7179990000000004E-2</v>
      </c>
      <c r="W3321">
        <v>-1.233765E-2</v>
      </c>
      <c r="X3321">
        <v>0.99694090000000002</v>
      </c>
      <c r="Y3321">
        <v>-0.2092955</v>
      </c>
      <c r="Z3321">
        <v>6.0529779999999997E-3</v>
      </c>
      <c r="AA3321">
        <v>0.97783370000000003</v>
      </c>
      <c r="AB3321">
        <v>53</v>
      </c>
      <c r="AC3321">
        <v>26.571999999999999</v>
      </c>
      <c r="AD3321">
        <v>-1.107799661534</v>
      </c>
      <c r="AE3321">
        <v>5.5775000000000103</v>
      </c>
      <c r="AF3321">
        <v>-5.7897897146542201</v>
      </c>
      <c r="AG3321">
        <v>-1.107799661534</v>
      </c>
      <c r="AH3321">
        <v>26.480364434777801</v>
      </c>
      <c r="AI3321">
        <v>92.340334554452397</v>
      </c>
      <c r="AJ3321">
        <v>102.33332607089</v>
      </c>
      <c r="AK3321">
        <v>27.128556644772999</v>
      </c>
      <c r="AL3321">
        <v>90.706913164254701</v>
      </c>
      <c r="AM3321">
        <v>94.426827036929595</v>
      </c>
      <c r="AN3321">
        <v>1.0000000632783601</v>
      </c>
    </row>
    <row r="3322" spans="1:40" x14ac:dyDescent="0.25">
      <c r="A3322" t="str">
        <f>"20190305135259481"</f>
        <v>20190305135259481</v>
      </c>
      <c r="B3322" t="str">
        <f>"1551765179473166"</f>
        <v>1551765179473166</v>
      </c>
      <c r="C3322" t="s">
        <v>40</v>
      </c>
      <c r="D3322">
        <v>4.317094</v>
      </c>
      <c r="E3322">
        <v>0.4474611</v>
      </c>
      <c r="F3322" t="s">
        <v>66</v>
      </c>
      <c r="G3322">
        <v>-289.40089999999998</v>
      </c>
      <c r="H3322">
        <v>4.243744E-2</v>
      </c>
      <c r="I3322">
        <v>221.0967</v>
      </c>
      <c r="J3322">
        <v>-315.4948</v>
      </c>
      <c r="K3322">
        <v>1.107785</v>
      </c>
      <c r="L3322">
        <v>215.55279999999999</v>
      </c>
      <c r="M3322">
        <v>0.99984329999999999</v>
      </c>
      <c r="N3322">
        <v>-1.5225549999999999E-2</v>
      </c>
      <c r="O3322">
        <v>-9.0470020000000002E-3</v>
      </c>
      <c r="P3322">
        <v>0.99729789999999996</v>
      </c>
      <c r="Q3322">
        <v>-2.731138E-2</v>
      </c>
      <c r="R3322">
        <v>6.8199800000000005E-2</v>
      </c>
      <c r="S3322">
        <v>2.962494</v>
      </c>
      <c r="T3322">
        <v>-0.1184443</v>
      </c>
      <c r="U3322">
        <v>0.61579899999999999</v>
      </c>
      <c r="V3322">
        <v>-7.7247839999999998E-2</v>
      </c>
      <c r="W3322">
        <v>-1.196156E-2</v>
      </c>
      <c r="X3322">
        <v>0.9969401</v>
      </c>
      <c r="Y3322">
        <v>-0.21213580000000001</v>
      </c>
      <c r="Z3322">
        <v>6.0488360000000001E-3</v>
      </c>
      <c r="AA3322">
        <v>0.97722149999999997</v>
      </c>
      <c r="AB3322">
        <v>53</v>
      </c>
      <c r="AC3322">
        <v>26.093900000000001</v>
      </c>
      <c r="AD3322">
        <v>-1.06534756</v>
      </c>
      <c r="AE3322">
        <v>5.5438999999999998</v>
      </c>
      <c r="AF3322">
        <v>-5.7705685440969399</v>
      </c>
      <c r="AG3322">
        <v>-1.06534756</v>
      </c>
      <c r="AH3322">
        <v>26.001201340678001</v>
      </c>
      <c r="AI3322">
        <v>92.290596264564201</v>
      </c>
      <c r="AJ3322">
        <v>102.51310760418799</v>
      </c>
      <c r="AK3322">
        <v>26.655147681155199</v>
      </c>
      <c r="AL3322">
        <v>90.685363292874499</v>
      </c>
      <c r="AM3322">
        <v>94.430706773776194</v>
      </c>
      <c r="AN3322">
        <v>0.99999993534515197</v>
      </c>
    </row>
    <row r="3323" spans="1:40" x14ac:dyDescent="0.25">
      <c r="A3323" t="str">
        <f>"20190305135259503"</f>
        <v>20190305135259503</v>
      </c>
      <c r="B3323" t="str">
        <f>"1551765179492690"</f>
        <v>1551765179492690</v>
      </c>
      <c r="C3323" t="s">
        <v>40</v>
      </c>
      <c r="D3323">
        <v>4.2778</v>
      </c>
      <c r="E3323">
        <v>0.44649030000000001</v>
      </c>
      <c r="F3323" t="s">
        <v>66</v>
      </c>
      <c r="G3323">
        <v>-289.00049999999999</v>
      </c>
      <c r="H3323">
        <v>7.9999410000000007E-2</v>
      </c>
      <c r="I3323">
        <v>221.11160000000001</v>
      </c>
      <c r="J3323">
        <v>-314.97949999999997</v>
      </c>
      <c r="K3323">
        <v>1.1077790000000001</v>
      </c>
      <c r="L3323">
        <v>215.54769999999999</v>
      </c>
      <c r="M3323">
        <v>0.99983719999999998</v>
      </c>
      <c r="N3323">
        <v>-1.5224390000000001E-2</v>
      </c>
      <c r="O3323">
        <v>-9.6925819999999999E-3</v>
      </c>
      <c r="P3323">
        <v>0.99738749999999998</v>
      </c>
      <c r="Q3323">
        <v>-2.669933E-2</v>
      </c>
      <c r="R3323">
        <v>6.7121829999999993E-2</v>
      </c>
      <c r="S3323">
        <v>2.9624630000000001</v>
      </c>
      <c r="T3323">
        <v>-0.114922</v>
      </c>
      <c r="U3323">
        <v>0.62156679999999997</v>
      </c>
      <c r="V3323">
        <v>-7.6812939999999996E-2</v>
      </c>
      <c r="W3323">
        <v>-1.134893E-2</v>
      </c>
      <c r="X3323">
        <v>0.99698089999999995</v>
      </c>
      <c r="Y3323">
        <v>-0.21460029999999999</v>
      </c>
      <c r="Z3323">
        <v>5.9942279999999999E-3</v>
      </c>
      <c r="AA3323">
        <v>0.97668359999999999</v>
      </c>
      <c r="AB3323">
        <v>53</v>
      </c>
      <c r="AC3323">
        <v>25.9789999999999</v>
      </c>
      <c r="AD3323">
        <v>-1.02777959</v>
      </c>
      <c r="AE3323">
        <v>5.5639000000000101</v>
      </c>
      <c r="AF3323">
        <v>-5.8067814595485796</v>
      </c>
      <c r="AG3323">
        <v>-1.02777959</v>
      </c>
      <c r="AH3323">
        <v>25.8851073879746</v>
      </c>
      <c r="AI3323">
        <v>92.218676359379401</v>
      </c>
      <c r="AJ3323">
        <v>102.643787825648</v>
      </c>
      <c r="AK3323">
        <v>26.548330009466699</v>
      </c>
      <c r="AL3323">
        <v>90.650259769421098</v>
      </c>
      <c r="AM3323">
        <v>94.405681100757704</v>
      </c>
      <c r="AN3323">
        <v>0.99999997046419797</v>
      </c>
    </row>
    <row r="3324" spans="1:40" x14ac:dyDescent="0.25">
      <c r="A3324" t="str">
        <f>"20190305135259523"</f>
        <v>20190305135259523</v>
      </c>
      <c r="B3324" t="str">
        <f>"1551765179513183"</f>
        <v>1551765179513183</v>
      </c>
      <c r="C3324" t="s">
        <v>40</v>
      </c>
      <c r="D3324">
        <v>4.2976859999999997</v>
      </c>
      <c r="E3324">
        <v>0.44597019999999998</v>
      </c>
      <c r="F3324" t="s">
        <v>66</v>
      </c>
      <c r="G3324">
        <v>-287.70429999999999</v>
      </c>
      <c r="H3324">
        <v>7.9999410000000007E-2</v>
      </c>
      <c r="I3324">
        <v>221.31290000000001</v>
      </c>
      <c r="J3324">
        <v>-314.4855</v>
      </c>
      <c r="K3324">
        <v>1.107775</v>
      </c>
      <c r="L3324">
        <v>215.54259999999999</v>
      </c>
      <c r="M3324">
        <v>0.99983089999999997</v>
      </c>
      <c r="N3324">
        <v>-1.5223E-2</v>
      </c>
      <c r="O3324">
        <v>-1.0318010000000001E-2</v>
      </c>
      <c r="P3324">
        <v>0.99744270000000002</v>
      </c>
      <c r="Q3324">
        <v>-2.6313630000000001E-2</v>
      </c>
      <c r="R3324">
        <v>6.645086E-2</v>
      </c>
      <c r="S3324">
        <v>2.9627379999999999</v>
      </c>
      <c r="T3324">
        <v>-0.1116414</v>
      </c>
      <c r="U3324">
        <v>0.62623600000000001</v>
      </c>
      <c r="V3324">
        <v>-7.6765260000000002E-2</v>
      </c>
      <c r="W3324">
        <v>-1.0962619999999999E-2</v>
      </c>
      <c r="X3324">
        <v>0.99698900000000001</v>
      </c>
      <c r="Y3324">
        <v>-0.21667510000000001</v>
      </c>
      <c r="Z3324">
        <v>5.9337299999999999E-3</v>
      </c>
      <c r="AA3324">
        <v>0.97622569999999997</v>
      </c>
      <c r="AB3324">
        <v>53</v>
      </c>
      <c r="AC3324">
        <v>26.781199999999998</v>
      </c>
      <c r="AD3324">
        <v>-1.0277755900000001</v>
      </c>
      <c r="AE3324">
        <v>5.7703000000000104</v>
      </c>
      <c r="AF3324">
        <v>-6.0378555687960898</v>
      </c>
      <c r="AG3324">
        <v>-1.0277755900000001</v>
      </c>
      <c r="AH3324">
        <v>26.682674942791099</v>
      </c>
      <c r="AI3324">
        <v>92.151512126072404</v>
      </c>
      <c r="AJ3324">
        <v>102.750373092025</v>
      </c>
      <c r="AK3324">
        <v>27.376580586985199</v>
      </c>
      <c r="AL3324">
        <v>90.628124392860002</v>
      </c>
      <c r="AM3324">
        <v>94.402921493778607</v>
      </c>
      <c r="AN3324">
        <v>1.00000007515056</v>
      </c>
    </row>
    <row r="3325" spans="1:40" x14ac:dyDescent="0.25">
      <c r="A3325" t="str">
        <f>"20190305135259638"</f>
        <v>20190305135259638</v>
      </c>
      <c r="B3325" t="str">
        <f>"1551765179633231"</f>
        <v>1551765179633231</v>
      </c>
      <c r="C3325" t="s">
        <v>40</v>
      </c>
      <c r="D3325">
        <v>4.3988129999999996</v>
      </c>
      <c r="E3325">
        <v>0.44545839999999998</v>
      </c>
      <c r="F3325" t="s">
        <v>66</v>
      </c>
      <c r="G3325">
        <v>-287.69850000000002</v>
      </c>
      <c r="H3325">
        <v>7.9999410000000007E-2</v>
      </c>
      <c r="I3325">
        <v>221.22210000000001</v>
      </c>
      <c r="J3325">
        <v>-311.79259999999999</v>
      </c>
      <c r="K3325">
        <v>1.107704</v>
      </c>
      <c r="L3325">
        <v>215.5087</v>
      </c>
      <c r="M3325">
        <v>0.99978659999999997</v>
      </c>
      <c r="N3325">
        <v>-1.521251E-2</v>
      </c>
      <c r="O3325">
        <v>-1.3987319999999999E-2</v>
      </c>
      <c r="P3325">
        <v>0.99766410000000005</v>
      </c>
      <c r="Q3325">
        <v>-2.5180729999999998E-2</v>
      </c>
      <c r="R3325">
        <v>6.350343E-2</v>
      </c>
      <c r="S3325">
        <v>2.962799</v>
      </c>
      <c r="T3325">
        <v>-0.1136783</v>
      </c>
      <c r="U3325">
        <v>0.62818909999999994</v>
      </c>
      <c r="V3325">
        <v>-7.7478309999999995E-2</v>
      </c>
      <c r="W3325">
        <v>-9.8213120000000004E-3</v>
      </c>
      <c r="X3325">
        <v>0.99694570000000005</v>
      </c>
      <c r="Y3325">
        <v>-0.22085579999999999</v>
      </c>
      <c r="Z3325">
        <v>6.2086099999999998E-3</v>
      </c>
      <c r="AA3325">
        <v>0.97528669999999995</v>
      </c>
      <c r="AB3325">
        <v>53</v>
      </c>
      <c r="AC3325">
        <v>24.094099999999901</v>
      </c>
      <c r="AD3325">
        <v>-1.0277045899999999</v>
      </c>
      <c r="AE3325">
        <v>5.7134</v>
      </c>
      <c r="AF3325">
        <v>-6.0394888222651</v>
      </c>
      <c r="AG3325">
        <v>-1.0277045899999999</v>
      </c>
      <c r="AH3325">
        <v>23.9705290083627</v>
      </c>
      <c r="AI3325">
        <v>92.380665471122896</v>
      </c>
      <c r="AJ3325">
        <v>104.141606043056</v>
      </c>
      <c r="AK3325">
        <v>24.741015801686999</v>
      </c>
      <c r="AL3325">
        <v>90.562728752533303</v>
      </c>
      <c r="AM3325">
        <v>94.443848115159597</v>
      </c>
      <c r="AN3325">
        <v>1.00000003771917</v>
      </c>
    </row>
    <row r="3326" spans="1:40" x14ac:dyDescent="0.25">
      <c r="A3326" t="str">
        <f>"20190305135259660"</f>
        <v>20190305135259660</v>
      </c>
      <c r="B3326" t="str">
        <f>"1551765179652751"</f>
        <v>1551765179652751</v>
      </c>
      <c r="C3326" t="s">
        <v>40</v>
      </c>
      <c r="D3326">
        <v>4.3495860000000004</v>
      </c>
      <c r="E3326">
        <v>0.4941528</v>
      </c>
      <c r="F3326" t="s">
        <v>66</v>
      </c>
      <c r="G3326">
        <v>-285.76010000000002</v>
      </c>
      <c r="H3326">
        <v>7.9999550000000003E-2</v>
      </c>
      <c r="I3326">
        <v>220.98249999999999</v>
      </c>
      <c r="J3326">
        <v>-311.27530000000002</v>
      </c>
      <c r="K3326">
        <v>1.107675</v>
      </c>
      <c r="L3326">
        <v>215.501</v>
      </c>
      <c r="M3326">
        <v>0.99977539999999998</v>
      </c>
      <c r="N3326">
        <v>-1.5210329999999999E-2</v>
      </c>
      <c r="O3326">
        <v>-1.4765210000000001E-2</v>
      </c>
      <c r="P3326">
        <v>0.99770170000000002</v>
      </c>
      <c r="Q3326">
        <v>-2.5393849999999999E-2</v>
      </c>
      <c r="R3326">
        <v>6.282124E-2</v>
      </c>
      <c r="S3326">
        <v>2.9643860000000002</v>
      </c>
      <c r="T3326">
        <v>-0.11702700000000001</v>
      </c>
      <c r="U3326">
        <v>0.62330629999999998</v>
      </c>
      <c r="V3326">
        <v>-7.7573219999999998E-2</v>
      </c>
      <c r="W3326">
        <v>-1.0031450000000001E-2</v>
      </c>
      <c r="X3326">
        <v>0.99693620000000005</v>
      </c>
      <c r="Y3326">
        <v>-0.21995999999999999</v>
      </c>
      <c r="Z3326">
        <v>6.3396210000000001E-3</v>
      </c>
      <c r="AA3326">
        <v>0.97548829999999997</v>
      </c>
      <c r="AB3326">
        <v>53</v>
      </c>
      <c r="AC3326">
        <v>25.5152</v>
      </c>
      <c r="AD3326">
        <v>-1.02767545</v>
      </c>
      <c r="AE3326">
        <v>5.4815000000000103</v>
      </c>
      <c r="AF3326">
        <v>-5.8486138902532598</v>
      </c>
      <c r="AG3326">
        <v>-1.02767545</v>
      </c>
      <c r="AH3326">
        <v>25.392098340080501</v>
      </c>
      <c r="AI3326">
        <v>92.258551051685998</v>
      </c>
      <c r="AJ3326">
        <v>102.970832031683</v>
      </c>
      <c r="AK3326">
        <v>26.077213412865099</v>
      </c>
      <c r="AL3326">
        <v>90.574769381383405</v>
      </c>
      <c r="AM3326">
        <v>94.449312158890294</v>
      </c>
      <c r="AN3326">
        <v>1.0000000106603499</v>
      </c>
    </row>
    <row r="3327" spans="1:40" x14ac:dyDescent="0.25">
      <c r="A3327" t="str">
        <f>"20190305135259683"</f>
        <v>20190305135259683</v>
      </c>
      <c r="B3327" t="str">
        <f>"1551765179673247"</f>
        <v>1551765179673247</v>
      </c>
      <c r="C3327" t="s">
        <v>40</v>
      </c>
      <c r="D3327">
        <v>4.3242929999999999</v>
      </c>
      <c r="E3327">
        <v>0.49628509999999998</v>
      </c>
      <c r="F3327" t="s">
        <v>55</v>
      </c>
      <c r="G3327">
        <v>-190.4444</v>
      </c>
      <c r="H3327" s="1">
        <v>1.56526E-6</v>
      </c>
      <c r="I3327">
        <v>225.06630000000001</v>
      </c>
      <c r="J3327">
        <v>-310.73259999999999</v>
      </c>
      <c r="K3327">
        <v>1.107653</v>
      </c>
      <c r="L3327">
        <v>215.49250000000001</v>
      </c>
      <c r="M3327">
        <v>0.9997625</v>
      </c>
      <c r="N3327">
        <v>-1.520786E-2</v>
      </c>
      <c r="O3327">
        <v>-1.561075E-2</v>
      </c>
      <c r="P3327">
        <v>0.99777079999999996</v>
      </c>
      <c r="Q3327">
        <v>-2.549065E-2</v>
      </c>
      <c r="R3327">
        <v>6.1675979999999998E-2</v>
      </c>
      <c r="S3327">
        <v>2.991333</v>
      </c>
      <c r="T3327">
        <v>-2.742195E-2</v>
      </c>
      <c r="U3327">
        <v>0.23680109999999999</v>
      </c>
      <c r="V3327">
        <v>-7.7273649999999999E-2</v>
      </c>
      <c r="W3327">
        <v>-1.0125500000000001E-2</v>
      </c>
      <c r="X3327">
        <v>0.99695849999999997</v>
      </c>
      <c r="Y3327">
        <v>-9.445895E-2</v>
      </c>
      <c r="Z3327">
        <v>1.057611E-3</v>
      </c>
      <c r="AA3327">
        <v>0.99552819999999997</v>
      </c>
      <c r="AB3327">
        <v>53</v>
      </c>
      <c r="AC3327">
        <v>120.2882</v>
      </c>
      <c r="AD3327">
        <v>-1.1076514347399999</v>
      </c>
      <c r="AE3327">
        <v>9.5738000000000003</v>
      </c>
      <c r="AF3327">
        <v>-11.4496745450177</v>
      </c>
      <c r="AG3327">
        <v>-1.1076514347399999</v>
      </c>
      <c r="AH3327">
        <v>120.11394667226401</v>
      </c>
      <c r="AI3327">
        <v>90.525963854877006</v>
      </c>
      <c r="AJ3327">
        <v>95.445177911825894</v>
      </c>
      <c r="AK3327">
        <v>120.66350783926001</v>
      </c>
      <c r="AL3327">
        <v>90.580158331173806</v>
      </c>
      <c r="AM3327">
        <v>94.432099786069202</v>
      </c>
      <c r="AN3327">
        <v>0.999999996728411</v>
      </c>
    </row>
    <row r="3328" spans="1:40" x14ac:dyDescent="0.25">
      <c r="A3328" t="str">
        <f>"20190305135259703"</f>
        <v>20190305135259703</v>
      </c>
      <c r="B3328" t="str">
        <f>"1551765179692767"</f>
        <v>1551765179692767</v>
      </c>
      <c r="C3328" t="s">
        <v>40</v>
      </c>
      <c r="D3328">
        <v>4.3317030000000001</v>
      </c>
      <c r="E3328">
        <v>0.49570839999999999</v>
      </c>
      <c r="F3328" t="s">
        <v>56</v>
      </c>
      <c r="G3328">
        <v>-230.96260000000001</v>
      </c>
      <c r="H3328">
        <v>8.0000009999999996E-2</v>
      </c>
      <c r="I3328">
        <v>221.25640000000001</v>
      </c>
      <c r="J3328">
        <v>-310.25330000000002</v>
      </c>
      <c r="K3328">
        <v>1.107631</v>
      </c>
      <c r="L3328">
        <v>215.4845</v>
      </c>
      <c r="M3328">
        <v>0.99975029999999998</v>
      </c>
      <c r="N3328">
        <v>-1.5205369999999999E-2</v>
      </c>
      <c r="O3328">
        <v>-1.6380749999999999E-2</v>
      </c>
      <c r="P3328">
        <v>0.9978515</v>
      </c>
      <c r="Q3328">
        <v>-2.5618269999999999E-2</v>
      </c>
      <c r="R3328">
        <v>6.030199E-2</v>
      </c>
      <c r="S3328">
        <v>2.99234</v>
      </c>
      <c r="T3328">
        <v>-3.8549420000000001E-2</v>
      </c>
      <c r="U3328">
        <v>0.21621699999999999</v>
      </c>
      <c r="V3328">
        <v>-7.6669780000000007E-2</v>
      </c>
      <c r="W3328">
        <v>-1.0251649999999999E-2</v>
      </c>
      <c r="X3328">
        <v>0.99700390000000005</v>
      </c>
      <c r="Y3328">
        <v>-8.8383329999999996E-2</v>
      </c>
      <c r="Z3328">
        <v>1.2034979999999999E-3</v>
      </c>
      <c r="AA3328">
        <v>0.99608580000000002</v>
      </c>
      <c r="AB3328">
        <v>53</v>
      </c>
      <c r="AC3328">
        <v>79.290700000000001</v>
      </c>
      <c r="AD3328">
        <v>-1.02763099</v>
      </c>
      <c r="AE3328">
        <v>5.7719000000000102</v>
      </c>
      <c r="AF3328">
        <v>-7.0689354615166096</v>
      </c>
      <c r="AG3328">
        <v>-1.02763099</v>
      </c>
      <c r="AH3328">
        <v>79.172271445591207</v>
      </c>
      <c r="AI3328">
        <v>90.740693124678501</v>
      </c>
      <c r="AJ3328">
        <v>95.102152798509707</v>
      </c>
      <c r="AK3328">
        <v>79.4938641648843</v>
      </c>
      <c r="AL3328">
        <v>90.587386529420996</v>
      </c>
      <c r="AM3328">
        <v>94.397401208649399</v>
      </c>
      <c r="AN3328">
        <v>1.00000006405408</v>
      </c>
    </row>
    <row r="3329" spans="1:40" x14ac:dyDescent="0.25">
      <c r="A3329" t="str">
        <f>"20190305135259725"</f>
        <v>20190305135259725</v>
      </c>
      <c r="B3329" t="str">
        <f>"1551765179723023"</f>
        <v>1551765179723023</v>
      </c>
      <c r="C3329" t="s">
        <v>40</v>
      </c>
      <c r="D3329">
        <v>4.3748559999999896</v>
      </c>
      <c r="E3329">
        <v>0.4944807</v>
      </c>
      <c r="F3329" t="s">
        <v>56</v>
      </c>
      <c r="G3329">
        <v>-232.90129999999999</v>
      </c>
      <c r="H3329">
        <v>8.0000589999999996E-2</v>
      </c>
      <c r="I3329">
        <v>221.08189999999999</v>
      </c>
      <c r="J3329">
        <v>-309.7328</v>
      </c>
      <c r="K3329">
        <v>1.1076060000000001</v>
      </c>
      <c r="L3329">
        <v>215.47550000000001</v>
      </c>
      <c r="M3329">
        <v>0.99973599999999996</v>
      </c>
      <c r="N3329">
        <v>-1.520264E-2</v>
      </c>
      <c r="O3329">
        <v>-1.7236109999999999E-2</v>
      </c>
      <c r="P3329">
        <v>0.99794210000000005</v>
      </c>
      <c r="Q3329">
        <v>-2.6651399999999999E-2</v>
      </c>
      <c r="R3329">
        <v>5.8322680000000002E-2</v>
      </c>
      <c r="S3329">
        <v>2.9924010000000001</v>
      </c>
      <c r="T3329">
        <v>-3.9754390000000001E-2</v>
      </c>
      <c r="U3329">
        <v>0.21653749999999999</v>
      </c>
      <c r="V3329">
        <v>-7.5548390000000007E-2</v>
      </c>
      <c r="W3329">
        <v>-1.128462E-2</v>
      </c>
      <c r="X3329">
        <v>0.99707829999999997</v>
      </c>
      <c r="Y3329">
        <v>-8.9339260000000004E-2</v>
      </c>
      <c r="Z3329">
        <v>1.2397510000000001E-3</v>
      </c>
      <c r="AA3329">
        <v>0.99600049999999996</v>
      </c>
      <c r="AB3329">
        <v>53</v>
      </c>
      <c r="AC3329">
        <v>76.831500000000005</v>
      </c>
      <c r="AD3329">
        <v>-1.0276054099999901</v>
      </c>
      <c r="AE3329">
        <v>5.6063999999999696</v>
      </c>
      <c r="AF3329">
        <v>-6.9287631380583097</v>
      </c>
      <c r="AG3329">
        <v>-1.0276054099999901</v>
      </c>
      <c r="AH3329">
        <v>76.709790590169106</v>
      </c>
      <c r="AI3329">
        <v>90.764377764117896</v>
      </c>
      <c r="AJ3329">
        <v>95.161199452199696</v>
      </c>
      <c r="AK3329">
        <v>77.028927708294006</v>
      </c>
      <c r="AL3329">
        <v>90.646574810308806</v>
      </c>
      <c r="AM3329">
        <v>94.333008476333902</v>
      </c>
      <c r="AN3329">
        <v>1.0000000191055101</v>
      </c>
    </row>
    <row r="3330" spans="1:40" x14ac:dyDescent="0.25">
      <c r="A3330" t="str">
        <f>"20190305135259749"</f>
        <v>20190305135259749</v>
      </c>
      <c r="B3330" t="str">
        <f>"1551765179742544"</f>
        <v>1551765179742544</v>
      </c>
      <c r="C3330" t="s">
        <v>40</v>
      </c>
      <c r="D3330">
        <v>4.3897370000000002</v>
      </c>
      <c r="E3330">
        <v>0.49383529999999998</v>
      </c>
      <c r="F3330" t="s">
        <v>56</v>
      </c>
      <c r="G3330">
        <v>-251.24979999999999</v>
      </c>
      <c r="H3330">
        <v>8.0000160000000001E-2</v>
      </c>
      <c r="I3330">
        <v>219.77770000000001</v>
      </c>
      <c r="J3330">
        <v>-309.18599999999998</v>
      </c>
      <c r="K3330">
        <v>1.1075729999999999</v>
      </c>
      <c r="L3330">
        <v>215.46549999999999</v>
      </c>
      <c r="M3330">
        <v>0.99971969999999999</v>
      </c>
      <c r="N3330">
        <v>-1.5199509999999999E-2</v>
      </c>
      <c r="O3330">
        <v>-1.815162E-2</v>
      </c>
      <c r="P3330">
        <v>0.99804090000000001</v>
      </c>
      <c r="Q3330">
        <v>-2.7250799999999999E-2</v>
      </c>
      <c r="R3330">
        <v>5.6321629999999998E-2</v>
      </c>
      <c r="S3330">
        <v>2.9918819999999999</v>
      </c>
      <c r="T3330">
        <v>-5.257034E-2</v>
      </c>
      <c r="U3330">
        <v>0.22009280000000001</v>
      </c>
      <c r="V3330">
        <v>-7.4464279999999994E-2</v>
      </c>
      <c r="W3330">
        <v>-1.188465E-2</v>
      </c>
      <c r="X3330">
        <v>0.99715290000000001</v>
      </c>
      <c r="Y3330">
        <v>-9.1431479999999996E-2</v>
      </c>
      <c r="Z3330">
        <v>1.541085E-3</v>
      </c>
      <c r="AA3330">
        <v>0.99581019999999998</v>
      </c>
      <c r="AB3330">
        <v>53</v>
      </c>
      <c r="AC3330">
        <v>57.9361999999999</v>
      </c>
      <c r="AD3330">
        <v>-1.0275728399999999</v>
      </c>
      <c r="AE3330">
        <v>4.3122000000000096</v>
      </c>
      <c r="AF3330">
        <v>-5.3615694478593499</v>
      </c>
      <c r="AG3330">
        <v>-1.0275728399999999</v>
      </c>
      <c r="AH3330">
        <v>57.8302783240471</v>
      </c>
      <c r="AI3330">
        <v>91.013622246475094</v>
      </c>
      <c r="AJ3330">
        <v>95.296873045179396</v>
      </c>
      <c r="AK3330">
        <v>58.087377492209697</v>
      </c>
      <c r="AL3330">
        <v>90.680956289701498</v>
      </c>
      <c r="AM3330">
        <v>94.270743745794405</v>
      </c>
      <c r="AN3330">
        <v>1.00000003993997</v>
      </c>
    </row>
    <row r="3331" spans="1:40" x14ac:dyDescent="0.25">
      <c r="A3331" t="str">
        <f>"20190305135259771"</f>
        <v>20190305135259771</v>
      </c>
      <c r="B3331" t="str">
        <f>"1551765179763040"</f>
        <v>1551765179763040</v>
      </c>
      <c r="C3331" t="s">
        <v>40</v>
      </c>
      <c r="D3331">
        <v>4.3955279999999997</v>
      </c>
      <c r="E3331">
        <v>0.49330220000000002</v>
      </c>
      <c r="F3331" t="s">
        <v>56</v>
      </c>
      <c r="G3331">
        <v>-252.47810000000001</v>
      </c>
      <c r="H3331">
        <v>5.0635359999999997E-2</v>
      </c>
      <c r="I3331">
        <v>219.61699999999999</v>
      </c>
      <c r="J3331">
        <v>-308.63679999999999</v>
      </c>
      <c r="K3331">
        <v>1.1075440000000001</v>
      </c>
      <c r="L3331">
        <v>215.45490000000001</v>
      </c>
      <c r="M3331">
        <v>0.99970250000000005</v>
      </c>
      <c r="N3331">
        <v>-1.519644E-2</v>
      </c>
      <c r="O3331">
        <v>-1.908375E-2</v>
      </c>
      <c r="P3331">
        <v>0.99813499999999999</v>
      </c>
      <c r="Q3331">
        <v>-2.773223E-2</v>
      </c>
      <c r="R3331">
        <v>5.4382029999999998E-2</v>
      </c>
      <c r="S3331">
        <v>2.9920040000000001</v>
      </c>
      <c r="T3331">
        <v>-5.5765750000000003E-2</v>
      </c>
      <c r="U3331">
        <v>0.21903990000000001</v>
      </c>
      <c r="V3331">
        <v>-7.3458640000000006E-2</v>
      </c>
      <c r="W3331">
        <v>-1.236724E-2</v>
      </c>
      <c r="X3331">
        <v>0.99722160000000004</v>
      </c>
      <c r="Y3331">
        <v>-9.2005699999999996E-2</v>
      </c>
      <c r="Z3331">
        <v>1.621993E-3</v>
      </c>
      <c r="AA3331">
        <v>0.99575720000000001</v>
      </c>
      <c r="AB3331">
        <v>53</v>
      </c>
      <c r="AC3331">
        <v>56.158699999999897</v>
      </c>
      <c r="AD3331">
        <v>-1.0569086400000001</v>
      </c>
      <c r="AE3331">
        <v>4.1620999999999997</v>
      </c>
      <c r="AF3331">
        <v>-5.23134132046766</v>
      </c>
      <c r="AG3331">
        <v>-1.0569086400000001</v>
      </c>
      <c r="AH3331">
        <v>56.049289007678198</v>
      </c>
      <c r="AI3331">
        <v>91.0756116420675</v>
      </c>
      <c r="AJ3331">
        <v>95.332234225146095</v>
      </c>
      <c r="AK3331">
        <v>56.302813305826703</v>
      </c>
      <c r="AL3331">
        <v>90.708608706317705</v>
      </c>
      <c r="AM3331">
        <v>94.2129872550275</v>
      </c>
      <c r="AN3331">
        <v>1.00000001996121</v>
      </c>
    </row>
    <row r="3332" spans="1:40" x14ac:dyDescent="0.25">
      <c r="A3332" t="str">
        <f>"20190305135259793"</f>
        <v>20190305135259793</v>
      </c>
      <c r="B3332" t="str">
        <f>"1551765179783536"</f>
        <v>1551765179783536</v>
      </c>
      <c r="C3332" t="s">
        <v>40</v>
      </c>
      <c r="D3332">
        <v>4.399546</v>
      </c>
      <c r="E3332">
        <v>0.49268390000000001</v>
      </c>
      <c r="F3332" t="s">
        <v>56</v>
      </c>
      <c r="G3332">
        <v>-251.69970000000001</v>
      </c>
      <c r="H3332" s="1">
        <v>-8.4979230000000002E-7</v>
      </c>
      <c r="I3332">
        <v>219.59229999999999</v>
      </c>
      <c r="J3332">
        <v>-308.14370000000002</v>
      </c>
      <c r="K3332">
        <v>1.1075250000000001</v>
      </c>
      <c r="L3332">
        <v>215.44499999999999</v>
      </c>
      <c r="M3332">
        <v>0.99968590000000002</v>
      </c>
      <c r="N3332">
        <v>-1.5193440000000001E-2</v>
      </c>
      <c r="O3332">
        <v>-1.9927319999999998E-2</v>
      </c>
      <c r="P3332">
        <v>0.99818180000000001</v>
      </c>
      <c r="Q3332">
        <v>-2.8775060000000002E-2</v>
      </c>
      <c r="R3332">
        <v>5.296211E-2</v>
      </c>
      <c r="S3332">
        <v>2.9920960000000001</v>
      </c>
      <c r="T3332">
        <v>-5.8202509999999999E-2</v>
      </c>
      <c r="U3332">
        <v>0.21742249999999999</v>
      </c>
      <c r="V3332">
        <v>-7.2884660000000004E-2</v>
      </c>
      <c r="W3332">
        <v>-1.341152E-2</v>
      </c>
      <c r="X3332">
        <v>0.99725019999999998</v>
      </c>
      <c r="Y3332">
        <v>-9.2306159999999998E-2</v>
      </c>
      <c r="Z3332">
        <v>1.6836069999999999E-3</v>
      </c>
      <c r="AA3332">
        <v>0.99572930000000004</v>
      </c>
      <c r="AB3332">
        <v>52</v>
      </c>
      <c r="AC3332">
        <v>56.444000000000003</v>
      </c>
      <c r="AD3332">
        <v>-1.1075258497923</v>
      </c>
      <c r="AE3332">
        <v>4.1473000000000004</v>
      </c>
      <c r="AF3332">
        <v>-5.2693660063604497</v>
      </c>
      <c r="AG3332">
        <v>-1.1075258497923</v>
      </c>
      <c r="AH3332">
        <v>56.328564659629698</v>
      </c>
      <c r="AI3332">
        <v>91.121502775576104</v>
      </c>
      <c r="AJ3332">
        <v>95.344292867093102</v>
      </c>
      <c r="AK3332">
        <v>56.585334038344598</v>
      </c>
      <c r="AL3332">
        <v>90.768446529119799</v>
      </c>
      <c r="AM3332">
        <v>94.180066142583101</v>
      </c>
      <c r="AN3332">
        <v>1.00000000196603</v>
      </c>
    </row>
    <row r="3333" spans="1:40" x14ac:dyDescent="0.25">
      <c r="A3333" t="str">
        <f>"20190305135259814"</f>
        <v>20190305135259814</v>
      </c>
      <c r="B3333" t="str">
        <f>"1551765179803055"</f>
        <v>1551765179803055</v>
      </c>
      <c r="C3333" t="s">
        <v>40</v>
      </c>
      <c r="D3333">
        <v>4.6833710000000002</v>
      </c>
      <c r="E3333">
        <v>0.49262840000000002</v>
      </c>
      <c r="F3333" t="s">
        <v>56</v>
      </c>
      <c r="G3333">
        <v>-255.08369999999999</v>
      </c>
      <c r="H3333" s="1">
        <v>9.6323729999999993E-7</v>
      </c>
      <c r="I3333">
        <v>219.31280000000001</v>
      </c>
      <c r="J3333">
        <v>-307.64499999999998</v>
      </c>
      <c r="K3333">
        <v>1.107515</v>
      </c>
      <c r="L3333">
        <v>215.43450000000001</v>
      </c>
      <c r="M3333">
        <v>0.99966869999999997</v>
      </c>
      <c r="N3333">
        <v>-1.519042E-2</v>
      </c>
      <c r="O3333">
        <v>-2.0785270000000002E-2</v>
      </c>
      <c r="P3333">
        <v>0.9982491</v>
      </c>
      <c r="Q3333">
        <v>-2.8342760000000002E-2</v>
      </c>
      <c r="R3333">
        <v>5.1924119999999997E-2</v>
      </c>
      <c r="S3333">
        <v>2.9920650000000002</v>
      </c>
      <c r="T3333">
        <v>-6.2453630000000003E-2</v>
      </c>
      <c r="U3333">
        <v>0.2181091</v>
      </c>
      <c r="V3333">
        <v>-7.2703420000000005E-2</v>
      </c>
      <c r="W3333">
        <v>-1.2979900000000001E-2</v>
      </c>
      <c r="X3333">
        <v>0.99726919999999997</v>
      </c>
      <c r="Y3333">
        <v>-9.3384519999999999E-2</v>
      </c>
      <c r="Z3333">
        <v>1.8016079999999999E-3</v>
      </c>
      <c r="AA3333">
        <v>0.99562850000000003</v>
      </c>
      <c r="AB3333">
        <v>52</v>
      </c>
      <c r="AC3333">
        <v>52.561299999999903</v>
      </c>
      <c r="AD3333">
        <v>-1.1075140367626899</v>
      </c>
      <c r="AE3333">
        <v>3.8782999999999901</v>
      </c>
      <c r="AF3333">
        <v>-4.9678949573993796</v>
      </c>
      <c r="AG3333">
        <v>-1.1075140367626899</v>
      </c>
      <c r="AH3333">
        <v>52.446162276545401</v>
      </c>
      <c r="AI3333">
        <v>91.204354960624002</v>
      </c>
      <c r="AJ3333">
        <v>95.411123312398104</v>
      </c>
      <c r="AK3333">
        <v>52.692565938537399</v>
      </c>
      <c r="AL3333">
        <v>90.743714327226002</v>
      </c>
      <c r="AM3333">
        <v>94.169629249304606</v>
      </c>
      <c r="AN3333">
        <v>1.0000000611761699</v>
      </c>
    </row>
    <row r="3334" spans="1:40" x14ac:dyDescent="0.25">
      <c r="A3334" t="str">
        <f>"20190305135259839"</f>
        <v>20190305135259839</v>
      </c>
      <c r="B3334" t="str">
        <f>"1551765179833311"</f>
        <v>1551765179833311</v>
      </c>
      <c r="C3334" t="s">
        <v>40</v>
      </c>
      <c r="D3334">
        <v>4.4229799999999999</v>
      </c>
      <c r="E3334">
        <v>0.49168289999999998</v>
      </c>
      <c r="F3334" t="s">
        <v>56</v>
      </c>
      <c r="G3334">
        <v>-254.44220000000001</v>
      </c>
      <c r="H3334" s="1">
        <v>6.2396199999999999E-7</v>
      </c>
      <c r="I3334">
        <v>219.2647</v>
      </c>
      <c r="J3334">
        <v>-307.08749999999998</v>
      </c>
      <c r="K3334">
        <v>1.10751</v>
      </c>
      <c r="L3334">
        <v>215.42240000000001</v>
      </c>
      <c r="M3334">
        <v>0.99964819999999999</v>
      </c>
      <c r="N3334">
        <v>-1.518709E-2</v>
      </c>
      <c r="O3334">
        <v>-2.1746560000000002E-2</v>
      </c>
      <c r="P3334">
        <v>0.99832900000000002</v>
      </c>
      <c r="Q3334">
        <v>-2.7452629999999999E-2</v>
      </c>
      <c r="R3334">
        <v>5.0849680000000001E-2</v>
      </c>
      <c r="S3334">
        <v>2.9923099999999998</v>
      </c>
      <c r="T3334">
        <v>-6.229055E-2</v>
      </c>
      <c r="U3334">
        <v>0.21542359999999999</v>
      </c>
      <c r="V3334">
        <v>-7.2587260000000001E-2</v>
      </c>
      <c r="W3334">
        <v>-1.20906E-2</v>
      </c>
      <c r="X3334">
        <v>0.99728879999999998</v>
      </c>
      <c r="Y3334">
        <v>-9.3447249999999996E-2</v>
      </c>
      <c r="Z3334">
        <v>1.804284E-3</v>
      </c>
      <c r="AA3334">
        <v>0.99562260000000002</v>
      </c>
      <c r="AB3334">
        <v>52</v>
      </c>
      <c r="AC3334">
        <v>52.645299999999899</v>
      </c>
      <c r="AD3334">
        <v>-1.1075093760379999</v>
      </c>
      <c r="AE3334">
        <v>3.8422999999999901</v>
      </c>
      <c r="AF3334">
        <v>-4.9841831950798801</v>
      </c>
      <c r="AG3334">
        <v>-1.1075093760379999</v>
      </c>
      <c r="AH3334">
        <v>52.526157904015299</v>
      </c>
      <c r="AI3334">
        <v>91.202497514820706</v>
      </c>
      <c r="AJ3334">
        <v>95.420540401467093</v>
      </c>
      <c r="AK3334">
        <v>52.773723796011197</v>
      </c>
      <c r="AL3334">
        <v>90.692757215578496</v>
      </c>
      <c r="AM3334">
        <v>94.162909243873898</v>
      </c>
      <c r="AN3334">
        <v>1.0000000217640499</v>
      </c>
    </row>
    <row r="3335" spans="1:40" x14ac:dyDescent="0.25">
      <c r="A3335" t="str">
        <f>"20190305135259862"</f>
        <v>20190305135259862</v>
      </c>
      <c r="B3335" t="str">
        <f>"1551765179852832"</f>
        <v>1551765179852832</v>
      </c>
      <c r="C3335" t="s">
        <v>40</v>
      </c>
      <c r="D3335">
        <v>4.4432850000000004</v>
      </c>
      <c r="E3335">
        <v>0.49119020000000002</v>
      </c>
      <c r="F3335" t="s">
        <v>56</v>
      </c>
      <c r="G3335">
        <v>-249.96209999999999</v>
      </c>
      <c r="H3335">
        <v>7.055604E-3</v>
      </c>
      <c r="I3335">
        <v>219.6163</v>
      </c>
      <c r="J3335">
        <v>-306.54880000000003</v>
      </c>
      <c r="K3335">
        <v>1.107504</v>
      </c>
      <c r="L3335">
        <v>215.4101</v>
      </c>
      <c r="M3335">
        <v>0.99962759999999995</v>
      </c>
      <c r="N3335">
        <v>-1.5183729999999999E-2</v>
      </c>
      <c r="O3335">
        <v>-2.267452E-2</v>
      </c>
      <c r="P3335">
        <v>0.99841150000000001</v>
      </c>
      <c r="Q3335">
        <v>-2.657764E-2</v>
      </c>
      <c r="R3335">
        <v>4.9683110000000003E-2</v>
      </c>
      <c r="S3335">
        <v>2.9922490000000002</v>
      </c>
      <c r="T3335">
        <v>-5.7642220000000001E-2</v>
      </c>
      <c r="U3335">
        <v>0.21968080000000001</v>
      </c>
      <c r="V3335">
        <v>-7.2345930000000003E-2</v>
      </c>
      <c r="W3335">
        <v>-1.1217319999999999E-2</v>
      </c>
      <c r="X3335">
        <v>0.99731650000000005</v>
      </c>
      <c r="Y3335">
        <v>-9.5785129999999996E-2</v>
      </c>
      <c r="Z3335">
        <v>1.742047E-3</v>
      </c>
      <c r="AA3335">
        <v>0.99540050000000002</v>
      </c>
      <c r="AB3335">
        <v>52</v>
      </c>
      <c r="AC3335">
        <v>56.5867</v>
      </c>
      <c r="AD3335">
        <v>-1.100448396</v>
      </c>
      <c r="AE3335">
        <v>4.2061999999999902</v>
      </c>
      <c r="AF3335">
        <v>-5.4862790577152296</v>
      </c>
      <c r="AG3335">
        <v>-1.100448396</v>
      </c>
      <c r="AH3335">
        <v>56.455530019678001</v>
      </c>
      <c r="AI3335">
        <v>91.111450924137202</v>
      </c>
      <c r="AJ3335">
        <v>95.550504796989998</v>
      </c>
      <c r="AK3335">
        <v>56.732152386227597</v>
      </c>
      <c r="AL3335">
        <v>90.642718584504195</v>
      </c>
      <c r="AM3335">
        <v>94.149002447452204</v>
      </c>
      <c r="AN3335">
        <v>0.99999998151389802</v>
      </c>
    </row>
    <row r="3336" spans="1:40" x14ac:dyDescent="0.25">
      <c r="A3336" t="str">
        <f>"20190305135259883"</f>
        <v>20190305135259883</v>
      </c>
      <c r="B3336" t="str">
        <f>"1551765179873327"</f>
        <v>1551765179873327</v>
      </c>
      <c r="C3336" t="s">
        <v>40</v>
      </c>
      <c r="D3336">
        <v>4.4501530000000002</v>
      </c>
      <c r="E3336">
        <v>0.49075190000000002</v>
      </c>
      <c r="F3336" t="s">
        <v>56</v>
      </c>
      <c r="G3336">
        <v>-249.00890000000001</v>
      </c>
      <c r="H3336">
        <v>7.5263930000000007E-2</v>
      </c>
      <c r="I3336">
        <v>219.64160000000001</v>
      </c>
      <c r="J3336">
        <v>-306.04790000000003</v>
      </c>
      <c r="K3336">
        <v>1.1075060000000001</v>
      </c>
      <c r="L3336">
        <v>215.3982</v>
      </c>
      <c r="M3336">
        <v>0.99960780000000005</v>
      </c>
      <c r="N3336">
        <v>-1.5180559999999999E-2</v>
      </c>
      <c r="O3336">
        <v>-2.3533849999999999E-2</v>
      </c>
      <c r="P3336">
        <v>0.9984558</v>
      </c>
      <c r="Q3336">
        <v>-2.6997219999999999E-2</v>
      </c>
      <c r="R3336">
        <v>4.8554E-2</v>
      </c>
      <c r="S3336">
        <v>2.9924010000000001</v>
      </c>
      <c r="T3336">
        <v>-5.368233E-2</v>
      </c>
      <c r="U3336">
        <v>0.22006229999999999</v>
      </c>
      <c r="V3336">
        <v>-7.2076420000000002E-2</v>
      </c>
      <c r="W3336">
        <v>-1.163954E-2</v>
      </c>
      <c r="X3336">
        <v>0.99733119999999997</v>
      </c>
      <c r="Y3336">
        <v>-9.6766420000000006E-2</v>
      </c>
      <c r="Z3336">
        <v>1.6672659999999999E-3</v>
      </c>
      <c r="AA3336">
        <v>0.99530569999999896</v>
      </c>
      <c r="AB3336">
        <v>52</v>
      </c>
      <c r="AC3336">
        <v>57.039000000000001</v>
      </c>
      <c r="AD3336">
        <v>-1.0322420699999999</v>
      </c>
      <c r="AE3336">
        <v>4.2434000000000003</v>
      </c>
      <c r="AF3336">
        <v>-5.58290804546606</v>
      </c>
      <c r="AG3336">
        <v>-1.0322420699999999</v>
      </c>
      <c r="AH3336">
        <v>56.904789742304096</v>
      </c>
      <c r="AI3336">
        <v>91.034255965667299</v>
      </c>
      <c r="AJ3336">
        <v>95.603335521683306</v>
      </c>
      <c r="AK3336">
        <v>57.187319237319102</v>
      </c>
      <c r="AL3336">
        <v>90.666911572888694</v>
      </c>
      <c r="AM3336">
        <v>94.133539146016304</v>
      </c>
      <c r="AN3336">
        <v>1.0000000058524301</v>
      </c>
    </row>
    <row r="3337" spans="1:40" x14ac:dyDescent="0.25">
      <c r="A3337" t="str">
        <f>"20190305135259905"</f>
        <v>20190305135259905</v>
      </c>
      <c r="B3337" t="str">
        <f>"1551765179892847"</f>
        <v>1551765179892847</v>
      </c>
      <c r="C3337" t="s">
        <v>40</v>
      </c>
      <c r="D3337">
        <v>4.4767830000000002</v>
      </c>
      <c r="E3337">
        <v>0.49045149999999998</v>
      </c>
      <c r="F3337" t="s">
        <v>56</v>
      </c>
      <c r="G3337">
        <v>-248.75649999999999</v>
      </c>
      <c r="H3337">
        <v>4.9821549999999999E-2</v>
      </c>
      <c r="I3337">
        <v>219.6163</v>
      </c>
      <c r="J3337">
        <v>-305.52879999999999</v>
      </c>
      <c r="K3337">
        <v>1.1074999999999999</v>
      </c>
      <c r="L3337">
        <v>215.38550000000001</v>
      </c>
      <c r="M3337">
        <v>0.99958670000000005</v>
      </c>
      <c r="N3337">
        <v>-1.517727E-2</v>
      </c>
      <c r="O3337">
        <v>-2.441873E-2</v>
      </c>
      <c r="P3337">
        <v>0.99848999999999999</v>
      </c>
      <c r="Q3337">
        <v>-2.7449149999999999E-2</v>
      </c>
      <c r="R3337">
        <v>4.7586610000000001E-2</v>
      </c>
      <c r="S3337">
        <v>2.9924620000000002</v>
      </c>
      <c r="T3337">
        <v>-5.5245280000000001E-2</v>
      </c>
      <c r="U3337">
        <v>0.22032170000000001</v>
      </c>
      <c r="V3337">
        <v>-7.1994230000000006E-2</v>
      </c>
      <c r="W3337">
        <v>-1.2094519999999999E-2</v>
      </c>
      <c r="X3337">
        <v>0.99733170000000004</v>
      </c>
      <c r="Y3337">
        <v>-9.7730120000000004E-2</v>
      </c>
      <c r="Z3337">
        <v>1.723781E-3</v>
      </c>
      <c r="AA3337">
        <v>0.99521150000000003</v>
      </c>
      <c r="AB3337">
        <v>52</v>
      </c>
      <c r="AC3337">
        <v>56.772300000000001</v>
      </c>
      <c r="AD3337">
        <v>-1.0576784499999901</v>
      </c>
      <c r="AE3337">
        <v>4.2307999999999799</v>
      </c>
      <c r="AF3337">
        <v>-5.6140673978747602</v>
      </c>
      <c r="AG3337">
        <v>-1.0576784499999901</v>
      </c>
      <c r="AH3337">
        <v>56.632497328298498</v>
      </c>
      <c r="AI3337">
        <v>91.064724081479</v>
      </c>
      <c r="AJ3337">
        <v>95.6613232096839</v>
      </c>
      <c r="AK3337">
        <v>56.919910313450202</v>
      </c>
      <c r="AL3337">
        <v>90.6929818581809</v>
      </c>
      <c r="AM3337">
        <v>94.128839846728596</v>
      </c>
      <c r="AN3337">
        <v>0.99999998319610595</v>
      </c>
    </row>
    <row r="3338" spans="1:40" x14ac:dyDescent="0.25">
      <c r="A3338" t="str">
        <f>"20190305135259927"</f>
        <v>20190305135259927</v>
      </c>
      <c r="B3338" t="str">
        <f>"1551765179923103"</f>
        <v>1551765179923103</v>
      </c>
      <c r="C3338" t="s">
        <v>40</v>
      </c>
      <c r="D3338">
        <v>4.4806800000000004</v>
      </c>
      <c r="E3338">
        <v>0.4897859</v>
      </c>
      <c r="F3338" t="s">
        <v>56</v>
      </c>
      <c r="G3338">
        <v>-248.39279999999999</v>
      </c>
      <c r="H3338" s="1">
        <v>2.712391E-6</v>
      </c>
      <c r="I3338">
        <v>219.5821</v>
      </c>
      <c r="J3338">
        <v>-305.0265</v>
      </c>
      <c r="K3338">
        <v>1.1075060000000001</v>
      </c>
      <c r="L3338">
        <v>215.37270000000001</v>
      </c>
      <c r="M3338">
        <v>0.9995657</v>
      </c>
      <c r="N3338">
        <v>-1.517399E-2</v>
      </c>
      <c r="O3338">
        <v>-2.526668E-2</v>
      </c>
      <c r="P3338">
        <v>0.99851230000000002</v>
      </c>
      <c r="Q3338">
        <v>-2.7349479999999999E-2</v>
      </c>
      <c r="R3338">
        <v>4.7177509999999999E-2</v>
      </c>
      <c r="S3338">
        <v>2.9924010000000001</v>
      </c>
      <c r="T3338">
        <v>-5.8003310000000002E-2</v>
      </c>
      <c r="U3338">
        <v>0.2197876</v>
      </c>
      <c r="V3338">
        <v>-7.2430869999999994E-2</v>
      </c>
      <c r="W3338">
        <v>-1.199739E-2</v>
      </c>
      <c r="X3338">
        <v>0.99730129999999995</v>
      </c>
      <c r="Y3338">
        <v>-9.8396490000000003E-2</v>
      </c>
      <c r="Z3338">
        <v>1.8062600000000001E-3</v>
      </c>
      <c r="AA3338">
        <v>0.99514570000000002</v>
      </c>
      <c r="AB3338">
        <v>52</v>
      </c>
      <c r="AC3338">
        <v>56.633699999999997</v>
      </c>
      <c r="AD3338">
        <v>-1.1075032876090001</v>
      </c>
      <c r="AE3338">
        <v>4.20939999999998</v>
      </c>
      <c r="AF3338">
        <v>-5.6370221275435402</v>
      </c>
      <c r="AG3338">
        <v>-1.1075032876090001</v>
      </c>
      <c r="AH3338">
        <v>56.487762190272797</v>
      </c>
      <c r="AI3338">
        <v>91.117651610377706</v>
      </c>
      <c r="AJ3338">
        <v>95.698788710890298</v>
      </c>
      <c r="AK3338">
        <v>56.779132251763798</v>
      </c>
      <c r="AL3338">
        <v>90.687416286035102</v>
      </c>
      <c r="AM3338">
        <v>94.153919760167298</v>
      </c>
      <c r="AN3338">
        <v>1.00000002563872</v>
      </c>
    </row>
    <row r="3339" spans="1:40" x14ac:dyDescent="0.25">
      <c r="A3339" t="str">
        <f>"20190305135259950"</f>
        <v>20190305135259950</v>
      </c>
      <c r="B3339" t="str">
        <f>"1551765179942627"</f>
        <v>1551765179942627</v>
      </c>
      <c r="C3339" t="s">
        <v>40</v>
      </c>
      <c r="D3339">
        <v>4.486459</v>
      </c>
      <c r="E3339">
        <v>0.4893267</v>
      </c>
      <c r="F3339" t="s">
        <v>56</v>
      </c>
      <c r="G3339">
        <v>-248.4263</v>
      </c>
      <c r="H3339" s="1">
        <v>2.7292250000000001E-6</v>
      </c>
      <c r="I3339">
        <v>219.60480000000001</v>
      </c>
      <c r="J3339">
        <v>-304.4776</v>
      </c>
      <c r="K3339">
        <v>1.1075140000000001</v>
      </c>
      <c r="L3339">
        <v>215.35820000000001</v>
      </c>
      <c r="M3339">
        <v>0.99954209999999999</v>
      </c>
      <c r="N3339">
        <v>-1.517027E-2</v>
      </c>
      <c r="O3339">
        <v>-2.6181429999999999E-2</v>
      </c>
      <c r="P3339">
        <v>0.99856730000000005</v>
      </c>
      <c r="Q3339">
        <v>-2.669229E-2</v>
      </c>
      <c r="R3339">
        <v>4.6379459999999997E-2</v>
      </c>
      <c r="S3339">
        <v>2.9923099999999998</v>
      </c>
      <c r="T3339">
        <v>-5.8550949999999997E-2</v>
      </c>
      <c r="U3339">
        <v>0.22373960000000001</v>
      </c>
      <c r="V3339">
        <v>-7.2545570000000004E-2</v>
      </c>
      <c r="W3339">
        <v>-1.134434E-2</v>
      </c>
      <c r="X3339">
        <v>0.99730059999999998</v>
      </c>
      <c r="Y3339">
        <v>-0.1006151</v>
      </c>
      <c r="Z3339">
        <v>1.862362E-3</v>
      </c>
      <c r="AA3339">
        <v>0.99492369999999997</v>
      </c>
      <c r="AB3339">
        <v>52</v>
      </c>
      <c r="AC3339">
        <v>56.051299999999998</v>
      </c>
      <c r="AD3339">
        <v>-1.1075112707749999</v>
      </c>
      <c r="AE3339">
        <v>4.2465999999999999</v>
      </c>
      <c r="AF3339">
        <v>-5.7105992610429004</v>
      </c>
      <c r="AG3339">
        <v>-1.1075112707749999</v>
      </c>
      <c r="AH3339">
        <v>55.899187512734201</v>
      </c>
      <c r="AI3339">
        <v>91.129157599270101</v>
      </c>
      <c r="AJ3339">
        <v>95.833037675405194</v>
      </c>
      <c r="AK3339">
        <v>56.2010381551706</v>
      </c>
      <c r="AL3339">
        <v>90.649996732480403</v>
      </c>
      <c r="AM3339">
        <v>94.160477649335903</v>
      </c>
      <c r="AN3339">
        <v>1.00000002026851</v>
      </c>
    </row>
    <row r="3340" spans="1:40" x14ac:dyDescent="0.25">
      <c r="A3340" t="str">
        <f>"20190305135259971"</f>
        <v>20190305135259971</v>
      </c>
      <c r="B3340" t="str">
        <f>"1551765179963119"</f>
        <v>1551765179963119</v>
      </c>
      <c r="C3340" t="s">
        <v>40</v>
      </c>
      <c r="D3340">
        <v>4.5471209999999997</v>
      </c>
      <c r="E3340">
        <v>0.4890274</v>
      </c>
      <c r="F3340" t="s">
        <v>56</v>
      </c>
      <c r="G3340">
        <v>-247.83359999999999</v>
      </c>
      <c r="H3340">
        <v>4.9612059999999999E-2</v>
      </c>
      <c r="I3340">
        <v>219.6163</v>
      </c>
      <c r="J3340">
        <v>-303.96789999999999</v>
      </c>
      <c r="K3340">
        <v>1.1075219999999999</v>
      </c>
      <c r="L3340">
        <v>215.34440000000001</v>
      </c>
      <c r="M3340">
        <v>0.99951990000000002</v>
      </c>
      <c r="N3340">
        <v>-1.516691E-2</v>
      </c>
      <c r="O3340">
        <v>-2.7022109999999998E-2</v>
      </c>
      <c r="P3340">
        <v>0.99860360000000004</v>
      </c>
      <c r="Q3340">
        <v>-2.6590820000000001E-2</v>
      </c>
      <c r="R3340">
        <v>4.5654399999999998E-2</v>
      </c>
      <c r="S3340">
        <v>2.9923709999999999</v>
      </c>
      <c r="T3340">
        <v>-5.588651E-2</v>
      </c>
      <c r="U3340">
        <v>0.22494510000000001</v>
      </c>
      <c r="V3340">
        <v>-7.2659769999999999E-2</v>
      </c>
      <c r="W3340">
        <v>-1.1247109999999999E-2</v>
      </c>
      <c r="X3340">
        <v>0.9972934</v>
      </c>
      <c r="Y3340">
        <v>-0.10185089999999999</v>
      </c>
      <c r="Z3340">
        <v>1.8181009999999999E-3</v>
      </c>
      <c r="AA3340">
        <v>0.99479799999999996</v>
      </c>
      <c r="AB3340">
        <v>52</v>
      </c>
      <c r="AC3340">
        <v>56.134300000000003</v>
      </c>
      <c r="AD3340">
        <v>-1.0579099399999901</v>
      </c>
      <c r="AE3340">
        <v>4.27189999999998</v>
      </c>
      <c r="AF3340">
        <v>-5.7853382581907598</v>
      </c>
      <c r="AG3340">
        <v>-1.0579099399999901</v>
      </c>
      <c r="AH3340">
        <v>55.978580417284</v>
      </c>
      <c r="AI3340">
        <v>91.076939335676002</v>
      </c>
      <c r="AJ3340">
        <v>95.900521247237407</v>
      </c>
      <c r="AK3340">
        <v>56.286683840293598</v>
      </c>
      <c r="AL3340">
        <v>90.644425500518693</v>
      </c>
      <c r="AM3340">
        <v>94.167033928118002</v>
      </c>
      <c r="AN3340">
        <v>1.00000003267168</v>
      </c>
    </row>
    <row r="3341" spans="1:40" x14ac:dyDescent="0.25">
      <c r="A3341" t="str">
        <f>"20190305135259993"</f>
        <v>20190305135259993</v>
      </c>
      <c r="B3341" t="str">
        <f>"1551765179982644"</f>
        <v>1551765179982644</v>
      </c>
      <c r="C3341" t="s">
        <v>40</v>
      </c>
      <c r="D3341">
        <v>4.5281840000000004</v>
      </c>
      <c r="E3341">
        <v>0.48866290000000001</v>
      </c>
      <c r="F3341" t="s">
        <v>56</v>
      </c>
      <c r="G3341">
        <v>-247.20779999999999</v>
      </c>
      <c r="H3341">
        <v>3.3528240000000001E-2</v>
      </c>
      <c r="I3341">
        <v>219.6163</v>
      </c>
      <c r="J3341">
        <v>-303.46890000000002</v>
      </c>
      <c r="K3341">
        <v>1.107532</v>
      </c>
      <c r="L3341">
        <v>215.3304</v>
      </c>
      <c r="M3341">
        <v>0.99949770000000004</v>
      </c>
      <c r="N3341">
        <v>-1.5163619999999999E-2</v>
      </c>
      <c r="O3341">
        <v>-2.7833770000000001E-2</v>
      </c>
      <c r="P3341">
        <v>0.99864330000000001</v>
      </c>
      <c r="Q3341">
        <v>-2.6759890000000001E-2</v>
      </c>
      <c r="R3341">
        <v>4.4671620000000002E-2</v>
      </c>
      <c r="S3341">
        <v>2.992432</v>
      </c>
      <c r="T3341">
        <v>-5.6621669999999999E-2</v>
      </c>
      <c r="U3341">
        <v>0.22521969999999999</v>
      </c>
      <c r="V3341">
        <v>-7.2487960000000004E-2</v>
      </c>
      <c r="W3341">
        <v>-1.14214E-2</v>
      </c>
      <c r="X3341">
        <v>0.99730390000000002</v>
      </c>
      <c r="Y3341">
        <v>-0.102747</v>
      </c>
      <c r="Z3341">
        <v>1.855434E-3</v>
      </c>
      <c r="AA3341">
        <v>0.99470579999999997</v>
      </c>
      <c r="AB3341">
        <v>52</v>
      </c>
      <c r="AC3341">
        <v>56.261099999999999</v>
      </c>
      <c r="AD3341">
        <v>-1.0740037600000001</v>
      </c>
      <c r="AE3341">
        <v>4.2858999999999901</v>
      </c>
      <c r="AF3341">
        <v>-5.8482585648429302</v>
      </c>
      <c r="AG3341">
        <v>-1.0740037600000001</v>
      </c>
      <c r="AH3341">
        <v>56.099665496169301</v>
      </c>
      <c r="AI3341">
        <v>91.090858826482403</v>
      </c>
      <c r="AJ3341">
        <v>95.951453485934707</v>
      </c>
      <c r="AK3341">
        <v>56.413899715405599</v>
      </c>
      <c r="AL3341">
        <v>90.654412237399001</v>
      </c>
      <c r="AM3341">
        <v>94.157171604785603</v>
      </c>
      <c r="AN3341">
        <v>1.0000000108390601</v>
      </c>
    </row>
    <row r="3342" spans="1:40" x14ac:dyDescent="0.25">
      <c r="A3342" t="str">
        <f>"20190305135300015"</f>
        <v>20190305135300015</v>
      </c>
      <c r="B3342" t="str">
        <f>"1551765180012896"</f>
        <v>1551765180012896</v>
      </c>
      <c r="C3342" t="s">
        <v>40</v>
      </c>
      <c r="D3342">
        <v>4.9519149999999996</v>
      </c>
      <c r="E3342">
        <v>0.48876789999999998</v>
      </c>
      <c r="F3342" t="s">
        <v>56</v>
      </c>
      <c r="G3342">
        <v>-246.51490000000001</v>
      </c>
      <c r="H3342">
        <v>1.099428E-2</v>
      </c>
      <c r="I3342">
        <v>219.6163</v>
      </c>
      <c r="J3342">
        <v>-302.9427</v>
      </c>
      <c r="K3342">
        <v>1.107551</v>
      </c>
      <c r="L3342">
        <v>215.3152</v>
      </c>
      <c r="M3342">
        <v>0.99947399999999997</v>
      </c>
      <c r="N3342">
        <v>-1.5160130000000001E-2</v>
      </c>
      <c r="O3342">
        <v>-2.8673959999999998E-2</v>
      </c>
      <c r="P3342">
        <v>0.99868970000000001</v>
      </c>
      <c r="Q3342">
        <v>-2.6998620000000001E-2</v>
      </c>
      <c r="R3342">
        <v>4.3477740000000001E-2</v>
      </c>
      <c r="S3342">
        <v>2.9924620000000002</v>
      </c>
      <c r="T3342">
        <v>-5.761409E-2</v>
      </c>
      <c r="U3342">
        <v>0.22518920000000001</v>
      </c>
      <c r="V3342">
        <v>-7.2134409999999996E-2</v>
      </c>
      <c r="W3342">
        <v>-1.1666549999999999E-2</v>
      </c>
      <c r="X3342">
        <v>0.99732670000000001</v>
      </c>
      <c r="Y3342">
        <v>-0.1035711</v>
      </c>
      <c r="Z3342">
        <v>1.8991819999999999E-3</v>
      </c>
      <c r="AA3342">
        <v>0.99462030000000001</v>
      </c>
      <c r="AB3342">
        <v>52</v>
      </c>
      <c r="AC3342">
        <v>56.427799999999898</v>
      </c>
      <c r="AD3342">
        <v>-1.0965567199999999</v>
      </c>
      <c r="AE3342">
        <v>4.3010999999999902</v>
      </c>
      <c r="AF3342">
        <v>-5.9153043158459404</v>
      </c>
      <c r="AG3342">
        <v>-1.0965567199999999</v>
      </c>
      <c r="AH3342">
        <v>56.260125571599097</v>
      </c>
      <c r="AI3342">
        <v>91.110481410867393</v>
      </c>
      <c r="AJ3342">
        <v>96.002142318762495</v>
      </c>
      <c r="AK3342">
        <v>56.580871247457303</v>
      </c>
      <c r="AL3342">
        <v>90.668459231513395</v>
      </c>
      <c r="AM3342">
        <v>94.136871897000901</v>
      </c>
      <c r="AN3342">
        <v>1.00000001401392</v>
      </c>
    </row>
    <row r="3343" spans="1:40" x14ac:dyDescent="0.25">
      <c r="A3343" t="str">
        <f>"20190305135300040"</f>
        <v>20190305135300040</v>
      </c>
      <c r="B3343" t="str">
        <f>"1551765180033543"</f>
        <v>1551765180033543</v>
      </c>
      <c r="C3343" t="s">
        <v>40</v>
      </c>
      <c r="D3343">
        <v>4.6602959999999998</v>
      </c>
      <c r="E3343">
        <v>0.5300454</v>
      </c>
      <c r="F3343" t="s">
        <v>56</v>
      </c>
      <c r="G3343">
        <v>-246.86869999999999</v>
      </c>
      <c r="H3343" s="1">
        <v>1.9070839999999999E-6</v>
      </c>
      <c r="I3343">
        <v>219.4502</v>
      </c>
      <c r="J3343">
        <v>-302.38170000000002</v>
      </c>
      <c r="K3343">
        <v>1.107569</v>
      </c>
      <c r="L3343">
        <v>215.29859999999999</v>
      </c>
      <c r="M3343">
        <v>0.99944849999999996</v>
      </c>
      <c r="N3343">
        <v>-1.5156350000000001E-2</v>
      </c>
      <c r="O3343">
        <v>-2.9547279999999999E-2</v>
      </c>
      <c r="P3343">
        <v>0.99873100000000004</v>
      </c>
      <c r="Q3343">
        <v>-2.7555659999999999E-2</v>
      </c>
      <c r="R3343">
        <v>4.215824E-2</v>
      </c>
      <c r="S3343">
        <v>2.992737</v>
      </c>
      <c r="T3343">
        <v>-5.9111240000000002E-2</v>
      </c>
      <c r="U3343">
        <v>0.22068789999999999</v>
      </c>
      <c r="V3343">
        <v>-7.1689269999999999E-2</v>
      </c>
      <c r="W3343">
        <v>-1.2231580000000001E-2</v>
      </c>
      <c r="X3343">
        <v>0.99735200000000002</v>
      </c>
      <c r="Y3343">
        <v>-0.1029443</v>
      </c>
      <c r="Z3343">
        <v>1.932233E-3</v>
      </c>
      <c r="AA3343">
        <v>0.99468520000000005</v>
      </c>
      <c r="AB3343">
        <v>52</v>
      </c>
      <c r="AC3343">
        <v>55.512999999999998</v>
      </c>
      <c r="AD3343">
        <v>-1.107567092916</v>
      </c>
      <c r="AE3343">
        <v>4.1516000000000002</v>
      </c>
      <c r="AF3343">
        <v>-5.7879423153621401</v>
      </c>
      <c r="AG3343">
        <v>-1.107567092916</v>
      </c>
      <c r="AH3343">
        <v>55.344166102498697</v>
      </c>
      <c r="AI3343">
        <v>91.140253481111998</v>
      </c>
      <c r="AJ3343">
        <v>95.970340713465006</v>
      </c>
      <c r="AK3343">
        <v>55.657018449538199</v>
      </c>
      <c r="AL3343">
        <v>90.7008353958295</v>
      </c>
      <c r="AM3343">
        <v>94.111327220319595</v>
      </c>
      <c r="AN3343">
        <v>0.99999998744321394</v>
      </c>
    </row>
    <row r="3344" spans="1:40" x14ac:dyDescent="0.25">
      <c r="A3344" t="str">
        <f>"20190305135300062"</f>
        <v>20190305135300062</v>
      </c>
      <c r="B3344" t="str">
        <f>"1551765180053061"</f>
        <v>1551765180053061</v>
      </c>
      <c r="C3344" t="s">
        <v>40</v>
      </c>
      <c r="D3344">
        <v>4.647653</v>
      </c>
      <c r="E3344">
        <v>0.53419209999999995</v>
      </c>
      <c r="F3344" t="s">
        <v>56</v>
      </c>
      <c r="G3344">
        <v>-278.31619999999998</v>
      </c>
      <c r="H3344" s="1">
        <v>2.8990550000000001E-6</v>
      </c>
      <c r="I3344">
        <v>214.37889999999999</v>
      </c>
      <c r="J3344">
        <v>-301.8646</v>
      </c>
      <c r="K3344">
        <v>1.1075889999999999</v>
      </c>
      <c r="L3344">
        <v>215.28280000000001</v>
      </c>
      <c r="M3344">
        <v>0.99942529999999996</v>
      </c>
      <c r="N3344">
        <v>-1.515266E-2</v>
      </c>
      <c r="O3344">
        <v>-3.0325609999999999E-2</v>
      </c>
      <c r="P3344">
        <v>0.99878100000000003</v>
      </c>
      <c r="Q3344">
        <v>-2.7561249999999999E-2</v>
      </c>
      <c r="R3344">
        <v>4.0952250000000003E-2</v>
      </c>
      <c r="S3344">
        <v>3.0048520000000001</v>
      </c>
      <c r="T3344">
        <v>-0.138292</v>
      </c>
      <c r="U3344">
        <v>-0.1148376</v>
      </c>
      <c r="V3344">
        <v>-7.1261229999999995E-2</v>
      </c>
      <c r="W3344">
        <v>-1.2245590000000001E-2</v>
      </c>
      <c r="X3344">
        <v>0.99738249999999995</v>
      </c>
      <c r="Y3344">
        <v>7.8683350000000006E-3</v>
      </c>
      <c r="Z3344">
        <v>6.9415389999999996E-4</v>
      </c>
      <c r="AA3344">
        <v>0.99996879999999999</v>
      </c>
      <c r="AB3344">
        <v>52</v>
      </c>
      <c r="AC3344">
        <v>23.548400000000001</v>
      </c>
      <c r="AD3344">
        <v>-1.1075861009450001</v>
      </c>
      <c r="AE3344">
        <v>-0.90390000000002102</v>
      </c>
      <c r="AF3344">
        <v>0.18886544773066699</v>
      </c>
      <c r="AG3344">
        <v>-1.1075861009450001</v>
      </c>
      <c r="AH3344">
        <v>23.5130414746673</v>
      </c>
      <c r="AI3344">
        <v>92.696847697673604</v>
      </c>
      <c r="AJ3344">
        <v>89.539788999759196</v>
      </c>
      <c r="AK3344">
        <v>23.539871208606399</v>
      </c>
      <c r="AL3344">
        <v>90.701638172010504</v>
      </c>
      <c r="AM3344">
        <v>94.086738313780103</v>
      </c>
      <c r="AN3344">
        <v>0.99999998434090498</v>
      </c>
    </row>
    <row r="3345" spans="1:40" x14ac:dyDescent="0.25">
      <c r="A3345" t="str">
        <f>"20190305135300083"</f>
        <v>20190305135300083</v>
      </c>
      <c r="B3345" t="str">
        <f>"1551765180073561"</f>
        <v>1551765180073561</v>
      </c>
      <c r="C3345" t="s">
        <v>40</v>
      </c>
      <c r="D3345">
        <v>4.6356840000000004</v>
      </c>
      <c r="E3345">
        <v>0.53390159999999998</v>
      </c>
      <c r="F3345" t="s">
        <v>56</v>
      </c>
      <c r="G3345">
        <v>-278.02350000000001</v>
      </c>
      <c r="H3345" s="1">
        <v>2.7563920000000002E-6</v>
      </c>
      <c r="I3345">
        <v>214.0797</v>
      </c>
      <c r="J3345">
        <v>-301.37990000000002</v>
      </c>
      <c r="K3345">
        <v>1.107623</v>
      </c>
      <c r="L3345">
        <v>215.26769999999999</v>
      </c>
      <c r="M3345">
        <v>0.99940390000000001</v>
      </c>
      <c r="N3345">
        <v>-1.5149370000000001E-2</v>
      </c>
      <c r="O3345">
        <v>-3.102444E-2</v>
      </c>
      <c r="P3345">
        <v>0.99883679999999997</v>
      </c>
      <c r="Q3345">
        <v>-2.727303E-2</v>
      </c>
      <c r="R3345">
        <v>3.9768739999999997E-2</v>
      </c>
      <c r="S3345">
        <v>3.0060419999999999</v>
      </c>
      <c r="T3345">
        <v>-0.13965179999999999</v>
      </c>
      <c r="U3345">
        <v>-0.1517029</v>
      </c>
      <c r="V3345">
        <v>-7.0775420000000006E-2</v>
      </c>
      <c r="W3345">
        <v>-1.1966259999999999E-2</v>
      </c>
      <c r="X3345">
        <v>0.99742050000000004</v>
      </c>
      <c r="Y3345">
        <v>1.937649E-2</v>
      </c>
      <c r="Z3345">
        <v>3.7291389999999998E-4</v>
      </c>
      <c r="AA3345">
        <v>0.99981220000000004</v>
      </c>
      <c r="AB3345">
        <v>52</v>
      </c>
      <c r="AC3345">
        <v>23.356400000000001</v>
      </c>
      <c r="AD3345">
        <v>-1.107620243608</v>
      </c>
      <c r="AE3345">
        <v>-1.18799999999998</v>
      </c>
      <c r="AF3345">
        <v>0.46169004896069998</v>
      </c>
      <c r="AG3345">
        <v>-1.107620243608</v>
      </c>
      <c r="AH3345">
        <v>23.329684804358202</v>
      </c>
      <c r="AI3345">
        <v>92.717651461878305</v>
      </c>
      <c r="AJ3345">
        <v>88.866275349419794</v>
      </c>
      <c r="AK3345">
        <v>23.360525965312998</v>
      </c>
      <c r="AL3345">
        <v>90.6856325561902</v>
      </c>
      <c r="AM3345">
        <v>94.058817062146105</v>
      </c>
      <c r="AN3345">
        <v>1.0000000026374001</v>
      </c>
    </row>
    <row r="3346" spans="1:40" x14ac:dyDescent="0.25">
      <c r="A3346" t="str">
        <f>"20190305135300106"</f>
        <v>20190305135300106</v>
      </c>
      <c r="B3346" t="str">
        <f>"1551765180093078"</f>
        <v>1551765180093078</v>
      </c>
      <c r="C3346" t="s">
        <v>40</v>
      </c>
      <c r="D3346">
        <v>4.6342019999999904</v>
      </c>
      <c r="E3346">
        <v>0.53390599999999999</v>
      </c>
      <c r="F3346" t="s">
        <v>56</v>
      </c>
      <c r="G3346">
        <v>-277.66550000000001</v>
      </c>
      <c r="H3346" s="1">
        <v>2.5666729999999998E-6</v>
      </c>
      <c r="I3346">
        <v>214.0607</v>
      </c>
      <c r="J3346">
        <v>-300.8596</v>
      </c>
      <c r="K3346">
        <v>1.1076629999999901</v>
      </c>
      <c r="L3346">
        <v>215.25110000000001</v>
      </c>
      <c r="M3346">
        <v>0.99938170000000004</v>
      </c>
      <c r="N3346">
        <v>-1.5145499999999999E-2</v>
      </c>
      <c r="O3346">
        <v>-3.1733310000000001E-2</v>
      </c>
      <c r="P3346">
        <v>0.99890480000000004</v>
      </c>
      <c r="Q3346">
        <v>-2.6768380000000001E-2</v>
      </c>
      <c r="R3346">
        <v>3.8374970000000001E-2</v>
      </c>
      <c r="S3346">
        <v>3.0057680000000002</v>
      </c>
      <c r="T3346">
        <v>-0.14038919999999999</v>
      </c>
      <c r="U3346">
        <v>-0.1529846</v>
      </c>
      <c r="V3346">
        <v>-7.0089499999999999E-2</v>
      </c>
      <c r="W3346">
        <v>-1.1472980000000001E-2</v>
      </c>
      <c r="X3346">
        <v>0.99747470000000005</v>
      </c>
      <c r="Y3346">
        <v>1.9097909999999999E-2</v>
      </c>
      <c r="Z3346">
        <v>4.0929319999999999E-4</v>
      </c>
      <c r="AA3346">
        <v>0.99981759999999997</v>
      </c>
      <c r="AB3346">
        <v>52</v>
      </c>
      <c r="AC3346">
        <v>23.194099999999899</v>
      </c>
      <c r="AD3346">
        <v>-1.1076604333269999</v>
      </c>
      <c r="AE3346">
        <v>-1.1904000000000099</v>
      </c>
      <c r="AF3346">
        <v>0.45266076183987503</v>
      </c>
      <c r="AG3346">
        <v>-1.1076604333269999</v>
      </c>
      <c r="AH3346">
        <v>23.1674976857587</v>
      </c>
      <c r="AI3346">
        <v>92.736760557093803</v>
      </c>
      <c r="AJ3346">
        <v>88.880662385321301</v>
      </c>
      <c r="AK3346">
        <v>23.1983784437728</v>
      </c>
      <c r="AL3346">
        <v>90.657367772717706</v>
      </c>
      <c r="AM3346">
        <v>94.019392906651007</v>
      </c>
      <c r="AN3346">
        <v>0.99999997221020998</v>
      </c>
    </row>
    <row r="3347" spans="1:40" x14ac:dyDescent="0.25">
      <c r="A3347" t="str">
        <f>"20190305135300129"</f>
        <v>20190305135300129</v>
      </c>
      <c r="B3347" t="str">
        <f>"1551765180123334"</f>
        <v>1551765180123334</v>
      </c>
      <c r="C3347" t="s">
        <v>40</v>
      </c>
      <c r="D3347">
        <v>4.6430059999999997</v>
      </c>
      <c r="E3347">
        <v>0.53401259999999995</v>
      </c>
      <c r="F3347" t="s">
        <v>56</v>
      </c>
      <c r="G3347">
        <v>-276.95359999999999</v>
      </c>
      <c r="H3347" s="1">
        <v>2.1904260000000001E-6</v>
      </c>
      <c r="I3347">
        <v>214.00129999999999</v>
      </c>
      <c r="J3347">
        <v>-300.33780000000002</v>
      </c>
      <c r="K3347">
        <v>1.1077170000000001</v>
      </c>
      <c r="L3347">
        <v>215.23419999999999</v>
      </c>
      <c r="M3347">
        <v>0.99936060000000004</v>
      </c>
      <c r="N3347">
        <v>-1.5141740000000001E-2</v>
      </c>
      <c r="O3347">
        <v>-3.239181E-2</v>
      </c>
      <c r="P3347">
        <v>0.99896560000000001</v>
      </c>
      <c r="Q3347">
        <v>-2.6300540000000001E-2</v>
      </c>
      <c r="R3347">
        <v>3.7100920000000003E-2</v>
      </c>
      <c r="S3347">
        <v>3.0055540000000001</v>
      </c>
      <c r="T3347">
        <v>-0.1392591</v>
      </c>
      <c r="U3347">
        <v>-0.157135</v>
      </c>
      <c r="V3347">
        <v>-6.9472469999999995E-2</v>
      </c>
      <c r="W3347">
        <v>-1.101773E-2</v>
      </c>
      <c r="X3347">
        <v>0.99752300000000005</v>
      </c>
      <c r="Y3347">
        <v>1.981904E-2</v>
      </c>
      <c r="Z3347">
        <v>3.9949270000000001E-4</v>
      </c>
      <c r="AA3347">
        <v>0.99980349999999996</v>
      </c>
      <c r="AB3347">
        <v>52</v>
      </c>
      <c r="AC3347">
        <v>23.3842</v>
      </c>
      <c r="AD3347">
        <v>-1.1077148095739999</v>
      </c>
      <c r="AE3347">
        <v>-1.2329000000000001</v>
      </c>
      <c r="AF3347">
        <v>0.47364962189891602</v>
      </c>
      <c r="AG3347">
        <v>-1.1077148095739999</v>
      </c>
      <c r="AH3347">
        <v>23.359594530587898</v>
      </c>
      <c r="AI3347">
        <v>92.714381947095703</v>
      </c>
      <c r="AJ3347">
        <v>88.838404234892707</v>
      </c>
      <c r="AK3347">
        <v>23.390639852238898</v>
      </c>
      <c r="AL3347">
        <v>90.631282216969794</v>
      </c>
      <c r="AM3347">
        <v>93.983930514102397</v>
      </c>
      <c r="AN3347">
        <v>0.99999997499562598</v>
      </c>
    </row>
    <row r="3348" spans="1:40" x14ac:dyDescent="0.25">
      <c r="A3348" t="str">
        <f>"20190305135300150"</f>
        <v>20190305135300150</v>
      </c>
      <c r="B3348" t="str">
        <f>"1551765180142857"</f>
        <v>1551765180142857</v>
      </c>
      <c r="C3348" t="s">
        <v>40</v>
      </c>
      <c r="D3348">
        <v>4.6596570000000002</v>
      </c>
      <c r="E3348">
        <v>0.53367050000000005</v>
      </c>
      <c r="F3348" t="s">
        <v>56</v>
      </c>
      <c r="G3348">
        <v>-276.22129999999999</v>
      </c>
      <c r="H3348" s="1">
        <v>1.803662E-6</v>
      </c>
      <c r="I3348">
        <v>213.93530000000001</v>
      </c>
      <c r="J3348">
        <v>-299.81470000000002</v>
      </c>
      <c r="K3348">
        <v>1.107772</v>
      </c>
      <c r="L3348">
        <v>215.21680000000001</v>
      </c>
      <c r="M3348">
        <v>0.99934060000000002</v>
      </c>
      <c r="N3348">
        <v>-1.513799E-2</v>
      </c>
      <c r="O3348">
        <v>-3.3004810000000002E-2</v>
      </c>
      <c r="P3348">
        <v>0.99901660000000003</v>
      </c>
      <c r="Q3348">
        <v>-2.608239E-2</v>
      </c>
      <c r="R3348">
        <v>3.5857640000000003E-2</v>
      </c>
      <c r="S3348">
        <v>3.005493</v>
      </c>
      <c r="T3348">
        <v>-0.138047799999999</v>
      </c>
      <c r="U3348">
        <v>-0.16186519999999999</v>
      </c>
      <c r="V3348">
        <v>-6.8841410000000006E-2</v>
      </c>
      <c r="W3348">
        <v>-1.081271E-2</v>
      </c>
      <c r="X3348">
        <v>0.99756900000000004</v>
      </c>
      <c r="Y3348">
        <v>2.0774910000000001E-2</v>
      </c>
      <c r="Z3348">
        <v>3.802419E-4</v>
      </c>
      <c r="AA3348">
        <v>0.99978409999999995</v>
      </c>
      <c r="AB3348">
        <v>52</v>
      </c>
      <c r="AC3348">
        <v>23.593399999999999</v>
      </c>
      <c r="AD3348">
        <v>-1.107770196338</v>
      </c>
      <c r="AE3348">
        <v>-1.2814999999999901</v>
      </c>
      <c r="AF3348">
        <v>0.50091574957236096</v>
      </c>
      <c r="AG3348">
        <v>-1.107770196338</v>
      </c>
      <c r="AH3348">
        <v>23.571033240465599</v>
      </c>
      <c r="AI3348">
        <v>92.690149072132201</v>
      </c>
      <c r="AJ3348">
        <v>88.782571867848006</v>
      </c>
      <c r="AK3348">
        <v>23.602365970791901</v>
      </c>
      <c r="AL3348">
        <v>90.619534731711298</v>
      </c>
      <c r="AM3348">
        <v>93.947675574664899</v>
      </c>
      <c r="AN3348">
        <v>0.99999998209466601</v>
      </c>
    </row>
    <row r="3349" spans="1:40" x14ac:dyDescent="0.25">
      <c r="A3349" t="str">
        <f>"20190305135300173"</f>
        <v>20190305135300173</v>
      </c>
      <c r="B3349" t="str">
        <f>"1551765180163350"</f>
        <v>1551765180163350</v>
      </c>
      <c r="C3349" t="s">
        <v>40</v>
      </c>
      <c r="D3349">
        <v>4.6582569999999999</v>
      </c>
      <c r="E3349">
        <v>0.53348030000000002</v>
      </c>
      <c r="F3349" t="s">
        <v>56</v>
      </c>
      <c r="G3349">
        <v>-275.601</v>
      </c>
      <c r="H3349" s="1">
        <v>1.474914E-6</v>
      </c>
      <c r="I3349">
        <v>213.90469999999999</v>
      </c>
      <c r="J3349">
        <v>-299.31119999999999</v>
      </c>
      <c r="K3349">
        <v>1.107823</v>
      </c>
      <c r="L3349">
        <v>215.19990000000001</v>
      </c>
      <c r="M3349">
        <v>0.99932270000000001</v>
      </c>
      <c r="N3349">
        <v>-1.5134399999999999E-2</v>
      </c>
      <c r="O3349">
        <v>-3.3543860000000002E-2</v>
      </c>
      <c r="P3349">
        <v>0.99905409999999994</v>
      </c>
      <c r="Q3349">
        <v>-2.6373810000000001E-2</v>
      </c>
      <c r="R3349">
        <v>3.4577400000000001E-2</v>
      </c>
      <c r="S3349">
        <v>3.005188</v>
      </c>
      <c r="T3349">
        <v>-0.13748679999999999</v>
      </c>
      <c r="U3349">
        <v>-0.16284179999999901</v>
      </c>
      <c r="V3349">
        <v>-6.8100530000000006E-2</v>
      </c>
      <c r="W3349">
        <v>-1.1117709999999999E-2</v>
      </c>
      <c r="X3349">
        <v>0.99761650000000002</v>
      </c>
      <c r="Y3349">
        <v>2.056558E-2</v>
      </c>
      <c r="Z3349">
        <v>3.9910359999999998E-4</v>
      </c>
      <c r="AA3349">
        <v>0.99978840000000002</v>
      </c>
      <c r="AB3349">
        <v>52</v>
      </c>
      <c r="AC3349">
        <v>23.710199999999901</v>
      </c>
      <c r="AD3349">
        <v>-1.107821525086</v>
      </c>
      <c r="AE3349">
        <v>-1.2952000000000199</v>
      </c>
      <c r="AF3349">
        <v>0.49796440303147199</v>
      </c>
      <c r="AG3349">
        <v>-1.107821525086</v>
      </c>
      <c r="AH3349">
        <v>23.688744416507099</v>
      </c>
      <c r="AI3349">
        <v>92.676937856637593</v>
      </c>
      <c r="AJ3349">
        <v>88.795754780813098</v>
      </c>
      <c r="AK3349">
        <v>23.719861911670701</v>
      </c>
      <c r="AL3349">
        <v>90.637010994701001</v>
      </c>
      <c r="AM3349">
        <v>93.905136995446099</v>
      </c>
      <c r="AN3349">
        <v>0.99999998336708695</v>
      </c>
    </row>
    <row r="3350" spans="1:40" x14ac:dyDescent="0.25">
      <c r="A3350" t="str">
        <f>"20190305135300194"</f>
        <v>20190305135300194</v>
      </c>
      <c r="B3350" t="str">
        <f>"1551765180182870"</f>
        <v>1551765180182870</v>
      </c>
      <c r="C3350" t="s">
        <v>40</v>
      </c>
      <c r="D3350">
        <v>4.6540790000000003</v>
      </c>
      <c r="E3350">
        <v>0.53349729999999995</v>
      </c>
      <c r="F3350" t="s">
        <v>56</v>
      </c>
      <c r="G3350">
        <v>-275.09550000000002</v>
      </c>
      <c r="H3350" s="1">
        <v>1.20742E-6</v>
      </c>
      <c r="I3350">
        <v>213.8691</v>
      </c>
      <c r="J3350">
        <v>-298.8109</v>
      </c>
      <c r="K3350">
        <v>1.10788</v>
      </c>
      <c r="L3350">
        <v>215.18279999999999</v>
      </c>
      <c r="M3350">
        <v>0.99930669999999999</v>
      </c>
      <c r="N3350">
        <v>-1.513084E-2</v>
      </c>
      <c r="O3350">
        <v>-3.4017800000000001E-2</v>
      </c>
      <c r="P3350">
        <v>0.99907800000000002</v>
      </c>
      <c r="Q3350">
        <v>-2.6956089999999999E-2</v>
      </c>
      <c r="R3350">
        <v>3.3417750000000003E-2</v>
      </c>
      <c r="S3350">
        <v>3.004883</v>
      </c>
      <c r="T3350">
        <v>-0.13746700000000001</v>
      </c>
      <c r="U3350">
        <v>-0.16513059999999999</v>
      </c>
      <c r="V3350">
        <v>-6.7414569999999993E-2</v>
      </c>
      <c r="W3350">
        <v>-1.17146E-2</v>
      </c>
      <c r="X3350">
        <v>0.99765630000000005</v>
      </c>
      <c r="Y3350">
        <v>2.0856010000000001E-2</v>
      </c>
      <c r="Z3350">
        <v>4.0482300000000001E-4</v>
      </c>
      <c r="AA3350">
        <v>0.99978239999999996</v>
      </c>
      <c r="AB3350">
        <v>52</v>
      </c>
      <c r="AC3350">
        <v>23.715399999999899</v>
      </c>
      <c r="AD3350">
        <v>-1.10787879257999</v>
      </c>
      <c r="AE3350">
        <v>-1.3136999999999801</v>
      </c>
      <c r="AF3350">
        <v>0.50500268738206</v>
      </c>
      <c r="AG3350">
        <v>-1.10787879257999</v>
      </c>
      <c r="AH3350">
        <v>23.694813237127899</v>
      </c>
      <c r="AI3350">
        <v>92.676374877805898</v>
      </c>
      <c r="AJ3350">
        <v>88.779051663859704</v>
      </c>
      <c r="AK3350">
        <v>23.726074211206601</v>
      </c>
      <c r="AL3350">
        <v>90.671212474780603</v>
      </c>
      <c r="AM3350">
        <v>93.865767628516707</v>
      </c>
      <c r="AN3350">
        <v>1.00000002451556</v>
      </c>
    </row>
    <row r="3351" spans="1:40" x14ac:dyDescent="0.25">
      <c r="A3351" t="str">
        <f>"20190305135300217"</f>
        <v>20190305135300217</v>
      </c>
      <c r="B3351" t="str">
        <f>"1551765180213126"</f>
        <v>1551765180213126</v>
      </c>
      <c r="C3351" t="s">
        <v>40</v>
      </c>
      <c r="D3351">
        <v>4.6852919999999996</v>
      </c>
      <c r="E3351">
        <v>0.53352460000000002</v>
      </c>
      <c r="F3351" t="s">
        <v>56</v>
      </c>
      <c r="G3351">
        <v>-275.11770000000001</v>
      </c>
      <c r="H3351" s="1">
        <v>1.220095E-6</v>
      </c>
      <c r="I3351">
        <v>213.85050000000001</v>
      </c>
      <c r="J3351">
        <v>-298.29070000000002</v>
      </c>
      <c r="K3351">
        <v>1.107955</v>
      </c>
      <c r="L3351">
        <v>215.16480000000001</v>
      </c>
      <c r="M3351">
        <v>0.99929250000000003</v>
      </c>
      <c r="N3351">
        <v>-1.5127089999999999E-2</v>
      </c>
      <c r="O3351">
        <v>-3.4434369999999999E-2</v>
      </c>
      <c r="P3351">
        <v>0.99909389999999998</v>
      </c>
      <c r="Q3351">
        <v>-2.7766180000000001E-2</v>
      </c>
      <c r="R3351">
        <v>3.2253400000000002E-2</v>
      </c>
      <c r="S3351">
        <v>3.0046689999999998</v>
      </c>
      <c r="T3351">
        <v>-0.1404966</v>
      </c>
      <c r="U3351">
        <v>-0.16894529999999999</v>
      </c>
      <c r="V3351">
        <v>-6.6666539999999996E-2</v>
      </c>
      <c r="W3351">
        <v>-1.254162E-2</v>
      </c>
      <c r="X3351">
        <v>0.99769649999999999</v>
      </c>
      <c r="Y3351">
        <v>2.170745E-2</v>
      </c>
      <c r="Z3351">
        <v>4.1555539999999999E-4</v>
      </c>
      <c r="AA3351">
        <v>0.99976430000000005</v>
      </c>
      <c r="AB3351">
        <v>52</v>
      </c>
      <c r="AC3351">
        <v>23.172999999999998</v>
      </c>
      <c r="AD3351">
        <v>-1.1079537799050001</v>
      </c>
      <c r="AE3351">
        <v>-1.3143</v>
      </c>
      <c r="AF3351">
        <v>0.514309495937328</v>
      </c>
      <c r="AG3351">
        <v>-1.1079537799050001</v>
      </c>
      <c r="AH3351">
        <v>23.151761106321601</v>
      </c>
      <c r="AI3351">
        <v>92.739189379658896</v>
      </c>
      <c r="AJ3351">
        <v>88.727400589459094</v>
      </c>
      <c r="AK3351">
        <v>23.183962520678001</v>
      </c>
      <c r="AL3351">
        <v>90.718600724175602</v>
      </c>
      <c r="AM3351">
        <v>93.822847516878099</v>
      </c>
      <c r="AN3351">
        <v>1.0000000129500199</v>
      </c>
    </row>
    <row r="3352" spans="1:40" x14ac:dyDescent="0.25">
      <c r="A3352" t="str">
        <f>"20190305135300241"</f>
        <v>20190305135300241</v>
      </c>
      <c r="B3352" t="str">
        <f>"1551765180232645"</f>
        <v>1551765180232645</v>
      </c>
      <c r="C3352" t="s">
        <v>40</v>
      </c>
      <c r="D3352">
        <v>4.6576930000000001</v>
      </c>
      <c r="E3352">
        <v>0.53335069999999996</v>
      </c>
      <c r="F3352" t="s">
        <v>56</v>
      </c>
      <c r="G3352">
        <v>-275.11590000000001</v>
      </c>
      <c r="H3352" s="1">
        <v>1.2198580000000001E-6</v>
      </c>
      <c r="I3352">
        <v>213.83320000000001</v>
      </c>
      <c r="J3352">
        <v>-297.72980000000001</v>
      </c>
      <c r="K3352">
        <v>1.1080479999999999</v>
      </c>
      <c r="L3352">
        <v>215.14529999999999</v>
      </c>
      <c r="M3352">
        <v>0.99928050000000002</v>
      </c>
      <c r="N3352">
        <v>-1.5123030000000001E-2</v>
      </c>
      <c r="O3352">
        <v>-3.4787110000000003E-2</v>
      </c>
      <c r="P3352">
        <v>0.99912089999999998</v>
      </c>
      <c r="Q3352">
        <v>-2.817426E-2</v>
      </c>
      <c r="R3352">
        <v>3.1053339999999999E-2</v>
      </c>
      <c r="S3352">
        <v>3.0043030000000002</v>
      </c>
      <c r="T3352">
        <v>-0.14363119999999999</v>
      </c>
      <c r="U3352">
        <v>-0.17262269999999999</v>
      </c>
      <c r="V3352">
        <v>-6.5818379999999996E-2</v>
      </c>
      <c r="W3352">
        <v>-1.296987E-2</v>
      </c>
      <c r="X3352">
        <v>0.9977473</v>
      </c>
      <c r="Y3352">
        <v>2.2579970000000001E-2</v>
      </c>
      <c r="Z3352">
        <v>4.2442499999999998E-4</v>
      </c>
      <c r="AA3352">
        <v>0.99974499999999999</v>
      </c>
      <c r="AB3352">
        <v>52</v>
      </c>
      <c r="AC3352">
        <v>22.613900000000001</v>
      </c>
      <c r="AD3352">
        <v>-1.108046780142</v>
      </c>
      <c r="AE3352">
        <v>-1.3120999999999801</v>
      </c>
      <c r="AF3352">
        <v>0.52329147792492003</v>
      </c>
      <c r="AG3352">
        <v>-1.108046780142</v>
      </c>
      <c r="AH3352">
        <v>22.591801514552699</v>
      </c>
      <c r="AI3352">
        <v>92.807150530868299</v>
      </c>
      <c r="AJ3352">
        <v>88.673101266441705</v>
      </c>
      <c r="AK3352">
        <v>22.625010437805301</v>
      </c>
      <c r="AL3352">
        <v>90.743139665763806</v>
      </c>
      <c r="AM3352">
        <v>93.7741614977474</v>
      </c>
      <c r="AN3352">
        <v>0.99999997566546495</v>
      </c>
    </row>
    <row r="3353" spans="1:40" x14ac:dyDescent="0.25">
      <c r="A3353" t="str">
        <f>"20190305135300264"</f>
        <v>20190305135300264</v>
      </c>
      <c r="B3353" t="str">
        <f>"1551765180253142"</f>
        <v>1551765180253142</v>
      </c>
      <c r="C3353" t="s">
        <v>40</v>
      </c>
      <c r="D3353">
        <v>4.672072</v>
      </c>
      <c r="E3353">
        <v>0.53330929999999999</v>
      </c>
      <c r="F3353" t="s">
        <v>56</v>
      </c>
      <c r="G3353">
        <v>-274.89370000000002</v>
      </c>
      <c r="H3353" s="1">
        <v>1.10239E-6</v>
      </c>
      <c r="I3353">
        <v>213.81549999999999</v>
      </c>
      <c r="J3353">
        <v>-297.2122</v>
      </c>
      <c r="K3353">
        <v>1.108144</v>
      </c>
      <c r="L3353">
        <v>215.12710000000001</v>
      </c>
      <c r="M3353">
        <v>0.99927220000000005</v>
      </c>
      <c r="N3353">
        <v>-1.5119280000000001E-2</v>
      </c>
      <c r="O3353">
        <v>-3.5024130000000001E-2</v>
      </c>
      <c r="P3353">
        <v>0.99912869999999998</v>
      </c>
      <c r="Q3353">
        <v>-2.8731240000000002E-2</v>
      </c>
      <c r="R3353">
        <v>3.0271260000000001E-2</v>
      </c>
      <c r="S3353">
        <v>3.0039980000000002</v>
      </c>
      <c r="T3353">
        <v>-0.145759</v>
      </c>
      <c r="U3353">
        <v>-0.17492679999999999</v>
      </c>
      <c r="V3353">
        <v>-6.5271220000000005E-2</v>
      </c>
      <c r="W3353">
        <v>-1.354636E-2</v>
      </c>
      <c r="X3353">
        <v>0.99777559999999998</v>
      </c>
      <c r="Y3353">
        <v>2.311214E-2</v>
      </c>
      <c r="Z3353">
        <v>4.322498E-4</v>
      </c>
      <c r="AA3353">
        <v>0.99973279999999998</v>
      </c>
      <c r="AB3353">
        <v>52</v>
      </c>
      <c r="AC3353">
        <v>22.318499999999901</v>
      </c>
      <c r="AD3353">
        <v>-1.1081428976100001</v>
      </c>
      <c r="AE3353">
        <v>-1.3116000000000201</v>
      </c>
      <c r="AF3353">
        <v>0.52772329055452005</v>
      </c>
      <c r="AG3353">
        <v>-1.1081428976100001</v>
      </c>
      <c r="AH3353">
        <v>22.295970591388699</v>
      </c>
      <c r="AI3353">
        <v>92.844548734790806</v>
      </c>
      <c r="AJ3353">
        <v>88.644119450734095</v>
      </c>
      <c r="AK3353">
        <v>22.329728551081502</v>
      </c>
      <c r="AL3353">
        <v>90.776173001672703</v>
      </c>
      <c r="AM3353">
        <v>93.742769915383505</v>
      </c>
      <c r="AN3353">
        <v>0.99999999199244805</v>
      </c>
    </row>
    <row r="3354" spans="1:40" x14ac:dyDescent="0.25">
      <c r="A3354" t="str">
        <f>"20190305135300284"</f>
        <v>20190305135300284</v>
      </c>
      <c r="B3354" t="str">
        <f>"1551765180272662"</f>
        <v>1551765180272662</v>
      </c>
      <c r="C3354" t="s">
        <v>40</v>
      </c>
      <c r="D3354">
        <v>4.6636579999999999</v>
      </c>
      <c r="E3354">
        <v>0.53314430000000002</v>
      </c>
      <c r="F3354" t="s">
        <v>56</v>
      </c>
      <c r="G3354">
        <v>-274.62880000000001</v>
      </c>
      <c r="H3354" s="1">
        <v>9.6220040000000005E-7</v>
      </c>
      <c r="I3354">
        <v>213.79839999999999</v>
      </c>
      <c r="J3354">
        <v>-296.75279999999998</v>
      </c>
      <c r="K3354">
        <v>1.108236</v>
      </c>
      <c r="L3354">
        <v>215.11089999999999</v>
      </c>
      <c r="M3354">
        <v>0.99926749999999998</v>
      </c>
      <c r="N3354">
        <v>-1.5115999999999999E-2</v>
      </c>
      <c r="O3354">
        <v>-3.5162270000000002E-2</v>
      </c>
      <c r="P3354">
        <v>0.99915679999999996</v>
      </c>
      <c r="Q3354">
        <v>-2.8290849999999999E-2</v>
      </c>
      <c r="R3354">
        <v>2.9761369999999999E-2</v>
      </c>
      <c r="S3354">
        <v>3.0037229999999999</v>
      </c>
      <c r="T3354">
        <v>-0.1473894</v>
      </c>
      <c r="U3354">
        <v>-0.1767273</v>
      </c>
      <c r="V3354">
        <v>-6.4897609999999994E-2</v>
      </c>
      <c r="W3354">
        <v>-1.312321E-2</v>
      </c>
      <c r="X3354">
        <v>0.99780570000000002</v>
      </c>
      <c r="Y3354">
        <v>2.3575760000000001E-2</v>
      </c>
      <c r="Z3354">
        <v>4.3499339999999997E-4</v>
      </c>
      <c r="AA3354">
        <v>0.99972190000000005</v>
      </c>
      <c r="AB3354">
        <v>52</v>
      </c>
      <c r="AC3354">
        <v>22.123999999999899</v>
      </c>
      <c r="AD3354">
        <v>-1.1082350377996</v>
      </c>
      <c r="AE3354">
        <v>-1.3125</v>
      </c>
      <c r="AF3354">
        <v>0.53233833253403595</v>
      </c>
      <c r="AG3354">
        <v>-1.1082350377996</v>
      </c>
      <c r="AH3354">
        <v>22.1012094831577</v>
      </c>
      <c r="AI3354">
        <v>92.869783523818001</v>
      </c>
      <c r="AJ3354">
        <v>88.620218344793997</v>
      </c>
      <c r="AK3354">
        <v>22.135379590549402</v>
      </c>
      <c r="AL3354">
        <v>90.751926080185399</v>
      </c>
      <c r="AM3354">
        <v>93.721294869559401</v>
      </c>
      <c r="AN3354">
        <v>1.0000000666884501</v>
      </c>
    </row>
    <row r="3355" spans="1:40" x14ac:dyDescent="0.25">
      <c r="A3355" t="str">
        <f>"20190305135300306"</f>
        <v>20190305135300306</v>
      </c>
      <c r="B3355" t="str">
        <f>"1551765180302918"</f>
        <v>1551765180302918</v>
      </c>
      <c r="C3355" t="s">
        <v>40</v>
      </c>
      <c r="D3355">
        <v>4.6919930000000001</v>
      </c>
      <c r="E3355">
        <v>0.53293259999999998</v>
      </c>
      <c r="F3355" t="s">
        <v>56</v>
      </c>
      <c r="G3355">
        <v>-273.96940000000001</v>
      </c>
      <c r="H3355" s="1">
        <v>6.1256549999999997E-7</v>
      </c>
      <c r="I3355">
        <v>213.76859999999999</v>
      </c>
      <c r="J3355">
        <v>-296.23829999999998</v>
      </c>
      <c r="K3355">
        <v>1.108336</v>
      </c>
      <c r="L3355">
        <v>215.09280000000001</v>
      </c>
      <c r="M3355">
        <v>0.99926499999999996</v>
      </c>
      <c r="N3355">
        <v>-1.511237E-2</v>
      </c>
      <c r="O3355">
        <v>-3.5229669999999998E-2</v>
      </c>
      <c r="P3355">
        <v>0.9991736</v>
      </c>
      <c r="Q3355">
        <v>-2.7668729999999999E-2</v>
      </c>
      <c r="R3355">
        <v>2.9774620000000002E-2</v>
      </c>
      <c r="S3355">
        <v>3.0036320000000001</v>
      </c>
      <c r="T3355">
        <v>-0.14610310000000001</v>
      </c>
      <c r="U3355">
        <v>-0.17695620000000001</v>
      </c>
      <c r="V3355">
        <v>-6.4974260000000006E-2</v>
      </c>
      <c r="W3355">
        <v>-1.252091E-2</v>
      </c>
      <c r="X3355">
        <v>0.99780840000000004</v>
      </c>
      <c r="Y3355">
        <v>2.3586119999999999E-2</v>
      </c>
      <c r="Z3355">
        <v>4.271387E-4</v>
      </c>
      <c r="AA3355">
        <v>0.99972169999999905</v>
      </c>
      <c r="AB3355">
        <v>52</v>
      </c>
      <c r="AC3355">
        <v>22.268899999999899</v>
      </c>
      <c r="AD3355">
        <v>-1.1083353874345001</v>
      </c>
      <c r="AE3355">
        <v>-1.32420000000001</v>
      </c>
      <c r="AF3355">
        <v>0.53743563100481795</v>
      </c>
      <c r="AG3355">
        <v>-1.1083353874345001</v>
      </c>
      <c r="AH3355">
        <v>22.246816127494402</v>
      </c>
      <c r="AI3355">
        <v>92.851284549974295</v>
      </c>
      <c r="AJ3355">
        <v>88.616125332908496</v>
      </c>
      <c r="AK3355">
        <v>22.2808902918859</v>
      </c>
      <c r="AL3355">
        <v>90.717414033675695</v>
      </c>
      <c r="AM3355">
        <v>93.725667633682207</v>
      </c>
      <c r="AN3355">
        <v>1.00000001538016</v>
      </c>
    </row>
    <row r="3356" spans="1:40" x14ac:dyDescent="0.25">
      <c r="A3356" t="str">
        <f>"20190305135300330"</f>
        <v>20190305135300330</v>
      </c>
      <c r="B3356" t="str">
        <f>"1551765180323415"</f>
        <v>1551765180323415</v>
      </c>
      <c r="C3356" t="s">
        <v>40</v>
      </c>
      <c r="D3356">
        <v>4.6756159999999998</v>
      </c>
      <c r="E3356">
        <v>0.53273740000000003</v>
      </c>
      <c r="F3356" t="s">
        <v>56</v>
      </c>
      <c r="G3356">
        <v>-273.28769999999997</v>
      </c>
      <c r="H3356" s="1">
        <v>2.5046119999999999E-7</v>
      </c>
      <c r="I3356">
        <v>213.75319999999999</v>
      </c>
      <c r="J3356">
        <v>-295.70350000000002</v>
      </c>
      <c r="K3356">
        <v>1.108452</v>
      </c>
      <c r="L3356">
        <v>215.07390000000001</v>
      </c>
      <c r="M3356">
        <v>0.9992666</v>
      </c>
      <c r="N3356">
        <v>-1.5108659999999999E-2</v>
      </c>
      <c r="O3356">
        <v>-3.5189110000000003E-2</v>
      </c>
      <c r="P3356">
        <v>0.99916850000000001</v>
      </c>
      <c r="Q3356">
        <v>-2.776992E-2</v>
      </c>
      <c r="R3356">
        <v>2.9855799999999998E-2</v>
      </c>
      <c r="S3356">
        <v>3.0036930000000002</v>
      </c>
      <c r="T3356">
        <v>-0.1450545</v>
      </c>
      <c r="U3356">
        <v>-0.17532349999999999</v>
      </c>
      <c r="V3356">
        <v>-6.5011730000000004E-2</v>
      </c>
      <c r="W3356">
        <v>-1.264414E-2</v>
      </c>
      <c r="X3356">
        <v>0.99780440000000004</v>
      </c>
      <c r="Y3356">
        <v>2.3084759999999999E-2</v>
      </c>
      <c r="Z3356">
        <v>4.3369079999999998E-4</v>
      </c>
      <c r="AA3356">
        <v>0.99973339999999999</v>
      </c>
      <c r="AB3356">
        <v>51</v>
      </c>
      <c r="AC3356">
        <v>22.415800000000001</v>
      </c>
      <c r="AD3356">
        <v>-1.1084517495388</v>
      </c>
      <c r="AE3356">
        <v>-1.32070000000001</v>
      </c>
      <c r="AF3356">
        <v>0.52970908532091199</v>
      </c>
      <c r="AG3356">
        <v>-1.1084517495388</v>
      </c>
      <c r="AH3356">
        <v>22.3938243450656</v>
      </c>
      <c r="AI3356">
        <v>92.832928310035001</v>
      </c>
      <c r="AJ3356">
        <v>88.644964082041</v>
      </c>
      <c r="AK3356">
        <v>22.4274970916012</v>
      </c>
      <c r="AL3356">
        <v>90.724475155368594</v>
      </c>
      <c r="AM3356">
        <v>93.727825033971001</v>
      </c>
      <c r="AN3356">
        <v>1.00000000998664</v>
      </c>
    </row>
    <row r="3357" spans="1:40" x14ac:dyDescent="0.25">
      <c r="A3357" t="str">
        <f>"20190305135300351"</f>
        <v>20190305135300351</v>
      </c>
      <c r="B3357" t="str">
        <f>"1551765180342937"</f>
        <v>1551765180342937</v>
      </c>
      <c r="C3357" t="s">
        <v>40</v>
      </c>
      <c r="D3357">
        <v>4.6780299999999997</v>
      </c>
      <c r="E3357">
        <v>0.53253509999999904</v>
      </c>
      <c r="F3357" t="s">
        <v>56</v>
      </c>
      <c r="G3357">
        <v>-272.79239999999999</v>
      </c>
      <c r="H3357" s="1">
        <v>-1.2960049999999999E-8</v>
      </c>
      <c r="I3357">
        <v>213.75069999999999</v>
      </c>
      <c r="J3357">
        <v>-295.18340000000001</v>
      </c>
      <c r="K3357">
        <v>1.1085640000000001</v>
      </c>
      <c r="L3357">
        <v>215.0557</v>
      </c>
      <c r="M3357">
        <v>0.99927120000000003</v>
      </c>
      <c r="N3357">
        <v>-1.5105169999999999E-2</v>
      </c>
      <c r="O3357">
        <v>-3.5060670000000002E-2</v>
      </c>
      <c r="P3357">
        <v>0.99915419999999999</v>
      </c>
      <c r="Q3357">
        <v>-2.7919739999999998E-2</v>
      </c>
      <c r="R3357">
        <v>3.0193810000000001E-2</v>
      </c>
      <c r="S3357">
        <v>3.0036320000000001</v>
      </c>
      <c r="T3357">
        <v>-0.14531769999999999</v>
      </c>
      <c r="U3357">
        <v>-0.1734772</v>
      </c>
      <c r="V3357">
        <v>-6.5217140000000007E-2</v>
      </c>
      <c r="W3357">
        <v>-1.281555E-2</v>
      </c>
      <c r="X3357">
        <v>0.99778880000000003</v>
      </c>
      <c r="Y3357">
        <v>2.260264E-2</v>
      </c>
      <c r="Z3357">
        <v>4.469969E-4</v>
      </c>
      <c r="AA3357">
        <v>0.99974439999999998</v>
      </c>
      <c r="AB3357">
        <v>51</v>
      </c>
      <c r="AC3357">
        <v>22.390999999999998</v>
      </c>
      <c r="AD3357">
        <v>-1.10856401296004</v>
      </c>
      <c r="AE3357">
        <v>-1.3049999999999999</v>
      </c>
      <c r="AF3357">
        <v>0.517799661993398</v>
      </c>
      <c r="AG3357">
        <v>-1.10856401296004</v>
      </c>
      <c r="AH3357">
        <v>22.3683467915344</v>
      </c>
      <c r="AI3357">
        <v>92.836470004965506</v>
      </c>
      <c r="AJ3357">
        <v>88.673910148995404</v>
      </c>
      <c r="AK3357">
        <v>22.4017849477924</v>
      </c>
      <c r="AL3357">
        <v>90.7342970268964</v>
      </c>
      <c r="AM3357">
        <v>93.739628340900097</v>
      </c>
      <c r="AN3357">
        <v>1.00000000153851</v>
      </c>
    </row>
    <row r="3358" spans="1:40" x14ac:dyDescent="0.25">
      <c r="A3358" t="str">
        <f>"20190305135300373"</f>
        <v>20190305135300373</v>
      </c>
      <c r="B3358" t="str">
        <f>"1551765180363430"</f>
        <v>1551765180363430</v>
      </c>
      <c r="C3358" t="s">
        <v>40</v>
      </c>
      <c r="D3358">
        <v>4.7016609999999996</v>
      </c>
      <c r="E3358">
        <v>0.53233090000000005</v>
      </c>
      <c r="F3358" t="s">
        <v>56</v>
      </c>
      <c r="G3358">
        <v>-272.37889999999999</v>
      </c>
      <c r="H3358" s="1">
        <v>-2.3334079999999999E-7</v>
      </c>
      <c r="I3358">
        <v>213.75829999999999</v>
      </c>
      <c r="J3358">
        <v>-294.69659999999999</v>
      </c>
      <c r="K3358">
        <v>1.108676</v>
      </c>
      <c r="L3358">
        <v>215.03880000000001</v>
      </c>
      <c r="M3358">
        <v>0.99927809999999995</v>
      </c>
      <c r="N3358">
        <v>-1.510193E-2</v>
      </c>
      <c r="O3358">
        <v>-3.4860259999999997E-2</v>
      </c>
      <c r="P3358">
        <v>0.99913980000000002</v>
      </c>
      <c r="Q3358">
        <v>-2.821713E-2</v>
      </c>
      <c r="R3358">
        <v>3.0387049999999999E-2</v>
      </c>
      <c r="S3358">
        <v>3.0036320000000001</v>
      </c>
      <c r="T3358">
        <v>-0.14601140000000001</v>
      </c>
      <c r="U3358">
        <v>-0.17088320000000001</v>
      </c>
      <c r="V3358">
        <v>-6.5206390000000003E-2</v>
      </c>
      <c r="W3358">
        <v>-1.313343E-2</v>
      </c>
      <c r="X3358">
        <v>0.99778540000000004</v>
      </c>
      <c r="Y3358">
        <v>2.194345E-2</v>
      </c>
      <c r="Z3358">
        <v>4.6693800000000002E-4</v>
      </c>
      <c r="AA3358">
        <v>0.99975910000000001</v>
      </c>
      <c r="AB3358">
        <v>51</v>
      </c>
      <c r="AC3358">
        <v>22.317699999999999</v>
      </c>
      <c r="AD3358">
        <v>-1.1086762333408</v>
      </c>
      <c r="AE3358">
        <v>-1.28050000000001</v>
      </c>
      <c r="AF3358">
        <v>0.50040114222924303</v>
      </c>
      <c r="AG3358">
        <v>-1.1086762333408</v>
      </c>
      <c r="AH3358">
        <v>22.293939237843201</v>
      </c>
      <c r="AI3358">
        <v>92.846254527226094</v>
      </c>
      <c r="AJ3358">
        <v>88.714176987124603</v>
      </c>
      <c r="AK3358">
        <v>22.327097684969399</v>
      </c>
      <c r="AL3358">
        <v>90.752511719310107</v>
      </c>
      <c r="AM3358">
        <v>93.739026376553397</v>
      </c>
      <c r="AN3358">
        <v>1.0000000323667699</v>
      </c>
    </row>
    <row r="3359" spans="1:40" x14ac:dyDescent="0.25">
      <c r="A3359" t="str">
        <f>"20190305135300395"</f>
        <v>20190305135300395</v>
      </c>
      <c r="B3359" t="str">
        <f>"1551765180382950"</f>
        <v>1551765180382950</v>
      </c>
      <c r="C3359" t="s">
        <v>40</v>
      </c>
      <c r="D3359">
        <v>4.6943149999999996</v>
      </c>
      <c r="E3359">
        <v>0.53225710000000004</v>
      </c>
      <c r="F3359" t="s">
        <v>56</v>
      </c>
      <c r="G3359">
        <v>-272.04300000000001</v>
      </c>
      <c r="H3359" s="1">
        <v>-4.124232E-7</v>
      </c>
      <c r="I3359">
        <v>213.76570000000001</v>
      </c>
      <c r="J3359">
        <v>-294.1909</v>
      </c>
      <c r="K3359">
        <v>1.108797</v>
      </c>
      <c r="L3359">
        <v>215.0213</v>
      </c>
      <c r="M3359">
        <v>0.99928839999999997</v>
      </c>
      <c r="N3359">
        <v>-1.509872E-2</v>
      </c>
      <c r="O3359">
        <v>-3.4568450000000001E-2</v>
      </c>
      <c r="P3359">
        <v>0.99914349999999996</v>
      </c>
      <c r="Q3359">
        <v>-2.7816960000000002E-2</v>
      </c>
      <c r="R3359">
        <v>3.0640799999999999E-2</v>
      </c>
      <c r="S3359">
        <v>3.003571</v>
      </c>
      <c r="T3359">
        <v>-0.14699599999999999</v>
      </c>
      <c r="U3359">
        <v>-0.16879269999999999</v>
      </c>
      <c r="V3359">
        <v>-6.5164849999999996E-2</v>
      </c>
      <c r="W3359">
        <v>-1.275447E-2</v>
      </c>
      <c r="X3359">
        <v>0.99779300000000004</v>
      </c>
      <c r="Y3359">
        <v>2.1543400000000001E-2</v>
      </c>
      <c r="Z3359">
        <v>4.7789799999999998E-4</v>
      </c>
      <c r="AA3359">
        <v>0.99976779999999998</v>
      </c>
      <c r="AB3359">
        <v>51</v>
      </c>
      <c r="AC3359">
        <v>22.1479</v>
      </c>
      <c r="AD3359">
        <v>-1.1087974124232001</v>
      </c>
      <c r="AE3359">
        <v>-1.2555999999999801</v>
      </c>
      <c r="AF3359">
        <v>0.48792465194747597</v>
      </c>
      <c r="AG3359">
        <v>-1.1087974124232001</v>
      </c>
      <c r="AH3359">
        <v>22.122799456532999</v>
      </c>
      <c r="AI3359">
        <v>92.868574079490401</v>
      </c>
      <c r="AJ3359">
        <v>88.7365300797765</v>
      </c>
      <c r="AK3359">
        <v>22.155941820688899</v>
      </c>
      <c r="AL3359">
        <v>90.730797113921795</v>
      </c>
      <c r="AM3359">
        <v>93.736622784065801</v>
      </c>
      <c r="AN3359">
        <v>1.00000000251475</v>
      </c>
    </row>
    <row r="3360" spans="1:40" x14ac:dyDescent="0.25">
      <c r="A3360" t="str">
        <f>"20190305135300419"</f>
        <v>20190305135300419</v>
      </c>
      <c r="B3360" t="str">
        <f>"1551765180413206"</f>
        <v>1551765180413206</v>
      </c>
      <c r="C3360" t="s">
        <v>40</v>
      </c>
      <c r="D3360">
        <v>4.6798449999999896</v>
      </c>
      <c r="E3360">
        <v>0.53213409999999906</v>
      </c>
      <c r="F3360" t="s">
        <v>56</v>
      </c>
      <c r="G3360">
        <v>-271.36059999999998</v>
      </c>
      <c r="H3360" s="1">
        <v>-7.7487449999999896E-7</v>
      </c>
      <c r="I3360">
        <v>213.75030000000001</v>
      </c>
      <c r="J3360">
        <v>-293.6644</v>
      </c>
      <c r="K3360">
        <v>1.1089209999999901</v>
      </c>
      <c r="L3360">
        <v>215.0033</v>
      </c>
      <c r="M3360">
        <v>0.99930169999999996</v>
      </c>
      <c r="N3360">
        <v>-1.509542E-2</v>
      </c>
      <c r="O3360">
        <v>-3.4182560000000001E-2</v>
      </c>
      <c r="P3360">
        <v>0.99913940000000001</v>
      </c>
      <c r="Q3360">
        <v>-2.7621690000000001E-2</v>
      </c>
      <c r="R3360">
        <v>3.0945070000000002E-2</v>
      </c>
      <c r="S3360">
        <v>3.0036320000000001</v>
      </c>
      <c r="T3360">
        <v>-0.14587700000000001</v>
      </c>
      <c r="U3360">
        <v>-0.16722110000000001</v>
      </c>
      <c r="V3360">
        <v>-6.5080299999999994E-2</v>
      </c>
      <c r="W3360">
        <v>-1.2581139999999999E-2</v>
      </c>
      <c r="X3360">
        <v>0.99780069999999998</v>
      </c>
      <c r="Y3360">
        <v>2.140686E-2</v>
      </c>
      <c r="Z3360">
        <v>4.606689E-4</v>
      </c>
      <c r="AA3360">
        <v>0.99977079999999996</v>
      </c>
      <c r="AB3360">
        <v>51</v>
      </c>
      <c r="AC3360">
        <v>22.303799999999999</v>
      </c>
      <c r="AD3360">
        <v>-1.10892177487449</v>
      </c>
      <c r="AE3360">
        <v>-1.2529999999999799</v>
      </c>
      <c r="AF3360">
        <v>0.48857585675001403</v>
      </c>
      <c r="AG3360">
        <v>-1.10892177487449</v>
      </c>
      <c r="AH3360">
        <v>22.2786993116334</v>
      </c>
      <c r="AI3360">
        <v>92.848860596101403</v>
      </c>
      <c r="AJ3360">
        <v>88.743694691069706</v>
      </c>
      <c r="AK3360">
        <v>22.3116305295862</v>
      </c>
      <c r="AL3360">
        <v>90.720865253083801</v>
      </c>
      <c r="AM3360">
        <v>93.731759587618299</v>
      </c>
      <c r="AN3360">
        <v>0.99999998372613896</v>
      </c>
    </row>
    <row r="3361" spans="1:40" x14ac:dyDescent="0.25">
      <c r="A3361" t="str">
        <f>"20190305135300442"</f>
        <v>20190305135300442</v>
      </c>
      <c r="B3361" t="str">
        <f>"1551765180432727"</f>
        <v>1551765180432727</v>
      </c>
      <c r="C3361" t="s">
        <v>40</v>
      </c>
      <c r="D3361">
        <v>4.6984579999999996</v>
      </c>
      <c r="E3361">
        <v>0.5320376</v>
      </c>
      <c r="F3361" t="s">
        <v>56</v>
      </c>
      <c r="G3361">
        <v>-270.70299999999997</v>
      </c>
      <c r="H3361" s="1">
        <v>-1.12433E-6</v>
      </c>
      <c r="I3361">
        <v>213.73830000000001</v>
      </c>
      <c r="J3361">
        <v>-293.13139999999999</v>
      </c>
      <c r="K3361">
        <v>1.1090390000000001</v>
      </c>
      <c r="L3361">
        <v>214.9854</v>
      </c>
      <c r="M3361">
        <v>0.99931740000000002</v>
      </c>
      <c r="N3361">
        <v>-1.509213E-2</v>
      </c>
      <c r="O3361">
        <v>-3.3721840000000003E-2</v>
      </c>
      <c r="P3361">
        <v>0.99912210000000001</v>
      </c>
      <c r="Q3361">
        <v>-2.7450470000000001E-2</v>
      </c>
      <c r="R3361">
        <v>3.1645159999999999E-2</v>
      </c>
      <c r="S3361">
        <v>3.0036930000000002</v>
      </c>
      <c r="T3361">
        <v>-0.14506329999999901</v>
      </c>
      <c r="U3361">
        <v>-0.16548160000000001</v>
      </c>
      <c r="V3361">
        <v>-6.5315949999999998E-2</v>
      </c>
      <c r="W3361">
        <v>-1.24314E-2</v>
      </c>
      <c r="X3361">
        <v>0.99778719999999999</v>
      </c>
      <c r="Y3361">
        <v>2.1289389999999998E-2</v>
      </c>
      <c r="Z3361">
        <v>4.429398E-4</v>
      </c>
      <c r="AA3361">
        <v>0.99977329999999998</v>
      </c>
      <c r="AB3361">
        <v>51</v>
      </c>
      <c r="AC3361">
        <v>22.4284</v>
      </c>
      <c r="AD3361">
        <v>-1.1090401243300001</v>
      </c>
      <c r="AE3361">
        <v>-1.2470999999999799</v>
      </c>
      <c r="AF3361">
        <v>0.48878611808676498</v>
      </c>
      <c r="AG3361">
        <v>-1.1090401243300001</v>
      </c>
      <c r="AH3361">
        <v>22.403091268385001</v>
      </c>
      <c r="AI3361">
        <v>92.833377109670494</v>
      </c>
      <c r="AJ3361">
        <v>88.750130555133694</v>
      </c>
      <c r="AK3361">
        <v>22.4358503348145</v>
      </c>
      <c r="AL3361">
        <v>90.712285096908701</v>
      </c>
      <c r="AM3361">
        <v>93.745284098501301</v>
      </c>
      <c r="AN3361">
        <v>1.0000000047571</v>
      </c>
    </row>
    <row r="3362" spans="1:40" x14ac:dyDescent="0.25">
      <c r="A3362" t="str">
        <f>"20190305135300473"</f>
        <v>20190305135300473</v>
      </c>
      <c r="B3362" t="str">
        <f>"1551765180462984"</f>
        <v>1551765180462984</v>
      </c>
      <c r="C3362" t="s">
        <v>40</v>
      </c>
      <c r="D3362">
        <v>4.675745</v>
      </c>
      <c r="E3362">
        <v>0.53199399999999997</v>
      </c>
      <c r="F3362" t="s">
        <v>56</v>
      </c>
      <c r="G3362">
        <v>-269.97629999999998</v>
      </c>
      <c r="H3362" s="1">
        <v>-1.5107349999999999E-6</v>
      </c>
      <c r="I3362">
        <v>213.7319</v>
      </c>
      <c r="J3362">
        <v>-292.40129999999999</v>
      </c>
      <c r="K3362">
        <v>1.109167</v>
      </c>
      <c r="L3362">
        <v>214.96129999999999</v>
      </c>
      <c r="M3362">
        <v>0.99934149999999999</v>
      </c>
      <c r="N3362">
        <v>-1.508761E-2</v>
      </c>
      <c r="O3362">
        <v>-3.3001199999999897E-2</v>
      </c>
      <c r="P3362">
        <v>0.99908140000000001</v>
      </c>
      <c r="Q3362">
        <v>-2.6862730000000001E-2</v>
      </c>
      <c r="R3362">
        <v>3.3396740000000001E-2</v>
      </c>
      <c r="S3362">
        <v>3.0038450000000001</v>
      </c>
      <c r="T3362">
        <v>-0.14387269999999999</v>
      </c>
      <c r="U3362">
        <v>-0.16261289999999901</v>
      </c>
      <c r="V3362">
        <v>-6.6342620000000005E-2</v>
      </c>
      <c r="W3362">
        <v>-1.187091E-2</v>
      </c>
      <c r="X3362">
        <v>0.99772629999999995</v>
      </c>
      <c r="Y3362">
        <v>2.105564E-2</v>
      </c>
      <c r="Z3362">
        <v>4.17778E-4</v>
      </c>
      <c r="AA3362">
        <v>0.99977819999999995</v>
      </c>
      <c r="AB3362">
        <v>51</v>
      </c>
      <c r="AC3362">
        <v>22.425000000000001</v>
      </c>
      <c r="AD3362">
        <v>-1.109168510735</v>
      </c>
      <c r="AE3362">
        <v>-1.2293999999999901</v>
      </c>
      <c r="AF3362">
        <v>0.48740528507471298</v>
      </c>
      <c r="AG3362">
        <v>-1.109168510735</v>
      </c>
      <c r="AH3362">
        <v>22.398726498992701</v>
      </c>
      <c r="AI3362">
        <v>92.8342594087582</v>
      </c>
      <c r="AJ3362">
        <v>88.753417558614103</v>
      </c>
      <c r="AK3362">
        <v>22.431468241597599</v>
      </c>
      <c r="AL3362">
        <v>90.680169006656598</v>
      </c>
      <c r="AM3362">
        <v>93.804214413718597</v>
      </c>
      <c r="AN3362">
        <v>1.00000001572219</v>
      </c>
    </row>
    <row r="3363" spans="1:40" x14ac:dyDescent="0.25">
      <c r="A3363" t="str">
        <f>"20190305135300496"</f>
        <v>20190305135300496</v>
      </c>
      <c r="B3363" t="str">
        <f>"1551765180493238"</f>
        <v>1551765180493238</v>
      </c>
      <c r="C3363" t="s">
        <v>40</v>
      </c>
      <c r="D3363">
        <v>4.6501799999999998</v>
      </c>
      <c r="E3363">
        <v>0.5319663</v>
      </c>
      <c r="F3363" t="s">
        <v>56</v>
      </c>
      <c r="G3363">
        <v>-268.79329999999999</v>
      </c>
      <c r="H3363" s="1">
        <v>3.1814659999999999E-6</v>
      </c>
      <c r="I3363">
        <v>213.7261</v>
      </c>
      <c r="J3363">
        <v>-291.89120000000003</v>
      </c>
      <c r="K3363">
        <v>1.1092470000000001</v>
      </c>
      <c r="L3363">
        <v>214.94479999999999</v>
      </c>
      <c r="M3363">
        <v>0.99935949999999996</v>
      </c>
      <c r="N3363">
        <v>-1.508429E-2</v>
      </c>
      <c r="O3363">
        <v>-3.2456079999999998E-2</v>
      </c>
      <c r="P3363">
        <v>0.99901059999999997</v>
      </c>
      <c r="Q3363">
        <v>-2.7096849999999999E-2</v>
      </c>
      <c r="R3363">
        <v>3.5271759999999999E-2</v>
      </c>
      <c r="S3363">
        <v>3.004181</v>
      </c>
      <c r="T3363">
        <v>-0.14114380000000001</v>
      </c>
      <c r="U3363">
        <v>-0.15718080000000001</v>
      </c>
      <c r="V3363">
        <v>-6.76678E-2</v>
      </c>
      <c r="W3363">
        <v>-1.2123429999999999E-2</v>
      </c>
      <c r="X3363">
        <v>0.99763420000000003</v>
      </c>
      <c r="Y3363">
        <v>1.97939E-2</v>
      </c>
      <c r="Z3363">
        <v>4.192892E-4</v>
      </c>
      <c r="AA3363">
        <v>0.99980400000000003</v>
      </c>
      <c r="AB3363">
        <v>51</v>
      </c>
      <c r="AC3363">
        <v>23.097899999999999</v>
      </c>
      <c r="AD3363">
        <v>-1.1092438185339999</v>
      </c>
      <c r="AE3363">
        <v>-1.2186999999999799</v>
      </c>
      <c r="AF3363">
        <v>0.46723076710035399</v>
      </c>
      <c r="AG3363">
        <v>-1.1092438185339999</v>
      </c>
      <c r="AH3363">
        <v>23.0722241939153</v>
      </c>
      <c r="AI3363">
        <v>92.751927676506696</v>
      </c>
      <c r="AJ3363">
        <v>88.839873770692904</v>
      </c>
      <c r="AK3363">
        <v>23.103598327814101</v>
      </c>
      <c r="AL3363">
        <v>90.694638421719304</v>
      </c>
      <c r="AM3363">
        <v>93.880330066677402</v>
      </c>
      <c r="AN3363">
        <v>0.99999995286072096</v>
      </c>
    </row>
    <row r="3364" spans="1:40" x14ac:dyDescent="0.25">
      <c r="A3364" t="str">
        <f>"20190305135300518"</f>
        <v>20190305135300518</v>
      </c>
      <c r="B3364" t="str">
        <f>"1551765180512758"</f>
        <v>1551765180512758</v>
      </c>
      <c r="C3364" t="s">
        <v>40</v>
      </c>
      <c r="D3364">
        <v>4.6488630000000004</v>
      </c>
      <c r="E3364">
        <v>0.53200249999999905</v>
      </c>
      <c r="F3364" t="s">
        <v>56</v>
      </c>
      <c r="G3364">
        <v>-268.38490000000002</v>
      </c>
      <c r="H3364" s="1">
        <v>2.96256E-6</v>
      </c>
      <c r="I3364">
        <v>213.7621</v>
      </c>
      <c r="J3364">
        <v>-291.37720000000002</v>
      </c>
      <c r="K3364">
        <v>1.1093109999999999</v>
      </c>
      <c r="L3364">
        <v>214.92850000000001</v>
      </c>
      <c r="M3364">
        <v>0.99937790000000004</v>
      </c>
      <c r="N3364">
        <v>-1.508084E-2</v>
      </c>
      <c r="O3364">
        <v>-3.1882679999999997E-2</v>
      </c>
      <c r="P3364">
        <v>0.99897020000000003</v>
      </c>
      <c r="Q3364">
        <v>-2.6812300000000001E-2</v>
      </c>
      <c r="R3364">
        <v>3.6605239999999997E-2</v>
      </c>
      <c r="S3364">
        <v>3.004486</v>
      </c>
      <c r="T3364">
        <v>-0.1417793</v>
      </c>
      <c r="U3364">
        <v>-0.15116879999999999</v>
      </c>
      <c r="V3364">
        <v>-6.8425319999999998E-2</v>
      </c>
      <c r="W3364">
        <v>-1.1854490000000001E-2</v>
      </c>
      <c r="X3364">
        <v>0.99758579999999997</v>
      </c>
      <c r="Y3364">
        <v>1.8368679999999998E-2</v>
      </c>
      <c r="Z3364">
        <v>4.501323E-4</v>
      </c>
      <c r="AA3364">
        <v>0.99983120000000003</v>
      </c>
      <c r="AB3364">
        <v>51</v>
      </c>
      <c r="AC3364">
        <v>22.9923</v>
      </c>
      <c r="AD3364">
        <v>-1.1093080374399999</v>
      </c>
      <c r="AE3364">
        <v>-1.1664000000000001</v>
      </c>
      <c r="AF3364">
        <v>0.43166517969361401</v>
      </c>
      <c r="AG3364">
        <v>-1.1093080374399999</v>
      </c>
      <c r="AH3364">
        <v>22.9644819158421</v>
      </c>
      <c r="AI3364">
        <v>92.765057031158094</v>
      </c>
      <c r="AJ3364">
        <v>88.923133526661402</v>
      </c>
      <c r="AK3364">
        <v>22.9953110179517</v>
      </c>
      <c r="AL3364">
        <v>90.679228160659306</v>
      </c>
      <c r="AM3364">
        <v>93.923823993127399</v>
      </c>
      <c r="AN3364">
        <v>0.99999999085595104</v>
      </c>
    </row>
    <row r="3365" spans="1:40" x14ac:dyDescent="0.25">
      <c r="A3365" t="str">
        <f>"20190305135300541"</f>
        <v>20190305135300541</v>
      </c>
      <c r="B3365" t="str">
        <f>"1551765180533254"</f>
        <v>1551765180533254</v>
      </c>
      <c r="C3365" t="s">
        <v>40</v>
      </c>
      <c r="D3365">
        <v>4.8356750000000002</v>
      </c>
      <c r="E3365">
        <v>0.53205230000000003</v>
      </c>
      <c r="F3365" t="s">
        <v>56</v>
      </c>
      <c r="G3365">
        <v>-267.68630000000002</v>
      </c>
      <c r="H3365" s="1">
        <v>2.5906420000000001E-6</v>
      </c>
      <c r="I3365">
        <v>213.76570000000001</v>
      </c>
      <c r="J3365">
        <v>-290.85559999999998</v>
      </c>
      <c r="K3365">
        <v>1.109375</v>
      </c>
      <c r="L3365">
        <v>214.91220000000001</v>
      </c>
      <c r="M3365">
        <v>0.99939679999999997</v>
      </c>
      <c r="N3365">
        <v>-1.507736E-2</v>
      </c>
      <c r="O3365">
        <v>-3.128454E-2</v>
      </c>
      <c r="P3365">
        <v>0.9989074</v>
      </c>
      <c r="Q3365">
        <v>-2.7479030000000002E-2</v>
      </c>
      <c r="R3365">
        <v>3.7800739999999999E-2</v>
      </c>
      <c r="S3365">
        <v>3.0047299999999999</v>
      </c>
      <c r="T3365">
        <v>-0.14069400000000001</v>
      </c>
      <c r="U3365">
        <v>-0.1474762</v>
      </c>
      <c r="V3365">
        <v>-6.9018869999999996E-2</v>
      </c>
      <c r="W3365">
        <v>-1.253544E-2</v>
      </c>
      <c r="X3365">
        <v>0.9975366</v>
      </c>
      <c r="Y3365">
        <v>1.7737909999999999E-2</v>
      </c>
      <c r="Z3365">
        <v>4.4261749999999997E-4</v>
      </c>
      <c r="AA3365">
        <v>0.99984260000000003</v>
      </c>
      <c r="AB3365">
        <v>51</v>
      </c>
      <c r="AC3365">
        <v>23.1692999999999</v>
      </c>
      <c r="AD3365">
        <v>-1.109372409358</v>
      </c>
      <c r="AE3365">
        <v>-1.1465000000000001</v>
      </c>
      <c r="AF3365">
        <v>0.42005472608296301</v>
      </c>
      <c r="AG3365">
        <v>-1.109372409358</v>
      </c>
      <c r="AH3365">
        <v>23.140904967187801</v>
      </c>
      <c r="AI3365">
        <v>92.744200591318304</v>
      </c>
      <c r="AJ3365">
        <v>88.960078693835897</v>
      </c>
      <c r="AK3365">
        <v>23.171289040879198</v>
      </c>
      <c r="AL3365">
        <v>90.7182466141318</v>
      </c>
      <c r="AM3365">
        <v>93.957947769784695</v>
      </c>
      <c r="AN3365">
        <v>1.00000000500581</v>
      </c>
    </row>
    <row r="3366" spans="1:40" x14ac:dyDescent="0.25">
      <c r="A3366" t="str">
        <f>"20190305135300562"</f>
        <v>20190305135300562</v>
      </c>
      <c r="B3366" t="str">
        <f>"1551765180552777"</f>
        <v>1551765180552777</v>
      </c>
      <c r="C3366" t="s">
        <v>40</v>
      </c>
      <c r="D3366">
        <v>4.7830389999999996</v>
      </c>
      <c r="E3366">
        <v>0.57381009999999999</v>
      </c>
      <c r="F3366" t="s">
        <v>56</v>
      </c>
      <c r="G3366">
        <v>-267.50760000000002</v>
      </c>
      <c r="H3366" s="1">
        <v>2.4944429999999999E-6</v>
      </c>
      <c r="I3366">
        <v>213.7912</v>
      </c>
      <c r="J3366">
        <v>-290.37470000000002</v>
      </c>
      <c r="K3366">
        <v>1.1094219999999999</v>
      </c>
      <c r="L3366">
        <v>214.89750000000001</v>
      </c>
      <c r="M3366">
        <v>0.99941440000000004</v>
      </c>
      <c r="N3366">
        <v>-1.507408E-2</v>
      </c>
      <c r="O3366">
        <v>-3.072476E-2</v>
      </c>
      <c r="P3366">
        <v>0.9989131</v>
      </c>
      <c r="Q3366">
        <v>-2.7127680000000001E-2</v>
      </c>
      <c r="R3366">
        <v>3.7908129999999998E-2</v>
      </c>
      <c r="S3366">
        <v>3.0048219999999999</v>
      </c>
      <c r="T3366">
        <v>-0.14277329999999999</v>
      </c>
      <c r="U3366">
        <v>-0.14427190000000001</v>
      </c>
      <c r="V3366">
        <v>-6.8566810000000006E-2</v>
      </c>
      <c r="W3366">
        <v>-1.2193300000000001E-2</v>
      </c>
      <c r="X3366">
        <v>0.99757200000000001</v>
      </c>
      <c r="Y3366">
        <v>1.7233209999999999E-2</v>
      </c>
      <c r="Z3366">
        <v>4.5589129999999998E-4</v>
      </c>
      <c r="AA3366">
        <v>0.99985139999999995</v>
      </c>
      <c r="AB3366">
        <v>51</v>
      </c>
      <c r="AC3366">
        <v>22.867099999999901</v>
      </c>
      <c r="AD3366">
        <v>-1.109419505557</v>
      </c>
      <c r="AE3366">
        <v>-1.1063000000000001</v>
      </c>
      <c r="AF3366">
        <v>0.40216730548067098</v>
      </c>
      <c r="AG3366">
        <v>-1.109419505557</v>
      </c>
      <c r="AH3366">
        <v>22.836668850013901</v>
      </c>
      <c r="AI3366">
        <v>92.780847287089102</v>
      </c>
      <c r="AJ3366">
        <v>88.991091573919405</v>
      </c>
      <c r="AK3366">
        <v>22.867137869573899</v>
      </c>
      <c r="AL3366">
        <v>90.698641948285797</v>
      </c>
      <c r="AM3366">
        <v>93.931966481847994</v>
      </c>
      <c r="AN3366">
        <v>0.99999998959123304</v>
      </c>
    </row>
    <row r="3367" spans="1:40" x14ac:dyDescent="0.25">
      <c r="A3367" t="str">
        <f>"20190305135300584"</f>
        <v>20190305135300584</v>
      </c>
      <c r="B3367" t="str">
        <f>"1551765180573270"</f>
        <v>1551765180573270</v>
      </c>
      <c r="C3367" t="s">
        <v>40</v>
      </c>
      <c r="D3367">
        <v>4.7223410000000001</v>
      </c>
      <c r="E3367">
        <v>0.58159969999999905</v>
      </c>
      <c r="F3367" t="s">
        <v>56</v>
      </c>
      <c r="G3367">
        <v>-263.2715</v>
      </c>
      <c r="H3367" s="1">
        <v>3.7876129999999999E-7</v>
      </c>
      <c r="I3367">
        <v>210.62100000000001</v>
      </c>
      <c r="J3367">
        <v>-289.8612</v>
      </c>
      <c r="K3367">
        <v>1.1094679999999999</v>
      </c>
      <c r="L3367">
        <v>214.88200000000001</v>
      </c>
      <c r="M3367">
        <v>0.99943269999999995</v>
      </c>
      <c r="N3367">
        <v>-1.5070450000000001E-2</v>
      </c>
      <c r="O3367">
        <v>-3.012331E-2</v>
      </c>
      <c r="P3367">
        <v>0.99891019999999997</v>
      </c>
      <c r="Q3367">
        <v>-2.710684E-2</v>
      </c>
      <c r="R3367">
        <v>3.7999440000000002E-2</v>
      </c>
      <c r="S3367">
        <v>3.018005</v>
      </c>
      <c r="T3367">
        <v>-0.1235366</v>
      </c>
      <c r="U3367">
        <v>-0.47619630000000002</v>
      </c>
      <c r="V3367">
        <v>-6.8056889999999995E-2</v>
      </c>
      <c r="W3367">
        <v>-1.2181229999999999E-2</v>
      </c>
      <c r="X3367">
        <v>0.99760709999999997</v>
      </c>
      <c r="Y3367">
        <v>0.12589589999999901</v>
      </c>
      <c r="Z3367">
        <v>-2.7421569999999998E-3</v>
      </c>
      <c r="AA3367">
        <v>0.99203969999999997</v>
      </c>
      <c r="AB3367">
        <v>51</v>
      </c>
      <c r="AC3367">
        <v>26.589700000000001</v>
      </c>
      <c r="AD3367">
        <v>-1.1094676212387</v>
      </c>
      <c r="AE3367">
        <v>-4.2610000000000197</v>
      </c>
      <c r="AF3367">
        <v>3.4521454737263402</v>
      </c>
      <c r="AG3367">
        <v>-1.1094676212387</v>
      </c>
      <c r="AH3367">
        <v>26.660745974748</v>
      </c>
      <c r="AI3367">
        <v>92.363241179698605</v>
      </c>
      <c r="AJ3367">
        <v>82.622151568454996</v>
      </c>
      <c r="AK3367">
        <v>26.906200079245401</v>
      </c>
      <c r="AL3367">
        <v>90.697950312625593</v>
      </c>
      <c r="AM3367">
        <v>93.902678910644099</v>
      </c>
      <c r="AN3367">
        <v>1.00000002430559</v>
      </c>
    </row>
    <row r="3368" spans="1:40" x14ac:dyDescent="0.25">
      <c r="A3368" t="str">
        <f>"20190305135300609"</f>
        <v>20190305135300609</v>
      </c>
      <c r="B3368" t="str">
        <f>"1551765180603526"</f>
        <v>1551765180603526</v>
      </c>
      <c r="C3368" t="s">
        <v>40</v>
      </c>
      <c r="D3368">
        <v>4.6971629999999998</v>
      </c>
      <c r="E3368">
        <v>0.58522769999999902</v>
      </c>
      <c r="F3368" t="s">
        <v>56</v>
      </c>
      <c r="G3368">
        <v>-266.25060000000002</v>
      </c>
      <c r="H3368" s="1">
        <v>1.961952E-6</v>
      </c>
      <c r="I3368">
        <v>210.67080000000001</v>
      </c>
      <c r="J3368">
        <v>-289.3365</v>
      </c>
      <c r="K3368">
        <v>1.109502</v>
      </c>
      <c r="L3368">
        <v>214.86660000000001</v>
      </c>
      <c r="M3368">
        <v>0.99945099999999998</v>
      </c>
      <c r="N3368">
        <v>-1.5066700000000001E-2</v>
      </c>
      <c r="O3368">
        <v>-2.9507180000000001E-2</v>
      </c>
      <c r="P3368">
        <v>0.9989114</v>
      </c>
      <c r="Q3368">
        <v>-2.8117349999999999E-2</v>
      </c>
      <c r="R3368">
        <v>3.7225580000000001E-2</v>
      </c>
      <c r="S3368">
        <v>3.0198969999999998</v>
      </c>
      <c r="T3368">
        <v>-0.14190539999999999</v>
      </c>
      <c r="U3368">
        <v>-0.53863530000000004</v>
      </c>
      <c r="V3368">
        <v>-6.6665959999999996E-2</v>
      </c>
      <c r="W3368">
        <v>-1.319757E-2</v>
      </c>
      <c r="X3368">
        <v>0.99768809999999997</v>
      </c>
      <c r="Y3368">
        <v>0.14626919999999999</v>
      </c>
      <c r="Z3368">
        <v>-3.586629E-3</v>
      </c>
      <c r="AA3368">
        <v>0.98923830000000001</v>
      </c>
      <c r="AB3368">
        <v>51</v>
      </c>
      <c r="AC3368">
        <v>23.085899999999899</v>
      </c>
      <c r="AD3368">
        <v>-1.109500038048</v>
      </c>
      <c r="AE3368">
        <v>-4.1957999999999904</v>
      </c>
      <c r="AF3368">
        <v>3.5048590352165299</v>
      </c>
      <c r="AG3368">
        <v>-1.109500038048</v>
      </c>
      <c r="AH3368">
        <v>23.147909870941099</v>
      </c>
      <c r="AI3368">
        <v>92.713259760602099</v>
      </c>
      <c r="AJ3368">
        <v>81.390159165656797</v>
      </c>
      <c r="AK3368">
        <v>23.438019510709101</v>
      </c>
      <c r="AL3368">
        <v>90.756186986667899</v>
      </c>
      <c r="AM3368">
        <v>93.822846447273207</v>
      </c>
      <c r="AN3368">
        <v>1.0000000354791101</v>
      </c>
    </row>
    <row r="3369" spans="1:40" x14ac:dyDescent="0.25">
      <c r="A3369" t="str">
        <f>"20190305135300631"</f>
        <v>20190305135300631</v>
      </c>
      <c r="B3369" t="str">
        <f>"1551765180623047"</f>
        <v>1551765180623047</v>
      </c>
      <c r="C3369" t="s">
        <v>40</v>
      </c>
      <c r="D3369">
        <v>4.656663</v>
      </c>
      <c r="E3369">
        <v>0.58632629999999997</v>
      </c>
      <c r="F3369" t="s">
        <v>56</v>
      </c>
      <c r="G3369">
        <v>-266.17509999999999</v>
      </c>
      <c r="H3369" s="1">
        <v>1.929382E-6</v>
      </c>
      <c r="I3369">
        <v>210.49639999999999</v>
      </c>
      <c r="J3369">
        <v>-288.80619999999999</v>
      </c>
      <c r="K3369">
        <v>1.109526</v>
      </c>
      <c r="L3369">
        <v>214.85140000000001</v>
      </c>
      <c r="M3369">
        <v>0.99946919999999995</v>
      </c>
      <c r="N3369">
        <v>-1.506294E-2</v>
      </c>
      <c r="O3369">
        <v>-2.888423E-2</v>
      </c>
      <c r="P3369">
        <v>0.99889640000000002</v>
      </c>
      <c r="Q3369">
        <v>-2.9334579999999999E-2</v>
      </c>
      <c r="R3369">
        <v>3.6682649999999997E-2</v>
      </c>
      <c r="S3369">
        <v>3.0204469999999999</v>
      </c>
      <c r="T3369">
        <v>-0.14468809999999999</v>
      </c>
      <c r="U3369">
        <v>-0.56991579999999997</v>
      </c>
      <c r="V3369">
        <v>-6.5498319999999999E-2</v>
      </c>
      <c r="W3369">
        <v>-1.4420280000000001E-2</v>
      </c>
      <c r="X3369">
        <v>0.99774850000000004</v>
      </c>
      <c r="Y3369">
        <v>0.1567356</v>
      </c>
      <c r="Z3369">
        <v>-3.9726170000000003E-3</v>
      </c>
      <c r="AA3369">
        <v>0.98763259999999997</v>
      </c>
      <c r="AB3369">
        <v>51</v>
      </c>
      <c r="AC3369">
        <v>22.6311</v>
      </c>
      <c r="AD3369">
        <v>-1.1095240706180001</v>
      </c>
      <c r="AE3369">
        <v>-4.3550000000000102</v>
      </c>
      <c r="AF3369">
        <v>3.6908718199192898</v>
      </c>
      <c r="AG3369">
        <v>-1.1095240706180001</v>
      </c>
      <c r="AH3369">
        <v>22.694858967295101</v>
      </c>
      <c r="AI3369">
        <v>92.762654129276498</v>
      </c>
      <c r="AJ3369">
        <v>80.762840093974006</v>
      </c>
      <c r="AK3369">
        <v>23.019778495888499</v>
      </c>
      <c r="AL3369">
        <v>90.8262498027308</v>
      </c>
      <c r="AM3369">
        <v>93.755856752291294</v>
      </c>
      <c r="AN3369">
        <v>1.0000000218251699</v>
      </c>
    </row>
    <row r="3370" spans="1:40" x14ac:dyDescent="0.25">
      <c r="A3370" t="str">
        <f>"20190305135300654"</f>
        <v>20190305135300654</v>
      </c>
      <c r="B3370" t="str">
        <f>"1551765180643543"</f>
        <v>1551765180643543</v>
      </c>
      <c r="C3370" t="s">
        <v>40</v>
      </c>
      <c r="D3370">
        <v>4.6158939999999999</v>
      </c>
      <c r="E3370">
        <v>0.58687489999999998</v>
      </c>
      <c r="F3370" t="s">
        <v>56</v>
      </c>
      <c r="G3370">
        <v>-266.51839999999999</v>
      </c>
      <c r="H3370" s="1">
        <v>2.108821E-6</v>
      </c>
      <c r="I3370">
        <v>210.5701</v>
      </c>
      <c r="J3370">
        <v>-288.30410000000001</v>
      </c>
      <c r="K3370">
        <v>1.1095469999999901</v>
      </c>
      <c r="L3370">
        <v>214.8372</v>
      </c>
      <c r="M3370">
        <v>0.99948630000000005</v>
      </c>
      <c r="N3370">
        <v>-1.505945E-2</v>
      </c>
      <c r="O3370">
        <v>-2.8292979999999999E-2</v>
      </c>
      <c r="P3370">
        <v>0.99889050000000001</v>
      </c>
      <c r="Q3370">
        <v>-3.0194309999999999E-2</v>
      </c>
      <c r="R3370">
        <v>3.614382E-2</v>
      </c>
      <c r="S3370">
        <v>3.0202330000000002</v>
      </c>
      <c r="T3370">
        <v>-0.15035209999999999</v>
      </c>
      <c r="U3370">
        <v>-0.58015439999999996</v>
      </c>
      <c r="V3370">
        <v>-6.436704E-2</v>
      </c>
      <c r="W3370">
        <v>-1.528406E-2</v>
      </c>
      <c r="X3370">
        <v>0.99780919999999895</v>
      </c>
      <c r="Y3370">
        <v>0.16054189999999999</v>
      </c>
      <c r="Z3370">
        <v>-4.2068440000000004E-3</v>
      </c>
      <c r="AA3370">
        <v>0.98702009999999996</v>
      </c>
      <c r="AB3370">
        <v>51</v>
      </c>
      <c r="AC3370">
        <v>21.785699999999999</v>
      </c>
      <c r="AD3370">
        <v>-1.10954489117899</v>
      </c>
      <c r="AE3370">
        <v>-4.2670999999999903</v>
      </c>
      <c r="AF3370">
        <v>3.6398467080929802</v>
      </c>
      <c r="AG3370">
        <v>-1.10954489117899</v>
      </c>
      <c r="AH3370">
        <v>21.843154496659999</v>
      </c>
      <c r="AI3370">
        <v>92.868413050791503</v>
      </c>
      <c r="AJ3370">
        <v>80.539410823497093</v>
      </c>
      <c r="AK3370">
        <v>22.172121510782802</v>
      </c>
      <c r="AL3370">
        <v>90.875746266102695</v>
      </c>
      <c r="AM3370">
        <v>93.690942979643097</v>
      </c>
      <c r="AN3370">
        <v>0.99999995896654104</v>
      </c>
    </row>
    <row r="3371" spans="1:40" x14ac:dyDescent="0.25">
      <c r="A3371" t="str">
        <f>"20190305135300675"</f>
        <v>20190305135300675</v>
      </c>
      <c r="B3371" t="str">
        <f>"1551765180672822"</f>
        <v>1551765180672822</v>
      </c>
      <c r="C3371" t="s">
        <v>40</v>
      </c>
      <c r="D3371">
        <v>4.6909939999999999</v>
      </c>
      <c r="E3371">
        <v>0.58738869999999999</v>
      </c>
      <c r="F3371" t="s">
        <v>56</v>
      </c>
      <c r="G3371">
        <v>-265.25049999999999</v>
      </c>
      <c r="H3371" s="1">
        <v>1.4431110000000001E-6</v>
      </c>
      <c r="I3371">
        <v>210.364</v>
      </c>
      <c r="J3371">
        <v>-287.80709999999999</v>
      </c>
      <c r="K3371">
        <v>1.109564</v>
      </c>
      <c r="L3371">
        <v>214.8235</v>
      </c>
      <c r="M3371">
        <v>0.99950289999999997</v>
      </c>
      <c r="N3371">
        <v>-1.5056099999999999E-2</v>
      </c>
      <c r="O3371">
        <v>-2.7706330000000001E-2</v>
      </c>
      <c r="P3371">
        <v>0.99887969999999904</v>
      </c>
      <c r="Q3371">
        <v>-3.0927360000000001E-2</v>
      </c>
      <c r="R3371">
        <v>3.5820690000000002E-2</v>
      </c>
      <c r="S3371">
        <v>3.0201419999999999</v>
      </c>
      <c r="T3371">
        <v>-0.14535609999999999</v>
      </c>
      <c r="U3371">
        <v>-0.58601380000000003</v>
      </c>
      <c r="V3371">
        <v>-6.3456090000000007E-2</v>
      </c>
      <c r="W3371">
        <v>-1.602083E-2</v>
      </c>
      <c r="X3371">
        <v>0.99785599999999997</v>
      </c>
      <c r="Y3371">
        <v>0.1629815</v>
      </c>
      <c r="Z3371">
        <v>-4.2169570000000003E-3</v>
      </c>
      <c r="AA3371">
        <v>0.9866201</v>
      </c>
      <c r="AB3371">
        <v>51</v>
      </c>
      <c r="AC3371">
        <v>22.5566</v>
      </c>
      <c r="AD3371">
        <v>-1.109562556889</v>
      </c>
      <c r="AE3371">
        <v>-4.4594999999999896</v>
      </c>
      <c r="AF3371">
        <v>3.8238518815355098</v>
      </c>
      <c r="AG3371">
        <v>-1.109562556889</v>
      </c>
      <c r="AH3371">
        <v>22.618837645900001</v>
      </c>
      <c r="AI3371">
        <v>92.769151887419596</v>
      </c>
      <c r="AJ3371">
        <v>80.404526771105495</v>
      </c>
      <c r="AK3371">
        <v>22.9666015929905</v>
      </c>
      <c r="AL3371">
        <v>90.917965242674597</v>
      </c>
      <c r="AM3371">
        <v>93.638678315626805</v>
      </c>
      <c r="AN3371">
        <v>0.99999996954398795</v>
      </c>
    </row>
    <row r="3372" spans="1:40" x14ac:dyDescent="0.25">
      <c r="A3372" t="str">
        <f>"20190305135300697"</f>
        <v>20190305135300697</v>
      </c>
      <c r="B3372" t="str">
        <f>"1551765180693319"</f>
        <v>1551765180693319</v>
      </c>
      <c r="C3372" t="s">
        <v>40</v>
      </c>
      <c r="D3372">
        <v>4.6652259999999997</v>
      </c>
      <c r="E3372">
        <v>0.58792659999999997</v>
      </c>
      <c r="F3372" t="s">
        <v>56</v>
      </c>
      <c r="G3372">
        <v>-264.089</v>
      </c>
      <c r="H3372" s="1">
        <v>8.329934E-7</v>
      </c>
      <c r="I3372">
        <v>210.1825</v>
      </c>
      <c r="J3372">
        <v>-287.32490000000001</v>
      </c>
      <c r="K3372">
        <v>1.109578</v>
      </c>
      <c r="L3372">
        <v>214.81049999999999</v>
      </c>
      <c r="M3372">
        <v>0.99951849999999998</v>
      </c>
      <c r="N3372">
        <v>-1.505279E-2</v>
      </c>
      <c r="O3372">
        <v>-2.7134999999999999E-2</v>
      </c>
      <c r="P3372">
        <v>0.99887899999999996</v>
      </c>
      <c r="Q3372">
        <v>-3.0875610000000001E-2</v>
      </c>
      <c r="R3372">
        <v>3.5884920000000001E-2</v>
      </c>
      <c r="S3372">
        <v>3.0201419999999999</v>
      </c>
      <c r="T3372">
        <v>-0.141286299999999</v>
      </c>
      <c r="U3372">
        <v>-0.59095759999999997</v>
      </c>
      <c r="V3372">
        <v>-6.2949850000000002E-2</v>
      </c>
      <c r="W3372">
        <v>-1.5972960000000001E-2</v>
      </c>
      <c r="X3372">
        <v>0.99788889999999997</v>
      </c>
      <c r="Y3372">
        <v>0.16510839999999999</v>
      </c>
      <c r="Z3372">
        <v>-4.2279029999999999E-3</v>
      </c>
      <c r="AA3372">
        <v>0.98626639999999999</v>
      </c>
      <c r="AB3372">
        <v>51</v>
      </c>
      <c r="AC3372">
        <v>23.235900000000001</v>
      </c>
      <c r="AD3372">
        <v>-1.1095771670065999</v>
      </c>
      <c r="AE3372">
        <v>-4.6279999999999797</v>
      </c>
      <c r="AF3372">
        <v>3.9869732580936401</v>
      </c>
      <c r="AG3372">
        <v>-1.1095771670065999</v>
      </c>
      <c r="AH3372">
        <v>23.301828928349799</v>
      </c>
      <c r="AI3372">
        <v>92.687235195530604</v>
      </c>
      <c r="AJ3372">
        <v>80.290638300519305</v>
      </c>
      <c r="AK3372">
        <v>23.666481543659501</v>
      </c>
      <c r="AL3372">
        <v>90.915222080051905</v>
      </c>
      <c r="AM3372">
        <v>93.609608030958896</v>
      </c>
      <c r="AN3372">
        <v>1.0000000379046901</v>
      </c>
    </row>
    <row r="3373" spans="1:40" x14ac:dyDescent="0.25">
      <c r="A3373" t="str">
        <f>"20190305135300720"</f>
        <v>20190305135300720</v>
      </c>
      <c r="B3373" t="str">
        <f>"1551765180712838"</f>
        <v>1551765180712838</v>
      </c>
      <c r="C3373" t="s">
        <v>40</v>
      </c>
      <c r="D3373">
        <v>4.6388920000000002</v>
      </c>
      <c r="E3373">
        <v>0.58837879999999998</v>
      </c>
      <c r="F3373" t="s">
        <v>56</v>
      </c>
      <c r="G3373">
        <v>-264.46359999999999</v>
      </c>
      <c r="H3373" s="1">
        <v>1.0270080000000001E-6</v>
      </c>
      <c r="I3373">
        <v>210.30369999999999</v>
      </c>
      <c r="J3373">
        <v>-286.79480000000001</v>
      </c>
      <c r="K3373">
        <v>1.109588</v>
      </c>
      <c r="L3373">
        <v>214.79650000000001</v>
      </c>
      <c r="M3373">
        <v>0.99953550000000002</v>
      </c>
      <c r="N3373">
        <v>-1.5049180000000001E-2</v>
      </c>
      <c r="O3373">
        <v>-2.6505049999999999E-2</v>
      </c>
      <c r="P3373">
        <v>0.99886819999999998</v>
      </c>
      <c r="Q3373">
        <v>-3.0774599999999999E-2</v>
      </c>
      <c r="R3373">
        <v>3.627242E-2</v>
      </c>
      <c r="S3373">
        <v>3.0202330000000002</v>
      </c>
      <c r="T3373">
        <v>-0.14658740000000001</v>
      </c>
      <c r="U3373">
        <v>-0.59539790000000004</v>
      </c>
      <c r="V3373">
        <v>-6.2708239999999998E-2</v>
      </c>
      <c r="W3373">
        <v>-1.5876540000000001E-2</v>
      </c>
      <c r="X3373">
        <v>0.99790559999999995</v>
      </c>
      <c r="Y3373">
        <v>0.1671029</v>
      </c>
      <c r="Z3373">
        <v>-4.4073519999999998E-3</v>
      </c>
      <c r="AA3373">
        <v>0.98592959999999996</v>
      </c>
      <c r="AB3373">
        <v>51</v>
      </c>
      <c r="AC3373">
        <v>22.331199999999999</v>
      </c>
      <c r="AD3373">
        <v>-1.109586972992</v>
      </c>
      <c r="AE3373">
        <v>-4.4928000000000097</v>
      </c>
      <c r="AF3373">
        <v>3.89003430606116</v>
      </c>
      <c r="AG3373">
        <v>-1.109586972992</v>
      </c>
      <c r="AH3373">
        <v>22.3893221957298</v>
      </c>
      <c r="AI3373">
        <v>92.795375481440402</v>
      </c>
      <c r="AJ3373">
        <v>80.143535063104807</v>
      </c>
      <c r="AK3373">
        <v>22.751819675295501</v>
      </c>
      <c r="AL3373">
        <v>90.909696966701304</v>
      </c>
      <c r="AM3373">
        <v>93.595730270029094</v>
      </c>
      <c r="AN3373">
        <v>0.999999987198814</v>
      </c>
    </row>
    <row r="3374" spans="1:40" x14ac:dyDescent="0.25">
      <c r="A3374" t="str">
        <f>"20190305135300742"</f>
        <v>20190305135300742</v>
      </c>
      <c r="B3374" t="str">
        <f>"1551765180732870"</f>
        <v>1551765180732870</v>
      </c>
      <c r="C3374" t="s">
        <v>40</v>
      </c>
      <c r="D3374">
        <v>4.595758</v>
      </c>
      <c r="E3374">
        <v>0.58878920000000001</v>
      </c>
      <c r="F3374" t="s">
        <v>56</v>
      </c>
      <c r="G3374">
        <v>-264.58240000000001</v>
      </c>
      <c r="H3374" s="1">
        <v>1.0860249999999999E-6</v>
      </c>
      <c r="I3374">
        <v>210.4</v>
      </c>
      <c r="J3374">
        <v>-286.29919999999998</v>
      </c>
      <c r="K3374">
        <v>1.109607</v>
      </c>
      <c r="L3374">
        <v>214.78370000000001</v>
      </c>
      <c r="M3374">
        <v>0.99955110000000003</v>
      </c>
      <c r="N3374">
        <v>-1.504598E-2</v>
      </c>
      <c r="O3374">
        <v>-2.591413E-2</v>
      </c>
      <c r="P3374">
        <v>0.99884609999999996</v>
      </c>
      <c r="Q3374">
        <v>-3.0748749999999998E-2</v>
      </c>
      <c r="R3374">
        <v>3.6896270000000002E-2</v>
      </c>
      <c r="S3374">
        <v>3.0204770000000001</v>
      </c>
      <c r="T3374">
        <v>-0.15088309999999999</v>
      </c>
      <c r="U3374">
        <v>-0.59783940000000002</v>
      </c>
      <c r="V3374">
        <v>-6.2741560000000002E-2</v>
      </c>
      <c r="W3374">
        <v>-1.585522E-2</v>
      </c>
      <c r="X3374">
        <v>0.99790389999999995</v>
      </c>
      <c r="Y3374">
        <v>0.1684234</v>
      </c>
      <c r="Z3374">
        <v>-4.549951E-3</v>
      </c>
      <c r="AA3374">
        <v>0.98570420000000003</v>
      </c>
      <c r="AB3374">
        <v>51</v>
      </c>
      <c r="AC3374">
        <v>21.7167999999999</v>
      </c>
      <c r="AD3374">
        <v>-1.1096059139749901</v>
      </c>
      <c r="AE3374">
        <v>-4.3837000000000002</v>
      </c>
      <c r="AF3374">
        <v>3.8098352205862098</v>
      </c>
      <c r="AG3374">
        <v>-1.1096059139749901</v>
      </c>
      <c r="AH3374">
        <v>21.768513209823499</v>
      </c>
      <c r="AI3374">
        <v>92.874395758062406</v>
      </c>
      <c r="AJ3374">
        <v>80.072872377745696</v>
      </c>
      <c r="AK3374">
        <v>22.127228408876899</v>
      </c>
      <c r="AL3374">
        <v>90.908475216651397</v>
      </c>
      <c r="AM3374">
        <v>93.597641956118096</v>
      </c>
      <c r="AN3374">
        <v>1.00000004249384</v>
      </c>
    </row>
    <row r="3375" spans="1:40" x14ac:dyDescent="0.25">
      <c r="A3375" t="str">
        <f>"20190305135300763"</f>
        <v>20190305135300763</v>
      </c>
      <c r="B3375" t="str">
        <f>"1551765180753363"</f>
        <v>1551765180753363</v>
      </c>
      <c r="C3375" t="s">
        <v>40</v>
      </c>
      <c r="D3375">
        <v>4.6487769999999999</v>
      </c>
      <c r="E3375">
        <v>0.58918769999999998</v>
      </c>
      <c r="F3375" t="s">
        <v>56</v>
      </c>
      <c r="G3375">
        <v>-264.18630000000002</v>
      </c>
      <c r="H3375" s="1">
        <v>8.7538990000000001E-7</v>
      </c>
      <c r="I3375">
        <v>210.39660000000001</v>
      </c>
      <c r="J3375">
        <v>-285.8218</v>
      </c>
      <c r="K3375">
        <v>1.109621</v>
      </c>
      <c r="L3375">
        <v>214.77170000000001</v>
      </c>
      <c r="M3375">
        <v>0.9995657</v>
      </c>
      <c r="N3375">
        <v>-1.504284E-2</v>
      </c>
      <c r="O3375">
        <v>-2.534351E-2</v>
      </c>
      <c r="P3375">
        <v>0.99884669999999998</v>
      </c>
      <c r="Q3375">
        <v>-2.9713219999999999E-2</v>
      </c>
      <c r="R3375">
        <v>3.7717870000000001E-2</v>
      </c>
      <c r="S3375">
        <v>3.020966</v>
      </c>
      <c r="T3375">
        <v>-0.15158929999999901</v>
      </c>
      <c r="U3375">
        <v>-0.59935000000000005</v>
      </c>
      <c r="V3375">
        <v>-6.2994759999999997E-2</v>
      </c>
      <c r="W3375">
        <v>-1.482411E-2</v>
      </c>
      <c r="X3375">
        <v>0.99790380000000001</v>
      </c>
      <c r="Y3375">
        <v>0.1694261</v>
      </c>
      <c r="Z3375">
        <v>-4.6148370000000001E-3</v>
      </c>
      <c r="AA3375">
        <v>0.98553210000000002</v>
      </c>
      <c r="AB3375">
        <v>51</v>
      </c>
      <c r="AC3375">
        <v>21.635499999999901</v>
      </c>
      <c r="AD3375">
        <v>-1.1096201246101001</v>
      </c>
      <c r="AE3375">
        <v>-4.3750999999999998</v>
      </c>
      <c r="AF3375">
        <v>3.8156706115796899</v>
      </c>
      <c r="AG3375">
        <v>-1.1096201246101001</v>
      </c>
      <c r="AH3375">
        <v>21.684644504545499</v>
      </c>
      <c r="AI3375">
        <v>92.885067165451304</v>
      </c>
      <c r="AJ3375">
        <v>80.020289737903894</v>
      </c>
      <c r="AK3375">
        <v>22.045734424725499</v>
      </c>
      <c r="AL3375">
        <v>90.849390012075702</v>
      </c>
      <c r="AM3375">
        <v>93.612122608366306</v>
      </c>
      <c r="AN3375">
        <v>1.00000004403959</v>
      </c>
    </row>
    <row r="3376" spans="1:40" x14ac:dyDescent="0.25">
      <c r="A3376" t="str">
        <f>"20190305135300786"</f>
        <v>20190305135300786</v>
      </c>
      <c r="B3376" t="str">
        <f>"1551765180783619"</f>
        <v>1551765180783619</v>
      </c>
      <c r="C3376" t="s">
        <v>40</v>
      </c>
      <c r="D3376">
        <v>4.6211180000000001</v>
      </c>
      <c r="E3376">
        <v>0.5894741</v>
      </c>
      <c r="F3376" t="s">
        <v>56</v>
      </c>
      <c r="G3376">
        <v>-263.40769999999998</v>
      </c>
      <c r="H3376" s="1">
        <v>4.6432919999999999E-7</v>
      </c>
      <c r="I3376">
        <v>210.32149999999999</v>
      </c>
      <c r="J3376">
        <v>-285.3091</v>
      </c>
      <c r="K3376">
        <v>1.109626</v>
      </c>
      <c r="L3376">
        <v>214.75909999999999</v>
      </c>
      <c r="M3376">
        <v>0.99958100000000005</v>
      </c>
      <c r="N3376">
        <v>-1.503932E-2</v>
      </c>
      <c r="O3376">
        <v>-2.4729629999999999E-2</v>
      </c>
      <c r="P3376">
        <v>0.99882749999999998</v>
      </c>
      <c r="Q3376">
        <v>-2.9545519999999999E-2</v>
      </c>
      <c r="R3376">
        <v>3.8350849999999999E-2</v>
      </c>
      <c r="S3376">
        <v>3.0216370000000001</v>
      </c>
      <c r="T3376">
        <v>-0.14958740000000001</v>
      </c>
      <c r="U3376">
        <v>-0.59992979999999996</v>
      </c>
      <c r="V3376">
        <v>-6.3014420000000002E-2</v>
      </c>
      <c r="W3376">
        <v>-1.466072E-2</v>
      </c>
      <c r="X3376">
        <v>0.99790500000000004</v>
      </c>
      <c r="Y3376">
        <v>0.17017570000000001</v>
      </c>
      <c r="Z3376">
        <v>-4.619794E-3</v>
      </c>
      <c r="AA3376">
        <v>0.98540289999999997</v>
      </c>
      <c r="AB3376">
        <v>51</v>
      </c>
      <c r="AC3376">
        <v>21.901399999999999</v>
      </c>
      <c r="AD3376">
        <v>-1.1096255356708</v>
      </c>
      <c r="AE3376">
        <v>-4.4375999999999998</v>
      </c>
      <c r="AF3376">
        <v>3.8849886408171499</v>
      </c>
      <c r="AG3376">
        <v>-1.1096255356708</v>
      </c>
      <c r="AH3376">
        <v>21.950330731021801</v>
      </c>
      <c r="AI3376">
        <v>92.849717553127704</v>
      </c>
      <c r="AJ3376">
        <v>79.963162459811002</v>
      </c>
      <c r="AK3376">
        <v>22.319082077225598</v>
      </c>
      <c r="AL3376">
        <v>90.8400274145704</v>
      </c>
      <c r="AM3376">
        <v>93.613242594252398</v>
      </c>
      <c r="AN3376">
        <v>1.0000000714319199</v>
      </c>
    </row>
    <row r="3377" spans="1:40" x14ac:dyDescent="0.25">
      <c r="A3377" t="str">
        <f>"20190305135300808"</f>
        <v>20190305135300808</v>
      </c>
      <c r="B3377" t="str">
        <f>"1551765180803139"</f>
        <v>1551765180803139</v>
      </c>
      <c r="C3377" t="s">
        <v>40</v>
      </c>
      <c r="D3377">
        <v>4.8850220000000002</v>
      </c>
      <c r="E3377">
        <v>0.58975339999999998</v>
      </c>
      <c r="F3377" t="s">
        <v>56</v>
      </c>
      <c r="G3377">
        <v>-263.51760000000002</v>
      </c>
      <c r="H3377" s="1">
        <v>5.1810320000000003E-7</v>
      </c>
      <c r="I3377">
        <v>210.42959999999999</v>
      </c>
      <c r="J3377">
        <v>-284.79450000000003</v>
      </c>
      <c r="K3377">
        <v>1.109632</v>
      </c>
      <c r="L3377">
        <v>214.74680000000001</v>
      </c>
      <c r="M3377">
        <v>0.99959629999999999</v>
      </c>
      <c r="N3377">
        <v>-1.5035959999999999E-2</v>
      </c>
      <c r="O3377">
        <v>-2.4112680000000001E-2</v>
      </c>
      <c r="P3377">
        <v>0.99882610000000005</v>
      </c>
      <c r="Q3377">
        <v>-2.8689639999999999E-2</v>
      </c>
      <c r="R3377">
        <v>3.9033890000000002E-2</v>
      </c>
      <c r="S3377">
        <v>3.0220030000000002</v>
      </c>
      <c r="T3377">
        <v>-0.15388099999999999</v>
      </c>
      <c r="U3377">
        <v>-0.60041809999999995</v>
      </c>
      <c r="V3377">
        <v>-6.3083219999999995E-2</v>
      </c>
      <c r="W3377">
        <v>-1.380868E-2</v>
      </c>
      <c r="X3377">
        <v>0.99791280000000004</v>
      </c>
      <c r="Y3377">
        <v>0.17090039999999901</v>
      </c>
      <c r="Z3377">
        <v>-4.7494879999999996E-3</v>
      </c>
      <c r="AA3377">
        <v>0.98527690000000001</v>
      </c>
      <c r="AB3377">
        <v>51</v>
      </c>
      <c r="AC3377">
        <v>21.276900000000001</v>
      </c>
      <c r="AD3377">
        <v>-1.1096314818968001</v>
      </c>
      <c r="AE3377">
        <v>-4.3172000000000104</v>
      </c>
      <c r="AF3377">
        <v>3.7929352697681802</v>
      </c>
      <c r="AG3377">
        <v>-1.1096314818968001</v>
      </c>
      <c r="AH3377">
        <v>21.319131860394702</v>
      </c>
      <c r="AI3377">
        <v>92.933495311964705</v>
      </c>
      <c r="AJ3377">
        <v>79.911932101691505</v>
      </c>
      <c r="AK3377">
        <v>21.682320523116601</v>
      </c>
      <c r="AL3377">
        <v>90.791204179514295</v>
      </c>
      <c r="AM3377">
        <v>93.617148915614806</v>
      </c>
      <c r="AN3377">
        <v>1.00000006434637</v>
      </c>
    </row>
    <row r="3378" spans="1:40" x14ac:dyDescent="0.25">
      <c r="A3378" t="str">
        <f>"20190305135300830"</f>
        <v>20190305135300830</v>
      </c>
      <c r="B3378" t="str">
        <f>"1551765180823166"</f>
        <v>1551765180823166</v>
      </c>
      <c r="C3378" t="s">
        <v>40</v>
      </c>
      <c r="D3378">
        <v>4.5908530000000001</v>
      </c>
      <c r="E3378">
        <v>0.59002940000000004</v>
      </c>
      <c r="F3378" t="s">
        <v>56</v>
      </c>
      <c r="G3378">
        <v>-261.74430000000001</v>
      </c>
      <c r="H3378" s="1">
        <v>-4.1415840000000002E-7</v>
      </c>
      <c r="I3378">
        <v>210.16900000000001</v>
      </c>
      <c r="J3378">
        <v>-284.28870000000001</v>
      </c>
      <c r="K3378">
        <v>1.1096440000000001</v>
      </c>
      <c r="L3378">
        <v>214.73500000000001</v>
      </c>
      <c r="M3378">
        <v>0.99961069999999996</v>
      </c>
      <c r="N3378">
        <v>-1.503266E-2</v>
      </c>
      <c r="O3378">
        <v>-2.3505149999999999E-2</v>
      </c>
      <c r="P3378">
        <v>0.99879969999999996</v>
      </c>
      <c r="Q3378">
        <v>-2.910283E-2</v>
      </c>
      <c r="R3378">
        <v>3.9397269999999998E-2</v>
      </c>
      <c r="S3378">
        <v>3.0227659999999998</v>
      </c>
      <c r="T3378">
        <v>-0.14551529999999999</v>
      </c>
      <c r="U3378">
        <v>-0.60032649999999999</v>
      </c>
      <c r="V3378">
        <v>-6.2838740000000004E-2</v>
      </c>
      <c r="W3378">
        <v>-1.422503E-2</v>
      </c>
      <c r="X3378">
        <v>0.99792230000000004</v>
      </c>
      <c r="Y3378">
        <v>0.17144579999999901</v>
      </c>
      <c r="Z3378">
        <v>-4.6174140000000002E-3</v>
      </c>
      <c r="AA3378">
        <v>0.98518269999999997</v>
      </c>
      <c r="AB3378">
        <v>51</v>
      </c>
      <c r="AC3378">
        <v>22.5444</v>
      </c>
      <c r="AD3378">
        <v>-1.1096444141583901</v>
      </c>
      <c r="AE3378">
        <v>-4.5659999999999998</v>
      </c>
      <c r="AF3378">
        <v>4.0254009585455899</v>
      </c>
      <c r="AG3378">
        <v>-1.1096444141583901</v>
      </c>
      <c r="AH3378">
        <v>22.592928603995201</v>
      </c>
      <c r="AI3378">
        <v>92.768277720083404</v>
      </c>
      <c r="AJ3378">
        <v>79.897572915868295</v>
      </c>
      <c r="AK3378">
        <v>22.975543225529101</v>
      </c>
      <c r="AL3378">
        <v>90.815061682139302</v>
      </c>
      <c r="AM3378">
        <v>93.603133389752998</v>
      </c>
      <c r="AN3378">
        <v>0.99999998778028898</v>
      </c>
    </row>
    <row r="3379" spans="1:40" x14ac:dyDescent="0.25">
      <c r="A3379" t="str">
        <f>"20190305135300853"</f>
        <v>20190305135300853</v>
      </c>
      <c r="B3379" t="str">
        <f>"1551765180842686"</f>
        <v>1551765180842686</v>
      </c>
      <c r="C3379" t="s">
        <v>40</v>
      </c>
      <c r="D3379">
        <v>4.6202480000000001</v>
      </c>
      <c r="E3379">
        <v>0.59024690000000002</v>
      </c>
      <c r="F3379" t="s">
        <v>56</v>
      </c>
      <c r="G3379">
        <v>-260.6961</v>
      </c>
      <c r="H3379" s="1">
        <v>-9.6639859999999998E-7</v>
      </c>
      <c r="I3379">
        <v>210.042</v>
      </c>
      <c r="J3379">
        <v>-283.7878</v>
      </c>
      <c r="K3379">
        <v>1.1096629999999901</v>
      </c>
      <c r="L3379">
        <v>214.7236</v>
      </c>
      <c r="M3379">
        <v>0.99962470000000003</v>
      </c>
      <c r="N3379">
        <v>-1.502941E-2</v>
      </c>
      <c r="O3379">
        <v>-2.2903360000000001E-2</v>
      </c>
      <c r="P3379">
        <v>0.99879070000000003</v>
      </c>
      <c r="Q3379">
        <v>-2.962302E-2</v>
      </c>
      <c r="R3379">
        <v>3.9241060000000001E-2</v>
      </c>
      <c r="S3379">
        <v>3.0231629999999998</v>
      </c>
      <c r="T3379">
        <v>-0.1421906</v>
      </c>
      <c r="U3379">
        <v>-0.60136409999999996</v>
      </c>
      <c r="V3379">
        <v>-6.2080709999999997E-2</v>
      </c>
      <c r="W3379">
        <v>-1.4746769999999999E-2</v>
      </c>
      <c r="X3379">
        <v>0.99796220000000002</v>
      </c>
      <c r="Y3379">
        <v>0.1723471</v>
      </c>
      <c r="Z3379">
        <v>-4.5957439999999997E-3</v>
      </c>
      <c r="AA3379">
        <v>0.98502559999999995</v>
      </c>
      <c r="AB3379">
        <v>50</v>
      </c>
      <c r="AC3379">
        <v>23.091699999999999</v>
      </c>
      <c r="AD3379">
        <v>-1.1096639663986001</v>
      </c>
      <c r="AE3379">
        <v>-4.6816000000000004</v>
      </c>
      <c r="AF3379">
        <v>4.1422465617379096</v>
      </c>
      <c r="AG3379">
        <v>-1.1096639663986001</v>
      </c>
      <c r="AH3379">
        <v>23.141547964597599</v>
      </c>
      <c r="AI3379">
        <v>92.7024104652143</v>
      </c>
      <c r="AJ3379">
        <v>79.851750762696597</v>
      </c>
      <c r="AK3379">
        <v>23.535522150450099</v>
      </c>
      <c r="AL3379">
        <v>90.844958294922606</v>
      </c>
      <c r="AM3379">
        <v>93.559638918906998</v>
      </c>
      <c r="AN3379">
        <v>1.0000000172041801</v>
      </c>
    </row>
    <row r="3380" spans="1:40" x14ac:dyDescent="0.25">
      <c r="A3380" t="str">
        <f>"20190305135300875"</f>
        <v>20190305135300875</v>
      </c>
      <c r="B3380" t="str">
        <f>"1551765180872943"</f>
        <v>1551765180872943</v>
      </c>
      <c r="C3380" t="s">
        <v>40</v>
      </c>
      <c r="D3380">
        <v>4.6270480000000003</v>
      </c>
      <c r="E3380">
        <v>0.59051049999999905</v>
      </c>
      <c r="F3380" t="s">
        <v>56</v>
      </c>
      <c r="G3380">
        <v>-260.20670000000001</v>
      </c>
      <c r="H3380" s="1">
        <v>-1.2256899999999999E-6</v>
      </c>
      <c r="I3380">
        <v>210.01519999999999</v>
      </c>
      <c r="J3380">
        <v>-283.28840000000002</v>
      </c>
      <c r="K3380">
        <v>1.1096790000000001</v>
      </c>
      <c r="L3380">
        <v>214.71260000000001</v>
      </c>
      <c r="M3380">
        <v>0.99963849999999999</v>
      </c>
      <c r="N3380">
        <v>-1.502618E-2</v>
      </c>
      <c r="O3380">
        <v>-2.2302539999999999E-2</v>
      </c>
      <c r="P3380">
        <v>0.99879070000000003</v>
      </c>
      <c r="Q3380">
        <v>-3.007365E-2</v>
      </c>
      <c r="R3380">
        <v>3.8897569999999999E-2</v>
      </c>
      <c r="S3380">
        <v>3.0231319999999999</v>
      </c>
      <c r="T3380">
        <v>-0.1422602</v>
      </c>
      <c r="U3380">
        <v>-0.6036224</v>
      </c>
      <c r="V3380">
        <v>-6.1136629999999997E-2</v>
      </c>
      <c r="W3380">
        <v>-1.519829E-2</v>
      </c>
      <c r="X3380">
        <v>0.9980137</v>
      </c>
      <c r="Y3380">
        <v>0.1736463</v>
      </c>
      <c r="Z3380">
        <v>-4.6558320000000004E-3</v>
      </c>
      <c r="AA3380">
        <v>0.98479709999999998</v>
      </c>
      <c r="AB3380">
        <v>50</v>
      </c>
      <c r="AC3380">
        <v>23.081700000000001</v>
      </c>
      <c r="AD3380">
        <v>-1.10968022568999</v>
      </c>
      <c r="AE3380">
        <v>-4.6974000000000098</v>
      </c>
      <c r="AF3380">
        <v>4.1721331312918402</v>
      </c>
      <c r="AG3380">
        <v>-1.10968022568999</v>
      </c>
      <c r="AH3380">
        <v>23.129399927849398</v>
      </c>
      <c r="AI3380">
        <v>92.703215918645697</v>
      </c>
      <c r="AJ3380">
        <v>79.774813879321599</v>
      </c>
      <c r="AK3380">
        <v>23.528859430301999</v>
      </c>
      <c r="AL3380">
        <v>90.870831391164302</v>
      </c>
      <c r="AM3380">
        <v>93.505462009542697</v>
      </c>
      <c r="AN3380">
        <v>1.00000001046718</v>
      </c>
    </row>
    <row r="3381" spans="1:40" x14ac:dyDescent="0.25">
      <c r="A3381" t="str">
        <f>"20190305135300898"</f>
        <v>20190305135300898</v>
      </c>
      <c r="B3381" t="str">
        <f>"1551765180893440"</f>
        <v>1551765180893440</v>
      </c>
      <c r="C3381" t="s">
        <v>40</v>
      </c>
      <c r="D3381">
        <v>4.6368119999999999</v>
      </c>
      <c r="E3381">
        <v>0.59040150000000002</v>
      </c>
      <c r="F3381" t="s">
        <v>56</v>
      </c>
      <c r="G3381">
        <v>-260.34109999999998</v>
      </c>
      <c r="H3381" s="1">
        <v>-1.1581749999999999E-6</v>
      </c>
      <c r="I3381">
        <v>210.10720000000001</v>
      </c>
      <c r="J3381">
        <v>-282.78609999999998</v>
      </c>
      <c r="K3381">
        <v>1.1096969999999999</v>
      </c>
      <c r="L3381">
        <v>214.70179999999999</v>
      </c>
      <c r="M3381">
        <v>0.99965179999999998</v>
      </c>
      <c r="N3381">
        <v>-1.50229E-2</v>
      </c>
      <c r="O3381">
        <v>-2.1697669999999999E-2</v>
      </c>
      <c r="P3381">
        <v>0.99880170000000001</v>
      </c>
      <c r="Q3381">
        <v>-3.0322600000000002E-2</v>
      </c>
      <c r="R3381">
        <v>3.8420629999999997E-2</v>
      </c>
      <c r="S3381">
        <v>3.0228579999999998</v>
      </c>
      <c r="T3381">
        <v>-0.14617869999999999</v>
      </c>
      <c r="U3381">
        <v>-0.60667419999999905</v>
      </c>
      <c r="V3381">
        <v>-6.0055610000000002E-2</v>
      </c>
      <c r="W3381">
        <v>-1.544764E-2</v>
      </c>
      <c r="X3381">
        <v>0.9980755</v>
      </c>
      <c r="Y3381">
        <v>0.17520139999999901</v>
      </c>
      <c r="Z3381">
        <v>-4.8071900000000002E-3</v>
      </c>
      <c r="AA3381">
        <v>0.98452090000000003</v>
      </c>
      <c r="AB3381">
        <v>50</v>
      </c>
      <c r="AC3381">
        <v>22.445</v>
      </c>
      <c r="AD3381">
        <v>-1.1096981581749901</v>
      </c>
      <c r="AE3381">
        <v>-4.5945999999999803</v>
      </c>
      <c r="AF3381">
        <v>4.0968474347530801</v>
      </c>
      <c r="AG3381">
        <v>-1.1096981581749901</v>
      </c>
      <c r="AH3381">
        <v>22.486662609613902</v>
      </c>
      <c r="AI3381">
        <v>92.779526632851699</v>
      </c>
      <c r="AJ3381">
        <v>79.674527130204396</v>
      </c>
      <c r="AK3381">
        <v>22.883740608224599</v>
      </c>
      <c r="AL3381">
        <v>90.885119776207404</v>
      </c>
      <c r="AM3381">
        <v>93.443416095667203</v>
      </c>
      <c r="AN3381">
        <v>1.00000000478714</v>
      </c>
    </row>
    <row r="3382" spans="1:40" x14ac:dyDescent="0.25">
      <c r="A3382" t="str">
        <f>"20190305135300920"</f>
        <v>20190305135300920</v>
      </c>
      <c r="B3382" t="str">
        <f>"1551765180912959"</f>
        <v>1551765180912959</v>
      </c>
      <c r="C3382" t="s">
        <v>40</v>
      </c>
      <c r="D3382">
        <v>4.5960380000000001</v>
      </c>
      <c r="E3382">
        <v>0.5907618</v>
      </c>
      <c r="F3382" t="s">
        <v>56</v>
      </c>
      <c r="G3382">
        <v>-260.78919999999999</v>
      </c>
      <c r="H3382" s="1">
        <v>-9.2730830000000004E-7</v>
      </c>
      <c r="I3382">
        <v>210.2809</v>
      </c>
      <c r="J3382">
        <v>-282.27850000000001</v>
      </c>
      <c r="K3382">
        <v>1.1097129999999999</v>
      </c>
      <c r="L3382">
        <v>214.69110000000001</v>
      </c>
      <c r="M3382">
        <v>0.99966489999999997</v>
      </c>
      <c r="N3382">
        <v>-1.5019589999999999E-2</v>
      </c>
      <c r="O3382">
        <v>-2.1086009999999999E-2</v>
      </c>
      <c r="P3382">
        <v>0.99881399999999998</v>
      </c>
      <c r="Q3382">
        <v>-3.0223920000000001E-2</v>
      </c>
      <c r="R3382">
        <v>3.8177299999999997E-2</v>
      </c>
      <c r="S3382">
        <v>3.0223689999999999</v>
      </c>
      <c r="T3382">
        <v>-0.15247249999999901</v>
      </c>
      <c r="U3382">
        <v>-0.60742189999999996</v>
      </c>
      <c r="V3382">
        <v>-5.9202350000000001E-2</v>
      </c>
      <c r="W3382">
        <v>-1.534989E-2</v>
      </c>
      <c r="X3382">
        <v>0.99812800000000002</v>
      </c>
      <c r="Y3382">
        <v>0.17604819999999999</v>
      </c>
      <c r="Z3382">
        <v>-4.9919550000000002E-3</v>
      </c>
      <c r="AA3382">
        <v>0.98436889999999999</v>
      </c>
      <c r="AB3382">
        <v>50</v>
      </c>
      <c r="AC3382">
        <v>21.4893</v>
      </c>
      <c r="AD3382">
        <v>-1.1097139273083001</v>
      </c>
      <c r="AE3382">
        <v>-4.4101999999999997</v>
      </c>
      <c r="AF3382">
        <v>3.9459471026488901</v>
      </c>
      <c r="AG3382">
        <v>-1.1097139273083001</v>
      </c>
      <c r="AH3382">
        <v>21.522450408413199</v>
      </c>
      <c r="AI3382">
        <v>92.903292892662407</v>
      </c>
      <c r="AJ3382">
        <v>79.610718431928206</v>
      </c>
      <c r="AK3382">
        <v>21.9093093254893</v>
      </c>
      <c r="AL3382">
        <v>90.879518435494703</v>
      </c>
      <c r="AM3382">
        <v>93.394429714619307</v>
      </c>
      <c r="AN3382">
        <v>1.0000000208762601</v>
      </c>
    </row>
    <row r="3383" spans="1:40" x14ac:dyDescent="0.25">
      <c r="A3383" t="str">
        <f>"20190305135300942"</f>
        <v>20190305135300942</v>
      </c>
      <c r="B3383" t="str">
        <f>"1551765180932988"</f>
        <v>1551765180932988</v>
      </c>
      <c r="C3383" t="s">
        <v>40</v>
      </c>
      <c r="D3383">
        <v>4.5843319999999999</v>
      </c>
      <c r="E3383">
        <v>0.59098569999999995</v>
      </c>
      <c r="F3383" t="s">
        <v>56</v>
      </c>
      <c r="G3383">
        <v>-260.50779999999997</v>
      </c>
      <c r="H3383" s="1">
        <v>-1.077436E-6</v>
      </c>
      <c r="I3383">
        <v>210.2902</v>
      </c>
      <c r="J3383">
        <v>-281.79109999999997</v>
      </c>
      <c r="K3383">
        <v>1.10972</v>
      </c>
      <c r="L3383">
        <v>214.68129999999999</v>
      </c>
      <c r="M3383">
        <v>0.99967700000000004</v>
      </c>
      <c r="N3383">
        <v>-1.501657E-2</v>
      </c>
      <c r="O3383">
        <v>-2.0498430000000002E-2</v>
      </c>
      <c r="P3383">
        <v>0.99882700000000002</v>
      </c>
      <c r="Q3383">
        <v>-3.0041959999999999E-2</v>
      </c>
      <c r="R3383">
        <v>3.7973899999999998E-2</v>
      </c>
      <c r="S3383">
        <v>3.0222470000000001</v>
      </c>
      <c r="T3383">
        <v>-0.15405289999999999</v>
      </c>
      <c r="U3383">
        <v>-0.61094669999999995</v>
      </c>
      <c r="V3383">
        <v>-5.8413380000000001E-2</v>
      </c>
      <c r="W3383">
        <v>-1.516869E-2</v>
      </c>
      <c r="X3383">
        <v>0.99817719999999999</v>
      </c>
      <c r="Y3383">
        <v>0.17772950000000001</v>
      </c>
      <c r="Z3383">
        <v>-5.1021139999999996E-3</v>
      </c>
      <c r="AA3383">
        <v>0.98406610000000005</v>
      </c>
      <c r="AB3383">
        <v>50</v>
      </c>
      <c r="AC3383">
        <v>21.283300000000001</v>
      </c>
      <c r="AD3383">
        <v>-1.109721077436</v>
      </c>
      <c r="AE3383">
        <v>-4.39109999999999</v>
      </c>
      <c r="AF3383">
        <v>3.9435703053770101</v>
      </c>
      <c r="AG3383">
        <v>-1.109721077436</v>
      </c>
      <c r="AH3383">
        <v>21.313270747581601</v>
      </c>
      <c r="AI3383">
        <v>92.930876865694003</v>
      </c>
      <c r="AJ3383">
        <v>79.5171827263637</v>
      </c>
      <c r="AK3383">
        <v>21.703426862660901</v>
      </c>
      <c r="AL3383">
        <v>90.869135278052497</v>
      </c>
      <c r="AM3383">
        <v>93.349132245006103</v>
      </c>
      <c r="AN3383">
        <v>0.99999996735958896</v>
      </c>
    </row>
    <row r="3384" spans="1:40" x14ac:dyDescent="0.25">
      <c r="A3384" t="str">
        <f>"20190305135300965"</f>
        <v>20190305135300965</v>
      </c>
      <c r="B3384" t="str">
        <f>"1551765180953481"</f>
        <v>1551765180953481</v>
      </c>
      <c r="C3384" t="s">
        <v>40</v>
      </c>
      <c r="D3384">
        <v>4.5764199999999997</v>
      </c>
      <c r="E3384">
        <v>0.59125819999999996</v>
      </c>
      <c r="F3384" t="s">
        <v>56</v>
      </c>
      <c r="G3384">
        <v>-260.12830000000002</v>
      </c>
      <c r="H3384" s="1">
        <v>-1.279147E-6</v>
      </c>
      <c r="I3384">
        <v>210.2842</v>
      </c>
      <c r="J3384">
        <v>-281.29239999999999</v>
      </c>
      <c r="K3384">
        <v>1.1097220000000001</v>
      </c>
      <c r="L3384">
        <v>214.67140000000001</v>
      </c>
      <c r="M3384">
        <v>0.99968950000000001</v>
      </c>
      <c r="N3384">
        <v>-1.501335E-2</v>
      </c>
      <c r="O3384">
        <v>-1.9897390000000001E-2</v>
      </c>
      <c r="P3384">
        <v>0.99882479999999996</v>
      </c>
      <c r="Q3384">
        <v>-2.9604849999999999E-2</v>
      </c>
      <c r="R3384">
        <v>3.838068E-2</v>
      </c>
      <c r="S3384">
        <v>3.022125</v>
      </c>
      <c r="T3384">
        <v>-0.15481439999999999</v>
      </c>
      <c r="U3384">
        <v>-0.61341859999999904</v>
      </c>
      <c r="V3384">
        <v>-5.8220519999999998E-2</v>
      </c>
      <c r="W3384">
        <v>-1.473408E-2</v>
      </c>
      <c r="X3384">
        <v>0.99819500000000005</v>
      </c>
      <c r="Y3384">
        <v>0.17909700000000001</v>
      </c>
      <c r="Z3384">
        <v>-5.1852469999999996E-3</v>
      </c>
      <c r="AA3384">
        <v>0.98381779999999996</v>
      </c>
      <c r="AB3384">
        <v>50</v>
      </c>
      <c r="AC3384">
        <v>21.164099999999902</v>
      </c>
      <c r="AD3384">
        <v>-1.109723279147</v>
      </c>
      <c r="AE3384">
        <v>-4.3872</v>
      </c>
      <c r="AF3384">
        <v>3.95474851597838</v>
      </c>
      <c r="AG3384">
        <v>-1.109723279147</v>
      </c>
      <c r="AH3384">
        <v>21.1913508313487</v>
      </c>
      <c r="AI3384">
        <v>92.946873899597406</v>
      </c>
      <c r="AJ3384">
        <v>79.429011716872097</v>
      </c>
      <c r="AK3384">
        <v>21.585756221133799</v>
      </c>
      <c r="AL3384">
        <v>90.844231155421198</v>
      </c>
      <c r="AM3384">
        <v>93.338040268661899</v>
      </c>
      <c r="AN3384">
        <v>0.99999999004375795</v>
      </c>
    </row>
    <row r="3385" spans="1:40" x14ac:dyDescent="0.25">
      <c r="A3385" t="str">
        <f>"20190305135300987"</f>
        <v>20190305135300987</v>
      </c>
      <c r="B3385" t="str">
        <f>"1551765180982762"</f>
        <v>1551765180982762</v>
      </c>
      <c r="C3385" t="s">
        <v>40</v>
      </c>
      <c r="D3385">
        <v>4.613245</v>
      </c>
      <c r="E3385">
        <v>0.59166030000000003</v>
      </c>
      <c r="F3385" t="s">
        <v>56</v>
      </c>
      <c r="G3385">
        <v>-259.58539999999999</v>
      </c>
      <c r="H3385" s="1">
        <v>3.7545330000000001E-6</v>
      </c>
      <c r="I3385">
        <v>210.26009999999999</v>
      </c>
      <c r="J3385">
        <v>-280.79129999999998</v>
      </c>
      <c r="K3385">
        <v>1.1097300000000001</v>
      </c>
      <c r="L3385">
        <v>214.6619</v>
      </c>
      <c r="M3385">
        <v>0.99970130000000001</v>
      </c>
      <c r="N3385">
        <v>-1.500976E-2</v>
      </c>
      <c r="O3385">
        <v>-1.929554E-2</v>
      </c>
      <c r="P3385">
        <v>0.99882070000000001</v>
      </c>
      <c r="Q3385">
        <v>-2.945128E-2</v>
      </c>
      <c r="R3385">
        <v>3.860123E-2</v>
      </c>
      <c r="S3385">
        <v>3.0226139999999999</v>
      </c>
      <c r="T3385">
        <v>-0.15452399999999999</v>
      </c>
      <c r="U3385">
        <v>-0.61425779999999996</v>
      </c>
      <c r="V3385">
        <v>-5.7840809999999999E-2</v>
      </c>
      <c r="W3385">
        <v>-1.458277E-2</v>
      </c>
      <c r="X3385">
        <v>0.99821930000000003</v>
      </c>
      <c r="Y3385">
        <v>0.17991979999999999</v>
      </c>
      <c r="Z3385">
        <v>-5.2261119999999998E-3</v>
      </c>
      <c r="AA3385">
        <v>0.98366739999999997</v>
      </c>
      <c r="AB3385">
        <v>50</v>
      </c>
      <c r="AC3385">
        <v>21.2058999999999</v>
      </c>
      <c r="AD3385">
        <v>-1.1097262454669901</v>
      </c>
      <c r="AE3385">
        <v>-4.4017999999999997</v>
      </c>
      <c r="AF3385">
        <v>3.9813024088517102</v>
      </c>
      <c r="AG3385">
        <v>-1.1097262454669901</v>
      </c>
      <c r="AH3385">
        <v>21.2311551778742</v>
      </c>
      <c r="AI3385">
        <v>92.940888599874299</v>
      </c>
      <c r="AJ3385">
        <v>79.379143383355597</v>
      </c>
      <c r="AK3385">
        <v>21.6297066877381</v>
      </c>
      <c r="AL3385">
        <v>90.835560796336495</v>
      </c>
      <c r="AM3385">
        <v>93.316238012063906</v>
      </c>
      <c r="AN3385">
        <v>0.99999999368740899</v>
      </c>
    </row>
    <row r="3386" spans="1:40" x14ac:dyDescent="0.25">
      <c r="A3386" t="str">
        <f>"20190305135301003"</f>
        <v>20190305135301003</v>
      </c>
      <c r="B3386" t="str">
        <f>"1551765180993499"</f>
        <v>1551765180993499</v>
      </c>
      <c r="C3386" t="s">
        <v>40</v>
      </c>
      <c r="D3386">
        <v>4.585445</v>
      </c>
      <c r="E3386">
        <v>0.59176830000000002</v>
      </c>
      <c r="F3386" t="s">
        <v>56</v>
      </c>
      <c r="G3386">
        <v>-259.07600000000002</v>
      </c>
      <c r="H3386" s="1">
        <v>3.4846850000000001E-6</v>
      </c>
      <c r="I3386">
        <v>210.23089999999999</v>
      </c>
      <c r="J3386">
        <v>-280.4271</v>
      </c>
      <c r="K3386">
        <v>1.109728</v>
      </c>
      <c r="L3386">
        <v>214.6551</v>
      </c>
      <c r="M3386">
        <v>0.99970950000000003</v>
      </c>
      <c r="N3386">
        <v>-1.500748E-2</v>
      </c>
      <c r="O3386">
        <v>-1.8860709999999999E-2</v>
      </c>
      <c r="P3386">
        <v>0.99882539999999997</v>
      </c>
      <c r="Q3386">
        <v>-2.9294379999999998E-2</v>
      </c>
      <c r="R3386">
        <v>3.8597350000000002E-2</v>
      </c>
      <c r="S3386">
        <v>3.0228269999999999</v>
      </c>
      <c r="T3386">
        <v>-0.154477</v>
      </c>
      <c r="U3386">
        <v>-0.61680599999999997</v>
      </c>
      <c r="V3386">
        <v>-5.7403019999999999E-2</v>
      </c>
      <c r="W3386">
        <v>-1.442655E-2</v>
      </c>
      <c r="X3386">
        <v>0.99824679999999999</v>
      </c>
      <c r="Y3386">
        <v>0.18112819999999999</v>
      </c>
      <c r="Z3386">
        <v>-5.2795209999999997E-3</v>
      </c>
      <c r="AA3386">
        <v>0.98344529999999997</v>
      </c>
      <c r="AB3386">
        <v>50</v>
      </c>
      <c r="AC3386">
        <v>21.351099999999999</v>
      </c>
      <c r="AD3386">
        <v>-1.1097245153149999</v>
      </c>
      <c r="AE3386">
        <v>-4.4242000000000097</v>
      </c>
      <c r="AF3386">
        <v>4.0102831941914596</v>
      </c>
      <c r="AG3386">
        <v>-1.1097245153149999</v>
      </c>
      <c r="AH3386">
        <v>21.375387832365298</v>
      </c>
      <c r="AI3386">
        <v>92.921026780601494</v>
      </c>
      <c r="AJ3386">
        <v>79.374135480823199</v>
      </c>
      <c r="AK3386">
        <v>21.7766173861216</v>
      </c>
      <c r="AL3386">
        <v>90.826609141628595</v>
      </c>
      <c r="AM3386">
        <v>93.291102732638194</v>
      </c>
      <c r="AN3386">
        <v>0.99999995288012999</v>
      </c>
    </row>
    <row r="3387" spans="1:40" x14ac:dyDescent="0.25">
      <c r="A3387" t="str">
        <f>"20190305135301022"</f>
        <v>20190305135301022</v>
      </c>
      <c r="B3387" t="str">
        <f>"1551765181013017"</f>
        <v>1551765181013017</v>
      </c>
      <c r="C3387" t="s">
        <v>40</v>
      </c>
      <c r="D3387">
        <v>4.615907</v>
      </c>
      <c r="E3387">
        <v>0.59204100000000004</v>
      </c>
      <c r="F3387" t="s">
        <v>56</v>
      </c>
      <c r="G3387">
        <v>-258.70859999999999</v>
      </c>
      <c r="H3387" s="1">
        <v>3.2897489999999999E-6</v>
      </c>
      <c r="I3387">
        <v>210.21789999999999</v>
      </c>
      <c r="J3387">
        <v>-280.00920000000002</v>
      </c>
      <c r="K3387">
        <v>1.109715</v>
      </c>
      <c r="L3387">
        <v>214.64750000000001</v>
      </c>
      <c r="M3387">
        <v>0.99971869999999996</v>
      </c>
      <c r="N3387">
        <v>-1.500491E-2</v>
      </c>
      <c r="O3387">
        <v>-1.836426E-2</v>
      </c>
      <c r="P3387">
        <v>0.99884609999999996</v>
      </c>
      <c r="Q3387">
        <v>-2.8570809999999999E-2</v>
      </c>
      <c r="R3387">
        <v>3.8604489999999998E-2</v>
      </c>
      <c r="S3387">
        <v>3.0227970000000002</v>
      </c>
      <c r="T3387">
        <v>-0.15445210000000001</v>
      </c>
      <c r="U3387">
        <v>-0.61756899999999904</v>
      </c>
      <c r="V3387">
        <v>-5.6916649999999999E-2</v>
      </c>
      <c r="W3387">
        <v>-1.3703480000000001E-2</v>
      </c>
      <c r="X3387">
        <v>0.99828490000000003</v>
      </c>
      <c r="Y3387">
        <v>0.1818553</v>
      </c>
      <c r="Z3387">
        <v>-5.3202029999999999E-3</v>
      </c>
      <c r="AA3387">
        <v>0.98331089999999999</v>
      </c>
      <c r="AB3387">
        <v>50</v>
      </c>
      <c r="AC3387">
        <v>21.300599999999999</v>
      </c>
      <c r="AD3387">
        <v>-1.1097117102509999</v>
      </c>
      <c r="AE3387">
        <v>-4.4296000000000202</v>
      </c>
      <c r="AF3387">
        <v>4.0271617202031598</v>
      </c>
      <c r="AG3387">
        <v>-1.1097117102509999</v>
      </c>
      <c r="AH3387">
        <v>21.322887776167502</v>
      </c>
      <c r="AI3387">
        <v>92.927506501751793</v>
      </c>
      <c r="AJ3387">
        <v>79.304773176630206</v>
      </c>
      <c r="AK3387">
        <v>21.728208272095799</v>
      </c>
      <c r="AL3387">
        <v>90.785176131491994</v>
      </c>
      <c r="AM3387">
        <v>93.263153797044396</v>
      </c>
      <c r="AN3387">
        <v>1.00000001598967</v>
      </c>
    </row>
    <row r="3388" spans="1:40" x14ac:dyDescent="0.25">
      <c r="A3388" t="str">
        <f>"20190305135301043"</f>
        <v>20190305135301043</v>
      </c>
      <c r="B3388" t="str">
        <f>"1551765181033044"</f>
        <v>1551765181033044</v>
      </c>
      <c r="C3388" t="s">
        <v>40</v>
      </c>
      <c r="D3388">
        <v>4.6050769999999996</v>
      </c>
      <c r="E3388">
        <v>0.59227249999999998</v>
      </c>
      <c r="F3388" t="s">
        <v>56</v>
      </c>
      <c r="G3388">
        <v>-258.02589999999998</v>
      </c>
      <c r="H3388" s="1">
        <v>2.9298049999999998E-6</v>
      </c>
      <c r="I3388">
        <v>210.1413</v>
      </c>
      <c r="J3388">
        <v>-279.52249999999998</v>
      </c>
      <c r="K3388">
        <v>1.1097109999999999</v>
      </c>
      <c r="L3388">
        <v>214.63900000000001</v>
      </c>
      <c r="M3388">
        <v>0.99972919999999998</v>
      </c>
      <c r="N3388">
        <v>-1.5002049999999999E-2</v>
      </c>
      <c r="O3388">
        <v>-1.7791439999999999E-2</v>
      </c>
      <c r="P3388">
        <v>0.99884530000000005</v>
      </c>
      <c r="Q3388">
        <v>-2.8419409999999999E-2</v>
      </c>
      <c r="R3388">
        <v>3.8733579999999997E-2</v>
      </c>
      <c r="S3388">
        <v>3.0230410000000001</v>
      </c>
      <c r="T3388">
        <v>-0.1526026</v>
      </c>
      <c r="U3388">
        <v>-0.61967469999999902</v>
      </c>
      <c r="V3388">
        <v>-5.6474539999999997E-2</v>
      </c>
      <c r="W3388">
        <v>-1.3552959999999999E-2</v>
      </c>
      <c r="X3388">
        <v>0.99831210000000004</v>
      </c>
      <c r="Y3388">
        <v>0.183064</v>
      </c>
      <c r="Z3388">
        <v>-5.3349410000000002E-3</v>
      </c>
      <c r="AA3388">
        <v>0.98308649999999997</v>
      </c>
      <c r="AB3388">
        <v>50</v>
      </c>
      <c r="AC3388">
        <v>21.496600000000001</v>
      </c>
      <c r="AD3388">
        <v>-1.109708070195</v>
      </c>
      <c r="AE3388">
        <v>-4.4977</v>
      </c>
      <c r="AF3388">
        <v>4.10401142813578</v>
      </c>
      <c r="AG3388">
        <v>-1.109708070195</v>
      </c>
      <c r="AH3388">
        <v>21.5182876446009</v>
      </c>
      <c r="AI3388">
        <v>92.899974294721005</v>
      </c>
      <c r="AJ3388">
        <v>79.202110517681504</v>
      </c>
      <c r="AK3388">
        <v>21.934244116429198</v>
      </c>
      <c r="AL3388">
        <v>90.776551141393298</v>
      </c>
      <c r="AM3388">
        <v>93.237772790541797</v>
      </c>
      <c r="AN3388">
        <v>1.0000000526996899</v>
      </c>
    </row>
    <row r="3389" spans="1:40" x14ac:dyDescent="0.25">
      <c r="A3389" t="str">
        <f>"20190305135301067"</f>
        <v>20190305135301067</v>
      </c>
      <c r="B3389" t="str">
        <f>"1551765181063300"</f>
        <v>1551765181063300</v>
      </c>
      <c r="C3389" t="s">
        <v>40</v>
      </c>
      <c r="D3389">
        <v>4.640987</v>
      </c>
      <c r="E3389">
        <v>0.59269609999999995</v>
      </c>
      <c r="F3389" t="s">
        <v>56</v>
      </c>
      <c r="G3389">
        <v>-257.58429999999998</v>
      </c>
      <c r="H3389" s="1">
        <v>2.6953080000000001E-6</v>
      </c>
      <c r="I3389">
        <v>210.12970000000001</v>
      </c>
      <c r="J3389">
        <v>-279.0138</v>
      </c>
      <c r="K3389">
        <v>1.109699</v>
      </c>
      <c r="L3389">
        <v>214.63030000000001</v>
      </c>
      <c r="M3389">
        <v>0.99973959999999995</v>
      </c>
      <c r="N3389">
        <v>-1.499905E-2</v>
      </c>
      <c r="O3389">
        <v>-1.720064E-2</v>
      </c>
      <c r="P3389">
        <v>0.99882579999999999</v>
      </c>
      <c r="Q3389">
        <v>-2.8965640000000001E-2</v>
      </c>
      <c r="R3389">
        <v>3.8832739999999998E-2</v>
      </c>
      <c r="S3389">
        <v>3.023193</v>
      </c>
      <c r="T3389">
        <v>-0.15292359999999999</v>
      </c>
      <c r="U3389">
        <v>-0.62139889999999998</v>
      </c>
      <c r="V3389">
        <v>-5.5982839999999999E-2</v>
      </c>
      <c r="W3389">
        <v>-1.4100049999999999E-2</v>
      </c>
      <c r="X3389">
        <v>0.99833209999999994</v>
      </c>
      <c r="Y3389">
        <v>0.18417</v>
      </c>
      <c r="Z3389">
        <v>-5.3988269999999897E-3</v>
      </c>
      <c r="AA3389">
        <v>0.98287959999999996</v>
      </c>
      <c r="AB3389">
        <v>50</v>
      </c>
      <c r="AC3389">
        <v>21.429500000000001</v>
      </c>
      <c r="AD3389">
        <v>-1.1096963046920001</v>
      </c>
      <c r="AE3389">
        <v>-4.5005999999999897</v>
      </c>
      <c r="AF3389">
        <v>4.1207084109609298</v>
      </c>
      <c r="AG3389">
        <v>-1.1096963046920001</v>
      </c>
      <c r="AH3389">
        <v>21.448665144954699</v>
      </c>
      <c r="AI3389">
        <v>92.908591280692306</v>
      </c>
      <c r="AJ3389">
        <v>79.124867298595007</v>
      </c>
      <c r="AK3389">
        <v>21.869085490646501</v>
      </c>
      <c r="AL3389">
        <v>90.807900179232504</v>
      </c>
      <c r="AM3389">
        <v>93.209577899131205</v>
      </c>
      <c r="AN3389">
        <v>0.99999993583743696</v>
      </c>
    </row>
    <row r="3390" spans="1:40" x14ac:dyDescent="0.25">
      <c r="A3390" t="str">
        <f>"20190305135301090"</f>
        <v>20190305135301090</v>
      </c>
      <c r="B3390" t="str">
        <f>"1551765181082820"</f>
        <v>1551765181082820</v>
      </c>
      <c r="C3390" t="s">
        <v>40</v>
      </c>
      <c r="D3390">
        <v>4.6029450000000001</v>
      </c>
      <c r="E3390">
        <v>0.59282519999999905</v>
      </c>
      <c r="F3390" t="s">
        <v>56</v>
      </c>
      <c r="G3390">
        <v>-257.50220000000002</v>
      </c>
      <c r="H3390" s="1">
        <v>2.6490730000000001E-6</v>
      </c>
      <c r="I3390">
        <v>210.1885</v>
      </c>
      <c r="J3390">
        <v>-278.49090000000001</v>
      </c>
      <c r="K3390">
        <v>1.1096900000000001</v>
      </c>
      <c r="L3390">
        <v>214.6217</v>
      </c>
      <c r="M3390">
        <v>0.99974969999999996</v>
      </c>
      <c r="N3390">
        <v>-1.499588E-2</v>
      </c>
      <c r="O3390">
        <v>-1.6602599999999999E-2</v>
      </c>
      <c r="P3390">
        <v>0.99879799999999996</v>
      </c>
      <c r="Q3390">
        <v>-2.9532869999999999E-2</v>
      </c>
      <c r="R3390">
        <v>3.9118189999999997E-2</v>
      </c>
      <c r="S3390">
        <v>3.0232540000000001</v>
      </c>
      <c r="T3390">
        <v>-0.15595780000000001</v>
      </c>
      <c r="U3390">
        <v>-0.62425229999999998</v>
      </c>
      <c r="V3390">
        <v>-5.5669629999999998E-2</v>
      </c>
      <c r="W3390">
        <v>-1.466862E-2</v>
      </c>
      <c r="X3390">
        <v>0.99834149999999999</v>
      </c>
      <c r="Y3390">
        <v>0.1856312</v>
      </c>
      <c r="Z3390">
        <v>-5.5423819999999898E-3</v>
      </c>
      <c r="AA3390">
        <v>0.98260380000000003</v>
      </c>
      <c r="AB3390">
        <v>50</v>
      </c>
      <c r="AC3390">
        <v>20.988699999999898</v>
      </c>
      <c r="AD3390">
        <v>-1.109687350927</v>
      </c>
      <c r="AE3390">
        <v>-4.4331999999999896</v>
      </c>
      <c r="AF3390">
        <v>4.0731830910567597</v>
      </c>
      <c r="AG3390">
        <v>-1.109687350927</v>
      </c>
      <c r="AH3390">
        <v>21.003214223482399</v>
      </c>
      <c r="AI3390">
        <v>92.969146012763005</v>
      </c>
      <c r="AJ3390">
        <v>79.024785318121104</v>
      </c>
      <c r="AK3390">
        <v>21.4232871947228</v>
      </c>
      <c r="AL3390">
        <v>90.840480148678097</v>
      </c>
      <c r="AM3390">
        <v>93.191628351677295</v>
      </c>
      <c r="AN3390">
        <v>1.0000000133696401</v>
      </c>
    </row>
    <row r="3391" spans="1:40" x14ac:dyDescent="0.25">
      <c r="A3391" t="str">
        <f>"20190305135301111"</f>
        <v>20190305135301111</v>
      </c>
      <c r="B3391" t="str">
        <f>"1551765181103316"</f>
        <v>1551765181103316</v>
      </c>
      <c r="C3391" t="s">
        <v>40</v>
      </c>
      <c r="D3391">
        <v>4.5215730000000001</v>
      </c>
      <c r="E3391">
        <v>0.5697238</v>
      </c>
      <c r="F3391" t="s">
        <v>56</v>
      </c>
      <c r="G3391">
        <v>-257.16930000000002</v>
      </c>
      <c r="H3391" s="1">
        <v>2.470589E-6</v>
      </c>
      <c r="I3391">
        <v>210.2182</v>
      </c>
      <c r="J3391">
        <v>-278.00850000000003</v>
      </c>
      <c r="K3391">
        <v>1.1096870000000001</v>
      </c>
      <c r="L3391">
        <v>214.61410000000001</v>
      </c>
      <c r="M3391">
        <v>0.9997587</v>
      </c>
      <c r="N3391">
        <v>-1.499268E-2</v>
      </c>
      <c r="O3391">
        <v>-1.6058550000000001E-2</v>
      </c>
      <c r="P3391">
        <v>0.99878710000000004</v>
      </c>
      <c r="Q3391">
        <v>-2.953014E-2</v>
      </c>
      <c r="R3391">
        <v>3.940039E-2</v>
      </c>
      <c r="S3391">
        <v>3.0234070000000002</v>
      </c>
      <c r="T3391">
        <v>-0.15735389999999999</v>
      </c>
      <c r="U3391">
        <v>-0.62442019999999998</v>
      </c>
      <c r="V3391">
        <v>-5.540875E-2</v>
      </c>
      <c r="W3391">
        <v>-1.466726E-2</v>
      </c>
      <c r="X3391">
        <v>0.99835600000000002</v>
      </c>
      <c r="Y3391">
        <v>0.18620249999999999</v>
      </c>
      <c r="Z3391">
        <v>-5.615526E-3</v>
      </c>
      <c r="AA3391">
        <v>0.98249540000000002</v>
      </c>
      <c r="AB3391">
        <v>50</v>
      </c>
      <c r="AC3391">
        <v>20.839200000000002</v>
      </c>
      <c r="AD3391">
        <v>-1.109684529411</v>
      </c>
      <c r="AE3391">
        <v>-4.3959000000000099</v>
      </c>
      <c r="AF3391">
        <v>4.0496543075641496</v>
      </c>
      <c r="AG3391">
        <v>-1.109684529411</v>
      </c>
      <c r="AH3391">
        <v>20.850508065145299</v>
      </c>
      <c r="AI3391">
        <v>92.9906817179168</v>
      </c>
      <c r="AJ3391">
        <v>79.008669154999197</v>
      </c>
      <c r="AK3391">
        <v>21.269104032381701</v>
      </c>
      <c r="AL3391">
        <v>90.840402245733003</v>
      </c>
      <c r="AM3391">
        <v>93.176656347680705</v>
      </c>
      <c r="AN3391">
        <v>0.99999998041423399</v>
      </c>
    </row>
    <row r="3392" spans="1:40" x14ac:dyDescent="0.25">
      <c r="A3392" t="str">
        <f>"20190305135301132"</f>
        <v>20190305135301132</v>
      </c>
      <c r="B3392" t="str">
        <f>"1551765181122837"</f>
        <v>1551765181122837</v>
      </c>
      <c r="C3392" t="s">
        <v>40</v>
      </c>
      <c r="D3392">
        <v>4.5132399999999997</v>
      </c>
      <c r="E3392">
        <v>0.56804270000000001</v>
      </c>
      <c r="F3392" t="s">
        <v>56</v>
      </c>
      <c r="G3392">
        <v>-237.5018</v>
      </c>
      <c r="H3392">
        <v>8.0000979999999999E-2</v>
      </c>
      <c r="I3392">
        <v>208.74619999999999</v>
      </c>
      <c r="J3392">
        <v>-277.53120000000001</v>
      </c>
      <c r="K3392">
        <v>1.109683</v>
      </c>
      <c r="L3392">
        <v>214.60679999999999</v>
      </c>
      <c r="M3392">
        <v>0.99976719999999997</v>
      </c>
      <c r="N3392">
        <v>-1.498941E-2</v>
      </c>
      <c r="O3392">
        <v>-1.55275E-2</v>
      </c>
      <c r="P3392">
        <v>0.99880069999999999</v>
      </c>
      <c r="Q3392">
        <v>-2.9105490000000001E-2</v>
      </c>
      <c r="R3392">
        <v>3.9373760000000001E-2</v>
      </c>
      <c r="S3392">
        <v>3.0186459999999999</v>
      </c>
      <c r="T3392">
        <v>-7.6734300000000005E-2</v>
      </c>
      <c r="U3392">
        <v>-0.43728640000000002</v>
      </c>
      <c r="V3392">
        <v>-5.4853529999999998E-2</v>
      </c>
      <c r="W3392">
        <v>-1.424308E-2</v>
      </c>
      <c r="X3392">
        <v>0.99839279999999997</v>
      </c>
      <c r="Y3392">
        <v>0.12791520000000001</v>
      </c>
      <c r="Z3392">
        <v>-2.4202059999999998E-3</v>
      </c>
      <c r="AA3392">
        <v>0.9917821</v>
      </c>
      <c r="AB3392">
        <v>50</v>
      </c>
      <c r="AC3392">
        <v>40.029400000000003</v>
      </c>
      <c r="AD3392">
        <v>-1.0296820200000001</v>
      </c>
      <c r="AE3392">
        <v>-5.8605999999999998</v>
      </c>
      <c r="AF3392">
        <v>5.2348758975755496</v>
      </c>
      <c r="AG3392">
        <v>-1.0296820200000001</v>
      </c>
      <c r="AH3392">
        <v>40.089613862160498</v>
      </c>
      <c r="AI3392">
        <v>91.4589105227804</v>
      </c>
      <c r="AJ3392">
        <v>82.560447393689898</v>
      </c>
      <c r="AK3392">
        <v>40.443062573727801</v>
      </c>
      <c r="AL3392">
        <v>90.816095982851095</v>
      </c>
      <c r="AM3392">
        <v>93.144773388639294</v>
      </c>
      <c r="AN3392">
        <v>0.99999997908659299</v>
      </c>
    </row>
    <row r="3393" spans="1:40" x14ac:dyDescent="0.25">
      <c r="A3393" t="str">
        <f>"20190305135301156"</f>
        <v>20190305135301156</v>
      </c>
      <c r="B3393" t="str">
        <f>"1551765181143332"</f>
        <v>1551765181143332</v>
      </c>
      <c r="C3393" t="s">
        <v>40</v>
      </c>
      <c r="D3393">
        <v>4.4822089999999903</v>
      </c>
      <c r="E3393">
        <v>0.56845299999999999</v>
      </c>
      <c r="F3393" t="s">
        <v>56</v>
      </c>
      <c r="G3393">
        <v>-230.41139999999999</v>
      </c>
      <c r="H3393">
        <v>8.0001630000000004E-2</v>
      </c>
      <c r="I3393">
        <v>207.99279999999999</v>
      </c>
      <c r="J3393">
        <v>-277.03070000000002</v>
      </c>
      <c r="K3393">
        <v>1.1096820000000001</v>
      </c>
      <c r="L3393">
        <v>214.5994</v>
      </c>
      <c r="M3393">
        <v>0.99977559999999999</v>
      </c>
      <c r="N3393">
        <v>-1.49861E-2</v>
      </c>
      <c r="O3393">
        <v>-1.497882E-2</v>
      </c>
      <c r="P3393">
        <v>0.99882249999999995</v>
      </c>
      <c r="Q3393">
        <v>-2.8354310000000001E-2</v>
      </c>
      <c r="R3393">
        <v>3.9367060000000002E-2</v>
      </c>
      <c r="S3393">
        <v>3.0183719999999998</v>
      </c>
      <c r="T3393">
        <v>-6.5958740000000002E-2</v>
      </c>
      <c r="U3393">
        <v>-0.42367549999999998</v>
      </c>
      <c r="V3393">
        <v>-5.4300889999999997E-2</v>
      </c>
      <c r="W3393">
        <v>-1.3492219999999999E-2</v>
      </c>
      <c r="X3393">
        <v>0.99843349999999997</v>
      </c>
      <c r="Y3393">
        <v>0.1241033</v>
      </c>
      <c r="Z3393">
        <v>-2.181746E-3</v>
      </c>
      <c r="AA3393">
        <v>0.99226689999999995</v>
      </c>
      <c r="AB3393">
        <v>50</v>
      </c>
      <c r="AC3393">
        <v>46.619300000000003</v>
      </c>
      <c r="AD3393">
        <v>-1.0296803699999999</v>
      </c>
      <c r="AE3393">
        <v>-6.60660000000001</v>
      </c>
      <c r="AF3393">
        <v>5.90465439629192</v>
      </c>
      <c r="AG3393">
        <v>-1.0296803699999999</v>
      </c>
      <c r="AH3393">
        <v>46.690709882527202</v>
      </c>
      <c r="AI3393">
        <v>91.253371926990795</v>
      </c>
      <c r="AJ3393">
        <v>82.792455798230193</v>
      </c>
      <c r="AK3393">
        <v>47.0738523443571</v>
      </c>
      <c r="AL3393">
        <v>90.773070687289504</v>
      </c>
      <c r="AM3393">
        <v>93.113026313469405</v>
      </c>
      <c r="AN3393">
        <v>1.0000000402887801</v>
      </c>
    </row>
    <row r="3394" spans="1:40" x14ac:dyDescent="0.25">
      <c r="A3394" t="str">
        <f>"20190305135301177"</f>
        <v>20190305135301177</v>
      </c>
      <c r="B3394" t="str">
        <f>"1551765181173588"</f>
        <v>1551765181173588</v>
      </c>
      <c r="C3394" t="s">
        <v>40</v>
      </c>
      <c r="D3394">
        <v>4.4970530000000002</v>
      </c>
      <c r="E3394">
        <v>0.56916160000000005</v>
      </c>
      <c r="F3394" t="s">
        <v>56</v>
      </c>
      <c r="G3394">
        <v>-221.19319999999999</v>
      </c>
      <c r="H3394">
        <v>8.0001450000000002E-2</v>
      </c>
      <c r="I3394">
        <v>206.70509999999999</v>
      </c>
      <c r="J3394">
        <v>-276.54259999999999</v>
      </c>
      <c r="K3394">
        <v>1.1096820000000001</v>
      </c>
      <c r="L3394">
        <v>214.5924</v>
      </c>
      <c r="M3394">
        <v>0.99978330000000004</v>
      </c>
      <c r="N3394">
        <v>-1.4982880000000001E-2</v>
      </c>
      <c r="O3394">
        <v>-1.44515999999999E-2</v>
      </c>
      <c r="P3394">
        <v>0.99885570000000001</v>
      </c>
      <c r="Q3394">
        <v>-2.798111E-2</v>
      </c>
      <c r="R3394">
        <v>3.8782810000000001E-2</v>
      </c>
      <c r="S3394">
        <v>3.0187379999999999</v>
      </c>
      <c r="T3394">
        <v>-5.5667519999999998E-2</v>
      </c>
      <c r="U3394">
        <v>-0.42678830000000001</v>
      </c>
      <c r="V3394">
        <v>-5.3191830000000002E-2</v>
      </c>
      <c r="W3394">
        <v>-1.311793E-2</v>
      </c>
      <c r="X3394">
        <v>0.99849810000000006</v>
      </c>
      <c r="Y3394">
        <v>0.12562390000000001</v>
      </c>
      <c r="Z3394">
        <v>-2.0488659999999999E-3</v>
      </c>
      <c r="AA3394">
        <v>0.99207579999999995</v>
      </c>
      <c r="AB3394">
        <v>50</v>
      </c>
      <c r="AC3394">
        <v>55.349400000000003</v>
      </c>
      <c r="AD3394">
        <v>-1.0296805499999999</v>
      </c>
      <c r="AE3394">
        <v>-7.8872999999999998</v>
      </c>
      <c r="AF3394">
        <v>7.0840960670559303</v>
      </c>
      <c r="AG3394">
        <v>-1.0296805499999999</v>
      </c>
      <c r="AH3394">
        <v>55.438810944041997</v>
      </c>
      <c r="AI3394">
        <v>91.0554680590174</v>
      </c>
      <c r="AJ3394">
        <v>82.718079001162593</v>
      </c>
      <c r="AK3394">
        <v>55.899073498686498</v>
      </c>
      <c r="AL3394">
        <v>90.751623617688594</v>
      </c>
      <c r="AM3394">
        <v>93.049369129703805</v>
      </c>
      <c r="AN3394">
        <v>0.99999995328492097</v>
      </c>
    </row>
    <row r="3395" spans="1:40" x14ac:dyDescent="0.25">
      <c r="A3395" t="str">
        <f>"20190305135301199"</f>
        <v>20190305135301199</v>
      </c>
      <c r="B3395" t="str">
        <f>"1551765181193108"</f>
        <v>1551765181193108</v>
      </c>
      <c r="C3395" t="s">
        <v>40</v>
      </c>
      <c r="D3395">
        <v>4.6123050000000001</v>
      </c>
      <c r="E3395">
        <v>0.56900850000000003</v>
      </c>
      <c r="F3395" t="s">
        <v>47</v>
      </c>
      <c r="G3395">
        <v>-196.72149999999999</v>
      </c>
      <c r="H3395">
        <v>-0.05</v>
      </c>
      <c r="I3395">
        <v>203.12450000000001</v>
      </c>
      <c r="J3395">
        <v>-276.02699999999999</v>
      </c>
      <c r="K3395">
        <v>1.109685</v>
      </c>
      <c r="L3395">
        <v>214.58529999999999</v>
      </c>
      <c r="M3395">
        <v>0.99979119999999999</v>
      </c>
      <c r="N3395">
        <v>-1.497949E-2</v>
      </c>
      <c r="O3395">
        <v>-1.390198E-2</v>
      </c>
      <c r="P3395">
        <v>0.99888489999999996</v>
      </c>
      <c r="Q3395">
        <v>-2.8127699999999999E-2</v>
      </c>
      <c r="R3395">
        <v>3.7921339999999998E-2</v>
      </c>
      <c r="S3395">
        <v>3.0190429999999999</v>
      </c>
      <c r="T3395">
        <v>-4.386222E-2</v>
      </c>
      <c r="U3395">
        <v>-0.43374629999999997</v>
      </c>
      <c r="V3395">
        <v>-5.178236E-2</v>
      </c>
      <c r="W3395">
        <v>-1.326302E-2</v>
      </c>
      <c r="X3395">
        <v>0.99857030000000002</v>
      </c>
      <c r="Y3395">
        <v>0.12840670000000001</v>
      </c>
      <c r="Z3395">
        <v>-1.9011410000000001E-3</v>
      </c>
      <c r="AA3395">
        <v>0.99171980000000004</v>
      </c>
      <c r="AB3395">
        <v>50</v>
      </c>
      <c r="AC3395">
        <v>79.305499999999995</v>
      </c>
      <c r="AD3395">
        <v>-1.1596850000000001</v>
      </c>
      <c r="AE3395">
        <v>-11.4607999999999</v>
      </c>
      <c r="AF3395">
        <v>10.3548961598483</v>
      </c>
      <c r="AG3395">
        <v>-1.1596850000000001</v>
      </c>
      <c r="AH3395">
        <v>79.440540649312595</v>
      </c>
      <c r="AI3395">
        <v>90.829338244147806</v>
      </c>
      <c r="AJ3395">
        <v>82.573494962598502</v>
      </c>
      <c r="AK3395">
        <v>80.120960069357395</v>
      </c>
      <c r="AL3395">
        <v>90.759937363984406</v>
      </c>
      <c r="AM3395">
        <v>92.968499591367603</v>
      </c>
      <c r="AN3395">
        <v>0.99999998227438902</v>
      </c>
    </row>
    <row r="3396" spans="1:40" x14ac:dyDescent="0.25">
      <c r="A3396" t="str">
        <f>"20190305135301221"</f>
        <v>20190305135301221</v>
      </c>
      <c r="B3396" t="str">
        <f>"1551765181213608"</f>
        <v>1551765181213608</v>
      </c>
      <c r="C3396" t="s">
        <v>40</v>
      </c>
      <c r="D3396">
        <v>4.505007</v>
      </c>
      <c r="E3396">
        <v>0.56935029999999998</v>
      </c>
      <c r="F3396" t="s">
        <v>55</v>
      </c>
      <c r="G3396">
        <v>-207.8417</v>
      </c>
      <c r="H3396">
        <v>8.0000920000000003E-2</v>
      </c>
      <c r="I3396">
        <v>204.7543</v>
      </c>
      <c r="J3396">
        <v>-275.54759999999999</v>
      </c>
      <c r="K3396">
        <v>1.1096839999999999</v>
      </c>
      <c r="L3396">
        <v>214.57900000000001</v>
      </c>
      <c r="M3396">
        <v>0.99979819999999997</v>
      </c>
      <c r="N3396">
        <v>-1.4976339999999999E-2</v>
      </c>
      <c r="O3396">
        <v>-1.339633E-2</v>
      </c>
      <c r="P3396">
        <v>0.99894450000000001</v>
      </c>
      <c r="Q3396">
        <v>-2.7829779999999998E-2</v>
      </c>
      <c r="R3396">
        <v>3.6548419999999998E-2</v>
      </c>
      <c r="S3396">
        <v>3.0186160000000002</v>
      </c>
      <c r="T3396">
        <v>-4.5584920000000001E-2</v>
      </c>
      <c r="U3396">
        <v>-0.43522640000000001</v>
      </c>
      <c r="V3396">
        <v>-4.990642E-2</v>
      </c>
      <c r="W3396">
        <v>-1.2962309999999999E-2</v>
      </c>
      <c r="X3396">
        <v>0.99866980000000005</v>
      </c>
      <c r="Y3396">
        <v>0.12940260000000001</v>
      </c>
      <c r="Z3396">
        <v>-1.9445910000000001E-3</v>
      </c>
      <c r="AA3396">
        <v>0.99159030000000004</v>
      </c>
      <c r="AB3396">
        <v>50</v>
      </c>
      <c r="AC3396">
        <v>67.7058999999999</v>
      </c>
      <c r="AD3396">
        <v>-1.0296830800000001</v>
      </c>
      <c r="AE3396">
        <v>-9.8247</v>
      </c>
      <c r="AF3396">
        <v>8.9146866138459</v>
      </c>
      <c r="AG3396">
        <v>-1.0296830800000001</v>
      </c>
      <c r="AH3396">
        <v>67.816091108724805</v>
      </c>
      <c r="AI3396">
        <v>90.862462803284899</v>
      </c>
      <c r="AJ3396">
        <v>82.511187758291896</v>
      </c>
      <c r="AK3396">
        <v>68.407266411801501</v>
      </c>
      <c r="AL3396">
        <v>90.742706439694999</v>
      </c>
      <c r="AM3396">
        <v>92.860856034356502</v>
      </c>
      <c r="AN3396">
        <v>1.00000002083489</v>
      </c>
    </row>
    <row r="3397" spans="1:40" x14ac:dyDescent="0.25">
      <c r="A3397" t="str">
        <f>"20190305135301238"</f>
        <v>20190305135301238</v>
      </c>
      <c r="B3397" t="str">
        <f>"1551765181232657"</f>
        <v>1551765181232657</v>
      </c>
      <c r="C3397" t="s">
        <v>40</v>
      </c>
      <c r="D3397">
        <v>4.5304890000000002</v>
      </c>
      <c r="E3397">
        <v>0.56943469999999996</v>
      </c>
      <c r="F3397" t="s">
        <v>55</v>
      </c>
      <c r="G3397">
        <v>-203.99610000000001</v>
      </c>
      <c r="H3397">
        <v>8.0001409999999995E-2</v>
      </c>
      <c r="I3397">
        <v>204.09559999999999</v>
      </c>
      <c r="J3397">
        <v>-275.185</v>
      </c>
      <c r="K3397">
        <v>1.1096809999999999</v>
      </c>
      <c r="L3397">
        <v>214.5744</v>
      </c>
      <c r="M3397">
        <v>0.9998032</v>
      </c>
      <c r="N3397">
        <v>-1.497393E-2</v>
      </c>
      <c r="O3397">
        <v>-1.3016389999999999E-2</v>
      </c>
      <c r="P3397">
        <v>0.99896309999999999</v>
      </c>
      <c r="Q3397">
        <v>-2.750698E-2</v>
      </c>
      <c r="R3397">
        <v>3.627913E-2</v>
      </c>
      <c r="S3397">
        <v>3.0181269999999998</v>
      </c>
      <c r="T3397">
        <v>-4.3433190000000003E-2</v>
      </c>
      <c r="U3397">
        <v>-0.44219969999999997</v>
      </c>
      <c r="V3397">
        <v>-4.9258490000000002E-2</v>
      </c>
      <c r="W3397">
        <v>-1.263947E-2</v>
      </c>
      <c r="X3397">
        <v>0.99870610000000004</v>
      </c>
      <c r="Y3397">
        <v>0.13204669999999999</v>
      </c>
      <c r="Z3397">
        <v>-1.9467410000000001E-3</v>
      </c>
      <c r="AA3397">
        <v>0.99124159999999994</v>
      </c>
      <c r="AB3397">
        <v>50</v>
      </c>
      <c r="AC3397">
        <v>71.188899999999904</v>
      </c>
      <c r="AD3397">
        <v>-1.02967959</v>
      </c>
      <c r="AE3397">
        <v>-10.4788</v>
      </c>
      <c r="AF3397">
        <v>9.5492303092262905</v>
      </c>
      <c r="AG3397">
        <v>-1.02967959</v>
      </c>
      <c r="AH3397">
        <v>71.304677996464093</v>
      </c>
      <c r="AI3397">
        <v>90.820006024368396</v>
      </c>
      <c r="AJ3397">
        <v>82.372247664861106</v>
      </c>
      <c r="AK3397">
        <v>71.948628504900199</v>
      </c>
      <c r="AL3397">
        <v>90.724207559350305</v>
      </c>
      <c r="AM3397">
        <v>92.8236718692511</v>
      </c>
      <c r="AN3397">
        <v>1.0000000146080801</v>
      </c>
    </row>
    <row r="3398" spans="1:40" x14ac:dyDescent="0.25">
      <c r="A3398" t="str">
        <f>"20190305135301254"</f>
        <v>20190305135301254</v>
      </c>
      <c r="B3398" t="str">
        <f>"1551765181243392"</f>
        <v>1551765181243392</v>
      </c>
      <c r="C3398" t="s">
        <v>40</v>
      </c>
      <c r="D3398">
        <v>4.4699730000000004</v>
      </c>
      <c r="E3398">
        <v>0.56955990000000001</v>
      </c>
      <c r="F3398" t="s">
        <v>55</v>
      </c>
      <c r="G3398">
        <v>-191.5592</v>
      </c>
      <c r="H3398" s="1">
        <v>6.5748059999999999E-6</v>
      </c>
      <c r="I3398">
        <v>202.28479999999999</v>
      </c>
      <c r="J3398">
        <v>-274.83089999999999</v>
      </c>
      <c r="K3398">
        <v>1.1096839999999999</v>
      </c>
      <c r="L3398">
        <v>214.57</v>
      </c>
      <c r="M3398">
        <v>0.99980789999999997</v>
      </c>
      <c r="N3398">
        <v>-1.497159E-2</v>
      </c>
      <c r="O3398">
        <v>-1.2646579999999999E-2</v>
      </c>
      <c r="P3398">
        <v>0.99900929999999999</v>
      </c>
      <c r="Q3398">
        <v>-2.703258E-2</v>
      </c>
      <c r="R3398">
        <v>3.5353219999999998E-2</v>
      </c>
      <c r="S3398">
        <v>3.0181269999999998</v>
      </c>
      <c r="T3398">
        <v>-4.0049080000000001E-2</v>
      </c>
      <c r="U3398">
        <v>-0.44354250000000001</v>
      </c>
      <c r="V3398">
        <v>-4.7964850000000003E-2</v>
      </c>
      <c r="W3398">
        <v>-1.2163439999999999E-2</v>
      </c>
      <c r="X3398">
        <v>0.99877490000000002</v>
      </c>
      <c r="Y3398">
        <v>0.13284789999999999</v>
      </c>
      <c r="Z3398">
        <v>-1.8981200000000001E-3</v>
      </c>
      <c r="AA3398">
        <v>0.99113459999999998</v>
      </c>
      <c r="AB3398">
        <v>50</v>
      </c>
      <c r="AC3398">
        <v>83.271699999999896</v>
      </c>
      <c r="AD3398">
        <v>-1.109677425194</v>
      </c>
      <c r="AE3398">
        <v>-12.2852</v>
      </c>
      <c r="AF3398">
        <v>11.229045417529701</v>
      </c>
      <c r="AG3398">
        <v>-1.109677425194</v>
      </c>
      <c r="AH3398">
        <v>83.405926485210898</v>
      </c>
      <c r="AI3398">
        <v>90.755434181454504</v>
      </c>
      <c r="AJ3398">
        <v>82.332302038004997</v>
      </c>
      <c r="AK3398">
        <v>84.165737790584004</v>
      </c>
      <c r="AL3398">
        <v>90.696931005023501</v>
      </c>
      <c r="AM3398">
        <v>92.7494420418614</v>
      </c>
      <c r="AN3398">
        <v>0.99999993848908098</v>
      </c>
    </row>
    <row r="3399" spans="1:40" x14ac:dyDescent="0.25">
      <c r="A3399" t="str">
        <f>"20190305135301282"</f>
        <v>20190305135301282</v>
      </c>
      <c r="B3399" t="str">
        <f>"1551765181272673"</f>
        <v>1551765181272673</v>
      </c>
      <c r="C3399" t="s">
        <v>40</v>
      </c>
      <c r="D3399">
        <v>4.561407</v>
      </c>
      <c r="E3399">
        <v>0.56951419999999997</v>
      </c>
      <c r="F3399" t="s">
        <v>55</v>
      </c>
      <c r="G3399">
        <v>-179.95779999999999</v>
      </c>
      <c r="H3399">
        <v>1.400801E-2</v>
      </c>
      <c r="I3399">
        <v>200.5087</v>
      </c>
      <c r="J3399">
        <v>-274.21519999999998</v>
      </c>
      <c r="K3399">
        <v>1.109674</v>
      </c>
      <c r="L3399">
        <v>214.56270000000001</v>
      </c>
      <c r="M3399">
        <v>0.99981600000000004</v>
      </c>
      <c r="N3399">
        <v>-1.496749E-2</v>
      </c>
      <c r="O3399">
        <v>-1.200621E-2</v>
      </c>
      <c r="P3399">
        <v>0.99901709999999999</v>
      </c>
      <c r="Q3399">
        <v>-2.651454E-2</v>
      </c>
      <c r="R3399">
        <v>3.5525679999999997E-2</v>
      </c>
      <c r="S3399">
        <v>3.0178530000000001</v>
      </c>
      <c r="T3399">
        <v>-3.485274E-2</v>
      </c>
      <c r="U3399">
        <v>-0.44728089999999998</v>
      </c>
      <c r="V3399">
        <v>-4.7499359999999997E-2</v>
      </c>
      <c r="W3399">
        <v>-1.16472E-2</v>
      </c>
      <c r="X3399">
        <v>0.99880340000000001</v>
      </c>
      <c r="Y3399">
        <v>0.1347014</v>
      </c>
      <c r="Z3399">
        <v>-1.8281669999999999E-3</v>
      </c>
      <c r="AA3399">
        <v>0.99088449999999995</v>
      </c>
      <c r="AB3399">
        <v>50</v>
      </c>
      <c r="AC3399">
        <v>94.257400000000004</v>
      </c>
      <c r="AD3399">
        <v>-1.0956659900000001</v>
      </c>
      <c r="AE3399">
        <v>-14.054</v>
      </c>
      <c r="AF3399">
        <v>12.9194782597484</v>
      </c>
      <c r="AG3399">
        <v>-1.0956659900000001</v>
      </c>
      <c r="AH3399">
        <v>94.406879835635195</v>
      </c>
      <c r="AI3399">
        <v>90.658793019181005</v>
      </c>
      <c r="AJ3399">
        <v>82.207539409978693</v>
      </c>
      <c r="AK3399">
        <v>95.293086647278997</v>
      </c>
      <c r="AL3399">
        <v>90.667350466080904</v>
      </c>
      <c r="AM3399">
        <v>92.722721989837396</v>
      </c>
      <c r="AN3399">
        <v>1.0000000391599</v>
      </c>
    </row>
    <row r="3400" spans="1:40" x14ac:dyDescent="0.25">
      <c r="A3400" t="str">
        <f>"20190305135301300"</f>
        <v>20190305135301300</v>
      </c>
      <c r="B3400" t="str">
        <f>"1551765181293168"</f>
        <v>1551765181293168</v>
      </c>
      <c r="C3400" t="s">
        <v>40</v>
      </c>
      <c r="D3400">
        <v>4.5366650000000002</v>
      </c>
      <c r="E3400">
        <v>0.56955359999999999</v>
      </c>
      <c r="F3400" t="s">
        <v>55</v>
      </c>
      <c r="G3400">
        <v>-179.9299</v>
      </c>
      <c r="H3400">
        <v>7.7832029999999996E-2</v>
      </c>
      <c r="I3400">
        <v>200.6155</v>
      </c>
      <c r="J3400">
        <v>-273.79379999999998</v>
      </c>
      <c r="K3400">
        <v>1.109667</v>
      </c>
      <c r="L3400">
        <v>214.55789999999999</v>
      </c>
      <c r="M3400">
        <v>0.99982119999999997</v>
      </c>
      <c r="N3400">
        <v>-1.4964710000000001E-2</v>
      </c>
      <c r="O3400">
        <v>-1.156916E-2</v>
      </c>
      <c r="P3400">
        <v>0.99900599999999995</v>
      </c>
      <c r="Q3400">
        <v>-2.609098E-2</v>
      </c>
      <c r="R3400">
        <v>3.6143769999999999E-2</v>
      </c>
      <c r="S3400">
        <v>3.0179140000000002</v>
      </c>
      <c r="T3400">
        <v>-3.3027529999999999E-2</v>
      </c>
      <c r="U3400">
        <v>-0.4464264</v>
      </c>
      <c r="V3400">
        <v>-4.768153E-2</v>
      </c>
      <c r="W3400">
        <v>-1.1226160000000001E-2</v>
      </c>
      <c r="X3400">
        <v>0.99879949999999995</v>
      </c>
      <c r="Y3400">
        <v>0.1348586</v>
      </c>
      <c r="Z3400">
        <v>-1.7949179999999999E-3</v>
      </c>
      <c r="AA3400">
        <v>0.99086320000000006</v>
      </c>
      <c r="AB3400">
        <v>50</v>
      </c>
      <c r="AC3400">
        <v>93.863899999999902</v>
      </c>
      <c r="AD3400">
        <v>-1.03183497</v>
      </c>
      <c r="AE3400">
        <v>-13.9423999999999</v>
      </c>
      <c r="AF3400">
        <v>12.8538989473954</v>
      </c>
      <c r="AG3400">
        <v>-1.03183497</v>
      </c>
      <c r="AH3400">
        <v>94.007821661805806</v>
      </c>
      <c r="AI3400">
        <v>90.623059509896706</v>
      </c>
      <c r="AJ3400">
        <v>82.214101770062996</v>
      </c>
      <c r="AK3400">
        <v>94.888133795290997</v>
      </c>
      <c r="AL3400">
        <v>90.643225100438301</v>
      </c>
      <c r="AM3400">
        <v>92.733159051567299</v>
      </c>
      <c r="AN3400">
        <v>0.99999999808586804</v>
      </c>
    </row>
    <row r="3401" spans="1:40" x14ac:dyDescent="0.25">
      <c r="A3401" t="str">
        <f>"20190305135301322"</f>
        <v>20190305135301322</v>
      </c>
      <c r="B3401" t="str">
        <f>"1551765181312689"</f>
        <v>1551765181312689</v>
      </c>
      <c r="C3401" t="s">
        <v>40</v>
      </c>
      <c r="D3401">
        <v>4.5765469999999997</v>
      </c>
      <c r="E3401">
        <v>0.56973989999999997</v>
      </c>
      <c r="F3401" t="s">
        <v>76</v>
      </c>
      <c r="G3401">
        <v>-168.41299999999899</v>
      </c>
      <c r="H3401">
        <v>2.1207810000000001E-2</v>
      </c>
      <c r="I3401">
        <v>199.02510000000001</v>
      </c>
      <c r="J3401">
        <v>-273.31599999999997</v>
      </c>
      <c r="K3401">
        <v>1.1096539999999999</v>
      </c>
      <c r="L3401">
        <v>214.55269999999999</v>
      </c>
      <c r="M3401">
        <v>0.99982680000000002</v>
      </c>
      <c r="N3401">
        <v>-1.496142E-2</v>
      </c>
      <c r="O3401">
        <v>-1.107441E-2</v>
      </c>
      <c r="P3401">
        <v>0.99895319999999999</v>
      </c>
      <c r="Q3401">
        <v>-2.6227879999999999E-2</v>
      </c>
      <c r="R3401">
        <v>3.7484870000000003E-2</v>
      </c>
      <c r="S3401">
        <v>3.0182799999999999</v>
      </c>
      <c r="T3401">
        <v>-3.1174299999999999E-2</v>
      </c>
      <c r="U3401">
        <v>-0.44488529999999998</v>
      </c>
      <c r="V3401">
        <v>-4.8527750000000001E-2</v>
      </c>
      <c r="W3401">
        <v>-1.1367830000000001E-2</v>
      </c>
      <c r="X3401">
        <v>0.99875709999999995</v>
      </c>
      <c r="Y3401">
        <v>0.13483779999999901</v>
      </c>
      <c r="Z3401">
        <v>-1.7579080000000001E-3</v>
      </c>
      <c r="AA3401">
        <v>0.99086609999999997</v>
      </c>
      <c r="AB3401">
        <v>50</v>
      </c>
      <c r="AC3401">
        <v>104.90300000000001</v>
      </c>
      <c r="AD3401">
        <v>-1.08844619</v>
      </c>
      <c r="AE3401">
        <v>-15.5275999999999</v>
      </c>
      <c r="AF3401">
        <v>14.363265635847499</v>
      </c>
      <c r="AG3401">
        <v>-1.08844619</v>
      </c>
      <c r="AH3401">
        <v>105.057476246034</v>
      </c>
      <c r="AI3401">
        <v>90.588120017722105</v>
      </c>
      <c r="AJ3401">
        <v>82.214892618398693</v>
      </c>
      <c r="AK3401">
        <v>106.040376413988</v>
      </c>
      <c r="AL3401">
        <v>90.651342738029797</v>
      </c>
      <c r="AM3401">
        <v>92.7817077188555</v>
      </c>
      <c r="AN3401">
        <v>0.99999995743968895</v>
      </c>
    </row>
    <row r="3402" spans="1:40" x14ac:dyDescent="0.25">
      <c r="A3402" t="str">
        <f>"20190305135301344"</f>
        <v>20190305135301344</v>
      </c>
      <c r="B3402" t="str">
        <f>"1551765181332716"</f>
        <v>1551765181332716</v>
      </c>
      <c r="C3402" t="s">
        <v>40</v>
      </c>
      <c r="D3402">
        <v>4.5709090000000003</v>
      </c>
      <c r="E3402">
        <v>0.56988850000000002</v>
      </c>
      <c r="F3402" t="s">
        <v>76</v>
      </c>
      <c r="G3402">
        <v>-168.41290000000001</v>
      </c>
      <c r="H3402">
        <v>0.1272411</v>
      </c>
      <c r="I3402">
        <v>199.18979999999999</v>
      </c>
      <c r="J3402">
        <v>-272.83510000000001</v>
      </c>
      <c r="K3402">
        <v>1.1096509999999999</v>
      </c>
      <c r="L3402">
        <v>214.54769999999999</v>
      </c>
      <c r="M3402">
        <v>0.99983230000000001</v>
      </c>
      <c r="N3402">
        <v>-1.49582E-2</v>
      </c>
      <c r="O3402">
        <v>-1.057667E-2</v>
      </c>
      <c r="P3402">
        <v>0.99889899999999998</v>
      </c>
      <c r="Q3402">
        <v>-2.6230340000000001E-2</v>
      </c>
      <c r="R3402">
        <v>3.889741E-2</v>
      </c>
      <c r="S3402">
        <v>3.0189509999999999</v>
      </c>
      <c r="T3402">
        <v>-2.8271439999999998E-2</v>
      </c>
      <c r="U3402">
        <v>-0.4421234</v>
      </c>
      <c r="V3402">
        <v>-4.9442600000000003E-2</v>
      </c>
      <c r="W3402">
        <v>-1.137519E-2</v>
      </c>
      <c r="X3402">
        <v>0.99871220000000005</v>
      </c>
      <c r="Y3402">
        <v>0.13441429999999999</v>
      </c>
      <c r="Z3402">
        <v>-1.6956779999999999E-3</v>
      </c>
      <c r="AA3402">
        <v>0.99092380000000002</v>
      </c>
      <c r="AB3402">
        <v>50</v>
      </c>
      <c r="AC3402">
        <v>104.4222</v>
      </c>
      <c r="AD3402">
        <v>-0.98240989999999995</v>
      </c>
      <c r="AE3402">
        <v>-15.357900000000001</v>
      </c>
      <c r="AF3402">
        <v>14.2512434843078</v>
      </c>
      <c r="AG3402">
        <v>-0.98240989999999995</v>
      </c>
      <c r="AH3402">
        <v>104.569751825266</v>
      </c>
      <c r="AI3402">
        <v>90.533335581525193</v>
      </c>
      <c r="AJ3402">
        <v>82.239281592588995</v>
      </c>
      <c r="AK3402">
        <v>105.54096866553</v>
      </c>
      <c r="AL3402">
        <v>90.651764426667498</v>
      </c>
      <c r="AM3402">
        <v>92.834191250794504</v>
      </c>
      <c r="AN3402">
        <v>1.0000000120355601</v>
      </c>
    </row>
    <row r="3403" spans="1:40" x14ac:dyDescent="0.25">
      <c r="A3403" t="str">
        <f>"20190305135301367"</f>
        <v>20190305135301367</v>
      </c>
      <c r="B3403" t="str">
        <f>"1551765181362972"</f>
        <v>1551765181362972</v>
      </c>
      <c r="C3403" t="s">
        <v>40</v>
      </c>
      <c r="D3403">
        <v>4.5835569999999999</v>
      </c>
      <c r="E3403">
        <v>0.5700539</v>
      </c>
      <c r="F3403" t="s">
        <v>76</v>
      </c>
      <c r="G3403">
        <v>-168.41290000000001</v>
      </c>
      <c r="H3403">
        <v>0.15175250000000001</v>
      </c>
      <c r="I3403">
        <v>199.36349999999999</v>
      </c>
      <c r="J3403">
        <v>-272.32839999999999</v>
      </c>
      <c r="K3403">
        <v>1.1096429999999999</v>
      </c>
      <c r="L3403">
        <v>214.5428</v>
      </c>
      <c r="M3403">
        <v>0.99983770000000005</v>
      </c>
      <c r="N3403">
        <v>-1.495485E-2</v>
      </c>
      <c r="O3403">
        <v>-1.005174E-2</v>
      </c>
      <c r="P3403">
        <v>0.99883370000000005</v>
      </c>
      <c r="Q3403">
        <v>-2.615905E-2</v>
      </c>
      <c r="R3403">
        <v>4.0584490000000001E-2</v>
      </c>
      <c r="S3403">
        <v>3.019714</v>
      </c>
      <c r="T3403">
        <v>-2.7699830000000002E-2</v>
      </c>
      <c r="U3403">
        <v>-0.4391022</v>
      </c>
      <c r="V3403">
        <v>-5.060506E-2</v>
      </c>
      <c r="W3403">
        <v>-1.130951E-2</v>
      </c>
      <c r="X3403">
        <v>0.99865470000000001</v>
      </c>
      <c r="Y3403">
        <v>0.133928399999999</v>
      </c>
      <c r="Z3403">
        <v>-1.6756989999999999E-3</v>
      </c>
      <c r="AA3403">
        <v>0.99098960000000003</v>
      </c>
      <c r="AB3403">
        <v>50</v>
      </c>
      <c r="AC3403">
        <v>103.915499999999</v>
      </c>
      <c r="AD3403">
        <v>-0.95789049999999998</v>
      </c>
      <c r="AE3403">
        <v>-15.1793</v>
      </c>
      <c r="AF3403">
        <v>14.1327088341204</v>
      </c>
      <c r="AG3403">
        <v>-0.95789049999999998</v>
      </c>
      <c r="AH3403">
        <v>104.054187567414</v>
      </c>
      <c r="AI3403">
        <v>90.522633952518007</v>
      </c>
      <c r="AJ3403">
        <v>82.265378299461204</v>
      </c>
      <c r="AK3403">
        <v>105.01392747400099</v>
      </c>
      <c r="AL3403">
        <v>90.648001009854497</v>
      </c>
      <c r="AM3403">
        <v>92.900881013282998</v>
      </c>
      <c r="AN3403">
        <v>0.99999999347306601</v>
      </c>
    </row>
    <row r="3404" spans="1:40" x14ac:dyDescent="0.25">
      <c r="A3404" t="str">
        <f>"20190305135301390"</f>
        <v>20190305135301390</v>
      </c>
      <c r="B3404" t="str">
        <f>"1551765181383470"</f>
        <v>1551765181383470</v>
      </c>
      <c r="C3404" t="s">
        <v>40</v>
      </c>
      <c r="D3404">
        <v>4.5472570000000001</v>
      </c>
      <c r="E3404">
        <v>0.57017989999999996</v>
      </c>
      <c r="F3404" t="s">
        <v>76</v>
      </c>
      <c r="G3404">
        <v>-168.41290000000001</v>
      </c>
      <c r="H3404">
        <v>0.2197199</v>
      </c>
      <c r="I3404">
        <v>199.56479999999999</v>
      </c>
      <c r="J3404">
        <v>-271.822</v>
      </c>
      <c r="K3404">
        <v>1.109642</v>
      </c>
      <c r="L3404">
        <v>214.53809999999999</v>
      </c>
      <c r="M3404">
        <v>0.99984289999999998</v>
      </c>
      <c r="N3404">
        <v>-1.495149E-2</v>
      </c>
      <c r="O3404">
        <v>-9.5280009999999995E-3</v>
      </c>
      <c r="P3404">
        <v>0.99878849999999997</v>
      </c>
      <c r="Q3404">
        <v>-2.6250300000000001E-2</v>
      </c>
      <c r="R3404">
        <v>4.1627709999999998E-2</v>
      </c>
      <c r="S3404">
        <v>3.020508</v>
      </c>
      <c r="T3404">
        <v>-2.586639E-2</v>
      </c>
      <c r="U3404">
        <v>-0.43536380000000002</v>
      </c>
      <c r="V3404">
        <v>-5.112452E-2</v>
      </c>
      <c r="W3404">
        <v>-1.140497E-2</v>
      </c>
      <c r="X3404">
        <v>0.99862720000000005</v>
      </c>
      <c r="Y3404">
        <v>0.13321040000000001</v>
      </c>
      <c r="Z3404">
        <v>-1.629113E-3</v>
      </c>
      <c r="AA3404">
        <v>0.99108640000000003</v>
      </c>
      <c r="AB3404">
        <v>49</v>
      </c>
      <c r="AC3404">
        <v>103.4091</v>
      </c>
      <c r="AD3404">
        <v>-0.88992209999999905</v>
      </c>
      <c r="AE3404">
        <v>-14.973299999999901</v>
      </c>
      <c r="AF3404">
        <v>13.9862135403498</v>
      </c>
      <c r="AG3404">
        <v>-0.88992209999999905</v>
      </c>
      <c r="AH3404">
        <v>103.539575796622</v>
      </c>
      <c r="AI3404">
        <v>90.488012792229199</v>
      </c>
      <c r="AJ3404">
        <v>82.307003028218901</v>
      </c>
      <c r="AK3404">
        <v>104.483730248708</v>
      </c>
      <c r="AL3404">
        <v>90.653470789185704</v>
      </c>
      <c r="AM3404">
        <v>92.930687419108494</v>
      </c>
      <c r="AN3404">
        <v>1.0000000372328799</v>
      </c>
    </row>
    <row r="3405" spans="1:40" x14ac:dyDescent="0.25">
      <c r="A3405" t="str">
        <f>"20190305135301405"</f>
        <v>20190305135301405</v>
      </c>
      <c r="B3405" t="str">
        <f>"1551765181402989"</f>
        <v>1551765181402989</v>
      </c>
      <c r="C3405" t="s">
        <v>40</v>
      </c>
      <c r="D3405">
        <v>4.5449120000000001</v>
      </c>
      <c r="E3405">
        <v>0.570291199999999</v>
      </c>
      <c r="F3405" t="s">
        <v>76</v>
      </c>
      <c r="G3405">
        <v>-168.4128</v>
      </c>
      <c r="H3405">
        <v>0.27245330000000001</v>
      </c>
      <c r="I3405">
        <v>199.71520000000001</v>
      </c>
      <c r="J3405">
        <v>-271.47770000000003</v>
      </c>
      <c r="K3405">
        <v>1.1096440000000001</v>
      </c>
      <c r="L3405">
        <v>214.535</v>
      </c>
      <c r="M3405">
        <v>0.99984620000000002</v>
      </c>
      <c r="N3405">
        <v>-1.4949199999999999E-2</v>
      </c>
      <c r="O3405">
        <v>-9.1717239999999992E-3</v>
      </c>
      <c r="P3405">
        <v>0.99875579999999997</v>
      </c>
      <c r="Q3405">
        <v>-2.6417719999999999E-2</v>
      </c>
      <c r="R3405">
        <v>4.2298280000000001E-2</v>
      </c>
      <c r="S3405">
        <v>3.0210569999999999</v>
      </c>
      <c r="T3405">
        <v>-2.4457099999999999E-2</v>
      </c>
      <c r="U3405">
        <v>-0.4330444</v>
      </c>
      <c r="V3405">
        <v>-5.1439180000000001E-2</v>
      </c>
      <c r="W3405">
        <v>-1.1575210000000001E-2</v>
      </c>
      <c r="X3405">
        <v>0.99860910000000003</v>
      </c>
      <c r="Y3405">
        <v>0.13279369999999999</v>
      </c>
      <c r="Z3405">
        <v>-1.5950929999999999E-3</v>
      </c>
      <c r="AA3405">
        <v>0.99114239999999998</v>
      </c>
      <c r="AB3405">
        <v>49</v>
      </c>
      <c r="AC3405">
        <v>103.06489999999999</v>
      </c>
      <c r="AD3405">
        <v>-0.83719069999999995</v>
      </c>
      <c r="AE3405">
        <v>-14.819799999999899</v>
      </c>
      <c r="AF3405">
        <v>13.872891251619301</v>
      </c>
      <c r="AG3405">
        <v>-0.83719069999999995</v>
      </c>
      <c r="AH3405">
        <v>103.189831532718</v>
      </c>
      <c r="AI3405">
        <v>90.460692391234602</v>
      </c>
      <c r="AJ3405">
        <v>82.343038475765496</v>
      </c>
      <c r="AK3405">
        <v>104.12156035950601</v>
      </c>
      <c r="AL3405">
        <v>90.663225454715203</v>
      </c>
      <c r="AM3405">
        <v>92.948746761176196</v>
      </c>
      <c r="AN3405">
        <v>1.00000005466421</v>
      </c>
    </row>
    <row r="3406" spans="1:40" x14ac:dyDescent="0.25">
      <c r="A3406" t="str">
        <f>"20190305135301422"</f>
        <v>20190305135301422</v>
      </c>
      <c r="B3406" t="str">
        <f>"1551765181412748"</f>
        <v>1551765181412748</v>
      </c>
      <c r="C3406" t="s">
        <v>40</v>
      </c>
      <c r="D3406">
        <v>4.6853959999999999</v>
      </c>
      <c r="E3406">
        <v>0.57002059999999999</v>
      </c>
      <c r="F3406" t="s">
        <v>76</v>
      </c>
      <c r="G3406">
        <v>-168.4128</v>
      </c>
      <c r="H3406">
        <v>0.3418312</v>
      </c>
      <c r="I3406">
        <v>199.79859999999999</v>
      </c>
      <c r="J3406">
        <v>-271.09969999999998</v>
      </c>
      <c r="K3406">
        <v>1.1096469999999901</v>
      </c>
      <c r="L3406">
        <v>214.5318</v>
      </c>
      <c r="M3406">
        <v>0.99984980000000001</v>
      </c>
      <c r="N3406">
        <v>-1.494669E-2</v>
      </c>
      <c r="O3406">
        <v>-8.7805190000000005E-3</v>
      </c>
      <c r="P3406">
        <v>0.99874929999999995</v>
      </c>
      <c r="Q3406">
        <v>-2.6347860000000001E-2</v>
      </c>
      <c r="R3406">
        <v>4.2494200000000003E-2</v>
      </c>
      <c r="S3406">
        <v>3.021423</v>
      </c>
      <c r="T3406">
        <v>-2.2508029999999998E-2</v>
      </c>
      <c r="U3406">
        <v>-0.43200680000000002</v>
      </c>
      <c r="V3406">
        <v>-5.1244459999999999E-2</v>
      </c>
      <c r="W3406">
        <v>-1.1507099999999999E-2</v>
      </c>
      <c r="X3406">
        <v>0.9986199</v>
      </c>
      <c r="Y3406">
        <v>0.13283239999999999</v>
      </c>
      <c r="Z3406">
        <v>-1.555617E-3</v>
      </c>
      <c r="AA3406">
        <v>0.9911373</v>
      </c>
      <c r="AB3406">
        <v>49</v>
      </c>
      <c r="AC3406">
        <v>102.686899999999</v>
      </c>
      <c r="AD3406">
        <v>-0.76781579999999905</v>
      </c>
      <c r="AE3406">
        <v>-14.7332</v>
      </c>
      <c r="AF3406">
        <v>13.8301293264292</v>
      </c>
      <c r="AG3406">
        <v>-0.76781579999999905</v>
      </c>
      <c r="AH3406">
        <v>102.806688261706</v>
      </c>
      <c r="AI3406">
        <v>90.424087790944995</v>
      </c>
      <c r="AJ3406">
        <v>82.338249663224005</v>
      </c>
      <c r="AK3406">
        <v>103.735611867999</v>
      </c>
      <c r="AL3406">
        <v>90.659322778347899</v>
      </c>
      <c r="AM3406">
        <v>92.937572327216003</v>
      </c>
      <c r="AN3406">
        <v>1.00000005635355</v>
      </c>
    </row>
    <row r="3407" spans="1:40" x14ac:dyDescent="0.25">
      <c r="A3407" t="str">
        <f>"20190305135301444"</f>
        <v>20190305135301444</v>
      </c>
      <c r="B3407" t="str">
        <f>"1551765181432774"</f>
        <v>1551765181432774</v>
      </c>
      <c r="C3407" t="s">
        <v>40</v>
      </c>
      <c r="D3407">
        <v>4.6402570000000001</v>
      </c>
      <c r="E3407">
        <v>0.56970419999999999</v>
      </c>
      <c r="F3407" t="s">
        <v>76</v>
      </c>
      <c r="G3407">
        <v>-168.4127</v>
      </c>
      <c r="H3407">
        <v>0.216054</v>
      </c>
      <c r="I3407">
        <v>199.93610000000001</v>
      </c>
      <c r="J3407">
        <v>-270.61739999999998</v>
      </c>
      <c r="K3407">
        <v>1.1096509999999999</v>
      </c>
      <c r="L3407">
        <v>214.52789999999999</v>
      </c>
      <c r="M3407">
        <v>0.99985409999999997</v>
      </c>
      <c r="N3407">
        <v>-1.494379E-2</v>
      </c>
      <c r="O3407">
        <v>-8.2813209999999995E-3</v>
      </c>
      <c r="P3407">
        <v>0.99872850000000002</v>
      </c>
      <c r="Q3407">
        <v>-2.683727E-2</v>
      </c>
      <c r="R3407">
        <v>4.267833E-2</v>
      </c>
      <c r="S3407">
        <v>3.0213320000000001</v>
      </c>
      <c r="T3407">
        <v>-2.629101E-2</v>
      </c>
      <c r="U3407">
        <v>-0.42944339999999998</v>
      </c>
      <c r="V3407">
        <v>-5.0928939999999999E-2</v>
      </c>
      <c r="W3407">
        <v>-1.1998470000000001E-2</v>
      </c>
      <c r="X3407">
        <v>0.99863020000000002</v>
      </c>
      <c r="Y3407">
        <v>0.1325047</v>
      </c>
      <c r="Z3407">
        <v>-1.620212E-3</v>
      </c>
      <c r="AA3407">
        <v>0.99118110000000004</v>
      </c>
      <c r="AB3407">
        <v>49</v>
      </c>
      <c r="AC3407">
        <v>102.20469999999899</v>
      </c>
      <c r="AD3407">
        <v>-0.89359699999999997</v>
      </c>
      <c r="AE3407">
        <v>-14.5917999999999</v>
      </c>
      <c r="AF3407">
        <v>13.743785485947599</v>
      </c>
      <c r="AG3407">
        <v>-0.89359699999999997</v>
      </c>
      <c r="AH3407">
        <v>102.314382361903</v>
      </c>
      <c r="AI3407">
        <v>90.495944945794903</v>
      </c>
      <c r="AJ3407">
        <v>82.349314674998993</v>
      </c>
      <c r="AK3407">
        <v>103.237217093352</v>
      </c>
      <c r="AL3407">
        <v>90.687478188737799</v>
      </c>
      <c r="AM3407">
        <v>92.919486571969898</v>
      </c>
      <c r="AN3407">
        <v>0.99999999828195196</v>
      </c>
    </row>
    <row r="3408" spans="1:40" x14ac:dyDescent="0.25">
      <c r="A3408" t="str">
        <f>"20190305135301462"</f>
        <v>20190305135301462</v>
      </c>
      <c r="B3408" t="str">
        <f>"1551765181453271"</f>
        <v>1551765181453271</v>
      </c>
      <c r="C3408" t="s">
        <v>40</v>
      </c>
      <c r="D3408">
        <v>4.5764469999999999</v>
      </c>
      <c r="E3408">
        <v>0.56969559999999997</v>
      </c>
      <c r="F3408" t="s">
        <v>55</v>
      </c>
      <c r="G3408">
        <v>-179.9384</v>
      </c>
      <c r="H3408">
        <v>6.9405190000000005E-2</v>
      </c>
      <c r="I3408">
        <v>201.72880000000001</v>
      </c>
      <c r="J3408">
        <v>-270.24329999999998</v>
      </c>
      <c r="K3408">
        <v>1.1096490000000001</v>
      </c>
      <c r="L3408">
        <v>214.52510000000001</v>
      </c>
      <c r="M3408">
        <v>0.9998572</v>
      </c>
      <c r="N3408">
        <v>-1.4941380000000001E-2</v>
      </c>
      <c r="O3408">
        <v>-7.8939249999999996E-3</v>
      </c>
      <c r="P3408">
        <v>0.99870289999999995</v>
      </c>
      <c r="Q3408">
        <v>-2.720759E-2</v>
      </c>
      <c r="R3408">
        <v>4.3041330000000003E-2</v>
      </c>
      <c r="S3408">
        <v>3.021118</v>
      </c>
      <c r="T3408">
        <v>-3.4657479999999997E-2</v>
      </c>
      <c r="U3408">
        <v>-0.42642210000000003</v>
      </c>
      <c r="V3408">
        <v>-5.0904419999999999E-2</v>
      </c>
      <c r="W3408">
        <v>-1.237103E-2</v>
      </c>
      <c r="X3408">
        <v>0.99862689999999998</v>
      </c>
      <c r="Y3408">
        <v>0.13192029999999999</v>
      </c>
      <c r="Z3408">
        <v>-1.7707420000000001E-3</v>
      </c>
      <c r="AA3408">
        <v>0.99125870000000005</v>
      </c>
      <c r="AB3408">
        <v>49</v>
      </c>
      <c r="AC3408">
        <v>90.304899999999904</v>
      </c>
      <c r="AD3408">
        <v>-1.04024380999999</v>
      </c>
      <c r="AE3408">
        <v>-12.7963</v>
      </c>
      <c r="AF3408">
        <v>12.081389951584899</v>
      </c>
      <c r="AG3408">
        <v>-1.04024380999999</v>
      </c>
      <c r="AH3408">
        <v>90.391351811888796</v>
      </c>
      <c r="AI3408">
        <v>90.653532466213605</v>
      </c>
      <c r="AJ3408">
        <v>82.387165838380398</v>
      </c>
      <c r="AK3408">
        <v>91.201088659769596</v>
      </c>
      <c r="AL3408">
        <v>90.708825892418304</v>
      </c>
      <c r="AM3408">
        <v>92.918093026365398</v>
      </c>
      <c r="AN3408">
        <v>0.99999999388120298</v>
      </c>
    </row>
    <row r="3409" spans="1:40" x14ac:dyDescent="0.25">
      <c r="A3409" t="str">
        <f>"20190305135301479"</f>
        <v>20190305135301479</v>
      </c>
      <c r="B3409" t="str">
        <f>"1551765181472790"</f>
        <v>1551765181472790</v>
      </c>
      <c r="C3409" t="s">
        <v>40</v>
      </c>
      <c r="D3409">
        <v>4.6132540000000004</v>
      </c>
      <c r="E3409">
        <v>0.53583380000000003</v>
      </c>
      <c r="F3409" t="s">
        <v>55</v>
      </c>
      <c r="G3409">
        <v>-179.95779999999999</v>
      </c>
      <c r="H3409">
        <v>7.2735439999999998E-3</v>
      </c>
      <c r="I3409">
        <v>201.81739999999999</v>
      </c>
      <c r="J3409">
        <v>-269.85289999999998</v>
      </c>
      <c r="K3409">
        <v>1.1096490000000001</v>
      </c>
      <c r="L3409">
        <v>214.5223</v>
      </c>
      <c r="M3409">
        <v>0.99986050000000004</v>
      </c>
      <c r="N3409">
        <v>-1.4938669999999999E-2</v>
      </c>
      <c r="O3409">
        <v>-7.48971599999999E-3</v>
      </c>
      <c r="P3409">
        <v>0.99868270000000003</v>
      </c>
      <c r="Q3409">
        <v>-2.758356E-2</v>
      </c>
      <c r="R3409">
        <v>4.3271560000000001E-2</v>
      </c>
      <c r="S3409">
        <v>3.0211790000000001</v>
      </c>
      <c r="T3409">
        <v>-3.6888240000000003E-2</v>
      </c>
      <c r="U3409">
        <v>-0.4252319</v>
      </c>
      <c r="V3409">
        <v>-5.0730369999999997E-2</v>
      </c>
      <c r="W3409">
        <v>-1.274921E-2</v>
      </c>
      <c r="X3409">
        <v>0.99863100000000005</v>
      </c>
      <c r="Y3409">
        <v>0.13193350000000001</v>
      </c>
      <c r="Z3409">
        <v>-1.812269E-3</v>
      </c>
      <c r="AA3409">
        <v>0.9912569</v>
      </c>
      <c r="AB3409">
        <v>49</v>
      </c>
      <c r="AC3409">
        <v>89.8950999999999</v>
      </c>
      <c r="AD3409">
        <v>-1.1023754560000001</v>
      </c>
      <c r="AE3409">
        <v>-12.7049</v>
      </c>
      <c r="AF3409">
        <v>12.0294062110962</v>
      </c>
      <c r="AG3409">
        <v>-1.1023754560000001</v>
      </c>
      <c r="AH3409">
        <v>89.974479427948907</v>
      </c>
      <c r="AI3409">
        <v>90.695767632023006</v>
      </c>
      <c r="AJ3409">
        <v>82.384829798543507</v>
      </c>
      <c r="AK3409">
        <v>90.781764654406004</v>
      </c>
      <c r="AL3409">
        <v>90.730495720217306</v>
      </c>
      <c r="AM3409">
        <v>92.908120857144795</v>
      </c>
      <c r="AN3409">
        <v>0.99999999347848001</v>
      </c>
    </row>
    <row r="3410" spans="1:40" x14ac:dyDescent="0.25">
      <c r="A3410" t="str">
        <f>"20190305135301502"</f>
        <v>20190305135301502</v>
      </c>
      <c r="B3410" t="str">
        <f>"1551765181493287"</f>
        <v>1551765181493287</v>
      </c>
      <c r="C3410" t="s">
        <v>40</v>
      </c>
      <c r="D3410">
        <v>4.5107869999999997</v>
      </c>
      <c r="E3410">
        <v>0.5187119</v>
      </c>
      <c r="F3410" t="s">
        <v>56</v>
      </c>
      <c r="G3410">
        <v>-244.02260000000001</v>
      </c>
      <c r="H3410" s="1">
        <v>6.668732E-7</v>
      </c>
      <c r="I3410">
        <v>213.1748</v>
      </c>
      <c r="J3410">
        <v>-269.35840000000002</v>
      </c>
      <c r="K3410">
        <v>1.10965</v>
      </c>
      <c r="L3410">
        <v>214.5189</v>
      </c>
      <c r="M3410">
        <v>0.99986419999999998</v>
      </c>
      <c r="N3410">
        <v>-1.493513E-2</v>
      </c>
      <c r="O3410">
        <v>-6.9776250000000003E-3</v>
      </c>
      <c r="P3410">
        <v>0.99867640000000002</v>
      </c>
      <c r="Q3410">
        <v>-2.6946709999999999E-2</v>
      </c>
      <c r="R3410">
        <v>4.381347E-2</v>
      </c>
      <c r="S3410">
        <v>3.0072019999999999</v>
      </c>
      <c r="T3410">
        <v>-0.1291872</v>
      </c>
      <c r="U3410">
        <v>-0.1568756</v>
      </c>
      <c r="V3410">
        <v>-5.0762199999999903E-2</v>
      </c>
      <c r="W3410">
        <v>-1.2115570000000001E-2</v>
      </c>
      <c r="X3410">
        <v>0.99863729999999995</v>
      </c>
      <c r="Y3410">
        <v>4.5072420000000002E-2</v>
      </c>
      <c r="Z3410">
        <v>-1.108798E-3</v>
      </c>
      <c r="AA3410">
        <v>0.99898310000000001</v>
      </c>
      <c r="AB3410">
        <v>49</v>
      </c>
      <c r="AC3410">
        <v>25.335799999999999</v>
      </c>
      <c r="AD3410">
        <v>-1.1096493331268</v>
      </c>
      <c r="AE3410">
        <v>-1.3440999999999901</v>
      </c>
      <c r="AF3410">
        <v>1.1650353134827001</v>
      </c>
      <c r="AG3410">
        <v>-1.1096493331268</v>
      </c>
      <c r="AH3410">
        <v>25.2961748870847</v>
      </c>
      <c r="AI3410">
        <v>92.509086764505597</v>
      </c>
      <c r="AJ3410">
        <v>87.363061003794698</v>
      </c>
      <c r="AK3410">
        <v>25.347289654756899</v>
      </c>
      <c r="AL3410">
        <v>90.6941879954705</v>
      </c>
      <c r="AM3410">
        <v>92.909924052182404</v>
      </c>
      <c r="AN3410">
        <v>1.0000000224682699</v>
      </c>
    </row>
    <row r="3411" spans="1:40" x14ac:dyDescent="0.25">
      <c r="A3411" t="str">
        <f>"20190305135301522"</f>
        <v>20190305135301522</v>
      </c>
      <c r="B3411" t="str">
        <f>"1551765181512807"</f>
        <v>1551765181512807</v>
      </c>
      <c r="C3411" t="s">
        <v>40</v>
      </c>
      <c r="D3411">
        <v>4.5944669999999999</v>
      </c>
      <c r="E3411">
        <v>0.51153249999999995</v>
      </c>
      <c r="F3411" t="s">
        <v>56</v>
      </c>
      <c r="G3411">
        <v>-234.65100000000001</v>
      </c>
      <c r="H3411" s="1">
        <v>9.5158419999999999E-7</v>
      </c>
      <c r="I3411">
        <v>214.31129999999999</v>
      </c>
      <c r="J3411">
        <v>-268.8954</v>
      </c>
      <c r="K3411">
        <v>1.1096520000000001</v>
      </c>
      <c r="L3411">
        <v>214.51599999999999</v>
      </c>
      <c r="M3411">
        <v>0.99986739999999996</v>
      </c>
      <c r="N3411">
        <v>-1.493182E-2</v>
      </c>
      <c r="O3411">
        <v>-6.4981919999999999E-3</v>
      </c>
      <c r="P3411">
        <v>0.99864819999999999</v>
      </c>
      <c r="Q3411">
        <v>-2.678645E-2</v>
      </c>
      <c r="R3411">
        <v>4.454636E-2</v>
      </c>
      <c r="S3411">
        <v>3.0021969999999998</v>
      </c>
      <c r="T3411">
        <v>-9.5984940000000005E-2</v>
      </c>
      <c r="U3411">
        <v>-1.7959590000000001E-2</v>
      </c>
      <c r="V3411">
        <v>-5.1016569999999997E-2</v>
      </c>
      <c r="W3411">
        <v>-1.1959010000000001E-2</v>
      </c>
      <c r="X3411">
        <v>0.99862620000000002</v>
      </c>
      <c r="Y3411">
        <v>-5.1555399999999999E-4</v>
      </c>
      <c r="Z3411">
        <v>1.2276830000000001E-4</v>
      </c>
      <c r="AA3411">
        <v>0.99999990000000005</v>
      </c>
      <c r="AB3411">
        <v>49</v>
      </c>
      <c r="AC3411">
        <v>34.244399999999999</v>
      </c>
      <c r="AD3411">
        <v>-1.1096510484158</v>
      </c>
      <c r="AE3411">
        <v>-0.20470000000000199</v>
      </c>
      <c r="AF3411">
        <v>-1.7837091518021899E-2</v>
      </c>
      <c r="AG3411">
        <v>-1.1096510484158</v>
      </c>
      <c r="AH3411">
        <v>34.209088522541599</v>
      </c>
      <c r="AI3411">
        <v>91.857869688484001</v>
      </c>
      <c r="AJ3411">
        <v>90.029874808546296</v>
      </c>
      <c r="AK3411">
        <v>34.227085490210399</v>
      </c>
      <c r="AL3411">
        <v>90.685217135358101</v>
      </c>
      <c r="AM3411">
        <v>92.924512916909407</v>
      </c>
      <c r="AN3411">
        <v>0.99999999783059201</v>
      </c>
    </row>
    <row r="3412" spans="1:40" x14ac:dyDescent="0.25">
      <c r="A3412" t="str">
        <f>"20190305135301545"</f>
        <v>20190305135301545</v>
      </c>
      <c r="B3412" t="str">
        <f>"1551765181533303"</f>
        <v>1551765181533303</v>
      </c>
      <c r="C3412" t="s">
        <v>40</v>
      </c>
      <c r="D3412">
        <v>4.5468590000000004</v>
      </c>
      <c r="E3412">
        <v>0.50819510000000001</v>
      </c>
      <c r="F3412" t="s">
        <v>56</v>
      </c>
      <c r="G3412">
        <v>-230.6857</v>
      </c>
      <c r="H3412" s="1">
        <v>-1.1906080000000001E-6</v>
      </c>
      <c r="I3412">
        <v>215.04499999999999</v>
      </c>
      <c r="J3412">
        <v>-268.40359999999998</v>
      </c>
      <c r="K3412">
        <v>1.1096469999999901</v>
      </c>
      <c r="L3412">
        <v>214.51320000000001</v>
      </c>
      <c r="M3412">
        <v>0.9998707</v>
      </c>
      <c r="N3412">
        <v>-1.492835E-2</v>
      </c>
      <c r="O3412">
        <v>-5.9891950000000001E-3</v>
      </c>
      <c r="P3412">
        <v>0.99858829999999998</v>
      </c>
      <c r="Q3412">
        <v>-2.6766649999999999E-2</v>
      </c>
      <c r="R3412">
        <v>4.5884139999999997E-2</v>
      </c>
      <c r="S3412">
        <v>2.9998779999999998</v>
      </c>
      <c r="T3412">
        <v>-8.7120059999999999E-2</v>
      </c>
      <c r="U3412">
        <v>4.1534420000000002E-2</v>
      </c>
      <c r="V3412">
        <v>-5.1845599999999999E-2</v>
      </c>
      <c r="W3412">
        <v>-1.194448E-2</v>
      </c>
      <c r="X3412">
        <v>0.99858369999999996</v>
      </c>
      <c r="Y3412">
        <v>-1.9819839999999998E-2</v>
      </c>
      <c r="Z3412">
        <v>5.2021239999999996E-4</v>
      </c>
      <c r="AA3412">
        <v>0.99980340000000001</v>
      </c>
      <c r="AB3412">
        <v>49</v>
      </c>
      <c r="AC3412">
        <v>37.717899999999901</v>
      </c>
      <c r="AD3412">
        <v>-1.10964819060799</v>
      </c>
      <c r="AE3412">
        <v>0.53179999999997496</v>
      </c>
      <c r="AF3412">
        <v>-0.75706035913826397</v>
      </c>
      <c r="AG3412">
        <v>-1.10964819060799</v>
      </c>
      <c r="AH3412">
        <v>37.681430518387501</v>
      </c>
      <c r="AI3412">
        <v>91.686426758815998</v>
      </c>
      <c r="AJ3412">
        <v>91.150978822317796</v>
      </c>
      <c r="AK3412">
        <v>37.705366533245098</v>
      </c>
      <c r="AL3412">
        <v>90.684384552100795</v>
      </c>
      <c r="AM3412">
        <v>92.972078609595698</v>
      </c>
      <c r="AN3412">
        <v>1.0000000213737501</v>
      </c>
    </row>
    <row r="3413" spans="1:40" x14ac:dyDescent="0.25">
      <c r="A3413" t="str">
        <f>"20190305135301568"</f>
        <v>20190305135301568</v>
      </c>
      <c r="B3413" t="str">
        <f>"1551765181563559"</f>
        <v>1551765181563559</v>
      </c>
      <c r="C3413" t="s">
        <v>40</v>
      </c>
      <c r="D3413">
        <v>4.5421339999999999</v>
      </c>
      <c r="E3413">
        <v>0.50593980000000005</v>
      </c>
      <c r="F3413" t="s">
        <v>56</v>
      </c>
      <c r="G3413">
        <v>-234.71719999999999</v>
      </c>
      <c r="H3413" s="1">
        <v>9.4259409999999997E-7</v>
      </c>
      <c r="I3413">
        <v>215.32320000000001</v>
      </c>
      <c r="J3413">
        <v>-267.91070000000002</v>
      </c>
      <c r="K3413">
        <v>1.1096429999999999</v>
      </c>
      <c r="L3413">
        <v>214.51060000000001</v>
      </c>
      <c r="M3413">
        <v>0.99987380000000003</v>
      </c>
      <c r="N3413">
        <v>-1.492511E-2</v>
      </c>
      <c r="O3413">
        <v>-5.4790069999999897E-3</v>
      </c>
      <c r="P3413">
        <v>0.99852149999999995</v>
      </c>
      <c r="Q3413">
        <v>-2.7103909999999998E-2</v>
      </c>
      <c r="R3413">
        <v>4.7122509999999999E-2</v>
      </c>
      <c r="S3413">
        <v>2.998291</v>
      </c>
      <c r="T3413">
        <v>-9.8765370000000005E-2</v>
      </c>
      <c r="U3413">
        <v>7.209778E-2</v>
      </c>
      <c r="V3413">
        <v>-5.2573420000000003E-2</v>
      </c>
      <c r="W3413">
        <v>-1.228665E-2</v>
      </c>
      <c r="X3413">
        <v>0.99854149999999997</v>
      </c>
      <c r="Y3413">
        <v>-2.9492890000000001E-2</v>
      </c>
      <c r="Z3413">
        <v>8.044317E-4</v>
      </c>
      <c r="AA3413">
        <v>0.99956460000000003</v>
      </c>
      <c r="AB3413">
        <v>49</v>
      </c>
      <c r="AC3413">
        <v>33.1935</v>
      </c>
      <c r="AD3413">
        <v>-1.1096420574058901</v>
      </c>
      <c r="AE3413">
        <v>0.81260000000000299</v>
      </c>
      <c r="AF3413">
        <v>-0.99336599017314497</v>
      </c>
      <c r="AG3413">
        <v>-1.1096420574058901</v>
      </c>
      <c r="AH3413">
        <v>33.151523245371898</v>
      </c>
      <c r="AI3413">
        <v>91.916219283716401</v>
      </c>
      <c r="AJ3413">
        <v>91.716320944832503</v>
      </c>
      <c r="AK3413">
        <v>33.184960071912499</v>
      </c>
      <c r="AL3413">
        <v>90.703990883904595</v>
      </c>
      <c r="AM3413">
        <v>93.013852053940596</v>
      </c>
      <c r="AN3413">
        <v>1.0000000267404801</v>
      </c>
    </row>
    <row r="3414" spans="1:40" x14ac:dyDescent="0.25">
      <c r="A3414" t="str">
        <f>"20190305135301590"</f>
        <v>20190305135301590</v>
      </c>
      <c r="B3414" t="str">
        <f>"1551765181583078"</f>
        <v>1551765181583078</v>
      </c>
      <c r="C3414" t="s">
        <v>40</v>
      </c>
      <c r="D3414">
        <v>4.5260249999999997</v>
      </c>
      <c r="E3414">
        <v>0.50517400000000001</v>
      </c>
      <c r="F3414" t="s">
        <v>56</v>
      </c>
      <c r="G3414">
        <v>-237.10040000000001</v>
      </c>
      <c r="H3414" s="1">
        <v>2.2043490000000001E-6</v>
      </c>
      <c r="I3414">
        <v>215.4709</v>
      </c>
      <c r="J3414">
        <v>-267.4067</v>
      </c>
      <c r="K3414">
        <v>1.1096379999999999</v>
      </c>
      <c r="L3414">
        <v>214.50829999999999</v>
      </c>
      <c r="M3414">
        <v>0.9998764</v>
      </c>
      <c r="N3414">
        <v>-1.4921790000000001E-2</v>
      </c>
      <c r="O3414">
        <v>-4.9567789999999997E-3</v>
      </c>
      <c r="P3414">
        <v>0.99847470000000005</v>
      </c>
      <c r="Q3414">
        <v>-2.6610789999999999E-2</v>
      </c>
      <c r="R3414">
        <v>4.8376500000000003E-2</v>
      </c>
      <c r="S3414">
        <v>2.997131</v>
      </c>
      <c r="T3414">
        <v>-0.1079426</v>
      </c>
      <c r="U3414">
        <v>9.341431E-2</v>
      </c>
      <c r="V3414">
        <v>-5.33065E-2</v>
      </c>
      <c r="W3414">
        <v>-1.1798289999999999E-2</v>
      </c>
      <c r="X3414">
        <v>0.99850850000000002</v>
      </c>
      <c r="Y3414">
        <v>-3.607316E-2</v>
      </c>
      <c r="Z3414">
        <v>1.0230529999999999E-3</v>
      </c>
      <c r="AA3414">
        <v>0.99934860000000003</v>
      </c>
      <c r="AB3414">
        <v>49</v>
      </c>
      <c r="AC3414">
        <v>30.3063</v>
      </c>
      <c r="AD3414">
        <v>-1.1096357956509999</v>
      </c>
      <c r="AE3414">
        <v>0.962600000000009</v>
      </c>
      <c r="AF3414">
        <v>-1.1113381826469</v>
      </c>
      <c r="AG3414">
        <v>-1.1096357956509999</v>
      </c>
      <c r="AH3414">
        <v>30.2606295514103</v>
      </c>
      <c r="AI3414">
        <v>92.098641067981404</v>
      </c>
      <c r="AJ3414">
        <v>92.103273593996605</v>
      </c>
      <c r="AK3414">
        <v>30.301354177707701</v>
      </c>
      <c r="AL3414">
        <v>90.676007904012906</v>
      </c>
      <c r="AM3414">
        <v>93.055898689912794</v>
      </c>
      <c r="AN3414">
        <v>1.00000000358071</v>
      </c>
    </row>
    <row r="3415" spans="1:40" x14ac:dyDescent="0.25">
      <c r="A3415" t="str">
        <f>"20190305135301612"</f>
        <v>20190305135301612</v>
      </c>
      <c r="B3415" t="str">
        <f>"1551765181603578"</f>
        <v>1551765181603578</v>
      </c>
      <c r="C3415" t="s">
        <v>40</v>
      </c>
      <c r="D3415">
        <v>4.7910370000000002</v>
      </c>
      <c r="E3415">
        <v>0.50489470000000003</v>
      </c>
      <c r="F3415" t="s">
        <v>56</v>
      </c>
      <c r="G3415">
        <v>-237.31739999999999</v>
      </c>
      <c r="H3415" s="1">
        <v>2.3165970000000001E-6</v>
      </c>
      <c r="I3415">
        <v>215.5444</v>
      </c>
      <c r="J3415">
        <v>-266.93529999999998</v>
      </c>
      <c r="K3415">
        <v>1.109632</v>
      </c>
      <c r="L3415">
        <v>214.50630000000001</v>
      </c>
      <c r="M3415">
        <v>0.99987870000000001</v>
      </c>
      <c r="N3415">
        <v>-1.4918610000000001E-2</v>
      </c>
      <c r="O3415">
        <v>-4.4680450000000003E-3</v>
      </c>
      <c r="P3415">
        <v>0.99841860000000004</v>
      </c>
      <c r="Q3415">
        <v>-2.5820699999999999E-2</v>
      </c>
      <c r="R3415">
        <v>4.9935729999999998E-2</v>
      </c>
      <c r="S3415">
        <v>2.996613</v>
      </c>
      <c r="T3415">
        <v>-0.11050939999999999</v>
      </c>
      <c r="U3415">
        <v>0.1031952</v>
      </c>
      <c r="V3415">
        <v>-5.4379190000000001E-2</v>
      </c>
      <c r="W3415">
        <v>-1.101359E-2</v>
      </c>
      <c r="X3415">
        <v>0.9984596</v>
      </c>
      <c r="Y3415">
        <v>-3.8844299999999998E-2</v>
      </c>
      <c r="Z3415">
        <v>1.103833E-3</v>
      </c>
      <c r="AA3415">
        <v>0.99924469999999999</v>
      </c>
      <c r="AB3415">
        <v>49</v>
      </c>
      <c r="AC3415">
        <v>29.617899999999899</v>
      </c>
      <c r="AD3415">
        <v>-1.1096296834029999</v>
      </c>
      <c r="AE3415">
        <v>1.03809999999998</v>
      </c>
      <c r="AF3415">
        <v>-1.1687999475826001</v>
      </c>
      <c r="AG3415">
        <v>-1.1096296834029999</v>
      </c>
      <c r="AH3415">
        <v>29.571509452956299</v>
      </c>
      <c r="AI3415">
        <v>92.147261091452805</v>
      </c>
      <c r="AJ3415">
        <v>92.263410496552694</v>
      </c>
      <c r="AK3415">
        <v>29.615393677579899</v>
      </c>
      <c r="AL3415">
        <v>90.631044992265998</v>
      </c>
      <c r="AM3415">
        <v>93.117425009698493</v>
      </c>
      <c r="AN3415">
        <v>0.99999998415095104</v>
      </c>
    </row>
    <row r="3416" spans="1:40" x14ac:dyDescent="0.25">
      <c r="A3416" t="str">
        <f>"20190305135301634"</f>
        <v>20190305135301634</v>
      </c>
      <c r="B3416" t="str">
        <f>"1551765181623095"</f>
        <v>1551765181623095</v>
      </c>
      <c r="C3416" t="s">
        <v>40</v>
      </c>
      <c r="D3416">
        <v>4.5477230000000004</v>
      </c>
      <c r="E3416">
        <v>0.50459960000000004</v>
      </c>
      <c r="F3416" t="s">
        <v>56</v>
      </c>
      <c r="G3416">
        <v>-236.4033</v>
      </c>
      <c r="H3416" s="1">
        <v>1.8265589999999999E-6</v>
      </c>
      <c r="I3416">
        <v>215.62700000000001</v>
      </c>
      <c r="J3416">
        <v>-266.4468</v>
      </c>
      <c r="K3416">
        <v>1.1096349999999999</v>
      </c>
      <c r="L3416">
        <v>214.5044</v>
      </c>
      <c r="M3416">
        <v>0.99988100000000002</v>
      </c>
      <c r="N3416">
        <v>-1.4915289999999999E-2</v>
      </c>
      <c r="O3416">
        <v>-3.9617890000000003E-3</v>
      </c>
      <c r="P3416">
        <v>0.9983495</v>
      </c>
      <c r="Q3416">
        <v>-2.5921360000000001E-2</v>
      </c>
      <c r="R3416">
        <v>5.1246920000000001E-2</v>
      </c>
      <c r="S3416">
        <v>2.9963989999999998</v>
      </c>
      <c r="T3416">
        <v>-0.10889890000000001</v>
      </c>
      <c r="U3416">
        <v>0.1099854</v>
      </c>
      <c r="V3416">
        <v>-5.518468E-2</v>
      </c>
      <c r="W3416">
        <v>-1.111939E-2</v>
      </c>
      <c r="X3416">
        <v>0.99841420000000003</v>
      </c>
      <c r="Y3416">
        <v>-4.0601730000000003E-2</v>
      </c>
      <c r="Z3416">
        <v>1.125189E-3</v>
      </c>
      <c r="AA3416">
        <v>0.99917480000000003</v>
      </c>
      <c r="AB3416">
        <v>49</v>
      </c>
      <c r="AC3416">
        <v>30.043499999999899</v>
      </c>
      <c r="AD3416">
        <v>-1.1096331734410001</v>
      </c>
      <c r="AE3416">
        <v>1.1226</v>
      </c>
      <c r="AF3416">
        <v>-1.23994133629416</v>
      </c>
      <c r="AG3416">
        <v>-1.1096331734410001</v>
      </c>
      <c r="AH3416">
        <v>29.9979519252439</v>
      </c>
      <c r="AI3416">
        <v>92.116616377393399</v>
      </c>
      <c r="AJ3416">
        <v>92.366927829456998</v>
      </c>
      <c r="AK3416">
        <v>30.0440653042543</v>
      </c>
      <c r="AL3416">
        <v>90.6371072773875</v>
      </c>
      <c r="AM3416">
        <v>93.163652217958401</v>
      </c>
      <c r="AN3416">
        <v>0.99999995225115601</v>
      </c>
    </row>
    <row r="3417" spans="1:40" x14ac:dyDescent="0.25">
      <c r="A3417" t="str">
        <f>"20190305135301657"</f>
        <v>20190305135301657</v>
      </c>
      <c r="B3417" t="str">
        <f>"1551765181653351"</f>
        <v>1551765181653351</v>
      </c>
      <c r="C3417" t="s">
        <v>40</v>
      </c>
      <c r="D3417">
        <v>4.5325930000000003</v>
      </c>
      <c r="E3417">
        <v>0.50412209999999902</v>
      </c>
      <c r="F3417" t="s">
        <v>56</v>
      </c>
      <c r="G3417">
        <v>-236.33359999999999</v>
      </c>
      <c r="H3417" s="1">
        <v>1.787483E-6</v>
      </c>
      <c r="I3417">
        <v>215.67240000000001</v>
      </c>
      <c r="J3417">
        <v>-265.94690000000003</v>
      </c>
      <c r="K3417">
        <v>1.109645</v>
      </c>
      <c r="L3417">
        <v>214.50280000000001</v>
      </c>
      <c r="M3417">
        <v>0.99988299999999997</v>
      </c>
      <c r="N3417">
        <v>-1.4911880000000001E-2</v>
      </c>
      <c r="O3417">
        <v>-3.443134E-3</v>
      </c>
      <c r="P3417">
        <v>0.99823229999999996</v>
      </c>
      <c r="Q3417">
        <v>-2.635906E-2</v>
      </c>
      <c r="R3417">
        <v>5.3270020000000001E-2</v>
      </c>
      <c r="S3417">
        <v>2.996124</v>
      </c>
      <c r="T3417">
        <v>-0.110403399999999</v>
      </c>
      <c r="U3417">
        <v>0.11621090000000001</v>
      </c>
      <c r="V3417">
        <v>-5.6688740000000001E-2</v>
      </c>
      <c r="W3417">
        <v>-1.1564110000000001E-2</v>
      </c>
      <c r="X3417">
        <v>0.99832489999999996</v>
      </c>
      <c r="Y3417">
        <v>-4.2157670000000001E-2</v>
      </c>
      <c r="Z3417">
        <v>1.166254E-3</v>
      </c>
      <c r="AA3417">
        <v>0.99911030000000001</v>
      </c>
      <c r="AB3417">
        <v>49</v>
      </c>
      <c r="AC3417">
        <v>29.613299999999999</v>
      </c>
      <c r="AD3417">
        <v>-1.1096432125169999</v>
      </c>
      <c r="AE3417">
        <v>1.1696</v>
      </c>
      <c r="AF3417">
        <v>-1.2697868413908999</v>
      </c>
      <c r="AG3417">
        <v>-1.1096432125169999</v>
      </c>
      <c r="AH3417">
        <v>29.567646087380599</v>
      </c>
      <c r="AI3417">
        <v>92.147265461385402</v>
      </c>
      <c r="AJ3417">
        <v>92.459064549014698</v>
      </c>
      <c r="AK3417">
        <v>29.615694518789301</v>
      </c>
      <c r="AL3417">
        <v>90.662589482529398</v>
      </c>
      <c r="AM3417">
        <v>93.249985351666993</v>
      </c>
      <c r="AN3417">
        <v>0.99999997392144402</v>
      </c>
    </row>
    <row r="3418" spans="1:40" x14ac:dyDescent="0.25">
      <c r="A3418" t="str">
        <f>"20190305135301681"</f>
        <v>20190305135301681</v>
      </c>
      <c r="B3418" t="str">
        <f>"1551765181672871"</f>
        <v>1551765181672871</v>
      </c>
      <c r="C3418" t="s">
        <v>40</v>
      </c>
      <c r="D3418">
        <v>4.5126609999999996</v>
      </c>
      <c r="E3418">
        <v>0.50394589999999995</v>
      </c>
      <c r="F3418" t="s">
        <v>56</v>
      </c>
      <c r="G3418">
        <v>-237.4205</v>
      </c>
      <c r="H3418" s="1">
        <v>2.3645809999999999E-6</v>
      </c>
      <c r="I3418">
        <v>215.70160000000001</v>
      </c>
      <c r="J3418">
        <v>-265.4264</v>
      </c>
      <c r="K3418">
        <v>1.1096509999999999</v>
      </c>
      <c r="L3418">
        <v>214.50139999999999</v>
      </c>
      <c r="M3418">
        <v>0.99988469999999996</v>
      </c>
      <c r="N3418">
        <v>-1.4908350000000001E-2</v>
      </c>
      <c r="O3418">
        <v>-2.903021E-3</v>
      </c>
      <c r="P3418">
        <v>0.99816700000000003</v>
      </c>
      <c r="Q3418">
        <v>-2.6423499999999999E-2</v>
      </c>
      <c r="R3418">
        <v>5.4448089999999998E-2</v>
      </c>
      <c r="S3418">
        <v>2.9954830000000001</v>
      </c>
      <c r="T3418">
        <v>-0.1165206</v>
      </c>
      <c r="U3418">
        <v>0.125885</v>
      </c>
      <c r="V3418">
        <v>-5.7327530000000002E-2</v>
      </c>
      <c r="W3418">
        <v>-1.163351E-2</v>
      </c>
      <c r="X3418">
        <v>0.99828760000000005</v>
      </c>
      <c r="Y3418">
        <v>-4.48408E-2</v>
      </c>
      <c r="Z3418">
        <v>1.2755850000000001E-3</v>
      </c>
      <c r="AA3418">
        <v>0.99899329999999997</v>
      </c>
      <c r="AB3418">
        <v>49</v>
      </c>
      <c r="AC3418">
        <v>28.0059</v>
      </c>
      <c r="AD3418">
        <v>-1.1096486354190001</v>
      </c>
      <c r="AE3418">
        <v>1.2002000000000199</v>
      </c>
      <c r="AF3418">
        <v>-1.27950068442516</v>
      </c>
      <c r="AG3418">
        <v>-1.1096486354190001</v>
      </c>
      <c r="AH3418">
        <v>27.9584858156827</v>
      </c>
      <c r="AI3418">
        <v>92.270454228162507</v>
      </c>
      <c r="AJ3418">
        <v>92.620273299044698</v>
      </c>
      <c r="AK3418">
        <v>28.0097370784029</v>
      </c>
      <c r="AL3418">
        <v>90.666566087656506</v>
      </c>
      <c r="AM3418">
        <v>93.286650103032301</v>
      </c>
      <c r="AN3418">
        <v>0.99999995828228905</v>
      </c>
    </row>
    <row r="3419" spans="1:40" x14ac:dyDescent="0.25">
      <c r="A3419" t="str">
        <f>"20190305135301703"</f>
        <v>20190305135301703</v>
      </c>
      <c r="B3419" t="str">
        <f>"1551765181693367"</f>
        <v>1551765181693367</v>
      </c>
      <c r="C3419" t="s">
        <v>40</v>
      </c>
      <c r="D3419">
        <v>4.5438559999999999</v>
      </c>
      <c r="E3419">
        <v>0.50383299999999998</v>
      </c>
      <c r="F3419" t="s">
        <v>56</v>
      </c>
      <c r="G3419">
        <v>-237.4539</v>
      </c>
      <c r="H3419" s="1">
        <v>2.38147E-6</v>
      </c>
      <c r="I3419">
        <v>215.72210000000001</v>
      </c>
      <c r="J3419">
        <v>-264.94900000000001</v>
      </c>
      <c r="K3419">
        <v>1.109661</v>
      </c>
      <c r="L3419">
        <v>214.50040000000001</v>
      </c>
      <c r="M3419">
        <v>0.99988600000000005</v>
      </c>
      <c r="N3419">
        <v>-1.4905140000000001E-2</v>
      </c>
      <c r="O3419">
        <v>-2.405688E-3</v>
      </c>
      <c r="P3419">
        <v>0.99808580000000002</v>
      </c>
      <c r="Q3419">
        <v>-2.6358800000000002E-2</v>
      </c>
      <c r="R3419">
        <v>5.5947259999999999E-2</v>
      </c>
      <c r="S3419">
        <v>2.9952390000000002</v>
      </c>
      <c r="T3419">
        <v>-0.1188191</v>
      </c>
      <c r="U3419">
        <v>0.13070680000000001</v>
      </c>
      <c r="V3419">
        <v>-5.8330519999999997E-2</v>
      </c>
      <c r="W3419">
        <v>-1.157445E-2</v>
      </c>
      <c r="X3419">
        <v>0.99823019999999996</v>
      </c>
      <c r="Y3419">
        <v>-4.5949829999999997E-2</v>
      </c>
      <c r="Z3419">
        <v>1.3129369999999999E-3</v>
      </c>
      <c r="AA3419">
        <v>0.99894289999999997</v>
      </c>
      <c r="AB3419">
        <v>49</v>
      </c>
      <c r="AC3419">
        <v>27.495100000000001</v>
      </c>
      <c r="AD3419">
        <v>-1.1096586185299999</v>
      </c>
      <c r="AE3419">
        <v>1.22169999999999</v>
      </c>
      <c r="AF3419">
        <v>-1.28575832744216</v>
      </c>
      <c r="AG3419">
        <v>-1.1096586185299999</v>
      </c>
      <c r="AH3419">
        <v>27.447462686296401</v>
      </c>
      <c r="AI3419">
        <v>92.3125860836046</v>
      </c>
      <c r="AJ3419">
        <v>92.682022430673399</v>
      </c>
      <c r="AK3419">
        <v>27.499958629821599</v>
      </c>
      <c r="AL3419">
        <v>90.663181959958706</v>
      </c>
      <c r="AM3419">
        <v>93.344215092624793</v>
      </c>
      <c r="AN3419">
        <v>0.99999997482415603</v>
      </c>
    </row>
    <row r="3420" spans="1:40" x14ac:dyDescent="0.25">
      <c r="A3420" t="str">
        <f>"20190305135301724"</f>
        <v>20190305135301724</v>
      </c>
      <c r="B3420" t="str">
        <f>"1551765181712887"</f>
        <v>1551765181712887</v>
      </c>
      <c r="C3420" t="s">
        <v>40</v>
      </c>
      <c r="D3420">
        <v>4.5166309999999896</v>
      </c>
      <c r="E3420">
        <v>0.50375639999999999</v>
      </c>
      <c r="F3420" t="s">
        <v>56</v>
      </c>
      <c r="G3420">
        <v>-237.2663</v>
      </c>
      <c r="H3420" s="1">
        <v>2.279962E-6</v>
      </c>
      <c r="I3420">
        <v>215.7602</v>
      </c>
      <c r="J3420">
        <v>-264.49130000000002</v>
      </c>
      <c r="K3420">
        <v>1.109666</v>
      </c>
      <c r="L3420">
        <v>214.49959999999999</v>
      </c>
      <c r="M3420">
        <v>0.99988710000000003</v>
      </c>
      <c r="N3420">
        <v>-1.49021E-2</v>
      </c>
      <c r="O3420">
        <v>-1.9239400000000001E-3</v>
      </c>
      <c r="P3420">
        <v>0.99805980000000005</v>
      </c>
      <c r="Q3420">
        <v>-2.586813E-2</v>
      </c>
      <c r="R3420">
        <v>5.6633639999999999E-2</v>
      </c>
      <c r="S3420">
        <v>2.994904</v>
      </c>
      <c r="T3420">
        <v>-0.1200504</v>
      </c>
      <c r="U3420">
        <v>0.13629150000000001</v>
      </c>
      <c r="V3420">
        <v>-5.8536459999999998E-2</v>
      </c>
      <c r="W3420">
        <v>-1.108745E-2</v>
      </c>
      <c r="X3420">
        <v>0.99822370000000005</v>
      </c>
      <c r="Y3420">
        <v>-4.7330169999999998E-2</v>
      </c>
      <c r="Z3420">
        <v>1.34919799999999E-3</v>
      </c>
      <c r="AA3420">
        <v>0.99887840000000006</v>
      </c>
      <c r="AB3420">
        <v>49</v>
      </c>
      <c r="AC3420">
        <v>27.225000000000001</v>
      </c>
      <c r="AD3420">
        <v>-1.109663720038</v>
      </c>
      <c r="AE3420">
        <v>1.2606000000000099</v>
      </c>
      <c r="AF3420">
        <v>-1.31080976611032</v>
      </c>
      <c r="AG3420">
        <v>-1.109663720038</v>
      </c>
      <c r="AH3420">
        <v>27.177470784918299</v>
      </c>
      <c r="AI3420">
        <v>92.335392163582398</v>
      </c>
      <c r="AJ3420">
        <v>92.761320641030295</v>
      </c>
      <c r="AK3420">
        <v>27.231681807769199</v>
      </c>
      <c r="AL3420">
        <v>90.635277105697597</v>
      </c>
      <c r="AM3420">
        <v>93.356016942619107</v>
      </c>
      <c r="AN3420">
        <v>1.0000000019692601</v>
      </c>
    </row>
    <row r="3421" spans="1:40" x14ac:dyDescent="0.25">
      <c r="A3421" t="str">
        <f>"20190305135301747"</f>
        <v>20190305135301747</v>
      </c>
      <c r="B3421" t="str">
        <f>"1551765181743144"</f>
        <v>1551765181743144</v>
      </c>
      <c r="C3421" t="s">
        <v>40</v>
      </c>
      <c r="D3421">
        <v>4.4848869999999996</v>
      </c>
      <c r="E3421">
        <v>0.50367269999999997</v>
      </c>
      <c r="F3421" t="s">
        <v>56</v>
      </c>
      <c r="G3421">
        <v>-236.80430000000001</v>
      </c>
      <c r="H3421" s="1">
        <v>2.0331570000000002E-6</v>
      </c>
      <c r="I3421">
        <v>215.7826</v>
      </c>
      <c r="J3421">
        <v>-264.00229999999999</v>
      </c>
      <c r="K3421">
        <v>1.1096760000000001</v>
      </c>
      <c r="L3421">
        <v>214.4991</v>
      </c>
      <c r="M3421">
        <v>0.999888</v>
      </c>
      <c r="N3421">
        <v>-1.489892E-2</v>
      </c>
      <c r="O3421">
        <v>-1.3974230000000001E-3</v>
      </c>
      <c r="P3421">
        <v>0.9980135</v>
      </c>
      <c r="Q3421">
        <v>-2.5244220000000001E-2</v>
      </c>
      <c r="R3421">
        <v>5.7721559999999998E-2</v>
      </c>
      <c r="S3421">
        <v>2.9948429999999999</v>
      </c>
      <c r="T3421">
        <v>-0.1200302</v>
      </c>
      <c r="U3421">
        <v>0.1387787</v>
      </c>
      <c r="V3421">
        <v>-5.9099470000000001E-2</v>
      </c>
      <c r="W3421">
        <v>-1.04688E-2</v>
      </c>
      <c r="X3421">
        <v>0.99819720000000001</v>
      </c>
      <c r="Y3421">
        <v>-4.7632769999999998E-2</v>
      </c>
      <c r="Z3421">
        <v>1.3440360000000001E-3</v>
      </c>
      <c r="AA3421">
        <v>0.99886399999999997</v>
      </c>
      <c r="AB3421">
        <v>49</v>
      </c>
      <c r="AC3421">
        <v>27.197999999999901</v>
      </c>
      <c r="AD3421">
        <v>-1.109673966843</v>
      </c>
      <c r="AE3421">
        <v>1.2835000000000001</v>
      </c>
      <c r="AF3421">
        <v>-1.31931878413201</v>
      </c>
      <c r="AG3421">
        <v>-1.109673966843</v>
      </c>
      <c r="AH3421">
        <v>27.151083655948</v>
      </c>
      <c r="AI3421">
        <v>92.337640258829396</v>
      </c>
      <c r="AJ3421">
        <v>92.781914299911307</v>
      </c>
      <c r="AK3421">
        <v>27.205758987007499</v>
      </c>
      <c r="AL3421">
        <v>90.599829015395699</v>
      </c>
      <c r="AM3421">
        <v>93.388310373834898</v>
      </c>
      <c r="AN3421">
        <v>0.99999999660778005</v>
      </c>
    </row>
    <row r="3422" spans="1:40" x14ac:dyDescent="0.25">
      <c r="A3422" t="str">
        <f>"20190305135301769"</f>
        <v>20190305135301769</v>
      </c>
      <c r="B3422" t="str">
        <f>"1551765181762663"</f>
        <v>1551765181762663</v>
      </c>
      <c r="C3422" t="s">
        <v>40</v>
      </c>
      <c r="D3422">
        <v>4.5071640000000004</v>
      </c>
      <c r="E3422">
        <v>0.50367079999999997</v>
      </c>
      <c r="F3422" t="s">
        <v>56</v>
      </c>
      <c r="G3422">
        <v>-236.23</v>
      </c>
      <c r="H3422" s="1">
        <v>1.725744E-6</v>
      </c>
      <c r="I3422">
        <v>215.82300000000001</v>
      </c>
      <c r="J3422">
        <v>-263.49459999999999</v>
      </c>
      <c r="K3422">
        <v>1.109688</v>
      </c>
      <c r="L3422">
        <v>214.49879999999999</v>
      </c>
      <c r="M3422">
        <v>0.99988889999999997</v>
      </c>
      <c r="N3422">
        <v>-1.489569E-2</v>
      </c>
      <c r="O3422">
        <v>-8.3003619999999999E-4</v>
      </c>
      <c r="P3422">
        <v>0.99800770000000005</v>
      </c>
      <c r="Q3422">
        <v>-2.504897E-2</v>
      </c>
      <c r="R3422">
        <v>5.7910339999999998E-2</v>
      </c>
      <c r="S3422">
        <v>2.9946899999999999</v>
      </c>
      <c r="T3422">
        <v>-0.11965629999999999</v>
      </c>
      <c r="U3422">
        <v>0.1427612</v>
      </c>
      <c r="V3422">
        <v>-5.8722129999999997E-2</v>
      </c>
      <c r="W3422">
        <v>-1.027753E-2</v>
      </c>
      <c r="X3422">
        <v>0.99822149999999998</v>
      </c>
      <c r="Y3422">
        <v>-4.8393360000000003E-2</v>
      </c>
      <c r="Z3422">
        <v>1.3475E-3</v>
      </c>
      <c r="AA3422">
        <v>0.99882749999999998</v>
      </c>
      <c r="AB3422">
        <v>49</v>
      </c>
      <c r="AC3422">
        <v>27.264600000000002</v>
      </c>
      <c r="AD3422">
        <v>-1.1096862742560001</v>
      </c>
      <c r="AE3422">
        <v>1.3241999999999901</v>
      </c>
      <c r="AF3422">
        <v>-1.34461049500267</v>
      </c>
      <c r="AG3422">
        <v>-1.1096862742560001</v>
      </c>
      <c r="AH3422">
        <v>27.2185088854417</v>
      </c>
      <c r="AI3422">
        <v>92.331789642666905</v>
      </c>
      <c r="AJ3422">
        <v>92.828146391830003</v>
      </c>
      <c r="AK3422">
        <v>27.274284719446101</v>
      </c>
      <c r="AL3422">
        <v>90.588869436612001</v>
      </c>
      <c r="AM3422">
        <v>93.366644746254096</v>
      </c>
      <c r="AN3422">
        <v>1.0000000396184401</v>
      </c>
    </row>
    <row r="3423" spans="1:40" x14ac:dyDescent="0.25">
      <c r="A3423" t="str">
        <f>"20190305135301791"</f>
        <v>20190305135301791</v>
      </c>
      <c r="B3423" t="str">
        <f>"1551765181783158"</f>
        <v>1551765181783158</v>
      </c>
      <c r="C3423" t="s">
        <v>40</v>
      </c>
      <c r="D3423">
        <v>4.5242500000000003</v>
      </c>
      <c r="E3423">
        <v>0.50373610000000002</v>
      </c>
      <c r="F3423" t="s">
        <v>56</v>
      </c>
      <c r="G3423">
        <v>-235.88820000000001</v>
      </c>
      <c r="H3423" s="1">
        <v>1.543988E-6</v>
      </c>
      <c r="I3423">
        <v>215.81989999999999</v>
      </c>
      <c r="J3423">
        <v>-263.01929999999999</v>
      </c>
      <c r="K3423">
        <v>1.1096969999999999</v>
      </c>
      <c r="L3423">
        <v>214.49879999999999</v>
      </c>
      <c r="M3423">
        <v>0.99988909999999998</v>
      </c>
      <c r="N3423">
        <v>-1.489272E-2</v>
      </c>
      <c r="O3423">
        <v>-2.8024469999999999E-4</v>
      </c>
      <c r="P3423">
        <v>0.99804150000000003</v>
      </c>
      <c r="Q3423">
        <v>-2.4564590000000001E-2</v>
      </c>
      <c r="R3423">
        <v>5.7530369999999997E-2</v>
      </c>
      <c r="S3423">
        <v>2.994659</v>
      </c>
      <c r="T3423">
        <v>-0.1203753</v>
      </c>
      <c r="U3423">
        <v>0.14331050000000001</v>
      </c>
      <c r="V3423">
        <v>-5.7794209999999999E-2</v>
      </c>
      <c r="W3423">
        <v>-9.7958100000000003E-3</v>
      </c>
      <c r="X3423">
        <v>0.99828050000000002</v>
      </c>
      <c r="Y3423">
        <v>-4.8027460000000001E-2</v>
      </c>
      <c r="Z3423">
        <v>1.3294660000000001E-3</v>
      </c>
      <c r="AA3423">
        <v>0.99884519999999999</v>
      </c>
      <c r="AB3423">
        <v>49</v>
      </c>
      <c r="AC3423">
        <v>27.131099999999901</v>
      </c>
      <c r="AD3423">
        <v>-1.109695456012</v>
      </c>
      <c r="AE3423">
        <v>1.3210999999999999</v>
      </c>
      <c r="AF3423">
        <v>-1.3264902871366899</v>
      </c>
      <c r="AG3423">
        <v>-1.109695456012</v>
      </c>
      <c r="AH3423">
        <v>27.085524174466901</v>
      </c>
      <c r="AI3423">
        <v>92.343293896677906</v>
      </c>
      <c r="AJ3423">
        <v>92.803771447642504</v>
      </c>
      <c r="AK3423">
        <v>27.140682015981</v>
      </c>
      <c r="AL3423">
        <v>90.561267522563796</v>
      </c>
      <c r="AM3423">
        <v>93.313369521747404</v>
      </c>
      <c r="AN3423">
        <v>1.00000004264166</v>
      </c>
    </row>
    <row r="3424" spans="1:40" x14ac:dyDescent="0.25">
      <c r="A3424" t="str">
        <f>"20190305135301813"</f>
        <v>20190305135301813</v>
      </c>
      <c r="B3424" t="str">
        <f>"1551765181803655"</f>
        <v>1551765181803655</v>
      </c>
      <c r="C3424" t="s">
        <v>40</v>
      </c>
      <c r="D3424">
        <v>4.4912809999999999</v>
      </c>
      <c r="E3424">
        <v>0.50380000000000003</v>
      </c>
      <c r="F3424" t="s">
        <v>56</v>
      </c>
      <c r="G3424">
        <v>-235.29679999999999</v>
      </c>
      <c r="H3424" s="1">
        <v>1.229776E-6</v>
      </c>
      <c r="I3424">
        <v>215.8092</v>
      </c>
      <c r="J3424">
        <v>-262.54950000000002</v>
      </c>
      <c r="K3424">
        <v>1.1097129999999999</v>
      </c>
      <c r="L3424">
        <v>214.4991</v>
      </c>
      <c r="M3424">
        <v>0.99988929999999998</v>
      </c>
      <c r="N3424">
        <v>-1.488983E-2</v>
      </c>
      <c r="O3424">
        <v>2.8731319999999999E-4</v>
      </c>
      <c r="P3424">
        <v>0.99805250000000001</v>
      </c>
      <c r="Q3424">
        <v>-2.4466330000000001E-2</v>
      </c>
      <c r="R3424">
        <v>5.7385310000000002E-2</v>
      </c>
      <c r="S3424">
        <v>2.9947810000000001</v>
      </c>
      <c r="T3424">
        <v>-0.1198772</v>
      </c>
      <c r="U3424">
        <v>0.14155580000000001</v>
      </c>
      <c r="V3424">
        <v>-5.7082130000000002E-2</v>
      </c>
      <c r="W3424">
        <v>-9.7013020000000002E-3</v>
      </c>
      <c r="X3424">
        <v>0.99832240000000005</v>
      </c>
      <c r="Y3424">
        <v>-4.6876399999999999E-2</v>
      </c>
      <c r="Z3424">
        <v>1.279484E-3</v>
      </c>
      <c r="AA3424">
        <v>0.99889989999999995</v>
      </c>
      <c r="AB3424">
        <v>49</v>
      </c>
      <c r="AC3424">
        <v>27.252700000000001</v>
      </c>
      <c r="AD3424">
        <v>-1.109711770224</v>
      </c>
      <c r="AE3424">
        <v>1.3101</v>
      </c>
      <c r="AF3424">
        <v>-1.30011830959823</v>
      </c>
      <c r="AG3424">
        <v>-1.109711770224</v>
      </c>
      <c r="AH3424">
        <v>27.208066620031101</v>
      </c>
      <c r="AI3424">
        <v>92.332919701264004</v>
      </c>
      <c r="AJ3424">
        <v>92.735757534903399</v>
      </c>
      <c r="AK3424">
        <v>27.2617067886803</v>
      </c>
      <c r="AL3424">
        <v>90.555852352084102</v>
      </c>
      <c r="AM3424">
        <v>93.272497867095893</v>
      </c>
      <c r="AN3424">
        <v>1.00000004958379</v>
      </c>
    </row>
    <row r="3425" spans="1:40" x14ac:dyDescent="0.25">
      <c r="A3425" t="str">
        <f>"20190305135301835"</f>
        <v>20190305135301835</v>
      </c>
      <c r="B3425" t="str">
        <f>"1551765181823174"</f>
        <v>1551765181823174</v>
      </c>
      <c r="C3425" t="s">
        <v>40</v>
      </c>
      <c r="D3425">
        <v>4.5708190000000002</v>
      </c>
      <c r="E3425">
        <v>0.50395509999999999</v>
      </c>
      <c r="F3425" t="s">
        <v>56</v>
      </c>
      <c r="G3425">
        <v>-235.01230000000001</v>
      </c>
      <c r="H3425" s="1">
        <v>1.079093E-6</v>
      </c>
      <c r="I3425">
        <v>215.7927</v>
      </c>
      <c r="J3425">
        <v>-262.06169999999997</v>
      </c>
      <c r="K3425">
        <v>1.109737</v>
      </c>
      <c r="L3425">
        <v>214.49969999999999</v>
      </c>
      <c r="M3425">
        <v>0.99988880000000002</v>
      </c>
      <c r="N3425">
        <v>-1.48869E-2</v>
      </c>
      <c r="O3425">
        <v>9.1094380000000005E-4</v>
      </c>
      <c r="P3425">
        <v>0.9980175</v>
      </c>
      <c r="Q3425">
        <v>-2.483904E-2</v>
      </c>
      <c r="R3425">
        <v>5.782901E-2</v>
      </c>
      <c r="S3425">
        <v>2.994812</v>
      </c>
      <c r="T3425">
        <v>-0.1206869</v>
      </c>
      <c r="U3425">
        <v>0.14068599999999901</v>
      </c>
      <c r="V3425">
        <v>-5.6901970000000003E-2</v>
      </c>
      <c r="W3425">
        <v>-1.0080220000000001E-2</v>
      </c>
      <c r="X3425">
        <v>0.99832889999999996</v>
      </c>
      <c r="Y3425">
        <v>-4.5964049999999999E-2</v>
      </c>
      <c r="Z3425">
        <v>1.2446639999999999E-3</v>
      </c>
      <c r="AA3425">
        <v>0.99894229999999995</v>
      </c>
      <c r="AB3425">
        <v>49</v>
      </c>
      <c r="AC3425">
        <v>27.049399999999899</v>
      </c>
      <c r="AD3425">
        <v>-1.1097359209069999</v>
      </c>
      <c r="AE3425">
        <v>1.2929999999999999</v>
      </c>
      <c r="AF3425">
        <v>-1.26622984823038</v>
      </c>
      <c r="AG3425">
        <v>-1.1097359209069999</v>
      </c>
      <c r="AH3425">
        <v>27.005216424758899</v>
      </c>
      <c r="AI3425">
        <v>92.350574340482694</v>
      </c>
      <c r="AJ3425">
        <v>92.684537975624494</v>
      </c>
      <c r="AK3425">
        <v>27.057652632679901</v>
      </c>
      <c r="AL3425">
        <v>90.577563833110403</v>
      </c>
      <c r="AM3425">
        <v>93.262170507639894</v>
      </c>
      <c r="AN3425">
        <v>1.0000000188001601</v>
      </c>
    </row>
    <row r="3426" spans="1:40" x14ac:dyDescent="0.25">
      <c r="A3426" t="str">
        <f>"20190305135301859"</f>
        <v>20190305135301859</v>
      </c>
      <c r="B3426" t="str">
        <f>"1551765181853431"</f>
        <v>1551765181853431</v>
      </c>
      <c r="C3426" t="s">
        <v>40</v>
      </c>
      <c r="D3426">
        <v>4.4761069999999998</v>
      </c>
      <c r="E3426">
        <v>0.50407740000000001</v>
      </c>
      <c r="F3426" t="s">
        <v>56</v>
      </c>
      <c r="G3426">
        <v>-235.02269999999999</v>
      </c>
      <c r="H3426" s="1">
        <v>1.085606E-6</v>
      </c>
      <c r="I3426">
        <v>215.76990000000001</v>
      </c>
      <c r="J3426">
        <v>-261.55939999999998</v>
      </c>
      <c r="K3426">
        <v>1.109766</v>
      </c>
      <c r="L3426">
        <v>214.50059999999999</v>
      </c>
      <c r="M3426">
        <v>0.999888</v>
      </c>
      <c r="N3426">
        <v>-1.488395E-2</v>
      </c>
      <c r="O3426">
        <v>1.5936259999999999E-3</v>
      </c>
      <c r="P3426">
        <v>0.99797729999999996</v>
      </c>
      <c r="Q3426">
        <v>-2.5223550000000001E-2</v>
      </c>
      <c r="R3426">
        <v>5.8352889999999998E-2</v>
      </c>
      <c r="S3426">
        <v>2.99472</v>
      </c>
      <c r="T3426">
        <v>-0.122909199999999</v>
      </c>
      <c r="U3426">
        <v>0.14068599999999901</v>
      </c>
      <c r="V3426">
        <v>-5.6742269999999997E-2</v>
      </c>
      <c r="W3426">
        <v>-1.0471909999999999E-2</v>
      </c>
      <c r="X3426">
        <v>0.9983339</v>
      </c>
      <c r="Y3426">
        <v>-4.5282830000000003E-2</v>
      </c>
      <c r="Z3426">
        <v>1.2240969999999999E-3</v>
      </c>
      <c r="AA3426">
        <v>0.99897340000000001</v>
      </c>
      <c r="AB3426">
        <v>49</v>
      </c>
      <c r="AC3426">
        <v>26.5367</v>
      </c>
      <c r="AD3426">
        <v>-1.109764914394</v>
      </c>
      <c r="AE3426">
        <v>1.2693000000000101</v>
      </c>
      <c r="AF3426">
        <v>-1.2248668341707201</v>
      </c>
      <c r="AG3426">
        <v>-1.109764914394</v>
      </c>
      <c r="AH3426">
        <v>26.492462066401</v>
      </c>
      <c r="AI3426">
        <v>92.396151771220801</v>
      </c>
      <c r="AJ3426">
        <v>92.647158945948803</v>
      </c>
      <c r="AK3426">
        <v>26.5439715051528</v>
      </c>
      <c r="AL3426">
        <v>90.600007236406498</v>
      </c>
      <c r="AM3426">
        <v>93.253018394214905</v>
      </c>
      <c r="AN3426">
        <v>0.99999996099650401</v>
      </c>
    </row>
    <row r="3427" spans="1:40" x14ac:dyDescent="0.25">
      <c r="A3427" t="str">
        <f>"20190305135301881"</f>
        <v>20190305135301881</v>
      </c>
      <c r="B3427" t="str">
        <f>"1551765181872951"</f>
        <v>1551765181872951</v>
      </c>
      <c r="C3427" t="s">
        <v>40</v>
      </c>
      <c r="D3427">
        <v>4.4986030000000001</v>
      </c>
      <c r="E3427">
        <v>0.50417970000000001</v>
      </c>
      <c r="F3427" t="s">
        <v>56</v>
      </c>
      <c r="G3427">
        <v>-235.15479999999999</v>
      </c>
      <c r="H3427" s="1">
        <v>1.157004E-6</v>
      </c>
      <c r="I3427">
        <v>215.74549999999999</v>
      </c>
      <c r="J3427">
        <v>-261.06020000000001</v>
      </c>
      <c r="K3427">
        <v>1.1098059999999901</v>
      </c>
      <c r="L3427">
        <v>214.50190000000001</v>
      </c>
      <c r="M3427">
        <v>0.99988659999999996</v>
      </c>
      <c r="N3427">
        <v>-1.488108E-2</v>
      </c>
      <c r="O3427">
        <v>2.315358E-3</v>
      </c>
      <c r="P3427">
        <v>0.99791319999999994</v>
      </c>
      <c r="Q3427">
        <v>-2.5503049999999999E-2</v>
      </c>
      <c r="R3427">
        <v>5.932254E-2</v>
      </c>
      <c r="S3427">
        <v>2.9946290000000002</v>
      </c>
      <c r="T3427">
        <v>-0.1258619</v>
      </c>
      <c r="U3427">
        <v>0.1411896</v>
      </c>
      <c r="V3427">
        <v>-5.6990579999999999E-2</v>
      </c>
      <c r="W3427">
        <v>-1.0760270000000001E-2</v>
      </c>
      <c r="X3427">
        <v>0.99831669999999995</v>
      </c>
      <c r="Y3427">
        <v>-4.4729579999999998E-2</v>
      </c>
      <c r="Z3427">
        <v>1.2094670000000001E-3</v>
      </c>
      <c r="AA3427">
        <v>0.99899839999999995</v>
      </c>
      <c r="AB3427">
        <v>49</v>
      </c>
      <c r="AC3427">
        <v>25.9054</v>
      </c>
      <c r="AD3427">
        <v>-1.1098048429959999</v>
      </c>
      <c r="AE3427">
        <v>1.2435999999999801</v>
      </c>
      <c r="AF3427">
        <v>-1.1814463981668899</v>
      </c>
      <c r="AG3427">
        <v>-1.1098048429959999</v>
      </c>
      <c r="AH3427">
        <v>25.8608563353358</v>
      </c>
      <c r="AI3427">
        <v>92.454752846649299</v>
      </c>
      <c r="AJ3427">
        <v>92.615723826171205</v>
      </c>
      <c r="AK3427">
        <v>25.911606912311601</v>
      </c>
      <c r="AL3427">
        <v>90.616529972670406</v>
      </c>
      <c r="AM3427">
        <v>93.267279332854997</v>
      </c>
      <c r="AN3427">
        <v>0.99999997155904896</v>
      </c>
    </row>
    <row r="3428" spans="1:40" x14ac:dyDescent="0.25">
      <c r="A3428" t="str">
        <f>"20190305135301904"</f>
        <v>20190305135301904</v>
      </c>
      <c r="B3428" t="str">
        <f>"1551765181893447"</f>
        <v>1551765181893447</v>
      </c>
      <c r="C3428" t="s">
        <v>40</v>
      </c>
      <c r="D3428">
        <v>4.5040139999999997</v>
      </c>
      <c r="E3428">
        <v>0.50430390000000003</v>
      </c>
      <c r="F3428" t="s">
        <v>56</v>
      </c>
      <c r="G3428">
        <v>-235.02170000000001</v>
      </c>
      <c r="H3428" s="1">
        <v>1.0859850000000001E-6</v>
      </c>
      <c r="I3428">
        <v>215.74889999999999</v>
      </c>
      <c r="J3428">
        <v>-260.57749999999999</v>
      </c>
      <c r="K3428">
        <v>1.109855</v>
      </c>
      <c r="L3428">
        <v>214.50360000000001</v>
      </c>
      <c r="M3428">
        <v>0.99988480000000002</v>
      </c>
      <c r="N3428">
        <v>-1.487861E-2</v>
      </c>
      <c r="O3428">
        <v>3.0542170000000001E-3</v>
      </c>
      <c r="P3428">
        <v>0.99787090000000001</v>
      </c>
      <c r="Q3428">
        <v>-2.5087310000000002E-2</v>
      </c>
      <c r="R3428">
        <v>6.020404E-2</v>
      </c>
      <c r="S3428">
        <v>2.9944760000000001</v>
      </c>
      <c r="T3428">
        <v>-0.12762950000000001</v>
      </c>
      <c r="U3428">
        <v>0.1434021</v>
      </c>
      <c r="V3428">
        <v>-5.7134119999999997E-2</v>
      </c>
      <c r="W3428">
        <v>-1.035281E-2</v>
      </c>
      <c r="X3428">
        <v>0.9983128</v>
      </c>
      <c r="Y3428">
        <v>-4.4729240000000003E-2</v>
      </c>
      <c r="Z3428">
        <v>1.200773E-3</v>
      </c>
      <c r="AA3428">
        <v>0.99899839999999995</v>
      </c>
      <c r="AB3428">
        <v>49</v>
      </c>
      <c r="AC3428">
        <v>25.555799999999898</v>
      </c>
      <c r="AD3428">
        <v>-1.1098539140150001</v>
      </c>
      <c r="AE3428">
        <v>1.2452999999999801</v>
      </c>
      <c r="AF3428">
        <v>-1.1650404863011901</v>
      </c>
      <c r="AG3428">
        <v>-1.1098539140150001</v>
      </c>
      <c r="AH3428">
        <v>25.511482721022599</v>
      </c>
      <c r="AI3428">
        <v>92.488439986684597</v>
      </c>
      <c r="AJ3428">
        <v>92.614726779710693</v>
      </c>
      <c r="AK3428">
        <v>25.562176074626599</v>
      </c>
      <c r="AL3428">
        <v>90.593182934996506</v>
      </c>
      <c r="AM3428">
        <v>93.275503377299103</v>
      </c>
      <c r="AN3428">
        <v>0.99999996749345399</v>
      </c>
    </row>
    <row r="3429" spans="1:40" x14ac:dyDescent="0.25">
      <c r="A3429" t="str">
        <f>"20190305135301925"</f>
        <v>20190305135301925</v>
      </c>
      <c r="B3429" t="str">
        <f>"1551765181912967"</f>
        <v>1551765181912967</v>
      </c>
      <c r="C3429" t="s">
        <v>40</v>
      </c>
      <c r="D3429">
        <v>4.5422229999999999</v>
      </c>
      <c r="E3429">
        <v>0.50443389999999999</v>
      </c>
      <c r="F3429" t="s">
        <v>56</v>
      </c>
      <c r="G3429">
        <v>-234.46639999999999</v>
      </c>
      <c r="H3429" s="1">
        <v>7.8973149999999995E-7</v>
      </c>
      <c r="I3429">
        <v>215.76669999999999</v>
      </c>
      <c r="J3429">
        <v>-260.11559999999997</v>
      </c>
      <c r="K3429">
        <v>1.109904</v>
      </c>
      <c r="L3429">
        <v>214.50550000000001</v>
      </c>
      <c r="M3429">
        <v>0.99988220000000005</v>
      </c>
      <c r="N3429">
        <v>-1.487611E-2</v>
      </c>
      <c r="O3429">
        <v>3.7998009999999998E-3</v>
      </c>
      <c r="P3429">
        <v>0.99782610000000005</v>
      </c>
      <c r="Q3429">
        <v>-2.448183E-2</v>
      </c>
      <c r="R3429">
        <v>6.118755E-2</v>
      </c>
      <c r="S3429">
        <v>2.9944760000000001</v>
      </c>
      <c r="T3429">
        <v>-0.12728049999999999</v>
      </c>
      <c r="U3429">
        <v>0.1448517</v>
      </c>
      <c r="V3429">
        <v>-5.7373899999999999E-2</v>
      </c>
      <c r="W3429">
        <v>-9.7558509999999994E-3</v>
      </c>
      <c r="X3429">
        <v>0.99830509999999995</v>
      </c>
      <c r="Y3429">
        <v>-4.4467670000000001E-2</v>
      </c>
      <c r="Z3429">
        <v>1.1703810000000001E-3</v>
      </c>
      <c r="AA3429">
        <v>0.99901010000000001</v>
      </c>
      <c r="AB3429">
        <v>49</v>
      </c>
      <c r="AC3429">
        <v>25.649199999999901</v>
      </c>
      <c r="AD3429">
        <v>-1.1099032102685</v>
      </c>
      <c r="AE3429">
        <v>1.2611999999999699</v>
      </c>
      <c r="AF3429">
        <v>-1.16154850147552</v>
      </c>
      <c r="AG3429">
        <v>-1.1099032102685</v>
      </c>
      <c r="AH3429">
        <v>25.605976004984502</v>
      </c>
      <c r="AI3429">
        <v>92.479412697753304</v>
      </c>
      <c r="AJ3429">
        <v>92.597293465903505</v>
      </c>
      <c r="AK3429">
        <v>25.6563264561645</v>
      </c>
      <c r="AL3429">
        <v>90.558977951203502</v>
      </c>
      <c r="AM3429">
        <v>93.289245177062199</v>
      </c>
      <c r="AN3429">
        <v>1.00000000685797</v>
      </c>
    </row>
    <row r="3430" spans="1:40" x14ac:dyDescent="0.25">
      <c r="A3430" t="str">
        <f>"20190305135301948"</f>
        <v>20190305135301948</v>
      </c>
      <c r="B3430" t="str">
        <f>"1551765181943224"</f>
        <v>1551765181943224</v>
      </c>
      <c r="C3430" t="s">
        <v>40</v>
      </c>
      <c r="D3430">
        <v>4.5218480000000003</v>
      </c>
      <c r="E3430">
        <v>0.50454460000000001</v>
      </c>
      <c r="F3430" t="s">
        <v>56</v>
      </c>
      <c r="G3430">
        <v>-233.79220000000001</v>
      </c>
      <c r="H3430" s="1">
        <v>4.295741E-7</v>
      </c>
      <c r="I3430">
        <v>215.79849999999999</v>
      </c>
      <c r="J3430">
        <v>-259.63630000000001</v>
      </c>
      <c r="K3430">
        <v>1.109947</v>
      </c>
      <c r="L3430">
        <v>214.50790000000001</v>
      </c>
      <c r="M3430">
        <v>0.99987879999999996</v>
      </c>
      <c r="N3430">
        <v>-1.4873249999999999E-2</v>
      </c>
      <c r="O3430">
        <v>4.6132930000000001E-3</v>
      </c>
      <c r="P3430">
        <v>0.99779169999999995</v>
      </c>
      <c r="Q3430">
        <v>-2.4208250000000001E-2</v>
      </c>
      <c r="R3430">
        <v>6.1851009999999998E-2</v>
      </c>
      <c r="S3430">
        <v>2.994415</v>
      </c>
      <c r="T3430">
        <v>-0.12625710000000001</v>
      </c>
      <c r="U3430">
        <v>0.1470795</v>
      </c>
      <c r="V3430">
        <v>-5.722505E-2</v>
      </c>
      <c r="W3430">
        <v>-9.4902949999999993E-3</v>
      </c>
      <c r="X3430">
        <v>0.99831619999999999</v>
      </c>
      <c r="Y3430">
        <v>-4.4398449999999999E-2</v>
      </c>
      <c r="Z3430">
        <v>1.1398770000000001E-3</v>
      </c>
      <c r="AA3430">
        <v>0.99901320000000005</v>
      </c>
      <c r="AB3430">
        <v>48</v>
      </c>
      <c r="AC3430">
        <v>25.844100000000001</v>
      </c>
      <c r="AD3430">
        <v>-1.1099465704258999</v>
      </c>
      <c r="AE3430">
        <v>1.29059999999998</v>
      </c>
      <c r="AF3430">
        <v>-1.1691954453586999</v>
      </c>
      <c r="AG3430">
        <v>-1.1099465704258999</v>
      </c>
      <c r="AH3430">
        <v>25.802305246047801</v>
      </c>
      <c r="AI3430">
        <v>92.460671604343304</v>
      </c>
      <c r="AJ3430">
        <v>92.594503457720094</v>
      </c>
      <c r="AK3430">
        <v>25.8526198941011</v>
      </c>
      <c r="AL3430">
        <v>90.543762010461094</v>
      </c>
      <c r="AM3430">
        <v>93.280693874389399</v>
      </c>
      <c r="AN3430">
        <v>1.00000000361456</v>
      </c>
    </row>
    <row r="3431" spans="1:40" x14ac:dyDescent="0.25">
      <c r="A3431" t="str">
        <f>"20190305135301970"</f>
        <v>20190305135301970</v>
      </c>
      <c r="B3431" t="str">
        <f>"1551765181963722"</f>
        <v>1551765181963722</v>
      </c>
      <c r="C3431" t="s">
        <v>40</v>
      </c>
      <c r="D3431">
        <v>4.5468849999999996</v>
      </c>
      <c r="E3431">
        <v>0.50461639999999996</v>
      </c>
      <c r="F3431" t="s">
        <v>56</v>
      </c>
      <c r="G3431">
        <v>-233.46250000000001</v>
      </c>
      <c r="H3431" s="1">
        <v>2.5401599999999999E-7</v>
      </c>
      <c r="I3431">
        <v>215.80090000000001</v>
      </c>
      <c r="J3431">
        <v>-259.1388</v>
      </c>
      <c r="K3431">
        <v>1.10999</v>
      </c>
      <c r="L3431">
        <v>214.51089999999999</v>
      </c>
      <c r="M3431">
        <v>0.9998745</v>
      </c>
      <c r="N3431">
        <v>-1.4870110000000001E-2</v>
      </c>
      <c r="O3431">
        <v>5.4896449999999996E-3</v>
      </c>
      <c r="P3431">
        <v>0.99773769999999995</v>
      </c>
      <c r="Q3431">
        <v>-2.4013139999999999E-2</v>
      </c>
      <c r="R3431">
        <v>6.2795219999999999E-2</v>
      </c>
      <c r="S3431">
        <v>2.9943849999999999</v>
      </c>
      <c r="T3431">
        <v>-0.1269825</v>
      </c>
      <c r="U3431">
        <v>0.14791869999999999</v>
      </c>
      <c r="V3431">
        <v>-5.7294650000000003E-2</v>
      </c>
      <c r="W3431">
        <v>-9.3040210000000009E-3</v>
      </c>
      <c r="X3431">
        <v>0.99831400000000003</v>
      </c>
      <c r="Y3431">
        <v>-4.3803210000000002E-2</v>
      </c>
      <c r="Z3431">
        <v>1.102911E-3</v>
      </c>
      <c r="AA3431">
        <v>0.99903960000000003</v>
      </c>
      <c r="AB3431">
        <v>48</v>
      </c>
      <c r="AC3431">
        <v>25.676300000000001</v>
      </c>
      <c r="AD3431">
        <v>-1.109989745984</v>
      </c>
      <c r="AE3431">
        <v>1.29000000000002</v>
      </c>
      <c r="AF3431">
        <v>-1.14687328772016</v>
      </c>
      <c r="AG3431">
        <v>-1.109989745984</v>
      </c>
      <c r="AH3431">
        <v>25.635207861099399</v>
      </c>
      <c r="AI3431">
        <v>92.476851214818893</v>
      </c>
      <c r="AJ3431">
        <v>92.561602449345401</v>
      </c>
      <c r="AK3431">
        <v>25.684845291651101</v>
      </c>
      <c r="AL3431">
        <v>90.533088804635497</v>
      </c>
      <c r="AM3431">
        <v>93.284682511345594</v>
      </c>
      <c r="AN3431">
        <v>1.0000000421606901</v>
      </c>
    </row>
    <row r="3432" spans="1:40" x14ac:dyDescent="0.25">
      <c r="A3432" t="str">
        <f>"20190305135301992"</f>
        <v>20190305135301992</v>
      </c>
      <c r="B3432" t="str">
        <f>"1551765181983238"</f>
        <v>1551765181983238</v>
      </c>
      <c r="C3432" t="s">
        <v>40</v>
      </c>
      <c r="D3432">
        <v>4.560111</v>
      </c>
      <c r="E3432">
        <v>0.50469030000000004</v>
      </c>
      <c r="F3432" t="s">
        <v>56</v>
      </c>
      <c r="G3432">
        <v>-233.09479999999999</v>
      </c>
      <c r="H3432" s="1">
        <v>5.7635980000000001E-8</v>
      </c>
      <c r="I3432">
        <v>215.8167</v>
      </c>
      <c r="J3432">
        <v>-258.67829999999998</v>
      </c>
      <c r="K3432">
        <v>1.1100190000000001</v>
      </c>
      <c r="L3432">
        <v>214.51400000000001</v>
      </c>
      <c r="M3432">
        <v>0.99986960000000003</v>
      </c>
      <c r="N3432">
        <v>-1.4867160000000001E-2</v>
      </c>
      <c r="O3432">
        <v>6.3239910000000002E-3</v>
      </c>
      <c r="P3432">
        <v>0.99767950000000005</v>
      </c>
      <c r="Q3432">
        <v>-2.3513920000000001E-2</v>
      </c>
      <c r="R3432">
        <v>6.3897270000000006E-2</v>
      </c>
      <c r="S3432">
        <v>2.9942319999999998</v>
      </c>
      <c r="T3432">
        <v>-0.12761339999999999</v>
      </c>
      <c r="U3432">
        <v>0.150116</v>
      </c>
      <c r="V3432">
        <v>-5.7564820000000003E-2</v>
      </c>
      <c r="W3432">
        <v>-8.8131379999999999E-3</v>
      </c>
      <c r="X3432">
        <v>0.99830289999999999</v>
      </c>
      <c r="Y3432">
        <v>-4.3703400000000003E-2</v>
      </c>
      <c r="Z3432">
        <v>1.0803200000000001E-3</v>
      </c>
      <c r="AA3432">
        <v>0.99904389999999998</v>
      </c>
      <c r="AB3432">
        <v>48</v>
      </c>
      <c r="AC3432">
        <v>25.583499999999901</v>
      </c>
      <c r="AD3432">
        <v>-1.1100189423640201</v>
      </c>
      <c r="AE3432">
        <v>1.30269999999998</v>
      </c>
      <c r="AF3432">
        <v>-1.13872811620971</v>
      </c>
      <c r="AG3432">
        <v>-1.1100189423640201</v>
      </c>
      <c r="AH3432">
        <v>25.5432659814259</v>
      </c>
      <c r="AI3432">
        <v>92.485838138472104</v>
      </c>
      <c r="AJ3432">
        <v>92.552576644204194</v>
      </c>
      <c r="AK3432">
        <v>25.592719292269901</v>
      </c>
      <c r="AL3432">
        <v>90.504962133500896</v>
      </c>
      <c r="AM3432">
        <v>93.300173723101494</v>
      </c>
      <c r="AN3432">
        <v>1.0000000300257199</v>
      </c>
    </row>
    <row r="3433" spans="1:40" x14ac:dyDescent="0.25">
      <c r="A3433" t="str">
        <f>"20190305135302014"</f>
        <v>20190305135302014</v>
      </c>
      <c r="B3433" t="str">
        <f>"1551765182002759"</f>
        <v>1551765182002759</v>
      </c>
      <c r="C3433" t="s">
        <v>40</v>
      </c>
      <c r="D3433">
        <v>4.5661100000000001</v>
      </c>
      <c r="E3433">
        <v>0.50479309999999999</v>
      </c>
      <c r="F3433" t="s">
        <v>56</v>
      </c>
      <c r="G3433">
        <v>-232.58019999999999</v>
      </c>
      <c r="H3433" s="1">
        <v>-2.1751250000000001E-7</v>
      </c>
      <c r="I3433">
        <v>215.8467</v>
      </c>
      <c r="J3433">
        <v>-258.19200000000001</v>
      </c>
      <c r="K3433">
        <v>1.1100559999999999</v>
      </c>
      <c r="L3433">
        <v>214.51779999999999</v>
      </c>
      <c r="M3433">
        <v>0.99986339999999996</v>
      </c>
      <c r="N3433">
        <v>-1.486413E-2</v>
      </c>
      <c r="O3433">
        <v>7.225179E-3</v>
      </c>
      <c r="P3433">
        <v>0.99759350000000002</v>
      </c>
      <c r="Q3433">
        <v>-2.3475570000000001E-2</v>
      </c>
      <c r="R3433">
        <v>6.5241170000000001E-2</v>
      </c>
      <c r="S3433">
        <v>2.9942169999999999</v>
      </c>
      <c r="T3433">
        <v>-0.12735150000000001</v>
      </c>
      <c r="U3433">
        <v>0.1528931</v>
      </c>
      <c r="V3433">
        <v>-5.8009430000000001E-2</v>
      </c>
      <c r="W3433">
        <v>-8.7836839999999999E-3</v>
      </c>
      <c r="X3433">
        <v>0.99827739999999998</v>
      </c>
      <c r="Y3433">
        <v>-4.372794E-2</v>
      </c>
      <c r="Z3433">
        <v>1.054677E-3</v>
      </c>
      <c r="AA3433">
        <v>0.99904289999999996</v>
      </c>
      <c r="AB3433">
        <v>48</v>
      </c>
      <c r="AC3433">
        <v>25.611799999999999</v>
      </c>
      <c r="AD3433">
        <v>-1.1100562175124999</v>
      </c>
      <c r="AE3433">
        <v>1.3289</v>
      </c>
      <c r="AF3433">
        <v>-1.1416561807590699</v>
      </c>
      <c r="AG3433">
        <v>-1.1100562175124999</v>
      </c>
      <c r="AH3433">
        <v>25.572824526801401</v>
      </c>
      <c r="AI3433">
        <v>92.483044783900894</v>
      </c>
      <c r="AJ3433">
        <v>92.556177422352505</v>
      </c>
      <c r="AK3433">
        <v>25.6223527007119</v>
      </c>
      <c r="AL3433">
        <v>90.503274489819802</v>
      </c>
      <c r="AM3433">
        <v>93.325690847108902</v>
      </c>
      <c r="AN3433">
        <v>1.00000000721214</v>
      </c>
    </row>
    <row r="3434" spans="1:40" x14ac:dyDescent="0.25">
      <c r="A3434" t="str">
        <f>"20190305135302036"</f>
        <v>20190305135302036</v>
      </c>
      <c r="B3434" t="str">
        <f>"1551765182033015"</f>
        <v>1551765182033015</v>
      </c>
      <c r="C3434" t="s">
        <v>40</v>
      </c>
      <c r="D3434">
        <v>4.5671730000000004</v>
      </c>
      <c r="E3434">
        <v>0.50490179999999996</v>
      </c>
      <c r="F3434" t="s">
        <v>56</v>
      </c>
      <c r="G3434">
        <v>-232.29300000000001</v>
      </c>
      <c r="H3434" s="1">
        <v>-3.7125240000000002E-7</v>
      </c>
      <c r="I3434">
        <v>215.86779999999999</v>
      </c>
      <c r="J3434">
        <v>-257.71260000000001</v>
      </c>
      <c r="K3434">
        <v>1.1100840000000001</v>
      </c>
      <c r="L3434">
        <v>214.52189999999999</v>
      </c>
      <c r="M3434">
        <v>0.99985670000000004</v>
      </c>
      <c r="N3434">
        <v>-1.4861279999999999E-2</v>
      </c>
      <c r="O3434">
        <v>8.1271920000000001E-3</v>
      </c>
      <c r="P3434">
        <v>0.99751389999999995</v>
      </c>
      <c r="Q3434">
        <v>-2.358675E-2</v>
      </c>
      <c r="R3434">
        <v>6.6407599999999997E-2</v>
      </c>
      <c r="S3434">
        <v>2.9940030000000002</v>
      </c>
      <c r="T3434">
        <v>-0.1283263</v>
      </c>
      <c r="U3434">
        <v>0.15606689999999901</v>
      </c>
      <c r="V3434">
        <v>-5.8274510000000002E-2</v>
      </c>
      <c r="W3434">
        <v>-8.9024599999999992E-3</v>
      </c>
      <c r="X3434">
        <v>0.99826090000000001</v>
      </c>
      <c r="Y3434">
        <v>-4.3886050000000003E-2</v>
      </c>
      <c r="Z3434">
        <v>1.038729E-3</v>
      </c>
      <c r="AA3434">
        <v>0.99903600000000004</v>
      </c>
      <c r="AB3434">
        <v>48</v>
      </c>
      <c r="AC3434">
        <v>25.419599999999999</v>
      </c>
      <c r="AD3434">
        <v>-1.11008437125239</v>
      </c>
      <c r="AE3434">
        <v>1.3459000000000001</v>
      </c>
      <c r="AF3434">
        <v>-1.1370803182937499</v>
      </c>
      <c r="AG3434">
        <v>-1.11008437125239</v>
      </c>
      <c r="AH3434">
        <v>25.381430170604901</v>
      </c>
      <c r="AI3434">
        <v>92.501790971228203</v>
      </c>
      <c r="AJ3434">
        <v>92.565118262423297</v>
      </c>
      <c r="AK3434">
        <v>25.431127314117301</v>
      </c>
      <c r="AL3434">
        <v>90.510080123887704</v>
      </c>
      <c r="AM3434">
        <v>93.340908680710001</v>
      </c>
      <c r="AN3434">
        <v>0.99999999838929998</v>
      </c>
    </row>
    <row r="3435" spans="1:40" x14ac:dyDescent="0.25">
      <c r="A3435" t="str">
        <f>"20190305135302060"</f>
        <v>20190305135302060</v>
      </c>
      <c r="B3435" t="str">
        <f>"1551765182053511"</f>
        <v>1551765182053511</v>
      </c>
      <c r="C3435" t="s">
        <v>40</v>
      </c>
      <c r="D3435">
        <v>4.5948190000000002</v>
      </c>
      <c r="E3435">
        <v>0.50505009999999995</v>
      </c>
      <c r="F3435" t="s">
        <v>56</v>
      </c>
      <c r="G3435">
        <v>-232.22980000000001</v>
      </c>
      <c r="H3435" s="1">
        <v>-4.0503729999999998E-7</v>
      </c>
      <c r="I3435">
        <v>215.87119999999999</v>
      </c>
      <c r="J3435">
        <v>-257.19889999999998</v>
      </c>
      <c r="K3435">
        <v>1.1101000000000001</v>
      </c>
      <c r="L3435">
        <v>214.52680000000001</v>
      </c>
      <c r="M3435">
        <v>0.99984819999999996</v>
      </c>
      <c r="N3435">
        <v>-1.4858130000000001E-2</v>
      </c>
      <c r="O3435">
        <v>9.1046310000000002E-3</v>
      </c>
      <c r="P3435">
        <v>0.99741619999999998</v>
      </c>
      <c r="Q3435">
        <v>-2.3836929999999999E-2</v>
      </c>
      <c r="R3435">
        <v>6.7770200000000003E-2</v>
      </c>
      <c r="S3435">
        <v>2.9938349999999998</v>
      </c>
      <c r="T3435">
        <v>-0.1304177</v>
      </c>
      <c r="U3435">
        <v>0.15852359999999999</v>
      </c>
      <c r="V3435">
        <v>-5.8661360000000003E-2</v>
      </c>
      <c r="W3435">
        <v>-9.1607560000000008E-3</v>
      </c>
      <c r="X3435">
        <v>0.99823589999999995</v>
      </c>
      <c r="Y3435">
        <v>-4.372906E-2</v>
      </c>
      <c r="Z3435">
        <v>1.0157E-3</v>
      </c>
      <c r="AA3435">
        <v>0.99904289999999996</v>
      </c>
      <c r="AB3435">
        <v>48</v>
      </c>
      <c r="AC3435">
        <v>24.969099999999901</v>
      </c>
      <c r="AD3435">
        <v>-1.1101004050373</v>
      </c>
      <c r="AE3435">
        <v>1.3443999999999701</v>
      </c>
      <c r="AF3435">
        <v>-1.11478761508248</v>
      </c>
      <c r="AG3435">
        <v>-1.1101004050373</v>
      </c>
      <c r="AH3435">
        <v>24.931169971121498</v>
      </c>
      <c r="AI3435">
        <v>92.5469610795313</v>
      </c>
      <c r="AJ3435">
        <v>92.560253191588004</v>
      </c>
      <c r="AK3435">
        <v>24.9807588048273</v>
      </c>
      <c r="AL3435">
        <v>90.524880000899202</v>
      </c>
      <c r="AM3435">
        <v>93.363120291082694</v>
      </c>
      <c r="AN3435">
        <v>0.99999999332817502</v>
      </c>
    </row>
    <row r="3436" spans="1:40" x14ac:dyDescent="0.25">
      <c r="A3436" t="str">
        <f>"20190305135302082"</f>
        <v>20190305135302082</v>
      </c>
      <c r="B3436" t="str">
        <f>"1551765182073031"</f>
        <v>1551765182073031</v>
      </c>
      <c r="C3436" t="s">
        <v>40</v>
      </c>
      <c r="D3436">
        <v>4.6155229999999996</v>
      </c>
      <c r="E3436">
        <v>0.50517699999999999</v>
      </c>
      <c r="F3436" t="s">
        <v>56</v>
      </c>
      <c r="G3436">
        <v>-232.06809999999999</v>
      </c>
      <c r="H3436" s="1">
        <v>-4.9158329999999997E-7</v>
      </c>
      <c r="I3436">
        <v>215.88210000000001</v>
      </c>
      <c r="J3436">
        <v>-256.72660000000002</v>
      </c>
      <c r="K3436">
        <v>1.1101160000000001</v>
      </c>
      <c r="L3436">
        <v>214.5317</v>
      </c>
      <c r="M3436">
        <v>0.99983960000000005</v>
      </c>
      <c r="N3436">
        <v>-1.4855119999999999E-2</v>
      </c>
      <c r="O3436">
        <v>1.0009509999999999E-2</v>
      </c>
      <c r="P3436">
        <v>0.99734599999999995</v>
      </c>
      <c r="Q3436">
        <v>-2.3856720000000001E-2</v>
      </c>
      <c r="R3436">
        <v>6.8788440000000006E-2</v>
      </c>
      <c r="S3436">
        <v>2.9936370000000001</v>
      </c>
      <c r="T3436">
        <v>-0.13223760000000001</v>
      </c>
      <c r="U3436">
        <v>0.16145319999999999</v>
      </c>
      <c r="V3436">
        <v>-5.8776549999999997E-2</v>
      </c>
      <c r="W3436">
        <v>-9.1867259999999992E-3</v>
      </c>
      <c r="X3436">
        <v>0.99822889999999997</v>
      </c>
      <c r="Y3436">
        <v>-4.3802420000000002E-2</v>
      </c>
      <c r="Z3436">
        <v>9.9905689999999999E-4</v>
      </c>
      <c r="AA3436">
        <v>0.99903969999999997</v>
      </c>
      <c r="AB3436">
        <v>48</v>
      </c>
      <c r="AC3436">
        <v>24.6585</v>
      </c>
      <c r="AD3436">
        <v>-1.1101164915832999</v>
      </c>
      <c r="AE3436">
        <v>1.3504</v>
      </c>
      <c r="AF3436">
        <v>-1.1012602819480499</v>
      </c>
      <c r="AG3436">
        <v>-1.1101164915832999</v>
      </c>
      <c r="AH3436">
        <v>24.621030879712201</v>
      </c>
      <c r="AI3436">
        <v>92.579036587366701</v>
      </c>
      <c r="AJ3436">
        <v>92.561043795589001</v>
      </c>
      <c r="AK3436">
        <v>24.670636279050999</v>
      </c>
      <c r="AL3436">
        <v>90.526368027311904</v>
      </c>
      <c r="AM3436">
        <v>93.369732632864896</v>
      </c>
      <c r="AN3436">
        <v>1.0000000077798501</v>
      </c>
    </row>
    <row r="3437" spans="1:40" x14ac:dyDescent="0.25">
      <c r="A3437" t="str">
        <f>"20190305135302104"</f>
        <v>20190305135302104</v>
      </c>
      <c r="B3437" t="str">
        <f>"1551765182093527"</f>
        <v>1551765182093527</v>
      </c>
      <c r="C3437" t="s">
        <v>40</v>
      </c>
      <c r="D3437">
        <v>4.6300790000000003</v>
      </c>
      <c r="E3437">
        <v>0.50531879999999996</v>
      </c>
      <c r="F3437" t="s">
        <v>56</v>
      </c>
      <c r="G3437">
        <v>-231.7756</v>
      </c>
      <c r="H3437" s="1">
        <v>-6.4776109999999999E-7</v>
      </c>
      <c r="I3437">
        <v>215.8937</v>
      </c>
      <c r="J3437">
        <v>-256.25810000000001</v>
      </c>
      <c r="K3437">
        <v>1.1101270000000001</v>
      </c>
      <c r="L3437">
        <v>214.53700000000001</v>
      </c>
      <c r="M3437">
        <v>0.99983029999999995</v>
      </c>
      <c r="N3437">
        <v>-1.485209E-2</v>
      </c>
      <c r="O3437">
        <v>1.091047E-2</v>
      </c>
      <c r="P3437">
        <v>0.99729840000000003</v>
      </c>
      <c r="Q3437">
        <v>-2.3816650000000002E-2</v>
      </c>
      <c r="R3437">
        <v>6.9490789999999997E-2</v>
      </c>
      <c r="S3437">
        <v>2.9935299999999998</v>
      </c>
      <c r="T3437">
        <v>-0.13318740000000001</v>
      </c>
      <c r="U3437">
        <v>0.16340639999999901</v>
      </c>
      <c r="V3437">
        <v>-5.8579499999999902E-2</v>
      </c>
      <c r="W3437">
        <v>-9.1513029999999995E-3</v>
      </c>
      <c r="X3437">
        <v>0.99824080000000004</v>
      </c>
      <c r="Y3437">
        <v>-4.355411E-2</v>
      </c>
      <c r="Z3437">
        <v>9.6871800000000003E-4</v>
      </c>
      <c r="AA3437">
        <v>0.99905060000000001</v>
      </c>
      <c r="AB3437">
        <v>48</v>
      </c>
      <c r="AC3437">
        <v>24.482500000000002</v>
      </c>
      <c r="AD3437">
        <v>-1.1101276477611</v>
      </c>
      <c r="AE3437">
        <v>1.35669999999998</v>
      </c>
      <c r="AF3437">
        <v>-1.0872456252940099</v>
      </c>
      <c r="AG3437">
        <v>-1.1101276477611</v>
      </c>
      <c r="AH3437">
        <v>24.445738461096401</v>
      </c>
      <c r="AI3437">
        <v>92.597560009784999</v>
      </c>
      <c r="AJ3437">
        <v>92.546601705559496</v>
      </c>
      <c r="AK3437">
        <v>24.4950732873444</v>
      </c>
      <c r="AL3437">
        <v>90.524338357964197</v>
      </c>
      <c r="AM3437">
        <v>93.358421469519101</v>
      </c>
      <c r="AN3437">
        <v>0.99999999947574403</v>
      </c>
    </row>
    <row r="3438" spans="1:40" x14ac:dyDescent="0.25">
      <c r="A3438" t="str">
        <f>"20190305135302126"</f>
        <v>20190305135302126</v>
      </c>
      <c r="B3438" t="str">
        <f>"1551765182113047"</f>
        <v>1551765182113047</v>
      </c>
      <c r="C3438" t="s">
        <v>40</v>
      </c>
      <c r="D3438">
        <v>4.6624339999999904</v>
      </c>
      <c r="E3438">
        <v>0.50544330000000004</v>
      </c>
      <c r="F3438" t="s">
        <v>56</v>
      </c>
      <c r="G3438">
        <v>-231.42160000000001</v>
      </c>
      <c r="H3438" s="1">
        <v>-8.36452E-7</v>
      </c>
      <c r="I3438">
        <v>215.9008</v>
      </c>
      <c r="J3438">
        <v>-255.78790000000001</v>
      </c>
      <c r="K3438">
        <v>1.110141</v>
      </c>
      <c r="L3438">
        <v>214.5428</v>
      </c>
      <c r="M3438">
        <v>0.99982000000000004</v>
      </c>
      <c r="N3438">
        <v>-1.4849060000000001E-2</v>
      </c>
      <c r="O3438">
        <v>1.1816989999999999E-2</v>
      </c>
      <c r="P3438">
        <v>0.99727469999999996</v>
      </c>
      <c r="Q3438">
        <v>-2.39194E-2</v>
      </c>
      <c r="R3438">
        <v>6.9795079999999995E-2</v>
      </c>
      <c r="S3438">
        <v>2.9934690000000002</v>
      </c>
      <c r="T3438">
        <v>-0.13380040000000001</v>
      </c>
      <c r="U3438">
        <v>0.1643829</v>
      </c>
      <c r="V3438">
        <v>-5.7978719999999997E-2</v>
      </c>
      <c r="W3438">
        <v>-9.2568730000000005E-3</v>
      </c>
      <c r="X3438">
        <v>0.99827489999999997</v>
      </c>
      <c r="Y3438">
        <v>-4.2975119999999999E-2</v>
      </c>
      <c r="Z3438">
        <v>9.2660850000000005E-4</v>
      </c>
      <c r="AA3438">
        <v>0.99907570000000001</v>
      </c>
      <c r="AB3438">
        <v>48</v>
      </c>
      <c r="AC3438">
        <v>24.366299999999899</v>
      </c>
      <c r="AD3438">
        <v>-1.1101418364519999</v>
      </c>
      <c r="AE3438">
        <v>1.3580000000000001</v>
      </c>
      <c r="AF3438">
        <v>-1.0677276241973199</v>
      </c>
      <c r="AG3438">
        <v>-1.1101418364519999</v>
      </c>
      <c r="AH3438">
        <v>24.330299985831299</v>
      </c>
      <c r="AI3438">
        <v>92.609968744637897</v>
      </c>
      <c r="AJ3438">
        <v>92.512795134017196</v>
      </c>
      <c r="AK3438">
        <v>24.3790064312937</v>
      </c>
      <c r="AL3438">
        <v>90.530387329986496</v>
      </c>
      <c r="AM3438">
        <v>93.323942491622205</v>
      </c>
      <c r="AN3438">
        <v>0.999999998820293</v>
      </c>
    </row>
    <row r="3439" spans="1:40" x14ac:dyDescent="0.25">
      <c r="A3439" t="str">
        <f>"20190305135302149"</f>
        <v>20190305135302149</v>
      </c>
      <c r="B3439" t="str">
        <f>"1551765182143303"</f>
        <v>1551765182143303</v>
      </c>
      <c r="C3439" t="s">
        <v>40</v>
      </c>
      <c r="D3439">
        <v>4.6746410000000003</v>
      </c>
      <c r="E3439">
        <v>0.50565740000000003</v>
      </c>
      <c r="F3439" t="s">
        <v>56</v>
      </c>
      <c r="G3439">
        <v>-231.1739</v>
      </c>
      <c r="H3439" s="1">
        <v>-9.6792170000000003E-7</v>
      </c>
      <c r="I3439">
        <v>215.893</v>
      </c>
      <c r="J3439">
        <v>-255.2921</v>
      </c>
      <c r="K3439">
        <v>1.110142</v>
      </c>
      <c r="L3439">
        <v>214.54929999999999</v>
      </c>
      <c r="M3439">
        <v>0.99980820000000004</v>
      </c>
      <c r="N3439">
        <v>-1.484591E-2</v>
      </c>
      <c r="O3439">
        <v>1.2774799999999999E-2</v>
      </c>
      <c r="P3439">
        <v>0.99722730000000004</v>
      </c>
      <c r="Q3439">
        <v>-2.363432E-2</v>
      </c>
      <c r="R3439">
        <v>7.0565779999999995E-2</v>
      </c>
      <c r="S3439">
        <v>2.9934690000000002</v>
      </c>
      <c r="T3439">
        <v>-0.1350114</v>
      </c>
      <c r="U3439">
        <v>0.1642151</v>
      </c>
      <c r="V3439">
        <v>-5.7794659999999998E-2</v>
      </c>
      <c r="W3439">
        <v>-8.9758489999999993E-3</v>
      </c>
      <c r="X3439">
        <v>0.99828819999999996</v>
      </c>
      <c r="Y3439">
        <v>-4.1963180000000003E-2</v>
      </c>
      <c r="Z3439">
        <v>8.7116859999999995E-4</v>
      </c>
      <c r="AA3439">
        <v>0.99911879999999997</v>
      </c>
      <c r="AB3439">
        <v>48</v>
      </c>
      <c r="AC3439">
        <v>24.118200000000002</v>
      </c>
      <c r="AD3439">
        <v>-1.1101429679217001</v>
      </c>
      <c r="AE3439">
        <v>1.3437000000000101</v>
      </c>
      <c r="AF3439">
        <v>-1.03326878795244</v>
      </c>
      <c r="AG3439">
        <v>-1.1101429679217001</v>
      </c>
      <c r="AH3439">
        <v>24.082533273991999</v>
      </c>
      <c r="AI3439">
        <v>92.6368973866619</v>
      </c>
      <c r="AJ3439">
        <v>92.456786934698599</v>
      </c>
      <c r="AK3439">
        <v>24.130239756171399</v>
      </c>
      <c r="AL3439">
        <v>90.514285140480695</v>
      </c>
      <c r="AM3439">
        <v>93.313369763030195</v>
      </c>
      <c r="AN3439">
        <v>1.00000005942451</v>
      </c>
    </row>
    <row r="3440" spans="1:40" x14ac:dyDescent="0.25">
      <c r="A3440" t="str">
        <f>"20190305135302171"</f>
        <v>20190305135302171</v>
      </c>
      <c r="B3440" t="str">
        <f>"1551765182162827"</f>
        <v>1551765182162827</v>
      </c>
      <c r="C3440" t="s">
        <v>40</v>
      </c>
      <c r="D3440">
        <v>4.620965</v>
      </c>
      <c r="E3440">
        <v>0.50576509999999997</v>
      </c>
      <c r="F3440" t="s">
        <v>56</v>
      </c>
      <c r="G3440">
        <v>-230.50129999999999</v>
      </c>
      <c r="H3440" s="1">
        <v>-1.326756E-6</v>
      </c>
      <c r="I3440">
        <v>215.91370000000001</v>
      </c>
      <c r="J3440">
        <v>-254.8108</v>
      </c>
      <c r="K3440">
        <v>1.110142</v>
      </c>
      <c r="L3440">
        <v>214.55619999999999</v>
      </c>
      <c r="M3440">
        <v>0.99979600000000002</v>
      </c>
      <c r="N3440">
        <v>-1.4842879999999999E-2</v>
      </c>
      <c r="O3440">
        <v>1.370533E-2</v>
      </c>
      <c r="P3440">
        <v>0.99718050000000003</v>
      </c>
      <c r="Q3440">
        <v>-2.4151510000000001E-2</v>
      </c>
      <c r="R3440">
        <v>7.1049370000000001E-2</v>
      </c>
      <c r="S3440">
        <v>2.9935</v>
      </c>
      <c r="T3440">
        <v>-0.13405039999999999</v>
      </c>
      <c r="U3440">
        <v>0.16474910000000001</v>
      </c>
      <c r="V3440">
        <v>-5.7347860000000001E-2</v>
      </c>
      <c r="W3440">
        <v>-9.4958600000000001E-3</v>
      </c>
      <c r="X3440">
        <v>0.99830909999999995</v>
      </c>
      <c r="Y3440">
        <v>-4.1212430000000001E-2</v>
      </c>
      <c r="Z3440">
        <v>8.1825649999999904E-4</v>
      </c>
      <c r="AA3440">
        <v>0.99915010000000004</v>
      </c>
      <c r="AB3440">
        <v>48</v>
      </c>
      <c r="AC3440">
        <v>24.3095</v>
      </c>
      <c r="AD3440">
        <v>-1.1101433267559999</v>
      </c>
      <c r="AE3440">
        <v>1.3575000000000099</v>
      </c>
      <c r="AF3440">
        <v>-1.02204125673402</v>
      </c>
      <c r="AG3440">
        <v>-1.1101433267559999</v>
      </c>
      <c r="AH3440">
        <v>24.275354932257599</v>
      </c>
      <c r="AI3440">
        <v>92.616071329919606</v>
      </c>
      <c r="AJ3440">
        <v>92.410843732817696</v>
      </c>
      <c r="AK3440">
        <v>24.322208855765801</v>
      </c>
      <c r="AL3440">
        <v>90.544080875754801</v>
      </c>
      <c r="AM3440">
        <v>93.287742435345606</v>
      </c>
      <c r="AN3440">
        <v>1.0000000037732599</v>
      </c>
    </row>
    <row r="3441" spans="1:40" x14ac:dyDescent="0.25">
      <c r="A3441" t="str">
        <f>"20190305135302193"</f>
        <v>20190305135302193</v>
      </c>
      <c r="B3441" t="str">
        <f>"1551765182183320"</f>
        <v>1551765182183320</v>
      </c>
      <c r="C3441" t="s">
        <v>40</v>
      </c>
      <c r="D3441">
        <v>4.6242070000000002</v>
      </c>
      <c r="E3441">
        <v>0.50552609999999998</v>
      </c>
      <c r="F3441" t="s">
        <v>56</v>
      </c>
      <c r="G3441">
        <v>-230.3126</v>
      </c>
      <c r="H3441" s="1">
        <v>-1.4269839999999901E-6</v>
      </c>
      <c r="I3441">
        <v>215.9101</v>
      </c>
      <c r="J3441">
        <v>-254.34399999999999</v>
      </c>
      <c r="K3441">
        <v>1.110142</v>
      </c>
      <c r="L3441">
        <v>214.56319999999999</v>
      </c>
      <c r="M3441">
        <v>0.99978330000000004</v>
      </c>
      <c r="N3441">
        <v>-1.48399E-2</v>
      </c>
      <c r="O3441">
        <v>1.460877E-2</v>
      </c>
      <c r="P3441">
        <v>0.99710399999999999</v>
      </c>
      <c r="Q3441">
        <v>-2.5103529999999999E-2</v>
      </c>
      <c r="R3441">
        <v>7.1789110000000003E-2</v>
      </c>
      <c r="S3441">
        <v>2.9933930000000002</v>
      </c>
      <c r="T3441">
        <v>-0.13564679999999901</v>
      </c>
      <c r="U3441">
        <v>0.16543579999999999</v>
      </c>
      <c r="V3441">
        <v>-5.7184029999999997E-2</v>
      </c>
      <c r="W3441">
        <v>-1.0451490000000001E-2</v>
      </c>
      <c r="X3441">
        <v>0.998309</v>
      </c>
      <c r="Y3441">
        <v>-4.0540420000000001E-2</v>
      </c>
      <c r="Z3441">
        <v>7.7415869999999996E-4</v>
      </c>
      <c r="AA3441">
        <v>0.9991776</v>
      </c>
      <c r="AB3441">
        <v>48</v>
      </c>
      <c r="AC3441">
        <v>24.031400000000001</v>
      </c>
      <c r="AD3441">
        <v>-1.110143426984</v>
      </c>
      <c r="AE3441">
        <v>1.3469</v>
      </c>
      <c r="AF3441">
        <v>-0.99353483599317305</v>
      </c>
      <c r="AG3441">
        <v>-1.110143426984</v>
      </c>
      <c r="AH3441">
        <v>23.997462789419298</v>
      </c>
      <c r="AI3441">
        <v>92.646400158975297</v>
      </c>
      <c r="AJ3441">
        <v>92.370786512197697</v>
      </c>
      <c r="AK3441">
        <v>24.0436634111438</v>
      </c>
      <c r="AL3441">
        <v>90.598837137292193</v>
      </c>
      <c r="AM3441">
        <v>93.278370934582</v>
      </c>
      <c r="AN3441">
        <v>1.0000000532056199</v>
      </c>
    </row>
    <row r="3442" spans="1:40" x14ac:dyDescent="0.25">
      <c r="A3442" t="str">
        <f>"20190305135302216"</f>
        <v>20190305135302216</v>
      </c>
      <c r="B3442" t="str">
        <f>"1551765182202839"</f>
        <v>1551765182202839</v>
      </c>
      <c r="C3442" t="s">
        <v>40</v>
      </c>
      <c r="D3442">
        <v>4.7904419999999996</v>
      </c>
      <c r="E3442">
        <v>0.46479310000000001</v>
      </c>
      <c r="F3442" t="s">
        <v>56</v>
      </c>
      <c r="G3442">
        <v>-230.36279999999999</v>
      </c>
      <c r="H3442" s="1">
        <v>-1.40071499999999E-6</v>
      </c>
      <c r="I3442">
        <v>215.9204</v>
      </c>
      <c r="J3442">
        <v>-253.86330000000001</v>
      </c>
      <c r="K3442">
        <v>1.110133</v>
      </c>
      <c r="L3442">
        <v>214.57089999999999</v>
      </c>
      <c r="M3442">
        <v>0.99976920000000002</v>
      </c>
      <c r="N3442">
        <v>-1.483694E-2</v>
      </c>
      <c r="O3442">
        <v>1.553972E-2</v>
      </c>
      <c r="P3442">
        <v>0.99695520000000004</v>
      </c>
      <c r="Q3442">
        <v>-2.6427450000000002E-2</v>
      </c>
      <c r="R3442">
        <v>7.3362330000000003E-2</v>
      </c>
      <c r="S3442">
        <v>2.9930110000000001</v>
      </c>
      <c r="T3442">
        <v>-0.13855329999999999</v>
      </c>
      <c r="U3442">
        <v>0.16938780000000001</v>
      </c>
      <c r="V3442">
        <v>-5.7826290000000002E-2</v>
      </c>
      <c r="W3442">
        <v>-1.178183E-2</v>
      </c>
      <c r="X3442">
        <v>0.99825719999999996</v>
      </c>
      <c r="Y3442">
        <v>-4.0930510000000003E-2</v>
      </c>
      <c r="Z3442">
        <v>7.6226500000000003E-4</v>
      </c>
      <c r="AA3442">
        <v>0.99916170000000004</v>
      </c>
      <c r="AB3442">
        <v>48</v>
      </c>
      <c r="AC3442">
        <v>23.500499999999999</v>
      </c>
      <c r="AD3442">
        <v>-1.110134400715</v>
      </c>
      <c r="AE3442">
        <v>1.3494999999999999</v>
      </c>
      <c r="AF3442">
        <v>-0.98192167788463203</v>
      </c>
      <c r="AG3442">
        <v>-1.110134400715</v>
      </c>
      <c r="AH3442">
        <v>23.466441622020302</v>
      </c>
      <c r="AI3442">
        <v>92.706125805017606</v>
      </c>
      <c r="AJ3442">
        <v>92.396067042468701</v>
      </c>
      <c r="AK3442">
        <v>23.5131973786815</v>
      </c>
      <c r="AL3442">
        <v>90.675064708911293</v>
      </c>
      <c r="AM3442">
        <v>93.315281788885201</v>
      </c>
      <c r="AN3442">
        <v>1.0000000643425699</v>
      </c>
    </row>
    <row r="3443" spans="1:40" x14ac:dyDescent="0.25">
      <c r="A3443" t="str">
        <f>"20190305135302237"</f>
        <v>20190305135302237</v>
      </c>
      <c r="B3443" t="str">
        <f>"1551765182233094"</f>
        <v>1551765182233094</v>
      </c>
      <c r="C3443" t="s">
        <v>40</v>
      </c>
      <c r="D3443">
        <v>4.7195460000000002</v>
      </c>
      <c r="E3443">
        <v>0.4654026</v>
      </c>
      <c r="F3443" t="s">
        <v>56</v>
      </c>
      <c r="G3443">
        <v>-241.95590000000001</v>
      </c>
      <c r="H3443" s="1">
        <v>-5.8072240000000005E-7</v>
      </c>
      <c r="I3443">
        <v>216.5549</v>
      </c>
      <c r="J3443">
        <v>-253.38589999999999</v>
      </c>
      <c r="K3443">
        <v>1.1101190000000001</v>
      </c>
      <c r="L3443">
        <v>214.57900000000001</v>
      </c>
      <c r="M3443">
        <v>0.99975449999999999</v>
      </c>
      <c r="N3443">
        <v>-1.483395E-2</v>
      </c>
      <c r="O3443">
        <v>1.645833E-2</v>
      </c>
      <c r="P3443">
        <v>0.99680860000000004</v>
      </c>
      <c r="Q3443">
        <v>-2.76262E-2</v>
      </c>
      <c r="R3443">
        <v>7.4895400000000001E-2</v>
      </c>
      <c r="S3443">
        <v>2.9654850000000001</v>
      </c>
      <c r="T3443">
        <v>-0.27647169999999999</v>
      </c>
      <c r="U3443">
        <v>0.4941101</v>
      </c>
      <c r="V3443">
        <v>-5.8440880000000001E-2</v>
      </c>
      <c r="W3443">
        <v>-1.2986370000000001E-2</v>
      </c>
      <c r="X3443">
        <v>0.99820640000000005</v>
      </c>
      <c r="Y3443">
        <v>-0.14742179999999999</v>
      </c>
      <c r="Z3443">
        <v>6.6362319999999997E-3</v>
      </c>
      <c r="AA3443">
        <v>0.98905149999999997</v>
      </c>
      <c r="AB3443">
        <v>48</v>
      </c>
      <c r="AC3443">
        <v>11.4299999999999</v>
      </c>
      <c r="AD3443">
        <v>-1.1101195807224</v>
      </c>
      <c r="AE3443">
        <v>1.97589999999999</v>
      </c>
      <c r="AF3443">
        <v>-1.77126943841256</v>
      </c>
      <c r="AG3443">
        <v>-1.1101195807224</v>
      </c>
      <c r="AH3443">
        <v>11.3569541738193</v>
      </c>
      <c r="AI3443">
        <v>95.516540563569194</v>
      </c>
      <c r="AJ3443">
        <v>98.864630068238199</v>
      </c>
      <c r="AK3443">
        <v>11.5477343671038</v>
      </c>
      <c r="AL3443">
        <v>90.744085107941402</v>
      </c>
      <c r="AM3443">
        <v>93.350607573327096</v>
      </c>
      <c r="AN3443">
        <v>0.99999999963095498</v>
      </c>
    </row>
    <row r="3444" spans="1:40" x14ac:dyDescent="0.25">
      <c r="A3444" t="str">
        <f>"20190305135302261"</f>
        <v>20190305135302261</v>
      </c>
      <c r="B3444" t="str">
        <f>"1551765182253591"</f>
        <v>1551765182253591</v>
      </c>
      <c r="C3444" t="s">
        <v>40</v>
      </c>
      <c r="D3444">
        <v>4.7147670000000002</v>
      </c>
      <c r="E3444">
        <v>0.46654400000000001</v>
      </c>
      <c r="F3444" t="s">
        <v>56</v>
      </c>
      <c r="G3444">
        <v>-240.07820000000001</v>
      </c>
      <c r="H3444" s="1">
        <v>-1.5905489999999999E-6</v>
      </c>
      <c r="I3444">
        <v>216.79859999999999</v>
      </c>
      <c r="J3444">
        <v>-252.8862</v>
      </c>
      <c r="K3444">
        <v>1.1101019999999999</v>
      </c>
      <c r="L3444">
        <v>214.58799999999999</v>
      </c>
      <c r="M3444">
        <v>0.99973860000000003</v>
      </c>
      <c r="N3444">
        <v>-1.483073E-2</v>
      </c>
      <c r="O3444">
        <v>1.74021E-2</v>
      </c>
      <c r="P3444">
        <v>0.99663990000000002</v>
      </c>
      <c r="Q3444">
        <v>-2.796682E-2</v>
      </c>
      <c r="R3444">
        <v>7.6986349999999995E-2</v>
      </c>
      <c r="S3444">
        <v>2.965576</v>
      </c>
      <c r="T3444">
        <v>-0.2473871</v>
      </c>
      <c r="U3444">
        <v>0.49462889999999998</v>
      </c>
      <c r="V3444">
        <v>-5.9591970000000001E-2</v>
      </c>
      <c r="W3444">
        <v>-1.3333569999999999E-2</v>
      </c>
      <c r="X3444">
        <v>0.99813379999999996</v>
      </c>
      <c r="Y3444">
        <v>-0.1467793</v>
      </c>
      <c r="Z3444">
        <v>5.9853099999999998E-3</v>
      </c>
      <c r="AA3444">
        <v>0.98915120000000001</v>
      </c>
      <c r="AB3444">
        <v>48</v>
      </c>
      <c r="AC3444">
        <v>12.8079999999999</v>
      </c>
      <c r="AD3444">
        <v>-1.110103590549</v>
      </c>
      <c r="AE3444">
        <v>2.2105999999999901</v>
      </c>
      <c r="AF3444">
        <v>-1.9729621194615301</v>
      </c>
      <c r="AG3444">
        <v>-1.110103590549</v>
      </c>
      <c r="AH3444">
        <v>12.751513082743299</v>
      </c>
      <c r="AI3444">
        <v>94.917215061808406</v>
      </c>
      <c r="AJ3444">
        <v>98.795276591113094</v>
      </c>
      <c r="AK3444">
        <v>12.9509071267597</v>
      </c>
      <c r="AL3444">
        <v>90.763979898609804</v>
      </c>
      <c r="AM3444">
        <v>93.416696434524496</v>
      </c>
      <c r="AN3444">
        <v>1.0000000348399301</v>
      </c>
    </row>
    <row r="3445" spans="1:40" x14ac:dyDescent="0.25">
      <c r="A3445" t="str">
        <f>"20190305135302284"</f>
        <v>20190305135302284</v>
      </c>
      <c r="B3445" t="str">
        <f>"1551765182273111"</f>
        <v>1551765182273111</v>
      </c>
      <c r="C3445" t="s">
        <v>40</v>
      </c>
      <c r="D3445">
        <v>4.8634149999999998</v>
      </c>
      <c r="E3445">
        <v>0.46803450000000002</v>
      </c>
      <c r="F3445" t="s">
        <v>56</v>
      </c>
      <c r="G3445">
        <v>-239.92859999999999</v>
      </c>
      <c r="H3445" s="1">
        <v>3.6541049999999998E-6</v>
      </c>
      <c r="I3445">
        <v>216.73560000000001</v>
      </c>
      <c r="J3445">
        <v>-252.4014</v>
      </c>
      <c r="K3445">
        <v>1.110085</v>
      </c>
      <c r="L3445">
        <v>214.59700000000001</v>
      </c>
      <c r="M3445">
        <v>0.99972289999999997</v>
      </c>
      <c r="N3445">
        <v>-1.4827430000000001E-2</v>
      </c>
      <c r="O3445">
        <v>1.8285249999999999E-2</v>
      </c>
      <c r="P3445">
        <v>0.99649889999999997</v>
      </c>
      <c r="Q3445">
        <v>-2.7721260000000001E-2</v>
      </c>
      <c r="R3445">
        <v>7.8877420000000004E-2</v>
      </c>
      <c r="S3445">
        <v>2.9650120000000002</v>
      </c>
      <c r="T3445">
        <v>-0.25401829999999997</v>
      </c>
      <c r="U3445">
        <v>0.49143979999999998</v>
      </c>
      <c r="V3445">
        <v>-6.0604949999999998E-2</v>
      </c>
      <c r="W3445">
        <v>-1.309212E-2</v>
      </c>
      <c r="X3445">
        <v>0.99807599999999996</v>
      </c>
      <c r="Y3445">
        <v>-0.1448837</v>
      </c>
      <c r="Z3445">
        <v>5.9533939999999999E-3</v>
      </c>
      <c r="AA3445">
        <v>0.98943080000000005</v>
      </c>
      <c r="AB3445">
        <v>48</v>
      </c>
      <c r="AC3445">
        <v>12.472799999999999</v>
      </c>
      <c r="AD3445">
        <v>-1.1100813458949901</v>
      </c>
      <c r="AE3445">
        <v>2.1385999999999901</v>
      </c>
      <c r="AF3445">
        <v>-1.8955630383362401</v>
      </c>
      <c r="AG3445">
        <v>-1.1100813458949901</v>
      </c>
      <c r="AH3445">
        <v>12.4142976767574</v>
      </c>
      <c r="AI3445">
        <v>95.051534390197105</v>
      </c>
      <c r="AJ3445">
        <v>98.6815478424666</v>
      </c>
      <c r="AK3445">
        <v>12.6071498219841</v>
      </c>
      <c r="AL3445">
        <v>90.750144626991499</v>
      </c>
      <c r="AM3445">
        <v>93.474835107177398</v>
      </c>
      <c r="AN3445">
        <v>1.0000000326732901</v>
      </c>
    </row>
    <row r="3446" spans="1:40" x14ac:dyDescent="0.25">
      <c r="A3446" t="str">
        <f>"20190305135302305"</f>
        <v>20190305135302305</v>
      </c>
      <c r="B3446" t="str">
        <f>"1551765182293607"</f>
        <v>1551765182293607</v>
      </c>
      <c r="C3446" t="s">
        <v>40</v>
      </c>
      <c r="D3446">
        <v>4.7407339999999998</v>
      </c>
      <c r="E3446">
        <v>0.46846749999999998</v>
      </c>
      <c r="F3446" t="s">
        <v>56</v>
      </c>
      <c r="G3446">
        <v>-239.5822</v>
      </c>
      <c r="H3446" s="1">
        <v>3.471609E-6</v>
      </c>
      <c r="I3446">
        <v>216.69319999999999</v>
      </c>
      <c r="J3446">
        <v>-251.95249999999999</v>
      </c>
      <c r="K3446">
        <v>1.110052</v>
      </c>
      <c r="L3446">
        <v>214.60579999999999</v>
      </c>
      <c r="M3446">
        <v>0.99970859999999995</v>
      </c>
      <c r="N3446">
        <v>-1.482442E-2</v>
      </c>
      <c r="O3446">
        <v>1.9057169999999998E-2</v>
      </c>
      <c r="P3446">
        <v>0.99636270000000005</v>
      </c>
      <c r="Q3446">
        <v>-2.7525330000000001E-2</v>
      </c>
      <c r="R3446">
        <v>8.0648120000000004E-2</v>
      </c>
      <c r="S3446">
        <v>2.9650120000000002</v>
      </c>
      <c r="T3446">
        <v>-0.2567567</v>
      </c>
      <c r="U3446">
        <v>0.48483280000000001</v>
      </c>
      <c r="V3446">
        <v>-6.1609270000000001E-2</v>
      </c>
      <c r="W3446">
        <v>-1.2898089999999999E-2</v>
      </c>
      <c r="X3446">
        <v>0.99801700000000004</v>
      </c>
      <c r="Y3446">
        <v>-0.14197570000000001</v>
      </c>
      <c r="Z3446">
        <v>5.8017930000000004E-3</v>
      </c>
      <c r="AA3446">
        <v>0.98985310000000004</v>
      </c>
      <c r="AB3446">
        <v>48</v>
      </c>
      <c r="AC3446">
        <v>12.370299999999901</v>
      </c>
      <c r="AD3446">
        <v>-1.110048528391</v>
      </c>
      <c r="AE3446">
        <v>2.0874000000000001</v>
      </c>
      <c r="AF3446">
        <v>-1.83687039797007</v>
      </c>
      <c r="AG3446">
        <v>-1.110048528391</v>
      </c>
      <c r="AH3446">
        <v>12.3114457218081</v>
      </c>
      <c r="AI3446">
        <v>95.095976469030305</v>
      </c>
      <c r="AJ3446">
        <v>98.485944638596294</v>
      </c>
      <c r="AK3446">
        <v>12.4971195223279</v>
      </c>
      <c r="AL3446">
        <v>90.739026614366594</v>
      </c>
      <c r="AM3446">
        <v>93.532482306781702</v>
      </c>
      <c r="AN3446">
        <v>0.99999999758228997</v>
      </c>
    </row>
    <row r="3447" spans="1:40" x14ac:dyDescent="0.25">
      <c r="A3447" t="str">
        <f>"20190305135302328"</f>
        <v>20190305135302328</v>
      </c>
      <c r="B3447" t="str">
        <f>"1551765182322888"</f>
        <v>1551765182322888</v>
      </c>
      <c r="C3447" t="s">
        <v>40</v>
      </c>
      <c r="D3447">
        <v>4.7434770000000004</v>
      </c>
      <c r="E3447">
        <v>0.469192</v>
      </c>
      <c r="F3447" t="s">
        <v>56</v>
      </c>
      <c r="G3447">
        <v>-239.2097</v>
      </c>
      <c r="H3447" s="1">
        <v>3.2731960000000002E-6</v>
      </c>
      <c r="I3447">
        <v>216.6977</v>
      </c>
      <c r="J3447">
        <v>-251.47450000000001</v>
      </c>
      <c r="K3447">
        <v>1.1099939999999999</v>
      </c>
      <c r="L3447">
        <v>214.6155</v>
      </c>
      <c r="M3447">
        <v>0.99969390000000002</v>
      </c>
      <c r="N3447">
        <v>-1.4821030000000001E-2</v>
      </c>
      <c r="O3447">
        <v>1.9812429999999999E-2</v>
      </c>
      <c r="P3447">
        <v>0.99618700000000004</v>
      </c>
      <c r="Q3447">
        <v>-2.841991E-2</v>
      </c>
      <c r="R3447">
        <v>8.2485530000000001E-2</v>
      </c>
      <c r="S3447">
        <v>2.964432</v>
      </c>
      <c r="T3447">
        <v>-0.25823689999999999</v>
      </c>
      <c r="U3447">
        <v>0.48664859999999999</v>
      </c>
      <c r="V3447">
        <v>-6.2694940000000005E-2</v>
      </c>
      <c r="W3447">
        <v>-1.379263E-2</v>
      </c>
      <c r="X3447">
        <v>0.99793739999999997</v>
      </c>
      <c r="Y3447">
        <v>-0.14184579999999999</v>
      </c>
      <c r="Z3447">
        <v>5.7671650000000003E-3</v>
      </c>
      <c r="AA3447">
        <v>0.98987199999999997</v>
      </c>
      <c r="AB3447">
        <v>48</v>
      </c>
      <c r="AC3447">
        <v>12.264799999999999</v>
      </c>
      <c r="AD3447">
        <v>-1.1099907268039999</v>
      </c>
      <c r="AE3447">
        <v>2.0821999999999998</v>
      </c>
      <c r="AF3447">
        <v>-1.8242458786196101</v>
      </c>
      <c r="AG3447">
        <v>-1.1099907268039999</v>
      </c>
      <c r="AH3447">
        <v>12.206472101744801</v>
      </c>
      <c r="AI3447">
        <v>95.1391153012774</v>
      </c>
      <c r="AJ3447">
        <v>98.499891644800798</v>
      </c>
      <c r="AK3447">
        <v>12.391848676042001</v>
      </c>
      <c r="AL3447">
        <v>90.790284566738805</v>
      </c>
      <c r="AM3447">
        <v>93.5948553838724</v>
      </c>
      <c r="AN3447">
        <v>0.99999997323133905</v>
      </c>
    </row>
    <row r="3448" spans="1:40" x14ac:dyDescent="0.25">
      <c r="A3448" t="str">
        <f>"20190305135302350"</f>
        <v>20190305135302350</v>
      </c>
      <c r="B3448" t="str">
        <f>"1551765182343383"</f>
        <v>1551765182343383</v>
      </c>
      <c r="C3448" t="s">
        <v>40</v>
      </c>
      <c r="D3448">
        <v>4.7547160000000002</v>
      </c>
      <c r="E3448">
        <v>0.47029919999999997</v>
      </c>
      <c r="F3448" t="s">
        <v>56</v>
      </c>
      <c r="G3448">
        <v>-239.00640000000001</v>
      </c>
      <c r="H3448" s="1">
        <v>3.1666209999999998E-6</v>
      </c>
      <c r="I3448">
        <v>216.66059999999999</v>
      </c>
      <c r="J3448">
        <v>-250.98869999999999</v>
      </c>
      <c r="K3448">
        <v>1.109923</v>
      </c>
      <c r="L3448">
        <v>214.62559999999999</v>
      </c>
      <c r="M3448">
        <v>0.99968000000000001</v>
      </c>
      <c r="N3448">
        <v>-1.481766E-2</v>
      </c>
      <c r="O3448">
        <v>2.050167E-2</v>
      </c>
      <c r="P3448">
        <v>0.99600509999999998</v>
      </c>
      <c r="Q3448">
        <v>-2.975119E-2</v>
      </c>
      <c r="R3448">
        <v>8.4193920000000005E-2</v>
      </c>
      <c r="S3448">
        <v>2.9636840000000002</v>
      </c>
      <c r="T3448">
        <v>-0.2638469</v>
      </c>
      <c r="U3448">
        <v>0.4861145</v>
      </c>
      <c r="V3448">
        <v>-6.3717700000000002E-2</v>
      </c>
      <c r="W3448">
        <v>-1.5121259999999999E-2</v>
      </c>
      <c r="X3448">
        <v>0.9978534</v>
      </c>
      <c r="Y3448">
        <v>-0.14101269999999999</v>
      </c>
      <c r="Z3448">
        <v>5.7700249999999998E-3</v>
      </c>
      <c r="AA3448">
        <v>0.98999090000000001</v>
      </c>
      <c r="AB3448">
        <v>48</v>
      </c>
      <c r="AC3448">
        <v>11.982299999999899</v>
      </c>
      <c r="AD3448">
        <v>-1.1099198333789999</v>
      </c>
      <c r="AE3448">
        <v>2.0349999999999899</v>
      </c>
      <c r="AF3448">
        <v>-1.7740925468283799</v>
      </c>
      <c r="AG3448">
        <v>-1.1099198333789999</v>
      </c>
      <c r="AH3448">
        <v>11.9220792004075</v>
      </c>
      <c r="AI3448">
        <v>95.261181007616301</v>
      </c>
      <c r="AJ3448">
        <v>98.463921623592398</v>
      </c>
      <c r="AK3448">
        <v>12.104350410576799</v>
      </c>
      <c r="AL3448">
        <v>90.866417396679296</v>
      </c>
      <c r="AM3448">
        <v>93.653648413987398</v>
      </c>
      <c r="AN3448">
        <v>1.00000000284441</v>
      </c>
    </row>
    <row r="3449" spans="1:40" x14ac:dyDescent="0.25">
      <c r="A3449" t="str">
        <f>"20190305135302372"</f>
        <v>20190305135302372</v>
      </c>
      <c r="B3449" t="str">
        <f>"1551765182362904"</f>
        <v>1551765182362904</v>
      </c>
      <c r="C3449" t="s">
        <v>40</v>
      </c>
      <c r="D3449">
        <v>4.7722470000000001</v>
      </c>
      <c r="E3449">
        <v>0.47060439999999998</v>
      </c>
      <c r="F3449" t="s">
        <v>56</v>
      </c>
      <c r="G3449">
        <v>-238.7998</v>
      </c>
      <c r="H3449" s="1">
        <v>3.0589259999999999E-6</v>
      </c>
      <c r="I3449">
        <v>216.6087</v>
      </c>
      <c r="J3449">
        <v>-250.52209999999999</v>
      </c>
      <c r="K3449">
        <v>1.1098570000000001</v>
      </c>
      <c r="L3449">
        <v>214.63570000000001</v>
      </c>
      <c r="M3449">
        <v>0.99966790000000005</v>
      </c>
      <c r="N3449">
        <v>-1.4814580000000001E-2</v>
      </c>
      <c r="O3449">
        <v>2.1093520000000001E-2</v>
      </c>
      <c r="P3449">
        <v>0.99590789999999996</v>
      </c>
      <c r="Q3449">
        <v>-3.0907009999999999E-2</v>
      </c>
      <c r="R3449">
        <v>8.4926619999999994E-2</v>
      </c>
      <c r="S3449">
        <v>2.9632260000000001</v>
      </c>
      <c r="T3449">
        <v>-0.26983010000000002</v>
      </c>
      <c r="U3449">
        <v>0.48210140000000001</v>
      </c>
      <c r="V3449">
        <v>-6.3861680000000004E-2</v>
      </c>
      <c r="W3449">
        <v>-1.627058E-2</v>
      </c>
      <c r="X3449">
        <v>0.99782610000000005</v>
      </c>
      <c r="Y3449">
        <v>-0.13913120000000001</v>
      </c>
      <c r="Z3449">
        <v>5.7269460000000001E-3</v>
      </c>
      <c r="AA3449">
        <v>0.99025739999999995</v>
      </c>
      <c r="AB3449">
        <v>48</v>
      </c>
      <c r="AC3449">
        <v>11.722299999999899</v>
      </c>
      <c r="AD3449">
        <v>-1.10985394107399</v>
      </c>
      <c r="AE3449">
        <v>1.9729999999999801</v>
      </c>
      <c r="AF3449">
        <v>-1.7103598119240599</v>
      </c>
      <c r="AG3449">
        <v>-1.10985394107399</v>
      </c>
      <c r="AH3449">
        <v>11.659674368513</v>
      </c>
      <c r="AI3449">
        <v>95.380218355506301</v>
      </c>
      <c r="AJ3449">
        <v>98.345210809677695</v>
      </c>
      <c r="AK3449">
        <v>11.8366005608249</v>
      </c>
      <c r="AL3449">
        <v>90.932276714345406</v>
      </c>
      <c r="AM3449">
        <v>93.661981873603196</v>
      </c>
      <c r="AN3449">
        <v>0.99999998589358396</v>
      </c>
    </row>
    <row r="3450" spans="1:40" x14ac:dyDescent="0.25">
      <c r="A3450" t="str">
        <f>"20190305135302394"</f>
        <v>20190305135302394</v>
      </c>
      <c r="B3450" t="str">
        <f>"1551765182383399"</f>
        <v>1551765182383399</v>
      </c>
      <c r="C3450" t="s">
        <v>40</v>
      </c>
      <c r="D3450">
        <v>4.7642800000000003</v>
      </c>
      <c r="E3450">
        <v>0.47090759999999998</v>
      </c>
      <c r="F3450" t="s">
        <v>56</v>
      </c>
      <c r="G3450">
        <v>-238.48519999999999</v>
      </c>
      <c r="H3450" s="1">
        <v>2.8922430000000002E-6</v>
      </c>
      <c r="I3450">
        <v>216.5926</v>
      </c>
      <c r="J3450">
        <v>-250.06020000000001</v>
      </c>
      <c r="K3450">
        <v>1.1097889999999999</v>
      </c>
      <c r="L3450">
        <v>214.64580000000001</v>
      </c>
      <c r="M3450">
        <v>0.99965689999999996</v>
      </c>
      <c r="N3450">
        <v>-1.4811329999999999E-2</v>
      </c>
      <c r="O3450">
        <v>2.160376E-2</v>
      </c>
      <c r="P3450">
        <v>0.9958321</v>
      </c>
      <c r="Q3450">
        <v>-3.1761060000000001E-2</v>
      </c>
      <c r="R3450">
        <v>8.5496020000000006E-2</v>
      </c>
      <c r="S3450">
        <v>2.9627690000000002</v>
      </c>
      <c r="T3450">
        <v>-0.27317999999999998</v>
      </c>
      <c r="U3450">
        <v>0.4816742</v>
      </c>
      <c r="V3450">
        <v>-6.3924540000000002E-2</v>
      </c>
      <c r="W3450">
        <v>-1.7117259999999999E-2</v>
      </c>
      <c r="X3450">
        <v>0.99780789999999997</v>
      </c>
      <c r="Y3450">
        <v>-0.13850190000000001</v>
      </c>
      <c r="Z3450">
        <v>5.708968E-3</v>
      </c>
      <c r="AA3450">
        <v>0.9903457</v>
      </c>
      <c r="AB3450">
        <v>48</v>
      </c>
      <c r="AC3450">
        <v>11.574999999999999</v>
      </c>
      <c r="AD3450">
        <v>-1.1097861077569999</v>
      </c>
      <c r="AE3450">
        <v>1.9467999999999901</v>
      </c>
      <c r="AF3450">
        <v>-1.6812249773519801</v>
      </c>
      <c r="AG3450">
        <v>-1.1097861077569999</v>
      </c>
      <c r="AH3450">
        <v>11.5114520821241</v>
      </c>
      <c r="AI3450">
        <v>95.449247444831599</v>
      </c>
      <c r="AJ3450">
        <v>98.309190028587906</v>
      </c>
      <c r="AK3450">
        <v>11.6863883072779</v>
      </c>
      <c r="AL3450">
        <v>90.980794677568397</v>
      </c>
      <c r="AM3450">
        <v>93.665643271824905</v>
      </c>
      <c r="AN3450">
        <v>0.99999997635326399</v>
      </c>
    </row>
    <row r="3451" spans="1:40" x14ac:dyDescent="0.25">
      <c r="A3451" t="str">
        <f>"20190305135302416"</f>
        <v>20190305135302416</v>
      </c>
      <c r="B3451" t="str">
        <f>"1551765182413656"</f>
        <v>1551765182413656</v>
      </c>
      <c r="C3451" t="s">
        <v>40</v>
      </c>
      <c r="D3451">
        <v>4.785336</v>
      </c>
      <c r="E3451">
        <v>0.4713657</v>
      </c>
      <c r="F3451" t="s">
        <v>56</v>
      </c>
      <c r="G3451">
        <v>-238.1833</v>
      </c>
      <c r="H3451" s="1">
        <v>2.7323640000000002E-6</v>
      </c>
      <c r="I3451">
        <v>216.5744</v>
      </c>
      <c r="J3451">
        <v>-249.58189999999999</v>
      </c>
      <c r="K3451">
        <v>1.1097159999999999</v>
      </c>
      <c r="L3451">
        <v>214.65639999999999</v>
      </c>
      <c r="M3451">
        <v>0.99964739999999996</v>
      </c>
      <c r="N3451">
        <v>-1.48077E-2</v>
      </c>
      <c r="O3451">
        <v>2.2043630000000002E-2</v>
      </c>
      <c r="P3451">
        <v>0.99582899999999996</v>
      </c>
      <c r="Q3451">
        <v>-3.1513880000000001E-2</v>
      </c>
      <c r="R3451">
        <v>8.5625740000000006E-2</v>
      </c>
      <c r="S3451">
        <v>2.9624480000000002</v>
      </c>
      <c r="T3451">
        <v>-0.27681430000000001</v>
      </c>
      <c r="U3451">
        <v>0.48104859999999999</v>
      </c>
      <c r="V3451">
        <v>-6.361936E-2</v>
      </c>
      <c r="W3451">
        <v>-1.6860170000000001E-2</v>
      </c>
      <c r="X3451">
        <v>0.99783180000000005</v>
      </c>
      <c r="Y3451">
        <v>-0.13786909999999999</v>
      </c>
      <c r="Z3451">
        <v>5.6986519999999898E-3</v>
      </c>
      <c r="AA3451">
        <v>0.99043409999999998</v>
      </c>
      <c r="AB3451">
        <v>48</v>
      </c>
      <c r="AC3451">
        <v>11.398599999999901</v>
      </c>
      <c r="AD3451">
        <v>-1.109713267636</v>
      </c>
      <c r="AE3451">
        <v>1.9179999999999999</v>
      </c>
      <c r="AF3451">
        <v>-1.65102219362364</v>
      </c>
      <c r="AG3451">
        <v>-1.109713267636</v>
      </c>
      <c r="AH3451">
        <v>11.3336508841079</v>
      </c>
      <c r="AI3451">
        <v>95.534140583849705</v>
      </c>
      <c r="AJ3451">
        <v>98.288225226488905</v>
      </c>
      <c r="AK3451">
        <v>11.5069101058036</v>
      </c>
      <c r="AL3451">
        <v>90.966062361357999</v>
      </c>
      <c r="AM3451">
        <v>93.648103476217898</v>
      </c>
      <c r="AN3451">
        <v>0.99999999469523904</v>
      </c>
    </row>
    <row r="3452" spans="1:40" x14ac:dyDescent="0.25">
      <c r="A3452" t="str">
        <f>"20190305135302439"</f>
        <v>20190305135302439</v>
      </c>
      <c r="B3452" t="str">
        <f>"1551765182433175"</f>
        <v>1551765182433175</v>
      </c>
      <c r="C3452" t="s">
        <v>40</v>
      </c>
      <c r="D3452">
        <v>4.8040649999999996</v>
      </c>
      <c r="E3452">
        <v>0.47166160000000001</v>
      </c>
      <c r="F3452" t="s">
        <v>56</v>
      </c>
      <c r="G3452">
        <v>-237.6489</v>
      </c>
      <c r="H3452" s="1">
        <v>2.4477010000000001E-6</v>
      </c>
      <c r="I3452">
        <v>216.58109999999999</v>
      </c>
      <c r="J3452">
        <v>-249.10059999999999</v>
      </c>
      <c r="K3452">
        <v>1.1096360000000001</v>
      </c>
      <c r="L3452">
        <v>214.66730000000001</v>
      </c>
      <c r="M3452">
        <v>0.99963959999999996</v>
      </c>
      <c r="N3452">
        <v>-1.4804080000000001E-2</v>
      </c>
      <c r="O3452">
        <v>2.2392809999999999E-2</v>
      </c>
      <c r="P3452">
        <v>0.99586649999999999</v>
      </c>
      <c r="Q3452">
        <v>-3.029952E-2</v>
      </c>
      <c r="R3452">
        <v>8.5625660000000006E-2</v>
      </c>
      <c r="S3452">
        <v>2.9627690000000002</v>
      </c>
      <c r="T3452">
        <v>-0.27552379999999999</v>
      </c>
      <c r="U3452">
        <v>0.47785949999999999</v>
      </c>
      <c r="V3452">
        <v>-6.3275650000000003E-2</v>
      </c>
      <c r="W3452">
        <v>-1.5634289999999999E-2</v>
      </c>
      <c r="X3452">
        <v>0.99787360000000003</v>
      </c>
      <c r="Y3452">
        <v>-0.1364802</v>
      </c>
      <c r="Z3452">
        <v>5.5765449999999996E-3</v>
      </c>
      <c r="AA3452">
        <v>0.99062709999999998</v>
      </c>
      <c r="AB3452">
        <v>48</v>
      </c>
      <c r="AC3452">
        <v>11.451699999999899</v>
      </c>
      <c r="AD3452">
        <v>-1.109633552299</v>
      </c>
      <c r="AE3452">
        <v>1.91379999999998</v>
      </c>
      <c r="AF3452">
        <v>-1.6418595736870101</v>
      </c>
      <c r="AG3452">
        <v>-1.109633552299</v>
      </c>
      <c r="AH3452">
        <v>11.3876740520223</v>
      </c>
      <c r="AI3452">
        <v>95.508817440184401</v>
      </c>
      <c r="AJ3452">
        <v>98.204291537075704</v>
      </c>
      <c r="AK3452">
        <v>11.5588109161452</v>
      </c>
      <c r="AL3452">
        <v>90.8958153470887</v>
      </c>
      <c r="AM3452">
        <v>93.628295439327403</v>
      </c>
      <c r="AN3452">
        <v>0.999999980241843</v>
      </c>
    </row>
    <row r="3453" spans="1:40" x14ac:dyDescent="0.25">
      <c r="A3453" t="str">
        <f>"20190305135302461"</f>
        <v>20190305135302461</v>
      </c>
      <c r="B3453" t="str">
        <f>"1551765182452699"</f>
        <v>1551765182452699</v>
      </c>
      <c r="C3453" t="s">
        <v>40</v>
      </c>
      <c r="D3453">
        <v>4.8042009999999999</v>
      </c>
      <c r="E3453">
        <v>0.47183120000000001</v>
      </c>
      <c r="F3453" t="s">
        <v>56</v>
      </c>
      <c r="G3453">
        <v>-236.9631</v>
      </c>
      <c r="H3453" s="1">
        <v>2.0812979999999998E-6</v>
      </c>
      <c r="I3453">
        <v>216.6146</v>
      </c>
      <c r="J3453">
        <v>-248.63419999999999</v>
      </c>
      <c r="K3453">
        <v>1.10954</v>
      </c>
      <c r="L3453">
        <v>214.67789999999999</v>
      </c>
      <c r="M3453">
        <v>0.99963409999999997</v>
      </c>
      <c r="N3453">
        <v>-1.480062E-2</v>
      </c>
      <c r="O3453">
        <v>2.2642309999999999E-2</v>
      </c>
      <c r="P3453">
        <v>0.9958979</v>
      </c>
      <c r="Q3453">
        <v>-2.9664019999999999E-2</v>
      </c>
      <c r="R3453">
        <v>8.5486329999999999E-2</v>
      </c>
      <c r="S3453">
        <v>2.9633479999999999</v>
      </c>
      <c r="T3453">
        <v>-0.2709162</v>
      </c>
      <c r="U3453">
        <v>0.4754333</v>
      </c>
      <c r="V3453">
        <v>-6.2890860000000007E-2</v>
      </c>
      <c r="W3453">
        <v>-1.498679E-2</v>
      </c>
      <c r="X3453">
        <v>0.99790789999999996</v>
      </c>
      <c r="Y3453">
        <v>-0.13543559999999999</v>
      </c>
      <c r="Z3453">
        <v>5.4310950000000004E-3</v>
      </c>
      <c r="AA3453">
        <v>0.99077130000000002</v>
      </c>
      <c r="AB3453">
        <v>48</v>
      </c>
      <c r="AC3453">
        <v>11.6710999999999</v>
      </c>
      <c r="AD3453">
        <v>-1.109537918702</v>
      </c>
      <c r="AE3453">
        <v>1.9367000000000001</v>
      </c>
      <c r="AF3453">
        <v>-1.6573365661977499</v>
      </c>
      <c r="AG3453">
        <v>-1.109537918702</v>
      </c>
      <c r="AH3453">
        <v>11.6098482328727</v>
      </c>
      <c r="AI3453">
        <v>95.404640871917394</v>
      </c>
      <c r="AJ3453">
        <v>98.124234838664705</v>
      </c>
      <c r="AK3453">
        <v>11.7799157415082</v>
      </c>
      <c r="AL3453">
        <v>90.858711944883197</v>
      </c>
      <c r="AM3453">
        <v>93.606165934276206</v>
      </c>
      <c r="AN3453">
        <v>1.0000000205142201</v>
      </c>
    </row>
    <row r="3454" spans="1:40" x14ac:dyDescent="0.25">
      <c r="A3454" t="str">
        <f>"20190305135302483"</f>
        <v>20190305135302483</v>
      </c>
      <c r="B3454" t="str">
        <f>"1551765182473191"</f>
        <v>1551765182473191</v>
      </c>
      <c r="C3454" t="s">
        <v>40</v>
      </c>
      <c r="D3454">
        <v>4.7738209999999999</v>
      </c>
      <c r="E3454">
        <v>0.47199039999999998</v>
      </c>
      <c r="F3454" t="s">
        <v>56</v>
      </c>
      <c r="G3454">
        <v>-236.393</v>
      </c>
      <c r="H3454" s="1">
        <v>1.776988E-6</v>
      </c>
      <c r="I3454">
        <v>216.63499999999999</v>
      </c>
      <c r="J3454">
        <v>-248.14789999999999</v>
      </c>
      <c r="K3454">
        <v>1.1094349999999999</v>
      </c>
      <c r="L3454">
        <v>214.6891</v>
      </c>
      <c r="M3454">
        <v>0.99963000000000002</v>
      </c>
      <c r="N3454">
        <v>-1.479718E-2</v>
      </c>
      <c r="O3454">
        <v>2.2825089999999999E-2</v>
      </c>
      <c r="P3454">
        <v>0.99594229999999995</v>
      </c>
      <c r="Q3454">
        <v>-3.002324E-2</v>
      </c>
      <c r="R3454">
        <v>8.4839510000000007E-2</v>
      </c>
      <c r="S3454">
        <v>2.9636840000000002</v>
      </c>
      <c r="T3454">
        <v>-0.26862550000000002</v>
      </c>
      <c r="U3454">
        <v>0.47383120000000001</v>
      </c>
      <c r="V3454">
        <v>-6.2063979999999998E-2</v>
      </c>
      <c r="W3454">
        <v>-1.533294E-2</v>
      </c>
      <c r="X3454">
        <v>0.99795440000000002</v>
      </c>
      <c r="Y3454">
        <v>-0.13472729999999999</v>
      </c>
      <c r="Z3454">
        <v>5.3451769999999996E-3</v>
      </c>
      <c r="AA3454">
        <v>0.99086830000000004</v>
      </c>
      <c r="AB3454">
        <v>48</v>
      </c>
      <c r="AC3454">
        <v>11.7548999999999</v>
      </c>
      <c r="AD3454">
        <v>-1.1094332230120001</v>
      </c>
      <c r="AE3454">
        <v>1.94589999999999</v>
      </c>
      <c r="AF3454">
        <v>-1.66264166324978</v>
      </c>
      <c r="AG3454">
        <v>-1.1094332230120001</v>
      </c>
      <c r="AH3454">
        <v>11.6948615969269</v>
      </c>
      <c r="AI3454">
        <v>95.365514752567293</v>
      </c>
      <c r="AJ3454">
        <v>98.091434945703597</v>
      </c>
      <c r="AK3454">
        <v>11.864442976725501</v>
      </c>
      <c r="AL3454">
        <v>90.878547166800402</v>
      </c>
      <c r="AM3454">
        <v>93.558709847967506</v>
      </c>
      <c r="AN3454">
        <v>1.0000000105709199</v>
      </c>
    </row>
    <row r="3455" spans="1:40" x14ac:dyDescent="0.25">
      <c r="A3455" t="str">
        <f>"20190305135302506"</f>
        <v>20190305135302506</v>
      </c>
      <c r="B3455" t="str">
        <f>"1551765182503448"</f>
        <v>1551765182503448</v>
      </c>
      <c r="C3455" t="s">
        <v>40</v>
      </c>
      <c r="D3455">
        <v>4.7953979999999996</v>
      </c>
      <c r="E3455">
        <v>0.47215439999999997</v>
      </c>
      <c r="F3455" t="s">
        <v>56</v>
      </c>
      <c r="G3455">
        <v>-235.9153</v>
      </c>
      <c r="H3455" s="1">
        <v>1.522889E-6</v>
      </c>
      <c r="I3455">
        <v>216.6326</v>
      </c>
      <c r="J3455">
        <v>-247.6782</v>
      </c>
      <c r="K3455">
        <v>1.109337</v>
      </c>
      <c r="L3455">
        <v>214.69990000000001</v>
      </c>
      <c r="M3455">
        <v>0.99962740000000005</v>
      </c>
      <c r="N3455">
        <v>-1.4794E-2</v>
      </c>
      <c r="O3455">
        <v>2.2940970000000001E-2</v>
      </c>
      <c r="P3455">
        <v>0.99597049999999998</v>
      </c>
      <c r="Q3455">
        <v>-3.1075100000000001E-2</v>
      </c>
      <c r="R3455">
        <v>8.4124589999999999E-2</v>
      </c>
      <c r="S3455">
        <v>2.9640200000000001</v>
      </c>
      <c r="T3455">
        <v>-0.26882119999999998</v>
      </c>
      <c r="U3455">
        <v>0.47093200000000002</v>
      </c>
      <c r="V3455">
        <v>-6.1234950000000003E-2</v>
      </c>
      <c r="W3455">
        <v>-1.637371E-2</v>
      </c>
      <c r="X3455">
        <v>0.99798909999999996</v>
      </c>
      <c r="Y3455">
        <v>-0.133654299999999</v>
      </c>
      <c r="Z3455">
        <v>5.2826269999999998E-3</v>
      </c>
      <c r="AA3455">
        <v>0.9910139</v>
      </c>
      <c r="AB3455">
        <v>48</v>
      </c>
      <c r="AC3455">
        <v>11.7629</v>
      </c>
      <c r="AD3455">
        <v>-1.109335477111</v>
      </c>
      <c r="AE3455">
        <v>1.9326999999999801</v>
      </c>
      <c r="AF3455">
        <v>-1.6480370438057499</v>
      </c>
      <c r="AG3455">
        <v>-1.109335477111</v>
      </c>
      <c r="AH3455">
        <v>11.7027978012103</v>
      </c>
      <c r="AI3455">
        <v>95.362421827060899</v>
      </c>
      <c r="AJ3455">
        <v>98.015920090202698</v>
      </c>
      <c r="AK3455">
        <v>11.870220203288</v>
      </c>
      <c r="AL3455">
        <v>90.938186373487397</v>
      </c>
      <c r="AM3455">
        <v>93.511171736341694</v>
      </c>
      <c r="AN3455">
        <v>1.0000000305997301</v>
      </c>
    </row>
    <row r="3456" spans="1:40" x14ac:dyDescent="0.25">
      <c r="A3456" t="str">
        <f>"20190305135302540"</f>
        <v>20190305135302540</v>
      </c>
      <c r="B3456" t="str">
        <f>"1551765182532727"</f>
        <v>1551765182532727</v>
      </c>
      <c r="C3456" t="s">
        <v>40</v>
      </c>
      <c r="D3456">
        <v>4.8127339999999998</v>
      </c>
      <c r="E3456">
        <v>0.47228340000000002</v>
      </c>
      <c r="F3456" t="s">
        <v>56</v>
      </c>
      <c r="G3456">
        <v>-235.5658</v>
      </c>
      <c r="H3456" s="1">
        <v>1.33793299999999E-6</v>
      </c>
      <c r="I3456">
        <v>216.6095</v>
      </c>
      <c r="J3456">
        <v>-246.95359999999999</v>
      </c>
      <c r="K3456">
        <v>1.1092109999999999</v>
      </c>
      <c r="L3456">
        <v>214.7166</v>
      </c>
      <c r="M3456">
        <v>0.9996256</v>
      </c>
      <c r="N3456">
        <v>-1.478905E-2</v>
      </c>
      <c r="O3456">
        <v>2.302336E-2</v>
      </c>
      <c r="P3456">
        <v>0.99595420000000001</v>
      </c>
      <c r="Q3456">
        <v>-3.2259389999999999E-2</v>
      </c>
      <c r="R3456">
        <v>8.3873799999999998E-2</v>
      </c>
      <c r="S3456">
        <v>2.964188</v>
      </c>
      <c r="T3456">
        <v>-0.27148149999999999</v>
      </c>
      <c r="U3456">
        <v>0.46733089999999999</v>
      </c>
      <c r="V3456">
        <v>-6.0906330000000002E-2</v>
      </c>
      <c r="W3456">
        <v>-1.7545479999999999E-2</v>
      </c>
      <c r="X3456">
        <v>0.99798920000000002</v>
      </c>
      <c r="Y3456">
        <v>-0.13238559999999999</v>
      </c>
      <c r="Z3456">
        <v>5.2478560000000004E-3</v>
      </c>
      <c r="AA3456">
        <v>0.99118439999999997</v>
      </c>
      <c r="AB3456">
        <v>47</v>
      </c>
      <c r="AC3456">
        <v>11.3878</v>
      </c>
      <c r="AD3456">
        <v>-1.109209662067</v>
      </c>
      <c r="AE3456">
        <v>1.89289999999999</v>
      </c>
      <c r="AF3456">
        <v>-1.6152713487724</v>
      </c>
      <c r="AG3456">
        <v>-1.109209662067</v>
      </c>
      <c r="AH3456">
        <v>11.3238212515901</v>
      </c>
      <c r="AI3456">
        <v>95.538771985564196</v>
      </c>
      <c r="AJ3456">
        <v>98.118115162320706</v>
      </c>
      <c r="AK3456">
        <v>11.4921005626714</v>
      </c>
      <c r="AL3456">
        <v>91.005333605240494</v>
      </c>
      <c r="AM3456">
        <v>93.492375294900398</v>
      </c>
      <c r="AN3456">
        <v>0.999999934109567</v>
      </c>
    </row>
    <row r="3457" spans="1:40" x14ac:dyDescent="0.25">
      <c r="A3457" t="str">
        <f>"20190305135302562"</f>
        <v>20190305135302562</v>
      </c>
      <c r="B3457" t="str">
        <f>"1551765182553223"</f>
        <v>1551765182553223</v>
      </c>
      <c r="C3457" t="s">
        <v>40</v>
      </c>
      <c r="D3457">
        <v>4.7857349999999999</v>
      </c>
      <c r="E3457">
        <v>0.47235840000000001</v>
      </c>
      <c r="F3457" t="s">
        <v>56</v>
      </c>
      <c r="G3457">
        <v>-235.0317</v>
      </c>
      <c r="H3457" s="1">
        <v>1.054674E-6</v>
      </c>
      <c r="I3457">
        <v>216.58779999999999</v>
      </c>
      <c r="J3457">
        <v>-246.4982</v>
      </c>
      <c r="K3457">
        <v>1.109145</v>
      </c>
      <c r="L3457">
        <v>214.72720000000001</v>
      </c>
      <c r="M3457">
        <v>0.9996256</v>
      </c>
      <c r="N3457">
        <v>-1.478582E-2</v>
      </c>
      <c r="O3457">
        <v>2.3028570000000002E-2</v>
      </c>
      <c r="P3457">
        <v>0.99601479999999998</v>
      </c>
      <c r="Q3457">
        <v>-3.2153269999999998E-2</v>
      </c>
      <c r="R3457">
        <v>8.3192859999999993E-2</v>
      </c>
      <c r="S3457">
        <v>2.9640659999999999</v>
      </c>
      <c r="T3457">
        <v>-0.27577590000000002</v>
      </c>
      <c r="U3457">
        <v>0.46522520000000001</v>
      </c>
      <c r="V3457">
        <v>-6.0221660000000003E-2</v>
      </c>
      <c r="W3457">
        <v>-1.7431809999999999E-2</v>
      </c>
      <c r="X3457">
        <v>0.99803280000000005</v>
      </c>
      <c r="Y3457">
        <v>-0.13168679999999999</v>
      </c>
      <c r="Z3457">
        <v>5.2718859999999999E-3</v>
      </c>
      <c r="AA3457">
        <v>0.99127730000000003</v>
      </c>
      <c r="AB3457">
        <v>47</v>
      </c>
      <c r="AC3457">
        <v>11.4664999999999</v>
      </c>
      <c r="AD3457">
        <v>-1.1091439453259999</v>
      </c>
      <c r="AE3457">
        <v>1.8605999999999701</v>
      </c>
      <c r="AF3457">
        <v>-1.58160190104688</v>
      </c>
      <c r="AG3457">
        <v>-1.1091439453259999</v>
      </c>
      <c r="AH3457">
        <v>11.4023607374391</v>
      </c>
      <c r="AI3457">
        <v>95.503500355710401</v>
      </c>
      <c r="AJ3457">
        <v>97.897010437252305</v>
      </c>
      <c r="AK3457">
        <v>11.5648387473212</v>
      </c>
      <c r="AL3457">
        <v>90.998819738410205</v>
      </c>
      <c r="AM3457">
        <v>93.4530612943894</v>
      </c>
      <c r="AN3457">
        <v>0.99999999310443599</v>
      </c>
    </row>
    <row r="3458" spans="1:40" x14ac:dyDescent="0.25">
      <c r="A3458" t="str">
        <f>"20190305135302583"</f>
        <v>20190305135302583</v>
      </c>
      <c r="B3458" t="str">
        <f>"1551765182572744"</f>
        <v>1551765182572744</v>
      </c>
      <c r="C3458" t="s">
        <v>40</v>
      </c>
      <c r="D3458">
        <v>5.3551820000000001</v>
      </c>
      <c r="E3458">
        <v>0.47257660000000001</v>
      </c>
      <c r="F3458" t="s">
        <v>56</v>
      </c>
      <c r="G3458">
        <v>-234.52860000000001</v>
      </c>
      <c r="H3458" s="1">
        <v>7.8659869999999996E-7</v>
      </c>
      <c r="I3458">
        <v>216.59559999999999</v>
      </c>
      <c r="J3458">
        <v>-246.03450000000001</v>
      </c>
      <c r="K3458">
        <v>1.109073</v>
      </c>
      <c r="L3458">
        <v>214.7379</v>
      </c>
      <c r="M3458">
        <v>0.99962640000000003</v>
      </c>
      <c r="N3458">
        <v>-1.478255E-2</v>
      </c>
      <c r="O3458">
        <v>2.2990779999999999E-2</v>
      </c>
      <c r="P3458">
        <v>0.99613879999999999</v>
      </c>
      <c r="Q3458">
        <v>-3.2333960000000002E-2</v>
      </c>
      <c r="R3458">
        <v>8.1622280000000005E-2</v>
      </c>
      <c r="S3458">
        <v>2.9644780000000002</v>
      </c>
      <c r="T3458">
        <v>-0.27469860000000001</v>
      </c>
      <c r="U3458">
        <v>0.46273799999999998</v>
      </c>
      <c r="V3458">
        <v>-5.8689489999999997E-2</v>
      </c>
      <c r="W3458">
        <v>-1.7604080000000001E-2</v>
      </c>
      <c r="X3458">
        <v>0.99812109999999998</v>
      </c>
      <c r="Y3458">
        <v>-0.13089919999999999</v>
      </c>
      <c r="Z3458">
        <v>5.2167230000000004E-3</v>
      </c>
      <c r="AA3458">
        <v>0.99138190000000004</v>
      </c>
      <c r="AB3458">
        <v>47</v>
      </c>
      <c r="AC3458">
        <v>11.505899999999899</v>
      </c>
      <c r="AD3458">
        <v>-1.1090722134013</v>
      </c>
      <c r="AE3458">
        <v>1.8576999999999899</v>
      </c>
      <c r="AF3458">
        <v>-1.57835785719934</v>
      </c>
      <c r="AG3458">
        <v>-1.1090722134013</v>
      </c>
      <c r="AH3458">
        <v>11.441962437833</v>
      </c>
      <c r="AI3458">
        <v>95.484780997459197</v>
      </c>
      <c r="AJ3458">
        <v>97.854080584335506</v>
      </c>
      <c r="AK3458">
        <v>11.603437384185</v>
      </c>
      <c r="AL3458">
        <v>91.008691544853804</v>
      </c>
      <c r="AM3458">
        <v>93.365115419257705</v>
      </c>
      <c r="AN3458">
        <v>1.00000004506715</v>
      </c>
    </row>
    <row r="3459" spans="1:40" x14ac:dyDescent="0.25">
      <c r="A3459" t="str">
        <f>"20190305135302606"</f>
        <v>20190305135302606</v>
      </c>
      <c r="B3459" t="str">
        <f>"1551765182602999"</f>
        <v>1551765182602999</v>
      </c>
      <c r="C3459" t="s">
        <v>40</v>
      </c>
      <c r="D3459">
        <v>4.89208</v>
      </c>
      <c r="E3459">
        <v>0.55514410000000003</v>
      </c>
      <c r="F3459" t="s">
        <v>56</v>
      </c>
      <c r="G3459">
        <v>-233.9939</v>
      </c>
      <c r="H3459" s="1">
        <v>5.0226669999999995E-7</v>
      </c>
      <c r="I3459">
        <v>216.59049999999999</v>
      </c>
      <c r="J3459">
        <v>-245.5599</v>
      </c>
      <c r="K3459">
        <v>1.1090040000000001</v>
      </c>
      <c r="L3459">
        <v>214.74879999999999</v>
      </c>
      <c r="M3459">
        <v>0.99962859999999998</v>
      </c>
      <c r="N3459">
        <v>-1.4779260000000001E-2</v>
      </c>
      <c r="O3459">
        <v>2.2902889999999999E-2</v>
      </c>
      <c r="P3459">
        <v>0.99631329999999996</v>
      </c>
      <c r="Q3459">
        <v>-3.2415279999999998E-2</v>
      </c>
      <c r="R3459">
        <v>7.9431849999999998E-2</v>
      </c>
      <c r="S3459">
        <v>2.9653779999999998</v>
      </c>
      <c r="T3459">
        <v>-0.27314349999999998</v>
      </c>
      <c r="U3459">
        <v>0.45626830000000002</v>
      </c>
      <c r="V3459">
        <v>-5.65861E-2</v>
      </c>
      <c r="W3459">
        <v>-1.7676330000000001E-2</v>
      </c>
      <c r="X3459">
        <v>0.99824120000000005</v>
      </c>
      <c r="Y3459">
        <v>-0.1288435</v>
      </c>
      <c r="Z3459">
        <v>5.0912559999999997E-3</v>
      </c>
      <c r="AA3459">
        <v>0.99165190000000003</v>
      </c>
      <c r="AB3459">
        <v>47</v>
      </c>
      <c r="AC3459">
        <v>11.566000000000001</v>
      </c>
      <c r="AD3459">
        <v>-1.1090034977333001</v>
      </c>
      <c r="AE3459">
        <v>1.8416999999999999</v>
      </c>
      <c r="AF3459">
        <v>-1.56228479358654</v>
      </c>
      <c r="AG3459">
        <v>-1.1090034977333001</v>
      </c>
      <c r="AH3459">
        <v>11.5020170407756</v>
      </c>
      <c r="AI3459">
        <v>95.457524300044298</v>
      </c>
      <c r="AJ3459">
        <v>97.734979747500802</v>
      </c>
      <c r="AK3459">
        <v>11.6604896355406</v>
      </c>
      <c r="AL3459">
        <v>91.012831888684005</v>
      </c>
      <c r="AM3459">
        <v>93.2443849738316</v>
      </c>
      <c r="AN3459">
        <v>0.99999996636645805</v>
      </c>
    </row>
    <row r="3460" spans="1:40" x14ac:dyDescent="0.25">
      <c r="A3460" t="str">
        <f>"20190305135302630"</f>
        <v>20190305135302630</v>
      </c>
      <c r="B3460" t="str">
        <f>"1551765182623495"</f>
        <v>1551765182623495</v>
      </c>
      <c r="C3460" t="s">
        <v>40</v>
      </c>
      <c r="D3460">
        <v>4.800135</v>
      </c>
      <c r="E3460">
        <v>0.56289829999999996</v>
      </c>
      <c r="F3460" t="s">
        <v>56</v>
      </c>
      <c r="G3460">
        <v>-217.45189999999999</v>
      </c>
      <c r="H3460" s="1">
        <v>2.5046850000000001E-6</v>
      </c>
      <c r="I3460">
        <v>212.87899999999999</v>
      </c>
      <c r="J3460">
        <v>-245.05609999999999</v>
      </c>
      <c r="K3460">
        <v>1.1089249999999999</v>
      </c>
      <c r="L3460">
        <v>214.7602</v>
      </c>
      <c r="M3460">
        <v>0.99963190000000002</v>
      </c>
      <c r="N3460">
        <v>-1.477585E-2</v>
      </c>
      <c r="O3460">
        <v>2.2755589999999999E-2</v>
      </c>
      <c r="P3460">
        <v>0.99652529999999995</v>
      </c>
      <c r="Q3460">
        <v>-3.3025279999999997E-2</v>
      </c>
      <c r="R3460">
        <v>7.6466489999999998E-2</v>
      </c>
      <c r="S3460">
        <v>3.0232540000000001</v>
      </c>
      <c r="T3460">
        <v>-0.1192825</v>
      </c>
      <c r="U3460">
        <v>-0.20111080000000001</v>
      </c>
      <c r="V3460">
        <v>-5.3767379999999997E-2</v>
      </c>
      <c r="W3460">
        <v>-1.827701E-2</v>
      </c>
      <c r="X3460">
        <v>0.9983862</v>
      </c>
      <c r="Y3460">
        <v>8.8963559999999997E-2</v>
      </c>
      <c r="Z3460">
        <v>-2.9716170000000002E-3</v>
      </c>
      <c r="AA3460">
        <v>0.99603039999999998</v>
      </c>
      <c r="AB3460">
        <v>47</v>
      </c>
      <c r="AC3460">
        <v>27.604199999999899</v>
      </c>
      <c r="AD3460">
        <v>-1.1089224953150001</v>
      </c>
      <c r="AE3460">
        <v>-1.88119999999997</v>
      </c>
      <c r="AF3460">
        <v>2.5049074328824501</v>
      </c>
      <c r="AG3460">
        <v>-1.1089224953150001</v>
      </c>
      <c r="AH3460">
        <v>27.510047346163301</v>
      </c>
      <c r="AI3460">
        <v>92.298827801232306</v>
      </c>
      <c r="AJ3460">
        <v>84.797320914346798</v>
      </c>
      <c r="AK3460">
        <v>27.646102353425398</v>
      </c>
      <c r="AL3460">
        <v>91.047253854403905</v>
      </c>
      <c r="AM3460">
        <v>93.082645646944499</v>
      </c>
      <c r="AN3460">
        <v>0.99999999229852199</v>
      </c>
    </row>
    <row r="3461" spans="1:40" x14ac:dyDescent="0.25">
      <c r="A3461" t="str">
        <f>"20190305135302652"</f>
        <v>20190305135302652</v>
      </c>
      <c r="B3461" t="str">
        <f>"1551765182643016"</f>
        <v>1551765182643016</v>
      </c>
      <c r="C3461" t="s">
        <v>40</v>
      </c>
      <c r="D3461">
        <v>4.819547</v>
      </c>
      <c r="E3461">
        <v>0.56563479999999999</v>
      </c>
      <c r="F3461" t="s">
        <v>56</v>
      </c>
      <c r="G3461">
        <v>-222.31010000000001</v>
      </c>
      <c r="H3461" s="1">
        <v>-2.24211E-7</v>
      </c>
      <c r="I3461">
        <v>212.71109999999999</v>
      </c>
      <c r="J3461">
        <v>-244.59010000000001</v>
      </c>
      <c r="K3461">
        <v>1.1088610000000001</v>
      </c>
      <c r="L3461">
        <v>214.77070000000001</v>
      </c>
      <c r="M3461">
        <v>0.99963590000000002</v>
      </c>
      <c r="N3461">
        <v>-1.4772759999999999E-2</v>
      </c>
      <c r="O3461">
        <v>2.2579700000000001E-2</v>
      </c>
      <c r="P3461">
        <v>0.99674799999999997</v>
      </c>
      <c r="Q3461">
        <v>-3.403188E-2</v>
      </c>
      <c r="R3461">
        <v>7.3045689999999996E-2</v>
      </c>
      <c r="S3461">
        <v>3.0264739999999999</v>
      </c>
      <c r="T3461">
        <v>-0.14754829999999999</v>
      </c>
      <c r="U3461">
        <v>-0.272644</v>
      </c>
      <c r="V3461">
        <v>-5.0520799999999998E-2</v>
      </c>
      <c r="W3461">
        <v>-1.927618E-2</v>
      </c>
      <c r="X3461">
        <v>0.99853689999999995</v>
      </c>
      <c r="Y3461">
        <v>0.11200599999999999</v>
      </c>
      <c r="Z3461">
        <v>-4.3182819999999997E-3</v>
      </c>
      <c r="AA3461">
        <v>0.99369819999999998</v>
      </c>
      <c r="AB3461">
        <v>47</v>
      </c>
      <c r="AC3461">
        <v>22.28</v>
      </c>
      <c r="AD3461">
        <v>-1.1088612242110001</v>
      </c>
      <c r="AE3461">
        <v>-2.0596000000000099</v>
      </c>
      <c r="AF3461">
        <v>2.5559280371300801</v>
      </c>
      <c r="AG3461">
        <v>-1.1088612242110001</v>
      </c>
      <c r="AH3461">
        <v>22.173350390120302</v>
      </c>
      <c r="AI3461">
        <v>92.844102958305498</v>
      </c>
      <c r="AJ3461">
        <v>83.424520984038196</v>
      </c>
      <c r="AK3461">
        <v>22.3477025411696</v>
      </c>
      <c r="AL3461">
        <v>91.104512242803096</v>
      </c>
      <c r="AM3461">
        <v>92.896400202219098</v>
      </c>
      <c r="AN3461">
        <v>0.99999993150481803</v>
      </c>
    </row>
    <row r="3462" spans="1:40" x14ac:dyDescent="0.25">
      <c r="A3462" t="str">
        <f>"20190305135302673"</f>
        <v>20190305135302673</v>
      </c>
      <c r="B3462" t="str">
        <f>"1551765182663511"</f>
        <v>1551765182663511</v>
      </c>
      <c r="C3462" t="s">
        <v>40</v>
      </c>
      <c r="D3462">
        <v>4.8044539999999998</v>
      </c>
      <c r="E3462">
        <v>0.56594899999999904</v>
      </c>
      <c r="F3462" t="s">
        <v>56</v>
      </c>
      <c r="G3462">
        <v>-224.4281</v>
      </c>
      <c r="H3462" s="1">
        <v>9.0182689999999995E-7</v>
      </c>
      <c r="I3462">
        <v>212.73599999999999</v>
      </c>
      <c r="J3462">
        <v>-244.14109999999999</v>
      </c>
      <c r="K3462">
        <v>1.1088039999999999</v>
      </c>
      <c r="L3462">
        <v>214.7807</v>
      </c>
      <c r="M3462">
        <v>0.99964070000000005</v>
      </c>
      <c r="N3462">
        <v>-1.4769819999999999E-2</v>
      </c>
      <c r="O3462">
        <v>2.237198E-2</v>
      </c>
      <c r="P3462">
        <v>0.99705909999999998</v>
      </c>
      <c r="Q3462">
        <v>-3.3977930000000003E-2</v>
      </c>
      <c r="R3462">
        <v>6.8697010000000003E-2</v>
      </c>
      <c r="S3462">
        <v>3.0264890000000002</v>
      </c>
      <c r="T3462">
        <v>-0.16644990000000001</v>
      </c>
      <c r="U3462">
        <v>-0.30541990000000002</v>
      </c>
      <c r="V3462">
        <v>-4.6376590000000002E-2</v>
      </c>
      <c r="W3462">
        <v>-1.921585E-2</v>
      </c>
      <c r="X3462">
        <v>0.99873920000000005</v>
      </c>
      <c r="Y3462">
        <v>0.1223911</v>
      </c>
      <c r="Z3462">
        <v>-5.1588980000000003E-3</v>
      </c>
      <c r="AA3462">
        <v>0.99246849999999998</v>
      </c>
      <c r="AB3462">
        <v>47</v>
      </c>
      <c r="AC3462">
        <v>19.712999999999901</v>
      </c>
      <c r="AD3462">
        <v>-1.1088030981731001</v>
      </c>
      <c r="AE3462">
        <v>-2.0447000000000002</v>
      </c>
      <c r="AF3462">
        <v>2.4775002616609099</v>
      </c>
      <c r="AG3462">
        <v>-1.1088030981731001</v>
      </c>
      <c r="AH3462">
        <v>19.600963438581601</v>
      </c>
      <c r="AI3462">
        <v>93.212199709600398</v>
      </c>
      <c r="AJ3462">
        <v>82.796194272411498</v>
      </c>
      <c r="AK3462">
        <v>19.788006963250801</v>
      </c>
      <c r="AL3462">
        <v>91.101054857745197</v>
      </c>
      <c r="AM3462">
        <v>92.658627514568707</v>
      </c>
      <c r="AN3462">
        <v>1.0000000133039399</v>
      </c>
    </row>
    <row r="3463" spans="1:40" x14ac:dyDescent="0.25">
      <c r="A3463" t="str">
        <f>"20190305135302696"</f>
        <v>20190305135302696</v>
      </c>
      <c r="B3463" t="str">
        <f>"1551765182692792"</f>
        <v>1551765182692792</v>
      </c>
      <c r="C3463" t="s">
        <v>40</v>
      </c>
      <c r="D3463">
        <v>4.844894</v>
      </c>
      <c r="E3463">
        <v>0.56600030000000001</v>
      </c>
      <c r="F3463" t="s">
        <v>56</v>
      </c>
      <c r="G3463">
        <v>-224.43350000000001</v>
      </c>
      <c r="H3463" s="1">
        <v>9.0673280000000001E-7</v>
      </c>
      <c r="I3463">
        <v>212.68940000000001</v>
      </c>
      <c r="J3463">
        <v>-243.66739999999999</v>
      </c>
      <c r="K3463">
        <v>1.1087530000000001</v>
      </c>
      <c r="L3463">
        <v>214.7911</v>
      </c>
      <c r="M3463">
        <v>0.99964649999999999</v>
      </c>
      <c r="N3463">
        <v>-1.4766710000000001E-2</v>
      </c>
      <c r="O3463">
        <v>2.2110379999999999E-2</v>
      </c>
      <c r="P3463">
        <v>0.99742920000000002</v>
      </c>
      <c r="Q3463">
        <v>-3.3122680000000002E-2</v>
      </c>
      <c r="R3463">
        <v>6.3544710000000004E-2</v>
      </c>
      <c r="S3463">
        <v>3.0251459999999999</v>
      </c>
      <c r="T3463">
        <v>-0.1702031</v>
      </c>
      <c r="U3463">
        <v>-0.32101439999999998</v>
      </c>
      <c r="V3463">
        <v>-4.1481030000000002E-2</v>
      </c>
      <c r="W3463">
        <v>-1.8355489999999999E-2</v>
      </c>
      <c r="X3463">
        <v>0.99897069999999999</v>
      </c>
      <c r="Y3463">
        <v>0.12721569999999999</v>
      </c>
      <c r="Z3463">
        <v>-5.4233140000000003E-3</v>
      </c>
      <c r="AA3463">
        <v>0.99186030000000003</v>
      </c>
      <c r="AB3463">
        <v>47</v>
      </c>
      <c r="AC3463">
        <v>19.233899999999899</v>
      </c>
      <c r="AD3463">
        <v>-1.1087520932671999</v>
      </c>
      <c r="AE3463">
        <v>-2.1016999999999899</v>
      </c>
      <c r="AF3463">
        <v>2.5182318769337302</v>
      </c>
      <c r="AG3463">
        <v>-1.1087520932671999</v>
      </c>
      <c r="AH3463">
        <v>19.119936082665902</v>
      </c>
      <c r="AI3463">
        <v>93.290472907356701</v>
      </c>
      <c r="AJ3463">
        <v>82.496923233935505</v>
      </c>
      <c r="AK3463">
        <v>19.3169039650654</v>
      </c>
      <c r="AL3463">
        <v>91.051751142371998</v>
      </c>
      <c r="AM3463">
        <v>92.377770819362993</v>
      </c>
      <c r="AN3463">
        <v>1.0000000296607401</v>
      </c>
    </row>
    <row r="3464" spans="1:40" x14ac:dyDescent="0.25">
      <c r="A3464" t="str">
        <f>"20190305135302719"</f>
        <v>20190305135302719</v>
      </c>
      <c r="B3464" t="str">
        <f>"1551765182713288"</f>
        <v>1551765182713288</v>
      </c>
      <c r="C3464" t="s">
        <v>40</v>
      </c>
      <c r="D3464">
        <v>4.834371</v>
      </c>
      <c r="E3464">
        <v>0.56606529999999999</v>
      </c>
      <c r="F3464" t="s">
        <v>56</v>
      </c>
      <c r="G3464">
        <v>-225.24170000000001</v>
      </c>
      <c r="H3464" s="1">
        <v>1.334903E-6</v>
      </c>
      <c r="I3464">
        <v>212.73320000000001</v>
      </c>
      <c r="J3464">
        <v>-243.18780000000001</v>
      </c>
      <c r="K3464">
        <v>1.1086990000000001</v>
      </c>
      <c r="L3464">
        <v>214.8014</v>
      </c>
      <c r="M3464">
        <v>0.99965329999999997</v>
      </c>
      <c r="N3464">
        <v>-1.476356E-2</v>
      </c>
      <c r="O3464">
        <v>2.1802930000000002E-2</v>
      </c>
      <c r="P3464">
        <v>0.99772910000000004</v>
      </c>
      <c r="Q3464">
        <v>-3.2272830000000002E-2</v>
      </c>
      <c r="R3464">
        <v>5.9118669999999998E-2</v>
      </c>
      <c r="S3464">
        <v>3.023209</v>
      </c>
      <c r="T3464">
        <v>-0.18191930000000001</v>
      </c>
      <c r="U3464">
        <v>-0.33764650000000002</v>
      </c>
      <c r="V3464">
        <v>-3.7358950000000002E-2</v>
      </c>
      <c r="W3464">
        <v>-1.7502630000000002E-2</v>
      </c>
      <c r="X3464">
        <v>0.99914860000000005</v>
      </c>
      <c r="Y3464">
        <v>0.13232149999999901</v>
      </c>
      <c r="Z3464">
        <v>-5.9326639999999998E-3</v>
      </c>
      <c r="AA3464">
        <v>0.99118910000000005</v>
      </c>
      <c r="AB3464">
        <v>47</v>
      </c>
      <c r="AC3464">
        <v>17.946100000000001</v>
      </c>
      <c r="AD3464">
        <v>-1.108697665097</v>
      </c>
      <c r="AE3464">
        <v>-2.0681999999999898</v>
      </c>
      <c r="AF3464">
        <v>2.4498008992485998</v>
      </c>
      <c r="AG3464">
        <v>-1.108697665097</v>
      </c>
      <c r="AH3464">
        <v>17.829577437179399</v>
      </c>
      <c r="AI3464">
        <v>93.525209333034596</v>
      </c>
      <c r="AJ3464">
        <v>82.176493339385303</v>
      </c>
      <c r="AK3464">
        <v>18.031210900739001</v>
      </c>
      <c r="AL3464">
        <v>91.002878058798004</v>
      </c>
      <c r="AM3464">
        <v>92.141336603731304</v>
      </c>
      <c r="AN3464">
        <v>0.99999997904198901</v>
      </c>
    </row>
    <row r="3465" spans="1:40" x14ac:dyDescent="0.25">
      <c r="A3465" t="str">
        <f>"20190305135302741"</f>
        <v>20190305135302741</v>
      </c>
      <c r="B3465" t="str">
        <f>"1551765182732811"</f>
        <v>1551765182732811</v>
      </c>
      <c r="C3465" t="s">
        <v>40</v>
      </c>
      <c r="D3465">
        <v>4.8365349999999996</v>
      </c>
      <c r="E3465">
        <v>0.56585430000000003</v>
      </c>
      <c r="F3465" t="s">
        <v>56</v>
      </c>
      <c r="G3465">
        <v>-225.04759999999999</v>
      </c>
      <c r="H3465" s="1">
        <v>1.233502E-6</v>
      </c>
      <c r="I3465">
        <v>212.68969999999999</v>
      </c>
      <c r="J3465">
        <v>-242.71799999999999</v>
      </c>
      <c r="K3465">
        <v>1.108643</v>
      </c>
      <c r="L3465">
        <v>214.81139999999999</v>
      </c>
      <c r="M3465">
        <v>0.99966060000000001</v>
      </c>
      <c r="N3465">
        <v>-1.4760519999999999E-2</v>
      </c>
      <c r="O3465">
        <v>2.1465950000000001E-2</v>
      </c>
      <c r="P3465">
        <v>0.9979732</v>
      </c>
      <c r="Q3465">
        <v>-3.2093679999999999E-2</v>
      </c>
      <c r="R3465">
        <v>5.4949720000000001E-2</v>
      </c>
      <c r="S3465">
        <v>3.0217130000000001</v>
      </c>
      <c r="T3465">
        <v>-0.18468209999999999</v>
      </c>
      <c r="U3465">
        <v>-0.35176089999999999</v>
      </c>
      <c r="V3465">
        <v>-3.3524470000000001E-2</v>
      </c>
      <c r="W3465">
        <v>-1.7322379999999998E-2</v>
      </c>
      <c r="X3465">
        <v>0.99928779999999995</v>
      </c>
      <c r="Y3465">
        <v>0.13659199999999999</v>
      </c>
      <c r="Z3465">
        <v>-6.1601140000000004E-3</v>
      </c>
      <c r="AA3465">
        <v>0.99060820000000005</v>
      </c>
      <c r="AB3465">
        <v>47</v>
      </c>
      <c r="AC3465">
        <v>17.670400000000001</v>
      </c>
      <c r="AD3465">
        <v>-1.1086417664979999</v>
      </c>
      <c r="AE3465">
        <v>-2.1217000000000001</v>
      </c>
      <c r="AF3465">
        <v>2.4908986569411402</v>
      </c>
      <c r="AG3465">
        <v>-1.1086417664979999</v>
      </c>
      <c r="AH3465">
        <v>17.552667377415201</v>
      </c>
      <c r="AI3465">
        <v>93.578294134000799</v>
      </c>
      <c r="AJ3465">
        <v>81.923087811770003</v>
      </c>
      <c r="AK3465">
        <v>17.763158355082901</v>
      </c>
      <c r="AL3465">
        <v>90.992548876660905</v>
      </c>
      <c r="AM3465">
        <v>91.921458971300297</v>
      </c>
      <c r="AN3465">
        <v>1.00000003108324</v>
      </c>
    </row>
    <row r="3466" spans="1:40" x14ac:dyDescent="0.25">
      <c r="A3466" t="str">
        <f>"20190305135302762"</f>
        <v>20190305135302762</v>
      </c>
      <c r="B3466" t="str">
        <f>"1551765182753304"</f>
        <v>1551765182753304</v>
      </c>
      <c r="C3466" t="s">
        <v>40</v>
      </c>
      <c r="D3466">
        <v>4.8830179999999999</v>
      </c>
      <c r="E3466">
        <v>0.56567429999999996</v>
      </c>
      <c r="F3466" t="s">
        <v>56</v>
      </c>
      <c r="G3466">
        <v>-225.1129</v>
      </c>
      <c r="H3466" s="1">
        <v>1.2679209999999999E-6</v>
      </c>
      <c r="I3466">
        <v>212.6977</v>
      </c>
      <c r="J3466">
        <v>-242.2833</v>
      </c>
      <c r="K3466">
        <v>1.108598</v>
      </c>
      <c r="L3466">
        <v>214.82050000000001</v>
      </c>
      <c r="M3466">
        <v>0.99966790000000005</v>
      </c>
      <c r="N3466">
        <v>-1.475771E-2</v>
      </c>
      <c r="O3466">
        <v>2.1129309999999998E-2</v>
      </c>
      <c r="P3466">
        <v>0.99813600000000002</v>
      </c>
      <c r="Q3466">
        <v>-3.2723509999999997E-2</v>
      </c>
      <c r="R3466">
        <v>5.1516480000000003E-2</v>
      </c>
      <c r="S3466">
        <v>3.019943</v>
      </c>
      <c r="T3466">
        <v>-0.19017419999999999</v>
      </c>
      <c r="U3466">
        <v>-0.36257929999999999</v>
      </c>
      <c r="V3466">
        <v>-3.0427220000000001E-2</v>
      </c>
      <c r="W3466">
        <v>-1.795273E-2</v>
      </c>
      <c r="X3466">
        <v>0.99937580000000004</v>
      </c>
      <c r="Y3466">
        <v>0.1397977</v>
      </c>
      <c r="Z3466">
        <v>-6.4326699999999997E-3</v>
      </c>
      <c r="AA3466">
        <v>0.99015920000000002</v>
      </c>
      <c r="AB3466">
        <v>47</v>
      </c>
      <c r="AC3466">
        <v>17.170400000000001</v>
      </c>
      <c r="AD3466">
        <v>-1.108596732079</v>
      </c>
      <c r="AE3466">
        <v>-2.12280000000001</v>
      </c>
      <c r="AF3466">
        <v>2.4750022938943701</v>
      </c>
      <c r="AG3466">
        <v>-1.108596732079</v>
      </c>
      <c r="AH3466">
        <v>17.051696740049199</v>
      </c>
      <c r="AI3466">
        <v>93.681316638208401</v>
      </c>
      <c r="AJ3466">
        <v>81.741364995191901</v>
      </c>
      <c r="AK3466">
        <v>17.2660066252669</v>
      </c>
      <c r="AL3466">
        <v>91.028670867193995</v>
      </c>
      <c r="AM3466">
        <v>91.743901451389803</v>
      </c>
      <c r="AN3466">
        <v>1.0000000529285</v>
      </c>
    </row>
    <row r="3467" spans="1:40" x14ac:dyDescent="0.25">
      <c r="A3467" t="str">
        <f>"20190305135302785"</f>
        <v>20190305135302785</v>
      </c>
      <c r="B3467" t="str">
        <f>"1551765182772824"</f>
        <v>1551765182772824</v>
      </c>
      <c r="C3467" t="s">
        <v>40</v>
      </c>
      <c r="D3467">
        <v>4.8248300000000004</v>
      </c>
      <c r="E3467">
        <v>0.56566969999999905</v>
      </c>
      <c r="F3467" t="s">
        <v>56</v>
      </c>
      <c r="G3467">
        <v>-224.97810000000001</v>
      </c>
      <c r="H3467" s="1">
        <v>1.196543E-6</v>
      </c>
      <c r="I3467">
        <v>212.6893</v>
      </c>
      <c r="J3467">
        <v>-241.7989</v>
      </c>
      <c r="K3467">
        <v>1.1085579999999999</v>
      </c>
      <c r="L3467">
        <v>214.8304</v>
      </c>
      <c r="M3467">
        <v>0.99967620000000001</v>
      </c>
      <c r="N3467">
        <v>-1.475459E-2</v>
      </c>
      <c r="O3467">
        <v>2.0734579999999999E-2</v>
      </c>
      <c r="P3467">
        <v>0.99827540000000003</v>
      </c>
      <c r="Q3467">
        <v>-3.3161919999999998E-2</v>
      </c>
      <c r="R3467">
        <v>4.8442489999999998E-2</v>
      </c>
      <c r="S3467">
        <v>3.0184479999999998</v>
      </c>
      <c r="T3467">
        <v>-0.19336629999999999</v>
      </c>
      <c r="U3467">
        <v>-0.37173460000000003</v>
      </c>
      <c r="V3467">
        <v>-2.774778E-2</v>
      </c>
      <c r="W3467">
        <v>-1.8392599999999999E-2</v>
      </c>
      <c r="X3467">
        <v>0.99944569999999999</v>
      </c>
      <c r="Y3467">
        <v>0.14240610000000001</v>
      </c>
      <c r="Z3467">
        <v>-6.6133219999999996E-3</v>
      </c>
      <c r="AA3467">
        <v>0.98978619999999995</v>
      </c>
      <c r="AB3467">
        <v>47</v>
      </c>
      <c r="AC3467">
        <v>16.820799999999899</v>
      </c>
      <c r="AD3467">
        <v>-1.1085568034569999</v>
      </c>
      <c r="AE3467">
        <v>-2.14109999999999</v>
      </c>
      <c r="AF3467">
        <v>2.4788549498481598</v>
      </c>
      <c r="AG3467">
        <v>-1.1085568034569999</v>
      </c>
      <c r="AH3467">
        <v>16.7014002859855</v>
      </c>
      <c r="AI3467">
        <v>93.756411813554607</v>
      </c>
      <c r="AJ3467">
        <v>81.557678962705793</v>
      </c>
      <c r="AK3467">
        <v>16.920708955643502</v>
      </c>
      <c r="AL3467">
        <v>91.053877813591498</v>
      </c>
      <c r="AM3467">
        <v>91.590303902033</v>
      </c>
      <c r="AN3467">
        <v>0.99999996713908801</v>
      </c>
    </row>
    <row r="3468" spans="1:40" x14ac:dyDescent="0.25">
      <c r="A3468" t="str">
        <f>"20190305135302807"</f>
        <v>20190305135302807</v>
      </c>
      <c r="B3468" t="str">
        <f>"1551765182803080"</f>
        <v>1551765182803080</v>
      </c>
      <c r="C3468" t="s">
        <v>40</v>
      </c>
      <c r="D3468">
        <v>4.7377659999999997</v>
      </c>
      <c r="E3468">
        <v>0.56646379999999996</v>
      </c>
      <c r="F3468" t="s">
        <v>56</v>
      </c>
      <c r="G3468">
        <v>-224.3134</v>
      </c>
      <c r="H3468" s="1">
        <v>8.4568229999999997E-7</v>
      </c>
      <c r="I3468">
        <v>212.62389999999999</v>
      </c>
      <c r="J3468">
        <v>-241.3253</v>
      </c>
      <c r="K3468">
        <v>1.1085259999999999</v>
      </c>
      <c r="L3468">
        <v>214.8399</v>
      </c>
      <c r="M3468">
        <v>0.99968449999999998</v>
      </c>
      <c r="N3468">
        <v>-1.4751530000000001E-2</v>
      </c>
      <c r="O3468">
        <v>2.0333739999999999E-2</v>
      </c>
      <c r="P3468">
        <v>0.99836420000000003</v>
      </c>
      <c r="Q3468">
        <v>-3.3599450000000003E-2</v>
      </c>
      <c r="R3468">
        <v>4.6264350000000003E-2</v>
      </c>
      <c r="S3468">
        <v>3.0173030000000001</v>
      </c>
      <c r="T3468">
        <v>-0.19129350000000001</v>
      </c>
      <c r="U3468">
        <v>-0.38076779999999999</v>
      </c>
      <c r="V3468">
        <v>-2.5970380000000001E-2</v>
      </c>
      <c r="W3468">
        <v>-1.8832129999999999E-2</v>
      </c>
      <c r="X3468">
        <v>0.99948530000000002</v>
      </c>
      <c r="Y3468">
        <v>0.14497380000000001</v>
      </c>
      <c r="Z3468">
        <v>-6.6324119999999999E-3</v>
      </c>
      <c r="AA3468">
        <v>0.98941330000000005</v>
      </c>
      <c r="AB3468">
        <v>47</v>
      </c>
      <c r="AC3468">
        <v>17.011899999999901</v>
      </c>
      <c r="AD3468">
        <v>-1.1085251543176999</v>
      </c>
      <c r="AE3468">
        <v>-2.2160000000000002</v>
      </c>
      <c r="AF3468">
        <v>2.5508445968041502</v>
      </c>
      <c r="AG3468">
        <v>-1.1085251543176999</v>
      </c>
      <c r="AH3468">
        <v>16.892786626687901</v>
      </c>
      <c r="AI3468">
        <v>93.712468830826793</v>
      </c>
      <c r="AJ3468">
        <v>81.413095496360199</v>
      </c>
      <c r="AK3468">
        <v>17.1202183452667</v>
      </c>
      <c r="AL3468">
        <v>91.079065369914403</v>
      </c>
      <c r="AM3468">
        <v>91.488424518469103</v>
      </c>
      <c r="AN3468">
        <v>0.999999987336885</v>
      </c>
    </row>
    <row r="3469" spans="1:40" x14ac:dyDescent="0.25">
      <c r="A3469" t="str">
        <f>"20190305135302830"</f>
        <v>20190305135302830</v>
      </c>
      <c r="B3469" t="str">
        <f>"1551765182823579"</f>
        <v>1551765182823579</v>
      </c>
      <c r="C3469" t="s">
        <v>40</v>
      </c>
      <c r="D3469">
        <v>4.753546</v>
      </c>
      <c r="E3469">
        <v>0.56665829999999995</v>
      </c>
      <c r="F3469" t="s">
        <v>56</v>
      </c>
      <c r="G3469">
        <v>-222.6798</v>
      </c>
      <c r="H3469" s="1">
        <v>-1.4272800000000001E-8</v>
      </c>
      <c r="I3469">
        <v>212.40979999999999</v>
      </c>
      <c r="J3469">
        <v>-240.84469999999999</v>
      </c>
      <c r="K3469">
        <v>1.1085039999999999</v>
      </c>
      <c r="L3469">
        <v>214.8494</v>
      </c>
      <c r="M3469">
        <v>0.9996929</v>
      </c>
      <c r="N3469">
        <v>-1.474864E-2</v>
      </c>
      <c r="O3469">
        <v>1.9916860000000002E-2</v>
      </c>
      <c r="P3469">
        <v>0.99842200000000003</v>
      </c>
      <c r="Q3469">
        <v>-3.328275E-2</v>
      </c>
      <c r="R3469">
        <v>4.5231739999999999E-2</v>
      </c>
      <c r="S3469">
        <v>3.0171199999999998</v>
      </c>
      <c r="T3469">
        <v>-0.17937600000000001</v>
      </c>
      <c r="U3469">
        <v>-0.39323429999999998</v>
      </c>
      <c r="V3469">
        <v>-2.53543E-2</v>
      </c>
      <c r="W3469">
        <v>-1.8516870000000001E-2</v>
      </c>
      <c r="X3469">
        <v>0.99950700000000003</v>
      </c>
      <c r="Y3469">
        <v>0.1486247</v>
      </c>
      <c r="Z3469">
        <v>-6.3836750000000001E-3</v>
      </c>
      <c r="AA3469">
        <v>0.98887309999999995</v>
      </c>
      <c r="AB3469">
        <v>47</v>
      </c>
      <c r="AC3469">
        <v>18.1648999999999</v>
      </c>
      <c r="AD3469">
        <v>-1.1085040142728</v>
      </c>
      <c r="AE3469">
        <v>-2.4396000000000102</v>
      </c>
      <c r="AF3469">
        <v>2.7907345486863502</v>
      </c>
      <c r="AG3469">
        <v>-1.1085040142728</v>
      </c>
      <c r="AH3469">
        <v>18.046686614414401</v>
      </c>
      <c r="AI3469">
        <v>93.473747289164805</v>
      </c>
      <c r="AJ3469">
        <v>81.209426385216403</v>
      </c>
      <c r="AK3469">
        <v>18.2948046786451</v>
      </c>
      <c r="AL3469">
        <v>91.060999160526507</v>
      </c>
      <c r="AM3469">
        <v>91.453099289942699</v>
      </c>
      <c r="AN3469">
        <v>0.99999997902604298</v>
      </c>
    </row>
    <row r="3470" spans="1:40" x14ac:dyDescent="0.25">
      <c r="A3470" t="str">
        <f>"20190305135302851"</f>
        <v>20190305135302851</v>
      </c>
      <c r="B3470" t="str">
        <f>"1551765182843096"</f>
        <v>1551765182843096</v>
      </c>
      <c r="C3470" t="s">
        <v>40</v>
      </c>
      <c r="D3470">
        <v>4.7835000000000001</v>
      </c>
      <c r="E3470">
        <v>0.56686009999999998</v>
      </c>
      <c r="F3470" t="s">
        <v>56</v>
      </c>
      <c r="G3470">
        <v>-221.40940000000001</v>
      </c>
      <c r="H3470" s="1">
        <v>-6.8499180000000001E-7</v>
      </c>
      <c r="I3470">
        <v>212.2878</v>
      </c>
      <c r="J3470">
        <v>-240.3991</v>
      </c>
      <c r="K3470">
        <v>1.1084860000000001</v>
      </c>
      <c r="L3470">
        <v>214.8579</v>
      </c>
      <c r="M3470">
        <v>0.9997007</v>
      </c>
      <c r="N3470">
        <v>-1.474581E-2</v>
      </c>
      <c r="O3470">
        <v>1.9525310000000001E-2</v>
      </c>
      <c r="P3470">
        <v>0.99845519999999999</v>
      </c>
      <c r="Q3470">
        <v>-3.3265200000000002E-2</v>
      </c>
      <c r="R3470">
        <v>4.4506440000000001E-2</v>
      </c>
      <c r="S3470">
        <v>3.017029</v>
      </c>
      <c r="T3470">
        <v>-0.17207809999999901</v>
      </c>
      <c r="U3470">
        <v>-0.397644</v>
      </c>
      <c r="V3470">
        <v>-2.5021160000000001E-2</v>
      </c>
      <c r="W3470">
        <v>-1.850106E-2</v>
      </c>
      <c r="X3470">
        <v>0.99951570000000001</v>
      </c>
      <c r="Y3470">
        <v>0.1496857</v>
      </c>
      <c r="Z3470">
        <v>-6.1782779999999997E-3</v>
      </c>
      <c r="AA3470">
        <v>0.98871430000000005</v>
      </c>
      <c r="AB3470">
        <v>47</v>
      </c>
      <c r="AC3470">
        <v>18.989699999999999</v>
      </c>
      <c r="AD3470">
        <v>-1.1084866849918</v>
      </c>
      <c r="AE3470">
        <v>-2.5700999999999898</v>
      </c>
      <c r="AF3470">
        <v>2.9306237826952701</v>
      </c>
      <c r="AG3470">
        <v>-1.1084866849918</v>
      </c>
      <c r="AH3470">
        <v>18.8727411534583</v>
      </c>
      <c r="AI3470">
        <v>93.321675976215403</v>
      </c>
      <c r="AJ3470">
        <v>81.173409933039196</v>
      </c>
      <c r="AK3470">
        <v>19.131065237773399</v>
      </c>
      <c r="AL3470">
        <v>91.060093146221206</v>
      </c>
      <c r="AM3470">
        <v>91.434002002352102</v>
      </c>
      <c r="AN3470">
        <v>0.99999999110767901</v>
      </c>
    </row>
    <row r="3471" spans="1:40" x14ac:dyDescent="0.25">
      <c r="A3471" t="str">
        <f>"20190305135302874"</f>
        <v>20190305135302874</v>
      </c>
      <c r="B3471" t="str">
        <f>"1551765182863592"</f>
        <v>1551765182863592</v>
      </c>
      <c r="C3471" t="s">
        <v>40</v>
      </c>
      <c r="D3471">
        <v>4.7578339999999999</v>
      </c>
      <c r="E3471">
        <v>0.56704500000000002</v>
      </c>
      <c r="F3471" t="s">
        <v>56</v>
      </c>
      <c r="G3471">
        <v>-220.44149999999999</v>
      </c>
      <c r="H3471" s="1">
        <v>-1.1963849999999999E-6</v>
      </c>
      <c r="I3471">
        <v>212.20330000000001</v>
      </c>
      <c r="J3471">
        <v>-239.93389999999999</v>
      </c>
      <c r="K3471">
        <v>1.108481</v>
      </c>
      <c r="L3471">
        <v>214.86670000000001</v>
      </c>
      <c r="M3471">
        <v>0.99970870000000001</v>
      </c>
      <c r="N3471">
        <v>-1.4742730000000001E-2</v>
      </c>
      <c r="O3471">
        <v>1.911361E-2</v>
      </c>
      <c r="P3471">
        <v>0.99849209999999999</v>
      </c>
      <c r="Q3471">
        <v>-3.3465849999999998E-2</v>
      </c>
      <c r="R3471">
        <v>4.3521200000000003E-2</v>
      </c>
      <c r="S3471">
        <v>3.016953</v>
      </c>
      <c r="T3471">
        <v>-0.16756740000000001</v>
      </c>
      <c r="U3471">
        <v>-0.40129090000000001</v>
      </c>
      <c r="V3471">
        <v>-2.444818E-2</v>
      </c>
      <c r="W3471">
        <v>-1.8704189999999999E-2</v>
      </c>
      <c r="X3471">
        <v>0.99952609999999997</v>
      </c>
      <c r="Y3471">
        <v>0.1504703</v>
      </c>
      <c r="Z3471">
        <v>-6.048487E-3</v>
      </c>
      <c r="AA3471">
        <v>0.98859600000000003</v>
      </c>
      <c r="AB3471">
        <v>47</v>
      </c>
      <c r="AC3471">
        <v>19.4924</v>
      </c>
      <c r="AD3471">
        <v>-1.108482196385</v>
      </c>
      <c r="AE3471">
        <v>-2.66339999999999</v>
      </c>
      <c r="AF3471">
        <v>3.0259177620510398</v>
      </c>
      <c r="AG3471">
        <v>-1.108482196385</v>
      </c>
      <c r="AH3471">
        <v>19.3764126308625</v>
      </c>
      <c r="AI3471">
        <v>93.235072246762599</v>
      </c>
      <c r="AJ3471">
        <v>81.124094167580694</v>
      </c>
      <c r="AK3471">
        <v>19.642562906195501</v>
      </c>
      <c r="AL3471">
        <v>91.071733650964106</v>
      </c>
      <c r="AM3471">
        <v>91.401162289230498</v>
      </c>
      <c r="AN3471">
        <v>0.99999999240503901</v>
      </c>
    </row>
    <row r="3472" spans="1:40" x14ac:dyDescent="0.25">
      <c r="A3472" t="str">
        <f>"20190305135302897"</f>
        <v>20190305135302897</v>
      </c>
      <c r="B3472" t="str">
        <f>"1551765182892872"</f>
        <v>1551765182892872</v>
      </c>
      <c r="C3472" t="s">
        <v>40</v>
      </c>
      <c r="D3472">
        <v>4.7518050000000001</v>
      </c>
      <c r="E3472">
        <v>0.567183199999999</v>
      </c>
      <c r="F3472" t="s">
        <v>56</v>
      </c>
      <c r="G3472">
        <v>-219.1696</v>
      </c>
      <c r="H3472" s="1">
        <v>3.4538019999999999E-6</v>
      </c>
      <c r="I3472">
        <v>212.07679999999999</v>
      </c>
      <c r="J3472">
        <v>-239.45529999999999</v>
      </c>
      <c r="K3472">
        <v>1.108474</v>
      </c>
      <c r="L3472">
        <v>214.87549999999999</v>
      </c>
      <c r="M3472">
        <v>0.99971679999999996</v>
      </c>
      <c r="N3472">
        <v>-1.4739550000000001E-2</v>
      </c>
      <c r="O3472">
        <v>1.8688260000000002E-2</v>
      </c>
      <c r="P3472">
        <v>0.99854600000000004</v>
      </c>
      <c r="Q3472">
        <v>-3.3052890000000001E-2</v>
      </c>
      <c r="R3472">
        <v>4.2584179999999999E-2</v>
      </c>
      <c r="S3472">
        <v>3.016785</v>
      </c>
      <c r="T3472">
        <v>-0.16104749999999901</v>
      </c>
      <c r="U3472">
        <v>-0.40533449999999999</v>
      </c>
      <c r="V3472">
        <v>-2.3935049999999999E-2</v>
      </c>
      <c r="W3472">
        <v>-1.8293759999999999E-2</v>
      </c>
      <c r="X3472">
        <v>0.99954609999999999</v>
      </c>
      <c r="Y3472">
        <v>0.15137879999999901</v>
      </c>
      <c r="Z3472">
        <v>-5.8601010000000004E-3</v>
      </c>
      <c r="AA3472">
        <v>0.98845850000000002</v>
      </c>
      <c r="AB3472">
        <v>47</v>
      </c>
      <c r="AC3472">
        <v>20.285699999999899</v>
      </c>
      <c r="AD3472">
        <v>-1.108470546198</v>
      </c>
      <c r="AE3472">
        <v>-2.79869999999999</v>
      </c>
      <c r="AF3472">
        <v>3.1680740023943299</v>
      </c>
      <c r="AG3472">
        <v>-1.108470546198</v>
      </c>
      <c r="AH3472">
        <v>20.170746093837099</v>
      </c>
      <c r="AI3472">
        <v>93.107470174444899</v>
      </c>
      <c r="AJ3472">
        <v>81.073885955457797</v>
      </c>
      <c r="AK3472">
        <v>20.448090322044202</v>
      </c>
      <c r="AL3472">
        <v>91.048213735080907</v>
      </c>
      <c r="AM3472">
        <v>91.371737950292399</v>
      </c>
      <c r="AN3472">
        <v>0.99999997714932398</v>
      </c>
    </row>
    <row r="3473" spans="1:40" x14ac:dyDescent="0.25">
      <c r="A3473" t="str">
        <f>"20190305135302920"</f>
        <v>20190305135302920</v>
      </c>
      <c r="B3473" t="str">
        <f>"1551765182913368"</f>
        <v>1551765182913368</v>
      </c>
      <c r="C3473" t="s">
        <v>40</v>
      </c>
      <c r="D3473">
        <v>4.7350680000000001</v>
      </c>
      <c r="E3473">
        <v>0.56728120000000004</v>
      </c>
      <c r="F3473" t="s">
        <v>56</v>
      </c>
      <c r="G3473">
        <v>-217.3647</v>
      </c>
      <c r="H3473" s="1">
        <v>2.5019679999999999E-6</v>
      </c>
      <c r="I3473">
        <v>211.87989999999999</v>
      </c>
      <c r="J3473">
        <v>-238.97450000000001</v>
      </c>
      <c r="K3473">
        <v>1.108473</v>
      </c>
      <c r="L3473">
        <v>214.88419999999999</v>
      </c>
      <c r="M3473">
        <v>0.99972470000000002</v>
      </c>
      <c r="N3473">
        <v>-1.473635E-2</v>
      </c>
      <c r="O3473">
        <v>1.8259979999999999E-2</v>
      </c>
      <c r="P3473">
        <v>0.99859549999999997</v>
      </c>
      <c r="Q3473">
        <v>-3.3228109999999998E-2</v>
      </c>
      <c r="R3473">
        <v>4.1270960000000002E-2</v>
      </c>
      <c r="S3473">
        <v>3.016785</v>
      </c>
      <c r="T3473">
        <v>-0.1513777</v>
      </c>
      <c r="U3473">
        <v>-0.40910340000000001</v>
      </c>
      <c r="V3473">
        <v>-2.3050359999999999E-2</v>
      </c>
      <c r="W3473">
        <v>-1.8472260000000001E-2</v>
      </c>
      <c r="X3473">
        <v>0.9995636</v>
      </c>
      <c r="Y3473">
        <v>0.15219750000000001</v>
      </c>
      <c r="Z3473">
        <v>-5.5703319999999999E-3</v>
      </c>
      <c r="AA3473">
        <v>0.98833439999999995</v>
      </c>
      <c r="AB3473">
        <v>47</v>
      </c>
      <c r="AC3473">
        <v>21.6098</v>
      </c>
      <c r="AD3473">
        <v>-1.1084704980319999</v>
      </c>
      <c r="AE3473">
        <v>-3.0043000000000002</v>
      </c>
      <c r="AF3473">
        <v>3.3896866627927502</v>
      </c>
      <c r="AG3473">
        <v>-1.1084704980319999</v>
      </c>
      <c r="AH3473">
        <v>21.495845351743299</v>
      </c>
      <c r="AI3473">
        <v>92.915972761621205</v>
      </c>
      <c r="AJ3473">
        <v>81.038801255721907</v>
      </c>
      <c r="AK3473">
        <v>21.789677599794501</v>
      </c>
      <c r="AL3473">
        <v>91.058442771271004</v>
      </c>
      <c r="AM3473">
        <v>91.321030810174605</v>
      </c>
      <c r="AN3473">
        <v>0.99999996696529803</v>
      </c>
    </row>
    <row r="3474" spans="1:40" x14ac:dyDescent="0.25">
      <c r="A3474" t="str">
        <f>"20190305135302942"</f>
        <v>20190305135302942</v>
      </c>
      <c r="B3474" t="str">
        <f>"1551765182933394"</f>
        <v>1551765182933394</v>
      </c>
      <c r="C3474" t="s">
        <v>40</v>
      </c>
      <c r="D3474">
        <v>4.6769910000000001</v>
      </c>
      <c r="E3474">
        <v>0.56742289999999995</v>
      </c>
      <c r="F3474" t="s">
        <v>56</v>
      </c>
      <c r="G3474">
        <v>-216.21960000000001</v>
      </c>
      <c r="H3474" s="1">
        <v>1.8976789999999999E-6</v>
      </c>
      <c r="I3474">
        <v>211.76339999999999</v>
      </c>
      <c r="J3474">
        <v>-238.51849999999999</v>
      </c>
      <c r="K3474">
        <v>1.108468</v>
      </c>
      <c r="L3474">
        <v>214.8922</v>
      </c>
      <c r="M3474">
        <v>0.99973210000000001</v>
      </c>
      <c r="N3474">
        <v>-1.473327E-2</v>
      </c>
      <c r="O3474">
        <v>1.7853210000000001E-2</v>
      </c>
      <c r="P3474">
        <v>0.99862340000000005</v>
      </c>
      <c r="Q3474">
        <v>-3.3614110000000003E-2</v>
      </c>
      <c r="R3474">
        <v>4.0268470000000001E-2</v>
      </c>
      <c r="S3474">
        <v>3.0164339999999998</v>
      </c>
      <c r="T3474">
        <v>-0.14694119999999999</v>
      </c>
      <c r="U3474">
        <v>-0.41369630000000002</v>
      </c>
      <c r="V3474">
        <v>-2.245488E-2</v>
      </c>
      <c r="W3474">
        <v>-1.8861490000000002E-2</v>
      </c>
      <c r="X3474">
        <v>0.99956990000000001</v>
      </c>
      <c r="Y3474">
        <v>0.15329999999999999</v>
      </c>
      <c r="Z3474">
        <v>-5.4535299999999998E-3</v>
      </c>
      <c r="AA3474">
        <v>0.98816470000000001</v>
      </c>
      <c r="AB3474">
        <v>47</v>
      </c>
      <c r="AC3474">
        <v>22.2988999999999</v>
      </c>
      <c r="AD3474">
        <v>-1.1084661023209901</v>
      </c>
      <c r="AE3474">
        <v>-3.1288000000000098</v>
      </c>
      <c r="AF3474">
        <v>3.5179263003723502</v>
      </c>
      <c r="AG3474">
        <v>-1.1084661023209901</v>
      </c>
      <c r="AH3474">
        <v>22.185716909798</v>
      </c>
      <c r="AI3474">
        <v>92.825056242395405</v>
      </c>
      <c r="AJ3474">
        <v>80.9897869715128</v>
      </c>
      <c r="AK3474">
        <v>22.4902320431903</v>
      </c>
      <c r="AL3474">
        <v>91.080747879481905</v>
      </c>
      <c r="AM3474">
        <v>91.2869069927646</v>
      </c>
      <c r="AN3474">
        <v>0.99999998121342204</v>
      </c>
    </row>
    <row r="3475" spans="1:40" x14ac:dyDescent="0.25">
      <c r="A3475" t="str">
        <f>"20190305135302963"</f>
        <v>20190305135302963</v>
      </c>
      <c r="B3475" t="str">
        <f>"1551765182952914"</f>
        <v>1551765182952914</v>
      </c>
      <c r="C3475" t="s">
        <v>40</v>
      </c>
      <c r="D3475">
        <v>4.6984440000000003</v>
      </c>
      <c r="E3475">
        <v>0.56762319999999999</v>
      </c>
      <c r="F3475" t="s">
        <v>56</v>
      </c>
      <c r="G3475">
        <v>-215.11259999999999</v>
      </c>
      <c r="H3475" s="1">
        <v>1.31357E-6</v>
      </c>
      <c r="I3475">
        <v>211.6498</v>
      </c>
      <c r="J3475">
        <v>-238.06460000000001</v>
      </c>
      <c r="K3475">
        <v>1.1084719999999999</v>
      </c>
      <c r="L3475">
        <v>214.9</v>
      </c>
      <c r="M3475">
        <v>0.9997393</v>
      </c>
      <c r="N3475">
        <v>-1.4730419999999999E-2</v>
      </c>
      <c r="O3475">
        <v>1.7450139999999999E-2</v>
      </c>
      <c r="P3475">
        <v>0.99866440000000001</v>
      </c>
      <c r="Q3475">
        <v>-3.4207509999999997E-2</v>
      </c>
      <c r="R3475">
        <v>3.8720879999999999E-2</v>
      </c>
      <c r="S3475">
        <v>3.0161739999999999</v>
      </c>
      <c r="T3475">
        <v>-0.14284169999999999</v>
      </c>
      <c r="U3475">
        <v>-0.41783140000000002</v>
      </c>
      <c r="V3475">
        <v>-2.1310699999999998E-2</v>
      </c>
      <c r="W3475">
        <v>-1.9458670000000001E-2</v>
      </c>
      <c r="X3475">
        <v>0.99958349999999996</v>
      </c>
      <c r="Y3475">
        <v>0.15425339999999901</v>
      </c>
      <c r="Z3475">
        <v>-5.3422119999999998E-3</v>
      </c>
      <c r="AA3475">
        <v>0.98801689999999998</v>
      </c>
      <c r="AB3475">
        <v>47</v>
      </c>
      <c r="AC3475">
        <v>22.952000000000002</v>
      </c>
      <c r="AD3475">
        <v>-1.10847068642999</v>
      </c>
      <c r="AE3475">
        <v>-3.2502</v>
      </c>
      <c r="AF3475">
        <v>3.6419364961473901</v>
      </c>
      <c r="AG3475">
        <v>-1.10847068642999</v>
      </c>
      <c r="AH3475">
        <v>22.839557592629799</v>
      </c>
      <c r="AI3475">
        <v>92.743940279952994</v>
      </c>
      <c r="AJ3475">
        <v>80.940038265889598</v>
      </c>
      <c r="AK3475">
        <v>23.154649635261201</v>
      </c>
      <c r="AL3475">
        <v>91.114970058223307</v>
      </c>
      <c r="AM3475">
        <v>91.221336912271198</v>
      </c>
      <c r="AN3475">
        <v>0.99999997962245402</v>
      </c>
    </row>
    <row r="3476" spans="1:40" x14ac:dyDescent="0.25">
      <c r="A3476" t="str">
        <f>"20190305135302986"</f>
        <v>20190305135302986</v>
      </c>
      <c r="B3476" t="str">
        <f>"1551765182983170"</f>
        <v>1551765182983170</v>
      </c>
      <c r="C3476" t="s">
        <v>40</v>
      </c>
      <c r="D3476">
        <v>4.750953</v>
      </c>
      <c r="E3476">
        <v>0.56784429999999997</v>
      </c>
      <c r="F3476" t="s">
        <v>56</v>
      </c>
      <c r="G3476">
        <v>-214.15620000000001</v>
      </c>
      <c r="H3476" s="1">
        <v>8.0933269999999996E-7</v>
      </c>
      <c r="I3476">
        <v>211.54159999999999</v>
      </c>
      <c r="J3476">
        <v>-237.59690000000001</v>
      </c>
      <c r="K3476">
        <v>1.1084769999999999</v>
      </c>
      <c r="L3476">
        <v>214.90790000000001</v>
      </c>
      <c r="M3476">
        <v>0.99974640000000004</v>
      </c>
      <c r="N3476">
        <v>-1.4727530000000001E-2</v>
      </c>
      <c r="O3476">
        <v>1.7041850000000001E-2</v>
      </c>
      <c r="P3476">
        <v>0.99871960000000004</v>
      </c>
      <c r="Q3476">
        <v>-3.4592049999999999E-2</v>
      </c>
      <c r="R3476">
        <v>3.6919809999999997E-2</v>
      </c>
      <c r="S3476">
        <v>3.0156710000000002</v>
      </c>
      <c r="T3476">
        <v>-0.13981629999999901</v>
      </c>
      <c r="U3476">
        <v>-0.4236145</v>
      </c>
      <c r="V3476">
        <v>-1.9917790000000001E-2</v>
      </c>
      <c r="W3476">
        <v>-1.9847469999999999E-2</v>
      </c>
      <c r="X3476">
        <v>0.99960459999999995</v>
      </c>
      <c r="Y3476">
        <v>0.1557376</v>
      </c>
      <c r="Z3476">
        <v>-5.2804230000000002E-3</v>
      </c>
      <c r="AA3476">
        <v>0.98778429999999995</v>
      </c>
      <c r="AB3476">
        <v>47</v>
      </c>
      <c r="AC3476">
        <v>23.4407</v>
      </c>
      <c r="AD3476">
        <v>-1.1084761906673</v>
      </c>
      <c r="AE3476">
        <v>-3.3663000000000198</v>
      </c>
      <c r="AF3476">
        <v>3.7570953515315302</v>
      </c>
      <c r="AG3476">
        <v>-1.1084761906673</v>
      </c>
      <c r="AH3476">
        <v>23.328807099361899</v>
      </c>
      <c r="AI3476">
        <v>92.685825899777001</v>
      </c>
      <c r="AJ3476">
        <v>80.851095427612094</v>
      </c>
      <c r="AK3476">
        <v>23.655395275180101</v>
      </c>
      <c r="AL3476">
        <v>91.137250939893704</v>
      </c>
      <c r="AM3476">
        <v>91.141505659756902</v>
      </c>
      <c r="AN3476">
        <v>0.99999999838252196</v>
      </c>
    </row>
    <row r="3477" spans="1:40" x14ac:dyDescent="0.25">
      <c r="A3477" t="str">
        <f>"20190305135303009"</f>
        <v>20190305135303009</v>
      </c>
      <c r="B3477" t="str">
        <f>"1551765183002693"</f>
        <v>1551765183002693</v>
      </c>
      <c r="C3477" t="s">
        <v>40</v>
      </c>
      <c r="D3477">
        <v>4.7396560000000001</v>
      </c>
      <c r="E3477">
        <v>0.56787799999999999</v>
      </c>
      <c r="F3477" t="s">
        <v>56</v>
      </c>
      <c r="G3477">
        <v>-212.9597</v>
      </c>
      <c r="H3477" s="1">
        <v>1.7939329999999899E-7</v>
      </c>
      <c r="I3477">
        <v>211.38650000000001</v>
      </c>
      <c r="J3477">
        <v>-237.1183</v>
      </c>
      <c r="K3477">
        <v>1.108471</v>
      </c>
      <c r="L3477">
        <v>214.91569999999999</v>
      </c>
      <c r="M3477">
        <v>0.99975320000000001</v>
      </c>
      <c r="N3477">
        <v>-1.472454E-2</v>
      </c>
      <c r="O3477">
        <v>1.664063E-2</v>
      </c>
      <c r="P3477">
        <v>0.99880809999999998</v>
      </c>
      <c r="Q3477">
        <v>-3.407665E-2</v>
      </c>
      <c r="R3477">
        <v>3.4952530000000002E-2</v>
      </c>
      <c r="S3477">
        <v>3.0150760000000001</v>
      </c>
      <c r="T3477">
        <v>-0.13565439999999901</v>
      </c>
      <c r="U3477">
        <v>-0.43093870000000001</v>
      </c>
      <c r="V3477">
        <v>-1.834978E-2</v>
      </c>
      <c r="W3477">
        <v>-1.933663E-2</v>
      </c>
      <c r="X3477">
        <v>0.99964459999999999</v>
      </c>
      <c r="Y3477">
        <v>0.15772949999999999</v>
      </c>
      <c r="Z3477">
        <v>-5.1976189999999997E-3</v>
      </c>
      <c r="AA3477">
        <v>0.98746869999999998</v>
      </c>
      <c r="AB3477">
        <v>47</v>
      </c>
      <c r="AC3477">
        <v>24.1586</v>
      </c>
      <c r="AD3477">
        <v>-1.1084708206067</v>
      </c>
      <c r="AE3477">
        <v>-3.5291999999999701</v>
      </c>
      <c r="AF3477">
        <v>3.9226833989251899</v>
      </c>
      <c r="AG3477">
        <v>-1.1084708206067</v>
      </c>
      <c r="AH3477">
        <v>24.046952482339002</v>
      </c>
      <c r="AI3477">
        <v>92.604862029203304</v>
      </c>
      <c r="AJ3477">
        <v>80.735172286464703</v>
      </c>
      <c r="AK3477">
        <v>24.389999514067402</v>
      </c>
      <c r="AL3477">
        <v>91.107976372607794</v>
      </c>
      <c r="AM3477">
        <v>91.051620631664306</v>
      </c>
      <c r="AN3477">
        <v>0.999999972997482</v>
      </c>
    </row>
    <row r="3478" spans="1:40" x14ac:dyDescent="0.25">
      <c r="A3478" t="str">
        <f>"20190305135303031"</f>
        <v>20190305135303031</v>
      </c>
      <c r="B3478" t="str">
        <f>"1551765183023185"</f>
        <v>1551765183023185</v>
      </c>
      <c r="C3478" t="s">
        <v>40</v>
      </c>
      <c r="D3478">
        <v>4.7442679999999999</v>
      </c>
      <c r="E3478">
        <v>0.56791899999999995</v>
      </c>
      <c r="F3478" t="s">
        <v>56</v>
      </c>
      <c r="G3478">
        <v>-211.99019999999999</v>
      </c>
      <c r="H3478" s="1">
        <v>-3.3163159999999999E-7</v>
      </c>
      <c r="I3478">
        <v>211.2741</v>
      </c>
      <c r="J3478">
        <v>-236.6532</v>
      </c>
      <c r="K3478">
        <v>1.108481</v>
      </c>
      <c r="L3478">
        <v>214.92310000000001</v>
      </c>
      <c r="M3478">
        <v>0.99975939999999996</v>
      </c>
      <c r="N3478">
        <v>-1.472149E-2</v>
      </c>
      <c r="O3478">
        <v>1.626824E-2</v>
      </c>
      <c r="P3478">
        <v>0.99891189999999996</v>
      </c>
      <c r="Q3478">
        <v>-3.3363959999999998E-2</v>
      </c>
      <c r="R3478">
        <v>3.2590679999999997E-2</v>
      </c>
      <c r="S3478">
        <v>3.0143279999999999</v>
      </c>
      <c r="T3478">
        <v>-0.13297049999999999</v>
      </c>
      <c r="U3478">
        <v>-0.43684390000000001</v>
      </c>
      <c r="V3478">
        <v>-1.635702E-2</v>
      </c>
      <c r="W3478">
        <v>-1.8629119999999999E-2</v>
      </c>
      <c r="X3478">
        <v>0.99969269999999999</v>
      </c>
      <c r="Y3478">
        <v>0.15929670000000001</v>
      </c>
      <c r="Z3478">
        <v>-5.1486600000000002E-3</v>
      </c>
      <c r="AA3478">
        <v>0.98721729999999996</v>
      </c>
      <c r="AB3478">
        <v>47</v>
      </c>
      <c r="AC3478">
        <v>24.663</v>
      </c>
      <c r="AD3478">
        <v>-1.1084813316316</v>
      </c>
      <c r="AE3478">
        <v>-3.649</v>
      </c>
      <c r="AF3478">
        <v>4.0417942596381797</v>
      </c>
      <c r="AG3478">
        <v>-1.1084813316316</v>
      </c>
      <c r="AH3478">
        <v>24.551832418549399</v>
      </c>
      <c r="AI3478">
        <v>92.550783127766607</v>
      </c>
      <c r="AJ3478">
        <v>80.651648851637006</v>
      </c>
      <c r="AK3478">
        <v>24.906973055920499</v>
      </c>
      <c r="AL3478">
        <v>91.067431650709594</v>
      </c>
      <c r="AM3478">
        <v>90.937392651985405</v>
      </c>
      <c r="AN3478">
        <v>1.0000000453242699</v>
      </c>
    </row>
    <row r="3479" spans="1:40" x14ac:dyDescent="0.25">
      <c r="A3479" t="str">
        <f>"20190305135303052"</f>
        <v>20190305135303052</v>
      </c>
      <c r="B3479" t="str">
        <f>"1551765183043213"</f>
        <v>1551765183043213</v>
      </c>
      <c r="C3479" t="s">
        <v>40</v>
      </c>
      <c r="D3479">
        <v>4.7310369999999997</v>
      </c>
      <c r="E3479">
        <v>0.56793800000000005</v>
      </c>
      <c r="F3479" t="s">
        <v>56</v>
      </c>
      <c r="G3479">
        <v>-210.93109999999999</v>
      </c>
      <c r="H3479" s="1">
        <v>-8.8900409999999897E-7</v>
      </c>
      <c r="I3479">
        <v>211.1319</v>
      </c>
      <c r="J3479">
        <v>-236.2107</v>
      </c>
      <c r="K3479">
        <v>1.108498</v>
      </c>
      <c r="L3479">
        <v>214.93010000000001</v>
      </c>
      <c r="M3479">
        <v>0.9997646</v>
      </c>
      <c r="N3479">
        <v>-1.471855E-2</v>
      </c>
      <c r="O3479">
        <v>1.5938879999999999E-2</v>
      </c>
      <c r="P3479">
        <v>0.99898849999999995</v>
      </c>
      <c r="Q3479">
        <v>-3.3600829999999998E-2</v>
      </c>
      <c r="R3479">
        <v>2.9887360000000002E-2</v>
      </c>
      <c r="S3479">
        <v>3.0134430000000001</v>
      </c>
      <c r="T3479">
        <v>-0.1298629</v>
      </c>
      <c r="U3479">
        <v>-0.44415280000000001</v>
      </c>
      <c r="V3479">
        <v>-1.3981560000000001E-2</v>
      </c>
      <c r="W3479">
        <v>-1.887196E-2</v>
      </c>
      <c r="X3479">
        <v>0.9997241</v>
      </c>
      <c r="Y3479">
        <v>0.1613629</v>
      </c>
      <c r="Z3479">
        <v>-5.1011920000000001E-3</v>
      </c>
      <c r="AA3479">
        <v>0.98688200000000004</v>
      </c>
      <c r="AB3479">
        <v>47</v>
      </c>
      <c r="AC3479">
        <v>25.279599999999999</v>
      </c>
      <c r="AD3479">
        <v>-1.1084988890041001</v>
      </c>
      <c r="AE3479">
        <v>-3.7982</v>
      </c>
      <c r="AF3479">
        <v>4.1928056976230303</v>
      </c>
      <c r="AG3479">
        <v>-1.1084988890041001</v>
      </c>
      <c r="AH3479">
        <v>25.168517126906998</v>
      </c>
      <c r="AI3479">
        <v>92.487614581370295</v>
      </c>
      <c r="AJ3479">
        <v>80.5419907195717</v>
      </c>
      <c r="AK3479">
        <v>25.539433113762598</v>
      </c>
      <c r="AL3479">
        <v>91.081347900899303</v>
      </c>
      <c r="AM3479">
        <v>90.801253222354006</v>
      </c>
      <c r="AN3479">
        <v>0.99999995550754095</v>
      </c>
    </row>
    <row r="3480" spans="1:40" x14ac:dyDescent="0.25">
      <c r="A3480" t="str">
        <f>"20190305135303075"</f>
        <v>20190305135303075</v>
      </c>
      <c r="B3480" t="str">
        <f>"1551765183063710"</f>
        <v>1551765183063710</v>
      </c>
      <c r="C3480" t="s">
        <v>40</v>
      </c>
      <c r="D3480">
        <v>4.8846299999999996</v>
      </c>
      <c r="E3480">
        <v>0.56795879999999999</v>
      </c>
      <c r="F3480" t="s">
        <v>56</v>
      </c>
      <c r="G3480">
        <v>-210.37520000000001</v>
      </c>
      <c r="H3480" s="1">
        <v>-1.1812499999999999E-6</v>
      </c>
      <c r="I3480">
        <v>211.04990000000001</v>
      </c>
      <c r="J3480">
        <v>-235.73740000000001</v>
      </c>
      <c r="K3480">
        <v>1.1085259999999999</v>
      </c>
      <c r="L3480">
        <v>214.93729999999999</v>
      </c>
      <c r="M3480">
        <v>0.99976960000000004</v>
      </c>
      <c r="N3480">
        <v>-1.471545E-2</v>
      </c>
      <c r="O3480">
        <v>1.5627559999999999E-2</v>
      </c>
      <c r="P3480">
        <v>0.99904400000000004</v>
      </c>
      <c r="Q3480">
        <v>-3.3773320000000003E-2</v>
      </c>
      <c r="R3480">
        <v>2.7756449999999998E-2</v>
      </c>
      <c r="S3480">
        <v>3.0122070000000001</v>
      </c>
      <c r="T3480">
        <v>-0.12924169999999999</v>
      </c>
      <c r="U3480">
        <v>-0.45239259999999898</v>
      </c>
      <c r="V3480">
        <v>-1.215953E-2</v>
      </c>
      <c r="W3480">
        <v>-1.9050270000000001E-2</v>
      </c>
      <c r="X3480">
        <v>0.99974459999999998</v>
      </c>
      <c r="Y3480">
        <v>0.1637535</v>
      </c>
      <c r="Z3480">
        <v>-5.1422849999999999E-3</v>
      </c>
      <c r="AA3480">
        <v>0.98648789999999997</v>
      </c>
      <c r="AB3480">
        <v>46</v>
      </c>
      <c r="AC3480">
        <v>25.362200000000001</v>
      </c>
      <c r="AD3480">
        <v>-1.1085271812499999</v>
      </c>
      <c r="AE3480">
        <v>-3.88739999999998</v>
      </c>
      <c r="AF3480">
        <v>4.2753373713517604</v>
      </c>
      <c r="AG3480">
        <v>-1.1085271812499999</v>
      </c>
      <c r="AH3480">
        <v>25.251212976674001</v>
      </c>
      <c r="AI3480">
        <v>92.4784400379407</v>
      </c>
      <c r="AJ3480">
        <v>80.390262482628103</v>
      </c>
      <c r="AK3480">
        <v>25.634568436854899</v>
      </c>
      <c r="AL3480">
        <v>91.091566082688701</v>
      </c>
      <c r="AM3480">
        <v>90.696833370447195</v>
      </c>
      <c r="AN3480">
        <v>1.00000001609302</v>
      </c>
    </row>
    <row r="3481" spans="1:40" x14ac:dyDescent="0.25">
      <c r="A3481" t="str">
        <f>"20190305135303098"</f>
        <v>20190305135303098</v>
      </c>
      <c r="B3481" t="str">
        <f>"1551765183092989"</f>
        <v>1551765183092989</v>
      </c>
      <c r="C3481" t="s">
        <v>40</v>
      </c>
      <c r="D3481">
        <v>4.7378869999999997</v>
      </c>
      <c r="E3481">
        <v>0.56800969999999995</v>
      </c>
      <c r="F3481" t="s">
        <v>55</v>
      </c>
      <c r="G3481">
        <v>-209.65520000000001</v>
      </c>
      <c r="H3481" s="1">
        <v>6.8182309999999898E-6</v>
      </c>
      <c r="I3481">
        <v>210.96109999999999</v>
      </c>
      <c r="J3481">
        <v>-235.26910000000001</v>
      </c>
      <c r="K3481">
        <v>1.108573</v>
      </c>
      <c r="L3481">
        <v>214.9444</v>
      </c>
      <c r="M3481">
        <v>0.99977360000000004</v>
      </c>
      <c r="N3481">
        <v>-1.4712390000000001E-2</v>
      </c>
      <c r="O3481">
        <v>1.5373919999999999E-2</v>
      </c>
      <c r="P3481">
        <v>0.99906790000000001</v>
      </c>
      <c r="Q3481">
        <v>-3.4246539999999999E-2</v>
      </c>
      <c r="R3481">
        <v>2.6284700000000001E-2</v>
      </c>
      <c r="S3481">
        <v>3.0113219999999998</v>
      </c>
      <c r="T3481">
        <v>-0.1279845</v>
      </c>
      <c r="U3481">
        <v>-0.45907589999999998</v>
      </c>
      <c r="V3481">
        <v>-1.093998E-2</v>
      </c>
      <c r="W3481">
        <v>-1.952893E-2</v>
      </c>
      <c r="X3481">
        <v>0.99974940000000001</v>
      </c>
      <c r="Y3481">
        <v>0.16568720000000001</v>
      </c>
      <c r="Z3481">
        <v>-5.1505530000000004E-3</v>
      </c>
      <c r="AA3481">
        <v>0.98616490000000001</v>
      </c>
      <c r="AB3481">
        <v>46</v>
      </c>
      <c r="AC3481">
        <v>25.613900000000001</v>
      </c>
      <c r="AD3481">
        <v>-1.108566181769</v>
      </c>
      <c r="AE3481">
        <v>-3.9833000000000101</v>
      </c>
      <c r="AF3481">
        <v>4.3686678660551204</v>
      </c>
      <c r="AG3481">
        <v>-1.108566181769</v>
      </c>
      <c r="AH3481">
        <v>25.502983777981498</v>
      </c>
      <c r="AI3481">
        <v>92.453282270244401</v>
      </c>
      <c r="AJ3481">
        <v>80.279563173343107</v>
      </c>
      <c r="AK3481">
        <v>25.898192204925198</v>
      </c>
      <c r="AL3481">
        <v>91.118996443997105</v>
      </c>
      <c r="AM3481">
        <v>90.6269467776916</v>
      </c>
      <c r="AN3481">
        <v>0.99999996253485202</v>
      </c>
    </row>
    <row r="3482" spans="1:40" x14ac:dyDescent="0.25">
      <c r="A3482" t="str">
        <f>"20190305135303142"</f>
        <v>20190305135303142</v>
      </c>
      <c r="B3482" t="str">
        <f>"1551765183133009"</f>
        <v>1551765183133009</v>
      </c>
      <c r="C3482" t="s">
        <v>40</v>
      </c>
      <c r="D3482">
        <v>4.7618349999999996</v>
      </c>
      <c r="E3482">
        <v>0.56803559999999997</v>
      </c>
      <c r="F3482" t="s">
        <v>55</v>
      </c>
      <c r="G3482">
        <v>-208.65710000000001</v>
      </c>
      <c r="H3482" s="1">
        <v>6.3857319999999997E-6</v>
      </c>
      <c r="I3482">
        <v>210.845</v>
      </c>
      <c r="J3482">
        <v>-234.34479999999999</v>
      </c>
      <c r="K3482">
        <v>1.1086830000000001</v>
      </c>
      <c r="L3482">
        <v>214.95830000000001</v>
      </c>
      <c r="M3482">
        <v>0.99977859999999996</v>
      </c>
      <c r="N3482">
        <v>-1.4706459999999999E-2</v>
      </c>
      <c r="O3482">
        <v>1.504687E-2</v>
      </c>
      <c r="P3482">
        <v>0.99907679999999999</v>
      </c>
      <c r="Q3482">
        <v>-3.6405E-2</v>
      </c>
      <c r="R3482">
        <v>2.2805820000000001E-2</v>
      </c>
      <c r="S3482">
        <v>3.0107119999999998</v>
      </c>
      <c r="T3482">
        <v>-0.12541579999999999</v>
      </c>
      <c r="U3482">
        <v>-0.46377560000000001</v>
      </c>
      <c r="V3482">
        <v>-7.7851400000000003E-3</v>
      </c>
      <c r="W3482">
        <v>-2.1698930000000002E-2</v>
      </c>
      <c r="X3482">
        <v>0.99973420000000002</v>
      </c>
      <c r="Y3482">
        <v>0.1669042</v>
      </c>
      <c r="Z3482">
        <v>-5.0928659999999997E-3</v>
      </c>
      <c r="AA3482">
        <v>0.9859599</v>
      </c>
      <c r="AB3482">
        <v>46</v>
      </c>
      <c r="AC3482">
        <v>25.6876999999999</v>
      </c>
      <c r="AD3482">
        <v>-1.108676614268</v>
      </c>
      <c r="AE3482">
        <v>-4.1132999999999997</v>
      </c>
      <c r="AF3482">
        <v>4.4912385348543804</v>
      </c>
      <c r="AG3482">
        <v>-1.108676614268</v>
      </c>
      <c r="AH3482">
        <v>25.576440291408701</v>
      </c>
      <c r="AI3482">
        <v>92.444719580797695</v>
      </c>
      <c r="AJ3482">
        <v>80.040368008899904</v>
      </c>
      <c r="AK3482">
        <v>25.991434846733299</v>
      </c>
      <c r="AL3482">
        <v>91.243354741009497</v>
      </c>
      <c r="AM3482">
        <v>90.446165239600603</v>
      </c>
      <c r="AN3482">
        <v>0.99999996130880098</v>
      </c>
    </row>
    <row r="3483" spans="1:40" x14ac:dyDescent="0.25">
      <c r="A3483" t="str">
        <f>"20190305135303164"</f>
        <v>20190305135303164</v>
      </c>
      <c r="B3483" t="str">
        <f>"1551765183153501"</f>
        <v>1551765183153501</v>
      </c>
      <c r="C3483" t="s">
        <v>40</v>
      </c>
      <c r="D3483">
        <v>4.7834430000000001</v>
      </c>
      <c r="E3483">
        <v>0.56800680000000003</v>
      </c>
      <c r="F3483" t="s">
        <v>55</v>
      </c>
      <c r="G3483">
        <v>-208.16579999999999</v>
      </c>
      <c r="H3483" s="1">
        <v>6.169224E-6</v>
      </c>
      <c r="I3483">
        <v>210.8295</v>
      </c>
      <c r="J3483">
        <v>-233.88849999999999</v>
      </c>
      <c r="K3483">
        <v>1.1087320000000001</v>
      </c>
      <c r="L3483">
        <v>214.96510000000001</v>
      </c>
      <c r="M3483">
        <v>0.99978</v>
      </c>
      <c r="N3483">
        <v>-1.4703569999999999E-2</v>
      </c>
      <c r="O3483">
        <v>1.495634E-2</v>
      </c>
      <c r="P3483">
        <v>0.99904599999999999</v>
      </c>
      <c r="Q3483">
        <v>-3.8027930000000001E-2</v>
      </c>
      <c r="R3483">
        <v>2.1473969999999998E-2</v>
      </c>
      <c r="S3483">
        <v>3.0089570000000001</v>
      </c>
      <c r="T3483">
        <v>-0.1274285</v>
      </c>
      <c r="U3483">
        <v>-0.47454829999999998</v>
      </c>
      <c r="V3483">
        <v>-6.5425880000000002E-3</v>
      </c>
      <c r="W3483">
        <v>-2.3327049999999998E-2</v>
      </c>
      <c r="X3483">
        <v>0.99970650000000005</v>
      </c>
      <c r="Y3483">
        <v>0.17033679999999901</v>
      </c>
      <c r="Z3483">
        <v>-5.2548550000000001E-3</v>
      </c>
      <c r="AA3483">
        <v>0.98537189999999997</v>
      </c>
      <c r="AB3483">
        <v>46</v>
      </c>
      <c r="AC3483">
        <v>25.7227</v>
      </c>
      <c r="AD3483">
        <v>-1.108725830776</v>
      </c>
      <c r="AE3483">
        <v>-4.1356000000000099</v>
      </c>
      <c r="AF3483">
        <v>4.5117253910957302</v>
      </c>
      <c r="AG3483">
        <v>-1.108725830776</v>
      </c>
      <c r="AH3483">
        <v>25.6115781134916</v>
      </c>
      <c r="AI3483">
        <v>92.441245314062201</v>
      </c>
      <c r="AJ3483">
        <v>80.009301217669304</v>
      </c>
      <c r="AK3483">
        <v>26.029557668849598</v>
      </c>
      <c r="AL3483">
        <v>91.336662727988994</v>
      </c>
      <c r="AM3483">
        <v>90.374967380692695</v>
      </c>
      <c r="AN3483">
        <v>1.00000002143084</v>
      </c>
    </row>
    <row r="3484" spans="1:40" x14ac:dyDescent="0.25">
      <c r="A3484" t="str">
        <f>"20190305135303187"</f>
        <v>20190305135303187</v>
      </c>
      <c r="B3484" t="str">
        <f>"1551765183182781"</f>
        <v>1551765183182781</v>
      </c>
      <c r="C3484" t="s">
        <v>40</v>
      </c>
      <c r="D3484">
        <v>4.8605609999999997</v>
      </c>
      <c r="E3484">
        <v>0.54875189999999996</v>
      </c>
      <c r="F3484" t="s">
        <v>55</v>
      </c>
      <c r="G3484">
        <v>-208.56270000000001</v>
      </c>
      <c r="H3484" s="1">
        <v>6.335777E-6</v>
      </c>
      <c r="I3484">
        <v>210.93770000000001</v>
      </c>
      <c r="J3484">
        <v>-233.42619999999999</v>
      </c>
      <c r="K3484">
        <v>1.1087769999999999</v>
      </c>
      <c r="L3484">
        <v>214.97200000000001</v>
      </c>
      <c r="M3484">
        <v>0.99978100000000003</v>
      </c>
      <c r="N3484">
        <v>-1.4700660000000001E-2</v>
      </c>
      <c r="O3484">
        <v>1.490499E-2</v>
      </c>
      <c r="P3484">
        <v>0.99902729999999995</v>
      </c>
      <c r="Q3484">
        <v>-3.9032619999999997E-2</v>
      </c>
      <c r="R3484">
        <v>2.05212E-2</v>
      </c>
      <c r="S3484">
        <v>3.0081479999999998</v>
      </c>
      <c r="T3484">
        <v>-0.13169239999999999</v>
      </c>
      <c r="U3484">
        <v>-0.47836299999999998</v>
      </c>
      <c r="V3484">
        <v>-5.6395849999999999E-3</v>
      </c>
      <c r="W3484">
        <v>-2.4336219999999999E-2</v>
      </c>
      <c r="X3484">
        <v>0.99968789999999996</v>
      </c>
      <c r="Y3484">
        <v>0.17153180000000001</v>
      </c>
      <c r="Z3484">
        <v>-5.4297420000000004E-3</v>
      </c>
      <c r="AA3484">
        <v>0.98516360000000003</v>
      </c>
      <c r="AB3484">
        <v>46</v>
      </c>
      <c r="AC3484">
        <v>24.863499999999899</v>
      </c>
      <c r="AD3484">
        <v>-1.108770664223</v>
      </c>
      <c r="AE3484">
        <v>-4.0343</v>
      </c>
      <c r="AF3484">
        <v>4.3959641693522498</v>
      </c>
      <c r="AG3484">
        <v>-1.108770664223</v>
      </c>
      <c r="AH3484">
        <v>24.752638057639199</v>
      </c>
      <c r="AI3484">
        <v>92.525331656580505</v>
      </c>
      <c r="AJ3484">
        <v>79.929510324953696</v>
      </c>
      <c r="AK3484">
        <v>25.164398744586801</v>
      </c>
      <c r="AL3484">
        <v>91.394500399716094</v>
      </c>
      <c r="AM3484">
        <v>90.323221868527895</v>
      </c>
      <c r="AN3484">
        <v>0.99999997696463505</v>
      </c>
    </row>
    <row r="3485" spans="1:40" x14ac:dyDescent="0.25">
      <c r="A3485" t="str">
        <f>"20190305135303210"</f>
        <v>20190305135303210</v>
      </c>
      <c r="B3485" t="str">
        <f>"1551765183203277"</f>
        <v>1551765183203277</v>
      </c>
      <c r="C3485" t="s">
        <v>40</v>
      </c>
      <c r="D3485">
        <v>4.7420839999999904</v>
      </c>
      <c r="E3485">
        <v>0.54572180000000003</v>
      </c>
      <c r="F3485" t="s">
        <v>41</v>
      </c>
      <c r="G3485">
        <v>-232.3115</v>
      </c>
      <c r="H3485">
        <v>1.0377609999999999</v>
      </c>
      <c r="I3485">
        <v>214.84989999999999</v>
      </c>
      <c r="J3485">
        <v>-232.95050000000001</v>
      </c>
      <c r="K3485">
        <v>1.108822</v>
      </c>
      <c r="L3485">
        <v>214.97900000000001</v>
      </c>
      <c r="M3485">
        <v>0.99978100000000003</v>
      </c>
      <c r="N3485">
        <v>-1.4697669999999999E-2</v>
      </c>
      <c r="O3485">
        <v>1.4893419999999999E-2</v>
      </c>
      <c r="P3485">
        <v>0.99903520000000001</v>
      </c>
      <c r="Q3485">
        <v>-3.9220779999999997E-2</v>
      </c>
      <c r="R3485">
        <v>1.975741E-2</v>
      </c>
      <c r="S3485">
        <v>3.0021969999999998</v>
      </c>
      <c r="T3485">
        <v>-0.19132160000000001</v>
      </c>
      <c r="U3485">
        <v>-0.32847599999999999</v>
      </c>
      <c r="V3485">
        <v>-4.884963E-3</v>
      </c>
      <c r="W3485">
        <v>-2.4528319999999999E-2</v>
      </c>
      <c r="X3485">
        <v>0.9996872</v>
      </c>
      <c r="Y3485">
        <v>0.12323489999999999</v>
      </c>
      <c r="Z3485">
        <v>-5.5480460000000001E-3</v>
      </c>
      <c r="AA3485">
        <v>0.99236199999999997</v>
      </c>
      <c r="AB3485">
        <v>46</v>
      </c>
      <c r="AC3485">
        <v>0.63900000000001</v>
      </c>
      <c r="AD3485">
        <v>-7.1060999999999805E-2</v>
      </c>
      <c r="AE3485">
        <v>-0.129100000000022</v>
      </c>
      <c r="AF3485">
        <v>0.13697606515244301</v>
      </c>
      <c r="AG3485">
        <v>-7.1060999999999805E-2</v>
      </c>
      <c r="AH3485">
        <v>0.62952619105831098</v>
      </c>
      <c r="AI3485">
        <v>96.294243739751707</v>
      </c>
      <c r="AJ3485">
        <v>77.724576653752294</v>
      </c>
      <c r="AK3485">
        <v>0.64816304536283997</v>
      </c>
      <c r="AL3485">
        <v>91.405510173982407</v>
      </c>
      <c r="AM3485">
        <v>90.279973110897302</v>
      </c>
      <c r="AN3485">
        <v>0.999999999594686</v>
      </c>
    </row>
    <row r="3486" spans="1:40" x14ac:dyDescent="0.25">
      <c r="A3486" t="str">
        <f>"20190305135303231"</f>
        <v>20190305135303231</v>
      </c>
      <c r="B3486" t="str">
        <f>"1551765183223773"</f>
        <v>1551765183223773</v>
      </c>
      <c r="C3486" t="s">
        <v>40</v>
      </c>
      <c r="D3486">
        <v>4.7736190000000001</v>
      </c>
      <c r="E3486">
        <v>0.54480719999999905</v>
      </c>
      <c r="F3486" t="s">
        <v>41</v>
      </c>
      <c r="G3486">
        <v>-231.89760000000001</v>
      </c>
      <c r="H3486">
        <v>1.0413709999999901</v>
      </c>
      <c r="I3486">
        <v>214.87119999999999</v>
      </c>
      <c r="J3486">
        <v>-232.50069999999999</v>
      </c>
      <c r="K3486">
        <v>1.1088610000000001</v>
      </c>
      <c r="L3486">
        <v>214.98570000000001</v>
      </c>
      <c r="M3486">
        <v>0.99978089999999997</v>
      </c>
      <c r="N3486">
        <v>-1.4694850000000001E-2</v>
      </c>
      <c r="O3486">
        <v>1.4912409999999999E-2</v>
      </c>
      <c r="P3486">
        <v>0.99906309999999998</v>
      </c>
      <c r="Q3486">
        <v>-3.8674189999999997E-2</v>
      </c>
      <c r="R3486">
        <v>1.9425609999999999E-2</v>
      </c>
      <c r="S3486">
        <v>3.001404</v>
      </c>
      <c r="T3486">
        <v>-0.19237209999999999</v>
      </c>
      <c r="U3486">
        <v>-0.30662539999999999</v>
      </c>
      <c r="V3486">
        <v>-4.530844E-3</v>
      </c>
      <c r="W3486">
        <v>-2.3984849999999999E-2</v>
      </c>
      <c r="X3486">
        <v>0.99970199999999998</v>
      </c>
      <c r="Y3486">
        <v>0.1161486</v>
      </c>
      <c r="Z3486">
        <v>-5.2996279999999998E-3</v>
      </c>
      <c r="AA3486">
        <v>0.99321769999999998</v>
      </c>
      <c r="AB3486">
        <v>46</v>
      </c>
      <c r="AC3486">
        <v>0.60309999999998298</v>
      </c>
      <c r="AD3486">
        <v>-6.7490000000000203E-2</v>
      </c>
      <c r="AE3486">
        <v>-0.11450000000002</v>
      </c>
      <c r="AF3486">
        <v>0.122007197330306</v>
      </c>
      <c r="AG3486">
        <v>-6.7490000000000203E-2</v>
      </c>
      <c r="AH3486">
        <v>0.59414379400934103</v>
      </c>
      <c r="AI3486">
        <v>96.349195998372394</v>
      </c>
      <c r="AJ3486">
        <v>78.395651692803696</v>
      </c>
      <c r="AK3486">
        <v>0.61028477308565598</v>
      </c>
      <c r="AL3486">
        <v>91.374362546358498</v>
      </c>
      <c r="AM3486">
        <v>90.259673844208805</v>
      </c>
      <c r="AN3486">
        <v>0.999999945190435</v>
      </c>
    </row>
    <row r="3487" spans="1:40" x14ac:dyDescent="0.25">
      <c r="A3487" t="str">
        <f>"20190305135303254"</f>
        <v>20190305135303254</v>
      </c>
      <c r="B3487" t="str">
        <f>"1551765183243293"</f>
        <v>1551765183243293</v>
      </c>
      <c r="C3487" t="s">
        <v>40</v>
      </c>
      <c r="D3487">
        <v>4.786956</v>
      </c>
      <c r="E3487">
        <v>0.54460439999999999</v>
      </c>
      <c r="F3487" t="s">
        <v>41</v>
      </c>
      <c r="G3487">
        <v>-231.48390000000001</v>
      </c>
      <c r="H3487">
        <v>1.0437689999999999</v>
      </c>
      <c r="I3487">
        <v>214.88390000000001</v>
      </c>
      <c r="J3487">
        <v>-232.0453</v>
      </c>
      <c r="K3487">
        <v>1.1088990000000001</v>
      </c>
      <c r="L3487">
        <v>214.99250000000001</v>
      </c>
      <c r="M3487">
        <v>0.99978029999999996</v>
      </c>
      <c r="N3487">
        <v>-1.469197E-2</v>
      </c>
      <c r="O3487">
        <v>1.4959709999999999E-2</v>
      </c>
      <c r="P3487">
        <v>0.99910840000000001</v>
      </c>
      <c r="Q3487">
        <v>-3.778426E-2</v>
      </c>
      <c r="R3487">
        <v>1.8843639999999998E-2</v>
      </c>
      <c r="S3487">
        <v>3.0012050000000001</v>
      </c>
      <c r="T3487">
        <v>-0.19211610000000001</v>
      </c>
      <c r="U3487">
        <v>-0.30036929999999901</v>
      </c>
      <c r="V3487">
        <v>-3.8988260000000002E-3</v>
      </c>
      <c r="W3487">
        <v>-2.3097940000000001E-2</v>
      </c>
      <c r="X3487">
        <v>0.99972559999999999</v>
      </c>
      <c r="Y3487">
        <v>0.1141581</v>
      </c>
      <c r="Z3487">
        <v>-5.2181500000000004E-3</v>
      </c>
      <c r="AA3487">
        <v>0.99344889999999997</v>
      </c>
      <c r="AB3487">
        <v>46</v>
      </c>
      <c r="AC3487">
        <v>0.56139999999999102</v>
      </c>
      <c r="AD3487">
        <v>-6.5130000000000104E-2</v>
      </c>
      <c r="AE3487">
        <v>-0.10859999999999501</v>
      </c>
      <c r="AF3487">
        <v>0.115488819228902</v>
      </c>
      <c r="AG3487">
        <v>-6.5130000000000104E-2</v>
      </c>
      <c r="AH3487">
        <v>0.55254385165716502</v>
      </c>
      <c r="AI3487">
        <v>96.581665331935895</v>
      </c>
      <c r="AJ3487">
        <v>78.194396855937896</v>
      </c>
      <c r="AK3487">
        <v>0.56822908432341002</v>
      </c>
      <c r="AL3487">
        <v>91.323532188558502</v>
      </c>
      <c r="AM3487">
        <v>90.223446456065602</v>
      </c>
      <c r="AN3487">
        <v>0.99999999548589003</v>
      </c>
    </row>
    <row r="3488" spans="1:40" x14ac:dyDescent="0.25">
      <c r="A3488" t="str">
        <f>"20190305135303276"</f>
        <v>20190305135303276</v>
      </c>
      <c r="B3488" t="str">
        <f>"1551765183273549"</f>
        <v>1551765183273549</v>
      </c>
      <c r="C3488" t="s">
        <v>40</v>
      </c>
      <c r="D3488">
        <v>4.7566249999999997</v>
      </c>
      <c r="E3488">
        <v>0.54448529999999995</v>
      </c>
      <c r="F3488" t="s">
        <v>56</v>
      </c>
      <c r="G3488">
        <v>-214.16810000000001</v>
      </c>
      <c r="H3488" s="1">
        <v>7.4310050000000004E-7</v>
      </c>
      <c r="I3488">
        <v>213.2022</v>
      </c>
      <c r="J3488">
        <v>-231.5839</v>
      </c>
      <c r="K3488">
        <v>1.1089310000000001</v>
      </c>
      <c r="L3488">
        <v>214.99950000000001</v>
      </c>
      <c r="M3488">
        <v>0.99977899999999997</v>
      </c>
      <c r="N3488">
        <v>-1.468907E-2</v>
      </c>
      <c r="O3488">
        <v>1.503679E-2</v>
      </c>
      <c r="P3488">
        <v>0.99912730000000005</v>
      </c>
      <c r="Q3488">
        <v>-3.755878E-2</v>
      </c>
      <c r="R3488">
        <v>1.8273609999999999E-2</v>
      </c>
      <c r="S3488">
        <v>3.0012970000000001</v>
      </c>
      <c r="T3488">
        <v>-0.1861672</v>
      </c>
      <c r="U3488">
        <v>-0.30056759999999999</v>
      </c>
      <c r="V3488">
        <v>-3.249091E-3</v>
      </c>
      <c r="W3488">
        <v>-2.287571E-2</v>
      </c>
      <c r="X3488">
        <v>0.99973299999999998</v>
      </c>
      <c r="Y3488">
        <v>0.1143134</v>
      </c>
      <c r="Z3488">
        <v>-5.0853720000000003E-3</v>
      </c>
      <c r="AA3488">
        <v>0.99343170000000003</v>
      </c>
      <c r="AB3488">
        <v>46</v>
      </c>
      <c r="AC3488">
        <v>17.415799999999901</v>
      </c>
      <c r="AD3488">
        <v>-1.1089302568995001</v>
      </c>
      <c r="AE3488">
        <v>-1.7972999999999999</v>
      </c>
      <c r="AF3488">
        <v>2.0507757978463701</v>
      </c>
      <c r="AG3488">
        <v>-1.1089302568995001</v>
      </c>
      <c r="AH3488">
        <v>17.317331312293501</v>
      </c>
      <c r="AI3488">
        <v>93.638625652376206</v>
      </c>
      <c r="AJ3488">
        <v>83.246298077878293</v>
      </c>
      <c r="AK3488">
        <v>17.473562071524999</v>
      </c>
      <c r="AL3488">
        <v>91.310796024677401</v>
      </c>
      <c r="AM3488">
        <v>90.186208263745598</v>
      </c>
      <c r="AN3488">
        <v>0.99999996299466398</v>
      </c>
    </row>
    <row r="3489" spans="1:40" x14ac:dyDescent="0.25">
      <c r="A3489" t="str">
        <f>"20190305135303299"</f>
        <v>20190305135303299</v>
      </c>
      <c r="B3489" t="str">
        <f>"1551765183293086"</f>
        <v>1551765183293086</v>
      </c>
      <c r="C3489" t="s">
        <v>40</v>
      </c>
      <c r="D3489">
        <v>4.7541729999999998</v>
      </c>
      <c r="E3489">
        <v>0.5445565</v>
      </c>
      <c r="F3489" t="s">
        <v>56</v>
      </c>
      <c r="G3489">
        <v>-213.3075</v>
      </c>
      <c r="H3489" s="1">
        <v>2.8677319999999998E-7</v>
      </c>
      <c r="I3489">
        <v>213.16470000000001</v>
      </c>
      <c r="J3489">
        <v>-231.10120000000001</v>
      </c>
      <c r="K3489">
        <v>1.10897</v>
      </c>
      <c r="L3489">
        <v>215.0068</v>
      </c>
      <c r="M3489">
        <v>0.99977740000000004</v>
      </c>
      <c r="N3489">
        <v>-1.4686060000000001E-2</v>
      </c>
      <c r="O3489">
        <v>1.514837E-2</v>
      </c>
      <c r="P3489">
        <v>0.99913669999999999</v>
      </c>
      <c r="Q3489">
        <v>-3.761453E-2</v>
      </c>
      <c r="R3489">
        <v>1.7638049999999999E-2</v>
      </c>
      <c r="S3489">
        <v>3.0012819999999998</v>
      </c>
      <c r="T3489">
        <v>-0.18210470000000001</v>
      </c>
      <c r="U3489">
        <v>-0.30130000000000001</v>
      </c>
      <c r="V3489">
        <v>-2.4996990000000002E-3</v>
      </c>
      <c r="W3489">
        <v>-2.2934820000000002E-2</v>
      </c>
      <c r="X3489">
        <v>0.99973389999999995</v>
      </c>
      <c r="Y3489">
        <v>0.1146754</v>
      </c>
      <c r="Z3489">
        <v>-5.0066980000000004E-3</v>
      </c>
      <c r="AA3489">
        <v>0.99339040000000001</v>
      </c>
      <c r="AB3489">
        <v>46</v>
      </c>
      <c r="AC3489">
        <v>17.793700000000001</v>
      </c>
      <c r="AD3489">
        <v>-1.1089697132267999</v>
      </c>
      <c r="AE3489">
        <v>-1.8420999999999801</v>
      </c>
      <c r="AF3489">
        <v>2.1033797967865402</v>
      </c>
      <c r="AG3489">
        <v>-1.1089697132267999</v>
      </c>
      <c r="AH3489">
        <v>17.695744243079599</v>
      </c>
      <c r="AI3489">
        <v>93.560961628618003</v>
      </c>
      <c r="AJ3489">
        <v>83.221422045793403</v>
      </c>
      <c r="AK3489">
        <v>17.854786044948</v>
      </c>
      <c r="AL3489">
        <v>91.314183536141798</v>
      </c>
      <c r="AM3489">
        <v>90.143260025780407</v>
      </c>
      <c r="AN3489">
        <v>1.0000000626363601</v>
      </c>
    </row>
    <row r="3490" spans="1:40" x14ac:dyDescent="0.25">
      <c r="A3490" t="str">
        <f>"20190305135303321"</f>
        <v>20190305135303321</v>
      </c>
      <c r="B3490" t="str">
        <f>"1551765183313565"</f>
        <v>1551765183313565</v>
      </c>
      <c r="C3490" t="s">
        <v>40</v>
      </c>
      <c r="D3490">
        <v>4.7577800000000003</v>
      </c>
      <c r="E3490">
        <v>0.54486990000000002</v>
      </c>
      <c r="F3490" t="s">
        <v>56</v>
      </c>
      <c r="G3490">
        <v>-212.71100000000001</v>
      </c>
      <c r="H3490" s="1">
        <v>-2.9902900000000001E-8</v>
      </c>
      <c r="I3490">
        <v>213.14750000000001</v>
      </c>
      <c r="J3490">
        <v>-230.64869999999999</v>
      </c>
      <c r="K3490">
        <v>1.109003</v>
      </c>
      <c r="L3490">
        <v>215.0137</v>
      </c>
      <c r="M3490">
        <v>0.99977539999999998</v>
      </c>
      <c r="N3490">
        <v>-1.4683470000000001E-2</v>
      </c>
      <c r="O3490">
        <v>1.528211E-2</v>
      </c>
      <c r="P3490">
        <v>0.99911640000000002</v>
      </c>
      <c r="Q3490">
        <v>-3.8265050000000002E-2</v>
      </c>
      <c r="R3490">
        <v>1.738199E-2</v>
      </c>
      <c r="S3490">
        <v>3.0011139999999998</v>
      </c>
      <c r="T3490">
        <v>-0.180974</v>
      </c>
      <c r="U3490">
        <v>-0.303421</v>
      </c>
      <c r="V3490">
        <v>-2.1078109999999998E-3</v>
      </c>
      <c r="W3490">
        <v>-2.3588439999999999E-2</v>
      </c>
      <c r="X3490">
        <v>0.99971960000000004</v>
      </c>
      <c r="Y3490">
        <v>0.1155099</v>
      </c>
      <c r="Z3490">
        <v>-5.0168440000000003E-3</v>
      </c>
      <c r="AA3490">
        <v>0.9932936</v>
      </c>
      <c r="AB3490">
        <v>46</v>
      </c>
      <c r="AC3490">
        <v>17.9377</v>
      </c>
      <c r="AD3490">
        <v>-1.1090030299028999</v>
      </c>
      <c r="AE3490">
        <v>-1.8661999999999901</v>
      </c>
      <c r="AF3490">
        <v>2.1320751820284198</v>
      </c>
      <c r="AG3490">
        <v>-1.1090030299028999</v>
      </c>
      <c r="AH3490">
        <v>17.839622919455099</v>
      </c>
      <c r="AI3490">
        <v>93.532151827751207</v>
      </c>
      <c r="AJ3490">
        <v>83.184708743977893</v>
      </c>
      <c r="AK3490">
        <v>18.0007716004204</v>
      </c>
      <c r="AL3490">
        <v>91.351643330806894</v>
      </c>
      <c r="AM3490">
        <v>90.120802368342396</v>
      </c>
      <c r="AN3490">
        <v>1.0000000679965</v>
      </c>
    </row>
    <row r="3491" spans="1:40" x14ac:dyDescent="0.25">
      <c r="A3491" t="str">
        <f>"20190305135303343"</f>
        <v>20190305135303343</v>
      </c>
      <c r="B3491" t="str">
        <f>"1551765183333085"</f>
        <v>1551765183333085</v>
      </c>
      <c r="C3491" t="s">
        <v>40</v>
      </c>
      <c r="D3491">
        <v>4.7501720000000001</v>
      </c>
      <c r="E3491">
        <v>0.54498990000000003</v>
      </c>
      <c r="F3491" t="s">
        <v>56</v>
      </c>
      <c r="G3491">
        <v>-212.18170000000001</v>
      </c>
      <c r="H3491" s="1">
        <v>-3.1060749999999998E-7</v>
      </c>
      <c r="I3491">
        <v>213.12520000000001</v>
      </c>
      <c r="J3491">
        <v>-230.19800000000001</v>
      </c>
      <c r="K3491">
        <v>1.109043</v>
      </c>
      <c r="L3491">
        <v>215.02070000000001</v>
      </c>
      <c r="M3491">
        <v>0.99977309999999997</v>
      </c>
      <c r="N3491">
        <v>-1.4680779999999999E-2</v>
      </c>
      <c r="O3491">
        <v>1.543892E-2</v>
      </c>
      <c r="P3491">
        <v>0.99911320000000003</v>
      </c>
      <c r="Q3491">
        <v>-3.8566139999999999E-2</v>
      </c>
      <c r="R3491">
        <v>1.6897510000000001E-2</v>
      </c>
      <c r="S3491">
        <v>3.0010680000000001</v>
      </c>
      <c r="T3491">
        <v>-0.1802243</v>
      </c>
      <c r="U3491">
        <v>-0.30690000000000001</v>
      </c>
      <c r="V3491">
        <v>-1.4642500000000001E-3</v>
      </c>
      <c r="W3491">
        <v>-2.3892409999999999E-2</v>
      </c>
      <c r="X3491">
        <v>0.99971350000000003</v>
      </c>
      <c r="Y3491">
        <v>0.1168059</v>
      </c>
      <c r="Z3491">
        <v>-5.0538680000000004E-3</v>
      </c>
      <c r="AA3491">
        <v>0.99314190000000002</v>
      </c>
      <c r="AB3491">
        <v>46</v>
      </c>
      <c r="AC3491">
        <v>18.016299999999902</v>
      </c>
      <c r="AD3491">
        <v>-1.1090433106074999</v>
      </c>
      <c r="AE3491">
        <v>-1.89549999999999</v>
      </c>
      <c r="AF3491">
        <v>2.1653407832436402</v>
      </c>
      <c r="AG3491">
        <v>-1.1090433106074999</v>
      </c>
      <c r="AH3491">
        <v>17.9177312099666</v>
      </c>
      <c r="AI3491">
        <v>93.516365325124994</v>
      </c>
      <c r="AJ3491">
        <v>83.109275042178496</v>
      </c>
      <c r="AK3491">
        <v>18.082139516246201</v>
      </c>
      <c r="AL3491">
        <v>91.369064480693794</v>
      </c>
      <c r="AM3491">
        <v>90.083919328047202</v>
      </c>
      <c r="AN3491">
        <v>1.00000003668295</v>
      </c>
    </row>
    <row r="3492" spans="1:40" x14ac:dyDescent="0.25">
      <c r="A3492" t="str">
        <f>"20190305135303367"</f>
        <v>20190305135303367</v>
      </c>
      <c r="B3492" t="str">
        <f>"1551765183363342"</f>
        <v>1551765183363342</v>
      </c>
      <c r="C3492" t="s">
        <v>40</v>
      </c>
      <c r="D3492">
        <v>4.7592939999999997</v>
      </c>
      <c r="E3492">
        <v>0.54535169999999999</v>
      </c>
      <c r="F3492" t="s">
        <v>56</v>
      </c>
      <c r="G3492">
        <v>-211.6326</v>
      </c>
      <c r="H3492" s="1">
        <v>-6.0203249999999996E-7</v>
      </c>
      <c r="I3492">
        <v>213.10720000000001</v>
      </c>
      <c r="J3492">
        <v>-229.7363</v>
      </c>
      <c r="K3492">
        <v>1.1090850000000001</v>
      </c>
      <c r="L3492">
        <v>215.02799999999999</v>
      </c>
      <c r="M3492">
        <v>0.9997703</v>
      </c>
      <c r="N3492">
        <v>-1.467771E-2</v>
      </c>
      <c r="O3492">
        <v>1.5619839999999999E-2</v>
      </c>
      <c r="P3492">
        <v>0.99912800000000002</v>
      </c>
      <c r="Q3492">
        <v>-3.825162E-2</v>
      </c>
      <c r="R3492">
        <v>1.6739839999999999E-2</v>
      </c>
      <c r="S3492">
        <v>3.0009610000000002</v>
      </c>
      <c r="T3492">
        <v>-0.17926919999999999</v>
      </c>
      <c r="U3492">
        <v>-0.3093109</v>
      </c>
      <c r="V3492">
        <v>-1.1234179999999999E-3</v>
      </c>
      <c r="W3492">
        <v>-2.3580839999999999E-2</v>
      </c>
      <c r="X3492">
        <v>0.99972130000000003</v>
      </c>
      <c r="Y3492">
        <v>0.11777899999999999</v>
      </c>
      <c r="Z3492">
        <v>-5.074627E-3</v>
      </c>
      <c r="AA3492">
        <v>0.99302690000000005</v>
      </c>
      <c r="AB3492">
        <v>46</v>
      </c>
      <c r="AC3492">
        <v>18.1037</v>
      </c>
      <c r="AD3492">
        <v>-1.1090856020325</v>
      </c>
      <c r="AE3492">
        <v>-1.9207999999999801</v>
      </c>
      <c r="AF3492">
        <v>2.1952256834809298</v>
      </c>
      <c r="AG3492">
        <v>-1.1090856020325</v>
      </c>
      <c r="AH3492">
        <v>18.004663203019799</v>
      </c>
      <c r="AI3492">
        <v>93.499113203332399</v>
      </c>
      <c r="AJ3492">
        <v>83.048500455816196</v>
      </c>
      <c r="AK3492">
        <v>18.1718734237344</v>
      </c>
      <c r="AL3492">
        <v>91.351207856517604</v>
      </c>
      <c r="AM3492">
        <v>90.064385027042405</v>
      </c>
      <c r="AN3492">
        <v>0.99999999787839899</v>
      </c>
    </row>
    <row r="3493" spans="1:40" x14ac:dyDescent="0.25">
      <c r="A3493" t="str">
        <f>"20190305135303388"</f>
        <v>20190305135303388</v>
      </c>
      <c r="B3493" t="str">
        <f>"1551765183382865"</f>
        <v>1551765183382865</v>
      </c>
      <c r="C3493" t="s">
        <v>40</v>
      </c>
      <c r="D3493">
        <v>4.7458770000000001</v>
      </c>
      <c r="E3493">
        <v>0.54569269999999903</v>
      </c>
      <c r="F3493" t="s">
        <v>56</v>
      </c>
      <c r="G3493">
        <v>-210.91640000000001</v>
      </c>
      <c r="H3493" s="1">
        <v>-9.8144110000000005E-7</v>
      </c>
      <c r="I3493">
        <v>213.06819999999999</v>
      </c>
      <c r="J3493">
        <v>-229.28919999999999</v>
      </c>
      <c r="K3493">
        <v>1.1091139999999999</v>
      </c>
      <c r="L3493">
        <v>215.035</v>
      </c>
      <c r="M3493">
        <v>0.99976739999999997</v>
      </c>
      <c r="N3493">
        <v>-1.4674639999999999E-2</v>
      </c>
      <c r="O3493">
        <v>1.5810810000000002E-2</v>
      </c>
      <c r="P3493">
        <v>0.99916680000000002</v>
      </c>
      <c r="Q3493">
        <v>-3.7410270000000002E-2</v>
      </c>
      <c r="R3493">
        <v>1.6325369999999999E-2</v>
      </c>
      <c r="S3493">
        <v>3.001099</v>
      </c>
      <c r="T3493">
        <v>-0.17685989999999999</v>
      </c>
      <c r="U3493">
        <v>-0.3125153</v>
      </c>
      <c r="V3493">
        <v>-5.1658300000000004E-4</v>
      </c>
      <c r="W3493">
        <v>-2.274205E-2</v>
      </c>
      <c r="X3493">
        <v>0.99974130000000005</v>
      </c>
      <c r="Y3493">
        <v>0.119017</v>
      </c>
      <c r="Z3493">
        <v>-5.0684720000000001E-3</v>
      </c>
      <c r="AA3493">
        <v>0.99287930000000002</v>
      </c>
      <c r="AB3493">
        <v>46</v>
      </c>
      <c r="AC3493">
        <v>18.372799999999899</v>
      </c>
      <c r="AD3493">
        <v>-1.1091149814411001</v>
      </c>
      <c r="AE3493">
        <v>-1.9668000000000001</v>
      </c>
      <c r="AF3493">
        <v>2.2489713555681599</v>
      </c>
      <c r="AG3493">
        <v>-1.1091149814411001</v>
      </c>
      <c r="AH3493">
        <v>18.273564799293599</v>
      </c>
      <c r="AI3493">
        <v>93.447362731864999</v>
      </c>
      <c r="AJ3493">
        <v>82.983753914801497</v>
      </c>
      <c r="AK3493">
        <v>18.444814411487201</v>
      </c>
      <c r="AL3493">
        <v>91.303135741700899</v>
      </c>
      <c r="AM3493">
        <v>90.029605682023899</v>
      </c>
      <c r="AN3493">
        <v>1.0000000673109399</v>
      </c>
    </row>
    <row r="3494" spans="1:40" x14ac:dyDescent="0.25">
      <c r="A3494" t="str">
        <f>"20190305135303411"</f>
        <v>20190305135303411</v>
      </c>
      <c r="B3494" t="str">
        <f>"1551765183403358"</f>
        <v>1551765183403358</v>
      </c>
      <c r="C3494" t="s">
        <v>40</v>
      </c>
      <c r="D3494">
        <v>4.7764800000000003</v>
      </c>
      <c r="E3494">
        <v>0.54582730000000002</v>
      </c>
      <c r="F3494" t="s">
        <v>56</v>
      </c>
      <c r="G3494">
        <v>-210.2099</v>
      </c>
      <c r="H3494" s="1">
        <v>-1.3554040000000001E-6</v>
      </c>
      <c r="I3494">
        <v>213.02160000000001</v>
      </c>
      <c r="J3494">
        <v>-228.81299999999999</v>
      </c>
      <c r="K3494">
        <v>1.109143</v>
      </c>
      <c r="L3494">
        <v>215.0428</v>
      </c>
      <c r="M3494">
        <v>0.99976399999999999</v>
      </c>
      <c r="N3494">
        <v>-1.4671399999999999E-2</v>
      </c>
      <c r="O3494">
        <v>1.6024960000000001E-2</v>
      </c>
      <c r="P3494">
        <v>0.99920739999999997</v>
      </c>
      <c r="Q3494">
        <v>-3.6745060000000003E-2</v>
      </c>
      <c r="R3494">
        <v>1.5319660000000001E-2</v>
      </c>
      <c r="S3494">
        <v>3.0011290000000002</v>
      </c>
      <c r="T3494">
        <v>-0.17446139999999999</v>
      </c>
      <c r="U3494">
        <v>-0.31671139999999998</v>
      </c>
      <c r="V3494">
        <v>7.0490419999999997E-4</v>
      </c>
      <c r="W3494">
        <v>-2.2079350000000001E-2</v>
      </c>
      <c r="X3494">
        <v>0.99975599999999998</v>
      </c>
      <c r="Y3494">
        <v>0.1206049</v>
      </c>
      <c r="Z3494">
        <v>-5.0751019999999997E-3</v>
      </c>
      <c r="AA3494">
        <v>0.9926876</v>
      </c>
      <c r="AB3494">
        <v>46</v>
      </c>
      <c r="AC3494">
        <v>18.603099999999898</v>
      </c>
      <c r="AD3494">
        <v>-1.1091443554039999</v>
      </c>
      <c r="AE3494">
        <v>-2.0211999999999901</v>
      </c>
      <c r="AF3494">
        <v>2.3109674102106998</v>
      </c>
      <c r="AG3494">
        <v>-1.1091443554039999</v>
      </c>
      <c r="AH3494">
        <v>18.503310833836</v>
      </c>
      <c r="AI3494">
        <v>93.403994104172696</v>
      </c>
      <c r="AJ3494">
        <v>82.880918194961197</v>
      </c>
      <c r="AK3494">
        <v>18.680023645213499</v>
      </c>
      <c r="AL3494">
        <v>91.265156342821697</v>
      </c>
      <c r="AM3494">
        <v>89.959602113987501</v>
      </c>
      <c r="AN3494">
        <v>1.00000002706117</v>
      </c>
    </row>
    <row r="3495" spans="1:40" x14ac:dyDescent="0.25">
      <c r="A3495" t="str">
        <f>"20190305135303432"</f>
        <v>20190305135303432</v>
      </c>
      <c r="B3495" t="str">
        <f>"1551765183422877"</f>
        <v>1551765183422877</v>
      </c>
      <c r="C3495" t="s">
        <v>40</v>
      </c>
      <c r="D3495">
        <v>4.7447359999999996</v>
      </c>
      <c r="E3495">
        <v>0.54598400000000002</v>
      </c>
      <c r="F3495" t="s">
        <v>55</v>
      </c>
      <c r="G3495">
        <v>-209.53200000000001</v>
      </c>
      <c r="H3495" s="1">
        <v>6.5867230000000004E-6</v>
      </c>
      <c r="I3495">
        <v>212.98429999999999</v>
      </c>
      <c r="J3495">
        <v>-228.3751</v>
      </c>
      <c r="K3495">
        <v>1.1091679999999999</v>
      </c>
      <c r="L3495">
        <v>215.04990000000001</v>
      </c>
      <c r="M3495">
        <v>0.99976089999999995</v>
      </c>
      <c r="N3495">
        <v>-1.4668509999999999E-2</v>
      </c>
      <c r="O3495">
        <v>1.6227620000000002E-2</v>
      </c>
      <c r="P3495">
        <v>0.99924329999999995</v>
      </c>
      <c r="Q3495">
        <v>-3.6021129999999998E-2</v>
      </c>
      <c r="R3495">
        <v>1.4693929999999999E-2</v>
      </c>
      <c r="S3495">
        <v>3.0009610000000002</v>
      </c>
      <c r="T3495">
        <v>-0.17263010000000001</v>
      </c>
      <c r="U3495">
        <v>-0.32038879999999997</v>
      </c>
      <c r="V3495">
        <v>1.534094E-3</v>
      </c>
      <c r="W3495">
        <v>-2.1357620000000001E-2</v>
      </c>
      <c r="X3495">
        <v>0.99977070000000001</v>
      </c>
      <c r="Y3495">
        <v>0.12201679999999999</v>
      </c>
      <c r="Z3495">
        <v>-5.088169E-3</v>
      </c>
      <c r="AA3495">
        <v>0.99251500000000004</v>
      </c>
      <c r="AB3495">
        <v>46</v>
      </c>
      <c r="AC3495">
        <v>18.8431</v>
      </c>
      <c r="AD3495">
        <v>-1.109161413277</v>
      </c>
      <c r="AE3495">
        <v>-2.0656000000000101</v>
      </c>
      <c r="AF3495">
        <v>2.3630490671000701</v>
      </c>
      <c r="AG3495">
        <v>-1.109161413277</v>
      </c>
      <c r="AH3495">
        <v>18.7429245451995</v>
      </c>
      <c r="AI3495">
        <v>93.360139035165304</v>
      </c>
      <c r="AJ3495">
        <v>82.814241435276699</v>
      </c>
      <c r="AK3495">
        <v>18.923833132884798</v>
      </c>
      <c r="AL3495">
        <v>91.223794565208493</v>
      </c>
      <c r="AM3495">
        <v>89.912082797994401</v>
      </c>
      <c r="AN3495">
        <v>0.999999976977477</v>
      </c>
    </row>
    <row r="3496" spans="1:40" x14ac:dyDescent="0.25">
      <c r="A3496" t="str">
        <f>"20190305135303455"</f>
        <v>20190305135303455</v>
      </c>
      <c r="B3496" t="str">
        <f>"1551765183443373"</f>
        <v>1551765183443373</v>
      </c>
      <c r="C3496" t="s">
        <v>40</v>
      </c>
      <c r="D3496">
        <v>4.7282080000000004</v>
      </c>
      <c r="E3496">
        <v>0.54617740000000004</v>
      </c>
      <c r="F3496" t="s">
        <v>55</v>
      </c>
      <c r="G3496">
        <v>-208.8065</v>
      </c>
      <c r="H3496" s="1">
        <v>6.26886E-6</v>
      </c>
      <c r="I3496">
        <v>212.93979999999999</v>
      </c>
      <c r="J3496">
        <v>-227.9126</v>
      </c>
      <c r="K3496">
        <v>1.109192</v>
      </c>
      <c r="L3496">
        <v>215.05760000000001</v>
      </c>
      <c r="M3496">
        <v>0.99975729999999996</v>
      </c>
      <c r="N3496">
        <v>-1.4665610000000001E-2</v>
      </c>
      <c r="O3496">
        <v>1.6445029999999999E-2</v>
      </c>
      <c r="P3496">
        <v>0.99927379999999999</v>
      </c>
      <c r="Q3496">
        <v>-3.5351199999999902E-2</v>
      </c>
      <c r="R3496">
        <v>1.4219580000000001E-2</v>
      </c>
      <c r="S3496">
        <v>3.0008849999999998</v>
      </c>
      <c r="T3496">
        <v>-0.170092299999999</v>
      </c>
      <c r="U3496">
        <v>-0.32359310000000002</v>
      </c>
      <c r="V3496">
        <v>2.2269360000000001E-3</v>
      </c>
      <c r="W3496">
        <v>-2.0689949999999999E-2</v>
      </c>
      <c r="X3496">
        <v>0.99978350000000005</v>
      </c>
      <c r="Y3496">
        <v>0.1232873</v>
      </c>
      <c r="Z3496">
        <v>-5.0772999999999999E-3</v>
      </c>
      <c r="AA3496">
        <v>0.99235799999999996</v>
      </c>
      <c r="AB3496">
        <v>46</v>
      </c>
      <c r="AC3496">
        <v>19.106100000000001</v>
      </c>
      <c r="AD3496">
        <v>-1.10918573114</v>
      </c>
      <c r="AE3496">
        <v>-2.1178000000000101</v>
      </c>
      <c r="AF3496">
        <v>2.4236784023306002</v>
      </c>
      <c r="AG3496">
        <v>-1.10918573114</v>
      </c>
      <c r="AH3496">
        <v>19.005408836147598</v>
      </c>
      <c r="AI3496">
        <v>93.3133108899072</v>
      </c>
      <c r="AJ3496">
        <v>82.732541611735996</v>
      </c>
      <c r="AK3496">
        <v>19.1914062802392</v>
      </c>
      <c r="AL3496">
        <v>91.185531358617098</v>
      </c>
      <c r="AM3496">
        <v>89.872378546923699</v>
      </c>
      <c r="AN3496">
        <v>1.00000004007359</v>
      </c>
    </row>
    <row r="3497" spans="1:40" x14ac:dyDescent="0.25">
      <c r="A3497" t="str">
        <f>"20190305135303477"</f>
        <v>20190305135303477</v>
      </c>
      <c r="B3497" t="str">
        <f>"1551765183473630"</f>
        <v>1551765183473630</v>
      </c>
      <c r="C3497" t="s">
        <v>40</v>
      </c>
      <c r="D3497">
        <v>4.7676109999999996</v>
      </c>
      <c r="E3497">
        <v>0.54648019999999997</v>
      </c>
      <c r="F3497" t="s">
        <v>55</v>
      </c>
      <c r="G3497">
        <v>-208.00489999999999</v>
      </c>
      <c r="H3497" s="1">
        <v>5.9176690000000003E-6</v>
      </c>
      <c r="I3497">
        <v>212.89080000000001</v>
      </c>
      <c r="J3497">
        <v>-227.4599</v>
      </c>
      <c r="K3497">
        <v>1.1092070000000001</v>
      </c>
      <c r="L3497">
        <v>215.0652</v>
      </c>
      <c r="M3497">
        <v>0.99975369999999997</v>
      </c>
      <c r="N3497">
        <v>-1.4664429999999999E-2</v>
      </c>
      <c r="O3497">
        <v>1.6658920000000001E-2</v>
      </c>
      <c r="P3497">
        <v>0.99929400000000002</v>
      </c>
      <c r="Q3497">
        <v>-3.4718599999999898E-2</v>
      </c>
      <c r="R3497">
        <v>1.4349509999999999E-2</v>
      </c>
      <c r="S3497">
        <v>3.0009160000000001</v>
      </c>
      <c r="T3497">
        <v>-0.16720019999999999</v>
      </c>
      <c r="U3497">
        <v>-0.32661440000000003</v>
      </c>
      <c r="V3497">
        <v>2.3114450000000001E-3</v>
      </c>
      <c r="W3497">
        <v>-2.005817E-2</v>
      </c>
      <c r="X3497">
        <v>0.99979620000000002</v>
      </c>
      <c r="Y3497">
        <v>0.12449159999999999</v>
      </c>
      <c r="Z3497">
        <v>-5.0531730000000002E-3</v>
      </c>
      <c r="AA3497">
        <v>0.99220779999999997</v>
      </c>
      <c r="AB3497">
        <v>46</v>
      </c>
      <c r="AC3497">
        <v>19.454999999999998</v>
      </c>
      <c r="AD3497">
        <v>-1.1092010823309999</v>
      </c>
      <c r="AE3497">
        <v>-2.1743999999999901</v>
      </c>
      <c r="AF3497">
        <v>2.4902375354705701</v>
      </c>
      <c r="AG3497">
        <v>-1.1092010823309999</v>
      </c>
      <c r="AH3497">
        <v>19.3539376485821</v>
      </c>
      <c r="AI3497">
        <v>93.253351074176706</v>
      </c>
      <c r="AJ3497">
        <v>82.668135437979899</v>
      </c>
      <c r="AK3497">
        <v>19.544986889975501</v>
      </c>
      <c r="AL3497">
        <v>91.149325496798198</v>
      </c>
      <c r="AM3497">
        <v>89.867537196958295</v>
      </c>
      <c r="AN3497">
        <v>1.0000000572480801</v>
      </c>
    </row>
    <row r="3498" spans="1:40" x14ac:dyDescent="0.25">
      <c r="A3498" t="str">
        <f>"20190305135303500"</f>
        <v>20190305135303500</v>
      </c>
      <c r="B3498" t="str">
        <f>"1551765183493149"</f>
        <v>1551765183493149</v>
      </c>
      <c r="C3498" t="s">
        <v>40</v>
      </c>
      <c r="D3498">
        <v>4.7294280000000004</v>
      </c>
      <c r="E3498">
        <v>0.54665390000000003</v>
      </c>
      <c r="F3498" t="s">
        <v>55</v>
      </c>
      <c r="G3498">
        <v>-207.30109999999999</v>
      </c>
      <c r="H3498" s="1">
        <v>5.6084899999999999E-6</v>
      </c>
      <c r="I3498">
        <v>212.85769999999999</v>
      </c>
      <c r="J3498">
        <v>-226.98439999999999</v>
      </c>
      <c r="K3498">
        <v>1.1092229999999901</v>
      </c>
      <c r="L3498">
        <v>215.07329999999999</v>
      </c>
      <c r="M3498">
        <v>0.99974960000000002</v>
      </c>
      <c r="N3498">
        <v>-1.4696270000000001E-2</v>
      </c>
      <c r="O3498">
        <v>1.6878199999999999E-2</v>
      </c>
      <c r="P3498">
        <v>0.99929730000000005</v>
      </c>
      <c r="Q3498">
        <v>-3.4761050000000002E-2</v>
      </c>
      <c r="R3498">
        <v>1.4029710000000001E-2</v>
      </c>
      <c r="S3498">
        <v>3.0011290000000002</v>
      </c>
      <c r="T3498">
        <v>-0.1651318</v>
      </c>
      <c r="U3498">
        <v>-0.32864379999999999</v>
      </c>
      <c r="V3498">
        <v>2.8509450000000001E-3</v>
      </c>
      <c r="W3498">
        <v>-2.006848E-2</v>
      </c>
      <c r="X3498">
        <v>0.99979450000000003</v>
      </c>
      <c r="Y3498">
        <v>0.12536849999999999</v>
      </c>
      <c r="Z3498">
        <v>-5.0394059999999997E-3</v>
      </c>
      <c r="AA3498">
        <v>0.99209740000000002</v>
      </c>
      <c r="AB3498">
        <v>46</v>
      </c>
      <c r="AC3498">
        <v>19.683299999999999</v>
      </c>
      <c r="AD3498">
        <v>-1.1092173915100001</v>
      </c>
      <c r="AE3498">
        <v>-2.21559999999999</v>
      </c>
      <c r="AF3498">
        <v>2.5395748775917601</v>
      </c>
      <c r="AG3498">
        <v>-1.1092173915100001</v>
      </c>
      <c r="AH3498">
        <v>19.5816889496115</v>
      </c>
      <c r="AI3498">
        <v>93.215221863447198</v>
      </c>
      <c r="AJ3498">
        <v>82.610481296087997</v>
      </c>
      <c r="AK3498">
        <v>19.776813340370602</v>
      </c>
      <c r="AL3498">
        <v>91.149916450468595</v>
      </c>
      <c r="AM3498">
        <v>89.836619751970503</v>
      </c>
      <c r="AN3498">
        <v>0.99999995700357502</v>
      </c>
    </row>
    <row r="3499" spans="1:40" x14ac:dyDescent="0.25">
      <c r="A3499" t="str">
        <f>"20190305135303522"</f>
        <v>20190305135303522</v>
      </c>
      <c r="B3499" t="str">
        <f>"1551765183513645"</f>
        <v>1551765183513645</v>
      </c>
      <c r="C3499" t="s">
        <v>40</v>
      </c>
      <c r="D3499">
        <v>4.7873390000000002</v>
      </c>
      <c r="E3499">
        <v>0.54665379999999997</v>
      </c>
      <c r="F3499" t="s">
        <v>55</v>
      </c>
      <c r="G3499">
        <v>-206.87540000000001</v>
      </c>
      <c r="H3499" s="1">
        <v>5.4199130000000001E-6</v>
      </c>
      <c r="I3499">
        <v>212.85489999999999</v>
      </c>
      <c r="J3499">
        <v>-226.53360000000001</v>
      </c>
      <c r="K3499">
        <v>1.109254</v>
      </c>
      <c r="L3499">
        <v>215.08099999999999</v>
      </c>
      <c r="M3499">
        <v>0.99974419999999997</v>
      </c>
      <c r="N3499">
        <v>-1.4846099999999999E-2</v>
      </c>
      <c r="O3499">
        <v>1.7071550000000001E-2</v>
      </c>
      <c r="P3499">
        <v>0.99926559999999998</v>
      </c>
      <c r="Q3499">
        <v>-3.5674310000000001E-2</v>
      </c>
      <c r="R3499">
        <v>1.4000739999999999E-2</v>
      </c>
      <c r="S3499">
        <v>3.001007</v>
      </c>
      <c r="T3499">
        <v>-0.1655356</v>
      </c>
      <c r="U3499">
        <v>-0.33106989999999997</v>
      </c>
      <c r="V3499">
        <v>3.0732490000000001E-3</v>
      </c>
      <c r="W3499">
        <v>-2.0832159999999999E-2</v>
      </c>
      <c r="X3499">
        <v>0.99977830000000001</v>
      </c>
      <c r="Y3499">
        <v>0.12635360000000001</v>
      </c>
      <c r="Z3499">
        <v>-5.0991880000000002E-3</v>
      </c>
      <c r="AA3499">
        <v>0.99197210000000002</v>
      </c>
      <c r="AB3499">
        <v>46</v>
      </c>
      <c r="AC3499">
        <v>19.658199999999901</v>
      </c>
      <c r="AD3499">
        <v>-1.109248580087</v>
      </c>
      <c r="AE3499">
        <v>-2.2261000000000002</v>
      </c>
      <c r="AF3499">
        <v>2.5533814209118399</v>
      </c>
      <c r="AG3499">
        <v>-1.109248580087</v>
      </c>
      <c r="AH3499">
        <v>19.555850344718401</v>
      </c>
      <c r="AI3499">
        <v>93.219190771215594</v>
      </c>
      <c r="AJ3499">
        <v>82.561049158265206</v>
      </c>
      <c r="AK3499">
        <v>19.753011714624801</v>
      </c>
      <c r="AL3499">
        <v>91.193681151983597</v>
      </c>
      <c r="AM3499">
        <v>89.823877311113307</v>
      </c>
      <c r="AN3499">
        <v>1.0000000364502799</v>
      </c>
    </row>
    <row r="3500" spans="1:40" x14ac:dyDescent="0.25">
      <c r="A3500" t="str">
        <f>"20190305135303544"</f>
        <v>20190305135303544</v>
      </c>
      <c r="B3500" t="str">
        <f>"1551765183533165"</f>
        <v>1551765183533165</v>
      </c>
      <c r="C3500" t="s">
        <v>40</v>
      </c>
      <c r="D3500">
        <v>4.7786119999999999</v>
      </c>
      <c r="E3500">
        <v>0.51919950000000004</v>
      </c>
      <c r="F3500" t="s">
        <v>55</v>
      </c>
      <c r="G3500">
        <v>-206.8546</v>
      </c>
      <c r="H3500" s="1">
        <v>5.4060240000000002E-6</v>
      </c>
      <c r="I3500">
        <v>212.9085</v>
      </c>
      <c r="J3500">
        <v>-226.09030000000001</v>
      </c>
      <c r="K3500">
        <v>1.1093189999999999</v>
      </c>
      <c r="L3500">
        <v>215.08879999999999</v>
      </c>
      <c r="M3500">
        <v>0.99973670000000003</v>
      </c>
      <c r="N3500">
        <v>-1.514909E-2</v>
      </c>
      <c r="O3500">
        <v>1.7244019999999999E-2</v>
      </c>
      <c r="P3500">
        <v>0.99923309999999999</v>
      </c>
      <c r="Q3500">
        <v>-3.6561959999999998E-2</v>
      </c>
      <c r="R3500">
        <v>1.402548E-2</v>
      </c>
      <c r="S3500">
        <v>3.0007779999999999</v>
      </c>
      <c r="T3500">
        <v>-0.16914560000000001</v>
      </c>
      <c r="U3500">
        <v>-0.33128360000000001</v>
      </c>
      <c r="V3500">
        <v>3.220517E-3</v>
      </c>
      <c r="W3500">
        <v>-2.1417209999999999E-2</v>
      </c>
      <c r="X3500">
        <v>0.99976549999999997</v>
      </c>
      <c r="Y3500">
        <v>0.12659100000000001</v>
      </c>
      <c r="Z3500">
        <v>-5.2252100000000001E-3</v>
      </c>
      <c r="AA3500">
        <v>0.99194119999999997</v>
      </c>
      <c r="AB3500">
        <v>46</v>
      </c>
      <c r="AC3500">
        <v>19.235700000000001</v>
      </c>
      <c r="AD3500">
        <v>-1.1093135939759999</v>
      </c>
      <c r="AE3500">
        <v>-2.1802999999999799</v>
      </c>
      <c r="AF3500">
        <v>2.5034941064695602</v>
      </c>
      <c r="AG3500">
        <v>-1.1093135939759999</v>
      </c>
      <c r="AH3500">
        <v>19.1324147928065</v>
      </c>
      <c r="AI3500">
        <v>93.290355874301497</v>
      </c>
      <c r="AJ3500">
        <v>82.545149138859003</v>
      </c>
      <c r="AK3500">
        <v>19.327373209903801</v>
      </c>
      <c r="AL3500">
        <v>91.227209497820297</v>
      </c>
      <c r="AM3500">
        <v>89.815435325866602</v>
      </c>
      <c r="AN3500">
        <v>1.0000000618020799</v>
      </c>
    </row>
    <row r="3501" spans="1:40" x14ac:dyDescent="0.25">
      <c r="A3501" t="str">
        <f>"20190305135303567"</f>
        <v>20190305135303567</v>
      </c>
      <c r="B3501" t="str">
        <f>"1551765183553662"</f>
        <v>1551765183553662</v>
      </c>
      <c r="C3501" t="s">
        <v>40</v>
      </c>
      <c r="D3501">
        <v>4.8267379999999998</v>
      </c>
      <c r="E3501">
        <v>0.50786109999999995</v>
      </c>
      <c r="F3501" t="s">
        <v>55</v>
      </c>
      <c r="G3501">
        <v>-205.95590000000001</v>
      </c>
      <c r="H3501" s="1">
        <v>4.8826469999999999E-6</v>
      </c>
      <c r="I3501">
        <v>214.3364</v>
      </c>
      <c r="J3501">
        <v>-225.63929999999999</v>
      </c>
      <c r="K3501">
        <v>1.1093949999999999</v>
      </c>
      <c r="L3501">
        <v>215.0967</v>
      </c>
      <c r="M3501">
        <v>0.99972749999999999</v>
      </c>
      <c r="N3501">
        <v>-1.5577819999999999E-2</v>
      </c>
      <c r="O3501">
        <v>1.7392500000000002E-2</v>
      </c>
      <c r="P3501">
        <v>0.99920050000000005</v>
      </c>
      <c r="Q3501">
        <v>-3.7386530000000001E-2</v>
      </c>
      <c r="R3501">
        <v>1.416657E-2</v>
      </c>
      <c r="S3501">
        <v>2.997833</v>
      </c>
      <c r="T3501">
        <v>-0.16516719999999999</v>
      </c>
      <c r="U3501">
        <v>-0.11203</v>
      </c>
      <c r="V3501">
        <v>3.2266700000000001E-3</v>
      </c>
      <c r="W3501">
        <v>-2.1813610000000001E-2</v>
      </c>
      <c r="X3501">
        <v>0.99975689999999995</v>
      </c>
      <c r="Y3501">
        <v>5.4601400000000001E-2</v>
      </c>
      <c r="Z3501">
        <v>-2.6148870000000002E-3</v>
      </c>
      <c r="AA3501">
        <v>0.99850479999999997</v>
      </c>
      <c r="AB3501">
        <v>46</v>
      </c>
      <c r="AC3501">
        <v>19.683399999999899</v>
      </c>
      <c r="AD3501">
        <v>-1.1093901173530001</v>
      </c>
      <c r="AE3501">
        <v>-0.76029999999999998</v>
      </c>
      <c r="AF3501">
        <v>1.0990838120552999</v>
      </c>
      <c r="AG3501">
        <v>-1.1093901173530001</v>
      </c>
      <c r="AH3501">
        <v>19.605011493887801</v>
      </c>
      <c r="AI3501">
        <v>93.233679447499895</v>
      </c>
      <c r="AJ3501">
        <v>86.791278805713105</v>
      </c>
      <c r="AK3501">
        <v>19.667109785982198</v>
      </c>
      <c r="AL3501">
        <v>91.249926863457503</v>
      </c>
      <c r="AM3501">
        <v>89.815081115246599</v>
      </c>
      <c r="AN3501">
        <v>1.00000005203906</v>
      </c>
    </row>
    <row r="3502" spans="1:40" x14ac:dyDescent="0.25">
      <c r="A3502" t="str">
        <f>"20190305135303589"</f>
        <v>20190305135303589</v>
      </c>
      <c r="B3502" t="str">
        <f>"1551765183582942"</f>
        <v>1551765183582942</v>
      </c>
      <c r="C3502" t="s">
        <v>40</v>
      </c>
      <c r="D3502">
        <v>4.7557210000000003</v>
      </c>
      <c r="E3502">
        <v>0.50307690000000005</v>
      </c>
      <c r="F3502" t="s">
        <v>55</v>
      </c>
      <c r="G3502">
        <v>-202.33609999999999</v>
      </c>
      <c r="H3502" s="1">
        <v>3.2251080000000001E-6</v>
      </c>
      <c r="I3502">
        <v>214.9348</v>
      </c>
      <c r="J3502">
        <v>-225.1738</v>
      </c>
      <c r="K3502">
        <v>1.1094569999999999</v>
      </c>
      <c r="L3502">
        <v>215.10489999999999</v>
      </c>
      <c r="M3502">
        <v>0.99971759999999998</v>
      </c>
      <c r="N3502">
        <v>-1.607575E-2</v>
      </c>
      <c r="O3502">
        <v>1.7508880000000001E-2</v>
      </c>
      <c r="P3502">
        <v>0.99917180000000005</v>
      </c>
      <c r="Q3502">
        <v>-3.8118810000000003E-2</v>
      </c>
      <c r="R3502">
        <v>1.4253299999999899E-2</v>
      </c>
      <c r="S3502">
        <v>2.9973450000000001</v>
      </c>
      <c r="T3502">
        <v>-0.14269399999999999</v>
      </c>
      <c r="U3502">
        <v>-2.082825E-2</v>
      </c>
      <c r="V3502">
        <v>3.2544459999999998E-3</v>
      </c>
      <c r="W3502">
        <v>-2.204857E-2</v>
      </c>
      <c r="X3502">
        <v>0.99975159999999996</v>
      </c>
      <c r="Y3502">
        <v>2.4412690000000001E-2</v>
      </c>
      <c r="Z3502">
        <v>-1.328816E-3</v>
      </c>
      <c r="AA3502">
        <v>0.99970110000000001</v>
      </c>
      <c r="AB3502">
        <v>45</v>
      </c>
      <c r="AC3502">
        <v>22.837700000000002</v>
      </c>
      <c r="AD3502">
        <v>-1.1094537748919999</v>
      </c>
      <c r="AE3502">
        <v>-0.17009999999999001</v>
      </c>
      <c r="AF3502">
        <v>0.56864615545223296</v>
      </c>
      <c r="AG3502">
        <v>-1.1094537748919999</v>
      </c>
      <c r="AH3502">
        <v>22.777467558735498</v>
      </c>
      <c r="AI3502">
        <v>92.787714024858303</v>
      </c>
      <c r="AJ3502">
        <v>88.569891129918503</v>
      </c>
      <c r="AK3502">
        <v>22.8115601070593</v>
      </c>
      <c r="AL3502">
        <v>91.263392388246302</v>
      </c>
      <c r="AM3502">
        <v>89.813488308678799</v>
      </c>
      <c r="AN3502">
        <v>0.99999999628018499</v>
      </c>
    </row>
    <row r="3503" spans="1:40" x14ac:dyDescent="0.25">
      <c r="A3503" t="str">
        <f>"20190305135303612"</f>
        <v>20190305135303612</v>
      </c>
      <c r="B3503" t="str">
        <f>"1551765183603438"</f>
        <v>1551765183603438</v>
      </c>
      <c r="C3503" t="s">
        <v>40</v>
      </c>
      <c r="D3503">
        <v>4.7615179999999997</v>
      </c>
      <c r="E3503">
        <v>0.50198050000000005</v>
      </c>
      <c r="F3503" t="s">
        <v>55</v>
      </c>
      <c r="G3503">
        <v>-200.86439999999999</v>
      </c>
      <c r="H3503" s="1">
        <v>2.5450030000000001E-6</v>
      </c>
      <c r="I3503">
        <v>215.2492</v>
      </c>
      <c r="J3503">
        <v>-224.7277</v>
      </c>
      <c r="K3503">
        <v>1.109521</v>
      </c>
      <c r="L3503">
        <v>215.11279999999999</v>
      </c>
      <c r="M3503">
        <v>0.99970800000000004</v>
      </c>
      <c r="N3503">
        <v>-1.6572509999999999E-2</v>
      </c>
      <c r="O3503">
        <v>1.7588320000000001E-2</v>
      </c>
      <c r="P3503">
        <v>0.9991854</v>
      </c>
      <c r="Q3503">
        <v>-3.7983049999999997E-2</v>
      </c>
      <c r="R3503">
        <v>1.363552E-2</v>
      </c>
      <c r="S3503">
        <v>2.9970249999999998</v>
      </c>
      <c r="T3503">
        <v>-0.13678100000000001</v>
      </c>
      <c r="U3503">
        <v>1.7791749999999999E-2</v>
      </c>
      <c r="V3503">
        <v>3.9501400000000004E-3</v>
      </c>
      <c r="W3503">
        <v>-2.1416080000000001E-2</v>
      </c>
      <c r="X3503">
        <v>0.99976279999999995</v>
      </c>
      <c r="Y3503">
        <v>1.163105E-2</v>
      </c>
      <c r="Z3503">
        <v>-8.7255479999999897E-4</v>
      </c>
      <c r="AA3503">
        <v>0.99993200000000004</v>
      </c>
      <c r="AB3503">
        <v>45</v>
      </c>
      <c r="AC3503">
        <v>23.863299999999999</v>
      </c>
      <c r="AD3503">
        <v>-1.1095184549969901</v>
      </c>
      <c r="AE3503">
        <v>0.13640000000000799</v>
      </c>
      <c r="AF3503">
        <v>0.28278280387899501</v>
      </c>
      <c r="AG3503">
        <v>-1.1095184549969901</v>
      </c>
      <c r="AH3503">
        <v>23.810535981278999</v>
      </c>
      <c r="AI3503">
        <v>92.667739191462204</v>
      </c>
      <c r="AJ3503">
        <v>89.319565947966396</v>
      </c>
      <c r="AK3503">
        <v>23.838049857988199</v>
      </c>
      <c r="AL3503">
        <v>91.227144870832902</v>
      </c>
      <c r="AM3503">
        <v>89.773621130162894</v>
      </c>
      <c r="AN3503">
        <v>0.99999995417621201</v>
      </c>
    </row>
    <row r="3504" spans="1:40" x14ac:dyDescent="0.25">
      <c r="A3504" t="str">
        <f>"20190305135303645"</f>
        <v>20190305135303645</v>
      </c>
      <c r="B3504" t="str">
        <f>"1551765183633694"</f>
        <v>1551765183633694</v>
      </c>
      <c r="C3504" t="s">
        <v>40</v>
      </c>
      <c r="D3504">
        <v>4.7407830000000004</v>
      </c>
      <c r="E3504">
        <v>0.50127879999999903</v>
      </c>
      <c r="F3504" t="s">
        <v>55</v>
      </c>
      <c r="G3504">
        <v>-200.53380000000001</v>
      </c>
      <c r="H3504" s="1">
        <v>2.392854E-6</v>
      </c>
      <c r="I3504">
        <v>215.31209999999999</v>
      </c>
      <c r="J3504">
        <v>-224.06290000000001</v>
      </c>
      <c r="K3504">
        <v>1.10959599999999</v>
      </c>
      <c r="L3504">
        <v>215.12459999999999</v>
      </c>
      <c r="M3504">
        <v>0.99969430000000004</v>
      </c>
      <c r="N3504">
        <v>-1.7307570000000001E-2</v>
      </c>
      <c r="O3504">
        <v>1.7658819999999999E-2</v>
      </c>
      <c r="P3504">
        <v>0.9992086</v>
      </c>
      <c r="Q3504">
        <v>-3.7809099999999998E-2</v>
      </c>
      <c r="R3504">
        <v>1.2367889999999999E-2</v>
      </c>
      <c r="S3504">
        <v>2.996902</v>
      </c>
      <c r="T3504">
        <v>-0.13743620000000001</v>
      </c>
      <c r="U3504">
        <v>2.4688720000000001E-2</v>
      </c>
      <c r="V3504">
        <v>5.2863149999999998E-3</v>
      </c>
      <c r="W3504">
        <v>-2.050722E-2</v>
      </c>
      <c r="X3504">
        <v>0.99977570000000004</v>
      </c>
      <c r="Y3504">
        <v>9.4035509999999996E-3</v>
      </c>
      <c r="Z3504">
        <v>-8.0071759999999896E-4</v>
      </c>
      <c r="AA3504">
        <v>0.9999555</v>
      </c>
      <c r="AB3504">
        <v>45</v>
      </c>
      <c r="AC3504">
        <v>23.5291</v>
      </c>
      <c r="AD3504">
        <v>-1.10959360714599</v>
      </c>
      <c r="AE3504">
        <v>0.1875</v>
      </c>
      <c r="AF3504">
        <v>0.22758152720965399</v>
      </c>
      <c r="AG3504">
        <v>-1.10959360714599</v>
      </c>
      <c r="AH3504">
        <v>23.476535161219701</v>
      </c>
      <c r="AI3504">
        <v>92.705883708500295</v>
      </c>
      <c r="AJ3504">
        <v>89.444592122194706</v>
      </c>
      <c r="AK3504">
        <v>23.5038442494102</v>
      </c>
      <c r="AL3504">
        <v>91.175059560843494</v>
      </c>
      <c r="AM3504">
        <v>89.697051332528801</v>
      </c>
      <c r="AN3504">
        <v>0.99999997075444802</v>
      </c>
    </row>
    <row r="3505" spans="1:40" x14ac:dyDescent="0.25">
      <c r="A3505" t="str">
        <f>"20190305135303667"</f>
        <v>20190305135303667</v>
      </c>
      <c r="B3505" t="str">
        <f>"1551765183663950"</f>
        <v>1551765183663950</v>
      </c>
      <c r="C3505" t="s">
        <v>40</v>
      </c>
      <c r="D3505">
        <v>4.7521019999999998</v>
      </c>
      <c r="E3505">
        <v>0.50190849999999998</v>
      </c>
      <c r="F3505" t="s">
        <v>55</v>
      </c>
      <c r="G3505">
        <v>-199.7894</v>
      </c>
      <c r="H3505" s="1">
        <v>2.1649339999999999E-6</v>
      </c>
      <c r="I3505">
        <v>215.3391</v>
      </c>
      <c r="J3505">
        <v>-223.61709999999999</v>
      </c>
      <c r="K3505">
        <v>1.109629</v>
      </c>
      <c r="L3505">
        <v>215.13249999999999</v>
      </c>
      <c r="M3505">
        <v>0.99968590000000002</v>
      </c>
      <c r="N3505">
        <v>-1.778532E-2</v>
      </c>
      <c r="O3505">
        <v>1.7668420000000001E-2</v>
      </c>
      <c r="P3505">
        <v>0.99920050000000005</v>
      </c>
      <c r="Q3505">
        <v>-3.8409199999999998E-2</v>
      </c>
      <c r="R3505">
        <v>1.1119449999999999E-2</v>
      </c>
      <c r="S3505">
        <v>2.9968720000000002</v>
      </c>
      <c r="T3505">
        <v>-0.13699320000000001</v>
      </c>
      <c r="U3505">
        <v>2.6489260000000001E-2</v>
      </c>
      <c r="V3505">
        <v>6.5429160000000002E-3</v>
      </c>
      <c r="W3505">
        <v>-2.063015E-2</v>
      </c>
      <c r="X3505">
        <v>0.99976580000000004</v>
      </c>
      <c r="Y3505">
        <v>8.8136129999999997E-3</v>
      </c>
      <c r="Z3505">
        <v>-7.7277619999999896E-4</v>
      </c>
      <c r="AA3505">
        <v>0.99996079999999998</v>
      </c>
      <c r="AB3505">
        <v>45</v>
      </c>
      <c r="AC3505">
        <v>23.8277</v>
      </c>
      <c r="AD3505">
        <v>-1.1096268350659999</v>
      </c>
      <c r="AE3505">
        <v>0.206600000000008</v>
      </c>
      <c r="AF3505">
        <v>0.21403246292970299</v>
      </c>
      <c r="AG3505">
        <v>-1.1096268350659999</v>
      </c>
      <c r="AH3505">
        <v>23.7760720983364</v>
      </c>
      <c r="AI3505">
        <v>92.671941170633602</v>
      </c>
      <c r="AJ3505">
        <v>89.484236693225398</v>
      </c>
      <c r="AK3505">
        <v>23.802913393817501</v>
      </c>
      <c r="AL3505">
        <v>91.182104347035406</v>
      </c>
      <c r="AM3505">
        <v>89.625036062833701</v>
      </c>
      <c r="AN3505">
        <v>1.0000000338442201</v>
      </c>
    </row>
    <row r="3506" spans="1:40" x14ac:dyDescent="0.25">
      <c r="A3506" t="str">
        <f>"20190305135303690"</f>
        <v>20190305135303690</v>
      </c>
      <c r="B3506" t="str">
        <f>"1551765183683469"</f>
        <v>1551765183683469</v>
      </c>
      <c r="C3506" t="s">
        <v>40</v>
      </c>
      <c r="D3506">
        <v>4.7892260000000002</v>
      </c>
      <c r="E3506">
        <v>0.5017433</v>
      </c>
      <c r="F3506" t="s">
        <v>55</v>
      </c>
      <c r="G3506">
        <v>-198.3477</v>
      </c>
      <c r="H3506" s="1">
        <v>2.4256199999999998E-6</v>
      </c>
      <c r="I3506">
        <v>215.2825</v>
      </c>
      <c r="J3506">
        <v>-223.16800000000001</v>
      </c>
      <c r="K3506">
        <v>1.1096549999999901</v>
      </c>
      <c r="L3506">
        <v>215.1404</v>
      </c>
      <c r="M3506">
        <v>0.99967819999999996</v>
      </c>
      <c r="N3506">
        <v>-1.8244639999999999E-2</v>
      </c>
      <c r="O3506">
        <v>1.7634770000000001E-2</v>
      </c>
      <c r="P3506">
        <v>0.99918620000000002</v>
      </c>
      <c r="Q3506">
        <v>-3.9322099999999999E-2</v>
      </c>
      <c r="R3506">
        <v>9.0010539999999997E-3</v>
      </c>
      <c r="S3506">
        <v>2.997131</v>
      </c>
      <c r="T3506">
        <v>-0.13160959999999999</v>
      </c>
      <c r="U3506">
        <v>1.7791749999999999E-2</v>
      </c>
      <c r="V3506">
        <v>8.6255329999999995E-3</v>
      </c>
      <c r="W3506">
        <v>-2.1084909999999998E-2</v>
      </c>
      <c r="X3506">
        <v>0.99974050000000003</v>
      </c>
      <c r="Y3506">
        <v>1.168042E-2</v>
      </c>
      <c r="Z3506">
        <v>-8.1522889999999996E-4</v>
      </c>
      <c r="AA3506">
        <v>0.99993149999999997</v>
      </c>
      <c r="AB3506">
        <v>45</v>
      </c>
      <c r="AC3506">
        <v>24.8203</v>
      </c>
      <c r="AD3506">
        <v>-1.1096525743800001</v>
      </c>
      <c r="AE3506">
        <v>0.142099999999999</v>
      </c>
      <c r="AF3506">
        <v>0.29510535014580802</v>
      </c>
      <c r="AG3506">
        <v>-1.1096525743800001</v>
      </c>
      <c r="AH3506">
        <v>24.769438895008999</v>
      </c>
      <c r="AI3506">
        <v>92.564911721675898</v>
      </c>
      <c r="AJ3506">
        <v>89.317405162228297</v>
      </c>
      <c r="AK3506">
        <v>24.7960383766661</v>
      </c>
      <c r="AL3506">
        <v>91.208165860910697</v>
      </c>
      <c r="AM3506">
        <v>89.505677348431803</v>
      </c>
      <c r="AN3506">
        <v>1.0000000202947401</v>
      </c>
    </row>
    <row r="3507" spans="1:40" x14ac:dyDescent="0.25">
      <c r="A3507" t="str">
        <f>"20190305135303712"</f>
        <v>20190305135303712</v>
      </c>
      <c r="B3507" t="str">
        <f>"1551765183702989"</f>
        <v>1551765183702989</v>
      </c>
      <c r="C3507" t="s">
        <v>40</v>
      </c>
      <c r="D3507">
        <v>4.7784879999999896</v>
      </c>
      <c r="E3507">
        <v>0.50156219999999996</v>
      </c>
      <c r="F3507" t="s">
        <v>55</v>
      </c>
      <c r="G3507">
        <v>-198.35650000000001</v>
      </c>
      <c r="H3507" s="1">
        <v>2.4272299999999998E-6</v>
      </c>
      <c r="I3507">
        <v>215.24629999999999</v>
      </c>
      <c r="J3507">
        <v>-222.7243</v>
      </c>
      <c r="K3507">
        <v>1.109661</v>
      </c>
      <c r="L3507">
        <v>215.1482</v>
      </c>
      <c r="M3507">
        <v>0.99967130000000004</v>
      </c>
      <c r="N3507">
        <v>-1.8681920000000001E-2</v>
      </c>
      <c r="O3507">
        <v>1.7562399999999999E-2</v>
      </c>
      <c r="P3507">
        <v>0.99916139999999998</v>
      </c>
      <c r="Q3507">
        <v>-4.0257279999999999E-2</v>
      </c>
      <c r="R3507">
        <v>7.5162900000000001E-3</v>
      </c>
      <c r="S3507">
        <v>2.9970699999999999</v>
      </c>
      <c r="T3507">
        <v>-0.13403860000000001</v>
      </c>
      <c r="U3507">
        <v>1.2786870000000001E-2</v>
      </c>
      <c r="V3507">
        <v>1.0035270000000001E-2</v>
      </c>
      <c r="W3507">
        <v>-2.158448E-2</v>
      </c>
      <c r="X3507">
        <v>0.99971659999999996</v>
      </c>
      <c r="Y3507">
        <v>1.327478E-2</v>
      </c>
      <c r="Z3507">
        <v>-8.7776039999999905E-4</v>
      </c>
      <c r="AA3507">
        <v>0.99991149999999995</v>
      </c>
      <c r="AB3507">
        <v>44</v>
      </c>
      <c r="AC3507">
        <v>24.3677999999999</v>
      </c>
      <c r="AD3507">
        <v>-1.1096585727699999</v>
      </c>
      <c r="AE3507">
        <v>9.8099999999988002E-2</v>
      </c>
      <c r="AF3507">
        <v>0.32926406875214498</v>
      </c>
      <c r="AG3507">
        <v>-1.1096585727699999</v>
      </c>
      <c r="AH3507">
        <v>24.3153416670126</v>
      </c>
      <c r="AI3507">
        <v>92.612706617911897</v>
      </c>
      <c r="AJ3507">
        <v>89.224181640041394</v>
      </c>
      <c r="AK3507">
        <v>24.342875700267001</v>
      </c>
      <c r="AL3507">
        <v>91.236795730977406</v>
      </c>
      <c r="AM3507">
        <v>89.424877704233197</v>
      </c>
      <c r="AN3507">
        <v>0.999999938368199</v>
      </c>
    </row>
    <row r="3508" spans="1:40" x14ac:dyDescent="0.25">
      <c r="A3508" t="str">
        <f>"20190305135303735"</f>
        <v>20190305135303735</v>
      </c>
      <c r="B3508" t="str">
        <f>"1551765183723486"</f>
        <v>1551765183723486</v>
      </c>
      <c r="C3508" t="s">
        <v>40</v>
      </c>
      <c r="D3508">
        <v>4.7438349999999998</v>
      </c>
      <c r="E3508">
        <v>0.50146650000000004</v>
      </c>
      <c r="F3508" t="s">
        <v>55</v>
      </c>
      <c r="G3508">
        <v>-198.57560000000001</v>
      </c>
      <c r="H3508" s="1">
        <v>2.3900719999999999E-6</v>
      </c>
      <c r="I3508">
        <v>215.22659999999999</v>
      </c>
      <c r="J3508">
        <v>-222.29259999999999</v>
      </c>
      <c r="K3508">
        <v>1.10965</v>
      </c>
      <c r="L3508">
        <v>215.1557</v>
      </c>
      <c r="M3508">
        <v>0.99966549999999998</v>
      </c>
      <c r="N3508">
        <v>-1.908986E-2</v>
      </c>
      <c r="O3508">
        <v>1.7448599999999901E-2</v>
      </c>
      <c r="P3508">
        <v>0.9991544</v>
      </c>
      <c r="Q3508">
        <v>-4.0860519999999997E-2</v>
      </c>
      <c r="R3508">
        <v>4.5590270000000002E-3</v>
      </c>
      <c r="S3508">
        <v>2.996902</v>
      </c>
      <c r="T3508">
        <v>-0.1377109</v>
      </c>
      <c r="U3508">
        <v>9.7351069999999998E-3</v>
      </c>
      <c r="V3508">
        <v>1.287603E-2</v>
      </c>
      <c r="W3508">
        <v>-2.1782329999999999E-2</v>
      </c>
      <c r="X3508">
        <v>0.99967980000000001</v>
      </c>
      <c r="Y3508">
        <v>1.4176340000000001E-2</v>
      </c>
      <c r="Z3508">
        <v>-9.2925009999999999E-4</v>
      </c>
      <c r="AA3508">
        <v>0.99989910000000004</v>
      </c>
      <c r="AB3508">
        <v>44</v>
      </c>
      <c r="AC3508">
        <v>23.716999999999899</v>
      </c>
      <c r="AD3508">
        <v>-1.1096476099279999</v>
      </c>
      <c r="AE3508">
        <v>7.0899999999994606E-2</v>
      </c>
      <c r="AF3508">
        <v>0.34226545030966599</v>
      </c>
      <c r="AG3508">
        <v>-1.1096476099279999</v>
      </c>
      <c r="AH3508">
        <v>23.662827326459801</v>
      </c>
      <c r="AI3508">
        <v>92.684588201577299</v>
      </c>
      <c r="AJ3508">
        <v>89.171316340069296</v>
      </c>
      <c r="AK3508">
        <v>23.691303479094302</v>
      </c>
      <c r="AL3508">
        <v>91.248134312701694</v>
      </c>
      <c r="AM3508">
        <v>89.262062329155697</v>
      </c>
      <c r="AN3508">
        <v>0.99999998228841402</v>
      </c>
    </row>
    <row r="3509" spans="1:40" x14ac:dyDescent="0.25">
      <c r="A3509" t="str">
        <f>"20190305135303756"</f>
        <v>20190305135303756</v>
      </c>
      <c r="B3509" t="str">
        <f>"1551765183753742"</f>
        <v>1551765183753742</v>
      </c>
      <c r="C3509" t="s">
        <v>40</v>
      </c>
      <c r="D3509">
        <v>4.5466819999999997</v>
      </c>
      <c r="E3509">
        <v>0.50130959999999902</v>
      </c>
      <c r="F3509" t="s">
        <v>55</v>
      </c>
      <c r="G3509">
        <v>-198.5307</v>
      </c>
      <c r="H3509" s="1">
        <v>2.4030909999999999E-6</v>
      </c>
      <c r="I3509">
        <v>215.16890000000001</v>
      </c>
      <c r="J3509">
        <v>-221.85980000000001</v>
      </c>
      <c r="K3509">
        <v>1.1096379999999999</v>
      </c>
      <c r="L3509">
        <v>215.16309999999999</v>
      </c>
      <c r="M3509">
        <v>0.99966069999999996</v>
      </c>
      <c r="N3509">
        <v>-1.9496340000000001E-2</v>
      </c>
      <c r="O3509">
        <v>1.7277649999999999E-2</v>
      </c>
      <c r="P3509">
        <v>0.99914440000000004</v>
      </c>
      <c r="Q3509">
        <v>-4.1328910000000003E-2</v>
      </c>
      <c r="R3509">
        <v>1.6356109999999999E-3</v>
      </c>
      <c r="S3509">
        <v>2.9967959999999998</v>
      </c>
      <c r="T3509">
        <v>-0.13994609999999999</v>
      </c>
      <c r="U3509">
        <v>1.66320799999999E-3</v>
      </c>
      <c r="V3509">
        <v>1.562492E-2</v>
      </c>
      <c r="W3509">
        <v>-2.1847849999999999E-2</v>
      </c>
      <c r="X3509">
        <v>0.99963919999999995</v>
      </c>
      <c r="Y3509">
        <v>1.6693840000000001E-2</v>
      </c>
      <c r="Z3509">
        <v>-1.0220349999999999E-3</v>
      </c>
      <c r="AA3509">
        <v>0.99986010000000003</v>
      </c>
      <c r="AB3509">
        <v>44</v>
      </c>
      <c r="AC3509">
        <v>23.3291</v>
      </c>
      <c r="AD3509">
        <v>-1.1096355969089999</v>
      </c>
      <c r="AE3509">
        <v>5.8000000000220098E-3</v>
      </c>
      <c r="AF3509">
        <v>0.39645256498459602</v>
      </c>
      <c r="AG3509">
        <v>-1.1096355969089999</v>
      </c>
      <c r="AH3509">
        <v>23.273064157746099</v>
      </c>
      <c r="AI3509">
        <v>92.729340814953503</v>
      </c>
      <c r="AJ3509">
        <v>89.024070840537803</v>
      </c>
      <c r="AK3509">
        <v>23.302874953206398</v>
      </c>
      <c r="AL3509">
        <v>91.251889205621794</v>
      </c>
      <c r="AM3509">
        <v>89.104507831342701</v>
      </c>
      <c r="AN3509">
        <v>0.99999999842563403</v>
      </c>
    </row>
    <row r="3510" spans="1:40" x14ac:dyDescent="0.25">
      <c r="A3510" t="str">
        <f>"20190305135303780"</f>
        <v>20190305135303780</v>
      </c>
      <c r="B3510" t="str">
        <f>"1551765183773262"</f>
        <v>1551765183773262</v>
      </c>
      <c r="C3510" t="s">
        <v>40</v>
      </c>
      <c r="D3510">
        <v>4.6847750000000001</v>
      </c>
      <c r="E3510">
        <v>0.50127299999999997</v>
      </c>
      <c r="F3510" t="s">
        <v>55</v>
      </c>
      <c r="G3510">
        <v>-198.97059999999999</v>
      </c>
      <c r="H3510" s="1">
        <v>2.3295310000000001E-6</v>
      </c>
      <c r="I3510">
        <v>215.11779999999999</v>
      </c>
      <c r="J3510">
        <v>-221.3998</v>
      </c>
      <c r="K3510">
        <v>1.109607</v>
      </c>
      <c r="L3510">
        <v>215.17080000000001</v>
      </c>
      <c r="M3510">
        <v>0.99965649999999995</v>
      </c>
      <c r="N3510">
        <v>-1.9935640000000001E-2</v>
      </c>
      <c r="O3510">
        <v>1.7015349999999999E-2</v>
      </c>
      <c r="P3510">
        <v>0.99912279999999998</v>
      </c>
      <c r="Q3510">
        <v>-4.1853019999999998E-2</v>
      </c>
      <c r="R3510">
        <v>-1.5009649999999999E-3</v>
      </c>
      <c r="S3510">
        <v>2.9965670000000002</v>
      </c>
      <c r="T3510">
        <v>-0.14526889999999901</v>
      </c>
      <c r="U3510">
        <v>-5.9356690000000002E-3</v>
      </c>
      <c r="V3510">
        <v>1.8494819999999999E-2</v>
      </c>
      <c r="W3510">
        <v>-2.1938079999999999E-2</v>
      </c>
      <c r="X3510">
        <v>0.99958829999999999</v>
      </c>
      <c r="Y3510">
        <v>1.8960870000000001E-2</v>
      </c>
      <c r="Z3510">
        <v>-1.133729E-3</v>
      </c>
      <c r="AA3510">
        <v>0.99981960000000003</v>
      </c>
      <c r="AB3510">
        <v>44</v>
      </c>
      <c r="AC3510">
        <v>22.429200000000002</v>
      </c>
      <c r="AD3510">
        <v>-1.1096046704689999</v>
      </c>
      <c r="AE3510">
        <v>-5.3000000000025603E-2</v>
      </c>
      <c r="AF3510">
        <v>0.43364754630429397</v>
      </c>
      <c r="AG3510">
        <v>-1.1096046704689999</v>
      </c>
      <c r="AH3510">
        <v>22.370300331072102</v>
      </c>
      <c r="AI3510">
        <v>92.839107610812405</v>
      </c>
      <c r="AJ3510">
        <v>88.889462263509301</v>
      </c>
      <c r="AK3510">
        <v>22.402000125468899</v>
      </c>
      <c r="AL3510">
        <v>91.257060173829899</v>
      </c>
      <c r="AM3510">
        <v>88.940009371300903</v>
      </c>
      <c r="AN3510">
        <v>1.0000000536089</v>
      </c>
    </row>
    <row r="3511" spans="1:40" x14ac:dyDescent="0.25">
      <c r="A3511" t="str">
        <f>"20190305135303801"</f>
        <v>20190305135303801</v>
      </c>
      <c r="B3511" t="str">
        <f>"1551765183792781"</f>
        <v>1551765183792781</v>
      </c>
      <c r="C3511" t="s">
        <v>40</v>
      </c>
      <c r="D3511">
        <v>4.675141</v>
      </c>
      <c r="E3511">
        <v>0.50113399999999997</v>
      </c>
      <c r="F3511" t="s">
        <v>55</v>
      </c>
      <c r="G3511">
        <v>-198.53</v>
      </c>
      <c r="H3511" s="1">
        <v>2.413138E-6</v>
      </c>
      <c r="I3511">
        <v>215.05529999999999</v>
      </c>
      <c r="J3511">
        <v>-220.97739999999999</v>
      </c>
      <c r="K3511">
        <v>1.1095539999999999</v>
      </c>
      <c r="L3511">
        <v>215.17769999999999</v>
      </c>
      <c r="M3511">
        <v>0.9996543</v>
      </c>
      <c r="N3511">
        <v>-2.0329759999999999E-2</v>
      </c>
      <c r="O3511">
        <v>1.667571E-2</v>
      </c>
      <c r="P3511">
        <v>0.99905529999999998</v>
      </c>
      <c r="Q3511">
        <v>-4.3251209999999998E-2</v>
      </c>
      <c r="R3511">
        <v>-4.2584620000000002E-3</v>
      </c>
      <c r="S3511">
        <v>2.9965359999999999</v>
      </c>
      <c r="T3511">
        <v>-0.145387299999999</v>
      </c>
      <c r="U3511">
        <v>-1.5136719999999999E-2</v>
      </c>
      <c r="V3511">
        <v>2.0906399999999999E-2</v>
      </c>
      <c r="W3511">
        <v>-2.2949440000000002E-2</v>
      </c>
      <c r="X3511">
        <v>0.99951800000000002</v>
      </c>
      <c r="Y3511">
        <v>2.1686759999999999E-2</v>
      </c>
      <c r="Z3511">
        <v>-1.2160840000000001E-3</v>
      </c>
      <c r="AA3511">
        <v>0.99976410000000004</v>
      </c>
      <c r="AB3511">
        <v>44</v>
      </c>
      <c r="AC3511">
        <v>22.447399999999899</v>
      </c>
      <c r="AD3511">
        <v>-1.1095515868619901</v>
      </c>
      <c r="AE3511">
        <v>-0.122399999999998</v>
      </c>
      <c r="AF3511">
        <v>0.49557590012174202</v>
      </c>
      <c r="AG3511">
        <v>-1.1095515868619901</v>
      </c>
      <c r="AH3511">
        <v>22.387539784728801</v>
      </c>
      <c r="AI3511">
        <v>92.836627748227102</v>
      </c>
      <c r="AJ3511">
        <v>88.731894113196901</v>
      </c>
      <c r="AK3511">
        <v>22.4204959313907</v>
      </c>
      <c r="AL3511">
        <v>91.315021512062799</v>
      </c>
      <c r="AM3511">
        <v>88.801748598092601</v>
      </c>
      <c r="AN3511">
        <v>0.99999999334063605</v>
      </c>
    </row>
    <row r="3512" spans="1:40" x14ac:dyDescent="0.25">
      <c r="A3512" t="str">
        <f>"20190305135303823"</f>
        <v>20190305135303823</v>
      </c>
      <c r="B3512" t="str">
        <f>"1551765183813278"</f>
        <v>1551765183813278</v>
      </c>
      <c r="C3512" t="s">
        <v>40</v>
      </c>
      <c r="D3512">
        <v>4.6681689999999998</v>
      </c>
      <c r="E3512">
        <v>0.50101149999999905</v>
      </c>
      <c r="F3512" t="s">
        <v>55</v>
      </c>
      <c r="G3512">
        <v>-198.46860000000001</v>
      </c>
      <c r="H3512" s="1">
        <v>2.4278540000000001E-6</v>
      </c>
      <c r="I3512">
        <v>215.01150000000001</v>
      </c>
      <c r="J3512">
        <v>-220.55930000000001</v>
      </c>
      <c r="K3512">
        <v>1.109472</v>
      </c>
      <c r="L3512">
        <v>215.18430000000001</v>
      </c>
      <c r="M3512">
        <v>0.99965440000000005</v>
      </c>
      <c r="N3512">
        <v>-2.069406E-2</v>
      </c>
      <c r="O3512">
        <v>1.62185E-2</v>
      </c>
      <c r="P3512">
        <v>0.99898969999999998</v>
      </c>
      <c r="Q3512">
        <v>-4.4396270000000002E-2</v>
      </c>
      <c r="R3512">
        <v>-6.9836809999999899E-3</v>
      </c>
      <c r="S3512">
        <v>2.9963679999999999</v>
      </c>
      <c r="T3512">
        <v>-0.14770329999999901</v>
      </c>
      <c r="U3512">
        <v>-2.2125240000000001E-2</v>
      </c>
      <c r="V3512">
        <v>2.3167009999999998E-2</v>
      </c>
      <c r="W3512">
        <v>-2.3739489999999999E-2</v>
      </c>
      <c r="X3512">
        <v>0.9994497</v>
      </c>
      <c r="Y3512">
        <v>2.3557129999999999E-2</v>
      </c>
      <c r="Z3512">
        <v>-1.2876599999999999E-3</v>
      </c>
      <c r="AA3512">
        <v>0.99972159999999999</v>
      </c>
      <c r="AB3512">
        <v>44</v>
      </c>
      <c r="AC3512">
        <v>22.090699999999998</v>
      </c>
      <c r="AD3512">
        <v>-1.1094695721459999</v>
      </c>
      <c r="AE3512">
        <v>-0.17279999999999501</v>
      </c>
      <c r="AF3512">
        <v>0.52979571510137502</v>
      </c>
      <c r="AG3512">
        <v>-1.1094695721459999</v>
      </c>
      <c r="AH3512">
        <v>22.029426687181601</v>
      </c>
      <c r="AI3512">
        <v>92.882323380461003</v>
      </c>
      <c r="AJ3512">
        <v>88.6223332670031</v>
      </c>
      <c r="AK3512">
        <v>22.0637088087467</v>
      </c>
      <c r="AL3512">
        <v>91.360300390388304</v>
      </c>
      <c r="AM3512">
        <v>88.672135035351104</v>
      </c>
      <c r="AN3512">
        <v>0.99999998828394498</v>
      </c>
    </row>
    <row r="3513" spans="1:40" x14ac:dyDescent="0.25">
      <c r="A3513" t="str">
        <f>"20190305135303846"</f>
        <v>20190305135303846</v>
      </c>
      <c r="B3513" t="str">
        <f>"1551765183843534"</f>
        <v>1551765183843534</v>
      </c>
      <c r="C3513" t="s">
        <v>40</v>
      </c>
      <c r="D3513">
        <v>4.6405409999999998</v>
      </c>
      <c r="E3513">
        <v>0.50081949999999997</v>
      </c>
      <c r="F3513" t="s">
        <v>55</v>
      </c>
      <c r="G3513">
        <v>-198.53800000000001</v>
      </c>
      <c r="H3513" s="1">
        <v>2.4193139999999998E-6</v>
      </c>
      <c r="I3513">
        <v>214.96850000000001</v>
      </c>
      <c r="J3513">
        <v>-220.1335</v>
      </c>
      <c r="K3513">
        <v>1.1093710000000001</v>
      </c>
      <c r="L3513">
        <v>215.19069999999999</v>
      </c>
      <c r="M3513">
        <v>0.99965689999999996</v>
      </c>
      <c r="N3513">
        <v>-2.10406E-2</v>
      </c>
      <c r="O3513">
        <v>1.560433E-2</v>
      </c>
      <c r="P3513">
        <v>0.99893699999999996</v>
      </c>
      <c r="Q3513">
        <v>-4.4910890000000002E-2</v>
      </c>
      <c r="R3513">
        <v>-1.038787E-2</v>
      </c>
      <c r="S3513">
        <v>2.9960939999999998</v>
      </c>
      <c r="T3513">
        <v>-0.150948</v>
      </c>
      <c r="U3513">
        <v>-2.9357910000000001E-2</v>
      </c>
      <c r="V3513">
        <v>2.5948530000000001E-2</v>
      </c>
      <c r="W3513">
        <v>-2.392039E-2</v>
      </c>
      <c r="X3513">
        <v>0.99937710000000002</v>
      </c>
      <c r="Y3513">
        <v>2.5351789999999999E-2</v>
      </c>
      <c r="Z3513">
        <v>-1.3626059999999999E-3</v>
      </c>
      <c r="AA3513">
        <v>0.9996777</v>
      </c>
      <c r="AB3513">
        <v>43</v>
      </c>
      <c r="AC3513">
        <v>21.595500000000001</v>
      </c>
      <c r="AD3513">
        <v>-1.1093685806860001</v>
      </c>
      <c r="AE3513">
        <v>-0.22219999999998599</v>
      </c>
      <c r="AF3513">
        <v>0.55775911719132898</v>
      </c>
      <c r="AG3513">
        <v>-1.1093685806860001</v>
      </c>
      <c r="AH3513">
        <v>21.532584807477502</v>
      </c>
      <c r="AI3513">
        <v>92.948309818569598</v>
      </c>
      <c r="AJ3513">
        <v>88.516197700118795</v>
      </c>
      <c r="AK3513">
        <v>21.568356506044601</v>
      </c>
      <c r="AL3513">
        <v>91.370668057093894</v>
      </c>
      <c r="AM3513">
        <v>88.512666254542196</v>
      </c>
      <c r="AN3513">
        <v>1.00000004963566</v>
      </c>
    </row>
    <row r="3514" spans="1:40" x14ac:dyDescent="0.25">
      <c r="A3514" t="str">
        <f>"20190305135303868"</f>
        <v>20190305135303868</v>
      </c>
      <c r="B3514" t="str">
        <f>"1551765183863057"</f>
        <v>1551765183863057</v>
      </c>
      <c r="C3514" t="s">
        <v>40</v>
      </c>
      <c r="D3514">
        <v>4.6383760000000001</v>
      </c>
      <c r="E3514">
        <v>0.5007277</v>
      </c>
      <c r="F3514" t="s">
        <v>55</v>
      </c>
      <c r="G3514">
        <v>-198.114</v>
      </c>
      <c r="H3514" s="1">
        <v>2.49947E-6</v>
      </c>
      <c r="I3514">
        <v>214.91200000000001</v>
      </c>
      <c r="J3514">
        <v>-219.6893</v>
      </c>
      <c r="K3514">
        <v>1.1092500000000001</v>
      </c>
      <c r="L3514">
        <v>215.1968</v>
      </c>
      <c r="M3514">
        <v>0.9996623</v>
      </c>
      <c r="N3514">
        <v>-2.139083E-2</v>
      </c>
      <c r="O3514">
        <v>1.476015E-2</v>
      </c>
      <c r="P3514">
        <v>0.99888589999999999</v>
      </c>
      <c r="Q3514">
        <v>-4.5043590000000001E-2</v>
      </c>
      <c r="R3514">
        <v>-1.408946E-2</v>
      </c>
      <c r="S3514">
        <v>2.9960170000000002</v>
      </c>
      <c r="T3514">
        <v>-0.150942299999999</v>
      </c>
      <c r="U3514">
        <v>-3.7918090000000002E-2</v>
      </c>
      <c r="V3514">
        <v>2.8796309999999999E-2</v>
      </c>
      <c r="W3514">
        <v>-2.371997E-2</v>
      </c>
      <c r="X3514">
        <v>0.99930379999999996</v>
      </c>
      <c r="Y3514">
        <v>2.7360470000000001E-2</v>
      </c>
      <c r="Z3514">
        <v>-1.409186E-3</v>
      </c>
      <c r="AA3514">
        <v>0.99962459999999997</v>
      </c>
      <c r="AB3514">
        <v>43</v>
      </c>
      <c r="AC3514">
        <v>21.575299999999999</v>
      </c>
      <c r="AD3514">
        <v>-1.10924750053</v>
      </c>
      <c r="AE3514">
        <v>-0.28479999999998901</v>
      </c>
      <c r="AF3514">
        <v>0.60170628292281902</v>
      </c>
      <c r="AG3514">
        <v>-1.10924750053</v>
      </c>
      <c r="AH3514">
        <v>21.5118918692982</v>
      </c>
      <c r="AI3514">
        <v>92.950655397437998</v>
      </c>
      <c r="AJ3514">
        <v>88.397805076534794</v>
      </c>
      <c r="AK3514">
        <v>21.5488740370517</v>
      </c>
      <c r="AL3514">
        <v>91.359181680379294</v>
      </c>
      <c r="AM3514">
        <v>88.349400281603394</v>
      </c>
      <c r="AN3514">
        <v>0.999999974570428</v>
      </c>
    </row>
    <row r="3515" spans="1:40" x14ac:dyDescent="0.25">
      <c r="A3515" t="str">
        <f>"20190305135303890"</f>
        <v>20190305135303890</v>
      </c>
      <c r="B3515" t="str">
        <f>"1551765183883550"</f>
        <v>1551765183883550</v>
      </c>
      <c r="C3515" t="s">
        <v>40</v>
      </c>
      <c r="D3515">
        <v>4.6224540000000003</v>
      </c>
      <c r="E3515">
        <v>0.50063530000000001</v>
      </c>
      <c r="F3515" t="s">
        <v>55</v>
      </c>
      <c r="G3515">
        <v>-197.5779</v>
      </c>
      <c r="H3515" s="1">
        <v>2.6008589999999999E-6</v>
      </c>
      <c r="I3515">
        <v>214.84</v>
      </c>
      <c r="J3515">
        <v>-219.2672</v>
      </c>
      <c r="K3515">
        <v>1.1091279999999999</v>
      </c>
      <c r="L3515">
        <v>215.2021</v>
      </c>
      <c r="M3515">
        <v>0.99966820000000001</v>
      </c>
      <c r="N3515">
        <v>-2.1749379999999999E-2</v>
      </c>
      <c r="O3515">
        <v>1.380023E-2</v>
      </c>
      <c r="P3515">
        <v>0.99885020000000002</v>
      </c>
      <c r="Q3515">
        <v>-4.4155640000000003E-2</v>
      </c>
      <c r="R3515">
        <v>-1.8676769999999999E-2</v>
      </c>
      <c r="S3515">
        <v>2.995911</v>
      </c>
      <c r="T3515">
        <v>-0.1502936</v>
      </c>
      <c r="U3515">
        <v>-4.8355099999999998E-2</v>
      </c>
      <c r="V3515">
        <v>3.2416979999999998E-2</v>
      </c>
      <c r="W3515">
        <v>-2.249427E-2</v>
      </c>
      <c r="X3515">
        <v>0.99922129999999998</v>
      </c>
      <c r="Y3515">
        <v>2.9878979999999999E-2</v>
      </c>
      <c r="Z3515">
        <v>-1.4659899999999999E-3</v>
      </c>
      <c r="AA3515">
        <v>0.99955240000000001</v>
      </c>
      <c r="AB3515">
        <v>43</v>
      </c>
      <c r="AC3515">
        <v>21.689299999999999</v>
      </c>
      <c r="AD3515">
        <v>-1.1091253991409999</v>
      </c>
      <c r="AE3515">
        <v>-0.36209999999999798</v>
      </c>
      <c r="AF3515">
        <v>0.65972894578669705</v>
      </c>
      <c r="AG3515">
        <v>-1.1091253991409999</v>
      </c>
      <c r="AH3515">
        <v>21.625700096716798</v>
      </c>
      <c r="AI3515">
        <v>92.934614838028807</v>
      </c>
      <c r="AJ3515">
        <v>88.252636243851001</v>
      </c>
      <c r="AK3515">
        <v>21.664171022821701</v>
      </c>
      <c r="AL3515">
        <v>91.288935410232796</v>
      </c>
      <c r="AM3515">
        <v>88.141848129286601</v>
      </c>
      <c r="AN3515">
        <v>1.00000002957442</v>
      </c>
    </row>
    <row r="3516" spans="1:40" x14ac:dyDescent="0.25">
      <c r="A3516" t="str">
        <f>"20190305135303913"</f>
        <v>20190305135303913</v>
      </c>
      <c r="B3516" t="str">
        <f>"1551765183903070"</f>
        <v>1551765183903070</v>
      </c>
      <c r="C3516" t="s">
        <v>40</v>
      </c>
      <c r="D3516">
        <v>4.9760869999999997</v>
      </c>
      <c r="E3516">
        <v>0.50052249999999998</v>
      </c>
      <c r="F3516" t="s">
        <v>55</v>
      </c>
      <c r="G3516">
        <v>-196.6191</v>
      </c>
      <c r="H3516" s="1">
        <v>2.7799170000000001E-6</v>
      </c>
      <c r="I3516">
        <v>214.7371</v>
      </c>
      <c r="J3516">
        <v>-218.84379999999999</v>
      </c>
      <c r="K3516">
        <v>1.109016</v>
      </c>
      <c r="L3516">
        <v>215.20689999999999</v>
      </c>
      <c r="M3516">
        <v>0.99967519999999999</v>
      </c>
      <c r="N3516">
        <v>-2.2123819999999999E-2</v>
      </c>
      <c r="O3516">
        <v>1.2656219999999999E-2</v>
      </c>
      <c r="P3516">
        <v>0.99873190000000001</v>
      </c>
      <c r="Q3516">
        <v>-4.3835239999999998E-2</v>
      </c>
      <c r="R3516">
        <v>-2.4761040000000002E-2</v>
      </c>
      <c r="S3516">
        <v>2.9958040000000001</v>
      </c>
      <c r="T3516">
        <v>-0.14671120000000001</v>
      </c>
      <c r="U3516">
        <v>-6.1508180000000003E-2</v>
      </c>
      <c r="V3516">
        <v>3.734912E-2</v>
      </c>
      <c r="W3516">
        <v>-2.182889E-2</v>
      </c>
      <c r="X3516">
        <v>0.99906379999999995</v>
      </c>
      <c r="Y3516">
        <v>3.3119929999999999E-2</v>
      </c>
      <c r="Z3516">
        <v>-1.516641E-3</v>
      </c>
      <c r="AA3516">
        <v>0.99945019999999996</v>
      </c>
      <c r="AB3516">
        <v>43</v>
      </c>
      <c r="AC3516">
        <v>22.224699999999899</v>
      </c>
      <c r="AD3516">
        <v>-1.1090132200830001</v>
      </c>
      <c r="AE3516">
        <v>-0.469799999999992</v>
      </c>
      <c r="AF3516">
        <v>0.749247087296672</v>
      </c>
      <c r="AG3516">
        <v>-1.1090132200830001</v>
      </c>
      <c r="AH3516">
        <v>22.161813176760599</v>
      </c>
      <c r="AI3516">
        <v>92.863151331590402</v>
      </c>
      <c r="AJ3516">
        <v>88.063680476043501</v>
      </c>
      <c r="AK3516">
        <v>22.202190090209101</v>
      </c>
      <c r="AL3516">
        <v>91.250802658022593</v>
      </c>
      <c r="AM3516">
        <v>87.859044768295306</v>
      </c>
      <c r="AN3516">
        <v>0.99999996683692205</v>
      </c>
    </row>
    <row r="3517" spans="1:40" x14ac:dyDescent="0.25">
      <c r="A3517" t="str">
        <f>"20190305135303936"</f>
        <v>20190305135303936</v>
      </c>
      <c r="B3517" t="str">
        <f>"1551765183933325"</f>
        <v>1551765183933325</v>
      </c>
      <c r="C3517" t="s">
        <v>40</v>
      </c>
      <c r="D3517">
        <v>4.8148679999999997</v>
      </c>
      <c r="E3517">
        <v>0.59195050000000005</v>
      </c>
      <c r="F3517" t="s">
        <v>55</v>
      </c>
      <c r="G3517">
        <v>-195.9136</v>
      </c>
      <c r="H3517" s="1">
        <v>2.916757E-6</v>
      </c>
      <c r="I3517">
        <v>214.6035</v>
      </c>
      <c r="J3517">
        <v>-218.4057</v>
      </c>
      <c r="K3517">
        <v>1.1088800000000001</v>
      </c>
      <c r="L3517">
        <v>215.21100000000001</v>
      </c>
      <c r="M3517">
        <v>0.99968279999999998</v>
      </c>
      <c r="N3517">
        <v>-2.2532460000000001E-2</v>
      </c>
      <c r="O3517">
        <v>1.12528E-2</v>
      </c>
      <c r="P3517">
        <v>0.99848320000000002</v>
      </c>
      <c r="Q3517">
        <v>-4.3981480000000003E-2</v>
      </c>
      <c r="R3517">
        <v>-3.3121650000000002E-2</v>
      </c>
      <c r="S3517">
        <v>2.9954830000000001</v>
      </c>
      <c r="T3517">
        <v>-0.14487549999999999</v>
      </c>
      <c r="U3517">
        <v>-7.8826899999999894E-2</v>
      </c>
      <c r="V3517">
        <v>4.4295099999999997E-2</v>
      </c>
      <c r="W3517">
        <v>-2.161136E-2</v>
      </c>
      <c r="X3517">
        <v>0.99878469999999997</v>
      </c>
      <c r="Y3517">
        <v>3.7488269999999997E-2</v>
      </c>
      <c r="Z3517">
        <v>-1.6190880000000001E-3</v>
      </c>
      <c r="AA3517">
        <v>0.99929579999999996</v>
      </c>
      <c r="AB3517">
        <v>42</v>
      </c>
      <c r="AC3517">
        <v>22.492099999999901</v>
      </c>
      <c r="AD3517">
        <v>-1.1088770832429999</v>
      </c>
      <c r="AE3517">
        <v>-0.60749999999998705</v>
      </c>
      <c r="AF3517">
        <v>0.85853967678903198</v>
      </c>
      <c r="AG3517">
        <v>-1.1088770832429999</v>
      </c>
      <c r="AH3517">
        <v>22.429361158314901</v>
      </c>
      <c r="AI3517">
        <v>92.828253102417193</v>
      </c>
      <c r="AJ3517">
        <v>87.807931461395896</v>
      </c>
      <c r="AK3517">
        <v>22.473160452693001</v>
      </c>
      <c r="AL3517">
        <v>91.238336134708703</v>
      </c>
      <c r="AM3517">
        <v>87.460653578625099</v>
      </c>
      <c r="AN3517">
        <v>0.999999991859574</v>
      </c>
    </row>
    <row r="3518" spans="1:40" x14ac:dyDescent="0.25">
      <c r="A3518" t="str">
        <f>"20190305135303957"</f>
        <v>20190305135303957</v>
      </c>
      <c r="B3518" t="str">
        <f>"1551765183952846"</f>
        <v>1551765183952846</v>
      </c>
      <c r="C3518" t="s">
        <v>40</v>
      </c>
      <c r="D3518">
        <v>4.7780469999999999</v>
      </c>
      <c r="E3518">
        <v>0.59970690000000004</v>
      </c>
      <c r="F3518" t="s">
        <v>55</v>
      </c>
      <c r="G3518">
        <v>-207.864</v>
      </c>
      <c r="H3518" s="1">
        <v>5.9121980000000003E-6</v>
      </c>
      <c r="I3518">
        <v>212.23849999999999</v>
      </c>
      <c r="J3518">
        <v>-218.00909999999999</v>
      </c>
      <c r="K3518">
        <v>1.108738</v>
      </c>
      <c r="L3518">
        <v>215.2141</v>
      </c>
      <c r="M3518">
        <v>0.99968950000000001</v>
      </c>
      <c r="N3518">
        <v>-2.2927179999999998E-2</v>
      </c>
      <c r="O3518">
        <v>9.767764E-3</v>
      </c>
      <c r="P3518">
        <v>0.99808839999999999</v>
      </c>
      <c r="Q3518">
        <v>-4.5037000000000001E-2</v>
      </c>
      <c r="R3518">
        <v>-4.2329909999999998E-2</v>
      </c>
      <c r="S3518">
        <v>2.9631349999999999</v>
      </c>
      <c r="T3518">
        <v>-0.31168770000000001</v>
      </c>
      <c r="U3518">
        <v>-0.83552549999999903</v>
      </c>
      <c r="V3518">
        <v>5.2003599999999997E-2</v>
      </c>
      <c r="W3518">
        <v>-2.2329709999999999E-2</v>
      </c>
      <c r="X3518">
        <v>0.99839719999999998</v>
      </c>
      <c r="Y3518">
        <v>0.2789914</v>
      </c>
      <c r="Z3518">
        <v>-1.84116E-2</v>
      </c>
      <c r="AA3518">
        <v>0.96011709999999995</v>
      </c>
      <c r="AB3518">
        <v>42</v>
      </c>
      <c r="AC3518">
        <v>10.1450999999999</v>
      </c>
      <c r="AD3518">
        <v>-1.1087320878019999</v>
      </c>
      <c r="AE3518">
        <v>-2.9756000000000098</v>
      </c>
      <c r="AF3518">
        <v>3.0411336445582098</v>
      </c>
      <c r="AG3518">
        <v>-1.1087320878019999</v>
      </c>
      <c r="AH3518">
        <v>10.0055061332016</v>
      </c>
      <c r="AI3518">
        <v>96.052060687080697</v>
      </c>
      <c r="AJ3518">
        <v>73.093560055130695</v>
      </c>
      <c r="AK3518">
        <v>10.5160797671053</v>
      </c>
      <c r="AL3518">
        <v>91.279504512023905</v>
      </c>
      <c r="AM3518">
        <v>87.018324396625204</v>
      </c>
      <c r="AN3518">
        <v>0.99999997966474097</v>
      </c>
    </row>
    <row r="3519" spans="1:40" x14ac:dyDescent="0.25">
      <c r="A3519" t="str">
        <f>"20190305135303980"</f>
        <v>20190305135303980</v>
      </c>
      <c r="B3519" t="str">
        <f>"1551765183973342"</f>
        <v>1551765183973342</v>
      </c>
      <c r="C3519" t="s">
        <v>40</v>
      </c>
      <c r="D3519">
        <v>4.6994579999999999</v>
      </c>
      <c r="E3519">
        <v>0.6001919</v>
      </c>
      <c r="F3519" t="s">
        <v>55</v>
      </c>
      <c r="G3519">
        <v>-208.70310000000001</v>
      </c>
      <c r="H3519" s="1">
        <v>6.2791980000000003E-6</v>
      </c>
      <c r="I3519">
        <v>212.29730000000001</v>
      </c>
      <c r="J3519">
        <v>-217.59020000000001</v>
      </c>
      <c r="K3519">
        <v>1.1085560000000001</v>
      </c>
      <c r="L3519">
        <v>215.21639999999999</v>
      </c>
      <c r="M3519">
        <v>0.99969549999999996</v>
      </c>
      <c r="N3519">
        <v>-2.3354360000000001E-2</v>
      </c>
      <c r="O3519">
        <v>7.9577269999999995E-3</v>
      </c>
      <c r="P3519">
        <v>0.99755059999999995</v>
      </c>
      <c r="Q3519">
        <v>-4.7349099999999998E-2</v>
      </c>
      <c r="R3519">
        <v>-5.1488909999999999E-2</v>
      </c>
      <c r="S3519">
        <v>2.9506380000000001</v>
      </c>
      <c r="T3519">
        <v>-0.35154279999999999</v>
      </c>
      <c r="U3519">
        <v>-0.92481990000000003</v>
      </c>
      <c r="V3519">
        <v>5.9331149999999999E-2</v>
      </c>
      <c r="W3519">
        <v>-2.4286100000000001E-2</v>
      </c>
      <c r="X3519">
        <v>0.99794289999999997</v>
      </c>
      <c r="Y3519">
        <v>0.30425869999999999</v>
      </c>
      <c r="Z3519">
        <v>-2.2034809999999998E-2</v>
      </c>
      <c r="AA3519">
        <v>0.95233460000000003</v>
      </c>
      <c r="AB3519">
        <v>42</v>
      </c>
      <c r="AC3519">
        <v>8.8871000000000002</v>
      </c>
      <c r="AD3519">
        <v>-1.1085497208020001</v>
      </c>
      <c r="AE3519">
        <v>-2.9190999999999798</v>
      </c>
      <c r="AF3519">
        <v>2.94834113987406</v>
      </c>
      <c r="AG3519">
        <v>-1.1085497208020001</v>
      </c>
      <c r="AH3519">
        <v>8.7408256838487901</v>
      </c>
      <c r="AI3519">
        <v>96.852496112352696</v>
      </c>
      <c r="AJ3519">
        <v>71.3603923613841</v>
      </c>
      <c r="AK3519">
        <v>9.2910511566773106</v>
      </c>
      <c r="AL3519">
        <v>91.391627832074093</v>
      </c>
      <c r="AM3519">
        <v>86.597573235904704</v>
      </c>
      <c r="AN3519">
        <v>1.00000001583697</v>
      </c>
    </row>
    <row r="3520" spans="1:40" x14ac:dyDescent="0.25">
      <c r="A3520" t="str">
        <f>"20190305135304001"</f>
        <v>20190305135304001</v>
      </c>
      <c r="B3520" t="str">
        <f>"1551765183992862"</f>
        <v>1551765183992862</v>
      </c>
      <c r="C3520" t="s">
        <v>40</v>
      </c>
      <c r="D3520">
        <v>4.7674059999999896</v>
      </c>
      <c r="E3520">
        <v>0.59938910000000001</v>
      </c>
      <c r="F3520" t="s">
        <v>55</v>
      </c>
      <c r="G3520">
        <v>-208.58600000000001</v>
      </c>
      <c r="H3520" s="1">
        <v>6.2278940000000004E-6</v>
      </c>
      <c r="I3520">
        <v>212.28989999999999</v>
      </c>
      <c r="J3520">
        <v>-217.1798</v>
      </c>
      <c r="K3520">
        <v>1.108349</v>
      </c>
      <c r="L3520">
        <v>215.2176</v>
      </c>
      <c r="M3520">
        <v>0.99970009999999998</v>
      </c>
      <c r="N3520">
        <v>-2.3758560000000001E-2</v>
      </c>
      <c r="O3520">
        <v>5.9239119999999999E-3</v>
      </c>
      <c r="P3520">
        <v>0.99695650000000002</v>
      </c>
      <c r="Q3520">
        <v>-4.9222589999999997E-2</v>
      </c>
      <c r="R3520">
        <v>-6.0455740000000001E-2</v>
      </c>
      <c r="S3520">
        <v>2.940842</v>
      </c>
      <c r="T3520">
        <v>-0.36206129999999997</v>
      </c>
      <c r="U3520">
        <v>-0.95582579999999995</v>
      </c>
      <c r="V3520">
        <v>6.6243590000000005E-2</v>
      </c>
      <c r="W3520">
        <v>-2.5837579999999999E-2</v>
      </c>
      <c r="X3520">
        <v>0.99746889999999999</v>
      </c>
      <c r="Y3520">
        <v>0.31212269999999998</v>
      </c>
      <c r="Z3520">
        <v>-2.3054470000000001E-2</v>
      </c>
      <c r="AA3520">
        <v>0.949762</v>
      </c>
      <c r="AB3520">
        <v>42</v>
      </c>
      <c r="AC3520">
        <v>8.5938000000000105</v>
      </c>
      <c r="AD3520">
        <v>-1.108342772106</v>
      </c>
      <c r="AE3520">
        <v>-2.92770000000001</v>
      </c>
      <c r="AF3520">
        <v>2.9348324289115801</v>
      </c>
      <c r="AG3520">
        <v>-1.108342772106</v>
      </c>
      <c r="AH3520">
        <v>8.4503602989542603</v>
      </c>
      <c r="AI3520">
        <v>97.062928827306706</v>
      </c>
      <c r="AJ3520">
        <v>70.847750856350302</v>
      </c>
      <c r="AK3520">
        <v>9.0138922929227991</v>
      </c>
      <c r="AL3520">
        <v>91.480549048790905</v>
      </c>
      <c r="AM3520">
        <v>86.200470163624303</v>
      </c>
      <c r="AN3520">
        <v>1.0000000001117699</v>
      </c>
    </row>
    <row r="3521" spans="1:40" x14ac:dyDescent="0.25">
      <c r="A3521" t="str">
        <f>"20190305135304025"</f>
        <v>20190305135304025</v>
      </c>
      <c r="B3521" t="str">
        <f>"1551765184013358"</f>
        <v>1551765184013358</v>
      </c>
      <c r="C3521" t="s">
        <v>40</v>
      </c>
      <c r="D3521">
        <v>4.7403829999999996</v>
      </c>
      <c r="E3521">
        <v>0.59922559999999903</v>
      </c>
      <c r="F3521" t="s">
        <v>55</v>
      </c>
      <c r="G3521">
        <v>-208.3861</v>
      </c>
      <c r="H3521" s="1">
        <v>6.1392039999999997E-6</v>
      </c>
      <c r="I3521">
        <v>212.29050000000001</v>
      </c>
      <c r="J3521">
        <v>-216.77109999999999</v>
      </c>
      <c r="K3521">
        <v>1.108109</v>
      </c>
      <c r="L3521">
        <v>215.21770000000001</v>
      </c>
      <c r="M3521">
        <v>0.99970230000000004</v>
      </c>
      <c r="N3521">
        <v>-2.4133990000000001E-2</v>
      </c>
      <c r="O3521">
        <v>3.6165920000000001E-3</v>
      </c>
      <c r="P3521">
        <v>0.99634699999999998</v>
      </c>
      <c r="Q3521">
        <v>-4.9287230000000001E-2</v>
      </c>
      <c r="R3521">
        <v>-6.9740730000000001E-2</v>
      </c>
      <c r="S3521">
        <v>2.9317319999999998</v>
      </c>
      <c r="T3521">
        <v>-0.36950840000000001</v>
      </c>
      <c r="U3521">
        <v>-0.97587590000000002</v>
      </c>
      <c r="V3521">
        <v>7.3210090000000005E-2</v>
      </c>
      <c r="W3521">
        <v>-2.5621120000000001E-2</v>
      </c>
      <c r="X3521">
        <v>0.99698739999999997</v>
      </c>
      <c r="Y3521">
        <v>0.31651370000000001</v>
      </c>
      <c r="Z3521">
        <v>-2.3645969999999999E-2</v>
      </c>
      <c r="AA3521">
        <v>0.9482931</v>
      </c>
      <c r="AB3521">
        <v>41</v>
      </c>
      <c r="AC3521">
        <v>8.3849999999999891</v>
      </c>
      <c r="AD3521">
        <v>-1.108102860796</v>
      </c>
      <c r="AE3521">
        <v>-2.9271999999999898</v>
      </c>
      <c r="AF3521">
        <v>2.9121802279415498</v>
      </c>
      <c r="AG3521">
        <v>-1.108102860796</v>
      </c>
      <c r="AH3521">
        <v>8.2459883795214193</v>
      </c>
      <c r="AI3521">
        <v>97.221520827919804</v>
      </c>
      <c r="AJ3521">
        <v>70.548650433624402</v>
      </c>
      <c r="AK3521">
        <v>8.8150445254303893</v>
      </c>
      <c r="AL3521">
        <v>91.468142671749106</v>
      </c>
      <c r="AM3521">
        <v>85.800233677275003</v>
      </c>
      <c r="AN3521">
        <v>1.0000000174133099</v>
      </c>
    </row>
    <row r="3522" spans="1:40" x14ac:dyDescent="0.25">
      <c r="A3522" t="str">
        <f>"20190305135304047"</f>
        <v>20190305135304047</v>
      </c>
      <c r="B3522" t="str">
        <f>"1551765184043614"</f>
        <v>1551765184043614</v>
      </c>
      <c r="C3522" t="s">
        <v>40</v>
      </c>
      <c r="D3522">
        <v>4.7927470000000003</v>
      </c>
      <c r="E3522">
        <v>0.59830079999999997</v>
      </c>
      <c r="F3522" t="s">
        <v>55</v>
      </c>
      <c r="G3522">
        <v>-207.9333</v>
      </c>
      <c r="H3522" s="1">
        <v>5.9473800000000003E-6</v>
      </c>
      <c r="I3522">
        <v>212.18799999999999</v>
      </c>
      <c r="J3522">
        <v>-216.36320000000001</v>
      </c>
      <c r="K3522">
        <v>1.107855</v>
      </c>
      <c r="L3522">
        <v>215.21639999999999</v>
      </c>
      <c r="M3522">
        <v>0.99969989999999997</v>
      </c>
      <c r="N3522">
        <v>-2.44779E-2</v>
      </c>
      <c r="O3522">
        <v>9.8770689999999996E-4</v>
      </c>
      <c r="P3522">
        <v>0.99562479999999998</v>
      </c>
      <c r="Q3522">
        <v>-5.0084469999999999E-2</v>
      </c>
      <c r="R3522">
        <v>-7.8884659999999995E-2</v>
      </c>
      <c r="S3522">
        <v>2.9227449999999999</v>
      </c>
      <c r="T3522">
        <v>-0.36645909999999998</v>
      </c>
      <c r="U3522">
        <v>-1.0019530000000001</v>
      </c>
      <c r="V3522">
        <v>7.9712640000000001E-2</v>
      </c>
      <c r="W3522">
        <v>-2.61791E-2</v>
      </c>
      <c r="X3522">
        <v>0.99647410000000003</v>
      </c>
      <c r="Y3522">
        <v>0.32247019999999998</v>
      </c>
      <c r="Z3522">
        <v>-2.3754259999999999E-2</v>
      </c>
      <c r="AA3522">
        <v>0.94628159999999895</v>
      </c>
      <c r="AB3522">
        <v>41</v>
      </c>
      <c r="AC3522">
        <v>8.4298999999999999</v>
      </c>
      <c r="AD3522">
        <v>-1.10784905262</v>
      </c>
      <c r="AE3522">
        <v>-3.0284</v>
      </c>
      <c r="AF3522">
        <v>2.9909749554740599</v>
      </c>
      <c r="AG3522">
        <v>-1.10784905262</v>
      </c>
      <c r="AH3522">
        <v>8.2999413126329102</v>
      </c>
      <c r="AI3522">
        <v>97.157290142195393</v>
      </c>
      <c r="AJ3522">
        <v>70.182816240745197</v>
      </c>
      <c r="AK3522">
        <v>8.8916976163618298</v>
      </c>
      <c r="AL3522">
        <v>91.500123263454896</v>
      </c>
      <c r="AM3522">
        <v>85.426380858807093</v>
      </c>
      <c r="AN3522">
        <v>1.0000000411116901</v>
      </c>
    </row>
    <row r="3523" spans="1:40" x14ac:dyDescent="0.25">
      <c r="A3523" t="str">
        <f>"20190305135304069"</f>
        <v>20190305135304069</v>
      </c>
      <c r="B3523" t="str">
        <f>"1551765184063134"</f>
        <v>1551765184063134</v>
      </c>
      <c r="C3523" t="s">
        <v>40</v>
      </c>
      <c r="D3523">
        <v>4.7947949999999997</v>
      </c>
      <c r="E3523">
        <v>0.59743500000000005</v>
      </c>
      <c r="F3523" t="s">
        <v>55</v>
      </c>
      <c r="G3523">
        <v>-207.6507</v>
      </c>
      <c r="H3523" s="1">
        <v>5.8242780000000001E-6</v>
      </c>
      <c r="I3523">
        <v>212.1626</v>
      </c>
      <c r="J3523">
        <v>-215.95189999999999</v>
      </c>
      <c r="K3523">
        <v>1.1075839999999999</v>
      </c>
      <c r="L3523">
        <v>215.21360000000001</v>
      </c>
      <c r="M3523">
        <v>0.99969039999999998</v>
      </c>
      <c r="N3523">
        <v>-2.480309E-2</v>
      </c>
      <c r="O3523">
        <v>-2.0120339999999998E-3</v>
      </c>
      <c r="P3523">
        <v>0.99477150000000003</v>
      </c>
      <c r="Q3523">
        <v>-5.2090259999999999E-2</v>
      </c>
      <c r="R3523">
        <v>-8.7843099999999993E-2</v>
      </c>
      <c r="S3523">
        <v>2.9136350000000002</v>
      </c>
      <c r="T3523">
        <v>-0.37048759999999997</v>
      </c>
      <c r="U3523">
        <v>-1.021255</v>
      </c>
      <c r="V3523">
        <v>8.5654620000000001E-2</v>
      </c>
      <c r="W3523">
        <v>-2.797301E-2</v>
      </c>
      <c r="X3523">
        <v>0.99593209999999999</v>
      </c>
      <c r="Y3523">
        <v>0.32604470000000002</v>
      </c>
      <c r="Z3523">
        <v>-2.4034670000000001E-2</v>
      </c>
      <c r="AA3523">
        <v>0.94504869999999996</v>
      </c>
      <c r="AB3523">
        <v>41</v>
      </c>
      <c r="AC3523">
        <v>8.3011999999999908</v>
      </c>
      <c r="AD3523">
        <v>-1.107578175722</v>
      </c>
      <c r="AE3523">
        <v>-3.0510000000000099</v>
      </c>
      <c r="AF3523">
        <v>2.9874333853835999</v>
      </c>
      <c r="AG3523">
        <v>-1.107578175722</v>
      </c>
      <c r="AH3523">
        <v>8.1790488066895808</v>
      </c>
      <c r="AI3523">
        <v>97.248942314037095</v>
      </c>
      <c r="AJ3523">
        <v>69.935057567938202</v>
      </c>
      <c r="AK3523">
        <v>8.7777176435364197</v>
      </c>
      <c r="AL3523">
        <v>91.6029445467221</v>
      </c>
      <c r="AM3523">
        <v>85.084402448028598</v>
      </c>
      <c r="AN3523">
        <v>0.99999997551310604</v>
      </c>
    </row>
    <row r="3524" spans="1:40" x14ac:dyDescent="0.25">
      <c r="A3524" t="str">
        <f>"20190305135304092"</f>
        <v>20190305135304092</v>
      </c>
      <c r="B3524" t="str">
        <f>"1551765184083630"</f>
        <v>1551765184083630</v>
      </c>
      <c r="C3524" t="s">
        <v>40</v>
      </c>
      <c r="D3524">
        <v>4.7777560000000001</v>
      </c>
      <c r="E3524">
        <v>0.59668330000000003</v>
      </c>
      <c r="F3524" t="s">
        <v>55</v>
      </c>
      <c r="G3524">
        <v>-207.31370000000001</v>
      </c>
      <c r="H3524" s="1">
        <v>5.6787369999999999E-6</v>
      </c>
      <c r="I3524">
        <v>212.11770000000001</v>
      </c>
      <c r="J3524">
        <v>-215.54409999999999</v>
      </c>
      <c r="K3524">
        <v>1.107326</v>
      </c>
      <c r="L3524">
        <v>215.20930000000001</v>
      </c>
      <c r="M3524">
        <v>0.99967099999999998</v>
      </c>
      <c r="N3524">
        <v>-2.51031E-2</v>
      </c>
      <c r="O3524">
        <v>-5.2875830000000002E-3</v>
      </c>
      <c r="P3524">
        <v>0.99384910000000004</v>
      </c>
      <c r="Q3524">
        <v>-5.4565860000000001E-2</v>
      </c>
      <c r="R3524">
        <v>-9.6367930000000004E-2</v>
      </c>
      <c r="S3524">
        <v>2.9043429999999999</v>
      </c>
      <c r="T3524">
        <v>-0.37238860000000001</v>
      </c>
      <c r="U3524">
        <v>-1.0409090000000001</v>
      </c>
      <c r="V3524">
        <v>9.0887990000000002E-2</v>
      </c>
      <c r="W3524">
        <v>-3.0262359999999999E-2</v>
      </c>
      <c r="X3524">
        <v>0.99540119999999999</v>
      </c>
      <c r="Y3524">
        <v>0.32951439999999999</v>
      </c>
      <c r="Z3524">
        <v>-2.4163799999999999E-2</v>
      </c>
      <c r="AA3524">
        <v>0.94384129999999999</v>
      </c>
      <c r="AB3524">
        <v>41</v>
      </c>
      <c r="AC3524">
        <v>8.2303999999999693</v>
      </c>
      <c r="AD3524">
        <v>-1.1073203212630001</v>
      </c>
      <c r="AE3524">
        <v>-3.0916000000000001</v>
      </c>
      <c r="AF3524">
        <v>3.0004287642947798</v>
      </c>
      <c r="AG3524">
        <v>-1.1073203212630001</v>
      </c>
      <c r="AH3524">
        <v>8.1178646404873405</v>
      </c>
      <c r="AI3524">
        <v>97.291135297793105</v>
      </c>
      <c r="AJ3524">
        <v>69.715277715675597</v>
      </c>
      <c r="AK3524">
        <v>8.72516231280337</v>
      </c>
      <c r="AL3524">
        <v>91.734170282063502</v>
      </c>
      <c r="AM3524">
        <v>84.782909310662504</v>
      </c>
      <c r="AN3524">
        <v>0.99999999306022402</v>
      </c>
    </row>
    <row r="3525" spans="1:40" x14ac:dyDescent="0.25">
      <c r="A3525" t="str">
        <f>"20190305135304112"</f>
        <v>20190305135304112</v>
      </c>
      <c r="B3525" t="str">
        <f>"1551765184103151"</f>
        <v>1551765184103151</v>
      </c>
      <c r="C3525" t="s">
        <v>40</v>
      </c>
      <c r="D3525">
        <v>4.8250149999999996</v>
      </c>
      <c r="E3525">
        <v>0.5959873</v>
      </c>
      <c r="F3525" t="s">
        <v>55</v>
      </c>
      <c r="G3525">
        <v>-207.02670000000001</v>
      </c>
      <c r="H3525" s="1">
        <v>5.5538460000000001E-6</v>
      </c>
      <c r="I3525">
        <v>212.09059999999999</v>
      </c>
      <c r="J3525">
        <v>-215.1645</v>
      </c>
      <c r="K3525">
        <v>1.1070869999999999</v>
      </c>
      <c r="L3525">
        <v>215.2038</v>
      </c>
      <c r="M3525">
        <v>0.99964120000000001</v>
      </c>
      <c r="N3525">
        <v>-2.5365479999999999E-2</v>
      </c>
      <c r="O3525">
        <v>-8.6140030000000003E-3</v>
      </c>
      <c r="P3525">
        <v>0.99288920000000003</v>
      </c>
      <c r="Q3525">
        <v>-5.6256790000000001E-2</v>
      </c>
      <c r="R3525">
        <v>-0.10491250000000001</v>
      </c>
      <c r="S3525">
        <v>2.895111</v>
      </c>
      <c r="T3525">
        <v>-0.376386</v>
      </c>
      <c r="U3525">
        <v>-1.060074</v>
      </c>
      <c r="V3525">
        <v>9.6100110000000002E-2</v>
      </c>
      <c r="W3525">
        <v>-3.1806309999999997E-2</v>
      </c>
      <c r="X3525">
        <v>0.99486339999999995</v>
      </c>
      <c r="Y3525">
        <v>0.33276660000000002</v>
      </c>
      <c r="Z3525">
        <v>-2.437489E-2</v>
      </c>
      <c r="AA3525">
        <v>0.94269409999999998</v>
      </c>
      <c r="AB3525">
        <v>40</v>
      </c>
      <c r="AC3525">
        <v>8.1377999999999897</v>
      </c>
      <c r="AD3525">
        <v>-1.1070814461539999</v>
      </c>
      <c r="AE3525">
        <v>-3.1132</v>
      </c>
      <c r="AF3525">
        <v>2.9946159913326298</v>
      </c>
      <c r="AG3525">
        <v>-1.1070814461539999</v>
      </c>
      <c r="AH3525">
        <v>8.0346081917453702</v>
      </c>
      <c r="AI3525">
        <v>97.356913188470202</v>
      </c>
      <c r="AJ3525">
        <v>69.558839635834502</v>
      </c>
      <c r="AK3525">
        <v>8.6457089390532502</v>
      </c>
      <c r="AL3525">
        <v>91.822674676431902</v>
      </c>
      <c r="AM3525">
        <v>84.482558767133895</v>
      </c>
      <c r="AN3525">
        <v>1.0000000285786901</v>
      </c>
    </row>
    <row r="3526" spans="1:40" x14ac:dyDescent="0.25">
      <c r="A3526" t="str">
        <f>"20190305135304141"</f>
        <v>20190305135304141</v>
      </c>
      <c r="B3526" t="str">
        <f>"1551765184133406"</f>
        <v>1551765184133406</v>
      </c>
      <c r="C3526" t="s">
        <v>40</v>
      </c>
      <c r="D3526">
        <v>4.8555529999999996</v>
      </c>
      <c r="E3526">
        <v>0.59488289999999999</v>
      </c>
      <c r="F3526" t="s">
        <v>55</v>
      </c>
      <c r="G3526">
        <v>-206.76589999999999</v>
      </c>
      <c r="H3526" s="1">
        <v>5.4405839999999996E-6</v>
      </c>
      <c r="I3526">
        <v>212.06319999999999</v>
      </c>
      <c r="J3526">
        <v>-214.68039999999999</v>
      </c>
      <c r="K3526">
        <v>1.1067929999999999</v>
      </c>
      <c r="L3526">
        <v>215.19460000000001</v>
      </c>
      <c r="M3526">
        <v>0.99958130000000001</v>
      </c>
      <c r="N3526">
        <v>-2.5716639999999999E-2</v>
      </c>
      <c r="O3526">
        <v>-1.327122E-2</v>
      </c>
      <c r="P3526">
        <v>0.99178290000000002</v>
      </c>
      <c r="Q3526">
        <v>-5.5490749999999998E-2</v>
      </c>
      <c r="R3526">
        <v>-0.1152714</v>
      </c>
      <c r="S3526">
        <v>2.88591</v>
      </c>
      <c r="T3526">
        <v>-0.38041510000000001</v>
      </c>
      <c r="U3526">
        <v>-1.0791630000000001</v>
      </c>
      <c r="V3526">
        <v>0.1018249</v>
      </c>
      <c r="W3526">
        <v>-3.083543E-2</v>
      </c>
      <c r="X3526">
        <v>0.99432430000000005</v>
      </c>
      <c r="Y3526">
        <v>0.33476020000000001</v>
      </c>
      <c r="Z3526">
        <v>-2.4369470000000001E-2</v>
      </c>
      <c r="AA3526">
        <v>0.94198820000000005</v>
      </c>
      <c r="AB3526">
        <v>40</v>
      </c>
      <c r="AC3526">
        <v>7.9145000000000003</v>
      </c>
      <c r="AD3526">
        <v>-1.1067875594159999</v>
      </c>
      <c r="AE3526">
        <v>-3.13140000000001</v>
      </c>
      <c r="AF3526">
        <v>2.9757372270101601</v>
      </c>
      <c r="AG3526">
        <v>-1.1067875594159999</v>
      </c>
      <c r="AH3526">
        <v>7.8230923964424397</v>
      </c>
      <c r="AI3526">
        <v>97.532732553457805</v>
      </c>
      <c r="AJ3526">
        <v>69.174254422214204</v>
      </c>
      <c r="AK3526">
        <v>8.4427936957601695</v>
      </c>
      <c r="AL3526">
        <v>91.767020141056094</v>
      </c>
      <c r="AM3526">
        <v>84.152943698908899</v>
      </c>
      <c r="AN3526">
        <v>0.99999997378689198</v>
      </c>
    </row>
    <row r="3527" spans="1:40" x14ac:dyDescent="0.25">
      <c r="A3527" t="str">
        <f>"20190305135304159"</f>
        <v>20190305135304159</v>
      </c>
      <c r="B3527" t="str">
        <f>"1551765184152926"</f>
        <v>1551765184152926</v>
      </c>
      <c r="C3527" t="s">
        <v>40</v>
      </c>
      <c r="D3527">
        <v>4.8356969999999997</v>
      </c>
      <c r="E3527">
        <v>0.59418369999999998</v>
      </c>
      <c r="F3527" t="s">
        <v>55</v>
      </c>
      <c r="G3527">
        <v>-206.20670000000001</v>
      </c>
      <c r="H3527" s="1">
        <v>5.20237E-6</v>
      </c>
      <c r="I3527">
        <v>211.95169999999999</v>
      </c>
      <c r="J3527">
        <v>-214.34379999999999</v>
      </c>
      <c r="K3527">
        <v>1.1065780000000001</v>
      </c>
      <c r="L3527">
        <v>215.18639999999999</v>
      </c>
      <c r="M3527">
        <v>0.99952079999999999</v>
      </c>
      <c r="N3527">
        <v>-2.5982430000000001E-2</v>
      </c>
      <c r="O3527">
        <v>-1.6823689999999999E-2</v>
      </c>
      <c r="P3527">
        <v>0.99071529999999997</v>
      </c>
      <c r="Q3527">
        <v>-5.5514090000000002E-2</v>
      </c>
      <c r="R3527">
        <v>-0.1241023</v>
      </c>
      <c r="S3527">
        <v>2.8759160000000001</v>
      </c>
      <c r="T3527">
        <v>-0.37563980000000002</v>
      </c>
      <c r="U3527">
        <v>-1.1006320000000001</v>
      </c>
      <c r="V3527">
        <v>0.1071247</v>
      </c>
      <c r="W3527">
        <v>-3.0722360000000001E-2</v>
      </c>
      <c r="X3527">
        <v>0.99377079999999995</v>
      </c>
      <c r="Y3527">
        <v>0.3386691</v>
      </c>
      <c r="Z3527">
        <v>-2.4160250000000001E-2</v>
      </c>
      <c r="AA3527">
        <v>0.94059530000000002</v>
      </c>
      <c r="AB3527">
        <v>40</v>
      </c>
      <c r="AC3527">
        <v>8.13709999999997</v>
      </c>
      <c r="AD3527">
        <v>-1.1065727976299999</v>
      </c>
      <c r="AE3527">
        <v>-3.2347000000000001</v>
      </c>
      <c r="AF3527">
        <v>3.0486135367713998</v>
      </c>
      <c r="AG3527">
        <v>-1.1065727976299999</v>
      </c>
      <c r="AH3527">
        <v>8.0616419039141594</v>
      </c>
      <c r="AI3527">
        <v>97.316193960960703</v>
      </c>
      <c r="AJ3527">
        <v>69.285243839081303</v>
      </c>
      <c r="AK3527">
        <v>8.6895694968154409</v>
      </c>
      <c r="AL3527">
        <v>91.760538618559707</v>
      </c>
      <c r="AM3527">
        <v>83.847490965997494</v>
      </c>
      <c r="AN3527">
        <v>0.99999998384334898</v>
      </c>
    </row>
    <row r="3528" spans="1:40" x14ac:dyDescent="0.25">
      <c r="A3528" t="str">
        <f>"20190305135304181"</f>
        <v>20190305135304181</v>
      </c>
      <c r="B3528" t="str">
        <f>"1551765184173422"</f>
        <v>1551765184173422</v>
      </c>
      <c r="C3528" t="s">
        <v>40</v>
      </c>
      <c r="D3528">
        <v>4.895651</v>
      </c>
      <c r="E3528">
        <v>0.59360279999999999</v>
      </c>
      <c r="F3528" t="s">
        <v>55</v>
      </c>
      <c r="G3528">
        <v>-205.8252</v>
      </c>
      <c r="H3528" s="1">
        <v>5.0416600000000001E-6</v>
      </c>
      <c r="I3528">
        <v>211.85480000000001</v>
      </c>
      <c r="J3528">
        <v>-213.96289999999999</v>
      </c>
      <c r="K3528">
        <v>1.106304</v>
      </c>
      <c r="L3528">
        <v>215.1755</v>
      </c>
      <c r="M3528">
        <v>0.99942989999999998</v>
      </c>
      <c r="N3528">
        <v>-2.6304910000000001E-2</v>
      </c>
      <c r="O3528">
        <v>-2.1167479999999999E-2</v>
      </c>
      <c r="P3528">
        <v>0.98949140000000002</v>
      </c>
      <c r="Q3528">
        <v>-5.6994599999999999E-2</v>
      </c>
      <c r="R3528">
        <v>-0.13288629999999901</v>
      </c>
      <c r="S3528">
        <v>2.8667910000000001</v>
      </c>
      <c r="T3528">
        <v>-0.3723998</v>
      </c>
      <c r="U3528">
        <v>-1.121216</v>
      </c>
      <c r="V3528">
        <v>0.11158120000000001</v>
      </c>
      <c r="W3528">
        <v>-3.2025430000000001E-2</v>
      </c>
      <c r="X3528">
        <v>0.99323919999999999</v>
      </c>
      <c r="Y3528">
        <v>0.34148010000000001</v>
      </c>
      <c r="Z3528">
        <v>-2.3879009999999999E-2</v>
      </c>
      <c r="AA3528">
        <v>0.93958560000000002</v>
      </c>
      <c r="AB3528">
        <v>39</v>
      </c>
      <c r="AC3528">
        <v>8.1376999999999899</v>
      </c>
      <c r="AD3528">
        <v>-1.10629895834</v>
      </c>
      <c r="AE3528">
        <v>-3.32069999999998</v>
      </c>
      <c r="AF3528">
        <v>3.0985493960164501</v>
      </c>
      <c r="AG3528">
        <v>-1.10629895834</v>
      </c>
      <c r="AH3528">
        <v>8.0782036426613697</v>
      </c>
      <c r="AI3528">
        <v>97.2865959137944</v>
      </c>
      <c r="AJ3528">
        <v>69.014729159582799</v>
      </c>
      <c r="AK3528">
        <v>8.7225156828225607</v>
      </c>
      <c r="AL3528">
        <v>91.835235686380997</v>
      </c>
      <c r="AM3528">
        <v>83.590225833428306</v>
      </c>
      <c r="AN3528">
        <v>1.0000000503883799</v>
      </c>
    </row>
    <row r="3529" spans="1:40" x14ac:dyDescent="0.25">
      <c r="A3529" t="str">
        <f>"20190305135304202"</f>
        <v>20190305135304202</v>
      </c>
      <c r="B3529" t="str">
        <f>"1551765184192944"</f>
        <v>1551765184192944</v>
      </c>
      <c r="C3529" t="s">
        <v>40</v>
      </c>
      <c r="D3529">
        <v>4.8944809999999999</v>
      </c>
      <c r="E3529">
        <v>0.59307940000000003</v>
      </c>
      <c r="F3529" t="s">
        <v>55</v>
      </c>
      <c r="G3529">
        <v>-205.50579999999999</v>
      </c>
      <c r="H3529" s="1">
        <v>4.905345E-6</v>
      </c>
      <c r="I3529">
        <v>211.7938</v>
      </c>
      <c r="J3529">
        <v>-213.58099999999999</v>
      </c>
      <c r="K3529">
        <v>1.106009</v>
      </c>
      <c r="L3529">
        <v>215.16239999999999</v>
      </c>
      <c r="M3529">
        <v>0.99930890000000006</v>
      </c>
      <c r="N3529">
        <v>-2.6675219999999999E-2</v>
      </c>
      <c r="O3529">
        <v>-2.588708E-2</v>
      </c>
      <c r="P3529">
        <v>0.98802210000000001</v>
      </c>
      <c r="Q3529">
        <v>-5.8768180000000003E-2</v>
      </c>
      <c r="R3529">
        <v>-0.14268549999999999</v>
      </c>
      <c r="S3529">
        <v>2.856903</v>
      </c>
      <c r="T3529">
        <v>-0.37372230000000001</v>
      </c>
      <c r="U3529">
        <v>-1.14238</v>
      </c>
      <c r="V3529">
        <v>0.1166855</v>
      </c>
      <c r="W3529">
        <v>-3.3599280000000002E-2</v>
      </c>
      <c r="X3529">
        <v>0.99260040000000005</v>
      </c>
      <c r="Y3529">
        <v>0.34412609999999999</v>
      </c>
      <c r="Z3529">
        <v>-2.3793120000000001E-2</v>
      </c>
      <c r="AA3529">
        <v>0.93862190000000001</v>
      </c>
      <c r="AB3529">
        <v>39</v>
      </c>
      <c r="AC3529">
        <v>8.0751999999999899</v>
      </c>
      <c r="AD3529">
        <v>-1.106004094655</v>
      </c>
      <c r="AE3529">
        <v>-3.3685999999999798</v>
      </c>
      <c r="AF3529">
        <v>3.1086808780977702</v>
      </c>
      <c r="AG3529">
        <v>-1.106004094655</v>
      </c>
      <c r="AH3529">
        <v>8.0313974951182097</v>
      </c>
      <c r="AI3529">
        <v>97.318171437132605</v>
      </c>
      <c r="AJ3529">
        <v>68.840273805438898</v>
      </c>
      <c r="AK3529">
        <v>8.6827695802569504</v>
      </c>
      <c r="AL3529">
        <v>91.925459360870093</v>
      </c>
      <c r="AM3529">
        <v>83.295345326174299</v>
      </c>
      <c r="AN3529">
        <v>0.99999998580346405</v>
      </c>
    </row>
    <row r="3530" spans="1:40" x14ac:dyDescent="0.25">
      <c r="A3530" t="str">
        <f>"20190305135304225"</f>
        <v>20190305135304225</v>
      </c>
      <c r="B3530" t="str">
        <f>"1551765184213438"</f>
        <v>1551765184213438</v>
      </c>
      <c r="C3530" t="s">
        <v>40</v>
      </c>
      <c r="D3530">
        <v>4.876989</v>
      </c>
      <c r="E3530">
        <v>0.59250100000000006</v>
      </c>
      <c r="F3530" t="s">
        <v>55</v>
      </c>
      <c r="G3530">
        <v>-205.22190000000001</v>
      </c>
      <c r="H3530" s="1">
        <v>4.7845009999999999E-6</v>
      </c>
      <c r="I3530">
        <v>211.73589999999999</v>
      </c>
      <c r="J3530">
        <v>-213.2002</v>
      </c>
      <c r="K3530">
        <v>1.1056839999999999</v>
      </c>
      <c r="L3530">
        <v>215.14709999999999</v>
      </c>
      <c r="M3530">
        <v>0.99915240000000005</v>
      </c>
      <c r="N3530">
        <v>-2.7081000000000001E-2</v>
      </c>
      <c r="O3530">
        <v>-3.100383E-2</v>
      </c>
      <c r="P3530">
        <v>0.98605949999999998</v>
      </c>
      <c r="Q3530">
        <v>-6.067678E-2</v>
      </c>
      <c r="R3530">
        <v>-0.1549374</v>
      </c>
      <c r="S3530">
        <v>2.8455349999999999</v>
      </c>
      <c r="T3530">
        <v>-0.37649890000000003</v>
      </c>
      <c r="U3530">
        <v>-1.166412</v>
      </c>
      <c r="V3530">
        <v>0.1238653</v>
      </c>
      <c r="W3530">
        <v>-3.5321760000000001E-2</v>
      </c>
      <c r="X3530">
        <v>0.99167019999999995</v>
      </c>
      <c r="Y3530">
        <v>0.347356099999999</v>
      </c>
      <c r="Z3530">
        <v>-2.379595E-2</v>
      </c>
      <c r="AA3530">
        <v>0.93743129999999997</v>
      </c>
      <c r="AB3530">
        <v>39</v>
      </c>
      <c r="AC3530">
        <v>7.9782999999999902</v>
      </c>
      <c r="AD3530">
        <v>-1.1056792154990001</v>
      </c>
      <c r="AE3530">
        <v>-3.4112</v>
      </c>
      <c r="AF3530">
        <v>3.1115854426443899</v>
      </c>
      <c r="AG3530">
        <v>-1.1056792154990001</v>
      </c>
      <c r="AH3530">
        <v>7.9511526566129902</v>
      </c>
      <c r="AI3530">
        <v>97.378525069745507</v>
      </c>
      <c r="AJ3530">
        <v>68.627722747507704</v>
      </c>
      <c r="AK3530">
        <v>8.6096062083713694</v>
      </c>
      <c r="AL3530">
        <v>92.024208806213096</v>
      </c>
      <c r="AM3530">
        <v>82.880301334753895</v>
      </c>
      <c r="AN3530">
        <v>1.0000000124208099</v>
      </c>
    </row>
    <row r="3531" spans="1:40" x14ac:dyDescent="0.25">
      <c r="A3531" t="str">
        <f>"20190305135304260"</f>
        <v>20190305135304260</v>
      </c>
      <c r="B3531" t="str">
        <f>"1551765184253454"</f>
        <v>1551765184253454</v>
      </c>
      <c r="C3531" t="s">
        <v>40</v>
      </c>
      <c r="D3531">
        <v>4.868487</v>
      </c>
      <c r="E3531">
        <v>0.58538539999999994</v>
      </c>
      <c r="F3531" t="s">
        <v>55</v>
      </c>
      <c r="G3531">
        <v>-204.9881</v>
      </c>
      <c r="H3531" s="1">
        <v>4.6861470000000001E-6</v>
      </c>
      <c r="I3531">
        <v>211.67490000000001</v>
      </c>
      <c r="J3531">
        <v>-212.61189999999999</v>
      </c>
      <c r="K3531">
        <v>1.1051580000000001</v>
      </c>
      <c r="L3531">
        <v>215.11799999999999</v>
      </c>
      <c r="M3531">
        <v>0.99881520000000001</v>
      </c>
      <c r="N3531">
        <v>-2.770392E-2</v>
      </c>
      <c r="O3531">
        <v>-4.0006109999999998E-2</v>
      </c>
      <c r="P3531">
        <v>0.9836104</v>
      </c>
      <c r="Q3531">
        <v>-6.1892910000000002E-2</v>
      </c>
      <c r="R3531">
        <v>-0.169352</v>
      </c>
      <c r="S3531">
        <v>2.8308870000000002</v>
      </c>
      <c r="T3531">
        <v>-0.38115290000000002</v>
      </c>
      <c r="U3531">
        <v>-1.1969299999999901</v>
      </c>
      <c r="V3531">
        <v>0.12937470000000001</v>
      </c>
      <c r="W3531">
        <v>-3.6199729999999999E-2</v>
      </c>
      <c r="X3531">
        <v>0.9909348</v>
      </c>
      <c r="Y3531">
        <v>0.34915410000000002</v>
      </c>
      <c r="Z3531">
        <v>-2.3437949999999999E-2</v>
      </c>
      <c r="AA3531">
        <v>0.93677220000000005</v>
      </c>
      <c r="AB3531">
        <v>39</v>
      </c>
      <c r="AC3531">
        <v>7.6237999999999797</v>
      </c>
      <c r="AD3531">
        <v>-1.1051533138529901</v>
      </c>
      <c r="AE3531">
        <v>-3.4430999999999798</v>
      </c>
      <c r="AF3531">
        <v>3.0814430760722198</v>
      </c>
      <c r="AG3531">
        <v>-1.1051533138529901</v>
      </c>
      <c r="AH3531">
        <v>7.6224497703667398</v>
      </c>
      <c r="AI3531">
        <v>97.655718383131202</v>
      </c>
      <c r="AJ3531">
        <v>67.988540992761003</v>
      </c>
      <c r="AK3531">
        <v>8.2956853713215093</v>
      </c>
      <c r="AL3531">
        <v>92.074544992822297</v>
      </c>
      <c r="AM3531">
        <v>82.561637078628706</v>
      </c>
      <c r="AN3531">
        <v>1.0000000056516001</v>
      </c>
    </row>
    <row r="3532" spans="1:40" x14ac:dyDescent="0.25">
      <c r="A3532" t="str">
        <f>"20190305135304281"</f>
        <v>20190305135304281</v>
      </c>
      <c r="B3532" t="str">
        <f>"1551765184272974"</f>
        <v>1551765184272974</v>
      </c>
      <c r="C3532" t="s">
        <v>40</v>
      </c>
      <c r="D3532">
        <v>4.9039190000000001</v>
      </c>
      <c r="E3532">
        <v>0.58604309999999904</v>
      </c>
      <c r="F3532" t="s">
        <v>55</v>
      </c>
      <c r="G3532">
        <v>-201.63319999999999</v>
      </c>
      <c r="H3532" s="1">
        <v>3.2981299999999998E-6</v>
      </c>
      <c r="I3532">
        <v>210.53399999999999</v>
      </c>
      <c r="J3532">
        <v>-212.24299999999999</v>
      </c>
      <c r="K3532">
        <v>1.104832</v>
      </c>
      <c r="L3532">
        <v>215.09649999999999</v>
      </c>
      <c r="M3532">
        <v>0.99853400000000003</v>
      </c>
      <c r="N3532">
        <v>-2.8075010000000001E-2</v>
      </c>
      <c r="O3532">
        <v>-4.6280010000000003E-2</v>
      </c>
      <c r="P3532">
        <v>0.98204570000000002</v>
      </c>
      <c r="Q3532">
        <v>-5.937125E-2</v>
      </c>
      <c r="R3532">
        <v>-0.1790572</v>
      </c>
      <c r="S3532">
        <v>2.8287049999999998</v>
      </c>
      <c r="T3532">
        <v>-0.28474769999999999</v>
      </c>
      <c r="U3532">
        <v>-1.1810909999999999</v>
      </c>
      <c r="V3532">
        <v>0.13292909999999999</v>
      </c>
      <c r="W3532">
        <v>-3.3493879999999997E-2</v>
      </c>
      <c r="X3532">
        <v>0.99055950000000004</v>
      </c>
      <c r="Y3532">
        <v>0.34033950000000002</v>
      </c>
      <c r="Z3532">
        <v>-1.8188070000000001E-2</v>
      </c>
      <c r="AA3532">
        <v>0.94012669999999998</v>
      </c>
      <c r="AB3532">
        <v>38</v>
      </c>
      <c r="AC3532">
        <v>10.6098</v>
      </c>
      <c r="AD3532">
        <v>-1.10482870187</v>
      </c>
      <c r="AE3532">
        <v>-4.5624999999999698</v>
      </c>
      <c r="AF3532">
        <v>4.0295166931902502</v>
      </c>
      <c r="AG3532">
        <v>-1.10482870187</v>
      </c>
      <c r="AH3532">
        <v>10.7116325558512</v>
      </c>
      <c r="AI3532">
        <v>95.5141408721055</v>
      </c>
      <c r="AJ3532">
        <v>69.384634971311499</v>
      </c>
      <c r="AK3532">
        <v>11.4976833863499</v>
      </c>
      <c r="AL3532">
        <v>91.919416853115493</v>
      </c>
      <c r="AM3532">
        <v>82.356799615748201</v>
      </c>
      <c r="AN3532">
        <v>1.00000005433225</v>
      </c>
    </row>
    <row r="3533" spans="1:40" x14ac:dyDescent="0.25">
      <c r="A3533" t="str">
        <f>"20190305135304304"</f>
        <v>20190305135304304</v>
      </c>
      <c r="B3533" t="str">
        <f>"1551765184293470"</f>
        <v>1551765184293470</v>
      </c>
      <c r="C3533" t="s">
        <v>40</v>
      </c>
      <c r="D3533">
        <v>5.6810330000000002</v>
      </c>
      <c r="E3533">
        <v>0.58614709999999903</v>
      </c>
      <c r="F3533" t="s">
        <v>55</v>
      </c>
      <c r="G3533">
        <v>-201.64660000000001</v>
      </c>
      <c r="H3533" s="1">
        <v>3.3047630000000001E-6</v>
      </c>
      <c r="I3533">
        <v>210.52600000000001</v>
      </c>
      <c r="J3533">
        <v>-211.87370000000001</v>
      </c>
      <c r="K3533">
        <v>1.1044750000000001</v>
      </c>
      <c r="L3533">
        <v>215.07220000000001</v>
      </c>
      <c r="M3533">
        <v>0.99818439999999997</v>
      </c>
      <c r="N3533">
        <v>-2.842211E-2</v>
      </c>
      <c r="O3533">
        <v>-5.3103629999999999E-2</v>
      </c>
      <c r="P3533">
        <v>0.97999910000000001</v>
      </c>
      <c r="Q3533">
        <v>-5.958948E-2</v>
      </c>
      <c r="R3533">
        <v>-0.18987010000000001</v>
      </c>
      <c r="S3533">
        <v>2.8156590000000001</v>
      </c>
      <c r="T3533">
        <v>-0.293572099999999</v>
      </c>
      <c r="U3533">
        <v>-1.2144779999999999</v>
      </c>
      <c r="V3533">
        <v>0.13703879999999999</v>
      </c>
      <c r="W3533">
        <v>-3.3577500000000003E-2</v>
      </c>
      <c r="X3533">
        <v>0.9899964</v>
      </c>
      <c r="Y3533">
        <v>0.3447809</v>
      </c>
      <c r="Z3533">
        <v>-1.84672E-2</v>
      </c>
      <c r="AA3533">
        <v>0.93850149999999999</v>
      </c>
      <c r="AB3533">
        <v>38</v>
      </c>
      <c r="AC3533">
        <v>10.2271</v>
      </c>
      <c r="AD3533">
        <v>-1.104471695237</v>
      </c>
      <c r="AE3533">
        <v>-4.5462000000000202</v>
      </c>
      <c r="AF3533">
        <v>3.9579203385778801</v>
      </c>
      <c r="AG3533">
        <v>-1.104471695237</v>
      </c>
      <c r="AH3533">
        <v>10.353349289692799</v>
      </c>
      <c r="AI3533">
        <v>95.690443013769496</v>
      </c>
      <c r="AJ3533">
        <v>69.078941858842001</v>
      </c>
      <c r="AK3533">
        <v>11.138978079091901</v>
      </c>
      <c r="AL3533">
        <v>91.924210771941603</v>
      </c>
      <c r="AM3533">
        <v>82.118997247809503</v>
      </c>
      <c r="AN3533">
        <v>0.99999997661232398</v>
      </c>
    </row>
    <row r="3534" spans="1:40" x14ac:dyDescent="0.25">
      <c r="A3534" t="str">
        <f>"20190305135304327"</f>
        <v>20190305135304327</v>
      </c>
      <c r="B3534" t="str">
        <f>"1551765184323726"</f>
        <v>1551765184323726</v>
      </c>
      <c r="C3534" t="s">
        <v>40</v>
      </c>
      <c r="D3534">
        <v>4.8930309999999997</v>
      </c>
      <c r="E3534">
        <v>0.58549859999999998</v>
      </c>
      <c r="F3534" t="s">
        <v>55</v>
      </c>
      <c r="G3534">
        <v>-201.47399999999999</v>
      </c>
      <c r="H3534" s="1">
        <v>3.2352010000000002E-6</v>
      </c>
      <c r="I3534">
        <v>210.4461</v>
      </c>
      <c r="J3534">
        <v>-211.49789999999999</v>
      </c>
      <c r="K3534">
        <v>1.1040719999999999</v>
      </c>
      <c r="L3534">
        <v>215.04409999999999</v>
      </c>
      <c r="M3534">
        <v>0.99774249999999998</v>
      </c>
      <c r="N3534">
        <v>-2.875633E-2</v>
      </c>
      <c r="O3534">
        <v>-6.0688560000000003E-2</v>
      </c>
      <c r="P3534">
        <v>0.97751880000000002</v>
      </c>
      <c r="Q3534">
        <v>-6.120809E-2</v>
      </c>
      <c r="R3534">
        <v>-0.201769</v>
      </c>
      <c r="S3534">
        <v>2.801666</v>
      </c>
      <c r="T3534">
        <v>-0.297541</v>
      </c>
      <c r="U3534">
        <v>-1.246246</v>
      </c>
      <c r="V3534">
        <v>0.1414897</v>
      </c>
      <c r="W3534">
        <v>-3.5104110000000001E-2</v>
      </c>
      <c r="X3534">
        <v>0.98931709999999995</v>
      </c>
      <c r="Y3534">
        <v>0.34821390000000002</v>
      </c>
      <c r="Z3534">
        <v>-1.841597E-2</v>
      </c>
      <c r="AA3534">
        <v>0.93723420000000002</v>
      </c>
      <c r="AB3534">
        <v>37</v>
      </c>
      <c r="AC3534">
        <v>10.0238999999999</v>
      </c>
      <c r="AD3534">
        <v>-1.104068764799</v>
      </c>
      <c r="AE3534">
        <v>-4.5979999999999803</v>
      </c>
      <c r="AF3534">
        <v>3.9414261163986102</v>
      </c>
      <c r="AG3534">
        <v>-1.104068764799</v>
      </c>
      <c r="AH3534">
        <v>10.1825128611057</v>
      </c>
      <c r="AI3534">
        <v>95.773955638179999</v>
      </c>
      <c r="AJ3534">
        <v>68.839678612553897</v>
      </c>
      <c r="AK3534">
        <v>10.9743963767952</v>
      </c>
      <c r="AL3534">
        <v>92.011730708540995</v>
      </c>
      <c r="AM3534">
        <v>81.860891452472103</v>
      </c>
      <c r="AN3534">
        <v>0.99999997904869498</v>
      </c>
    </row>
    <row r="3535" spans="1:40" x14ac:dyDescent="0.25">
      <c r="A3535" t="str">
        <f>"20190305135304349"</f>
        <v>20190305135304349</v>
      </c>
      <c r="B3535" t="str">
        <f>"1551765184343246"</f>
        <v>1551765184343246</v>
      </c>
      <c r="C3535" t="s">
        <v>40</v>
      </c>
      <c r="D3535">
        <v>4.9231389999999999</v>
      </c>
      <c r="E3535">
        <v>0.58548619999999996</v>
      </c>
      <c r="F3535" t="s">
        <v>55</v>
      </c>
      <c r="G3535">
        <v>-201.3005</v>
      </c>
      <c r="H3535" s="1">
        <v>3.1643119999999998E-6</v>
      </c>
      <c r="I3535">
        <v>210.37700000000001</v>
      </c>
      <c r="J3535">
        <v>-211.13200000000001</v>
      </c>
      <c r="K3535">
        <v>1.103666</v>
      </c>
      <c r="L3535">
        <v>215.01320000000001</v>
      </c>
      <c r="M3535">
        <v>0.99721190000000004</v>
      </c>
      <c r="N3535">
        <v>-2.9086979999999998E-2</v>
      </c>
      <c r="O3535">
        <v>-6.8720630000000005E-2</v>
      </c>
      <c r="P3535">
        <v>0.97486470000000003</v>
      </c>
      <c r="Q3535">
        <v>-6.1314250000000001E-2</v>
      </c>
      <c r="R3535">
        <v>-0.21419479999999999</v>
      </c>
      <c r="S3535">
        <v>2.786835</v>
      </c>
      <c r="T3535">
        <v>-0.30172979999999999</v>
      </c>
      <c r="U3535">
        <v>-1.2754669999999999</v>
      </c>
      <c r="V3535">
        <v>0.14607319999999999</v>
      </c>
      <c r="W3535">
        <v>-3.5136260000000002E-2</v>
      </c>
      <c r="X3535">
        <v>0.98864960000000002</v>
      </c>
      <c r="Y3535">
        <v>0.35062110000000002</v>
      </c>
      <c r="Z3535">
        <v>-1.8263749999999999E-2</v>
      </c>
      <c r="AA3535">
        <v>0.93633929999999999</v>
      </c>
      <c r="AB3535">
        <v>37</v>
      </c>
      <c r="AC3535">
        <v>9.8315000000000001</v>
      </c>
      <c r="AD3535">
        <v>-1.1036628356880001</v>
      </c>
      <c r="AE3535">
        <v>-4.6361999999999997</v>
      </c>
      <c r="AF3535">
        <v>3.9090184272811301</v>
      </c>
      <c r="AG3535">
        <v>-1.1036628356880001</v>
      </c>
      <c r="AH3535">
        <v>10.0236388331823</v>
      </c>
      <c r="AI3535">
        <v>95.856997580032896</v>
      </c>
      <c r="AJ3535">
        <v>68.695212235948205</v>
      </c>
      <c r="AK3535">
        <v>10.8153516899722</v>
      </c>
      <c r="AL3535">
        <v>92.013573894886406</v>
      </c>
      <c r="AM3535">
        <v>81.595341979599795</v>
      </c>
      <c r="AN3535">
        <v>0.99999998405259305</v>
      </c>
    </row>
    <row r="3536" spans="1:40" x14ac:dyDescent="0.25">
      <c r="A3536" t="str">
        <f>"20190305135304371"</f>
        <v>20190305135304371</v>
      </c>
      <c r="B3536" t="str">
        <f>"1551765184363742"</f>
        <v>1551765184363742</v>
      </c>
      <c r="C3536" t="s">
        <v>40</v>
      </c>
      <c r="D3536">
        <v>4.9197369999999996</v>
      </c>
      <c r="E3536">
        <v>0.58544949999999996</v>
      </c>
      <c r="F3536" t="s">
        <v>55</v>
      </c>
      <c r="G3536">
        <v>-201.1713</v>
      </c>
      <c r="H3536" s="1">
        <v>3.113842E-6</v>
      </c>
      <c r="I3536">
        <v>210.29900000000001</v>
      </c>
      <c r="J3536">
        <v>-210.7653</v>
      </c>
      <c r="K3536">
        <v>1.1032740000000001</v>
      </c>
      <c r="L3536">
        <v>214.9787</v>
      </c>
      <c r="M3536">
        <v>0.9965697</v>
      </c>
      <c r="N3536">
        <v>-2.9421349999999999E-2</v>
      </c>
      <c r="O3536">
        <v>-7.7352240000000003E-2</v>
      </c>
      <c r="P3536">
        <v>0.9719179</v>
      </c>
      <c r="Q3536">
        <v>-5.9207860000000001E-2</v>
      </c>
      <c r="R3536">
        <v>-0.22775100000000001</v>
      </c>
      <c r="S3536">
        <v>2.7699889999999998</v>
      </c>
      <c r="T3536">
        <v>-0.30691970000000002</v>
      </c>
      <c r="U3536">
        <v>-1.311005</v>
      </c>
      <c r="V3536">
        <v>0.15126919999999999</v>
      </c>
      <c r="W3536">
        <v>-3.2969659999999998E-2</v>
      </c>
      <c r="X3536">
        <v>0.9879426</v>
      </c>
      <c r="Y3536">
        <v>0.3544544</v>
      </c>
      <c r="Z3536">
        <v>-1.818649E-2</v>
      </c>
      <c r="AA3536">
        <v>0.93489639999999996</v>
      </c>
      <c r="AB3536">
        <v>36</v>
      </c>
      <c r="AC3536">
        <v>9.5939999999999905</v>
      </c>
      <c r="AD3536">
        <v>-1.1032708861579901</v>
      </c>
      <c r="AE3536">
        <v>-4.6796999999999898</v>
      </c>
      <c r="AF3536">
        <v>3.8817611550329998</v>
      </c>
      <c r="AG3536">
        <v>-1.1032708861579901</v>
      </c>
      <c r="AH3536">
        <v>9.8224439488044695</v>
      </c>
      <c r="AI3536">
        <v>95.963493242127001</v>
      </c>
      <c r="AJ3536">
        <v>68.436414778649905</v>
      </c>
      <c r="AK3536">
        <v>10.6191186753125</v>
      </c>
      <c r="AL3536">
        <v>91.889364811918298</v>
      </c>
      <c r="AM3536">
        <v>81.294744756865498</v>
      </c>
      <c r="AN3536">
        <v>0.99999997512195704</v>
      </c>
    </row>
    <row r="3537" spans="1:40" x14ac:dyDescent="0.25">
      <c r="A3537" t="str">
        <f>"20190305135304393"</f>
        <v>20190305135304393</v>
      </c>
      <c r="B3537" t="str">
        <f>"1551765184383262"</f>
        <v>1551765184383262</v>
      </c>
      <c r="C3537" t="s">
        <v>40</v>
      </c>
      <c r="D3537">
        <v>4.9258069999999998</v>
      </c>
      <c r="E3537">
        <v>0.58503839999999996</v>
      </c>
      <c r="F3537" t="s">
        <v>55</v>
      </c>
      <c r="G3537">
        <v>-200.85310000000001</v>
      </c>
      <c r="H3537" s="1">
        <v>2.9885109999999999E-6</v>
      </c>
      <c r="I3537">
        <v>210.11850000000001</v>
      </c>
      <c r="J3537">
        <v>-210.4221</v>
      </c>
      <c r="K3537">
        <v>1.102905</v>
      </c>
      <c r="L3537">
        <v>214.94300000000001</v>
      </c>
      <c r="M3537">
        <v>0.99585230000000002</v>
      </c>
      <c r="N3537">
        <v>-2.9717790000000001E-2</v>
      </c>
      <c r="O3537">
        <v>-8.5995500000000002E-2</v>
      </c>
      <c r="P3537">
        <v>0.96839640000000005</v>
      </c>
      <c r="Q3537">
        <v>-5.8963179999999997E-2</v>
      </c>
      <c r="R3537">
        <v>-0.24234610000000001</v>
      </c>
      <c r="S3537">
        <v>2.751846</v>
      </c>
      <c r="T3537">
        <v>-0.30629339999999999</v>
      </c>
      <c r="U3537">
        <v>-1.3493040000000001</v>
      </c>
      <c r="V3537">
        <v>0.15752360000000001</v>
      </c>
      <c r="W3537">
        <v>-3.2730309999999999E-2</v>
      </c>
      <c r="X3537">
        <v>0.98697270000000004</v>
      </c>
      <c r="Y3537">
        <v>0.35925449999999998</v>
      </c>
      <c r="Z3537">
        <v>-1.7962200000000001E-2</v>
      </c>
      <c r="AA3537">
        <v>0.93306670000000003</v>
      </c>
      <c r="AB3537">
        <v>36</v>
      </c>
      <c r="AC3537">
        <v>9.5689999999999795</v>
      </c>
      <c r="AD3537">
        <v>-1.102902011489</v>
      </c>
      <c r="AE3537">
        <v>-4.8244999999999703</v>
      </c>
      <c r="AF3537">
        <v>3.9416082571160702</v>
      </c>
      <c r="AG3537">
        <v>-1.102902011489</v>
      </c>
      <c r="AH3537">
        <v>9.8443188180489098</v>
      </c>
      <c r="AI3537">
        <v>95.937821532212894</v>
      </c>
      <c r="AJ3537">
        <v>68.1791219755697</v>
      </c>
      <c r="AK3537">
        <v>10.661298302313099</v>
      </c>
      <c r="AL3537">
        <v>91.875643550574296</v>
      </c>
      <c r="AM3537">
        <v>80.931914642055702</v>
      </c>
      <c r="AN3537">
        <v>1.00000003414747</v>
      </c>
    </row>
    <row r="3538" spans="1:40" x14ac:dyDescent="0.25">
      <c r="A3538" t="str">
        <f>"20190305135304415"</f>
        <v>20190305135304415</v>
      </c>
      <c r="B3538" t="str">
        <f>"1551765184413518"</f>
        <v>1551765184413518</v>
      </c>
      <c r="C3538" t="s">
        <v>40</v>
      </c>
      <c r="D3538">
        <v>4.9144040000000002</v>
      </c>
      <c r="E3538">
        <v>0.58476309999999998</v>
      </c>
      <c r="F3538" t="s">
        <v>55</v>
      </c>
      <c r="G3538">
        <v>-200.48419999999999</v>
      </c>
      <c r="H3538" s="1">
        <v>2.8442070000000002E-6</v>
      </c>
      <c r="I3538">
        <v>209.89789999999999</v>
      </c>
      <c r="J3538">
        <v>-210.0625</v>
      </c>
      <c r="K3538">
        <v>1.1025</v>
      </c>
      <c r="L3538">
        <v>214.90180000000001</v>
      </c>
      <c r="M3538">
        <v>0.99495829999999996</v>
      </c>
      <c r="N3538">
        <v>-3.000446E-2</v>
      </c>
      <c r="O3538">
        <v>-9.5695989999999995E-2</v>
      </c>
      <c r="P3538">
        <v>0.96499840000000003</v>
      </c>
      <c r="Q3538">
        <v>-5.9955290000000001E-2</v>
      </c>
      <c r="R3538">
        <v>-0.25531110000000001</v>
      </c>
      <c r="S3538">
        <v>2.7323149999999998</v>
      </c>
      <c r="T3538">
        <v>-0.30323030000000001</v>
      </c>
      <c r="U3538">
        <v>-1.3870849999999999</v>
      </c>
      <c r="V3538">
        <v>0.16109119999999999</v>
      </c>
      <c r="W3538">
        <v>-3.3694889999999998E-2</v>
      </c>
      <c r="X3538">
        <v>0.98636420000000002</v>
      </c>
      <c r="Y3538">
        <v>0.36313079999999998</v>
      </c>
      <c r="Z3538">
        <v>-1.7530939999999998E-2</v>
      </c>
      <c r="AA3538">
        <v>0.93157319999999999</v>
      </c>
      <c r="AB3538">
        <v>36</v>
      </c>
      <c r="AC3538">
        <v>9.5783000000000094</v>
      </c>
      <c r="AD3538">
        <v>-1.1024971557929999</v>
      </c>
      <c r="AE3538">
        <v>-5.0039000000000096</v>
      </c>
      <c r="AF3538">
        <v>4.02203446225578</v>
      </c>
      <c r="AG3538">
        <v>-1.1024971557929999</v>
      </c>
      <c r="AH3538">
        <v>9.9102229296597795</v>
      </c>
      <c r="AI3538">
        <v>95.885403109558197</v>
      </c>
      <c r="AJ3538">
        <v>67.910372613090402</v>
      </c>
      <c r="AK3538">
        <v>10.7519663182907</v>
      </c>
      <c r="AL3538">
        <v>91.930940433084302</v>
      </c>
      <c r="AM3538">
        <v>80.724447789949906</v>
      </c>
      <c r="AN3538">
        <v>1.00000002768559</v>
      </c>
    </row>
    <row r="3539" spans="1:40" x14ac:dyDescent="0.25">
      <c r="A3539" t="str">
        <f>"20190305135304438"</f>
        <v>20190305135304438</v>
      </c>
      <c r="B3539" t="str">
        <f>"1551765184433038"</f>
        <v>1551765184433038</v>
      </c>
      <c r="C3539" t="s">
        <v>40</v>
      </c>
      <c r="D3539">
        <v>4.9239879999999996</v>
      </c>
      <c r="E3539">
        <v>0.58447469999999901</v>
      </c>
      <c r="F3539" t="s">
        <v>55</v>
      </c>
      <c r="G3539">
        <v>-200.39519999999999</v>
      </c>
      <c r="H3539" s="1">
        <v>2.8101820000000001E-6</v>
      </c>
      <c r="I3539">
        <v>209.83580000000001</v>
      </c>
      <c r="J3539">
        <v>-209.7055</v>
      </c>
      <c r="K3539">
        <v>1.102093</v>
      </c>
      <c r="L3539">
        <v>214.85679999999999</v>
      </c>
      <c r="M3539">
        <v>0.99390500000000004</v>
      </c>
      <c r="N3539">
        <v>-3.0269830000000001E-2</v>
      </c>
      <c r="O3539">
        <v>-0.1060031</v>
      </c>
      <c r="P3539">
        <v>0.96142669999999997</v>
      </c>
      <c r="Q3539">
        <v>-6.1235869999999998E-2</v>
      </c>
      <c r="R3539">
        <v>-0.26815919999999999</v>
      </c>
      <c r="S3539">
        <v>2.713409</v>
      </c>
      <c r="T3539">
        <v>-0.30944860000000002</v>
      </c>
      <c r="U3539">
        <v>-1.4219360000000001</v>
      </c>
      <c r="V3539">
        <v>0.16396820000000001</v>
      </c>
      <c r="W3539">
        <v>-3.4963340000000002E-2</v>
      </c>
      <c r="X3539">
        <v>0.98584579999999999</v>
      </c>
      <c r="Y3539">
        <v>0.3654597</v>
      </c>
      <c r="Z3539">
        <v>-1.7209240000000001E-2</v>
      </c>
      <c r="AA3539">
        <v>0.9306681</v>
      </c>
      <c r="AB3539">
        <v>35</v>
      </c>
      <c r="AC3539">
        <v>9.3103000000000105</v>
      </c>
      <c r="AD3539">
        <v>-1.102090189818</v>
      </c>
      <c r="AE3539">
        <v>-5.0209999999999804</v>
      </c>
      <c r="AF3539">
        <v>3.9623003274188799</v>
      </c>
      <c r="AG3539">
        <v>-1.102090189818</v>
      </c>
      <c r="AH3539">
        <v>9.6851477429778203</v>
      </c>
      <c r="AI3539">
        <v>96.012164361684199</v>
      </c>
      <c r="AJ3539">
        <v>67.749991018371205</v>
      </c>
      <c r="AK3539">
        <v>10.522191476801</v>
      </c>
      <c r="AL3539">
        <v>92.003660238250902</v>
      </c>
      <c r="AM3539">
        <v>80.556873014016801</v>
      </c>
      <c r="AN3539">
        <v>0.99999997356641701</v>
      </c>
    </row>
    <row r="3540" spans="1:40" x14ac:dyDescent="0.25">
      <c r="A3540" t="str">
        <f>"20190305135304460"</f>
        <v>20190305135304460</v>
      </c>
      <c r="B3540" t="str">
        <f>"1551765184453534"</f>
        <v>1551765184453534</v>
      </c>
      <c r="C3540" t="s">
        <v>40</v>
      </c>
      <c r="D3540">
        <v>4.9385729999999999</v>
      </c>
      <c r="E3540">
        <v>0.58448820000000001</v>
      </c>
      <c r="F3540" t="s">
        <v>55</v>
      </c>
      <c r="G3540">
        <v>-200.09780000000001</v>
      </c>
      <c r="H3540" s="1">
        <v>2.693434E-6</v>
      </c>
      <c r="I3540">
        <v>209.6626</v>
      </c>
      <c r="J3540">
        <v>-209.35820000000001</v>
      </c>
      <c r="K3540">
        <v>1.101683</v>
      </c>
      <c r="L3540">
        <v>214.80869999999999</v>
      </c>
      <c r="M3540">
        <v>0.99269750000000001</v>
      </c>
      <c r="N3540">
        <v>-3.0519310000000001E-2</v>
      </c>
      <c r="O3540">
        <v>-0.1167064</v>
      </c>
      <c r="P3540">
        <v>0.95744790000000002</v>
      </c>
      <c r="Q3540">
        <v>-6.1050359999999998E-2</v>
      </c>
      <c r="R3540">
        <v>-0.28207559999999998</v>
      </c>
      <c r="S3540">
        <v>2.6943969999999999</v>
      </c>
      <c r="T3540">
        <v>-0.30907240000000002</v>
      </c>
      <c r="U3540">
        <v>-1.45665</v>
      </c>
      <c r="V3540">
        <v>0.1676076</v>
      </c>
      <c r="W3540">
        <v>-3.4806620000000003E-2</v>
      </c>
      <c r="X3540">
        <v>0.98523910000000003</v>
      </c>
      <c r="Y3540">
        <v>0.36746590000000001</v>
      </c>
      <c r="Z3540">
        <v>-1.663837E-2</v>
      </c>
      <c r="AA3540">
        <v>0.9298881</v>
      </c>
      <c r="AB3540">
        <v>35</v>
      </c>
      <c r="AC3540">
        <v>9.2604000000000006</v>
      </c>
      <c r="AD3540">
        <v>-1.1016803065659999</v>
      </c>
      <c r="AE3540">
        <v>-5.1460999999999899</v>
      </c>
      <c r="AF3540">
        <v>3.9865402858563601</v>
      </c>
      <c r="AG3540">
        <v>-1.1016803065659999</v>
      </c>
      <c r="AH3540">
        <v>9.6931039659617593</v>
      </c>
      <c r="AI3540">
        <v>96.000518086953093</v>
      </c>
      <c r="AJ3540">
        <v>67.6438143114529</v>
      </c>
      <c r="AK3540">
        <v>10.5386179095541</v>
      </c>
      <c r="AL3540">
        <v>91.994675429123504</v>
      </c>
      <c r="AM3540">
        <v>80.345344543666997</v>
      </c>
      <c r="AN3540">
        <v>0.99999994627119504</v>
      </c>
    </row>
    <row r="3541" spans="1:40" x14ac:dyDescent="0.25">
      <c r="A3541" t="str">
        <f>"20190305135304481"</f>
        <v>20190305135304481</v>
      </c>
      <c r="B3541" t="str">
        <f>"1551765184473054"</f>
        <v>1551765184473054</v>
      </c>
      <c r="C3541" t="s">
        <v>40</v>
      </c>
      <c r="D3541">
        <v>4.9118909999999998</v>
      </c>
      <c r="E3541">
        <v>0.58409480000000003</v>
      </c>
      <c r="F3541" t="s">
        <v>55</v>
      </c>
      <c r="G3541">
        <v>-199.8015</v>
      </c>
      <c r="H3541" s="1">
        <v>2.7045589999999998E-6</v>
      </c>
      <c r="I3541">
        <v>209.4597</v>
      </c>
      <c r="J3541">
        <v>-209.02359999999999</v>
      </c>
      <c r="K3541">
        <v>1.1012759999999999</v>
      </c>
      <c r="L3541">
        <v>214.75819999999999</v>
      </c>
      <c r="M3541">
        <v>0.99133819999999995</v>
      </c>
      <c r="N3541">
        <v>-3.0756269999999999E-2</v>
      </c>
      <c r="O3541">
        <v>-0.12768260000000001</v>
      </c>
      <c r="P3541">
        <v>0.95273200000000002</v>
      </c>
      <c r="Q3541">
        <v>-6.1098140000000002E-2</v>
      </c>
      <c r="R3541">
        <v>-0.29760540000000002</v>
      </c>
      <c r="S3541">
        <v>2.6729129999999999</v>
      </c>
      <c r="T3541">
        <v>-0.30813109999999999</v>
      </c>
      <c r="U3541">
        <v>-1.496078</v>
      </c>
      <c r="V3541">
        <v>0.17268229999999901</v>
      </c>
      <c r="W3541">
        <v>-3.4942819999999999E-2</v>
      </c>
      <c r="X3541">
        <v>0.98435760000000005</v>
      </c>
      <c r="Y3541">
        <v>0.37081510000000001</v>
      </c>
      <c r="Z3541">
        <v>-1.6133140000000001E-2</v>
      </c>
      <c r="AA3541">
        <v>0.92856660000000002</v>
      </c>
      <c r="AB3541">
        <v>35</v>
      </c>
      <c r="AC3541">
        <v>9.2220999999999798</v>
      </c>
      <c r="AD3541">
        <v>-1.1012732954409901</v>
      </c>
      <c r="AE3541">
        <v>-5.29849999999999</v>
      </c>
      <c r="AF3541">
        <v>4.03378480045395</v>
      </c>
      <c r="AG3541">
        <v>-1.1012732954409901</v>
      </c>
      <c r="AH3541">
        <v>9.7191904602565504</v>
      </c>
      <c r="AI3541">
        <v>95.974465227140996</v>
      </c>
      <c r="AJ3541">
        <v>67.459936879037699</v>
      </c>
      <c r="AK3541">
        <v>10.5804955408698</v>
      </c>
      <c r="AL3541">
        <v>92.002483694835504</v>
      </c>
      <c r="AM3541">
        <v>80.050051824013096</v>
      </c>
      <c r="AN3541">
        <v>1.0000000310403001</v>
      </c>
    </row>
    <row r="3542" spans="1:40" x14ac:dyDescent="0.25">
      <c r="A3542" t="str">
        <f>"20190305135304505"</f>
        <v>20190305135304505</v>
      </c>
      <c r="B3542" t="str">
        <f>"1551765184493551"</f>
        <v>1551765184493551</v>
      </c>
      <c r="C3542" t="s">
        <v>40</v>
      </c>
      <c r="D3542">
        <v>4.9231590000000001</v>
      </c>
      <c r="E3542">
        <v>0.58372170000000001</v>
      </c>
      <c r="F3542" t="s">
        <v>55</v>
      </c>
      <c r="G3542">
        <v>-199.68020000000001</v>
      </c>
      <c r="H3542" s="1">
        <v>2.7583159999999999E-6</v>
      </c>
      <c r="I3542">
        <v>209.33799999999999</v>
      </c>
      <c r="J3542">
        <v>-208.68600000000001</v>
      </c>
      <c r="K3542">
        <v>1.100854</v>
      </c>
      <c r="L3542">
        <v>214.7028</v>
      </c>
      <c r="M3542">
        <v>0.98974419999999996</v>
      </c>
      <c r="N3542">
        <v>-3.0991009999999999E-2</v>
      </c>
      <c r="O3542">
        <v>-0.13944970000000001</v>
      </c>
      <c r="P3542">
        <v>0.94719120000000001</v>
      </c>
      <c r="Q3542">
        <v>-6.3747490000000004E-2</v>
      </c>
      <c r="R3542">
        <v>-0.31426979999999999</v>
      </c>
      <c r="S3542">
        <v>2.6488339999999999</v>
      </c>
      <c r="T3542">
        <v>-0.31220809999999999</v>
      </c>
      <c r="U3542">
        <v>-1.536621</v>
      </c>
      <c r="V3542">
        <v>0.17816770000000001</v>
      </c>
      <c r="W3542">
        <v>-3.7714989999999997E-2</v>
      </c>
      <c r="X3542">
        <v>0.98327710000000002</v>
      </c>
      <c r="Y3542">
        <v>0.37403199999999998</v>
      </c>
      <c r="Z3542">
        <v>-1.5656420000000001E-2</v>
      </c>
      <c r="AA3542">
        <v>0.92728359999999999</v>
      </c>
      <c r="AB3542">
        <v>34</v>
      </c>
      <c r="AC3542">
        <v>9.0057999999999598</v>
      </c>
      <c r="AD3542">
        <v>-1.1008512416839999</v>
      </c>
      <c r="AE3542">
        <v>-5.3647999999999998</v>
      </c>
      <c r="AF3542">
        <v>4.01162897722251</v>
      </c>
      <c r="AG3542">
        <v>-1.1008512416839999</v>
      </c>
      <c r="AH3542">
        <v>9.5607589982179899</v>
      </c>
      <c r="AI3542">
        <v>96.060666964077299</v>
      </c>
      <c r="AJ3542">
        <v>67.237412542886403</v>
      </c>
      <c r="AK3542">
        <v>10.4265599854033</v>
      </c>
      <c r="AL3542">
        <v>92.161422361010693</v>
      </c>
      <c r="AM3542">
        <v>79.729562123315304</v>
      </c>
      <c r="AN3542">
        <v>1.0000000025892</v>
      </c>
    </row>
    <row r="3543" spans="1:40" x14ac:dyDescent="0.25">
      <c r="A3543" t="str">
        <f>"20190305135304527"</f>
        <v>20190305135304527</v>
      </c>
      <c r="B3543" t="str">
        <f>"1551765184522830"</f>
        <v>1551765184522830</v>
      </c>
      <c r="C3543" t="s">
        <v>40</v>
      </c>
      <c r="D3543">
        <v>4.8942940000000004</v>
      </c>
      <c r="E3543">
        <v>0.58326259999999996</v>
      </c>
      <c r="F3543" t="s">
        <v>55</v>
      </c>
      <c r="G3543">
        <v>-199.80889999999999</v>
      </c>
      <c r="H3543" s="1">
        <v>2.7314889999999999E-6</v>
      </c>
      <c r="I3543">
        <v>209.35310000000001</v>
      </c>
      <c r="J3543">
        <v>-208.34469999999999</v>
      </c>
      <c r="K3543">
        <v>1.10043</v>
      </c>
      <c r="L3543">
        <v>214.64160000000001</v>
      </c>
      <c r="M3543">
        <v>0.98786669999999999</v>
      </c>
      <c r="N3543">
        <v>-3.122314E-2</v>
      </c>
      <c r="O3543">
        <v>-0.1521335</v>
      </c>
      <c r="P3543">
        <v>0.94087109999999996</v>
      </c>
      <c r="Q3543">
        <v>-6.7720310000000006E-2</v>
      </c>
      <c r="R3543">
        <v>-0.33192729999999998</v>
      </c>
      <c r="S3543">
        <v>2.6212620000000002</v>
      </c>
      <c r="T3543">
        <v>-0.3250633</v>
      </c>
      <c r="U3543">
        <v>-1.5796809999999999</v>
      </c>
      <c r="V3543">
        <v>0.18383289999999999</v>
      </c>
      <c r="W3543">
        <v>-4.1836039999999998E-2</v>
      </c>
      <c r="X3543">
        <v>0.98206680000000002</v>
      </c>
      <c r="Y3543">
        <v>0.3774728</v>
      </c>
      <c r="Z3543">
        <v>-1.522048E-2</v>
      </c>
      <c r="AA3543">
        <v>0.92589560000000004</v>
      </c>
      <c r="AB3543">
        <v>34</v>
      </c>
      <c r="AC3543">
        <v>8.5357999999999894</v>
      </c>
      <c r="AD3543">
        <v>-1.1004272685109999</v>
      </c>
      <c r="AE3543">
        <v>-5.2884999999999902</v>
      </c>
      <c r="AF3543">
        <v>3.8810554233172199</v>
      </c>
      <c r="AG3543">
        <v>-1.1004272685109999</v>
      </c>
      <c r="AH3543">
        <v>9.1316254852599794</v>
      </c>
      <c r="AI3543">
        <v>96.328586567113106</v>
      </c>
      <c r="AJ3543">
        <v>66.973898994388307</v>
      </c>
      <c r="AK3543">
        <v>9.9829913039725806</v>
      </c>
      <c r="AL3543">
        <v>92.397728322895205</v>
      </c>
      <c r="AM3543">
        <v>79.397514539211102</v>
      </c>
      <c r="AN3543">
        <v>0.99999999451376498</v>
      </c>
    </row>
    <row r="3544" spans="1:40" x14ac:dyDescent="0.25">
      <c r="A3544" t="str">
        <f>"20190305135304551"</f>
        <v>20190305135304551</v>
      </c>
      <c r="B3544" t="str">
        <f>"1551765184543326"</f>
        <v>1551765184543326</v>
      </c>
      <c r="C3544" t="s">
        <v>40</v>
      </c>
      <c r="D3544">
        <v>4.8916449999999996</v>
      </c>
      <c r="E3544">
        <v>0.58294380000000001</v>
      </c>
      <c r="F3544" t="s">
        <v>55</v>
      </c>
      <c r="G3544">
        <v>-199.96870000000001</v>
      </c>
      <c r="H3544" s="1">
        <v>2.6998789999999998E-6</v>
      </c>
      <c r="I3544">
        <v>209.38740000000001</v>
      </c>
      <c r="J3544">
        <v>-207.99619999999999</v>
      </c>
      <c r="K3544">
        <v>1.1000019999999999</v>
      </c>
      <c r="L3544">
        <v>214.5737</v>
      </c>
      <c r="M3544">
        <v>0.9856412</v>
      </c>
      <c r="N3544">
        <v>-3.144135E-2</v>
      </c>
      <c r="O3544">
        <v>-0.16590070000000001</v>
      </c>
      <c r="P3544">
        <v>0.93399469999999996</v>
      </c>
      <c r="Q3544">
        <v>-7.0799260000000003E-2</v>
      </c>
      <c r="R3544">
        <v>-0.35020190000000001</v>
      </c>
      <c r="S3544">
        <v>2.5907140000000002</v>
      </c>
      <c r="T3544">
        <v>-0.34036460000000002</v>
      </c>
      <c r="U3544">
        <v>-1.6251530000000001</v>
      </c>
      <c r="V3544">
        <v>0.18917349999999999</v>
      </c>
      <c r="W3544">
        <v>-4.5080519999999999E-2</v>
      </c>
      <c r="X3544">
        <v>0.98090829999999996</v>
      </c>
      <c r="Y3544">
        <v>0.38095390000000001</v>
      </c>
      <c r="Z3544">
        <v>-1.46231E-2</v>
      </c>
      <c r="AA3544">
        <v>0.92447840000000003</v>
      </c>
      <c r="AB3544">
        <v>33</v>
      </c>
      <c r="AC3544">
        <v>8.0274999999999697</v>
      </c>
      <c r="AD3544">
        <v>-1.099999300121</v>
      </c>
      <c r="AE3544">
        <v>-5.1862999999999797</v>
      </c>
      <c r="AF3544">
        <v>3.7324867487297699</v>
      </c>
      <c r="AG3544">
        <v>-1.099999300121</v>
      </c>
      <c r="AH3544">
        <v>8.6622319408747899</v>
      </c>
      <c r="AI3544">
        <v>96.651908931045298</v>
      </c>
      <c r="AJ3544">
        <v>66.689174849240302</v>
      </c>
      <c r="AK3544">
        <v>9.4960896155849994</v>
      </c>
      <c r="AL3544">
        <v>92.583799246927697</v>
      </c>
      <c r="AM3544">
        <v>79.084211737271204</v>
      </c>
      <c r="AN3544">
        <v>0.99999997969730403</v>
      </c>
    </row>
    <row r="3545" spans="1:40" x14ac:dyDescent="0.25">
      <c r="A3545" t="str">
        <f>"20190305135304573"</f>
        <v>20190305135304573</v>
      </c>
      <c r="B3545" t="str">
        <f>"1551765184563823"</f>
        <v>1551765184563823</v>
      </c>
      <c r="C3545" t="s">
        <v>40</v>
      </c>
      <c r="D3545">
        <v>5.1894749999999998</v>
      </c>
      <c r="E3545">
        <v>0.58286709999999997</v>
      </c>
      <c r="F3545" t="s">
        <v>55</v>
      </c>
      <c r="G3545">
        <v>-199.9811</v>
      </c>
      <c r="H3545" s="1">
        <v>2.718888E-6</v>
      </c>
      <c r="I3545">
        <v>209.3322</v>
      </c>
      <c r="J3545">
        <v>-207.6747</v>
      </c>
      <c r="K3545">
        <v>1.099599</v>
      </c>
      <c r="L3545">
        <v>214.5059</v>
      </c>
      <c r="M3545">
        <v>0.98328260000000001</v>
      </c>
      <c r="N3545">
        <v>-3.1573150000000001E-2</v>
      </c>
      <c r="O3545">
        <v>-0.17932799999999999</v>
      </c>
      <c r="P3545">
        <v>0.92651170000000005</v>
      </c>
      <c r="Q3545">
        <v>-7.082389E-2</v>
      </c>
      <c r="R3545">
        <v>-0.3695406</v>
      </c>
      <c r="S3545">
        <v>2.5581510000000001</v>
      </c>
      <c r="T3545">
        <v>-0.35108139999999999</v>
      </c>
      <c r="U3545">
        <v>-1.6728970000000001</v>
      </c>
      <c r="V3545">
        <v>0.19612250000000001</v>
      </c>
      <c r="W3545">
        <v>-4.5401610000000002E-2</v>
      </c>
      <c r="X3545">
        <v>0.97952779999999995</v>
      </c>
      <c r="Y3545">
        <v>0.3856871</v>
      </c>
      <c r="Z3545">
        <v>-1.397522E-2</v>
      </c>
      <c r="AA3545">
        <v>0.9225238</v>
      </c>
      <c r="AB3545">
        <v>33</v>
      </c>
      <c r="AC3545">
        <v>7.6936</v>
      </c>
      <c r="AD3545">
        <v>-1.0995962811119999</v>
      </c>
      <c r="AE3545">
        <v>-5.1736999999999904</v>
      </c>
      <c r="AF3545">
        <v>3.6579273435107198</v>
      </c>
      <c r="AG3545">
        <v>-1.0995962811119999</v>
      </c>
      <c r="AH3545">
        <v>8.3791454636680704</v>
      </c>
      <c r="AI3545">
        <v>96.857983469096794</v>
      </c>
      <c r="AJ3545">
        <v>66.416259118065895</v>
      </c>
      <c r="AK3545">
        <v>9.2086710839918595</v>
      </c>
      <c r="AL3545">
        <v>92.602215084553393</v>
      </c>
      <c r="AM3545">
        <v>78.677866575641104</v>
      </c>
      <c r="AN3545">
        <v>1.0000000260848401</v>
      </c>
    </row>
    <row r="3546" spans="1:40" x14ac:dyDescent="0.25">
      <c r="A3546" t="str">
        <f>"20190305135304595"</f>
        <v>20190305135304595</v>
      </c>
      <c r="B3546" t="str">
        <f>"1551765184583343"</f>
        <v>1551765184583343</v>
      </c>
      <c r="C3546" t="s">
        <v>40</v>
      </c>
      <c r="D3546">
        <v>4.88347</v>
      </c>
      <c r="E3546">
        <v>0.62919930000000002</v>
      </c>
      <c r="F3546" t="s">
        <v>55</v>
      </c>
      <c r="G3546">
        <v>-199.7319</v>
      </c>
      <c r="H3546" s="1">
        <v>2.818984E-6</v>
      </c>
      <c r="I3546">
        <v>209.07419999999999</v>
      </c>
      <c r="J3546">
        <v>-207.36330000000001</v>
      </c>
      <c r="K3546">
        <v>1.0991550000000001</v>
      </c>
      <c r="L3546">
        <v>214.43530000000001</v>
      </c>
      <c r="M3546">
        <v>0.98068370000000005</v>
      </c>
      <c r="N3546">
        <v>-3.1597970000000003E-2</v>
      </c>
      <c r="O3546">
        <v>-0.1930318</v>
      </c>
      <c r="P3546">
        <v>0.91805539999999997</v>
      </c>
      <c r="Q3546">
        <v>-6.8726759999999998E-2</v>
      </c>
      <c r="R3546">
        <v>-0.39044970000000001</v>
      </c>
      <c r="S3546">
        <v>2.523056</v>
      </c>
      <c r="T3546">
        <v>-0.34929009999999999</v>
      </c>
      <c r="U3546">
        <v>-1.7253879999999999</v>
      </c>
      <c r="V3546">
        <v>0.2046181</v>
      </c>
      <c r="W3546">
        <v>-4.3773039999999999E-2</v>
      </c>
      <c r="X3546">
        <v>0.97786269999999997</v>
      </c>
      <c r="Y3546">
        <v>0.39187680000000003</v>
      </c>
      <c r="Z3546">
        <v>-1.326836E-2</v>
      </c>
      <c r="AA3546">
        <v>0.91992200000000002</v>
      </c>
      <c r="AB3546">
        <v>33</v>
      </c>
      <c r="AC3546">
        <v>7.63140000000001</v>
      </c>
      <c r="AD3546">
        <v>-1.0991521810160001</v>
      </c>
      <c r="AE3546">
        <v>-5.36110000000002</v>
      </c>
      <c r="AF3546">
        <v>3.7344596130295802</v>
      </c>
      <c r="AG3546">
        <v>-1.0991521810160001</v>
      </c>
      <c r="AH3546">
        <v>8.4063443678934799</v>
      </c>
      <c r="AI3546">
        <v>96.814093004248903</v>
      </c>
      <c r="AJ3546">
        <v>66.047150000522393</v>
      </c>
      <c r="AK3546">
        <v>9.2639597230339703</v>
      </c>
      <c r="AL3546">
        <v>92.508811931239094</v>
      </c>
      <c r="AM3546">
        <v>78.181365374294202</v>
      </c>
      <c r="AN3546">
        <v>1.0000000529648601</v>
      </c>
    </row>
    <row r="3547" spans="1:40" x14ac:dyDescent="0.25">
      <c r="A3547" t="str">
        <f>"20190305135304617"</f>
        <v>20190305135304617</v>
      </c>
      <c r="B3547" t="str">
        <f>"1551765184613602"</f>
        <v>1551765184613602</v>
      </c>
      <c r="C3547" t="s">
        <v>40</v>
      </c>
      <c r="D3547">
        <v>4.7892590000000004</v>
      </c>
      <c r="E3547">
        <v>0.66096469999999996</v>
      </c>
      <c r="F3547" t="s">
        <v>55</v>
      </c>
      <c r="G3547">
        <v>-200.1232</v>
      </c>
      <c r="H3547" s="1">
        <v>3.1581470000000001E-6</v>
      </c>
      <c r="I3547">
        <v>207.86369999999999</v>
      </c>
      <c r="J3547">
        <v>-207.03880000000001</v>
      </c>
      <c r="K3547">
        <v>1.0985990000000001</v>
      </c>
      <c r="L3547">
        <v>214.3562</v>
      </c>
      <c r="M3547">
        <v>0.9776068</v>
      </c>
      <c r="N3547">
        <v>-3.1461870000000003E-2</v>
      </c>
      <c r="O3547">
        <v>-0.2080746</v>
      </c>
      <c r="P3547">
        <v>0.90807919999999998</v>
      </c>
      <c r="Q3547">
        <v>-6.8625569999999997E-2</v>
      </c>
      <c r="R3547">
        <v>-0.4131379</v>
      </c>
      <c r="S3547">
        <v>2.33847</v>
      </c>
      <c r="T3547">
        <v>-0.35501189999999999</v>
      </c>
      <c r="U3547">
        <v>-2.122528</v>
      </c>
      <c r="V3547">
        <v>0.21380950000000001</v>
      </c>
      <c r="W3547">
        <v>-4.4375589999999999E-2</v>
      </c>
      <c r="X3547">
        <v>0.97586700000000004</v>
      </c>
      <c r="Y3547">
        <v>0.49992310000000001</v>
      </c>
      <c r="Z3547">
        <v>-2.087147E-2</v>
      </c>
      <c r="AA3547">
        <v>0.86581830000000004</v>
      </c>
      <c r="AB3547">
        <v>33</v>
      </c>
      <c r="AC3547">
        <v>6.9156000000000102</v>
      </c>
      <c r="AD3547">
        <v>-1.098595841853</v>
      </c>
      <c r="AE3547">
        <v>-6.4924999999999997</v>
      </c>
      <c r="AF3547">
        <v>4.8455867145448304</v>
      </c>
      <c r="AG3547">
        <v>-1.098595841853</v>
      </c>
      <c r="AH3547">
        <v>8.0082617056233101</v>
      </c>
      <c r="AI3547">
        <v>96.6941654743014</v>
      </c>
      <c r="AJ3547">
        <v>58.822980234811098</v>
      </c>
      <c r="AK3547">
        <v>9.4243768482410992</v>
      </c>
      <c r="AL3547">
        <v>92.543369094015105</v>
      </c>
      <c r="AM3547">
        <v>77.641942181369004</v>
      </c>
      <c r="AN3547">
        <v>1.0000000484835401</v>
      </c>
    </row>
    <row r="3548" spans="1:40" x14ac:dyDescent="0.25">
      <c r="A3548" t="str">
        <f>"20190305135304640"</f>
        <v>20190305135304640</v>
      </c>
      <c r="B3548" t="str">
        <f>"1551765184633120"</f>
        <v>1551765184633120</v>
      </c>
      <c r="C3548" t="s">
        <v>40</v>
      </c>
      <c r="D3548">
        <v>4.7513209999999999</v>
      </c>
      <c r="E3548">
        <v>0.66498230000000003</v>
      </c>
      <c r="F3548" t="s">
        <v>55</v>
      </c>
      <c r="G3548">
        <v>-198.3535</v>
      </c>
      <c r="H3548" s="1">
        <v>4.2551610000000003E-6</v>
      </c>
      <c r="I3548">
        <v>204.7859</v>
      </c>
      <c r="J3548">
        <v>-206.71899999999999</v>
      </c>
      <c r="K3548">
        <v>1.0980240000000001</v>
      </c>
      <c r="L3548">
        <v>214.2724</v>
      </c>
      <c r="M3548">
        <v>0.97418740000000004</v>
      </c>
      <c r="N3548">
        <v>-3.1187659999999999E-2</v>
      </c>
      <c r="O3548">
        <v>-0.223576</v>
      </c>
      <c r="P3548">
        <v>0.89731919999999898</v>
      </c>
      <c r="Q3548">
        <v>-6.9062390000000001E-2</v>
      </c>
      <c r="R3548">
        <v>-0.43594559999999999</v>
      </c>
      <c r="S3548">
        <v>2.1865999999999999</v>
      </c>
      <c r="T3548">
        <v>-0.27658389999999999</v>
      </c>
      <c r="U3548">
        <v>-2.4094389999999999</v>
      </c>
      <c r="V3548">
        <v>0.2228685</v>
      </c>
      <c r="W3548">
        <v>-4.567454E-2</v>
      </c>
      <c r="X3548">
        <v>0.97377789999999997</v>
      </c>
      <c r="Y3548">
        <v>0.56896539999999995</v>
      </c>
      <c r="Z3548">
        <v>-2.3347159999999999E-2</v>
      </c>
      <c r="AA3548">
        <v>0.82202999999999904</v>
      </c>
      <c r="AB3548">
        <v>32</v>
      </c>
      <c r="AC3548">
        <v>8.3655000000000204</v>
      </c>
      <c r="AD3548">
        <v>-1.0980197448389999</v>
      </c>
      <c r="AE3548">
        <v>-9.4864999999999995</v>
      </c>
      <c r="AF3548">
        <v>7.31972649504588</v>
      </c>
      <c r="AG3548">
        <v>-1.0980197448389999</v>
      </c>
      <c r="AH3548">
        <v>10.198655274215801</v>
      </c>
      <c r="AI3548">
        <v>94.998771183559398</v>
      </c>
      <c r="AJ3548">
        <v>54.332434206826399</v>
      </c>
      <c r="AK3548">
        <v>12.601452802142401</v>
      </c>
      <c r="AL3548">
        <v>92.617869220138999</v>
      </c>
      <c r="AM3548">
        <v>77.108744666580705</v>
      </c>
      <c r="AN3548">
        <v>0.99999996521243495</v>
      </c>
    </row>
    <row r="3549" spans="1:40" x14ac:dyDescent="0.25">
      <c r="A3549" t="str">
        <f>"20190305135304662"</f>
        <v>20190305135304662</v>
      </c>
      <c r="B3549" t="str">
        <f>"1551765184653147"</f>
        <v>1551765184653147</v>
      </c>
      <c r="C3549" t="s">
        <v>40</v>
      </c>
      <c r="D3549">
        <v>4.7641349999999996</v>
      </c>
      <c r="E3549">
        <v>0.6667554</v>
      </c>
      <c r="F3549" t="s">
        <v>55</v>
      </c>
      <c r="G3549">
        <v>-197.63159999999999</v>
      </c>
      <c r="H3549" s="1">
        <v>4.7572E-6</v>
      </c>
      <c r="I3549">
        <v>203.5513</v>
      </c>
      <c r="J3549">
        <v>-206.41220000000001</v>
      </c>
      <c r="K3549">
        <v>1.097469</v>
      </c>
      <c r="L3549">
        <v>214.18620000000001</v>
      </c>
      <c r="M3549">
        <v>0.97051949999999998</v>
      </c>
      <c r="N3549">
        <v>-3.0826639999999999E-2</v>
      </c>
      <c r="O3549">
        <v>-0.2390429</v>
      </c>
      <c r="P3549">
        <v>0.88654909999999998</v>
      </c>
      <c r="Q3549">
        <v>-7.0577020000000004E-2</v>
      </c>
      <c r="R3549">
        <v>-0.4572193</v>
      </c>
      <c r="S3549">
        <v>2.1127009999999999</v>
      </c>
      <c r="T3549">
        <v>-0.25527499999999997</v>
      </c>
      <c r="U3549">
        <v>-2.4925229999999998</v>
      </c>
      <c r="V3549">
        <v>0.23049810000000001</v>
      </c>
      <c r="W3549">
        <v>-4.8085629999999997E-2</v>
      </c>
      <c r="X3549">
        <v>0.97188399999999997</v>
      </c>
      <c r="Y3549">
        <v>0.58385609999999999</v>
      </c>
      <c r="Z3549">
        <v>-2.28059E-2</v>
      </c>
      <c r="AA3549">
        <v>0.81153679999999995</v>
      </c>
      <c r="AB3549">
        <v>32</v>
      </c>
      <c r="AC3549">
        <v>8.7806000000000193</v>
      </c>
      <c r="AD3549">
        <v>-1.0974642428000001</v>
      </c>
      <c r="AE3549">
        <v>-10.6349</v>
      </c>
      <c r="AF3549">
        <v>8.1745828537293193</v>
      </c>
      <c r="AG3549">
        <v>-1.0974642428000001</v>
      </c>
      <c r="AH3549">
        <v>10.99954831753</v>
      </c>
      <c r="AI3549">
        <v>94.578501842432104</v>
      </c>
      <c r="AJ3549">
        <v>53.381212985434502</v>
      </c>
      <c r="AK3549">
        <v>13.7483924800824</v>
      </c>
      <c r="AL3549">
        <v>92.756166344775494</v>
      </c>
      <c r="AM3549">
        <v>76.657883436501805</v>
      </c>
      <c r="AN3549">
        <v>1.00000005568605</v>
      </c>
    </row>
    <row r="3550" spans="1:40" x14ac:dyDescent="0.25">
      <c r="A3550" t="str">
        <f>"20190305135304684"</f>
        <v>20190305135304684</v>
      </c>
      <c r="B3550" t="str">
        <f>"1551765184673644"</f>
        <v>1551765184673644</v>
      </c>
      <c r="C3550" t="s">
        <v>40</v>
      </c>
      <c r="D3550">
        <v>4.7841069999999997</v>
      </c>
      <c r="E3550">
        <v>0.66718750000000004</v>
      </c>
      <c r="F3550" t="s">
        <v>55</v>
      </c>
      <c r="G3550">
        <v>-196.92019999999999</v>
      </c>
      <c r="H3550" s="1">
        <v>5.235298E-6</v>
      </c>
      <c r="I3550">
        <v>202.3415</v>
      </c>
      <c r="J3550">
        <v>-206.11089999999999</v>
      </c>
      <c r="K3550">
        <v>1.096965</v>
      </c>
      <c r="L3550">
        <v>214.09569999999999</v>
      </c>
      <c r="M3550">
        <v>0.96650930000000002</v>
      </c>
      <c r="N3550">
        <v>-3.0393239999999998E-2</v>
      </c>
      <c r="O3550">
        <v>-0.254826</v>
      </c>
      <c r="P3550">
        <v>0.87501989999999996</v>
      </c>
      <c r="Q3550">
        <v>-7.3503719999999995E-2</v>
      </c>
      <c r="R3550">
        <v>-0.47847430000000002</v>
      </c>
      <c r="S3550">
        <v>2.0474239999999999</v>
      </c>
      <c r="T3550">
        <v>-0.23672399999999999</v>
      </c>
      <c r="U3550">
        <v>-2.554916</v>
      </c>
      <c r="V3550">
        <v>0.23799139999999999</v>
      </c>
      <c r="W3550">
        <v>-5.1961880000000002E-2</v>
      </c>
      <c r="X3550">
        <v>0.96987630000000002</v>
      </c>
      <c r="Y3550">
        <v>0.59316239999999998</v>
      </c>
      <c r="Z3550">
        <v>-2.1973409999999999E-2</v>
      </c>
      <c r="AA3550">
        <v>0.80478289999999997</v>
      </c>
      <c r="AB3550">
        <v>32</v>
      </c>
      <c r="AC3550">
        <v>9.1906999999999908</v>
      </c>
      <c r="AD3550">
        <v>-1.096959764702</v>
      </c>
      <c r="AE3550">
        <v>-11.7541999999999</v>
      </c>
      <c r="AF3550">
        <v>8.9741757985898705</v>
      </c>
      <c r="AG3550">
        <v>-1.096959764702</v>
      </c>
      <c r="AH3550">
        <v>11.8197751104902</v>
      </c>
      <c r="AI3550">
        <v>94.227399443400998</v>
      </c>
      <c r="AJ3550">
        <v>52.792379097934599</v>
      </c>
      <c r="AK3550">
        <v>14.8810697079187</v>
      </c>
      <c r="AL3550">
        <v>92.978537835443902</v>
      </c>
      <c r="AM3550">
        <v>76.212985892867806</v>
      </c>
      <c r="AN3550">
        <v>0.99999999037439202</v>
      </c>
    </row>
    <row r="3551" spans="1:40" x14ac:dyDescent="0.25">
      <c r="A3551" t="str">
        <f>"20190305135304707"</f>
        <v>20190305135304707</v>
      </c>
      <c r="B3551" t="str">
        <f>"1551765184702922"</f>
        <v>1551765184702922</v>
      </c>
      <c r="C3551" t="s">
        <v>40</v>
      </c>
      <c r="D3551">
        <v>4.7966879999999996</v>
      </c>
      <c r="E3551">
        <v>0.66688210000000003</v>
      </c>
      <c r="F3551" t="s">
        <v>55</v>
      </c>
      <c r="G3551">
        <v>-196.92830000000001</v>
      </c>
      <c r="H3551" s="1">
        <v>5.3176879999999996E-6</v>
      </c>
      <c r="I3551">
        <v>202.02359999999999</v>
      </c>
      <c r="J3551">
        <v>-205.81049999999999</v>
      </c>
      <c r="K3551">
        <v>1.0965180000000001</v>
      </c>
      <c r="L3551">
        <v>213.99950000000001</v>
      </c>
      <c r="M3551">
        <v>0.96206499999999995</v>
      </c>
      <c r="N3551">
        <v>-2.9904469999999999E-2</v>
      </c>
      <c r="O3551">
        <v>-0.2711768</v>
      </c>
      <c r="P3551">
        <v>0.86260289999999995</v>
      </c>
      <c r="Q3551">
        <v>-7.7203640000000004E-2</v>
      </c>
      <c r="R3551">
        <v>-0.49995630000000002</v>
      </c>
      <c r="S3551">
        <v>1.9830319999999999</v>
      </c>
      <c r="T3551">
        <v>-0.23689379999999999</v>
      </c>
      <c r="U3551">
        <v>-2.60704</v>
      </c>
      <c r="V3551">
        <v>0.24540149999999999</v>
      </c>
      <c r="W3551">
        <v>-5.6647450000000002E-2</v>
      </c>
      <c r="X3551">
        <v>0.96776499999999999</v>
      </c>
      <c r="Y3551">
        <v>0.59986260000000002</v>
      </c>
      <c r="Z3551">
        <v>-2.130694E-2</v>
      </c>
      <c r="AA3551">
        <v>0.79981930000000001</v>
      </c>
      <c r="AB3551">
        <v>32</v>
      </c>
      <c r="AC3551">
        <v>8.8821999999999797</v>
      </c>
      <c r="AD3551">
        <v>-1.0965126823119999</v>
      </c>
      <c r="AE3551">
        <v>-11.975899999999999</v>
      </c>
      <c r="AF3551">
        <v>9.0679822690233802</v>
      </c>
      <c r="AG3551">
        <v>-1.0965126823119999</v>
      </c>
      <c r="AH3551">
        <v>11.7346513820487</v>
      </c>
      <c r="AI3551">
        <v>94.2286736074728</v>
      </c>
      <c r="AJ3551">
        <v>52.304851230826003</v>
      </c>
      <c r="AK3551">
        <v>14.8705307757326</v>
      </c>
      <c r="AL3551">
        <v>93.247398289587295</v>
      </c>
      <c r="AM3551">
        <v>75.771108575632198</v>
      </c>
      <c r="AN3551">
        <v>0.99999996250937495</v>
      </c>
    </row>
    <row r="3552" spans="1:40" x14ac:dyDescent="0.25">
      <c r="A3552" t="str">
        <f>"20190305135304730"</f>
        <v>20190305135304730</v>
      </c>
      <c r="B3552" t="str">
        <f>"1551765184723419"</f>
        <v>1551765184723419</v>
      </c>
      <c r="C3552" t="s">
        <v>40</v>
      </c>
      <c r="D3552">
        <v>4.7966069999999998</v>
      </c>
      <c r="E3552">
        <v>0.66613230000000001</v>
      </c>
      <c r="F3552" t="s">
        <v>55</v>
      </c>
      <c r="G3552">
        <v>-197.2568</v>
      </c>
      <c r="H3552" s="1">
        <v>5.2062290000000004E-6</v>
      </c>
      <c r="I3552">
        <v>202.1694</v>
      </c>
      <c r="J3552">
        <v>-205.50200000000001</v>
      </c>
      <c r="K3552">
        <v>1.0961369999999999</v>
      </c>
      <c r="L3552">
        <v>213.8938</v>
      </c>
      <c r="M3552">
        <v>0.95699540000000005</v>
      </c>
      <c r="N3552">
        <v>-2.938321E-2</v>
      </c>
      <c r="O3552">
        <v>-0.28861120000000001</v>
      </c>
      <c r="P3552">
        <v>0.8491455</v>
      </c>
      <c r="Q3552">
        <v>-7.8408580000000005E-2</v>
      </c>
      <c r="R3552">
        <v>-0.5223061</v>
      </c>
      <c r="S3552">
        <v>1.918228</v>
      </c>
      <c r="T3552">
        <v>-0.2458998</v>
      </c>
      <c r="U3552">
        <v>-2.6529539999999998</v>
      </c>
      <c r="V3552">
        <v>0.25299500000000003</v>
      </c>
      <c r="W3552">
        <v>-5.885456E-2</v>
      </c>
      <c r="X3552">
        <v>0.96567579999999997</v>
      </c>
      <c r="Y3552">
        <v>0.60463520000000004</v>
      </c>
      <c r="Z3552">
        <v>-2.0494950000000001E-2</v>
      </c>
      <c r="AA3552">
        <v>0.79623880000000002</v>
      </c>
      <c r="AB3552">
        <v>31</v>
      </c>
      <c r="AC3552">
        <v>8.2452000000000094</v>
      </c>
      <c r="AD3552">
        <v>-1.096131793771</v>
      </c>
      <c r="AE3552">
        <v>-11.724399999999999</v>
      </c>
      <c r="AF3552">
        <v>8.7929348549046598</v>
      </c>
      <c r="AG3552">
        <v>-1.096131793771</v>
      </c>
      <c r="AH3552">
        <v>11.2137006534516</v>
      </c>
      <c r="AI3552">
        <v>94.398614127028694</v>
      </c>
      <c r="AJ3552">
        <v>51.8991444363798</v>
      </c>
      <c r="AK3552">
        <v>14.292105884618101</v>
      </c>
      <c r="AL3552">
        <v>93.374067555744702</v>
      </c>
      <c r="AM3552">
        <v>75.319170078975702</v>
      </c>
      <c r="AN3552">
        <v>1.0000000399817099</v>
      </c>
    </row>
    <row r="3553" spans="1:40" x14ac:dyDescent="0.25">
      <c r="A3553" t="str">
        <f>"20190305135304753"</f>
        <v>20190305135304753</v>
      </c>
      <c r="B3553" t="str">
        <f>"1551765184743446"</f>
        <v>1551765184743446</v>
      </c>
      <c r="C3553" t="s">
        <v>40</v>
      </c>
      <c r="D3553">
        <v>4.8358860000000004</v>
      </c>
      <c r="E3553">
        <v>0.66500039999999905</v>
      </c>
      <c r="F3553" t="s">
        <v>55</v>
      </c>
      <c r="G3553">
        <v>-197.45519999999999</v>
      </c>
      <c r="H3553" s="1">
        <v>5.1621899999999996E-6</v>
      </c>
      <c r="I3553">
        <v>202.1696</v>
      </c>
      <c r="J3553">
        <v>-205.1919</v>
      </c>
      <c r="K3553">
        <v>1.095834</v>
      </c>
      <c r="L3553">
        <v>213.7809</v>
      </c>
      <c r="M3553">
        <v>0.95137530000000003</v>
      </c>
      <c r="N3553">
        <v>-2.8876280000000001E-2</v>
      </c>
      <c r="O3553">
        <v>-0.30667810000000001</v>
      </c>
      <c r="P3553">
        <v>0.83452499999999996</v>
      </c>
      <c r="Q3553">
        <v>-7.9141069999999994E-2</v>
      </c>
      <c r="R3553">
        <v>-0.54525669999999904</v>
      </c>
      <c r="S3553">
        <v>1.850922</v>
      </c>
      <c r="T3553">
        <v>-0.25213350000000001</v>
      </c>
      <c r="U3553">
        <v>-2.6968079999999999</v>
      </c>
      <c r="V3553">
        <v>0.2609514</v>
      </c>
      <c r="W3553">
        <v>-6.057042E-2</v>
      </c>
      <c r="X3553">
        <v>0.96344980000000002</v>
      </c>
      <c r="Y3553">
        <v>0.60904380000000002</v>
      </c>
      <c r="Z3553">
        <v>-1.9491250000000002E-2</v>
      </c>
      <c r="AA3553">
        <v>0.79289699999999996</v>
      </c>
      <c r="AB3553">
        <v>31</v>
      </c>
      <c r="AC3553">
        <v>7.7367000000000097</v>
      </c>
      <c r="AD3553">
        <v>-1.0958288378100001</v>
      </c>
      <c r="AE3553">
        <v>-11.6113</v>
      </c>
      <c r="AF3553">
        <v>8.6244467506047204</v>
      </c>
      <c r="AG3553">
        <v>-1.0958288378100001</v>
      </c>
      <c r="AH3553">
        <v>10.8590096825993</v>
      </c>
      <c r="AI3553">
        <v>94.518300180910302</v>
      </c>
      <c r="AJ3553">
        <v>51.542681348302096</v>
      </c>
      <c r="AK3553">
        <v>13.910428242242499</v>
      </c>
      <c r="AL3553">
        <v>93.472555106822696</v>
      </c>
      <c r="AM3553">
        <v>74.844985676283599</v>
      </c>
      <c r="AN3553">
        <v>0.99999996303048699</v>
      </c>
    </row>
    <row r="3554" spans="1:40" x14ac:dyDescent="0.25">
      <c r="A3554" t="str">
        <f>"20190305135304774"</f>
        <v>20190305135304774</v>
      </c>
      <c r="B3554" t="str">
        <f>"1551765184762965"</f>
        <v>1551765184762965</v>
      </c>
      <c r="C3554" t="s">
        <v>40</v>
      </c>
      <c r="D3554">
        <v>4.8633170000000003</v>
      </c>
      <c r="E3554">
        <v>0.66363309999999998</v>
      </c>
      <c r="F3554" t="s">
        <v>55</v>
      </c>
      <c r="G3554">
        <v>-197.774</v>
      </c>
      <c r="H3554" s="1">
        <v>5.0373400000000003E-6</v>
      </c>
      <c r="I3554">
        <v>202.3742</v>
      </c>
      <c r="J3554">
        <v>-204.9093</v>
      </c>
      <c r="K3554">
        <v>1.0956079999999999</v>
      </c>
      <c r="L3554">
        <v>213.672</v>
      </c>
      <c r="M3554">
        <v>0.94576769999999999</v>
      </c>
      <c r="N3554">
        <v>-2.8439969999999998E-2</v>
      </c>
      <c r="O3554">
        <v>-0.32359640000000001</v>
      </c>
      <c r="P3554">
        <v>0.81995339999999906</v>
      </c>
      <c r="Q3554">
        <v>-8.0144789999999994E-2</v>
      </c>
      <c r="R3554">
        <v>-0.56679250000000003</v>
      </c>
      <c r="S3554">
        <v>1.780762</v>
      </c>
      <c r="T3554">
        <v>-0.26306990000000002</v>
      </c>
      <c r="U3554">
        <v>-2.7383579999999998</v>
      </c>
      <c r="V3554">
        <v>0.26877129999999999</v>
      </c>
      <c r="W3554">
        <v>-6.2463100000000001E-2</v>
      </c>
      <c r="X3554">
        <v>0.96117649999999999</v>
      </c>
      <c r="Y3554">
        <v>0.61453459999999904</v>
      </c>
      <c r="Z3554">
        <v>-1.858431E-2</v>
      </c>
      <c r="AA3554">
        <v>0.78867100000000001</v>
      </c>
      <c r="AB3554">
        <v>31</v>
      </c>
      <c r="AC3554">
        <v>7.1353</v>
      </c>
      <c r="AD3554">
        <v>-1.0956029626599999</v>
      </c>
      <c r="AE3554">
        <v>-11.297799999999899</v>
      </c>
      <c r="AF3554">
        <v>8.3235700576994702</v>
      </c>
      <c r="AG3554">
        <v>-1.0956029626599999</v>
      </c>
      <c r="AH3554">
        <v>10.3389687111519</v>
      </c>
      <c r="AI3554">
        <v>94.718662471700299</v>
      </c>
      <c r="AJ3554">
        <v>51.163580444807202</v>
      </c>
      <c r="AK3554">
        <v>13.318274601741701</v>
      </c>
      <c r="AL3554">
        <v>93.581203498103903</v>
      </c>
      <c r="AM3554">
        <v>74.3775510351077</v>
      </c>
      <c r="AN3554">
        <v>0.99999995735877401</v>
      </c>
    </row>
    <row r="3555" spans="1:40" x14ac:dyDescent="0.25">
      <c r="A3555" t="str">
        <f>"20190305135304796"</f>
        <v>20190305135304796</v>
      </c>
      <c r="B3555" t="str">
        <f>"1551765184783462"</f>
        <v>1551765184783462</v>
      </c>
      <c r="C3555" t="s">
        <v>40</v>
      </c>
      <c r="D3555">
        <v>4.8999940000000004</v>
      </c>
      <c r="E3555">
        <v>0.66220950000000001</v>
      </c>
      <c r="F3555" t="s">
        <v>55</v>
      </c>
      <c r="G3555">
        <v>-197.96729999999999</v>
      </c>
      <c r="H3555" s="1">
        <v>4.978412E-6</v>
      </c>
      <c r="I3555">
        <v>202.4348</v>
      </c>
      <c r="J3555">
        <v>-204.63319999999999</v>
      </c>
      <c r="K3555">
        <v>1.0954140000000001</v>
      </c>
      <c r="L3555">
        <v>213.55959999999999</v>
      </c>
      <c r="M3555">
        <v>0.93980949999999996</v>
      </c>
      <c r="N3555">
        <v>-2.805156E-2</v>
      </c>
      <c r="O3555">
        <v>-0.34054600000000002</v>
      </c>
      <c r="P3555">
        <v>0.80528520000000003</v>
      </c>
      <c r="Q3555">
        <v>-7.9809160000000004E-2</v>
      </c>
      <c r="R3555">
        <v>-0.58749219999999902</v>
      </c>
      <c r="S3555">
        <v>1.714218</v>
      </c>
      <c r="T3555">
        <v>-0.27054139999999999</v>
      </c>
      <c r="U3555">
        <v>-2.7748409999999999</v>
      </c>
      <c r="V3555">
        <v>0.27590999999999999</v>
      </c>
      <c r="W3555">
        <v>-6.2932859999999993E-2</v>
      </c>
      <c r="X3555">
        <v>0.959121</v>
      </c>
      <c r="Y3555">
        <v>0.61859319999999995</v>
      </c>
      <c r="Z3555">
        <v>-1.7479049999999999E-2</v>
      </c>
      <c r="AA3555">
        <v>0.78551700000000002</v>
      </c>
      <c r="AB3555">
        <v>31</v>
      </c>
      <c r="AC3555">
        <v>6.6658999999999899</v>
      </c>
      <c r="AD3555">
        <v>-1.0954090215879999</v>
      </c>
      <c r="AE3555">
        <v>-11.124799999999899</v>
      </c>
      <c r="AF3555">
        <v>8.1303652097460102</v>
      </c>
      <c r="AG3555">
        <v>-1.0954090215879999</v>
      </c>
      <c r="AH3555">
        <v>9.9858978796927698</v>
      </c>
      <c r="AI3555">
        <v>94.862223348121105</v>
      </c>
      <c r="AJ3555">
        <v>50.848046399196598</v>
      </c>
      <c r="AK3555">
        <v>12.923657215822301</v>
      </c>
      <c r="AL3555">
        <v>93.608171731892398</v>
      </c>
      <c r="AM3555">
        <v>73.951079099252894</v>
      </c>
      <c r="AN3555">
        <v>0.99999998280438895</v>
      </c>
    </row>
    <row r="3556" spans="1:40" x14ac:dyDescent="0.25">
      <c r="A3556" t="str">
        <f>"20190305135304819"</f>
        <v>20190305135304819</v>
      </c>
      <c r="B3556" t="str">
        <f>"1551765184813718"</f>
        <v>1551765184813718</v>
      </c>
      <c r="C3556" t="s">
        <v>40</v>
      </c>
      <c r="D3556">
        <v>4.8888559999999996</v>
      </c>
      <c r="E3556">
        <v>0.63933269999999998</v>
      </c>
      <c r="F3556" t="s">
        <v>55</v>
      </c>
      <c r="G3556">
        <v>-198.01830000000001</v>
      </c>
      <c r="H3556" s="1">
        <v>5.0033470000000003E-6</v>
      </c>
      <c r="I3556">
        <v>202.298</v>
      </c>
      <c r="J3556">
        <v>-204.33609999999999</v>
      </c>
      <c r="K3556">
        <v>1.095218</v>
      </c>
      <c r="L3556">
        <v>213.43199999999999</v>
      </c>
      <c r="M3556">
        <v>0.93285010000000002</v>
      </c>
      <c r="N3556">
        <v>-2.7700349999999999E-2</v>
      </c>
      <c r="O3556">
        <v>-0.35919839999999997</v>
      </c>
      <c r="P3556">
        <v>0.78893359999999901</v>
      </c>
      <c r="Q3556">
        <v>-7.9276840000000001E-2</v>
      </c>
      <c r="R3556">
        <v>-0.60934319999999997</v>
      </c>
      <c r="S3556">
        <v>1.64955099999999</v>
      </c>
      <c r="T3556">
        <v>-0.27316089999999998</v>
      </c>
      <c r="U3556">
        <v>-2.8083040000000001</v>
      </c>
      <c r="V3556">
        <v>0.28303129999999999</v>
      </c>
      <c r="W3556">
        <v>-6.3175629999999997E-2</v>
      </c>
      <c r="X3556">
        <v>0.95702770000000004</v>
      </c>
      <c r="Y3556">
        <v>0.62047559999999902</v>
      </c>
      <c r="Z3556">
        <v>-1.6054160000000001E-2</v>
      </c>
      <c r="AA3556">
        <v>0.78406140000000002</v>
      </c>
      <c r="AB3556">
        <v>30</v>
      </c>
      <c r="AC3556">
        <v>6.3177999999999699</v>
      </c>
      <c r="AD3556">
        <v>-1.095212996653</v>
      </c>
      <c r="AE3556">
        <v>-11.134</v>
      </c>
      <c r="AF3556">
        <v>8.0611230346835097</v>
      </c>
      <c r="AG3556">
        <v>-1.095212996653</v>
      </c>
      <c r="AH3556">
        <v>9.8247620258437998</v>
      </c>
      <c r="AI3556">
        <v>94.925529980418204</v>
      </c>
      <c r="AJ3556">
        <v>50.631450113933603</v>
      </c>
      <c r="AK3556">
        <v>12.755671089864499</v>
      </c>
      <c r="AL3556">
        <v>93.622109289643802</v>
      </c>
      <c r="AM3556">
        <v>73.524948067154199</v>
      </c>
      <c r="AN3556">
        <v>0.99999994778643697</v>
      </c>
    </row>
    <row r="3557" spans="1:40" x14ac:dyDescent="0.25">
      <c r="A3557" t="str">
        <f>"20190305135304841"</f>
        <v>20190305135304841</v>
      </c>
      <c r="B3557" t="str">
        <f>"1551765184833237"</f>
        <v>1551765184833237</v>
      </c>
      <c r="C3557" t="s">
        <v>40</v>
      </c>
      <c r="D3557">
        <v>4.8971629999999999</v>
      </c>
      <c r="E3557">
        <v>0.63676129999999997</v>
      </c>
      <c r="F3557" t="s">
        <v>55</v>
      </c>
      <c r="G3557">
        <v>-198.53290000000001</v>
      </c>
      <c r="H3557" s="1">
        <v>4.4178040000000004E-6</v>
      </c>
      <c r="I3557">
        <v>204.07830000000001</v>
      </c>
      <c r="J3557">
        <v>-204.05719999999999</v>
      </c>
      <c r="K3557">
        <v>1.09507</v>
      </c>
      <c r="L3557">
        <v>213.30549999999999</v>
      </c>
      <c r="M3557">
        <v>0.92576740000000002</v>
      </c>
      <c r="N3557">
        <v>-2.7449589999999999E-2</v>
      </c>
      <c r="O3557">
        <v>-0.37709609999999999</v>
      </c>
      <c r="P3557">
        <v>0.77240959999999903</v>
      </c>
      <c r="Q3557">
        <v>-7.7929830000000005E-2</v>
      </c>
      <c r="R3557">
        <v>-0.63032600000000005</v>
      </c>
      <c r="S3557">
        <v>1.6797029999999999</v>
      </c>
      <c r="T3557">
        <v>-0.31700209999999901</v>
      </c>
      <c r="U3557">
        <v>-2.7073670000000001</v>
      </c>
      <c r="V3557">
        <v>0.29026259999999998</v>
      </c>
      <c r="W3557">
        <v>-6.2499539999999999E-2</v>
      </c>
      <c r="X3557">
        <v>0.95490390000000003</v>
      </c>
      <c r="Y3557">
        <v>0.58557599999999999</v>
      </c>
      <c r="Z3557">
        <v>-1.088218E-2</v>
      </c>
      <c r="AA3557">
        <v>0.8105445</v>
      </c>
      <c r="AB3557">
        <v>30</v>
      </c>
      <c r="AC3557">
        <v>5.5242999999999798</v>
      </c>
      <c r="AD3557">
        <v>-1.095065582196</v>
      </c>
      <c r="AE3557">
        <v>-9.2271999999999803</v>
      </c>
      <c r="AF3557">
        <v>6.3951769677489496</v>
      </c>
      <c r="AG3557">
        <v>-1.095065582196</v>
      </c>
      <c r="AH3557">
        <v>8.5087763512999608</v>
      </c>
      <c r="AI3557">
        <v>95.873909260327096</v>
      </c>
      <c r="AJ3557">
        <v>53.0715597314748</v>
      </c>
      <c r="AK3557">
        <v>10.700314578299899</v>
      </c>
      <c r="AL3557">
        <v>93.583295241102704</v>
      </c>
      <c r="AM3557">
        <v>73.0922763135341</v>
      </c>
      <c r="AN3557">
        <v>1.0000000138470899</v>
      </c>
    </row>
    <row r="3558" spans="1:40" x14ac:dyDescent="0.25">
      <c r="A3558" t="str">
        <f>"20190305135304863"</f>
        <v>20190305135304863</v>
      </c>
      <c r="B3558" t="str">
        <f>"1551765184853264"</f>
        <v>1551765184853264</v>
      </c>
      <c r="C3558" t="s">
        <v>40</v>
      </c>
      <c r="D3558">
        <v>5.0057019999999897</v>
      </c>
      <c r="E3558">
        <v>0.63880230000000005</v>
      </c>
      <c r="F3558" t="s">
        <v>55</v>
      </c>
      <c r="G3558">
        <v>-198.42590000000001</v>
      </c>
      <c r="H3558" s="1">
        <v>4.5168840000000003E-6</v>
      </c>
      <c r="I3558">
        <v>203.7938</v>
      </c>
      <c r="J3558">
        <v>-203.7859</v>
      </c>
      <c r="K3558">
        <v>1.094951</v>
      </c>
      <c r="L3558">
        <v>213.17590000000001</v>
      </c>
      <c r="M3558">
        <v>0.91832950000000002</v>
      </c>
      <c r="N3558">
        <v>-2.7280410000000001E-2</v>
      </c>
      <c r="O3558">
        <v>-0.39487539999999999</v>
      </c>
      <c r="P3558">
        <v>0.75602709999999995</v>
      </c>
      <c r="Q3558">
        <v>-7.6005349999999999E-2</v>
      </c>
      <c r="R3558">
        <v>-0.65011219999999903</v>
      </c>
      <c r="S3558">
        <v>1.619675</v>
      </c>
      <c r="T3558">
        <v>-0.31495869999999998</v>
      </c>
      <c r="U3558">
        <v>-2.7357330000000002</v>
      </c>
      <c r="V3558">
        <v>0.29652009999999901</v>
      </c>
      <c r="W3558">
        <v>-6.1117699999999997E-2</v>
      </c>
      <c r="X3558">
        <v>0.95306900000000006</v>
      </c>
      <c r="Y3558">
        <v>0.58684219999999998</v>
      </c>
      <c r="Z3558">
        <v>-9.3221229999999999E-3</v>
      </c>
      <c r="AA3558">
        <v>0.80964759999999902</v>
      </c>
      <c r="AB3558">
        <v>30</v>
      </c>
      <c r="AC3558">
        <v>5.3599999999999799</v>
      </c>
      <c r="AD3558">
        <v>-1.0949464831160001</v>
      </c>
      <c r="AE3558">
        <v>-9.3820999999999994</v>
      </c>
      <c r="AF3558">
        <v>6.4356612952916397</v>
      </c>
      <c r="AG3558">
        <v>-1.0949464831160001</v>
      </c>
      <c r="AH3558">
        <v>8.5424986373746599</v>
      </c>
      <c r="AI3558">
        <v>95.845306293918696</v>
      </c>
      <c r="AJ3558">
        <v>53.006730444846298</v>
      </c>
      <c r="AK3558">
        <v>10.7513221083804</v>
      </c>
      <c r="AL3558">
        <v>93.503969907777304</v>
      </c>
      <c r="AM3558">
        <v>72.717967518339705</v>
      </c>
      <c r="AN3558">
        <v>1.0000000308591399</v>
      </c>
    </row>
    <row r="3559" spans="1:40" x14ac:dyDescent="0.25">
      <c r="A3559" t="str">
        <f>"20190305135304885"</f>
        <v>20190305135304885</v>
      </c>
      <c r="B3559" t="str">
        <f>"1551765184873760"</f>
        <v>1551765184873760</v>
      </c>
      <c r="C3559" t="s">
        <v>40</v>
      </c>
      <c r="D3559">
        <v>4.8754609999999996</v>
      </c>
      <c r="E3559">
        <v>0.68924540000000001</v>
      </c>
      <c r="F3559" t="s">
        <v>55</v>
      </c>
      <c r="G3559">
        <v>-197.4599</v>
      </c>
      <c r="H3559" s="1">
        <v>5.2769619999999998E-6</v>
      </c>
      <c r="I3559">
        <v>201.73230000000001</v>
      </c>
      <c r="J3559">
        <v>-203.51990000000001</v>
      </c>
      <c r="K3559">
        <v>1.0948519999999999</v>
      </c>
      <c r="L3559">
        <v>213.04220000000001</v>
      </c>
      <c r="M3559">
        <v>0.91048050000000003</v>
      </c>
      <c r="N3559">
        <v>-2.7174319999999998E-2</v>
      </c>
      <c r="O3559">
        <v>-0.41265839999999998</v>
      </c>
      <c r="P3559">
        <v>0.73987899999999995</v>
      </c>
      <c r="Q3559">
        <v>-7.3195159999999995E-2</v>
      </c>
      <c r="R3559">
        <v>-0.66874609999999901</v>
      </c>
      <c r="S3559">
        <v>1.5422359999999999</v>
      </c>
      <c r="T3559">
        <v>-0.26694230000000002</v>
      </c>
      <c r="U3559">
        <v>-2.7898860000000001</v>
      </c>
      <c r="V3559">
        <v>0.30168040000000002</v>
      </c>
      <c r="W3559">
        <v>-5.8736570000000002E-2</v>
      </c>
      <c r="X3559">
        <v>0.9515981</v>
      </c>
      <c r="Y3559">
        <v>0.59548459999999903</v>
      </c>
      <c r="Z3559">
        <v>-1.003939E-2</v>
      </c>
      <c r="AA3559">
        <v>0.80330400000000002</v>
      </c>
      <c r="AB3559">
        <v>30</v>
      </c>
      <c r="AC3559">
        <v>6.06</v>
      </c>
      <c r="AD3559">
        <v>-1.0948467230379999</v>
      </c>
      <c r="AE3559">
        <v>-11.309900000000001</v>
      </c>
      <c r="AF3559">
        <v>7.7432364584770097</v>
      </c>
      <c r="AG3559">
        <v>-1.0948467230379999</v>
      </c>
      <c r="AH3559">
        <v>10.1147554976317</v>
      </c>
      <c r="AI3559">
        <v>94.912428097652494</v>
      </c>
      <c r="AJ3559">
        <v>52.564546999817097</v>
      </c>
      <c r="AK3559">
        <v>12.7853306165975</v>
      </c>
      <c r="AL3559">
        <v>93.367295659377106</v>
      </c>
      <c r="AM3559">
        <v>72.410082648828904</v>
      </c>
      <c r="AN3559">
        <v>0.99999999616156698</v>
      </c>
    </row>
    <row r="3560" spans="1:40" x14ac:dyDescent="0.25">
      <c r="A3560" t="str">
        <f>"20190305135304907"</f>
        <v>20190305135304907</v>
      </c>
      <c r="B3560" t="str">
        <f>"1551765184903040"</f>
        <v>1551765184903040</v>
      </c>
      <c r="C3560" t="s">
        <v>40</v>
      </c>
      <c r="D3560">
        <v>4.8419030000000003</v>
      </c>
      <c r="E3560">
        <v>0.690173699999999</v>
      </c>
      <c r="F3560" t="s">
        <v>77</v>
      </c>
      <c r="G3560">
        <v>-163.61320000000001</v>
      </c>
      <c r="H3560">
        <v>0.5569482</v>
      </c>
      <c r="I3560">
        <v>111.00449999999999</v>
      </c>
      <c r="J3560">
        <v>-203.25120000000001</v>
      </c>
      <c r="K3560">
        <v>1.09476</v>
      </c>
      <c r="L3560">
        <v>212.89959999999999</v>
      </c>
      <c r="M3560">
        <v>0.90192819999999996</v>
      </c>
      <c r="N3560">
        <v>-2.7123600000000001E-2</v>
      </c>
      <c r="O3560">
        <v>-0.43103359999999902</v>
      </c>
      <c r="P3560">
        <v>0.7227306</v>
      </c>
      <c r="Q3560">
        <v>-7.0622619999999997E-2</v>
      </c>
      <c r="R3560">
        <v>-0.68751249999999997</v>
      </c>
      <c r="S3560">
        <v>1.224091</v>
      </c>
      <c r="T3560">
        <v>-1.6499280000000002E-2</v>
      </c>
      <c r="U3560">
        <v>-3.129883</v>
      </c>
      <c r="V3560">
        <v>0.30675619999999998</v>
      </c>
      <c r="W3560">
        <v>-5.6539300000000001E-2</v>
      </c>
      <c r="X3560">
        <v>0.95010729999999999</v>
      </c>
      <c r="Y3560">
        <v>0.68304100000000001</v>
      </c>
      <c r="Z3560">
        <v>-2.099204E-2</v>
      </c>
      <c r="AA3560">
        <v>0.73007819999999901</v>
      </c>
      <c r="AB3560">
        <v>30</v>
      </c>
      <c r="AC3560">
        <v>39.637999999999998</v>
      </c>
      <c r="AD3560">
        <v>-0.53781179999999995</v>
      </c>
      <c r="AE3560">
        <v>-101.8951</v>
      </c>
      <c r="AF3560">
        <v>74.842474567066702</v>
      </c>
      <c r="AG3560">
        <v>-0.53781179999999995</v>
      </c>
      <c r="AH3560">
        <v>79.698230762162297</v>
      </c>
      <c r="AI3560">
        <v>90.281843024522004</v>
      </c>
      <c r="AJ3560">
        <v>46.799673646184203</v>
      </c>
      <c r="AK3560">
        <v>109.332032028464</v>
      </c>
      <c r="AL3560">
        <v>93.241191779105193</v>
      </c>
      <c r="AM3560">
        <v>72.106558424781298</v>
      </c>
      <c r="AN3560">
        <v>0.99999997009810904</v>
      </c>
    </row>
    <row r="3561" spans="1:40" x14ac:dyDescent="0.25">
      <c r="A3561" t="str">
        <f>"20190305135304931"</f>
        <v>20190305135304931</v>
      </c>
      <c r="B3561" t="str">
        <f>"1551765184923537"</f>
        <v>1551765184923537</v>
      </c>
      <c r="C3561" t="s">
        <v>40</v>
      </c>
      <c r="D3561">
        <v>4.8927649999999998</v>
      </c>
      <c r="E3561">
        <v>0.68716009999999905</v>
      </c>
      <c r="F3561" t="s">
        <v>77</v>
      </c>
      <c r="G3561">
        <v>-165.76570000000001</v>
      </c>
      <c r="H3561">
        <v>1.3456239999999999</v>
      </c>
      <c r="I3561">
        <v>108.8488</v>
      </c>
      <c r="J3561">
        <v>-202.97819999999999</v>
      </c>
      <c r="K3561">
        <v>1.0946610000000001</v>
      </c>
      <c r="L3561">
        <v>212.74700000000001</v>
      </c>
      <c r="M3561">
        <v>0.89256880000000005</v>
      </c>
      <c r="N3561">
        <v>-2.7117249999999999E-2</v>
      </c>
      <c r="O3561">
        <v>-0.45009510000000003</v>
      </c>
      <c r="P3561">
        <v>0.70503559999999998</v>
      </c>
      <c r="Q3561">
        <v>-6.9457690000000002E-2</v>
      </c>
      <c r="R3561">
        <v>-0.70576249999999996</v>
      </c>
      <c r="S3561">
        <v>1.1404110000000001</v>
      </c>
      <c r="T3561">
        <v>7.6322559999999996E-3</v>
      </c>
      <c r="U3561">
        <v>-3.1655120000000001</v>
      </c>
      <c r="V3561">
        <v>0.31082320000000002</v>
      </c>
      <c r="W3561">
        <v>-5.5663919999999999E-2</v>
      </c>
      <c r="X3561">
        <v>0.94883640000000002</v>
      </c>
      <c r="Y3561">
        <v>0.68735360000000001</v>
      </c>
      <c r="Z3561">
        <v>-2.2067489999999999E-2</v>
      </c>
      <c r="AA3561">
        <v>0.72598769999999901</v>
      </c>
      <c r="AB3561">
        <v>29</v>
      </c>
      <c r="AC3561">
        <v>37.212499999999899</v>
      </c>
      <c r="AD3561">
        <v>0.25096299999999899</v>
      </c>
      <c r="AE3561">
        <v>-103.8982</v>
      </c>
      <c r="AF3561">
        <v>76.014688242111404</v>
      </c>
      <c r="AG3561">
        <v>0.25096299999999899</v>
      </c>
      <c r="AH3561">
        <v>80.007795414365205</v>
      </c>
      <c r="AI3561">
        <v>89.8697081636913</v>
      </c>
      <c r="AJ3561">
        <v>46.466059567620199</v>
      </c>
      <c r="AK3561">
        <v>110.360967456975</v>
      </c>
      <c r="AL3561">
        <v>93.190956908537899</v>
      </c>
      <c r="AM3561">
        <v>71.862055117745101</v>
      </c>
      <c r="AN3561">
        <v>1.0000000238064799</v>
      </c>
    </row>
    <row r="3562" spans="1:40" x14ac:dyDescent="0.25">
      <c r="A3562" t="str">
        <f>"20190305135304953"</f>
        <v>20190305135304953</v>
      </c>
      <c r="B3562" t="str">
        <f>"1551765184943563"</f>
        <v>1551765184943563</v>
      </c>
      <c r="C3562" t="s">
        <v>40</v>
      </c>
      <c r="D3562">
        <v>4.8988389999999997</v>
      </c>
      <c r="E3562">
        <v>0.68402269999999998</v>
      </c>
      <c r="F3562" t="s">
        <v>77</v>
      </c>
      <c r="G3562">
        <v>-167.3108</v>
      </c>
      <c r="H3562">
        <v>0.54459049999999998</v>
      </c>
      <c r="I3562">
        <v>107.3005</v>
      </c>
      <c r="J3562">
        <v>-202.7276</v>
      </c>
      <c r="K3562">
        <v>1.0945590000000001</v>
      </c>
      <c r="L3562">
        <v>212.59989999999999</v>
      </c>
      <c r="M3562">
        <v>0.88334969999999902</v>
      </c>
      <c r="N3562">
        <v>-2.7141229999999999E-2</v>
      </c>
      <c r="O3562">
        <v>-0.46792790000000001</v>
      </c>
      <c r="P3562">
        <v>0.68840389999999996</v>
      </c>
      <c r="Q3562">
        <v>-7.100571E-2</v>
      </c>
      <c r="R3562">
        <v>-0.72184389999999998</v>
      </c>
      <c r="S3562">
        <v>1.074265</v>
      </c>
      <c r="T3562">
        <v>-1.6567229999999999E-2</v>
      </c>
      <c r="U3562">
        <v>-3.1759339999999998</v>
      </c>
      <c r="V3562">
        <v>0.3136565</v>
      </c>
      <c r="W3562">
        <v>-5.7409660000000001E-2</v>
      </c>
      <c r="X3562">
        <v>0.94779939999999996</v>
      </c>
      <c r="Y3562">
        <v>0.68689440000000002</v>
      </c>
      <c r="Z3562">
        <v>-2.1674510000000001E-2</v>
      </c>
      <c r="AA3562">
        <v>0.72643400000000002</v>
      </c>
      <c r="AB3562">
        <v>29</v>
      </c>
      <c r="AC3562">
        <v>35.416799999999903</v>
      </c>
      <c r="AD3562">
        <v>-0.54996849999999997</v>
      </c>
      <c r="AE3562">
        <v>-105.29940000000001</v>
      </c>
      <c r="AF3562">
        <v>76.469987511957697</v>
      </c>
      <c r="AG3562">
        <v>-0.54996849999999997</v>
      </c>
      <c r="AH3562">
        <v>80.585665375768301</v>
      </c>
      <c r="AI3562">
        <v>90.283641163829799</v>
      </c>
      <c r="AJ3562">
        <v>46.501104934025904</v>
      </c>
      <c r="AK3562">
        <v>111.094603466978</v>
      </c>
      <c r="AL3562">
        <v>93.291140820521306</v>
      </c>
      <c r="AM3562">
        <v>71.689003363907602</v>
      </c>
      <c r="AN3562">
        <v>0.99999998584696204</v>
      </c>
    </row>
    <row r="3563" spans="1:40" x14ac:dyDescent="0.25">
      <c r="A3563" t="str">
        <f>"20190305135304975"</f>
        <v>20190305135304975</v>
      </c>
      <c r="B3563" t="str">
        <f>"1551765184963084"</f>
        <v>1551765184963084</v>
      </c>
      <c r="C3563" t="s">
        <v>40</v>
      </c>
      <c r="D3563">
        <v>4.9192359999999997</v>
      </c>
      <c r="E3563">
        <v>0.682650599999999</v>
      </c>
      <c r="F3563" t="s">
        <v>78</v>
      </c>
      <c r="G3563">
        <v>-179.34630000000001</v>
      </c>
      <c r="H3563" s="1">
        <v>-8.4661659999999905E-6</v>
      </c>
      <c r="I3563">
        <v>139.38200000000001</v>
      </c>
      <c r="J3563">
        <v>-202.47540000000001</v>
      </c>
      <c r="K3563">
        <v>1.094455</v>
      </c>
      <c r="L3563">
        <v>212.44460000000001</v>
      </c>
      <c r="M3563">
        <v>0.87341809999999998</v>
      </c>
      <c r="N3563">
        <v>-2.718489E-2</v>
      </c>
      <c r="O3563">
        <v>-0.48621170000000002</v>
      </c>
      <c r="P3563">
        <v>0.67191339999999999</v>
      </c>
      <c r="Q3563">
        <v>-7.4149019999999996E-2</v>
      </c>
      <c r="R3563">
        <v>-0.73690849999999997</v>
      </c>
      <c r="S3563">
        <v>1.0162199999999999</v>
      </c>
      <c r="T3563">
        <v>-4.7573089999999998E-2</v>
      </c>
      <c r="U3563">
        <v>-3.1822659999999998</v>
      </c>
      <c r="V3563">
        <v>0.31494169999999999</v>
      </c>
      <c r="W3563">
        <v>-6.0658200000000002E-2</v>
      </c>
      <c r="X3563">
        <v>0.94717070000000003</v>
      </c>
      <c r="Y3563">
        <v>0.68400150000000004</v>
      </c>
      <c r="Z3563">
        <v>-2.0619350000000002E-2</v>
      </c>
      <c r="AA3563">
        <v>0.72918919999999998</v>
      </c>
      <c r="AB3563">
        <v>29</v>
      </c>
      <c r="AC3563">
        <v>23.129099999999902</v>
      </c>
      <c r="AD3563">
        <v>-1.094463466166</v>
      </c>
      <c r="AE3563">
        <v>-73.062600000000003</v>
      </c>
      <c r="AF3563">
        <v>52.577269820045998</v>
      </c>
      <c r="AG3563">
        <v>-1.094463466166</v>
      </c>
      <c r="AH3563">
        <v>55.734500231072403</v>
      </c>
      <c r="AI3563">
        <v>90.818369210125098</v>
      </c>
      <c r="AJ3563">
        <v>46.669668663583998</v>
      </c>
      <c r="AK3563">
        <v>76.628334629013693</v>
      </c>
      <c r="AL3563">
        <v>93.477593620393193</v>
      </c>
      <c r="AM3563">
        <v>71.607628374212297</v>
      </c>
      <c r="AN3563">
        <v>1.0000000132823099</v>
      </c>
    </row>
    <row r="3564" spans="1:40" x14ac:dyDescent="0.25">
      <c r="A3564" t="str">
        <f>"20190305135304997"</f>
        <v>20190305135304997</v>
      </c>
      <c r="B3564" t="str">
        <f>"1551765184993340"</f>
        <v>1551765184993340</v>
      </c>
      <c r="C3564" t="s">
        <v>40</v>
      </c>
      <c r="D3564">
        <v>4.973147</v>
      </c>
      <c r="E3564">
        <v>0.66158470000000003</v>
      </c>
      <c r="F3564" t="s">
        <v>78</v>
      </c>
      <c r="G3564">
        <v>-185.541</v>
      </c>
      <c r="H3564" s="1">
        <v>-1.324351E-5</v>
      </c>
      <c r="I3564">
        <v>155.6173</v>
      </c>
      <c r="J3564">
        <v>-202.24029999999999</v>
      </c>
      <c r="K3564">
        <v>1.0943769999999999</v>
      </c>
      <c r="L3564">
        <v>212.2927</v>
      </c>
      <c r="M3564">
        <v>0.86352329999999999</v>
      </c>
      <c r="N3564">
        <v>-2.7240759999999999E-2</v>
      </c>
      <c r="O3564">
        <v>-0.50357280000000004</v>
      </c>
      <c r="P3564">
        <v>0.65710059999999904</v>
      </c>
      <c r="Q3564">
        <v>-7.5612739999999998E-2</v>
      </c>
      <c r="R3564">
        <v>-0.75000109999999998</v>
      </c>
      <c r="S3564">
        <v>0.95251459999999999</v>
      </c>
      <c r="T3564">
        <v>-6.1560869999999997E-2</v>
      </c>
      <c r="U3564">
        <v>-3.1963810000000001</v>
      </c>
      <c r="V3564">
        <v>0.31468359999999901</v>
      </c>
      <c r="W3564">
        <v>-6.212413E-2</v>
      </c>
      <c r="X3564">
        <v>0.94716140000000004</v>
      </c>
      <c r="Y3564">
        <v>0.6835504</v>
      </c>
      <c r="Z3564">
        <v>-2.0032999999999999E-2</v>
      </c>
      <c r="AA3564">
        <v>0.72962839999999995</v>
      </c>
      <c r="AB3564">
        <v>29</v>
      </c>
      <c r="AC3564">
        <v>16.699299999999901</v>
      </c>
      <c r="AD3564">
        <v>-1.0943902435099999</v>
      </c>
      <c r="AE3564">
        <v>-56.675400000000003</v>
      </c>
      <c r="AF3564">
        <v>40.532353582778597</v>
      </c>
      <c r="AG3564">
        <v>-1.0943902435099999</v>
      </c>
      <c r="AH3564">
        <v>42.961631147296302</v>
      </c>
      <c r="AI3564">
        <v>91.061502978807496</v>
      </c>
      <c r="AJ3564">
        <v>46.666564322403701</v>
      </c>
      <c r="AK3564">
        <v>59.074284826824702</v>
      </c>
      <c r="AL3564">
        <v>93.561744192373098</v>
      </c>
      <c r="AM3564">
        <v>71.621519719101698</v>
      </c>
      <c r="AN3564">
        <v>0.99999994664358705</v>
      </c>
    </row>
    <row r="3565" spans="1:40" x14ac:dyDescent="0.25">
      <c r="A3565" t="str">
        <f>"20190305135305020"</f>
        <v>20190305135305020</v>
      </c>
      <c r="B3565" t="str">
        <f>"1551765185012859"</f>
        <v>1551765185012859</v>
      </c>
      <c r="C3565" t="s">
        <v>40</v>
      </c>
      <c r="D3565">
        <v>4.9877820000000002</v>
      </c>
      <c r="E3565">
        <v>0.65957900000000003</v>
      </c>
      <c r="F3565" t="s">
        <v>42</v>
      </c>
      <c r="G3565">
        <v>-196.5934</v>
      </c>
      <c r="H3565" s="1">
        <v>-3.8415639999999996E-6</v>
      </c>
      <c r="I3565">
        <v>194.83860000000001</v>
      </c>
      <c r="J3565">
        <v>-201.99080000000001</v>
      </c>
      <c r="K3565">
        <v>1.0943149999999999</v>
      </c>
      <c r="L3565">
        <v>212.12370000000001</v>
      </c>
      <c r="M3565">
        <v>0.85230849999999903</v>
      </c>
      <c r="N3565">
        <v>-2.7317330000000001E-2</v>
      </c>
      <c r="O3565">
        <v>-0.5223255</v>
      </c>
      <c r="P3565">
        <v>0.64117669999999904</v>
      </c>
      <c r="Q3565">
        <v>-7.5242299999999998E-2</v>
      </c>
      <c r="R3565">
        <v>-0.76369580000000004</v>
      </c>
      <c r="S3565">
        <v>1.0033570000000001</v>
      </c>
      <c r="T3565">
        <v>-0.19445280000000001</v>
      </c>
      <c r="U3565">
        <v>-3.1013030000000001</v>
      </c>
      <c r="V3565">
        <v>0.31394739999999999</v>
      </c>
      <c r="W3565">
        <v>-6.1699770000000001E-2</v>
      </c>
      <c r="X3565">
        <v>0.94743350000000004</v>
      </c>
      <c r="Y3565">
        <v>0.64911350000000001</v>
      </c>
      <c r="Z3565">
        <v>-1.0464269999999999E-2</v>
      </c>
      <c r="AA3565">
        <v>0.76061959999999995</v>
      </c>
      <c r="AB3565">
        <v>28</v>
      </c>
      <c r="AC3565">
        <v>5.3974000000000002</v>
      </c>
      <c r="AD3565">
        <v>-1.0943188415639999</v>
      </c>
      <c r="AE3565">
        <v>-17.2851</v>
      </c>
      <c r="AF3565">
        <v>11.8741208272817</v>
      </c>
      <c r="AG3565">
        <v>-1.0943188415639999</v>
      </c>
      <c r="AH3565">
        <v>13.584176555182101</v>
      </c>
      <c r="AI3565">
        <v>93.470906322258998</v>
      </c>
      <c r="AJ3565">
        <v>48.8428341926816</v>
      </c>
      <c r="AK3565">
        <v>18.075456614709498</v>
      </c>
      <c r="AL3565">
        <v>93.537383110250801</v>
      </c>
      <c r="AM3565">
        <v>71.666550668570494</v>
      </c>
      <c r="AN3565">
        <v>1.00000003425353</v>
      </c>
    </row>
    <row r="3566" spans="1:40" x14ac:dyDescent="0.25">
      <c r="A3566" t="str">
        <f>"20190305135305042"</f>
        <v>20190305135305042</v>
      </c>
      <c r="B3566" t="str">
        <f>"1551765185033355"</f>
        <v>1551765185033355</v>
      </c>
      <c r="C3566" t="s">
        <v>40</v>
      </c>
      <c r="D3566">
        <v>5.0419019999999897</v>
      </c>
      <c r="E3566">
        <v>0.65703769999999995</v>
      </c>
      <c r="F3566" t="s">
        <v>42</v>
      </c>
      <c r="G3566">
        <v>-196.74039999999999</v>
      </c>
      <c r="H3566" s="1">
        <v>-3.8948719999999998E-6</v>
      </c>
      <c r="I3566">
        <v>194.9186</v>
      </c>
      <c r="J3566">
        <v>-201.7578</v>
      </c>
      <c r="K3566">
        <v>1.094276</v>
      </c>
      <c r="L3566">
        <v>211.958</v>
      </c>
      <c r="M3566">
        <v>0.84111369999999896</v>
      </c>
      <c r="N3566">
        <v>-2.740161E-2</v>
      </c>
      <c r="O3566">
        <v>-0.54016379999999997</v>
      </c>
      <c r="P3566">
        <v>0.62649600000000005</v>
      </c>
      <c r="Q3566">
        <v>-7.3997289999999993E-2</v>
      </c>
      <c r="R3566">
        <v>-0.7759045</v>
      </c>
      <c r="S3566">
        <v>0.94955440000000002</v>
      </c>
      <c r="T3566">
        <v>-0.1979089</v>
      </c>
      <c r="U3566">
        <v>-3.1115569999999999</v>
      </c>
      <c r="V3566">
        <v>0.31220560000000003</v>
      </c>
      <c r="W3566">
        <v>-6.0326789999999998E-2</v>
      </c>
      <c r="X3566">
        <v>0.94809719999999997</v>
      </c>
      <c r="Y3566">
        <v>0.64579209999999998</v>
      </c>
      <c r="Z3566">
        <v>-9.145752E-3</v>
      </c>
      <c r="AA3566">
        <v>0.76345850000000004</v>
      </c>
      <c r="AB3566">
        <v>28</v>
      </c>
      <c r="AC3566">
        <v>5.0174000000000003</v>
      </c>
      <c r="AD3566">
        <v>-1.0942798948720001</v>
      </c>
      <c r="AE3566">
        <v>-17.039400000000001</v>
      </c>
      <c r="AF3566">
        <v>11.582263146479001</v>
      </c>
      <c r="AG3566">
        <v>-1.0942798948720001</v>
      </c>
      <c r="AH3566">
        <v>13.3785389188092</v>
      </c>
      <c r="AI3566">
        <v>93.538613888686399</v>
      </c>
      <c r="AJ3566">
        <v>49.116129952558502</v>
      </c>
      <c r="AK3566">
        <v>17.729398514464599</v>
      </c>
      <c r="AL3566">
        <v>93.458570505248304</v>
      </c>
      <c r="AM3566">
        <v>71.773438995929894</v>
      </c>
      <c r="AN3566">
        <v>0.99999997945545105</v>
      </c>
    </row>
    <row r="3567" spans="1:40" x14ac:dyDescent="0.25">
      <c r="A3567" t="str">
        <f>"20190305135305076"</f>
        <v>20190305135305076</v>
      </c>
      <c r="B3567" t="str">
        <f>"1551765185073371"</f>
        <v>1551765185073371</v>
      </c>
      <c r="C3567" t="s">
        <v>40</v>
      </c>
      <c r="D3567">
        <v>5.0701549999999997</v>
      </c>
      <c r="E3567">
        <v>0.65247239999999995</v>
      </c>
      <c r="F3567" t="s">
        <v>42</v>
      </c>
      <c r="G3567">
        <v>-197.05500000000001</v>
      </c>
      <c r="H3567" s="1">
        <v>-4.2319430000000002E-6</v>
      </c>
      <c r="I3567">
        <v>195.74510000000001</v>
      </c>
      <c r="J3567">
        <v>-201.4247</v>
      </c>
      <c r="K3567">
        <v>1.0942379999999901</v>
      </c>
      <c r="L3567">
        <v>211.7062</v>
      </c>
      <c r="M3567">
        <v>0.82374820000000004</v>
      </c>
      <c r="N3567">
        <v>-2.7526390000000001E-2</v>
      </c>
      <c r="O3567">
        <v>-0.56628750000000005</v>
      </c>
      <c r="P3567">
        <v>0.60435190000000005</v>
      </c>
      <c r="Q3567">
        <v>-7.4965749999999998E-2</v>
      </c>
      <c r="R3567">
        <v>-0.79318299999999997</v>
      </c>
      <c r="S3567">
        <v>0.90396120000000002</v>
      </c>
      <c r="T3567">
        <v>-0.21034040000000001</v>
      </c>
      <c r="U3567">
        <v>-3.116409</v>
      </c>
      <c r="V3567">
        <v>0.3091005</v>
      </c>
      <c r="W3567">
        <v>-6.1068839999999999E-2</v>
      </c>
      <c r="X3567">
        <v>0.94906659999999998</v>
      </c>
      <c r="Y3567">
        <v>0.63231759999999904</v>
      </c>
      <c r="Z3567">
        <v>-6.0130660000000001E-3</v>
      </c>
      <c r="AA3567">
        <v>0.77468590000000004</v>
      </c>
      <c r="AB3567">
        <v>28</v>
      </c>
      <c r="AC3567">
        <v>4.3696999999999901</v>
      </c>
      <c r="AD3567">
        <v>-1.0942422319430001</v>
      </c>
      <c r="AE3567">
        <v>-15.961099999999901</v>
      </c>
      <c r="AF3567">
        <v>10.6309829369116</v>
      </c>
      <c r="AG3567">
        <v>-1.0942422319430001</v>
      </c>
      <c r="AH3567">
        <v>12.587854294311899</v>
      </c>
      <c r="AI3567">
        <v>93.799587016946305</v>
      </c>
      <c r="AJ3567">
        <v>49.817473388873502</v>
      </c>
      <c r="AK3567">
        <v>16.512699355402201</v>
      </c>
      <c r="AL3567">
        <v>93.501165421690402</v>
      </c>
      <c r="AM3567">
        <v>71.960143052487297</v>
      </c>
      <c r="AN3567">
        <v>0.99999996677737701</v>
      </c>
    </row>
    <row r="3568" spans="1:40" x14ac:dyDescent="0.25">
      <c r="A3568" t="str">
        <f>"20190305135305098"</f>
        <v>20190305135305098</v>
      </c>
      <c r="B3568" t="str">
        <f>"1551765185092892"</f>
        <v>1551765185092892</v>
      </c>
      <c r="C3568" t="s">
        <v>40</v>
      </c>
      <c r="D3568">
        <v>5.0958410000000001</v>
      </c>
      <c r="E3568">
        <v>0.65049399999999902</v>
      </c>
      <c r="F3568" t="s">
        <v>42</v>
      </c>
      <c r="G3568">
        <v>-197.37540000000001</v>
      </c>
      <c r="H3568" s="1">
        <v>-4.6254900000000002E-6</v>
      </c>
      <c r="I3568">
        <v>196.7346</v>
      </c>
      <c r="J3568">
        <v>-201.20230000000001</v>
      </c>
      <c r="K3568">
        <v>1.0942050000000001</v>
      </c>
      <c r="L3568">
        <v>211.5282</v>
      </c>
      <c r="M3568">
        <v>0.81120579999999998</v>
      </c>
      <c r="N3568">
        <v>-2.758416E-2</v>
      </c>
      <c r="O3568">
        <v>-0.58410969999999995</v>
      </c>
      <c r="P3568">
        <v>0.58742680000000003</v>
      </c>
      <c r="Q3568">
        <v>-7.7117469999999994E-2</v>
      </c>
      <c r="R3568">
        <v>-0.80559480000000006</v>
      </c>
      <c r="S3568">
        <v>0.84333799999999903</v>
      </c>
      <c r="T3568">
        <v>-0.22789870000000001</v>
      </c>
      <c r="U3568">
        <v>-3.1181489999999998</v>
      </c>
      <c r="V3568">
        <v>0.30824940000000001</v>
      </c>
      <c r="W3568">
        <v>-6.3155169999999997E-2</v>
      </c>
      <c r="X3568">
        <v>0.94920689999999996</v>
      </c>
      <c r="Y3568">
        <v>0.62941630000000004</v>
      </c>
      <c r="Z3568">
        <v>-3.1320380000000002E-3</v>
      </c>
      <c r="AA3568">
        <v>0.77706200000000003</v>
      </c>
      <c r="AB3568">
        <v>27</v>
      </c>
      <c r="AC3568">
        <v>3.82689999999999</v>
      </c>
      <c r="AD3568">
        <v>-1.09420962548999</v>
      </c>
      <c r="AE3568">
        <v>-14.7935999999999</v>
      </c>
      <c r="AF3568">
        <v>9.71920547487621</v>
      </c>
      <c r="AG3568">
        <v>-1.09420962548999</v>
      </c>
      <c r="AH3568">
        <v>11.690017667135001</v>
      </c>
      <c r="AI3568">
        <v>94.116770292202105</v>
      </c>
      <c r="AJ3568">
        <v>50.259503006695702</v>
      </c>
      <c r="AK3568">
        <v>15.241940913981701</v>
      </c>
      <c r="AL3568">
        <v>93.620934470111806</v>
      </c>
      <c r="AM3568">
        <v>72.009097408564202</v>
      </c>
      <c r="AN3568">
        <v>1.00000000355284</v>
      </c>
    </row>
    <row r="3569" spans="1:40" x14ac:dyDescent="0.25">
      <c r="A3569" t="str">
        <f>"20190305135305120"</f>
        <v>20190305135305120</v>
      </c>
      <c r="B3569" t="str">
        <f>"1551765185113387"</f>
        <v>1551765185113387</v>
      </c>
      <c r="C3569" t="s">
        <v>40</v>
      </c>
      <c r="D3569">
        <v>5.0948589999999996</v>
      </c>
      <c r="E3569">
        <v>0.64965740000000005</v>
      </c>
      <c r="F3569" t="s">
        <v>42</v>
      </c>
      <c r="G3569">
        <v>-197.62020000000001</v>
      </c>
      <c r="H3569" s="1">
        <v>-4.8748619999999999E-6</v>
      </c>
      <c r="I3569">
        <v>197.3398</v>
      </c>
      <c r="J3569">
        <v>-200.98820000000001</v>
      </c>
      <c r="K3569">
        <v>1.0941669999999999</v>
      </c>
      <c r="L3569">
        <v>211.34870000000001</v>
      </c>
      <c r="M3569">
        <v>0.79834159999999998</v>
      </c>
      <c r="N3569">
        <v>-2.7607219999999998E-2</v>
      </c>
      <c r="O3569">
        <v>-0.60157169999999904</v>
      </c>
      <c r="P3569">
        <v>0.56919619999999904</v>
      </c>
      <c r="Q3569">
        <v>-7.7568810000000002E-2</v>
      </c>
      <c r="R3569">
        <v>-0.8185344</v>
      </c>
      <c r="S3569">
        <v>0.78909300000000004</v>
      </c>
      <c r="T3569">
        <v>-0.24103930000000001</v>
      </c>
      <c r="U3569">
        <v>-3.1255190000000002</v>
      </c>
      <c r="V3569">
        <v>0.30890400000000001</v>
      </c>
      <c r="W3569">
        <v>-6.3640379999999996E-2</v>
      </c>
      <c r="X3569">
        <v>0.94896170000000002</v>
      </c>
      <c r="Y3569">
        <v>0.62559089999999995</v>
      </c>
      <c r="Z3569">
        <v>-3.8833169999999997E-4</v>
      </c>
      <c r="AA3569">
        <v>0.78015119999999905</v>
      </c>
      <c r="AB3569">
        <v>27</v>
      </c>
      <c r="AC3569">
        <v>3.3679999999999901</v>
      </c>
      <c r="AD3569">
        <v>-1.094171874862</v>
      </c>
      <c r="AE3569">
        <v>-14.008900000000001</v>
      </c>
      <c r="AF3569">
        <v>9.1087548075092002</v>
      </c>
      <c r="AG3569">
        <v>-1.094171874862</v>
      </c>
      <c r="AH3569">
        <v>11.056645971831401</v>
      </c>
      <c r="AI3569">
        <v>94.367743894141796</v>
      </c>
      <c r="AJ3569">
        <v>50.517408391526097</v>
      </c>
      <c r="AK3569">
        <v>14.367186446255801</v>
      </c>
      <c r="AL3569">
        <v>93.648790846973995</v>
      </c>
      <c r="AM3569">
        <v>71.969004908634204</v>
      </c>
      <c r="AN3569">
        <v>1.0000000436247101</v>
      </c>
    </row>
    <row r="3570" spans="1:40" x14ac:dyDescent="0.25">
      <c r="A3570" t="str">
        <f>"20190305135305155"</f>
        <v>20190305135305155</v>
      </c>
      <c r="B3570" t="str">
        <f>"1551765185143643"</f>
        <v>1551765185143643</v>
      </c>
      <c r="C3570" t="s">
        <v>40</v>
      </c>
      <c r="D3570">
        <v>5.1156940000000004</v>
      </c>
      <c r="E3570">
        <v>0.63199450000000001</v>
      </c>
      <c r="F3570" t="s">
        <v>42</v>
      </c>
      <c r="G3570">
        <v>-197.7713</v>
      </c>
      <c r="H3570" s="1">
        <v>-4.9231079999999997E-6</v>
      </c>
      <c r="I3570">
        <v>197.40280000000001</v>
      </c>
      <c r="J3570">
        <v>-200.67140000000001</v>
      </c>
      <c r="K3570">
        <v>1.0940890000000001</v>
      </c>
      <c r="L3570">
        <v>211.06610000000001</v>
      </c>
      <c r="M3570">
        <v>0.77769029999999995</v>
      </c>
      <c r="N3570">
        <v>-2.7507119999999999E-2</v>
      </c>
      <c r="O3570">
        <v>-0.62804539999999998</v>
      </c>
      <c r="P3570">
        <v>0.5406609</v>
      </c>
      <c r="Q3570">
        <v>-7.5162380000000001E-2</v>
      </c>
      <c r="R3570">
        <v>-0.83787610000000001</v>
      </c>
      <c r="S3570">
        <v>0.72390750000000004</v>
      </c>
      <c r="T3570">
        <v>-0.24622810000000001</v>
      </c>
      <c r="U3570">
        <v>-3.1383359999999998</v>
      </c>
      <c r="V3570">
        <v>0.30997609999999998</v>
      </c>
      <c r="W3570">
        <v>-6.1416850000000002E-2</v>
      </c>
      <c r="X3570">
        <v>0.94875849999999995</v>
      </c>
      <c r="Y3570">
        <v>0.61546440000000002</v>
      </c>
      <c r="Z3570">
        <v>2.869623E-3</v>
      </c>
      <c r="AA3570">
        <v>0.78815950000000001</v>
      </c>
      <c r="AB3570">
        <v>27</v>
      </c>
      <c r="AC3570">
        <v>2.9001000000000001</v>
      </c>
      <c r="AD3570">
        <v>-1.09409392310799</v>
      </c>
      <c r="AE3570">
        <v>-13.6632999999999</v>
      </c>
      <c r="AF3570">
        <v>8.7540430947288108</v>
      </c>
      <c r="AG3570">
        <v>-1.09409392310799</v>
      </c>
      <c r="AH3570">
        <v>10.774546317349699</v>
      </c>
      <c r="AI3570">
        <v>94.506220681274101</v>
      </c>
      <c r="AJ3570">
        <v>50.907024510254999</v>
      </c>
      <c r="AK3570">
        <v>13.925557811508501</v>
      </c>
      <c r="AL3570">
        <v>93.521142478847295</v>
      </c>
      <c r="AM3570">
        <v>71.906873795806504</v>
      </c>
      <c r="AN3570">
        <v>0.99999995167869005</v>
      </c>
    </row>
    <row r="3571" spans="1:40" x14ac:dyDescent="0.25">
      <c r="A3571" t="str">
        <f>"20190305135305177"</f>
        <v>20190305135305177</v>
      </c>
      <c r="B3571" t="str">
        <f>"1551765185172923"</f>
        <v>1551765185172923</v>
      </c>
      <c r="C3571" t="s">
        <v>40</v>
      </c>
      <c r="D3571">
        <v>5.1067019999999896</v>
      </c>
      <c r="E3571">
        <v>0.62922080000000002</v>
      </c>
      <c r="F3571" t="s">
        <v>42</v>
      </c>
      <c r="G3571">
        <v>-197.93</v>
      </c>
      <c r="H3571" s="1">
        <v>-5.6522830000000002E-6</v>
      </c>
      <c r="I3571">
        <v>199.46279999999999</v>
      </c>
      <c r="J3571">
        <v>-200.47579999999999</v>
      </c>
      <c r="K3571">
        <v>1.0939810000000001</v>
      </c>
      <c r="L3571">
        <v>210.881</v>
      </c>
      <c r="M3571">
        <v>0.76388599999999995</v>
      </c>
      <c r="N3571">
        <v>-2.7300640000000001E-2</v>
      </c>
      <c r="O3571">
        <v>-0.64477359999999995</v>
      </c>
      <c r="P3571">
        <v>0.52210100000000004</v>
      </c>
      <c r="Q3571">
        <v>-7.2962159999999998E-2</v>
      </c>
      <c r="R3571">
        <v>-0.84975710000000004</v>
      </c>
      <c r="S3571">
        <v>0.72869869999999903</v>
      </c>
      <c r="T3571">
        <v>-0.29081639999999997</v>
      </c>
      <c r="U3571">
        <v>-3.0842290000000001</v>
      </c>
      <c r="V3571">
        <v>0.31047760000000002</v>
      </c>
      <c r="W3571">
        <v>-5.9472499999999998E-2</v>
      </c>
      <c r="X3571">
        <v>0.94871839999999996</v>
      </c>
      <c r="Y3571">
        <v>0.59381649999999997</v>
      </c>
      <c r="Z3571">
        <v>1.156276E-2</v>
      </c>
      <c r="AA3571">
        <v>0.80451740000000005</v>
      </c>
      <c r="AB3571">
        <v>27</v>
      </c>
      <c r="AC3571">
        <v>2.5457999999999799</v>
      </c>
      <c r="AD3571">
        <v>-1.093986652283</v>
      </c>
      <c r="AE3571">
        <v>-11.418199999999899</v>
      </c>
      <c r="AF3571">
        <v>7.02197117670275</v>
      </c>
      <c r="AG3571">
        <v>-1.093986652283</v>
      </c>
      <c r="AH3571">
        <v>9.2296116985794505</v>
      </c>
      <c r="AI3571">
        <v>95.388901446316396</v>
      </c>
      <c r="AJ3571">
        <v>52.7357977959594</v>
      </c>
      <c r="AK3571">
        <v>11.648631598105</v>
      </c>
      <c r="AL3571">
        <v>93.409535308688902</v>
      </c>
      <c r="AM3571">
        <v>71.878797529577596</v>
      </c>
      <c r="AN3571">
        <v>0.99999996042828398</v>
      </c>
    </row>
    <row r="3572" spans="1:40" x14ac:dyDescent="0.25">
      <c r="A3572" t="str">
        <f>"20190305135305199"</f>
        <v>20190305135305199</v>
      </c>
      <c r="B3572" t="str">
        <f>"1551765185193420"</f>
        <v>1551765185193420</v>
      </c>
      <c r="C3572" t="s">
        <v>40</v>
      </c>
      <c r="D3572">
        <v>5.102468</v>
      </c>
      <c r="E3572">
        <v>0.62699649999999996</v>
      </c>
      <c r="F3572" t="s">
        <v>42</v>
      </c>
      <c r="G3572">
        <v>-197.97049999999999</v>
      </c>
      <c r="H3572" s="1">
        <v>-5.6650739999999999E-6</v>
      </c>
      <c r="I3572">
        <v>199.47919999999999</v>
      </c>
      <c r="J3572">
        <v>-200.2809</v>
      </c>
      <c r="K3572">
        <v>1.0938589999999999</v>
      </c>
      <c r="L3572">
        <v>210.68780000000001</v>
      </c>
      <c r="M3572">
        <v>0.74930169999999996</v>
      </c>
      <c r="N3572">
        <v>-2.6978930000000002E-2</v>
      </c>
      <c r="O3572">
        <v>-0.66167909999999996</v>
      </c>
      <c r="P3572">
        <v>0.50408920000000002</v>
      </c>
      <c r="Q3572">
        <v>-7.0742920000000001E-2</v>
      </c>
      <c r="R3572">
        <v>-0.86074949999999995</v>
      </c>
      <c r="S3572">
        <v>0.67852780000000001</v>
      </c>
      <c r="T3572">
        <v>-0.2962977</v>
      </c>
      <c r="U3572">
        <v>-3.0880740000000002</v>
      </c>
      <c r="V3572">
        <v>0.30947989999999997</v>
      </c>
      <c r="W3572">
        <v>-5.754397E-2</v>
      </c>
      <c r="X3572">
        <v>0.94916330000000004</v>
      </c>
      <c r="Y3572">
        <v>0.58853120000000003</v>
      </c>
      <c r="Z3572">
        <v>1.4643369999999999E-2</v>
      </c>
      <c r="AA3572">
        <v>0.80834189999999995</v>
      </c>
      <c r="AB3572">
        <v>26</v>
      </c>
      <c r="AC3572">
        <v>2.3104000000000098</v>
      </c>
      <c r="AD3572">
        <v>-1.0938646650739901</v>
      </c>
      <c r="AE3572">
        <v>-11.208600000000001</v>
      </c>
      <c r="AF3572">
        <v>6.8101634850288004</v>
      </c>
      <c r="AG3572">
        <v>-1.0938646650739901</v>
      </c>
      <c r="AH3572">
        <v>9.0681671353614206</v>
      </c>
      <c r="AI3572">
        <v>95.509439875501997</v>
      </c>
      <c r="AJ3572">
        <v>53.093571984866898</v>
      </c>
      <c r="AK3572">
        <v>11.393266511109299</v>
      </c>
      <c r="AL3572">
        <v>93.298848769070503</v>
      </c>
      <c r="AM3572">
        <v>71.941157962003601</v>
      </c>
      <c r="AN3572">
        <v>1.0000000435271199</v>
      </c>
    </row>
    <row r="3573" spans="1:40" x14ac:dyDescent="0.25">
      <c r="A3573" t="str">
        <f>"20190305135305221"</f>
        <v>20190305135305221</v>
      </c>
      <c r="B3573" t="str">
        <f>"1551765185212940"</f>
        <v>1551765185212940</v>
      </c>
      <c r="C3573" t="s">
        <v>40</v>
      </c>
      <c r="D3573">
        <v>5.093451</v>
      </c>
      <c r="E3573">
        <v>0.61435699999999904</v>
      </c>
      <c r="F3573" t="s">
        <v>42</v>
      </c>
      <c r="G3573">
        <v>-197.90539999999999</v>
      </c>
      <c r="H3573" s="1">
        <v>-5.4871439999999999E-6</v>
      </c>
      <c r="I3573">
        <v>198.99029999999999</v>
      </c>
      <c r="J3573">
        <v>-200.09039999999999</v>
      </c>
      <c r="K3573">
        <v>1.0937269999999999</v>
      </c>
      <c r="L3573">
        <v>210.4897</v>
      </c>
      <c r="M3573">
        <v>0.73417969999999999</v>
      </c>
      <c r="N3573">
        <v>-2.6531820000000001E-2</v>
      </c>
      <c r="O3573">
        <v>-0.67843690000000001</v>
      </c>
      <c r="P3573">
        <v>0.48618830000000002</v>
      </c>
      <c r="Q3573">
        <v>-7.0010509999999998E-2</v>
      </c>
      <c r="R3573">
        <v>-0.87104539999999997</v>
      </c>
      <c r="S3573">
        <v>0.62825010000000003</v>
      </c>
      <c r="T3573">
        <v>-0.28929480000000002</v>
      </c>
      <c r="U3573">
        <v>-3.0936279999999998</v>
      </c>
      <c r="V3573">
        <v>0.30772490000000002</v>
      </c>
      <c r="W3573">
        <v>-5.7175570000000002E-2</v>
      </c>
      <c r="X3573">
        <v>0.94975600000000004</v>
      </c>
      <c r="Y3573">
        <v>0.58326290000000003</v>
      </c>
      <c r="Z3573">
        <v>1.616735E-2</v>
      </c>
      <c r="AA3573">
        <v>0.81212259999999903</v>
      </c>
      <c r="AB3573">
        <v>26</v>
      </c>
      <c r="AC3573">
        <v>2.1850000000000001</v>
      </c>
      <c r="AD3573">
        <v>-1.093732487144</v>
      </c>
      <c r="AE3573">
        <v>-11.4994</v>
      </c>
      <c r="AF3573">
        <v>6.9024253978997496</v>
      </c>
      <c r="AG3573">
        <v>-1.093732487144</v>
      </c>
      <c r="AH3573">
        <v>9.3276696113481901</v>
      </c>
      <c r="AI3573">
        <v>95.384571479194904</v>
      </c>
      <c r="AJ3573">
        <v>53.498757788870002</v>
      </c>
      <c r="AK3573">
        <v>11.655262652787901</v>
      </c>
      <c r="AL3573">
        <v>93.277706141892594</v>
      </c>
      <c r="AM3573">
        <v>72.047459710661101</v>
      </c>
      <c r="AN3573">
        <v>1.0000000597104099</v>
      </c>
    </row>
    <row r="3574" spans="1:40" x14ac:dyDescent="0.25">
      <c r="A3574" t="str">
        <f>"20190305135305243"</f>
        <v>20190305135305243</v>
      </c>
      <c r="B3574" t="str">
        <f>"1551765185233435"</f>
        <v>1551765185233435</v>
      </c>
      <c r="C3574" t="s">
        <v>40</v>
      </c>
      <c r="D3574">
        <v>5.1045780000000001</v>
      </c>
      <c r="E3574">
        <v>0.61116079999999995</v>
      </c>
      <c r="F3574" t="s">
        <v>42</v>
      </c>
      <c r="G3574">
        <v>-197.744</v>
      </c>
      <c r="H3574" s="1">
        <v>-5.6186669999999998E-6</v>
      </c>
      <c r="I3574">
        <v>199.46090000000001</v>
      </c>
      <c r="J3574">
        <v>-199.9169</v>
      </c>
      <c r="K3574">
        <v>1.093583</v>
      </c>
      <c r="L3574">
        <v>210.3005</v>
      </c>
      <c r="M3574">
        <v>0.7195935</v>
      </c>
      <c r="N3574">
        <v>-2.595486E-2</v>
      </c>
      <c r="O3574">
        <v>-0.69391049999999999</v>
      </c>
      <c r="P3574">
        <v>0.46936870000000003</v>
      </c>
      <c r="Q3574">
        <v>-6.9580610000000001E-2</v>
      </c>
      <c r="R3574">
        <v>-0.88025679999999995</v>
      </c>
      <c r="S3574">
        <v>0.65032959999999995</v>
      </c>
      <c r="T3574">
        <v>-0.30314770000000002</v>
      </c>
      <c r="U3574">
        <v>-3.0568240000000002</v>
      </c>
      <c r="V3574">
        <v>0.30578620000000001</v>
      </c>
      <c r="W3574">
        <v>-5.7212249999999999E-2</v>
      </c>
      <c r="X3574">
        <v>0.95037969999999905</v>
      </c>
      <c r="Y3574">
        <v>0.55829609999999996</v>
      </c>
      <c r="Z3574">
        <v>2.219177E-2</v>
      </c>
      <c r="AA3574">
        <v>0.82934490000000005</v>
      </c>
      <c r="AB3574">
        <v>26</v>
      </c>
      <c r="AC3574">
        <v>2.1728999999999701</v>
      </c>
      <c r="AD3574">
        <v>-1.0935886186669901</v>
      </c>
      <c r="AE3574">
        <v>-10.8395999999999</v>
      </c>
      <c r="AF3574">
        <v>6.2334317096161902</v>
      </c>
      <c r="AG3574">
        <v>-1.0935886186669901</v>
      </c>
      <c r="AH3574">
        <v>9.0003074723371803</v>
      </c>
      <c r="AI3574">
        <v>95.704257006244802</v>
      </c>
      <c r="AJ3574">
        <v>55.294306138763098</v>
      </c>
      <c r="AK3574">
        <v>11.0025970362426</v>
      </c>
      <c r="AL3574">
        <v>93.279811366808403</v>
      </c>
      <c r="AM3574">
        <v>72.164337029575293</v>
      </c>
      <c r="AN3574">
        <v>1.0000000079162901</v>
      </c>
    </row>
    <row r="3575" spans="1:40" x14ac:dyDescent="0.25">
      <c r="A3575" t="str">
        <f>"20190305135305265"</f>
        <v>20190305135305265</v>
      </c>
      <c r="B3575" t="str">
        <f>"1551765185252955"</f>
        <v>1551765185252955</v>
      </c>
      <c r="C3575" t="s">
        <v>40</v>
      </c>
      <c r="D3575">
        <v>5.2040610000000003</v>
      </c>
      <c r="E3575">
        <v>0.61001470000000002</v>
      </c>
      <c r="F3575" t="s">
        <v>42</v>
      </c>
      <c r="G3575">
        <v>-197.6345</v>
      </c>
      <c r="H3575" s="1">
        <v>-5.4219620000000001E-6</v>
      </c>
      <c r="I3575">
        <v>198.94</v>
      </c>
      <c r="J3575">
        <v>-199.7413</v>
      </c>
      <c r="K3575">
        <v>1.0934619999999999</v>
      </c>
      <c r="L3575">
        <v>210.10040000000001</v>
      </c>
      <c r="M3575">
        <v>0.70407369999999903</v>
      </c>
      <c r="N3575">
        <v>-2.524595E-2</v>
      </c>
      <c r="O3575">
        <v>-0.70967809999999998</v>
      </c>
      <c r="P3575">
        <v>0.45069920000000002</v>
      </c>
      <c r="Q3575">
        <v>-7.0152649999999997E-2</v>
      </c>
      <c r="R3575">
        <v>-0.88991520000000002</v>
      </c>
      <c r="S3575">
        <v>0.61421199999999998</v>
      </c>
      <c r="T3575">
        <v>-0.29430250000000002</v>
      </c>
      <c r="U3575">
        <v>-3.057312</v>
      </c>
      <c r="V3575">
        <v>0.30472159999999998</v>
      </c>
      <c r="W3575">
        <v>-5.839449E-2</v>
      </c>
      <c r="X3575">
        <v>0.95064970000000004</v>
      </c>
      <c r="Y3575">
        <v>0.54946859999999997</v>
      </c>
      <c r="Z3575">
        <v>2.37401E-2</v>
      </c>
      <c r="AA3575">
        <v>0.83517710000000001</v>
      </c>
      <c r="AB3575">
        <v>26</v>
      </c>
      <c r="AC3575">
        <v>2.10679999999999</v>
      </c>
      <c r="AD3575">
        <v>-1.093467421962</v>
      </c>
      <c r="AE3575">
        <v>-11.160399999999999</v>
      </c>
      <c r="AF3575">
        <v>6.3061689294398198</v>
      </c>
      <c r="AG3575">
        <v>-1.093467421962</v>
      </c>
      <c r="AH3575">
        <v>9.3202397271244699</v>
      </c>
      <c r="AI3575">
        <v>95.549973827999693</v>
      </c>
      <c r="AJ3575">
        <v>55.917318639554203</v>
      </c>
      <c r="AK3575">
        <v>11.306206531838701</v>
      </c>
      <c r="AL3575">
        <v>93.347662169587394</v>
      </c>
      <c r="AM3575">
        <v>72.227248126497003</v>
      </c>
      <c r="AN3575">
        <v>1.0000000110395</v>
      </c>
    </row>
    <row r="3576" spans="1:40" x14ac:dyDescent="0.25">
      <c r="A3576" t="str">
        <f>"20190305135305289"</f>
        <v>20190305135305289</v>
      </c>
      <c r="B3576" t="str">
        <f>"1551765185283212"</f>
        <v>1551765185283212</v>
      </c>
      <c r="C3576" t="s">
        <v>40</v>
      </c>
      <c r="D3576">
        <v>5.1431639999999996</v>
      </c>
      <c r="E3576">
        <v>0.60746230000000001</v>
      </c>
      <c r="F3576" t="s">
        <v>42</v>
      </c>
      <c r="G3576">
        <v>-197.7114</v>
      </c>
      <c r="H3576" s="1">
        <v>-5.4305309999999997E-6</v>
      </c>
      <c r="I3576">
        <v>198.92509999999999</v>
      </c>
      <c r="J3576">
        <v>-199.56379999999999</v>
      </c>
      <c r="K3576">
        <v>1.0934250000000001</v>
      </c>
      <c r="L3576">
        <v>209.88759999999999</v>
      </c>
      <c r="M3576">
        <v>0.68758339999999996</v>
      </c>
      <c r="N3576">
        <v>-2.4479460000000001E-2</v>
      </c>
      <c r="O3576">
        <v>-0.72569259999999902</v>
      </c>
      <c r="P3576">
        <v>0.43133680000000002</v>
      </c>
      <c r="Q3576">
        <v>-7.1766979999999994E-2</v>
      </c>
      <c r="R3576">
        <v>-0.89933220000000003</v>
      </c>
      <c r="S3576">
        <v>0.55682369999999903</v>
      </c>
      <c r="T3576">
        <v>-0.2999465</v>
      </c>
      <c r="U3576">
        <v>-3.0654750000000002</v>
      </c>
      <c r="V3576">
        <v>0.3032705</v>
      </c>
      <c r="W3576">
        <v>-6.0602599999999902E-2</v>
      </c>
      <c r="X3576">
        <v>0.95097549999999997</v>
      </c>
      <c r="Y3576">
        <v>0.54582949999999997</v>
      </c>
      <c r="Z3576">
        <v>2.7318559999999999E-2</v>
      </c>
      <c r="AA3576">
        <v>0.83745079999999905</v>
      </c>
      <c r="AB3576">
        <v>26</v>
      </c>
      <c r="AC3576">
        <v>1.8523999999999801</v>
      </c>
      <c r="AD3576">
        <v>-1.0934304305310001</v>
      </c>
      <c r="AE3576">
        <v>-10.9625</v>
      </c>
      <c r="AF3576">
        <v>6.1358679105143397</v>
      </c>
      <c r="AG3576">
        <v>-1.0934304305310001</v>
      </c>
      <c r="AH3576">
        <v>9.1434122494693408</v>
      </c>
      <c r="AI3576">
        <v>95.670873820969106</v>
      </c>
      <c r="AJ3576">
        <v>56.1356308339384</v>
      </c>
      <c r="AK3576">
        <v>11.0655525250859</v>
      </c>
      <c r="AL3576">
        <v>93.474402023025206</v>
      </c>
      <c r="AM3576">
        <v>72.312276319372899</v>
      </c>
      <c r="AN3576">
        <v>1.0000000364486199</v>
      </c>
    </row>
    <row r="3577" spans="1:40" x14ac:dyDescent="0.25">
      <c r="A3577" t="str">
        <f>"20190305135305311"</f>
        <v>20190305135305311</v>
      </c>
      <c r="B3577" t="str">
        <f>"1551765185303707"</f>
        <v>1551765185303707</v>
      </c>
      <c r="C3577" t="s">
        <v>40</v>
      </c>
      <c r="D3577">
        <v>5.1316379999999997</v>
      </c>
      <c r="E3577">
        <v>0.6066435</v>
      </c>
      <c r="F3577" t="s">
        <v>42</v>
      </c>
      <c r="G3577">
        <v>-197.7783</v>
      </c>
      <c r="H3577" s="1">
        <v>-5.5031379999999997E-6</v>
      </c>
      <c r="I3577">
        <v>199.1036</v>
      </c>
      <c r="J3577">
        <v>-199.3886</v>
      </c>
      <c r="K3577">
        <v>1.0934950000000001</v>
      </c>
      <c r="L3577">
        <v>209.66720000000001</v>
      </c>
      <c r="M3577">
        <v>0.6705084</v>
      </c>
      <c r="N3577">
        <v>-2.372173E-2</v>
      </c>
      <c r="O3577">
        <v>-0.74152269999999998</v>
      </c>
      <c r="P3577">
        <v>0.41232679999999999</v>
      </c>
      <c r="Q3577">
        <v>-7.3082679999999997E-2</v>
      </c>
      <c r="R3577">
        <v>-0.90810009999999997</v>
      </c>
      <c r="S3577">
        <v>0.50785829999999998</v>
      </c>
      <c r="T3577">
        <v>-0.311009599999999</v>
      </c>
      <c r="U3577">
        <v>-3.0673520000000001</v>
      </c>
      <c r="V3577">
        <v>0.3010022</v>
      </c>
      <c r="W3577">
        <v>-6.2412130000000003E-2</v>
      </c>
      <c r="X3577">
        <v>0.95157890000000001</v>
      </c>
      <c r="Y3577">
        <v>0.53942230000000002</v>
      </c>
      <c r="Z3577">
        <v>3.2137099999999898E-2</v>
      </c>
      <c r="AA3577">
        <v>0.84142189999999994</v>
      </c>
      <c r="AB3577">
        <v>26</v>
      </c>
      <c r="AC3577">
        <v>1.6102999999999901</v>
      </c>
      <c r="AD3577">
        <v>-1.0935005031380001</v>
      </c>
      <c r="AE3577">
        <v>-10.563599999999999</v>
      </c>
      <c r="AF3577">
        <v>5.82951785975993</v>
      </c>
      <c r="AG3577">
        <v>-1.0935005031380001</v>
      </c>
      <c r="AH3577">
        <v>8.8229810315916808</v>
      </c>
      <c r="AI3577">
        <v>95.903709964885493</v>
      </c>
      <c r="AJ3577">
        <v>56.546472433113301</v>
      </c>
      <c r="AK3577">
        <v>10.6312753755816</v>
      </c>
      <c r="AL3577">
        <v>93.578277267828</v>
      </c>
      <c r="AM3577">
        <v>72.446863057671493</v>
      </c>
      <c r="AN3577">
        <v>1.00000000065059</v>
      </c>
    </row>
    <row r="3578" spans="1:40" x14ac:dyDescent="0.25">
      <c r="A3578" t="str">
        <f>"20190305135305333"</f>
        <v>20190305135305333</v>
      </c>
      <c r="B3578" t="str">
        <f>"1551765185323228"</f>
        <v>1551765185323228</v>
      </c>
      <c r="C3578" t="s">
        <v>40</v>
      </c>
      <c r="D3578">
        <v>5.1324350000000001</v>
      </c>
      <c r="E3578">
        <v>0.595194</v>
      </c>
      <c r="F3578" t="s">
        <v>42</v>
      </c>
      <c r="G3578">
        <v>-197.82900000000001</v>
      </c>
      <c r="H3578" s="1">
        <v>-5.4718940000000003E-6</v>
      </c>
      <c r="I3578">
        <v>198.9853</v>
      </c>
      <c r="J3578">
        <v>-199.22720000000001</v>
      </c>
      <c r="K3578">
        <v>1.093621</v>
      </c>
      <c r="L3578">
        <v>209.4547</v>
      </c>
      <c r="M3578">
        <v>0.65403069999999996</v>
      </c>
      <c r="N3578">
        <v>-2.30368E-2</v>
      </c>
      <c r="O3578">
        <v>-0.7561175</v>
      </c>
      <c r="P3578">
        <v>0.39468379999999997</v>
      </c>
      <c r="Q3578">
        <v>-7.2928770000000004E-2</v>
      </c>
      <c r="R3578">
        <v>-0.91591860000000003</v>
      </c>
      <c r="S3578">
        <v>0.44888309999999998</v>
      </c>
      <c r="T3578">
        <v>-0.3147315</v>
      </c>
      <c r="U3578">
        <v>-3.0744630000000002</v>
      </c>
      <c r="V3578">
        <v>0.29848239999999998</v>
      </c>
      <c r="W3578">
        <v>-6.2648170000000003E-2</v>
      </c>
      <c r="X3578">
        <v>0.9523568</v>
      </c>
      <c r="Y3578">
        <v>0.53701279999999996</v>
      </c>
      <c r="Z3578">
        <v>3.5320619999999997E-2</v>
      </c>
      <c r="AA3578">
        <v>0.84283439999999998</v>
      </c>
      <c r="AB3578">
        <v>26</v>
      </c>
      <c r="AC3578">
        <v>1.3982000000000001</v>
      </c>
      <c r="AD3578">
        <v>-1.0936264718940001</v>
      </c>
      <c r="AE3578">
        <v>-10.4694</v>
      </c>
      <c r="AF3578">
        <v>5.7302100534153597</v>
      </c>
      <c r="AG3578">
        <v>-1.0936264718940001</v>
      </c>
      <c r="AH3578">
        <v>8.7392149515841702</v>
      </c>
      <c r="AI3578">
        <v>95.974260087611896</v>
      </c>
      <c r="AJ3578">
        <v>56.7475714542879</v>
      </c>
      <c r="AK3578">
        <v>10.5073880715562</v>
      </c>
      <c r="AL3578">
        <v>93.591827864058004</v>
      </c>
      <c r="AM3578">
        <v>72.598254122811795</v>
      </c>
      <c r="AN3578">
        <v>1.0000000054101701</v>
      </c>
    </row>
    <row r="3579" spans="1:40" x14ac:dyDescent="0.25">
      <c r="A3579" t="str">
        <f>"20190305135305355"</f>
        <v>20190305135305355</v>
      </c>
      <c r="B3579" t="str">
        <f>"1551765185343724"</f>
        <v>1551765185343724</v>
      </c>
      <c r="C3579" t="s">
        <v>40</v>
      </c>
      <c r="D3579">
        <v>5.1961629999999897</v>
      </c>
      <c r="E3579">
        <v>0.59241779999999999</v>
      </c>
      <c r="F3579" t="s">
        <v>42</v>
      </c>
      <c r="G3579">
        <v>-197.65690000000001</v>
      </c>
      <c r="H3579" s="1">
        <v>-5.5510099999999997E-6</v>
      </c>
      <c r="I3579">
        <v>199.30760000000001</v>
      </c>
      <c r="J3579">
        <v>-199.0736</v>
      </c>
      <c r="K3579">
        <v>1.093777</v>
      </c>
      <c r="L3579">
        <v>209.24350000000001</v>
      </c>
      <c r="M3579">
        <v>0.63767059999999998</v>
      </c>
      <c r="N3579">
        <v>-2.2406800000000001E-2</v>
      </c>
      <c r="O3579">
        <v>-0.76998339999999998</v>
      </c>
      <c r="P3579">
        <v>0.37748589999999999</v>
      </c>
      <c r="Q3579">
        <v>-7.306704E-2</v>
      </c>
      <c r="R3579">
        <v>-0.92312859999999997</v>
      </c>
      <c r="S3579">
        <v>0.47140500000000002</v>
      </c>
      <c r="T3579">
        <v>-0.3283006</v>
      </c>
      <c r="U3579">
        <v>-3.0461269999999998</v>
      </c>
      <c r="V3579">
        <v>0.2958672</v>
      </c>
      <c r="W3579">
        <v>-6.3110120000000006E-2</v>
      </c>
      <c r="X3579">
        <v>0.95314200000000004</v>
      </c>
      <c r="Y3579">
        <v>0.5115866</v>
      </c>
      <c r="Z3579">
        <v>4.1924719999999999E-2</v>
      </c>
      <c r="AA3579">
        <v>0.85820830000000004</v>
      </c>
      <c r="AB3579">
        <v>26</v>
      </c>
      <c r="AC3579">
        <v>1.4166999999999901</v>
      </c>
      <c r="AD3579">
        <v>-1.0937825510100001</v>
      </c>
      <c r="AE3579">
        <v>-9.9359000000000002</v>
      </c>
      <c r="AF3579">
        <v>5.1847331321936796</v>
      </c>
      <c r="AG3579">
        <v>-1.0937825510100001</v>
      </c>
      <c r="AH3579">
        <v>8.4555858378312792</v>
      </c>
      <c r="AI3579">
        <v>96.292924492118402</v>
      </c>
      <c r="AJ3579">
        <v>58.484517274351703</v>
      </c>
      <c r="AK3579">
        <v>9.9787148361847606</v>
      </c>
      <c r="AL3579">
        <v>93.618348222230594</v>
      </c>
      <c r="AM3579">
        <v>72.755003470079103</v>
      </c>
      <c r="AN3579">
        <v>0.99999997972312704</v>
      </c>
    </row>
    <row r="3580" spans="1:40" x14ac:dyDescent="0.25">
      <c r="A3580" t="str">
        <f>"20190305135305377"</f>
        <v>20190305135305377</v>
      </c>
      <c r="B3580" t="str">
        <f>"1551765185373004"</f>
        <v>1551765185373004</v>
      </c>
      <c r="C3580" t="s">
        <v>40</v>
      </c>
      <c r="D3580">
        <v>5.2413930000000004</v>
      </c>
      <c r="E3580">
        <v>0.5900398</v>
      </c>
      <c r="F3580" t="s">
        <v>42</v>
      </c>
      <c r="G3580">
        <v>-197.62440000000001</v>
      </c>
      <c r="H3580" s="1">
        <v>-5.4713119999999999E-6</v>
      </c>
      <c r="I3580">
        <v>199.09030000000001</v>
      </c>
      <c r="J3580">
        <v>-198.9188</v>
      </c>
      <c r="K3580">
        <v>1.093961</v>
      </c>
      <c r="L3580">
        <v>209.02080000000001</v>
      </c>
      <c r="M3580">
        <v>0.62050419999999995</v>
      </c>
      <c r="N3580">
        <v>-2.1797210000000001E-2</v>
      </c>
      <c r="O3580">
        <v>-0.78390009999999999</v>
      </c>
      <c r="P3580">
        <v>0.3588635</v>
      </c>
      <c r="Q3580">
        <v>-7.4024409999999999E-2</v>
      </c>
      <c r="R3580">
        <v>-0.93045029999999995</v>
      </c>
      <c r="S3580">
        <v>0.43476870000000001</v>
      </c>
      <c r="T3580">
        <v>-0.32814219999999999</v>
      </c>
      <c r="U3580">
        <v>-3.046036</v>
      </c>
      <c r="V3580">
        <v>0.29388500000000001</v>
      </c>
      <c r="W3580">
        <v>-6.4386730000000003E-2</v>
      </c>
      <c r="X3580">
        <v>0.95366969999999995</v>
      </c>
      <c r="Y3580">
        <v>0.5027528</v>
      </c>
      <c r="Z3580">
        <v>4.4794580000000001E-2</v>
      </c>
      <c r="AA3580">
        <v>0.86326879999999995</v>
      </c>
      <c r="AB3580">
        <v>26</v>
      </c>
      <c r="AC3580">
        <v>1.29439999999999</v>
      </c>
      <c r="AD3580">
        <v>-1.0939664713120001</v>
      </c>
      <c r="AE3580">
        <v>-9.9304999999999897</v>
      </c>
      <c r="AF3580">
        <v>5.0877479941938004</v>
      </c>
      <c r="AG3580">
        <v>-1.0939664713120001</v>
      </c>
      <c r="AH3580">
        <v>8.4884490865299895</v>
      </c>
      <c r="AI3580">
        <v>96.307964993394904</v>
      </c>
      <c r="AJ3580">
        <v>59.0626618424984</v>
      </c>
      <c r="AK3580">
        <v>9.95669172905286</v>
      </c>
      <c r="AL3580">
        <v>93.691641706925694</v>
      </c>
      <c r="AM3580">
        <v>72.872677308293603</v>
      </c>
      <c r="AN3580">
        <v>0.99999997046159095</v>
      </c>
    </row>
    <row r="3581" spans="1:40" x14ac:dyDescent="0.25">
      <c r="A3581" t="str">
        <f>"20190305135305400"</f>
        <v>20190305135305400</v>
      </c>
      <c r="B3581" t="str">
        <f>"1551765185393499"</f>
        <v>1551765185393499</v>
      </c>
      <c r="C3581" t="s">
        <v>40</v>
      </c>
      <c r="D3581">
        <v>5.1999959999999996</v>
      </c>
      <c r="E3581">
        <v>0.58077789999999996</v>
      </c>
      <c r="F3581" t="s">
        <v>42</v>
      </c>
      <c r="G3581">
        <v>-197.62620000000001</v>
      </c>
      <c r="H3581" s="1">
        <v>-5.4256809999999899E-6</v>
      </c>
      <c r="I3581">
        <v>198.95519999999999</v>
      </c>
      <c r="J3581">
        <v>-198.77099999999999</v>
      </c>
      <c r="K3581">
        <v>1.094176</v>
      </c>
      <c r="L3581">
        <v>208.79849999999999</v>
      </c>
      <c r="M3581">
        <v>0.60349819999999998</v>
      </c>
      <c r="N3581">
        <v>-2.1237659999999998E-2</v>
      </c>
      <c r="O3581">
        <v>-0.7970815</v>
      </c>
      <c r="P3581">
        <v>0.34173799999999999</v>
      </c>
      <c r="Q3581">
        <v>-7.4987739999999997E-2</v>
      </c>
      <c r="R3581">
        <v>-0.93679860000000004</v>
      </c>
      <c r="S3581">
        <v>0.39129639999999999</v>
      </c>
      <c r="T3581">
        <v>-0.33116109999999999</v>
      </c>
      <c r="U3581">
        <v>-3.0470120000000001</v>
      </c>
      <c r="V3581">
        <v>0.2907959</v>
      </c>
      <c r="W3581">
        <v>-6.5568009999999996E-2</v>
      </c>
      <c r="X3581">
        <v>0.95453580000000005</v>
      </c>
      <c r="Y3581">
        <v>0.4963361</v>
      </c>
      <c r="Z3581">
        <v>4.80569E-2</v>
      </c>
      <c r="AA3581">
        <v>0.86679930000000005</v>
      </c>
      <c r="AB3581">
        <v>26</v>
      </c>
      <c r="AC3581">
        <v>1.1447999999999701</v>
      </c>
      <c r="AD3581">
        <v>-1.0941814256810001</v>
      </c>
      <c r="AE3581">
        <v>-9.8432999999999993</v>
      </c>
      <c r="AF3581">
        <v>4.9684752467682998</v>
      </c>
      <c r="AG3581">
        <v>-1.0941814256810001</v>
      </c>
      <c r="AH3581">
        <v>8.4358756072524397</v>
      </c>
      <c r="AI3581">
        <v>96.377023067407706</v>
      </c>
      <c r="AJ3581">
        <v>59.503203203858902</v>
      </c>
      <c r="AK3581">
        <v>9.8512423851558708</v>
      </c>
      <c r="AL3581">
        <v>93.759467269403004</v>
      </c>
      <c r="AM3581">
        <v>73.056831195815903</v>
      </c>
      <c r="AN3581">
        <v>1.0000000064368999</v>
      </c>
    </row>
    <row r="3582" spans="1:40" x14ac:dyDescent="0.25">
      <c r="A3582" t="str">
        <f>"20190305135305422"</f>
        <v>20190305135305422</v>
      </c>
      <c r="B3582" t="str">
        <f>"1551765185413019"</f>
        <v>1551765185413019</v>
      </c>
      <c r="C3582" t="s">
        <v>40</v>
      </c>
      <c r="D3582">
        <v>5.1795339999999896</v>
      </c>
      <c r="E3582">
        <v>0.57766240000000002</v>
      </c>
      <c r="F3582" t="s">
        <v>42</v>
      </c>
      <c r="G3582">
        <v>-197.01689999999999</v>
      </c>
      <c r="H3582" s="1">
        <v>-4.2917559999999998E-6</v>
      </c>
      <c r="I3582">
        <v>195.9408</v>
      </c>
      <c r="J3582">
        <v>-198.62719999999999</v>
      </c>
      <c r="K3582">
        <v>1.094419</v>
      </c>
      <c r="L3582">
        <v>208.57230000000001</v>
      </c>
      <c r="M3582">
        <v>0.58637499999999998</v>
      </c>
      <c r="N3582">
        <v>-2.0712810000000002E-2</v>
      </c>
      <c r="O3582">
        <v>-0.80977489999999996</v>
      </c>
      <c r="P3582">
        <v>0.32585019999999998</v>
      </c>
      <c r="Q3582">
        <v>-7.3762549999999996E-2</v>
      </c>
      <c r="R3582">
        <v>-0.94253960000000003</v>
      </c>
      <c r="S3582">
        <v>0.41349789999999997</v>
      </c>
      <c r="T3582">
        <v>-0.25792739999999997</v>
      </c>
      <c r="U3582">
        <v>-3.0309140000000001</v>
      </c>
      <c r="V3582">
        <v>0.28671780000000002</v>
      </c>
      <c r="W3582">
        <v>-6.4474690000000001E-2</v>
      </c>
      <c r="X3582">
        <v>0.955843</v>
      </c>
      <c r="Y3582">
        <v>0.47104109999999999</v>
      </c>
      <c r="Z3582">
        <v>3.5972379999999998E-2</v>
      </c>
      <c r="AA3582">
        <v>0.88137749999999904</v>
      </c>
      <c r="AB3582">
        <v>26</v>
      </c>
      <c r="AC3582">
        <v>1.6102999999999901</v>
      </c>
      <c r="AD3582">
        <v>-1.0944232917559999</v>
      </c>
      <c r="AE3582">
        <v>-12.631500000000001</v>
      </c>
      <c r="AF3582">
        <v>6.0593650399306096</v>
      </c>
      <c r="AG3582">
        <v>-1.0944232917559999</v>
      </c>
      <c r="AH3582">
        <v>11.093363467312599</v>
      </c>
      <c r="AI3582">
        <v>94.948424241807999</v>
      </c>
      <c r="AJ3582">
        <v>61.355957021032303</v>
      </c>
      <c r="AK3582">
        <v>12.6876467497553</v>
      </c>
      <c r="AL3582">
        <v>93.696691970218396</v>
      </c>
      <c r="AM3582">
        <v>73.302686049407598</v>
      </c>
      <c r="AN3582">
        <v>0.99999996156821702</v>
      </c>
    </row>
    <row r="3583" spans="1:40" x14ac:dyDescent="0.25">
      <c r="A3583" t="str">
        <f>"20190305135305444"</f>
        <v>20190305135305444</v>
      </c>
      <c r="B3583" t="str">
        <f>"1551765185433516"</f>
        <v>1551765185433516</v>
      </c>
      <c r="C3583" t="s">
        <v>40</v>
      </c>
      <c r="D3583">
        <v>5.143891</v>
      </c>
      <c r="E3583">
        <v>0.575621099999999</v>
      </c>
      <c r="F3583" t="s">
        <v>42</v>
      </c>
      <c r="G3583">
        <v>-197.0078</v>
      </c>
      <c r="H3583" s="1">
        <v>-4.2539860000000003E-6</v>
      </c>
      <c r="I3583">
        <v>195.83449999999999</v>
      </c>
      <c r="J3583">
        <v>-198.49639999999999</v>
      </c>
      <c r="K3583">
        <v>1.0946670000000001</v>
      </c>
      <c r="L3583">
        <v>208.35749999999999</v>
      </c>
      <c r="M3583">
        <v>0.57032299999999903</v>
      </c>
      <c r="N3583">
        <v>-2.0253750000000001E-2</v>
      </c>
      <c r="O3583">
        <v>-0.82117099999999899</v>
      </c>
      <c r="P3583">
        <v>0.31280190000000002</v>
      </c>
      <c r="Q3583">
        <v>-7.087367E-2</v>
      </c>
      <c r="R3583">
        <v>-0.94717070000000003</v>
      </c>
      <c r="S3583">
        <v>0.38513180000000002</v>
      </c>
      <c r="T3583">
        <v>-0.26028099999999998</v>
      </c>
      <c r="U3583">
        <v>-3.0293580000000002</v>
      </c>
      <c r="V3583">
        <v>0.28136070000000002</v>
      </c>
      <c r="W3583">
        <v>-6.1608580000000003E-2</v>
      </c>
      <c r="X3583">
        <v>0.95762230000000004</v>
      </c>
      <c r="Y3583">
        <v>0.46174520000000002</v>
      </c>
      <c r="Z3583">
        <v>3.8507689999999997E-2</v>
      </c>
      <c r="AA3583">
        <v>0.88617630000000003</v>
      </c>
      <c r="AB3583">
        <v>26</v>
      </c>
      <c r="AC3583">
        <v>1.4885999999999899</v>
      </c>
      <c r="AD3583">
        <v>-1.094671253986</v>
      </c>
      <c r="AE3583">
        <v>-12.5229999999999</v>
      </c>
      <c r="AF3583">
        <v>5.8766950728383396</v>
      </c>
      <c r="AG3583">
        <v>-1.094671253986</v>
      </c>
      <c r="AH3583">
        <v>11.051521169461299</v>
      </c>
      <c r="AI3583">
        <v>94.998129836163997</v>
      </c>
      <c r="AJ3583">
        <v>61.9979911504835</v>
      </c>
      <c r="AK3583">
        <v>12.564631721323</v>
      </c>
      <c r="AL3583">
        <v>93.532148594300594</v>
      </c>
      <c r="AM3583">
        <v>73.626591288953193</v>
      </c>
      <c r="AN3583">
        <v>0.99999996504569699</v>
      </c>
    </row>
    <row r="3584" spans="1:40" x14ac:dyDescent="0.25">
      <c r="A3584" t="str">
        <f>"20190305135305466"</f>
        <v>20190305135305466</v>
      </c>
      <c r="B3584" t="str">
        <f>"1551765185462795"</f>
        <v>1551765185462795</v>
      </c>
      <c r="C3584" t="s">
        <v>40</v>
      </c>
      <c r="D3584">
        <v>4.9334550000000004</v>
      </c>
      <c r="E3584">
        <v>0.57325800000000005</v>
      </c>
      <c r="F3584" t="s">
        <v>42</v>
      </c>
      <c r="G3584">
        <v>-196.9417</v>
      </c>
      <c r="H3584" s="1">
        <v>-4.030685E-6</v>
      </c>
      <c r="I3584">
        <v>195.21279999999999</v>
      </c>
      <c r="J3584">
        <v>-198.36199999999999</v>
      </c>
      <c r="K3584">
        <v>1.0949390000000001</v>
      </c>
      <c r="L3584">
        <v>208.1266</v>
      </c>
      <c r="M3584">
        <v>0.553324699999999</v>
      </c>
      <c r="N3584">
        <v>-1.980086E-2</v>
      </c>
      <c r="O3584">
        <v>-0.83273050000000004</v>
      </c>
      <c r="P3584">
        <v>0.29884850000000002</v>
      </c>
      <c r="Q3584">
        <v>-6.9236710000000007E-2</v>
      </c>
      <c r="R3584">
        <v>-0.95178600000000002</v>
      </c>
      <c r="S3584">
        <v>0.35839840000000001</v>
      </c>
      <c r="T3584">
        <v>-0.2523396</v>
      </c>
      <c r="U3584">
        <v>-3.0300600000000002</v>
      </c>
      <c r="V3584">
        <v>0.27590419999999999</v>
      </c>
      <c r="W3584">
        <v>-5.9979709999999999E-2</v>
      </c>
      <c r="X3584">
        <v>0.9593119</v>
      </c>
      <c r="Y3584">
        <v>0.4512659</v>
      </c>
      <c r="Z3584">
        <v>3.8730670000000002E-2</v>
      </c>
      <c r="AA3584">
        <v>0.89154869999999997</v>
      </c>
      <c r="AB3584">
        <v>26</v>
      </c>
      <c r="AC3584">
        <v>1.4202999999999899</v>
      </c>
      <c r="AD3584">
        <v>-1.0949430306850001</v>
      </c>
      <c r="AE3584">
        <v>-12.9138</v>
      </c>
      <c r="AF3584">
        <v>5.9219011538284496</v>
      </c>
      <c r="AG3584">
        <v>-1.0949430306850001</v>
      </c>
      <c r="AH3584">
        <v>11.4604571012579</v>
      </c>
      <c r="AI3584">
        <v>94.8515827568731</v>
      </c>
      <c r="AJ3584">
        <v>62.673484694051801</v>
      </c>
      <c r="AK3584">
        <v>12.946423849308101</v>
      </c>
      <c r="AL3584">
        <v>93.438648113382399</v>
      </c>
      <c r="AM3584">
        <v>73.954428325600105</v>
      </c>
      <c r="AN3584">
        <v>1.00000000733546</v>
      </c>
    </row>
    <row r="3585" spans="1:40" x14ac:dyDescent="0.25">
      <c r="A3585" t="str">
        <f>"20190305135305490"</f>
        <v>20190305135305490</v>
      </c>
      <c r="B3585" t="str">
        <f>"1551765185483292"</f>
        <v>1551765185483292</v>
      </c>
      <c r="C3585" t="s">
        <v>40</v>
      </c>
      <c r="D3585">
        <v>4.9136220000000002</v>
      </c>
      <c r="E3585">
        <v>0.58349549999999994</v>
      </c>
      <c r="F3585" t="s">
        <v>42</v>
      </c>
      <c r="G3585">
        <v>-196.9299</v>
      </c>
      <c r="H3585" s="1">
        <v>-3.9674829999999999E-6</v>
      </c>
      <c r="I3585">
        <v>195.03319999999999</v>
      </c>
      <c r="J3585">
        <v>-198.226</v>
      </c>
      <c r="K3585">
        <v>1.0952109999999999</v>
      </c>
      <c r="L3585">
        <v>207.88130000000001</v>
      </c>
      <c r="M3585">
        <v>0.53559480000000004</v>
      </c>
      <c r="N3585">
        <v>-1.9363370000000001E-2</v>
      </c>
      <c r="O3585">
        <v>-0.84425339999999904</v>
      </c>
      <c r="P3585">
        <v>0.28412090000000001</v>
      </c>
      <c r="Q3585">
        <v>-6.9240889999999999E-2</v>
      </c>
      <c r="R3585">
        <v>-0.9562851</v>
      </c>
      <c r="S3585">
        <v>0.33135989999999999</v>
      </c>
      <c r="T3585">
        <v>-0.25334570000000001</v>
      </c>
      <c r="U3585">
        <v>-3.0295100000000001</v>
      </c>
      <c r="V3585">
        <v>0.27045989999999998</v>
      </c>
      <c r="W3585">
        <v>-5.9979999999999999E-2</v>
      </c>
      <c r="X3585">
        <v>0.96086099999999997</v>
      </c>
      <c r="Y3585">
        <v>0.44024170000000001</v>
      </c>
      <c r="Z3585">
        <v>4.0968959999999999E-2</v>
      </c>
      <c r="AA3585">
        <v>0.89694419999999897</v>
      </c>
      <c r="AB3585">
        <v>26</v>
      </c>
      <c r="AC3585">
        <v>1.29609999999999</v>
      </c>
      <c r="AD3585">
        <v>-1.0952149674830001</v>
      </c>
      <c r="AE3585">
        <v>-12.848100000000001</v>
      </c>
      <c r="AF3585">
        <v>5.7468837655332496</v>
      </c>
      <c r="AG3585">
        <v>-1.0952149674830001</v>
      </c>
      <c r="AH3585">
        <v>11.460956453964499</v>
      </c>
      <c r="AI3585">
        <v>94.882522131445199</v>
      </c>
      <c r="AJ3585">
        <v>63.369374552755701</v>
      </c>
      <c r="AK3585">
        <v>12.8677772625741</v>
      </c>
      <c r="AL3585">
        <v>93.438664751281294</v>
      </c>
      <c r="AM3585">
        <v>74.279330670678206</v>
      </c>
      <c r="AN3585">
        <v>1.0000000096145001</v>
      </c>
    </row>
    <row r="3586" spans="1:40" x14ac:dyDescent="0.25">
      <c r="A3586" t="str">
        <f>"20190305135305512"</f>
        <v>20190305135305512</v>
      </c>
      <c r="B3586" t="str">
        <f>"1551765185502815"</f>
        <v>1551765185502815</v>
      </c>
      <c r="C3586" t="s">
        <v>40</v>
      </c>
      <c r="D3586">
        <v>4.8978650000000004</v>
      </c>
      <c r="E3586">
        <v>0.58049669999999998</v>
      </c>
      <c r="F3586" t="s">
        <v>42</v>
      </c>
      <c r="G3586">
        <v>-181.5549</v>
      </c>
      <c r="H3586" s="1">
        <v>-5.2635910000000003E-6</v>
      </c>
      <c r="I3586">
        <v>-11.589560000000001</v>
      </c>
      <c r="J3586">
        <v>-198.10210000000001</v>
      </c>
      <c r="K3586">
        <v>1.0954600000000001</v>
      </c>
      <c r="L3586">
        <v>207.64789999999999</v>
      </c>
      <c r="M3586">
        <v>0.51895479999999905</v>
      </c>
      <c r="N3586">
        <v>-1.8986909999999999E-2</v>
      </c>
      <c r="O3586">
        <v>-0.85459110000000005</v>
      </c>
      <c r="P3586">
        <v>0.27055630000000003</v>
      </c>
      <c r="Q3586">
        <v>-6.9850830000000003E-2</v>
      </c>
      <c r="R3586">
        <v>-0.96016710000000005</v>
      </c>
      <c r="S3586">
        <v>0.23295589999999999</v>
      </c>
      <c r="T3586">
        <v>-1.530421E-2</v>
      </c>
      <c r="U3586">
        <v>-3.066818</v>
      </c>
      <c r="V3586">
        <v>0.26522380000000001</v>
      </c>
      <c r="W3586">
        <v>-6.0570760000000001E-2</v>
      </c>
      <c r="X3586">
        <v>0.96228239999999998</v>
      </c>
      <c r="Y3586">
        <v>0.45272109999999899</v>
      </c>
      <c r="Z3586">
        <v>-1.4953660000000001E-2</v>
      </c>
      <c r="AA3586">
        <v>0.89152679999999995</v>
      </c>
      <c r="AB3586">
        <v>26</v>
      </c>
      <c r="AC3586">
        <v>16.5472</v>
      </c>
      <c r="AD3586">
        <v>-1.095465263591</v>
      </c>
      <c r="AE3586">
        <v>-219.23746</v>
      </c>
      <c r="AF3586">
        <v>99.648705712865606</v>
      </c>
      <c r="AG3586">
        <v>-1.095465263591</v>
      </c>
      <c r="AH3586">
        <v>195.976042275395</v>
      </c>
      <c r="AI3586">
        <v>90.285482944409495</v>
      </c>
      <c r="AJ3586">
        <v>63.047851115106901</v>
      </c>
      <c r="AK3586">
        <v>219.85830377841199</v>
      </c>
      <c r="AL3586">
        <v>93.472574671302993</v>
      </c>
      <c r="AM3586">
        <v>74.590754472631701</v>
      </c>
      <c r="AN3586">
        <v>0.99999994920158697</v>
      </c>
    </row>
    <row r="3587" spans="1:40" x14ac:dyDescent="0.25">
      <c r="A3587" t="str">
        <f>"20190305135305534"</f>
        <v>20190305135305534</v>
      </c>
      <c r="B3587" t="str">
        <f>"1551765185523311"</f>
        <v>1551765185523311</v>
      </c>
      <c r="C3587" t="s">
        <v>40</v>
      </c>
      <c r="D3587">
        <v>4.897125</v>
      </c>
      <c r="E3587">
        <v>0.57659189999999905</v>
      </c>
      <c r="F3587" t="s">
        <v>42</v>
      </c>
      <c r="G3587">
        <v>-188.7338</v>
      </c>
      <c r="H3587" s="1">
        <v>-1.3265529999999999E-6</v>
      </c>
      <c r="I3587">
        <v>72.201430000000002</v>
      </c>
      <c r="J3587">
        <v>-197.98779999999999</v>
      </c>
      <c r="K3587">
        <v>1.0956999999999999</v>
      </c>
      <c r="L3587">
        <v>207.42259999999999</v>
      </c>
      <c r="M3587">
        <v>0.50314340000000002</v>
      </c>
      <c r="N3587">
        <v>-1.865936E-2</v>
      </c>
      <c r="O3587">
        <v>-0.86400159999999904</v>
      </c>
      <c r="P3587">
        <v>0.25846049999999998</v>
      </c>
      <c r="Q3587">
        <v>-7.1264159999999993E-2</v>
      </c>
      <c r="R3587">
        <v>-0.96338959999999996</v>
      </c>
      <c r="S3587">
        <v>0.21185300000000001</v>
      </c>
      <c r="T3587">
        <v>-2.4772410000000002E-2</v>
      </c>
      <c r="U3587">
        <v>-3.0629430000000002</v>
      </c>
      <c r="V3587">
        <v>0.25954870000000002</v>
      </c>
      <c r="W3587">
        <v>-6.1926429999999998E-2</v>
      </c>
      <c r="X3587">
        <v>0.96374249999999995</v>
      </c>
      <c r="Y3587">
        <v>0.4422952</v>
      </c>
      <c r="Z3587">
        <v>-1.2289710000000001E-2</v>
      </c>
      <c r="AA3587">
        <v>0.89678530000000001</v>
      </c>
      <c r="AB3587">
        <v>26</v>
      </c>
      <c r="AC3587">
        <v>9.2539999999999907</v>
      </c>
      <c r="AD3587">
        <v>-1.09570132655299</v>
      </c>
      <c r="AE3587">
        <v>-135.22116999999901</v>
      </c>
      <c r="AF3587">
        <v>60.046692528194697</v>
      </c>
      <c r="AG3587">
        <v>-1.09570132655299</v>
      </c>
      <c r="AH3587">
        <v>121.500597369559</v>
      </c>
      <c r="AI3587">
        <v>90.463206257245602</v>
      </c>
      <c r="AJ3587">
        <v>63.701001649266601</v>
      </c>
      <c r="AK3587">
        <v>135.53302551825601</v>
      </c>
      <c r="AL3587">
        <v>93.550394744710403</v>
      </c>
      <c r="AM3587">
        <v>74.927101364383802</v>
      </c>
      <c r="AN3587">
        <v>1.0000000083552401</v>
      </c>
    </row>
    <row r="3588" spans="1:40" x14ac:dyDescent="0.25">
      <c r="A3588" t="str">
        <f>"20190305135305556"</f>
        <v>20190305135305556</v>
      </c>
      <c r="B3588" t="str">
        <f>"1551765185553563"</f>
        <v>1551765185553563</v>
      </c>
      <c r="C3588" t="s">
        <v>40</v>
      </c>
      <c r="D3588">
        <v>4.9356660000000003</v>
      </c>
      <c r="E3588">
        <v>0.57170580000000004</v>
      </c>
      <c r="F3588" t="s">
        <v>78</v>
      </c>
      <c r="G3588">
        <v>-193.84979999999999</v>
      </c>
      <c r="H3588" s="1">
        <v>-1.00074E-5</v>
      </c>
      <c r="I3588">
        <v>144.41929999999999</v>
      </c>
      <c r="J3588">
        <v>-197.87219999999999</v>
      </c>
      <c r="K3588">
        <v>1.095958</v>
      </c>
      <c r="L3588">
        <v>207.18440000000001</v>
      </c>
      <c r="M3588">
        <v>0.48670160000000001</v>
      </c>
      <c r="N3588">
        <v>-1.8343060000000001E-2</v>
      </c>
      <c r="O3588">
        <v>-0.87337569999999998</v>
      </c>
      <c r="P3588">
        <v>0.24663740000000001</v>
      </c>
      <c r="Q3588">
        <v>-7.1456729999999996E-2</v>
      </c>
      <c r="R3588">
        <v>-0.9664701</v>
      </c>
      <c r="S3588">
        <v>0.2007294</v>
      </c>
      <c r="T3588">
        <v>-5.315185E-2</v>
      </c>
      <c r="U3588">
        <v>-3.0562290000000001</v>
      </c>
      <c r="V3588">
        <v>0.2531352</v>
      </c>
      <c r="W3588">
        <v>-6.2021819999999998E-2</v>
      </c>
      <c r="X3588">
        <v>0.96544079999999999</v>
      </c>
      <c r="Y3588">
        <v>0.4283399</v>
      </c>
      <c r="Z3588">
        <v>-4.7764920000000002E-3</v>
      </c>
      <c r="AA3588">
        <v>0.90360510000000005</v>
      </c>
      <c r="AB3588">
        <v>26</v>
      </c>
      <c r="AC3588">
        <v>4.0224000000000002</v>
      </c>
      <c r="AD3588">
        <v>-1.0959680074</v>
      </c>
      <c r="AE3588">
        <v>-62.765099999999997</v>
      </c>
      <c r="AF3588">
        <v>27.031148989549902</v>
      </c>
      <c r="AG3588">
        <v>-1.0959680074</v>
      </c>
      <c r="AH3588">
        <v>56.767537079604999</v>
      </c>
      <c r="AI3588">
        <v>90.998619732906405</v>
      </c>
      <c r="AJ3588">
        <v>64.537487168067003</v>
      </c>
      <c r="AK3588">
        <v>62.8843178197301</v>
      </c>
      <c r="AL3588">
        <v>93.555870613342805</v>
      </c>
      <c r="AM3588">
        <v>75.307965523986297</v>
      </c>
      <c r="AN3588">
        <v>1.00000003696989</v>
      </c>
    </row>
    <row r="3589" spans="1:40" x14ac:dyDescent="0.25">
      <c r="A3589" t="str">
        <f>"20190305135305579"</f>
        <v>20190305135305579</v>
      </c>
      <c r="B3589" t="str">
        <f>"1551765185573083"</f>
        <v>1551765185573083</v>
      </c>
      <c r="C3589" t="s">
        <v>40</v>
      </c>
      <c r="D3589">
        <v>5.0829519999999997</v>
      </c>
      <c r="E3589">
        <v>0.55591820000000003</v>
      </c>
      <c r="F3589" t="s">
        <v>42</v>
      </c>
      <c r="G3589">
        <v>-195.304</v>
      </c>
      <c r="H3589" s="1">
        <v>-4.9121209999999999E-6</v>
      </c>
      <c r="I3589">
        <v>167.6275</v>
      </c>
      <c r="J3589">
        <v>-197.7561</v>
      </c>
      <c r="K3589">
        <v>1.0962449999999999</v>
      </c>
      <c r="L3589">
        <v>206.93389999999999</v>
      </c>
      <c r="M3589">
        <v>0.46973389999999998</v>
      </c>
      <c r="N3589">
        <v>-1.8034640000000001E-2</v>
      </c>
      <c r="O3589">
        <v>-0.88262389999999902</v>
      </c>
      <c r="P3589">
        <v>0.23396410000000001</v>
      </c>
      <c r="Q3589">
        <v>-7.1150350000000001E-2</v>
      </c>
      <c r="R3589">
        <v>-0.96963829999999995</v>
      </c>
      <c r="S3589">
        <v>0.19784550000000001</v>
      </c>
      <c r="T3589">
        <v>-8.4429859999999995E-2</v>
      </c>
      <c r="U3589">
        <v>-3.0473479999999999</v>
      </c>
      <c r="V3589">
        <v>0.24717320000000001</v>
      </c>
      <c r="W3589">
        <v>-6.1621740000000001E-2</v>
      </c>
      <c r="X3589">
        <v>0.96700989999999998</v>
      </c>
      <c r="Y3589">
        <v>0.41144649999999999</v>
      </c>
      <c r="Z3589">
        <v>3.8604910000000002E-3</v>
      </c>
      <c r="AA3589">
        <v>0.91142579999999995</v>
      </c>
      <c r="AB3589">
        <v>26</v>
      </c>
      <c r="AC3589">
        <v>2.4521000000000002</v>
      </c>
      <c r="AD3589">
        <v>-1.0962499121210001</v>
      </c>
      <c r="AE3589">
        <v>-39.306399999999996</v>
      </c>
      <c r="AF3589">
        <v>16.289295297097301</v>
      </c>
      <c r="AG3589">
        <v>-1.0962499121210001</v>
      </c>
      <c r="AH3589">
        <v>35.822674341184502</v>
      </c>
      <c r="AI3589">
        <v>91.595693779174397</v>
      </c>
      <c r="AJ3589">
        <v>65.547745807666999</v>
      </c>
      <c r="AK3589">
        <v>39.367586947899397</v>
      </c>
      <c r="AL3589">
        <v>93.532903960356606</v>
      </c>
      <c r="AM3589">
        <v>75.661870038813703</v>
      </c>
      <c r="AN3589">
        <v>0.99999998816843805</v>
      </c>
    </row>
    <row r="3590" spans="1:40" x14ac:dyDescent="0.25">
      <c r="A3590" t="str">
        <f>"20190305135305602"</f>
        <v>20190305135305602</v>
      </c>
      <c r="B3590" t="str">
        <f>"1551765185593579"</f>
        <v>1551765185593579</v>
      </c>
      <c r="C3590" t="s">
        <v>40</v>
      </c>
      <c r="D3590">
        <v>4.9488289999999999</v>
      </c>
      <c r="E3590">
        <v>0.55459360000000002</v>
      </c>
      <c r="F3590" t="s">
        <v>42</v>
      </c>
      <c r="G3590">
        <v>-196.05889999999999</v>
      </c>
      <c r="H3590" s="1">
        <v>-4.8282830000000002E-6</v>
      </c>
      <c r="I3590">
        <v>188.01669999999999</v>
      </c>
      <c r="J3590">
        <v>-197.64580000000001</v>
      </c>
      <c r="K3590">
        <v>1.0965389999999999</v>
      </c>
      <c r="L3590">
        <v>206.68430000000001</v>
      </c>
      <c r="M3590">
        <v>0.45318550000000002</v>
      </c>
      <c r="N3590">
        <v>-1.7748300000000002E-2</v>
      </c>
      <c r="O3590">
        <v>-0.89123960000000002</v>
      </c>
      <c r="P3590">
        <v>0.22221060000000001</v>
      </c>
      <c r="Q3590">
        <v>-7.2502789999999998E-2</v>
      </c>
      <c r="R3590">
        <v>-0.97229929999999998</v>
      </c>
      <c r="S3590">
        <v>0.27058409999999999</v>
      </c>
      <c r="T3590">
        <v>-0.17476649999999999</v>
      </c>
      <c r="U3590">
        <v>-3.0158079999999998</v>
      </c>
      <c r="V3590">
        <v>0.24078849999999999</v>
      </c>
      <c r="W3590">
        <v>-6.2843679999999999E-2</v>
      </c>
      <c r="X3590">
        <v>0.96854099999999999</v>
      </c>
      <c r="Y3590">
        <v>0.37153979999999998</v>
      </c>
      <c r="Z3590">
        <v>2.8984889999999999E-2</v>
      </c>
      <c r="AA3590">
        <v>0.92796449999999997</v>
      </c>
      <c r="AB3590">
        <v>26</v>
      </c>
      <c r="AC3590">
        <v>1.58690000000001</v>
      </c>
      <c r="AD3590">
        <v>-1.096543828283</v>
      </c>
      <c r="AE3590">
        <v>-18.6676</v>
      </c>
      <c r="AF3590">
        <v>7.0226296849220304</v>
      </c>
      <c r="AG3590">
        <v>-1.096543828283</v>
      </c>
      <c r="AH3590">
        <v>17.299933467288501</v>
      </c>
      <c r="AI3590">
        <v>93.361113879945606</v>
      </c>
      <c r="AJ3590">
        <v>67.906098305699103</v>
      </c>
      <c r="AK3590">
        <v>18.7031396837938</v>
      </c>
      <c r="AL3590">
        <v>93.603051720198494</v>
      </c>
      <c r="AM3590">
        <v>76.038764004921006</v>
      </c>
      <c r="AN3590">
        <v>1.00000004926459</v>
      </c>
    </row>
    <row r="3591" spans="1:40" x14ac:dyDescent="0.25">
      <c r="A3591" t="str">
        <f>"20190305135305624"</f>
        <v>20190305135305624</v>
      </c>
      <c r="B3591" t="str">
        <f>"1551765185613100"</f>
        <v>1551765185613100</v>
      </c>
      <c r="C3591" t="s">
        <v>40</v>
      </c>
      <c r="D3591">
        <v>4.9116980000000003</v>
      </c>
      <c r="E3591">
        <v>0.55504209999999998</v>
      </c>
      <c r="F3591" t="s">
        <v>42</v>
      </c>
      <c r="G3591">
        <v>-196.14230000000001</v>
      </c>
      <c r="H3591" s="1">
        <v>-4.8859960000000002E-6</v>
      </c>
      <c r="I3591">
        <v>188.14279999999999</v>
      </c>
      <c r="J3591">
        <v>-197.54759999999999</v>
      </c>
      <c r="K3591">
        <v>1.096832</v>
      </c>
      <c r="L3591">
        <v>206.45140000000001</v>
      </c>
      <c r="M3591">
        <v>0.43809670000000001</v>
      </c>
      <c r="N3591">
        <v>-1.749728E-2</v>
      </c>
      <c r="O3591">
        <v>-0.89875759999999905</v>
      </c>
      <c r="P3591">
        <v>0.2121384</v>
      </c>
      <c r="Q3591">
        <v>-7.432184E-2</v>
      </c>
      <c r="R3591">
        <v>-0.97440959999999999</v>
      </c>
      <c r="S3591">
        <v>0.2445831</v>
      </c>
      <c r="T3591">
        <v>-0.17838200000000001</v>
      </c>
      <c r="U3591">
        <v>-3.0162659999999999</v>
      </c>
      <c r="V3591">
        <v>0.23441090000000001</v>
      </c>
      <c r="W3591">
        <v>-6.4503199999999997E-2</v>
      </c>
      <c r="X3591">
        <v>0.9699953</v>
      </c>
      <c r="Y3591">
        <v>0.36384040000000001</v>
      </c>
      <c r="Z3591">
        <v>3.089043E-2</v>
      </c>
      <c r="AA3591">
        <v>0.93094900000000003</v>
      </c>
      <c r="AB3591">
        <v>26</v>
      </c>
      <c r="AC3591">
        <v>1.40529999999998</v>
      </c>
      <c r="AD3591">
        <v>-1.096836885996</v>
      </c>
      <c r="AE3591">
        <v>-18.308599999999998</v>
      </c>
      <c r="AF3591">
        <v>6.7349175147154101</v>
      </c>
      <c r="AG3591">
        <v>-1.096836885996</v>
      </c>
      <c r="AH3591">
        <v>17.0125630701672</v>
      </c>
      <c r="AI3591">
        <v>93.430531116121699</v>
      </c>
      <c r="AJ3591">
        <v>68.402424426799797</v>
      </c>
      <c r="AK3591">
        <v>18.330015474650299</v>
      </c>
      <c r="AL3591">
        <v>93.698328710443704</v>
      </c>
      <c r="AM3591">
        <v>76.414267233255501</v>
      </c>
      <c r="AN3591">
        <v>1.0000000074355699</v>
      </c>
    </row>
    <row r="3592" spans="1:40" x14ac:dyDescent="0.25">
      <c r="A3592" t="str">
        <f>"20190305135305646"</f>
        <v>20190305135305646</v>
      </c>
      <c r="B3592" t="str">
        <f>"1551765185633596"</f>
        <v>1551765185633596</v>
      </c>
      <c r="C3592" t="s">
        <v>40</v>
      </c>
      <c r="D3592">
        <v>4.9331659999999999</v>
      </c>
      <c r="E3592">
        <v>0.55571169999999903</v>
      </c>
      <c r="F3592" t="s">
        <v>42</v>
      </c>
      <c r="G3592">
        <v>-196.20650000000001</v>
      </c>
      <c r="H3592" s="1">
        <v>-4.6009789999999997E-6</v>
      </c>
      <c r="I3592">
        <v>187.27180000000001</v>
      </c>
      <c r="J3592">
        <v>-197.452</v>
      </c>
      <c r="K3592">
        <v>1.097181</v>
      </c>
      <c r="L3592">
        <v>206.21440000000001</v>
      </c>
      <c r="M3592">
        <v>0.42313109999999998</v>
      </c>
      <c r="N3592">
        <v>-1.7254410000000001E-2</v>
      </c>
      <c r="O3592">
        <v>-0.9059045</v>
      </c>
      <c r="P3592">
        <v>0.2020903</v>
      </c>
      <c r="Q3592">
        <v>-7.5428990000000001E-2</v>
      </c>
      <c r="R3592">
        <v>-0.97645839999999995</v>
      </c>
      <c r="S3592">
        <v>0.21113589999999999</v>
      </c>
      <c r="T3592">
        <v>-0.17268649999999999</v>
      </c>
      <c r="U3592">
        <v>-3.019638</v>
      </c>
      <c r="V3592">
        <v>0.2282988</v>
      </c>
      <c r="W3592">
        <v>-6.5438709999999997E-2</v>
      </c>
      <c r="X3592">
        <v>0.97138939999999996</v>
      </c>
      <c r="Y3592">
        <v>0.35873820000000001</v>
      </c>
      <c r="Z3592">
        <v>3.0166680000000001E-2</v>
      </c>
      <c r="AA3592">
        <v>0.93295059999999996</v>
      </c>
      <c r="AB3592">
        <v>26</v>
      </c>
      <c r="AC3592">
        <v>1.2454999999999901</v>
      </c>
      <c r="AD3592">
        <v>-1.097185600979</v>
      </c>
      <c r="AE3592">
        <v>-18.942599999999999</v>
      </c>
      <c r="AF3592">
        <v>6.8649901379783502</v>
      </c>
      <c r="AG3592">
        <v>-1.097185600979</v>
      </c>
      <c r="AH3592">
        <v>17.630928885202799</v>
      </c>
      <c r="AI3592">
        <v>93.318857520331093</v>
      </c>
      <c r="AJ3592">
        <v>68.725454195211597</v>
      </c>
      <c r="AK3592">
        <v>18.952085879728699</v>
      </c>
      <c r="AL3592">
        <v>93.752043129903697</v>
      </c>
      <c r="AM3592">
        <v>76.774202826461902</v>
      </c>
      <c r="AN3592">
        <v>0.99999996664013102</v>
      </c>
    </row>
    <row r="3593" spans="1:40" x14ac:dyDescent="0.25">
      <c r="A3593" t="str">
        <f>"20190305135305669"</f>
        <v>20190305135305669</v>
      </c>
      <c r="B3593" t="str">
        <f>"1551765185663851"</f>
        <v>1551765185663851</v>
      </c>
      <c r="C3593" t="s">
        <v>40</v>
      </c>
      <c r="D3593">
        <v>4.9325060000000001</v>
      </c>
      <c r="E3593">
        <v>0.55496140000000005</v>
      </c>
      <c r="F3593" t="s">
        <v>42</v>
      </c>
      <c r="G3593">
        <v>-196.2928</v>
      </c>
      <c r="H3593" s="1">
        <v>-4.2692700000000004E-6</v>
      </c>
      <c r="I3593">
        <v>186.25210000000001</v>
      </c>
      <c r="J3593">
        <v>-197.35290000000001</v>
      </c>
      <c r="K3593">
        <v>1.0975950000000001</v>
      </c>
      <c r="L3593">
        <v>205.95689999999999</v>
      </c>
      <c r="M3593">
        <v>0.40736410000000001</v>
      </c>
      <c r="N3593">
        <v>-1.700196E-2</v>
      </c>
      <c r="O3593">
        <v>-0.91310760000000002</v>
      </c>
      <c r="P3593">
        <v>0.18841649999999999</v>
      </c>
      <c r="Q3593">
        <v>-7.5165549999999998E-2</v>
      </c>
      <c r="R3593">
        <v>-0.97920859999999998</v>
      </c>
      <c r="S3593">
        <v>0.1755524</v>
      </c>
      <c r="T3593">
        <v>-0.16616139999999999</v>
      </c>
      <c r="U3593">
        <v>-3.0231629999999998</v>
      </c>
      <c r="V3593">
        <v>0.22512090000000001</v>
      </c>
      <c r="W3593">
        <v>-6.508166E-2</v>
      </c>
      <c r="X3593">
        <v>0.97215479999999999</v>
      </c>
      <c r="Y3593">
        <v>0.35357830000000001</v>
      </c>
      <c r="Z3593">
        <v>2.9184450000000001E-2</v>
      </c>
      <c r="AA3593">
        <v>0.93494949999999999</v>
      </c>
      <c r="AB3593">
        <v>26</v>
      </c>
      <c r="AC3593">
        <v>1.0601</v>
      </c>
      <c r="AD3593">
        <v>-1.0975992692700001</v>
      </c>
      <c r="AE3593">
        <v>-19.704799999999899</v>
      </c>
      <c r="AF3593">
        <v>7.0382881444090204</v>
      </c>
      <c r="AG3593">
        <v>-1.0975992692700001</v>
      </c>
      <c r="AH3593">
        <v>18.3702787734934</v>
      </c>
      <c r="AI3593">
        <v>93.193436730423699</v>
      </c>
      <c r="AJ3593">
        <v>69.036438432534993</v>
      </c>
      <c r="AK3593">
        <v>19.703029370517999</v>
      </c>
      <c r="AL3593">
        <v>93.731541848819305</v>
      </c>
      <c r="AM3593">
        <v>76.961885183227594</v>
      </c>
      <c r="AN3593">
        <v>0.99999999862410205</v>
      </c>
    </row>
    <row r="3594" spans="1:40" x14ac:dyDescent="0.25">
      <c r="A3594" t="str">
        <f>"20190305135305692"</f>
        <v>20190305135305692</v>
      </c>
      <c r="B3594" t="str">
        <f>"1551765185683375"</f>
        <v>1551765185683375</v>
      </c>
      <c r="C3594" t="s">
        <v>40</v>
      </c>
      <c r="D3594">
        <v>4.9697829999999996</v>
      </c>
      <c r="E3594">
        <v>0.55407729999999999</v>
      </c>
      <c r="F3594" t="s">
        <v>42</v>
      </c>
      <c r="G3594">
        <v>-196.3723</v>
      </c>
      <c r="H3594" s="1">
        <v>-3.7860630000000001E-6</v>
      </c>
      <c r="I3594">
        <v>184.79079999999999</v>
      </c>
      <c r="J3594">
        <v>-197.2627</v>
      </c>
      <c r="K3594">
        <v>1.0979749999999999</v>
      </c>
      <c r="L3594">
        <v>205.7116</v>
      </c>
      <c r="M3594">
        <v>0.39273439999999998</v>
      </c>
      <c r="N3594">
        <v>-1.677816E-2</v>
      </c>
      <c r="O3594">
        <v>-0.91949890000000001</v>
      </c>
      <c r="P3594">
        <v>0.1795688</v>
      </c>
      <c r="Q3594">
        <v>-7.5030529999999998E-2</v>
      </c>
      <c r="R3594">
        <v>-0.98088010000000003</v>
      </c>
      <c r="S3594">
        <v>0.1401367</v>
      </c>
      <c r="T3594">
        <v>-0.15684879999999901</v>
      </c>
      <c r="U3594">
        <v>-3.0246729999999999</v>
      </c>
      <c r="V3594">
        <v>0.21844359999999999</v>
      </c>
      <c r="W3594">
        <v>-6.4739909999999998E-2</v>
      </c>
      <c r="X3594">
        <v>0.97369969999999995</v>
      </c>
      <c r="Y3594">
        <v>0.34960059999999998</v>
      </c>
      <c r="Z3594">
        <v>2.730428E-2</v>
      </c>
      <c r="AA3594">
        <v>0.93650089999999997</v>
      </c>
      <c r="AB3594">
        <v>25</v>
      </c>
      <c r="AC3594">
        <v>0.89039999999999897</v>
      </c>
      <c r="AD3594">
        <v>-1.0979787860629999</v>
      </c>
      <c r="AE3594">
        <v>-20.9208</v>
      </c>
      <c r="AF3594">
        <v>7.37835092815914</v>
      </c>
      <c r="AG3594">
        <v>-1.0979787860629999</v>
      </c>
      <c r="AH3594">
        <v>19.535388787320699</v>
      </c>
      <c r="AI3594">
        <v>93.009802542369698</v>
      </c>
      <c r="AJ3594">
        <v>69.308873729544104</v>
      </c>
      <c r="AK3594">
        <v>20.911170098908499</v>
      </c>
      <c r="AL3594">
        <v>93.711919688352395</v>
      </c>
      <c r="AM3594">
        <v>77.355401245767297</v>
      </c>
      <c r="AN3594">
        <v>0.99999998405392798</v>
      </c>
    </row>
    <row r="3595" spans="1:40" x14ac:dyDescent="0.25">
      <c r="A3595" t="str">
        <f>"20190305135305713"</f>
        <v>20190305135305713</v>
      </c>
      <c r="B3595" t="str">
        <f>"1551765185703871"</f>
        <v>1551765185703871</v>
      </c>
      <c r="C3595" t="s">
        <v>40</v>
      </c>
      <c r="D3595">
        <v>4.9509550000000004</v>
      </c>
      <c r="E3595">
        <v>0.55308570000000001</v>
      </c>
      <c r="F3595" t="s">
        <v>42</v>
      </c>
      <c r="G3595">
        <v>-196.41059999999999</v>
      </c>
      <c r="H3595" s="1">
        <v>-3.5991099999999998E-6</v>
      </c>
      <c r="I3595">
        <v>184.22139999999999</v>
      </c>
      <c r="J3595">
        <v>-197.17920000000001</v>
      </c>
      <c r="K3595">
        <v>1.0983270000000001</v>
      </c>
      <c r="L3595">
        <v>205.4744</v>
      </c>
      <c r="M3595">
        <v>0.37898559999999998</v>
      </c>
      <c r="N3595">
        <v>-1.6578229999999999E-2</v>
      </c>
      <c r="O3595">
        <v>-0.92525400000000002</v>
      </c>
      <c r="P3595">
        <v>0.1719871</v>
      </c>
      <c r="Q3595">
        <v>-7.5434699999999993E-2</v>
      </c>
      <c r="R3595">
        <v>-0.98220660000000004</v>
      </c>
      <c r="S3595">
        <v>0.1199341</v>
      </c>
      <c r="T3595">
        <v>-0.15453710000000001</v>
      </c>
      <c r="U3595">
        <v>-3.0246729999999999</v>
      </c>
      <c r="V3595">
        <v>0.21148539999999999</v>
      </c>
      <c r="W3595">
        <v>-6.4930840000000004E-2</v>
      </c>
      <c r="X3595">
        <v>0.97522200000000003</v>
      </c>
      <c r="Y3595">
        <v>0.34187869999999998</v>
      </c>
      <c r="Z3595">
        <v>2.734284E-2</v>
      </c>
      <c r="AA3595">
        <v>0.93934620000000002</v>
      </c>
      <c r="AB3595">
        <v>25</v>
      </c>
      <c r="AC3595">
        <v>0.76860000000002004</v>
      </c>
      <c r="AD3595">
        <v>-1.0983305991100001</v>
      </c>
      <c r="AE3595">
        <v>-21.253</v>
      </c>
      <c r="AF3595">
        <v>7.3249033868554303</v>
      </c>
      <c r="AG3595">
        <v>-1.0983305991100001</v>
      </c>
      <c r="AH3595">
        <v>19.9053636876071</v>
      </c>
      <c r="AI3595">
        <v>92.964290382317103</v>
      </c>
      <c r="AJ3595">
        <v>69.797070451929798</v>
      </c>
      <c r="AK3595">
        <v>21.2387392108763</v>
      </c>
      <c r="AL3595">
        <v>93.722882107531504</v>
      </c>
      <c r="AM3595">
        <v>77.764367002378805</v>
      </c>
      <c r="AN3595">
        <v>1.0000000188401299</v>
      </c>
    </row>
    <row r="3596" spans="1:40" x14ac:dyDescent="0.25">
      <c r="A3596" t="str">
        <f>"20190305135305735"</f>
        <v>20190305135305735</v>
      </c>
      <c r="B3596" t="str">
        <f>"1551765185723387"</f>
        <v>1551765185723387</v>
      </c>
      <c r="C3596" t="s">
        <v>40</v>
      </c>
      <c r="D3596">
        <v>4.9563569999999997</v>
      </c>
      <c r="E3596">
        <v>0.54510890000000001</v>
      </c>
      <c r="F3596" t="s">
        <v>42</v>
      </c>
      <c r="G3596">
        <v>-196.43260000000001</v>
      </c>
      <c r="H3596" s="1">
        <v>-3.4878400000000001E-6</v>
      </c>
      <c r="I3596">
        <v>183.88300000000001</v>
      </c>
      <c r="J3596">
        <v>-197.0992</v>
      </c>
      <c r="K3596">
        <v>1.0986940000000001</v>
      </c>
      <c r="L3596">
        <v>205.23769999999999</v>
      </c>
      <c r="M3596">
        <v>0.36570750000000002</v>
      </c>
      <c r="N3596">
        <v>-1.6386620000000001E-2</v>
      </c>
      <c r="O3596">
        <v>-0.93058560000000001</v>
      </c>
      <c r="P3596">
        <v>0.16421289999999999</v>
      </c>
      <c r="Q3596">
        <v>-7.6178190000000007E-2</v>
      </c>
      <c r="R3596">
        <v>-0.98347910000000005</v>
      </c>
      <c r="S3596">
        <v>0.10456849999999999</v>
      </c>
      <c r="T3596">
        <v>-0.1538389</v>
      </c>
      <c r="U3596">
        <v>-3.0242309999999999</v>
      </c>
      <c r="V3596">
        <v>0.20526359999999999</v>
      </c>
      <c r="W3596">
        <v>-6.5483379999999994E-2</v>
      </c>
      <c r="X3596">
        <v>0.97651359999999998</v>
      </c>
      <c r="Y3596">
        <v>0.33318789999999998</v>
      </c>
      <c r="Z3596">
        <v>2.7807169999999999E-2</v>
      </c>
      <c r="AA3596">
        <v>0.94245029999999996</v>
      </c>
      <c r="AB3596">
        <v>25</v>
      </c>
      <c r="AC3596">
        <v>0.66659999999998798</v>
      </c>
      <c r="AD3596">
        <v>-1.09869748784</v>
      </c>
      <c r="AE3596">
        <v>-21.354700000000001</v>
      </c>
      <c r="AF3596">
        <v>7.1712463342086101</v>
      </c>
      <c r="AG3596">
        <v>-1.09869748784</v>
      </c>
      <c r="AH3596">
        <v>20.065793394314301</v>
      </c>
      <c r="AI3596">
        <v>92.951605875344697</v>
      </c>
      <c r="AJ3596">
        <v>70.3337895990541</v>
      </c>
      <c r="AK3596">
        <v>21.337056373806501</v>
      </c>
      <c r="AL3596">
        <v>93.754607852915697</v>
      </c>
      <c r="AM3596">
        <v>78.129221372950994</v>
      </c>
      <c r="AN3596">
        <v>1.0000000147630701</v>
      </c>
    </row>
    <row r="3597" spans="1:40" x14ac:dyDescent="0.25">
      <c r="A3597" t="str">
        <f>"20190305135305757"</f>
        <v>20190305135305757</v>
      </c>
      <c r="B3597" t="str">
        <f>"1551765185753165"</f>
        <v>1551765185753165</v>
      </c>
      <c r="C3597" t="s">
        <v>40</v>
      </c>
      <c r="D3597">
        <v>5.0032259999999997</v>
      </c>
      <c r="E3597">
        <v>0.54352270000000003</v>
      </c>
      <c r="F3597" t="s">
        <v>42</v>
      </c>
      <c r="G3597">
        <v>-195.6833</v>
      </c>
      <c r="H3597" s="1">
        <v>-4.1860939999999999E-6</v>
      </c>
      <c r="I3597">
        <v>176.3254</v>
      </c>
      <c r="J3597">
        <v>-197.01910000000001</v>
      </c>
      <c r="K3597">
        <v>1.09911</v>
      </c>
      <c r="L3597">
        <v>204.99019999999999</v>
      </c>
      <c r="M3597">
        <v>0.3523501</v>
      </c>
      <c r="N3597">
        <v>-1.618754E-2</v>
      </c>
      <c r="O3597">
        <v>-0.93572860000000002</v>
      </c>
      <c r="P3597">
        <v>0.15658269999999999</v>
      </c>
      <c r="Q3597">
        <v>-7.6501440000000004E-2</v>
      </c>
      <c r="R3597">
        <v>-0.98469819999999997</v>
      </c>
      <c r="S3597">
        <v>0.14775089999999999</v>
      </c>
      <c r="T3597">
        <v>-0.1146433</v>
      </c>
      <c r="U3597">
        <v>-3.0168460000000001</v>
      </c>
      <c r="V3597">
        <v>0.1989078</v>
      </c>
      <c r="W3597">
        <v>-6.5607849999999995E-2</v>
      </c>
      <c r="X3597">
        <v>0.97781969999999996</v>
      </c>
      <c r="Y3597">
        <v>0.30605979999999999</v>
      </c>
      <c r="Z3597">
        <v>1.736327E-2</v>
      </c>
      <c r="AA3597">
        <v>0.95185390000000003</v>
      </c>
      <c r="AB3597">
        <v>25</v>
      </c>
      <c r="AC3597">
        <v>1.3358000000000001</v>
      </c>
      <c r="AD3597">
        <v>-1.0991141860939999</v>
      </c>
      <c r="AE3597">
        <v>-28.6647999999999</v>
      </c>
      <c r="AF3597">
        <v>8.8382895556781804</v>
      </c>
      <c r="AG3597">
        <v>-1.0991141860939999</v>
      </c>
      <c r="AH3597">
        <v>27.2567232232403</v>
      </c>
      <c r="AI3597">
        <v>92.196692558565999</v>
      </c>
      <c r="AJ3597">
        <v>72.034148496587505</v>
      </c>
      <c r="AK3597">
        <v>28.674943332680002</v>
      </c>
      <c r="AL3597">
        <v>93.761754753949404</v>
      </c>
      <c r="AM3597">
        <v>78.501793018833396</v>
      </c>
      <c r="AN3597">
        <v>1.00000003429527</v>
      </c>
    </row>
    <row r="3598" spans="1:40" x14ac:dyDescent="0.25">
      <c r="A3598" t="str">
        <f>"20190305135305782"</f>
        <v>20190305135305782</v>
      </c>
      <c r="B3598" t="str">
        <f>"1551765185773661"</f>
        <v>1551765185773661</v>
      </c>
      <c r="C3598" t="s">
        <v>40</v>
      </c>
      <c r="D3598">
        <v>4.9301199999999996</v>
      </c>
      <c r="E3598">
        <v>0.5423732</v>
      </c>
      <c r="F3598" t="s">
        <v>42</v>
      </c>
      <c r="G3598">
        <v>-195.76910000000001</v>
      </c>
      <c r="H3598" s="1">
        <v>-4.5419090000000001E-6</v>
      </c>
      <c r="I3598">
        <v>177.3262</v>
      </c>
      <c r="J3598">
        <v>-196.93299999999999</v>
      </c>
      <c r="K3598">
        <v>1.099637</v>
      </c>
      <c r="L3598">
        <v>204.71270000000001</v>
      </c>
      <c r="M3598">
        <v>0.3380262</v>
      </c>
      <c r="N3598">
        <v>-1.5967430000000001E-2</v>
      </c>
      <c r="O3598">
        <v>-0.94100119999999998</v>
      </c>
      <c r="P3598">
        <v>0.147623</v>
      </c>
      <c r="Q3598">
        <v>-7.5861830000000005E-2</v>
      </c>
      <c r="R3598">
        <v>-0.9861299</v>
      </c>
      <c r="S3598">
        <v>0.13626099999999999</v>
      </c>
      <c r="T3598">
        <v>-0.11981459999999999</v>
      </c>
      <c r="U3598">
        <v>-3.0156559999999999</v>
      </c>
      <c r="V3598">
        <v>0.19298689999999999</v>
      </c>
      <c r="W3598">
        <v>-6.4768679999999995E-2</v>
      </c>
      <c r="X3598">
        <v>0.97906130000000002</v>
      </c>
      <c r="Y3598">
        <v>0.29511290000000001</v>
      </c>
      <c r="Z3598">
        <v>1.9466850000000001E-2</v>
      </c>
      <c r="AA3598">
        <v>0.95526409999999995</v>
      </c>
      <c r="AB3598">
        <v>25</v>
      </c>
      <c r="AC3598">
        <v>1.16389999999998</v>
      </c>
      <c r="AD3598">
        <v>-1.099641541909</v>
      </c>
      <c r="AE3598">
        <v>-27.386500000000002</v>
      </c>
      <c r="AF3598">
        <v>8.1500480916751297</v>
      </c>
      <c r="AG3598">
        <v>-1.099641541909</v>
      </c>
      <c r="AH3598">
        <v>26.125450504948201</v>
      </c>
      <c r="AI3598">
        <v>92.300965924648906</v>
      </c>
      <c r="AJ3598">
        <v>72.674261601571402</v>
      </c>
      <c r="AK3598">
        <v>27.3892617553634</v>
      </c>
      <c r="AL3598">
        <v>93.713571579874895</v>
      </c>
      <c r="AM3598">
        <v>78.849139315824601</v>
      </c>
      <c r="AN3598">
        <v>0.99999997731912105</v>
      </c>
    </row>
    <row r="3599" spans="1:40" x14ac:dyDescent="0.25">
      <c r="A3599" t="str">
        <f>"20190305135305802"</f>
        <v>20190305135305802</v>
      </c>
      <c r="B3599" t="str">
        <f>"1551765185793182"</f>
        <v>1551765185793182</v>
      </c>
      <c r="C3599" t="s">
        <v>40</v>
      </c>
      <c r="D3599">
        <v>4.9744289999999998</v>
      </c>
      <c r="E3599">
        <v>0.53639499999999996</v>
      </c>
      <c r="F3599" t="s">
        <v>42</v>
      </c>
      <c r="G3599">
        <v>-195.8252</v>
      </c>
      <c r="H3599" s="1">
        <v>-4.2212250000000004E-6</v>
      </c>
      <c r="I3599">
        <v>176.35470000000001</v>
      </c>
      <c r="J3599">
        <v>-196.8629</v>
      </c>
      <c r="K3599">
        <v>1.100122</v>
      </c>
      <c r="L3599">
        <v>204.47720000000001</v>
      </c>
      <c r="M3599">
        <v>0.32648500000000003</v>
      </c>
      <c r="N3599">
        <v>-1.578589E-2</v>
      </c>
      <c r="O3599">
        <v>-0.94507070000000004</v>
      </c>
      <c r="P3599">
        <v>0.142624</v>
      </c>
      <c r="Q3599">
        <v>-7.5213760000000005E-2</v>
      </c>
      <c r="R3599">
        <v>-0.98691519999999999</v>
      </c>
      <c r="S3599">
        <v>0.1177979</v>
      </c>
      <c r="T3599">
        <v>-0.1169341</v>
      </c>
      <c r="U3599">
        <v>-3.015549</v>
      </c>
      <c r="V3599">
        <v>0.18607309999999999</v>
      </c>
      <c r="W3599">
        <v>-6.3893619999999998E-2</v>
      </c>
      <c r="X3599">
        <v>0.9804562</v>
      </c>
      <c r="Y3599">
        <v>0.289257599999999</v>
      </c>
      <c r="Z3599">
        <v>1.9052980000000001E-2</v>
      </c>
      <c r="AA3599">
        <v>0.95706159999999996</v>
      </c>
      <c r="AB3599">
        <v>25</v>
      </c>
      <c r="AC3599">
        <v>1.0377000000000001</v>
      </c>
      <c r="AD3599">
        <v>-1.100126221225</v>
      </c>
      <c r="AE3599">
        <v>-28.122499999999999</v>
      </c>
      <c r="AF3599">
        <v>8.1893802195091503</v>
      </c>
      <c r="AG3599">
        <v>-1.100126221225</v>
      </c>
      <c r="AH3599">
        <v>26.878818076454198</v>
      </c>
      <c r="AI3599">
        <v>92.242111443027795</v>
      </c>
      <c r="AJ3599">
        <v>73.055183111118495</v>
      </c>
      <c r="AK3599">
        <v>28.120225590656901</v>
      </c>
      <c r="AL3599">
        <v>93.663330265118304</v>
      </c>
      <c r="AM3599">
        <v>79.254079570674506</v>
      </c>
      <c r="AN3599">
        <v>0.99999997666937601</v>
      </c>
    </row>
    <row r="3600" spans="1:40" x14ac:dyDescent="0.25">
      <c r="A3600" t="str">
        <f>"20190305135305823"</f>
        <v>20190305135305823</v>
      </c>
      <c r="B3600" t="str">
        <f>"1551765185813677"</f>
        <v>1551765185813677</v>
      </c>
      <c r="C3600" t="s">
        <v>40</v>
      </c>
      <c r="D3600">
        <v>4.9561199999999896</v>
      </c>
      <c r="E3600">
        <v>0.53534700000000002</v>
      </c>
      <c r="F3600" t="s">
        <v>42</v>
      </c>
      <c r="G3600">
        <v>-195.55760000000001</v>
      </c>
      <c r="H3600" s="1">
        <v>-4.7759889999999996E-6</v>
      </c>
      <c r="I3600">
        <v>178.12430000000001</v>
      </c>
      <c r="J3600">
        <v>-196.79769999999999</v>
      </c>
      <c r="K3600">
        <v>1.1006209999999901</v>
      </c>
      <c r="L3600">
        <v>204.25030000000001</v>
      </c>
      <c r="M3600">
        <v>0.3159209</v>
      </c>
      <c r="N3600">
        <v>-1.561529E-2</v>
      </c>
      <c r="O3600">
        <v>-0.94865710000000003</v>
      </c>
      <c r="P3600">
        <v>0.1391676</v>
      </c>
      <c r="Q3600">
        <v>-7.5253570000000006E-2</v>
      </c>
      <c r="R3600">
        <v>-0.98740550000000005</v>
      </c>
      <c r="S3600">
        <v>0.14901729999999899</v>
      </c>
      <c r="T3600">
        <v>-0.12559890000000001</v>
      </c>
      <c r="U3600">
        <v>-3.0086520000000001</v>
      </c>
      <c r="V3600">
        <v>0.178642299999999</v>
      </c>
      <c r="W3600">
        <v>-6.3697699999999996E-2</v>
      </c>
      <c r="X3600">
        <v>0.98185</v>
      </c>
      <c r="Y3600">
        <v>0.26852290000000001</v>
      </c>
      <c r="Z3600">
        <v>2.2243269999999999E-2</v>
      </c>
      <c r="AA3600">
        <v>0.96301650000000005</v>
      </c>
      <c r="AB3600">
        <v>25</v>
      </c>
      <c r="AC3600">
        <v>1.24009999999998</v>
      </c>
      <c r="AD3600">
        <v>-1.1006257759889999</v>
      </c>
      <c r="AE3600">
        <v>-26.126000000000001</v>
      </c>
      <c r="AF3600">
        <v>7.0656707585340897</v>
      </c>
      <c r="AG3600">
        <v>-1.1006257759889999</v>
      </c>
      <c r="AH3600">
        <v>25.134949502757902</v>
      </c>
      <c r="AI3600">
        <v>92.413859522980601</v>
      </c>
      <c r="AJ3600">
        <v>74.298827326072299</v>
      </c>
      <c r="AK3600">
        <v>26.1323700967395</v>
      </c>
      <c r="AL3600">
        <v>93.652082077012295</v>
      </c>
      <c r="AM3600">
        <v>79.6881425535327</v>
      </c>
      <c r="AN3600">
        <v>0.99999994541728798</v>
      </c>
    </row>
    <row r="3601" spans="1:40" x14ac:dyDescent="0.25">
      <c r="A3601" t="str">
        <f>"20190305135305848"</f>
        <v>20190305135305848</v>
      </c>
      <c r="B3601" t="str">
        <f>"1551765185843934"</f>
        <v>1551765185843934</v>
      </c>
      <c r="C3601" t="s">
        <v>40</v>
      </c>
      <c r="D3601">
        <v>4.9048259999999999</v>
      </c>
      <c r="E3601">
        <v>0.53349380000000002</v>
      </c>
      <c r="F3601" t="s">
        <v>42</v>
      </c>
      <c r="G3601">
        <v>-195.53229999999999</v>
      </c>
      <c r="H3601" s="1">
        <v>-4.8181959999999998E-6</v>
      </c>
      <c r="I3601">
        <v>178.26159999999999</v>
      </c>
      <c r="J3601">
        <v>-196.72280000000001</v>
      </c>
      <c r="K3601">
        <v>1.101207</v>
      </c>
      <c r="L3601">
        <v>203.9803</v>
      </c>
      <c r="M3601">
        <v>0.30411500000000002</v>
      </c>
      <c r="N3601">
        <v>-1.5418319999999999E-2</v>
      </c>
      <c r="O3601">
        <v>-0.95251050000000004</v>
      </c>
      <c r="P3601">
        <v>0.13460710000000001</v>
      </c>
      <c r="Q3601">
        <v>-7.5812580000000004E-2</v>
      </c>
      <c r="R3601">
        <v>-0.98799459999999995</v>
      </c>
      <c r="S3601">
        <v>0.1464539</v>
      </c>
      <c r="T3601">
        <v>-0.1273851</v>
      </c>
      <c r="U3601">
        <v>-3.0079039999999999</v>
      </c>
      <c r="V3601">
        <v>0.171050799999999</v>
      </c>
      <c r="W3601">
        <v>-6.4017669999999999E-2</v>
      </c>
      <c r="X3601">
        <v>0.98318019999999995</v>
      </c>
      <c r="Y3601">
        <v>0.25735570000000002</v>
      </c>
      <c r="Z3601">
        <v>2.3285440000000001E-2</v>
      </c>
      <c r="AA3601">
        <v>0.96603609999999895</v>
      </c>
      <c r="AB3601">
        <v>25</v>
      </c>
      <c r="AC3601">
        <v>1.1905000000000101</v>
      </c>
      <c r="AD3601">
        <v>-1.101211818196</v>
      </c>
      <c r="AE3601">
        <v>-25.718699999999998</v>
      </c>
      <c r="AF3601">
        <v>6.6760606916766001</v>
      </c>
      <c r="AG3601">
        <v>-1.101211818196</v>
      </c>
      <c r="AH3601">
        <v>24.816936513037799</v>
      </c>
      <c r="AI3601">
        <v>92.453623305829794</v>
      </c>
      <c r="AJ3601">
        <v>74.943184874643194</v>
      </c>
      <c r="AK3601">
        <v>25.722806839838299</v>
      </c>
      <c r="AL3601">
        <v>93.670452404859702</v>
      </c>
      <c r="AM3601">
        <v>80.130632936208798</v>
      </c>
      <c r="AN3601">
        <v>0.99999997196245305</v>
      </c>
    </row>
    <row r="3602" spans="1:40" x14ac:dyDescent="0.25">
      <c r="A3602" t="str">
        <f>"20190305135305869"</f>
        <v>20190305135305869</v>
      </c>
      <c r="B3602" t="str">
        <f>"1551765185863454"</f>
        <v>1551765185863454</v>
      </c>
      <c r="C3602" t="s">
        <v>40</v>
      </c>
      <c r="D3602">
        <v>4.9400120000000003</v>
      </c>
      <c r="E3602">
        <v>0.53270600000000001</v>
      </c>
      <c r="F3602" t="s">
        <v>42</v>
      </c>
      <c r="G3602">
        <v>-195.489</v>
      </c>
      <c r="H3602" s="1">
        <v>-4.9700660000000004E-6</v>
      </c>
      <c r="I3602">
        <v>178.7304</v>
      </c>
      <c r="J3602">
        <v>-196.65860000000001</v>
      </c>
      <c r="K3602">
        <v>1.101715</v>
      </c>
      <c r="L3602">
        <v>203.7407</v>
      </c>
      <c r="M3602">
        <v>0.29429630000000001</v>
      </c>
      <c r="N3602">
        <v>-1.525178E-2</v>
      </c>
      <c r="O3602">
        <v>-0.95559260000000001</v>
      </c>
      <c r="P3602">
        <v>0.13117429999999999</v>
      </c>
      <c r="Q3602">
        <v>-7.7200519999999995E-2</v>
      </c>
      <c r="R3602">
        <v>-0.98834889999999997</v>
      </c>
      <c r="S3602">
        <v>0.14689639999999901</v>
      </c>
      <c r="T3602">
        <v>-0.13111510000000001</v>
      </c>
      <c r="U3602">
        <v>-3.0063629999999999</v>
      </c>
      <c r="V3602">
        <v>0.16437170000000001</v>
      </c>
      <c r="W3602">
        <v>-6.5214800000000003E-2</v>
      </c>
      <c r="X3602">
        <v>0.98424029999999996</v>
      </c>
      <c r="Y3602">
        <v>0.2472365</v>
      </c>
      <c r="Z3602">
        <v>2.485339E-2</v>
      </c>
      <c r="AA3602">
        <v>0.96863639999999995</v>
      </c>
      <c r="AB3602">
        <v>25</v>
      </c>
      <c r="AC3602">
        <v>1.1696</v>
      </c>
      <c r="AD3602">
        <v>-1.1017199700660001</v>
      </c>
      <c r="AE3602">
        <v>-25.010300000000001</v>
      </c>
      <c r="AF3602">
        <v>6.2314379365984198</v>
      </c>
      <c r="AG3602">
        <v>-1.1017199700660001</v>
      </c>
      <c r="AH3602">
        <v>24.199828719320401</v>
      </c>
      <c r="AI3602">
        <v>92.524407810689496</v>
      </c>
      <c r="AJ3602">
        <v>75.560074754078798</v>
      </c>
      <c r="AK3602">
        <v>25.013522656646401</v>
      </c>
      <c r="AL3602">
        <v>93.739186455126799</v>
      </c>
      <c r="AM3602">
        <v>80.518894205366905</v>
      </c>
      <c r="AN3602">
        <v>0.99999999702200904</v>
      </c>
    </row>
    <row r="3603" spans="1:40" x14ac:dyDescent="0.25">
      <c r="A3603" t="str">
        <f>"20190305135305882"</f>
        <v>20190305135305882</v>
      </c>
      <c r="B3603" t="str">
        <f>"1551765185873213"</f>
        <v>1551765185873213</v>
      </c>
      <c r="C3603" t="s">
        <v>40</v>
      </c>
      <c r="D3603">
        <v>4.8817919999999999</v>
      </c>
      <c r="E3603">
        <v>0.53237270000000003</v>
      </c>
      <c r="F3603" t="s">
        <v>42</v>
      </c>
      <c r="G3603">
        <v>-195.50360000000001</v>
      </c>
      <c r="H3603" s="1">
        <v>-5.1975260000000001E-6</v>
      </c>
      <c r="I3603">
        <v>179.3912</v>
      </c>
      <c r="J3603">
        <v>-196.61760000000001</v>
      </c>
      <c r="K3603">
        <v>1.1020179999999999</v>
      </c>
      <c r="L3603">
        <v>203.584</v>
      </c>
      <c r="M3603">
        <v>0.2881242</v>
      </c>
      <c r="N3603">
        <v>-1.5149370000000001E-2</v>
      </c>
      <c r="O3603">
        <v>-0.95747329999999997</v>
      </c>
      <c r="P3603">
        <v>0.12827060000000001</v>
      </c>
      <c r="Q3603">
        <v>-7.7882000000000007E-2</v>
      </c>
      <c r="R3603">
        <v>-0.98867669999999996</v>
      </c>
      <c r="S3603">
        <v>0.14257810000000001</v>
      </c>
      <c r="T3603">
        <v>-0.13600090000000001</v>
      </c>
      <c r="U3603">
        <v>-3.005798</v>
      </c>
      <c r="V3603">
        <v>0.16093350000000001</v>
      </c>
      <c r="W3603">
        <v>-6.5807340000000006E-2</v>
      </c>
      <c r="X3603">
        <v>0.98476889999999995</v>
      </c>
      <c r="Y3603">
        <v>0.24236269999999999</v>
      </c>
      <c r="Z3603">
        <v>2.6601010000000001E-2</v>
      </c>
      <c r="AA3603">
        <v>0.96982100000000004</v>
      </c>
      <c r="AB3603">
        <v>25</v>
      </c>
      <c r="AC3603">
        <v>1.1140000000000001</v>
      </c>
      <c r="AD3603">
        <v>-1.102023197526</v>
      </c>
      <c r="AE3603">
        <v>-24.192799999999998</v>
      </c>
      <c r="AF3603">
        <v>5.89238238908246</v>
      </c>
      <c r="AG3603">
        <v>-1.102023197526</v>
      </c>
      <c r="AH3603">
        <v>23.439091501702801</v>
      </c>
      <c r="AI3603">
        <v>92.610747628675597</v>
      </c>
      <c r="AJ3603">
        <v>75.888757639765501</v>
      </c>
      <c r="AK3603">
        <v>24.193503999467602</v>
      </c>
      <c r="AL3603">
        <v>93.773209603266295</v>
      </c>
      <c r="AM3603">
        <v>80.718619819318306</v>
      </c>
      <c r="AN3603">
        <v>0.99999999191366695</v>
      </c>
    </row>
    <row r="3604" spans="1:40" x14ac:dyDescent="0.25">
      <c r="A3604" t="str">
        <f>"20190305135305904"</f>
        <v>20190305135305904</v>
      </c>
      <c r="B3604" t="str">
        <f>"1551765185893709"</f>
        <v>1551765185893709</v>
      </c>
      <c r="C3604" t="s">
        <v>40</v>
      </c>
      <c r="D3604">
        <v>4.8867320000000003</v>
      </c>
      <c r="E3604">
        <v>0.53202899999999997</v>
      </c>
      <c r="F3604" t="s">
        <v>42</v>
      </c>
      <c r="G3604">
        <v>-195.5496</v>
      </c>
      <c r="H3604" s="1">
        <v>-1.6548640000000001E-6</v>
      </c>
      <c r="I3604">
        <v>180.00460000000001</v>
      </c>
      <c r="J3604">
        <v>-196.56</v>
      </c>
      <c r="K3604">
        <v>1.1024</v>
      </c>
      <c r="L3604">
        <v>203.3578</v>
      </c>
      <c r="M3604">
        <v>0.27961570000000002</v>
      </c>
      <c r="N3604">
        <v>-1.5012660000000001E-2</v>
      </c>
      <c r="O3604">
        <v>-0.95999469999999998</v>
      </c>
      <c r="P3604">
        <v>0.12666649999999999</v>
      </c>
      <c r="Q3604">
        <v>-7.814807E-2</v>
      </c>
      <c r="R3604">
        <v>-0.98886240000000003</v>
      </c>
      <c r="S3604">
        <v>0.13613889999999901</v>
      </c>
      <c r="T3604">
        <v>-0.1404734</v>
      </c>
      <c r="U3604">
        <v>-3.00563</v>
      </c>
      <c r="V3604">
        <v>0.15384419999999999</v>
      </c>
      <c r="W3604">
        <v>-6.5923040000000002E-2</v>
      </c>
      <c r="X3604">
        <v>0.98589349999999998</v>
      </c>
      <c r="Y3604">
        <v>0.23582130000000001</v>
      </c>
      <c r="Z3604">
        <v>2.8313649999999999E-2</v>
      </c>
      <c r="AA3604">
        <v>0.97138389999999997</v>
      </c>
      <c r="AB3604">
        <v>25</v>
      </c>
      <c r="AC3604">
        <v>1.0104</v>
      </c>
      <c r="AD3604">
        <v>-1.1024016548639901</v>
      </c>
      <c r="AE3604">
        <v>-23.353199999999902</v>
      </c>
      <c r="AF3604">
        <v>5.5482285820619897</v>
      </c>
      <c r="AG3604">
        <v>-1.1024016548639901</v>
      </c>
      <c r="AH3604">
        <v>22.653642628906798</v>
      </c>
      <c r="AI3604">
        <v>92.706149348474895</v>
      </c>
      <c r="AJ3604">
        <v>76.238265857864704</v>
      </c>
      <c r="AK3604">
        <v>23.3492109966414</v>
      </c>
      <c r="AL3604">
        <v>93.779853350777898</v>
      </c>
      <c r="AM3604">
        <v>81.130781456239305</v>
      </c>
      <c r="AN3604">
        <v>0.99999993920936303</v>
      </c>
    </row>
    <row r="3605" spans="1:40" x14ac:dyDescent="0.25">
      <c r="A3605" t="str">
        <f>"20190305135305924"</f>
        <v>20190305135305924</v>
      </c>
      <c r="B3605" t="str">
        <f>"1551765185913229"</f>
        <v>1551765185913229</v>
      </c>
      <c r="C3605" t="s">
        <v>40</v>
      </c>
      <c r="D3605">
        <v>4.8296869999999998</v>
      </c>
      <c r="E3605">
        <v>0.52745229999999999</v>
      </c>
      <c r="F3605" t="s">
        <v>42</v>
      </c>
      <c r="G3605">
        <v>-195.55199999999999</v>
      </c>
      <c r="H3605" s="1">
        <v>-1.944172E-6</v>
      </c>
      <c r="I3605">
        <v>180.67750000000001</v>
      </c>
      <c r="J3605">
        <v>-196.50280000000001</v>
      </c>
      <c r="K3605">
        <v>1.1027880000000001</v>
      </c>
      <c r="L3605">
        <v>203.1268</v>
      </c>
      <c r="M3605">
        <v>0.27144020000000002</v>
      </c>
      <c r="N3605">
        <v>-1.4879669999999999E-2</v>
      </c>
      <c r="O3605">
        <v>-0.96234039999999998</v>
      </c>
      <c r="P3605">
        <v>0.12597030000000001</v>
      </c>
      <c r="Q3605">
        <v>-7.7820920000000002E-2</v>
      </c>
      <c r="R3605">
        <v>-0.98897710000000005</v>
      </c>
      <c r="S3605">
        <v>0.13356019999999999</v>
      </c>
      <c r="T3605">
        <v>-0.14606859999999999</v>
      </c>
      <c r="U3605">
        <v>-3.0051420000000002</v>
      </c>
      <c r="V3605">
        <v>0.14622739999999901</v>
      </c>
      <c r="W3605">
        <v>-6.5447089999999999E-2</v>
      </c>
      <c r="X3605">
        <v>0.98708370000000001</v>
      </c>
      <c r="Y3605">
        <v>0.22837740000000001</v>
      </c>
      <c r="Z3605">
        <v>3.0380879999999999E-2</v>
      </c>
      <c r="AA3605">
        <v>0.97309849999999998</v>
      </c>
      <c r="AB3605">
        <v>25</v>
      </c>
      <c r="AC3605">
        <v>0.95079999999998599</v>
      </c>
      <c r="AD3605">
        <v>-1.1027899441719999</v>
      </c>
      <c r="AE3605">
        <v>-22.449299999999901</v>
      </c>
      <c r="AF3605">
        <v>5.1667762549175498</v>
      </c>
      <c r="AG3605">
        <v>-1.1027899441719999</v>
      </c>
      <c r="AH3605">
        <v>21.8118312658939</v>
      </c>
      <c r="AI3605">
        <v>92.816555445471707</v>
      </c>
      <c r="AJ3605">
        <v>76.673438576956201</v>
      </c>
      <c r="AK3605">
        <v>22.442542318132599</v>
      </c>
      <c r="AL3605">
        <v>93.752524165447994</v>
      </c>
      <c r="AM3605">
        <v>81.5734411932158</v>
      </c>
      <c r="AN3605">
        <v>1.0000000024529501</v>
      </c>
    </row>
    <row r="3606" spans="1:40" x14ac:dyDescent="0.25">
      <c r="A3606" t="str">
        <f>"20190305135305939"</f>
        <v>20190305135305939</v>
      </c>
      <c r="B3606" t="str">
        <f>"1551765185933726"</f>
        <v>1551765185933726</v>
      </c>
      <c r="C3606" t="s">
        <v>40</v>
      </c>
      <c r="D3606">
        <v>4.8044820000000001</v>
      </c>
      <c r="E3606">
        <v>0.52740209999999998</v>
      </c>
      <c r="F3606" t="s">
        <v>42</v>
      </c>
      <c r="G3606">
        <v>-195.50389999999999</v>
      </c>
      <c r="H3606" s="1">
        <v>-3.676467E-6</v>
      </c>
      <c r="I3606">
        <v>184.92140000000001</v>
      </c>
      <c r="J3606">
        <v>-196.4631</v>
      </c>
      <c r="K3606">
        <v>1.10307</v>
      </c>
      <c r="L3606">
        <v>202.96209999999999</v>
      </c>
      <c r="M3606">
        <v>0.26598959999999999</v>
      </c>
      <c r="N3606">
        <v>-1.47848999999999E-2</v>
      </c>
      <c r="O3606">
        <v>-0.96386269999999996</v>
      </c>
      <c r="P3606">
        <v>0.1245344</v>
      </c>
      <c r="Q3606">
        <v>-7.7764650000000005E-2</v>
      </c>
      <c r="R3606">
        <v>-0.98916329999999997</v>
      </c>
      <c r="S3606">
        <v>0.16450499999999901</v>
      </c>
      <c r="T3606">
        <v>-0.18161669999999999</v>
      </c>
      <c r="U3606">
        <v>-2.9982150000000001</v>
      </c>
      <c r="V3606">
        <v>0.14212279999999999</v>
      </c>
      <c r="W3606">
        <v>-6.5312880000000004E-2</v>
      </c>
      <c r="X3606">
        <v>0.98769189999999996</v>
      </c>
      <c r="Y3606">
        <v>0.2127319</v>
      </c>
      <c r="Z3606">
        <v>4.1816979999999997E-2</v>
      </c>
      <c r="AA3606">
        <v>0.97621539999999996</v>
      </c>
      <c r="AB3606">
        <v>25</v>
      </c>
      <c r="AC3606">
        <v>0.95920000000000905</v>
      </c>
      <c r="AD3606">
        <v>-1.1030736764669999</v>
      </c>
      <c r="AE3606">
        <v>-18.040699999999902</v>
      </c>
      <c r="AF3606">
        <v>3.86013367198909</v>
      </c>
      <c r="AG3606">
        <v>-1.1030736764669999</v>
      </c>
      <c r="AH3606">
        <v>17.5802812022174</v>
      </c>
      <c r="AI3606">
        <v>93.506985643558593</v>
      </c>
      <c r="AJ3606">
        <v>77.615985980872694</v>
      </c>
      <c r="AK3606">
        <v>18.032850319635401</v>
      </c>
      <c r="AL3606">
        <v>93.744818110503999</v>
      </c>
      <c r="AM3606">
        <v>81.811694585946398</v>
      </c>
      <c r="AN3606">
        <v>0.99999997594967105</v>
      </c>
    </row>
    <row r="3607" spans="1:40" x14ac:dyDescent="0.25">
      <c r="A3607" t="str">
        <f>"20190305135305959"</f>
        <v>20190305135305959</v>
      </c>
      <c r="B3607" t="str">
        <f>"1551765185953246"</f>
        <v>1551765185953246</v>
      </c>
      <c r="C3607" t="s">
        <v>40</v>
      </c>
      <c r="D3607">
        <v>4.7749430000000004</v>
      </c>
      <c r="E3607">
        <v>0.52707780000000004</v>
      </c>
      <c r="F3607" t="s">
        <v>42</v>
      </c>
      <c r="G3607">
        <v>-195.49080000000001</v>
      </c>
      <c r="H3607" s="1">
        <v>-3.6299749999999999E-6</v>
      </c>
      <c r="I3607">
        <v>184.79150000000001</v>
      </c>
      <c r="J3607">
        <v>-196.41249999999999</v>
      </c>
      <c r="K3607">
        <v>1.103456</v>
      </c>
      <c r="L3607">
        <v>202.7483</v>
      </c>
      <c r="M3607">
        <v>0.25923950000000001</v>
      </c>
      <c r="N3607">
        <v>-1.4665350000000001E-2</v>
      </c>
      <c r="O3607">
        <v>-0.96570180000000005</v>
      </c>
      <c r="P3607">
        <v>0.12596389999999999</v>
      </c>
      <c r="Q3607">
        <v>-7.6895560000000002E-2</v>
      </c>
      <c r="R3607">
        <v>-0.98905019999999999</v>
      </c>
      <c r="S3607">
        <v>0.16044620000000001</v>
      </c>
      <c r="T3607">
        <v>-0.18202009999999999</v>
      </c>
      <c r="U3607">
        <v>-2.9983520000000001</v>
      </c>
      <c r="V3607">
        <v>0.1338782</v>
      </c>
      <c r="W3607">
        <v>-6.4294509999999999E-2</v>
      </c>
      <c r="X3607">
        <v>0.98890999999999996</v>
      </c>
      <c r="Y3607">
        <v>0.20721729999999999</v>
      </c>
      <c r="Z3607">
        <v>4.225653E-2</v>
      </c>
      <c r="AA3607">
        <v>0.97738190000000003</v>
      </c>
      <c r="AB3607">
        <v>25</v>
      </c>
      <c r="AC3607">
        <v>0.92169999999998697</v>
      </c>
      <c r="AD3607">
        <v>-1.1034596299749999</v>
      </c>
      <c r="AE3607">
        <v>-17.956799999999902</v>
      </c>
      <c r="AF3607">
        <v>3.7513007110827599</v>
      </c>
      <c r="AG3607">
        <v>-1.1034596299749999</v>
      </c>
      <c r="AH3607">
        <v>17.5157752540762</v>
      </c>
      <c r="AI3607">
        <v>93.525031047965697</v>
      </c>
      <c r="AJ3607">
        <v>77.9117473169606</v>
      </c>
      <c r="AK3607">
        <v>17.946929066869998</v>
      </c>
      <c r="AL3607">
        <v>93.686346543316603</v>
      </c>
      <c r="AM3607">
        <v>82.290195406845399</v>
      </c>
      <c r="AN3607">
        <v>1.0000000722756801</v>
      </c>
    </row>
    <row r="3608" spans="1:40" x14ac:dyDescent="0.25">
      <c r="A3608" t="str">
        <f>"20190305135305983"</f>
        <v>20190305135305983</v>
      </c>
      <c r="B3608" t="str">
        <f>"1551765185973740"</f>
        <v>1551765185973740</v>
      </c>
      <c r="C3608" t="s">
        <v>40</v>
      </c>
      <c r="D3608">
        <v>4.8065639999999998</v>
      </c>
      <c r="E3608">
        <v>0.5266923</v>
      </c>
      <c r="F3608" t="s">
        <v>42</v>
      </c>
      <c r="G3608">
        <v>-195.39099999999999</v>
      </c>
      <c r="H3608" s="1">
        <v>-3.4968199999999901E-6</v>
      </c>
      <c r="I3608">
        <v>184.45230000000001</v>
      </c>
      <c r="J3608">
        <v>-196.34979999999999</v>
      </c>
      <c r="K3608">
        <v>1.1039639999999999</v>
      </c>
      <c r="L3608">
        <v>202.4768</v>
      </c>
      <c r="M3608">
        <v>0.2512085</v>
      </c>
      <c r="N3608">
        <v>-1.4523650000000001E-2</v>
      </c>
      <c r="O3608">
        <v>-0.96782420000000002</v>
      </c>
      <c r="P3608">
        <v>0.12625</v>
      </c>
      <c r="Q3608">
        <v>-7.5954079999999993E-2</v>
      </c>
      <c r="R3608">
        <v>-0.98908689999999999</v>
      </c>
      <c r="S3608">
        <v>0.16737369999999999</v>
      </c>
      <c r="T3608">
        <v>-0.18080370000000001</v>
      </c>
      <c r="U3608">
        <v>-2.997833</v>
      </c>
      <c r="V3608">
        <v>0.12548790000000001</v>
      </c>
      <c r="W3608">
        <v>-6.3204430000000006E-2</v>
      </c>
      <c r="X3608">
        <v>0.99007979999999995</v>
      </c>
      <c r="Y3608">
        <v>0.19682630000000001</v>
      </c>
      <c r="Z3608">
        <v>4.2281050000000001E-2</v>
      </c>
      <c r="AA3608">
        <v>0.97952629999999996</v>
      </c>
      <c r="AB3608">
        <v>25</v>
      </c>
      <c r="AC3608">
        <v>0.95879999999999599</v>
      </c>
      <c r="AD3608">
        <v>-1.1039674968199999</v>
      </c>
      <c r="AE3608">
        <v>-18.0244999999999</v>
      </c>
      <c r="AF3608">
        <v>3.58691913768252</v>
      </c>
      <c r="AG3608">
        <v>-1.1039674968199999</v>
      </c>
      <c r="AH3608">
        <v>17.6213515226226</v>
      </c>
      <c r="AI3608">
        <v>93.513006653108206</v>
      </c>
      <c r="AJ3608">
        <v>78.494334303421098</v>
      </c>
      <c r="AK3608">
        <v>18.016569113406099</v>
      </c>
      <c r="AL3608">
        <v>93.623762480632706</v>
      </c>
      <c r="AM3608">
        <v>82.776548494881396</v>
      </c>
      <c r="AN3608">
        <v>1.0000000116930301</v>
      </c>
    </row>
    <row r="3609" spans="1:40" x14ac:dyDescent="0.25">
      <c r="A3609" t="str">
        <f>"20190305135306003"</f>
        <v>20190305135306003</v>
      </c>
      <c r="B3609" t="str">
        <f>"1551765185993261"</f>
        <v>1551765185993261</v>
      </c>
      <c r="C3609" t="s">
        <v>40</v>
      </c>
      <c r="D3609">
        <v>4.761863</v>
      </c>
      <c r="E3609">
        <v>0.52634919999999996</v>
      </c>
      <c r="F3609" t="s">
        <v>42</v>
      </c>
      <c r="G3609">
        <v>-195.28620000000001</v>
      </c>
      <c r="H3609" s="1">
        <v>-3.2337430000000002E-6</v>
      </c>
      <c r="I3609">
        <v>183.8484</v>
      </c>
      <c r="J3609">
        <v>-196.29679999999999</v>
      </c>
      <c r="K3609">
        <v>1.104393</v>
      </c>
      <c r="L3609">
        <v>202.24189999999999</v>
      </c>
      <c r="M3609">
        <v>0.24476349999999999</v>
      </c>
      <c r="N3609">
        <v>-1.441222E-2</v>
      </c>
      <c r="O3609">
        <v>-0.96947570000000005</v>
      </c>
      <c r="P3609">
        <v>0.12725139999999999</v>
      </c>
      <c r="Q3609">
        <v>-7.3713790000000001E-2</v>
      </c>
      <c r="R3609">
        <v>-0.98912750000000005</v>
      </c>
      <c r="S3609">
        <v>0.17114260000000001</v>
      </c>
      <c r="T3609">
        <v>-0.17764750000000001</v>
      </c>
      <c r="U3609">
        <v>-2.9976349999999998</v>
      </c>
      <c r="V3609">
        <v>0.118033</v>
      </c>
      <c r="W3609">
        <v>-6.0841859999999998E-2</v>
      </c>
      <c r="X3609">
        <v>0.99114400000000002</v>
      </c>
      <c r="Y3609">
        <v>0.18907089999999999</v>
      </c>
      <c r="Z3609">
        <v>4.1596920000000003E-2</v>
      </c>
      <c r="AA3609">
        <v>0.98108200000000001</v>
      </c>
      <c r="AB3609">
        <v>25</v>
      </c>
      <c r="AC3609">
        <v>1.01059999999998</v>
      </c>
      <c r="AD3609">
        <v>-1.104396233743</v>
      </c>
      <c r="AE3609">
        <v>-18.3934999999999</v>
      </c>
      <c r="AF3609">
        <v>3.51005501263367</v>
      </c>
      <c r="AG3609">
        <v>-1.104396233743</v>
      </c>
      <c r="AH3609">
        <v>18.016530612934201</v>
      </c>
      <c r="AI3609">
        <v>93.443210455051002</v>
      </c>
      <c r="AJ3609">
        <v>78.9754984610354</v>
      </c>
      <c r="AK3609">
        <v>18.388462484928301</v>
      </c>
      <c r="AL3609">
        <v>93.488136168984298</v>
      </c>
      <c r="AM3609">
        <v>83.208764440032994</v>
      </c>
      <c r="AN3609">
        <v>0.99999997487662895</v>
      </c>
    </row>
    <row r="3610" spans="1:40" x14ac:dyDescent="0.25">
      <c r="A3610" t="str">
        <f>"20190305135306025"</f>
        <v>20190305135306025</v>
      </c>
      <c r="B3610" t="str">
        <f>"1551765186013757"</f>
        <v>1551765186013757</v>
      </c>
      <c r="C3610" t="s">
        <v>40</v>
      </c>
      <c r="D3610">
        <v>4.7774159999999997</v>
      </c>
      <c r="E3610">
        <v>0.52595729999999996</v>
      </c>
      <c r="F3610" t="s">
        <v>42</v>
      </c>
      <c r="G3610">
        <v>-195.1617</v>
      </c>
      <c r="H3610" s="1">
        <v>-2.8336389999999999E-6</v>
      </c>
      <c r="I3610">
        <v>182.99299999999999</v>
      </c>
      <c r="J3610">
        <v>-196.2448</v>
      </c>
      <c r="K3610">
        <v>1.104805</v>
      </c>
      <c r="L3610">
        <v>202.0068</v>
      </c>
      <c r="M3610">
        <v>0.238811</v>
      </c>
      <c r="N3610">
        <v>-1.4308019999999999E-2</v>
      </c>
      <c r="O3610">
        <v>-0.97096090000000002</v>
      </c>
      <c r="P3610">
        <v>0.12794510000000001</v>
      </c>
      <c r="Q3610">
        <v>-7.1056250000000001E-2</v>
      </c>
      <c r="R3610">
        <v>-0.98923300000000003</v>
      </c>
      <c r="S3610">
        <v>0.17675779999999999</v>
      </c>
      <c r="T3610">
        <v>-0.1719753</v>
      </c>
      <c r="U3610">
        <v>-2.9974210000000001</v>
      </c>
      <c r="V3610">
        <v>0.11139549999999999</v>
      </c>
      <c r="W3610">
        <v>-5.8083990000000002E-2</v>
      </c>
      <c r="X3610">
        <v>0.99207719999999999</v>
      </c>
      <c r="Y3610">
        <v>0.1812088</v>
      </c>
      <c r="Z3610">
        <v>4.0091300000000003E-2</v>
      </c>
      <c r="AA3610">
        <v>0.98262720000000003</v>
      </c>
      <c r="AB3610">
        <v>25</v>
      </c>
      <c r="AC3610">
        <v>1.0831</v>
      </c>
      <c r="AD3610">
        <v>-1.1048078336389999</v>
      </c>
      <c r="AE3610">
        <v>-19.0138</v>
      </c>
      <c r="AF3610">
        <v>3.4777095246457499</v>
      </c>
      <c r="AG3610">
        <v>-1.1048078336389999</v>
      </c>
      <c r="AH3610">
        <v>18.659429250328198</v>
      </c>
      <c r="AI3610">
        <v>93.331243080651305</v>
      </c>
      <c r="AJ3610">
        <v>79.442452713390907</v>
      </c>
      <c r="AK3610">
        <v>19.012873634332198</v>
      </c>
      <c r="AL3610">
        <v>93.329841822514894</v>
      </c>
      <c r="AM3610">
        <v>83.5933718291773</v>
      </c>
      <c r="AN3610">
        <v>0.99999993903720297</v>
      </c>
    </row>
    <row r="3611" spans="1:40" x14ac:dyDescent="0.25">
      <c r="A3611" t="str">
        <f>"20190305135306040"</f>
        <v>20190305135306040</v>
      </c>
      <c r="B3611" t="str">
        <f>"1551765186033280"</f>
        <v>1551765186033280</v>
      </c>
      <c r="C3611" t="s">
        <v>40</v>
      </c>
      <c r="D3611">
        <v>4.7538239999999998</v>
      </c>
      <c r="E3611">
        <v>0.52559959999999994</v>
      </c>
      <c r="F3611" t="s">
        <v>42</v>
      </c>
      <c r="G3611">
        <v>-195.02350000000001</v>
      </c>
      <c r="H3611" s="1">
        <v>-2.3191259999999998E-6</v>
      </c>
      <c r="I3611">
        <v>181.8793</v>
      </c>
      <c r="J3611">
        <v>-196.21010000000001</v>
      </c>
      <c r="K3611">
        <v>1.1050819999999999</v>
      </c>
      <c r="L3611">
        <v>201.84690000000001</v>
      </c>
      <c r="M3611">
        <v>0.23511770000000001</v>
      </c>
      <c r="N3611">
        <v>-1.4240020000000001E-2</v>
      </c>
      <c r="O3611">
        <v>-0.97186289999999997</v>
      </c>
      <c r="P3611">
        <v>0.12700410000000001</v>
      </c>
      <c r="Q3611">
        <v>-7.0522249999999995E-2</v>
      </c>
      <c r="R3611">
        <v>-0.98939259999999996</v>
      </c>
      <c r="S3611">
        <v>0.18186949999999999</v>
      </c>
      <c r="T3611">
        <v>-0.164523799999999</v>
      </c>
      <c r="U3611">
        <v>-2.9973139999999998</v>
      </c>
      <c r="V3611">
        <v>0.1086215</v>
      </c>
      <c r="W3611">
        <v>-5.7510159999999998E-2</v>
      </c>
      <c r="X3611">
        <v>0.99241820000000003</v>
      </c>
      <c r="Y3611">
        <v>0.1757966</v>
      </c>
      <c r="Z3611">
        <v>3.7913479999999999E-2</v>
      </c>
      <c r="AA3611">
        <v>0.98369620000000002</v>
      </c>
      <c r="AB3611">
        <v>25</v>
      </c>
      <c r="AC3611">
        <v>1.1865999999999901</v>
      </c>
      <c r="AD3611">
        <v>-1.10508431912599</v>
      </c>
      <c r="AE3611">
        <v>-19.967600000000001</v>
      </c>
      <c r="AF3611">
        <v>3.5311042050816401</v>
      </c>
      <c r="AG3611">
        <v>-1.10508431912599</v>
      </c>
      <c r="AH3611">
        <v>19.6268460633171</v>
      </c>
      <c r="AI3611">
        <v>93.171803273159895</v>
      </c>
      <c r="AJ3611">
        <v>79.800912759299905</v>
      </c>
      <c r="AK3611">
        <v>19.972556037039102</v>
      </c>
      <c r="AL3611">
        <v>93.296908640600506</v>
      </c>
      <c r="AM3611">
        <v>83.753763539513301</v>
      </c>
      <c r="AN3611">
        <v>0.99999996622835696</v>
      </c>
    </row>
    <row r="3612" spans="1:40" x14ac:dyDescent="0.25">
      <c r="A3612" t="str">
        <f>"20190305135306059"</f>
        <v>20190305135306059</v>
      </c>
      <c r="B3612" t="str">
        <f>"1551765186053773"</f>
        <v>1551765186053773</v>
      </c>
      <c r="C3612" t="s">
        <v>40</v>
      </c>
      <c r="D3612">
        <v>4.7965030000000004</v>
      </c>
      <c r="E3612">
        <v>0.52543050000000002</v>
      </c>
      <c r="F3612" t="s">
        <v>42</v>
      </c>
      <c r="G3612">
        <v>-194.98840000000001</v>
      </c>
      <c r="H3612" s="1">
        <v>-2.2260010000000002E-6</v>
      </c>
      <c r="I3612">
        <v>181.6841</v>
      </c>
      <c r="J3612">
        <v>-196.1627</v>
      </c>
      <c r="K3612">
        <v>1.1054539999999999</v>
      </c>
      <c r="L3612">
        <v>201.62629999999999</v>
      </c>
      <c r="M3612">
        <v>0.23035520000000001</v>
      </c>
      <c r="N3612">
        <v>-1.4150619999999999E-2</v>
      </c>
      <c r="O3612">
        <v>-0.97300370000000003</v>
      </c>
      <c r="P3612">
        <v>0.12795000000000001</v>
      </c>
      <c r="Q3612">
        <v>-7.0879590000000006E-2</v>
      </c>
      <c r="R3612">
        <v>-0.98924460000000003</v>
      </c>
      <c r="S3612">
        <v>0.1816101</v>
      </c>
      <c r="T3612">
        <v>-0.1642672</v>
      </c>
      <c r="U3612">
        <v>-2.997147</v>
      </c>
      <c r="V3612">
        <v>0.10285809999999999</v>
      </c>
      <c r="W3612">
        <v>-5.7794480000000002E-2</v>
      </c>
      <c r="X3612">
        <v>0.9930156</v>
      </c>
      <c r="Y3612">
        <v>0.17105819999999999</v>
      </c>
      <c r="Z3612">
        <v>3.8037870000000001E-2</v>
      </c>
      <c r="AA3612">
        <v>0.98452640000000002</v>
      </c>
      <c r="AB3612">
        <v>25</v>
      </c>
      <c r="AC3612">
        <v>1.1742999999999799</v>
      </c>
      <c r="AD3612">
        <v>-1.1054562260009999</v>
      </c>
      <c r="AE3612">
        <v>-19.9421999999999</v>
      </c>
      <c r="AF3612">
        <v>3.4409998489561602</v>
      </c>
      <c r="AG3612">
        <v>-1.1054562260009999</v>
      </c>
      <c r="AH3612">
        <v>19.616242125044501</v>
      </c>
      <c r="AI3612">
        <v>93.177034333708804</v>
      </c>
      <c r="AJ3612">
        <v>80.050637501541402</v>
      </c>
      <c r="AK3612">
        <v>19.9464149294175</v>
      </c>
      <c r="AL3612">
        <v>93.313226051338006</v>
      </c>
      <c r="AM3612">
        <v>84.086303511793105</v>
      </c>
      <c r="AN3612">
        <v>0.99999998624872</v>
      </c>
    </row>
    <row r="3613" spans="1:40" x14ac:dyDescent="0.25">
      <c r="A3613" t="str">
        <f>"20190305135306083"</f>
        <v>20190305135306083</v>
      </c>
      <c r="B3613" t="str">
        <f>"1551765186073293"</f>
        <v>1551765186073293</v>
      </c>
      <c r="C3613" t="s">
        <v>40</v>
      </c>
      <c r="D3613">
        <v>4.7509350000000001</v>
      </c>
      <c r="E3613">
        <v>0.52524969999999904</v>
      </c>
      <c r="F3613" t="s">
        <v>42</v>
      </c>
      <c r="G3613">
        <v>-194.93270000000001</v>
      </c>
      <c r="H3613" s="1">
        <v>-2.248549E-6</v>
      </c>
      <c r="I3613">
        <v>181.77109999999999</v>
      </c>
      <c r="J3613">
        <v>-196.1086</v>
      </c>
      <c r="K3613">
        <v>1.105872</v>
      </c>
      <c r="L3613">
        <v>201.37100000000001</v>
      </c>
      <c r="M3613">
        <v>0.22536909999999999</v>
      </c>
      <c r="N3613">
        <v>-1.4054519999999999E-2</v>
      </c>
      <c r="O3613">
        <v>-0.97417209999999999</v>
      </c>
      <c r="P3613">
        <v>0.1294015</v>
      </c>
      <c r="Q3613">
        <v>-7.3171929999999996E-2</v>
      </c>
      <c r="R3613">
        <v>-0.98888889999999996</v>
      </c>
      <c r="S3613">
        <v>0.18563840000000001</v>
      </c>
      <c r="T3613">
        <v>-0.16684079999999901</v>
      </c>
      <c r="U3613">
        <v>-2.9966279999999998</v>
      </c>
      <c r="V3613">
        <v>9.6321080000000003E-2</v>
      </c>
      <c r="W3613">
        <v>-6.0014390000000001E-2</v>
      </c>
      <c r="X3613">
        <v>0.99353939999999996</v>
      </c>
      <c r="Y3613">
        <v>0.1646852</v>
      </c>
      <c r="Z3613">
        <v>3.908118E-2</v>
      </c>
      <c r="AA3613">
        <v>0.98557159999999999</v>
      </c>
      <c r="AB3613">
        <v>25</v>
      </c>
      <c r="AC3613">
        <v>1.17589999999998</v>
      </c>
      <c r="AD3613">
        <v>-1.1058742485490001</v>
      </c>
      <c r="AE3613">
        <v>-19.599899999999899</v>
      </c>
      <c r="AF3613">
        <v>3.2616597305913002</v>
      </c>
      <c r="AG3613">
        <v>-1.1058742485490001</v>
      </c>
      <c r="AH3613">
        <v>19.2993800373835</v>
      </c>
      <c r="AI3613">
        <v>93.233763610565603</v>
      </c>
      <c r="AJ3613">
        <v>80.407464128124104</v>
      </c>
      <c r="AK3613">
        <v>19.604271266209398</v>
      </c>
      <c r="AL3613">
        <v>93.440638713278105</v>
      </c>
      <c r="AM3613">
        <v>84.462627041743602</v>
      </c>
      <c r="AN3613">
        <v>1.00000000840589</v>
      </c>
    </row>
    <row r="3614" spans="1:40" x14ac:dyDescent="0.25">
      <c r="A3614" t="str">
        <f>"20190305135306103"</f>
        <v>20190305135306103</v>
      </c>
      <c r="B3614" t="str">
        <f>"1551765186093789"</f>
        <v>1551765186093789</v>
      </c>
      <c r="C3614" t="s">
        <v>40</v>
      </c>
      <c r="D3614">
        <v>4.7310179999999997</v>
      </c>
      <c r="E3614">
        <v>0.52517019999999903</v>
      </c>
      <c r="F3614" t="s">
        <v>42</v>
      </c>
      <c r="G3614">
        <v>-194.89330000000001</v>
      </c>
      <c r="H3614" s="1">
        <v>-2.4911589999999999E-6</v>
      </c>
      <c r="I3614">
        <v>182.36109999999999</v>
      </c>
      <c r="J3614">
        <v>-196.0609</v>
      </c>
      <c r="K3614">
        <v>1.106225</v>
      </c>
      <c r="L3614">
        <v>201.143</v>
      </c>
      <c r="M3614">
        <v>0.2213927</v>
      </c>
      <c r="N3614">
        <v>-1.397606E-2</v>
      </c>
      <c r="O3614">
        <v>-0.97508459999999997</v>
      </c>
      <c r="P3614">
        <v>0.13242429999999999</v>
      </c>
      <c r="Q3614">
        <v>-7.4874280000000001E-2</v>
      </c>
      <c r="R3614">
        <v>-0.98836120000000005</v>
      </c>
      <c r="S3614">
        <v>0.19151309999999999</v>
      </c>
      <c r="T3614">
        <v>-0.1742727</v>
      </c>
      <c r="U3614">
        <v>-2.9957280000000002</v>
      </c>
      <c r="V3614">
        <v>8.9245599999999994E-2</v>
      </c>
      <c r="W3614">
        <v>-6.1649450000000001E-2</v>
      </c>
      <c r="X3614">
        <v>0.99409990000000004</v>
      </c>
      <c r="Y3614">
        <v>0.158722</v>
      </c>
      <c r="Z3614">
        <v>4.163683E-2</v>
      </c>
      <c r="AA3614">
        <v>0.98644500000000002</v>
      </c>
      <c r="AB3614">
        <v>25</v>
      </c>
      <c r="AC3614">
        <v>1.16759999999999</v>
      </c>
      <c r="AD3614">
        <v>-1.106227491159</v>
      </c>
      <c r="AE3614">
        <v>-18.7819</v>
      </c>
      <c r="AF3614">
        <v>3.0095615698924698</v>
      </c>
      <c r="AG3614">
        <v>-1.106227491159</v>
      </c>
      <c r="AH3614">
        <v>18.51028758252</v>
      </c>
      <c r="AI3614">
        <v>93.375866070578397</v>
      </c>
      <c r="AJ3614">
        <v>80.765168543736493</v>
      </c>
      <c r="AK3614">
        <v>18.785950774255799</v>
      </c>
      <c r="AL3614">
        <v>93.534494532842103</v>
      </c>
      <c r="AM3614">
        <v>84.870007573150502</v>
      </c>
      <c r="AN3614">
        <v>1.0000000214923299</v>
      </c>
    </row>
    <row r="3615" spans="1:40" x14ac:dyDescent="0.25">
      <c r="A3615" t="str">
        <f>"20190305135306118"</f>
        <v>20190305135306118</v>
      </c>
      <c r="B3615" t="str">
        <f>"1551765186113310"</f>
        <v>1551765186113310</v>
      </c>
      <c r="C3615" t="s">
        <v>40</v>
      </c>
      <c r="D3615">
        <v>4.7339529999999996</v>
      </c>
      <c r="E3615">
        <v>0.5249549</v>
      </c>
      <c r="F3615" t="s">
        <v>42</v>
      </c>
      <c r="G3615">
        <v>-194.82069999999999</v>
      </c>
      <c r="H3615" s="1">
        <v>-2.6147659999999998E-6</v>
      </c>
      <c r="I3615">
        <v>182.6942</v>
      </c>
      <c r="J3615">
        <v>-196.0274</v>
      </c>
      <c r="K3615">
        <v>1.1064769999999999</v>
      </c>
      <c r="L3615">
        <v>200.98169999999999</v>
      </c>
      <c r="M3615">
        <v>0.21887899999999999</v>
      </c>
      <c r="N3615">
        <v>-1.3924219999999999E-2</v>
      </c>
      <c r="O3615">
        <v>-0.97565270000000004</v>
      </c>
      <c r="P3615">
        <v>0.1334765</v>
      </c>
      <c r="Q3615">
        <v>-7.4940370000000006E-2</v>
      </c>
      <c r="R3615">
        <v>-0.98821490000000001</v>
      </c>
      <c r="S3615">
        <v>0.20130919999999999</v>
      </c>
      <c r="T3615">
        <v>-0.17957310000000001</v>
      </c>
      <c r="U3615">
        <v>-2.9947659999999998</v>
      </c>
      <c r="V3615">
        <v>8.5663249999999996E-2</v>
      </c>
      <c r="W3615">
        <v>-6.1684389999999999E-2</v>
      </c>
      <c r="X3615">
        <v>0.99441279999999999</v>
      </c>
      <c r="Y3615">
        <v>0.15294839999999901</v>
      </c>
      <c r="Z3615">
        <v>4.3465730000000001E-2</v>
      </c>
      <c r="AA3615">
        <v>0.98727779999999998</v>
      </c>
      <c r="AB3615">
        <v>25</v>
      </c>
      <c r="AC3615">
        <v>1.2067000000000101</v>
      </c>
      <c r="AD3615">
        <v>-1.1064796147660001</v>
      </c>
      <c r="AE3615">
        <v>-18.287499999999898</v>
      </c>
      <c r="AF3615">
        <v>2.8154412754971201</v>
      </c>
      <c r="AG3615">
        <v>-1.1064796147660001</v>
      </c>
      <c r="AH3615">
        <v>18.042361265074199</v>
      </c>
      <c r="AI3615">
        <v>93.467510086420901</v>
      </c>
      <c r="AJ3615">
        <v>81.130741778361099</v>
      </c>
      <c r="AK3615">
        <v>18.2942014510914</v>
      </c>
      <c r="AL3615">
        <v>93.536500388274902</v>
      </c>
      <c r="AM3615">
        <v>85.076435523539502</v>
      </c>
      <c r="AN3615">
        <v>0.99999998658703704</v>
      </c>
    </row>
    <row r="3616" spans="1:40" x14ac:dyDescent="0.25">
      <c r="A3616" t="str">
        <f>"20190305135306137"</f>
        <v>20190305135306137</v>
      </c>
      <c r="B3616" t="str">
        <f>"1551765186133805"</f>
        <v>1551765186133805</v>
      </c>
      <c r="C3616" t="s">
        <v>40</v>
      </c>
      <c r="D3616">
        <v>4.7968299999999999</v>
      </c>
      <c r="E3616">
        <v>0.52512060000000005</v>
      </c>
      <c r="F3616" t="s">
        <v>42</v>
      </c>
      <c r="G3616">
        <v>-194.7646</v>
      </c>
      <c r="H3616" s="1">
        <v>-2.5737719999999999E-6</v>
      </c>
      <c r="I3616">
        <v>182.6335</v>
      </c>
      <c r="J3616">
        <v>-195.98320000000001</v>
      </c>
      <c r="K3616">
        <v>1.1067959999999999</v>
      </c>
      <c r="L3616">
        <v>200.76740000000001</v>
      </c>
      <c r="M3616">
        <v>0.21584500000000001</v>
      </c>
      <c r="N3616">
        <v>-1.3859659999999999E-2</v>
      </c>
      <c r="O3616">
        <v>-0.97632949999999996</v>
      </c>
      <c r="P3616">
        <v>0.136013299999999</v>
      </c>
      <c r="Q3616">
        <v>-7.535936E-2</v>
      </c>
      <c r="R3616">
        <v>-0.98783710000000002</v>
      </c>
      <c r="S3616">
        <v>0.2060699</v>
      </c>
      <c r="T3616">
        <v>-0.1805668</v>
      </c>
      <c r="U3616">
        <v>-2.9942470000000001</v>
      </c>
      <c r="V3616">
        <v>8.0061399999999894E-2</v>
      </c>
      <c r="W3616">
        <v>-6.206014E-2</v>
      </c>
      <c r="X3616">
        <v>0.99485610000000002</v>
      </c>
      <c r="Y3616">
        <v>0.14830460000000001</v>
      </c>
      <c r="Z3616">
        <v>4.3935630000000003E-2</v>
      </c>
      <c r="AA3616">
        <v>0.98796530000000005</v>
      </c>
      <c r="AB3616">
        <v>25</v>
      </c>
      <c r="AC3616">
        <v>1.2185999999999999</v>
      </c>
      <c r="AD3616">
        <v>-1.1067985737720001</v>
      </c>
      <c r="AE3616">
        <v>-18.133900000000001</v>
      </c>
      <c r="AF3616">
        <v>2.7145507031784502</v>
      </c>
      <c r="AG3616">
        <v>-1.1067985737720001</v>
      </c>
      <c r="AH3616">
        <v>17.903018884168102</v>
      </c>
      <c r="AI3616">
        <v>93.497753776569994</v>
      </c>
      <c r="AJ3616">
        <v>81.378182209495094</v>
      </c>
      <c r="AK3616">
        <v>18.1414407853927</v>
      </c>
      <c r="AL3616">
        <v>93.558070648774802</v>
      </c>
      <c r="AM3616">
        <v>85.399017005604804</v>
      </c>
      <c r="AN3616">
        <v>0.99999997422699405</v>
      </c>
    </row>
    <row r="3617" spans="1:40" x14ac:dyDescent="0.25">
      <c r="A3617" t="str">
        <f>"20190305135306161"</f>
        <v>20190305135306161</v>
      </c>
      <c r="B3617" t="str">
        <f>"1551765186153325"</f>
        <v>1551765186153325</v>
      </c>
      <c r="C3617" t="s">
        <v>40</v>
      </c>
      <c r="D3617">
        <v>4.7903669999999998</v>
      </c>
      <c r="E3617">
        <v>0.55953560000000002</v>
      </c>
      <c r="F3617" t="s">
        <v>42</v>
      </c>
      <c r="G3617">
        <v>-194.68870000000001</v>
      </c>
      <c r="H3617" s="1">
        <v>-2.5114030000000001E-6</v>
      </c>
      <c r="I3617">
        <v>182.5352</v>
      </c>
      <c r="J3617">
        <v>-195.9297</v>
      </c>
      <c r="K3617">
        <v>1.1071569999999999</v>
      </c>
      <c r="L3617">
        <v>200.50640000000001</v>
      </c>
      <c r="M3617">
        <v>0.21263380000000001</v>
      </c>
      <c r="N3617">
        <v>-1.3787779999999999E-2</v>
      </c>
      <c r="O3617">
        <v>-0.97703470000000003</v>
      </c>
      <c r="P3617">
        <v>0.1403402</v>
      </c>
      <c r="Q3617">
        <v>-7.6383359999999997E-2</v>
      </c>
      <c r="R3617">
        <v>-0.98715280000000005</v>
      </c>
      <c r="S3617">
        <v>0.21257019999999999</v>
      </c>
      <c r="T3617">
        <v>-0.1817433</v>
      </c>
      <c r="U3617">
        <v>-2.9938349999999998</v>
      </c>
      <c r="V3617">
        <v>7.2470850000000003E-2</v>
      </c>
      <c r="W3617">
        <v>-6.3036110000000006E-2</v>
      </c>
      <c r="X3617">
        <v>0.9953765</v>
      </c>
      <c r="Y3617">
        <v>0.1429115</v>
      </c>
      <c r="Z3617">
        <v>4.4474649999999998E-2</v>
      </c>
      <c r="AA3617">
        <v>0.9887357</v>
      </c>
      <c r="AB3617">
        <v>25</v>
      </c>
      <c r="AC3617">
        <v>1.2409999999999799</v>
      </c>
      <c r="AD3617">
        <v>-1.107159511403</v>
      </c>
      <c r="AE3617">
        <v>-17.9712</v>
      </c>
      <c r="AF3617">
        <v>2.59921400070419</v>
      </c>
      <c r="AG3617">
        <v>-1.107159511403</v>
      </c>
      <c r="AH3617">
        <v>17.756982127637698</v>
      </c>
      <c r="AI3617">
        <v>93.530287628672397</v>
      </c>
      <c r="AJ3617">
        <v>81.672355554156795</v>
      </c>
      <c r="AK3617">
        <v>17.9803261896549</v>
      </c>
      <c r="AL3617">
        <v>93.614099314957997</v>
      </c>
      <c r="AM3617">
        <v>85.835786638015904</v>
      </c>
      <c r="AN3617">
        <v>0.99999997600795199</v>
      </c>
    </row>
    <row r="3618" spans="1:40" x14ac:dyDescent="0.25">
      <c r="A3618" t="str">
        <f>"20190305135306183"</f>
        <v>20190305135306183</v>
      </c>
      <c r="B3618" t="str">
        <f>"1551765186173822"</f>
        <v>1551765186173822</v>
      </c>
      <c r="C3618" t="s">
        <v>40</v>
      </c>
      <c r="D3618">
        <v>4.7860740000000002</v>
      </c>
      <c r="E3618">
        <v>0.56044539999999998</v>
      </c>
      <c r="F3618" t="s">
        <v>42</v>
      </c>
      <c r="G3618">
        <v>-196.29499999999999</v>
      </c>
      <c r="H3618" s="1">
        <v>-3.6291640000000002E-6</v>
      </c>
      <c r="I3618">
        <v>174.37</v>
      </c>
      <c r="J3618">
        <v>-195.87860000000001</v>
      </c>
      <c r="K3618">
        <v>1.1074850000000001</v>
      </c>
      <c r="L3618">
        <v>200.25559999999999</v>
      </c>
      <c r="M3618">
        <v>0.2100127</v>
      </c>
      <c r="N3618">
        <v>-1.3725960000000001E-2</v>
      </c>
      <c r="O3618">
        <v>-0.97760239999999998</v>
      </c>
      <c r="P3618">
        <v>0.1420293</v>
      </c>
      <c r="Q3618">
        <v>-7.8344529999999996E-2</v>
      </c>
      <c r="R3618">
        <v>-0.98675760000000001</v>
      </c>
      <c r="S3618">
        <v>-4.2419430000000001E-2</v>
      </c>
      <c r="T3618">
        <v>-0.1285703</v>
      </c>
      <c r="U3618">
        <v>-3.035126</v>
      </c>
      <c r="V3618">
        <v>6.8112030000000004E-2</v>
      </c>
      <c r="W3618">
        <v>-6.497812E-2</v>
      </c>
      <c r="X3618">
        <v>0.99555950000000004</v>
      </c>
      <c r="Y3618">
        <v>0.2235809</v>
      </c>
      <c r="Z3618">
        <v>2.6630939999999999E-2</v>
      </c>
      <c r="AA3618">
        <v>0.97432149999999995</v>
      </c>
      <c r="AB3618">
        <v>25</v>
      </c>
      <c r="AC3618">
        <v>-0.41639999999998101</v>
      </c>
      <c r="AD3618">
        <v>-1.107488629164</v>
      </c>
      <c r="AE3618">
        <v>-25.885599999999901</v>
      </c>
      <c r="AF3618">
        <v>5.8332535448513596</v>
      </c>
      <c r="AG3618">
        <v>-1.107488629164</v>
      </c>
      <c r="AH3618">
        <v>25.174679432233599</v>
      </c>
      <c r="AI3618">
        <v>92.454007252136805</v>
      </c>
      <c r="AJ3618">
        <v>76.954155331344097</v>
      </c>
      <c r="AK3618">
        <v>25.865379612485299</v>
      </c>
      <c r="AL3618">
        <v>93.725596626024299</v>
      </c>
      <c r="AM3618">
        <v>86.086160593671494</v>
      </c>
      <c r="AN3618">
        <v>1.0000000613748501</v>
      </c>
    </row>
    <row r="3619" spans="1:40" x14ac:dyDescent="0.25">
      <c r="A3619" t="str">
        <f>"20190305135306204"</f>
        <v>20190305135306204</v>
      </c>
      <c r="B3619" t="str">
        <f>"1551765186193341"</f>
        <v>1551765186193341</v>
      </c>
      <c r="C3619" t="s">
        <v>40</v>
      </c>
      <c r="D3619">
        <v>4.6391229999999997</v>
      </c>
      <c r="E3619">
        <v>0.56301299999999999</v>
      </c>
      <c r="F3619" t="s">
        <v>42</v>
      </c>
      <c r="G3619">
        <v>-196.18860000000001</v>
      </c>
      <c r="H3619" s="1">
        <v>-1.8802870000000001E-6</v>
      </c>
      <c r="I3619">
        <v>180.13380000000001</v>
      </c>
      <c r="J3619">
        <v>-195.83410000000001</v>
      </c>
      <c r="K3619">
        <v>1.107745</v>
      </c>
      <c r="L3619">
        <v>200.03630000000001</v>
      </c>
      <c r="M3619">
        <v>0.2080929</v>
      </c>
      <c r="N3619">
        <v>-1.367761E-2</v>
      </c>
      <c r="O3619">
        <v>-0.97801360000000004</v>
      </c>
      <c r="P3619">
        <v>0.14483109999999999</v>
      </c>
      <c r="Q3619">
        <v>-8.0285990000000002E-2</v>
      </c>
      <c r="R3619">
        <v>-0.98619409999999996</v>
      </c>
      <c r="S3619">
        <v>-4.6737670000000002E-2</v>
      </c>
      <c r="T3619">
        <v>-0.16697409999999999</v>
      </c>
      <c r="U3619">
        <v>-3.0337369999999999</v>
      </c>
      <c r="V3619">
        <v>6.3336980000000001E-2</v>
      </c>
      <c r="W3619">
        <v>-6.6902820000000002E-2</v>
      </c>
      <c r="X3619">
        <v>0.9957471</v>
      </c>
      <c r="Y3619">
        <v>0.22303300000000001</v>
      </c>
      <c r="Z3619">
        <v>3.8771590000000002E-2</v>
      </c>
      <c r="AA3619">
        <v>0.97403960000000001</v>
      </c>
      <c r="AB3619">
        <v>25</v>
      </c>
      <c r="AC3619">
        <v>-0.35450000000000098</v>
      </c>
      <c r="AD3619">
        <v>-1.1077468802869901</v>
      </c>
      <c r="AE3619">
        <v>-19.9025</v>
      </c>
      <c r="AF3619">
        <v>4.4748357531981302</v>
      </c>
      <c r="AG3619">
        <v>-1.1077468802869901</v>
      </c>
      <c r="AH3619">
        <v>19.333084827724601</v>
      </c>
      <c r="AI3619">
        <v>93.195060223795906</v>
      </c>
      <c r="AJ3619">
        <v>76.967812052948901</v>
      </c>
      <c r="AK3619">
        <v>19.8750956507102</v>
      </c>
      <c r="AL3619">
        <v>93.8361148874272</v>
      </c>
      <c r="AM3619">
        <v>86.360462049540104</v>
      </c>
      <c r="AN3619">
        <v>0.99999992375893798</v>
      </c>
    </row>
    <row r="3620" spans="1:40" x14ac:dyDescent="0.25">
      <c r="A3620" t="str">
        <f>"20190305135306227"</f>
        <v>20190305135306227</v>
      </c>
      <c r="B3620" t="str">
        <f>"1551765186223597"</f>
        <v>1551765186223597</v>
      </c>
      <c r="C3620" t="s">
        <v>40</v>
      </c>
      <c r="D3620">
        <v>4.7740299999999998</v>
      </c>
      <c r="E3620">
        <v>0.56191359999999901</v>
      </c>
      <c r="F3620" t="s">
        <v>42</v>
      </c>
      <c r="G3620">
        <v>-196.26070000000001</v>
      </c>
      <c r="H3620" s="1">
        <v>-4.5026550000000003E-6</v>
      </c>
      <c r="I3620">
        <v>176.9547</v>
      </c>
      <c r="J3620">
        <v>-195.78319999999999</v>
      </c>
      <c r="K3620">
        <v>1.1080190000000001</v>
      </c>
      <c r="L3620">
        <v>199.78550000000001</v>
      </c>
      <c r="M3620">
        <v>0.20627799999999999</v>
      </c>
      <c r="N3620">
        <v>-1.362783E-2</v>
      </c>
      <c r="O3620">
        <v>-0.97839860000000001</v>
      </c>
      <c r="P3620">
        <v>0.14642189999999999</v>
      </c>
      <c r="Q3620">
        <v>-8.0684569999999997E-2</v>
      </c>
      <c r="R3620">
        <v>-0.98592659999999999</v>
      </c>
      <c r="S3620">
        <v>-5.6152340000000002E-2</v>
      </c>
      <c r="T3620">
        <v>-0.1458188</v>
      </c>
      <c r="U3620">
        <v>-3.0383610000000001</v>
      </c>
      <c r="V3620">
        <v>5.992509E-2</v>
      </c>
      <c r="W3620">
        <v>-6.729388E-2</v>
      </c>
      <c r="X3620">
        <v>0.99593200000000004</v>
      </c>
      <c r="Y3620">
        <v>0.22423470000000001</v>
      </c>
      <c r="Z3620">
        <v>3.213328E-2</v>
      </c>
      <c r="AA3620">
        <v>0.97400529999999996</v>
      </c>
      <c r="AB3620">
        <v>25</v>
      </c>
      <c r="AC3620">
        <v>-0.47750000000002002</v>
      </c>
      <c r="AD3620">
        <v>-1.108023502655</v>
      </c>
      <c r="AE3620">
        <v>-22.8308</v>
      </c>
      <c r="AF3620">
        <v>5.1649974049223397</v>
      </c>
      <c r="AG3620">
        <v>-1.108023502655</v>
      </c>
      <c r="AH3620">
        <v>22.188948796797799</v>
      </c>
      <c r="AI3620">
        <v>92.7844197023405</v>
      </c>
      <c r="AJ3620">
        <v>76.896405927939</v>
      </c>
      <c r="AK3620">
        <v>22.8090850974388</v>
      </c>
      <c r="AL3620">
        <v>93.858571230852306</v>
      </c>
      <c r="AM3620">
        <v>86.556672328695697</v>
      </c>
      <c r="AN3620">
        <v>1.00000001566048</v>
      </c>
    </row>
    <row r="3621" spans="1:40" x14ac:dyDescent="0.25">
      <c r="A3621" t="str">
        <f>"20190305135306248"</f>
        <v>20190305135306248</v>
      </c>
      <c r="B3621" t="str">
        <f>"1551765186243117"</f>
        <v>1551765186243117</v>
      </c>
      <c r="C3621" t="s">
        <v>40</v>
      </c>
      <c r="D3621">
        <v>4.7463939999999996</v>
      </c>
      <c r="E3621">
        <v>0.56171280000000001</v>
      </c>
      <c r="F3621" t="s">
        <v>42</v>
      </c>
      <c r="G3621">
        <v>-196.07759999999999</v>
      </c>
      <c r="H3621" s="1">
        <v>-1.664172E-6</v>
      </c>
      <c r="I3621">
        <v>179.69890000000001</v>
      </c>
      <c r="J3621">
        <v>-195.73400000000001</v>
      </c>
      <c r="K3621">
        <v>1.1082650000000001</v>
      </c>
      <c r="L3621">
        <v>199.5427</v>
      </c>
      <c r="M3621">
        <v>0.20488629999999999</v>
      </c>
      <c r="N3621">
        <v>-1.358525E-2</v>
      </c>
      <c r="O3621">
        <v>-0.97869189999999995</v>
      </c>
      <c r="P3621">
        <v>0.14696809999999999</v>
      </c>
      <c r="Q3621">
        <v>-8.0965930000000005E-2</v>
      </c>
      <c r="R3621">
        <v>-0.98582210000000003</v>
      </c>
      <c r="S3621">
        <v>-4.4479369999999997E-2</v>
      </c>
      <c r="T3621">
        <v>-0.16745760000000001</v>
      </c>
      <c r="U3621">
        <v>-3.035736</v>
      </c>
      <c r="V3621">
        <v>5.7994249999999997E-2</v>
      </c>
      <c r="W3621">
        <v>-6.7575179999999999E-2</v>
      </c>
      <c r="X3621">
        <v>0.9960272</v>
      </c>
      <c r="Y3621">
        <v>0.2191043</v>
      </c>
      <c r="Z3621">
        <v>3.9063229999999997E-2</v>
      </c>
      <c r="AA3621">
        <v>0.97491910000000004</v>
      </c>
      <c r="AB3621">
        <v>25</v>
      </c>
      <c r="AC3621">
        <v>-0.34359999999997998</v>
      </c>
      <c r="AD3621">
        <v>-1.108266664172</v>
      </c>
      <c r="AE3621">
        <v>-19.843799999999899</v>
      </c>
      <c r="AF3621">
        <v>4.3887207708611902</v>
      </c>
      <c r="AG3621">
        <v>-1.108266664172</v>
      </c>
      <c r="AH3621">
        <v>19.292188102195901</v>
      </c>
      <c r="AI3621">
        <v>93.206088287450797</v>
      </c>
      <c r="AJ3621">
        <v>77.184064000903703</v>
      </c>
      <c r="AK3621">
        <v>19.816095649093199</v>
      </c>
      <c r="AL3621">
        <v>93.874725518743205</v>
      </c>
      <c r="AM3621">
        <v>86.667683023585795</v>
      </c>
      <c r="AN3621">
        <v>0.99999996056246598</v>
      </c>
    </row>
    <row r="3622" spans="1:40" x14ac:dyDescent="0.25">
      <c r="A3622" t="str">
        <f>"20190305135306271"</f>
        <v>20190305135306271</v>
      </c>
      <c r="B3622" t="str">
        <f>"1551765186263615"</f>
        <v>1551765186263615</v>
      </c>
      <c r="C3622" t="s">
        <v>40</v>
      </c>
      <c r="D3622">
        <v>4.7745889999999997</v>
      </c>
      <c r="E3622">
        <v>0.5614865</v>
      </c>
      <c r="F3622" t="s">
        <v>42</v>
      </c>
      <c r="G3622">
        <v>-195.99610000000001</v>
      </c>
      <c r="H3622" s="1">
        <v>-2.0005300000000001E-6</v>
      </c>
      <c r="I3622">
        <v>180.5334</v>
      </c>
      <c r="J3622">
        <v>-195.6832</v>
      </c>
      <c r="K3622">
        <v>1.1084700000000001</v>
      </c>
      <c r="L3622">
        <v>199.29169999999999</v>
      </c>
      <c r="M3622">
        <v>0.20371520000000001</v>
      </c>
      <c r="N3622">
        <v>-1.3546509999999999E-2</v>
      </c>
      <c r="O3622">
        <v>-0.97893649999999999</v>
      </c>
      <c r="P3622">
        <v>0.14690829999999999</v>
      </c>
      <c r="Q3622">
        <v>-8.1059519999999996E-2</v>
      </c>
      <c r="R3622">
        <v>-0.985823</v>
      </c>
      <c r="S3622">
        <v>-4.1839599999999998E-2</v>
      </c>
      <c r="T3622">
        <v>-0.1769365</v>
      </c>
      <c r="U3622">
        <v>-3.0348510000000002</v>
      </c>
      <c r="V3622">
        <v>5.6896509999999997E-2</v>
      </c>
      <c r="W3622">
        <v>-6.7674960000000006E-2</v>
      </c>
      <c r="X3622">
        <v>0.99608379999999996</v>
      </c>
      <c r="Y3622">
        <v>0.21708730000000001</v>
      </c>
      <c r="Z3622">
        <v>4.2127190000000002E-2</v>
      </c>
      <c r="AA3622">
        <v>0.97524270000000002</v>
      </c>
      <c r="AB3622">
        <v>25</v>
      </c>
      <c r="AC3622">
        <v>-0.312900000000013</v>
      </c>
      <c r="AD3622">
        <v>-1.1084720005299999</v>
      </c>
      <c r="AE3622">
        <v>-18.758299999999899</v>
      </c>
      <c r="AF3622">
        <v>4.1136781407936596</v>
      </c>
      <c r="AG3622">
        <v>-1.1084720005299999</v>
      </c>
      <c r="AH3622">
        <v>18.237455017259801</v>
      </c>
      <c r="AI3622">
        <v>93.393116720527701</v>
      </c>
      <c r="AJ3622">
        <v>77.288967635920699</v>
      </c>
      <c r="AK3622">
        <v>18.7284762735407</v>
      </c>
      <c r="AL3622">
        <v>93.880455359332501</v>
      </c>
      <c r="AM3622">
        <v>86.7308057754272</v>
      </c>
      <c r="AN3622">
        <v>1.0000000248418099</v>
      </c>
    </row>
    <row r="3623" spans="1:40" x14ac:dyDescent="0.25">
      <c r="A3623" t="str">
        <f>"20190305135306292"</f>
        <v>20190305135306292</v>
      </c>
      <c r="B3623" t="str">
        <f>"1551765186283133"</f>
        <v>1551765186283133</v>
      </c>
      <c r="C3623" t="s">
        <v>40</v>
      </c>
      <c r="D3623">
        <v>4.7700570000000004</v>
      </c>
      <c r="E3623">
        <v>0.56123789999999996</v>
      </c>
      <c r="F3623" t="s">
        <v>42</v>
      </c>
      <c r="G3623">
        <v>-195.92760000000001</v>
      </c>
      <c r="H3623" s="1">
        <v>-2.21287E-6</v>
      </c>
      <c r="I3623">
        <v>181.07089999999999</v>
      </c>
      <c r="J3623">
        <v>-195.6362</v>
      </c>
      <c r="K3623">
        <v>1.1086240000000001</v>
      </c>
      <c r="L3623">
        <v>199.05959999999999</v>
      </c>
      <c r="M3623">
        <v>0.20284859999999999</v>
      </c>
      <c r="N3623">
        <v>-1.3514689999999999E-2</v>
      </c>
      <c r="O3623">
        <v>-0.97911700000000002</v>
      </c>
      <c r="P3623">
        <v>0.1470958</v>
      </c>
      <c r="Q3623">
        <v>-8.1889799999999999E-2</v>
      </c>
      <c r="R3623">
        <v>-0.98572669999999996</v>
      </c>
      <c r="S3623">
        <v>-4.0695189999999999E-2</v>
      </c>
      <c r="T3623">
        <v>-0.1845763</v>
      </c>
      <c r="U3623">
        <v>-3.0340120000000002</v>
      </c>
      <c r="V3623">
        <v>5.583722E-2</v>
      </c>
      <c r="W3623">
        <v>-6.851351E-2</v>
      </c>
      <c r="X3623">
        <v>0.99608640000000004</v>
      </c>
      <c r="Y3623">
        <v>0.2158543</v>
      </c>
      <c r="Z3623">
        <v>4.4597659999999997E-2</v>
      </c>
      <c r="AA3623">
        <v>0.97540649999999995</v>
      </c>
      <c r="AB3623">
        <v>25</v>
      </c>
      <c r="AC3623">
        <v>-0.29140000000000998</v>
      </c>
      <c r="AD3623">
        <v>-1.10862621287</v>
      </c>
      <c r="AE3623">
        <v>-17.988699999999898</v>
      </c>
      <c r="AF3623">
        <v>3.91977212559802</v>
      </c>
      <c r="AG3623">
        <v>-1.10862621287</v>
      </c>
      <c r="AH3623">
        <v>17.489123879692102</v>
      </c>
      <c r="AI3623">
        <v>93.539517127048498</v>
      </c>
      <c r="AJ3623">
        <v>77.367274157068707</v>
      </c>
      <c r="AK3623">
        <v>17.9572581335708</v>
      </c>
      <c r="AL3623">
        <v>93.928612586589793</v>
      </c>
      <c r="AM3623">
        <v>86.791551097838607</v>
      </c>
      <c r="AN3623">
        <v>1.0000000062273999</v>
      </c>
    </row>
    <row r="3624" spans="1:40" x14ac:dyDescent="0.25">
      <c r="A3624" t="str">
        <f>"20190305135306315"</f>
        <v>20190305135306315</v>
      </c>
      <c r="B3624" t="str">
        <f>"1551765186303630"</f>
        <v>1551765186303630</v>
      </c>
      <c r="C3624" t="s">
        <v>40</v>
      </c>
      <c r="D3624">
        <v>4.7569160000000004</v>
      </c>
      <c r="E3624">
        <v>0.56113459999999904</v>
      </c>
      <c r="F3624" t="s">
        <v>42</v>
      </c>
      <c r="G3624">
        <v>-195.85910000000001</v>
      </c>
      <c r="H3624" s="1">
        <v>-2.4228380000000001E-6</v>
      </c>
      <c r="I3624">
        <v>181.60290000000001</v>
      </c>
      <c r="J3624">
        <v>-195.5866</v>
      </c>
      <c r="K3624">
        <v>1.1087720000000001</v>
      </c>
      <c r="L3624">
        <v>198.8152</v>
      </c>
      <c r="M3624">
        <v>0.20215379999999999</v>
      </c>
      <c r="N3624">
        <v>-1.3484990000000001E-2</v>
      </c>
      <c r="O3624">
        <v>-0.97926089999999999</v>
      </c>
      <c r="P3624">
        <v>0.1462581</v>
      </c>
      <c r="Q3624">
        <v>-8.3084480000000002E-2</v>
      </c>
      <c r="R3624">
        <v>-0.9857513</v>
      </c>
      <c r="S3624">
        <v>-3.872681E-2</v>
      </c>
      <c r="T3624">
        <v>-0.1926303</v>
      </c>
      <c r="U3624">
        <v>-3.0332180000000002</v>
      </c>
      <c r="V3624">
        <v>5.597945E-2</v>
      </c>
      <c r="W3624">
        <v>-6.9719439999999994E-2</v>
      </c>
      <c r="X3624">
        <v>0.99599470000000001</v>
      </c>
      <c r="Y3624">
        <v>0.214527</v>
      </c>
      <c r="Z3624">
        <v>4.7195170000000002E-2</v>
      </c>
      <c r="AA3624">
        <v>0.97557720000000003</v>
      </c>
      <c r="AB3624">
        <v>25</v>
      </c>
      <c r="AC3624">
        <v>-0.27250000000000801</v>
      </c>
      <c r="AD3624">
        <v>-1.1087744228380001</v>
      </c>
      <c r="AE3624">
        <v>-17.212299999999999</v>
      </c>
      <c r="AF3624">
        <v>3.73124191920546</v>
      </c>
      <c r="AG3624">
        <v>-1.1087744228380001</v>
      </c>
      <c r="AH3624">
        <v>16.732358357503902</v>
      </c>
      <c r="AI3624">
        <v>93.700547790298202</v>
      </c>
      <c r="AJ3624">
        <v>77.428974381023394</v>
      </c>
      <c r="AK3624">
        <v>17.179154903088399</v>
      </c>
      <c r="AL3624">
        <v>93.997873061113594</v>
      </c>
      <c r="AM3624">
        <v>86.783100067070194</v>
      </c>
      <c r="AN3624">
        <v>0.99999997078215197</v>
      </c>
    </row>
    <row r="3625" spans="1:40" x14ac:dyDescent="0.25">
      <c r="A3625" t="str">
        <f>"20190305135306338"</f>
        <v>20190305135306338</v>
      </c>
      <c r="B3625" t="str">
        <f>"1551765186333885"</f>
        <v>1551765186333885</v>
      </c>
      <c r="C3625" t="s">
        <v>40</v>
      </c>
      <c r="D3625">
        <v>4.7578180000000003</v>
      </c>
      <c r="E3625">
        <v>0.56094149999999998</v>
      </c>
      <c r="F3625" t="s">
        <v>42</v>
      </c>
      <c r="G3625">
        <v>-195.81200000000001</v>
      </c>
      <c r="H3625" s="1">
        <v>-2.6002999999999999E-6</v>
      </c>
      <c r="I3625">
        <v>182.04570000000001</v>
      </c>
      <c r="J3625">
        <v>-195.53579999999999</v>
      </c>
      <c r="K3625">
        <v>1.108911</v>
      </c>
      <c r="L3625">
        <v>198.56489999999999</v>
      </c>
      <c r="M3625">
        <v>0.2016444</v>
      </c>
      <c r="N3625">
        <v>-1.3458339999999999E-2</v>
      </c>
      <c r="O3625">
        <v>-0.97936650000000003</v>
      </c>
      <c r="P3625">
        <v>0.1454935</v>
      </c>
      <c r="Q3625">
        <v>-8.3640400000000004E-2</v>
      </c>
      <c r="R3625">
        <v>-0.98581770000000002</v>
      </c>
      <c r="S3625">
        <v>-4.0756229999999997E-2</v>
      </c>
      <c r="T3625">
        <v>-0.2005064</v>
      </c>
      <c r="U3625">
        <v>-3.0325319999999998</v>
      </c>
      <c r="V3625">
        <v>5.624709E-2</v>
      </c>
      <c r="W3625">
        <v>-7.0284059999999995E-2</v>
      </c>
      <c r="X3625">
        <v>0.99594000000000005</v>
      </c>
      <c r="Y3625">
        <v>0.21466879999999999</v>
      </c>
      <c r="Z3625">
        <v>4.9716700000000003E-2</v>
      </c>
      <c r="AA3625">
        <v>0.97542070000000003</v>
      </c>
      <c r="AB3625">
        <v>25</v>
      </c>
      <c r="AC3625">
        <v>-0.27620000000001699</v>
      </c>
      <c r="AD3625">
        <v>-1.1089136003</v>
      </c>
      <c r="AE3625">
        <v>-16.519199999999898</v>
      </c>
      <c r="AF3625">
        <v>3.5856772891621298</v>
      </c>
      <c r="AG3625">
        <v>-1.1089136003</v>
      </c>
      <c r="AH3625">
        <v>16.051800981277399</v>
      </c>
      <c r="AI3625">
        <v>93.857145119810696</v>
      </c>
      <c r="AJ3625">
        <v>77.407905368115394</v>
      </c>
      <c r="AK3625">
        <v>16.484753129406599</v>
      </c>
      <c r="AL3625">
        <v>94.030302705483393</v>
      </c>
      <c r="AM3625">
        <v>86.767575324048096</v>
      </c>
      <c r="AN3625">
        <v>1.0000000339117701</v>
      </c>
    </row>
    <row r="3626" spans="1:40" x14ac:dyDescent="0.25">
      <c r="A3626" t="str">
        <f>"20190305135306363"</f>
        <v>20190305135306363</v>
      </c>
      <c r="B3626" t="str">
        <f>"1551765186353409"</f>
        <v>1551765186353409</v>
      </c>
      <c r="C3626" t="s">
        <v>40</v>
      </c>
      <c r="D3626">
        <v>4.7660980000000004</v>
      </c>
      <c r="E3626">
        <v>0.56085620000000003</v>
      </c>
      <c r="F3626" t="s">
        <v>42</v>
      </c>
      <c r="G3626">
        <v>-195.7594</v>
      </c>
      <c r="H3626" s="1">
        <v>-2.7289479999999999E-6</v>
      </c>
      <c r="I3626">
        <v>182.37819999999999</v>
      </c>
      <c r="J3626">
        <v>-195.482</v>
      </c>
      <c r="K3626">
        <v>1.1090390000000001</v>
      </c>
      <c r="L3626">
        <v>198.3</v>
      </c>
      <c r="M3626">
        <v>0.2012805</v>
      </c>
      <c r="N3626">
        <v>-1.343375E-2</v>
      </c>
      <c r="O3626">
        <v>-0.97944180000000003</v>
      </c>
      <c r="P3626">
        <v>0.14442199999999999</v>
      </c>
      <c r="Q3626">
        <v>-8.3957180000000006E-2</v>
      </c>
      <c r="R3626">
        <v>-0.98594839999999995</v>
      </c>
      <c r="S3626">
        <v>-4.1870119999999997E-2</v>
      </c>
      <c r="T3626">
        <v>-0.2076983</v>
      </c>
      <c r="U3626">
        <v>-3.0317379999999998</v>
      </c>
      <c r="V3626">
        <v>5.6975770000000002E-2</v>
      </c>
      <c r="W3626">
        <v>-7.0608309999999994E-2</v>
      </c>
      <c r="X3626">
        <v>0.99587559999999997</v>
      </c>
      <c r="Y3626">
        <v>0.2146624</v>
      </c>
      <c r="Z3626">
        <v>5.2022859999999997E-2</v>
      </c>
      <c r="AA3626">
        <v>0.97530190000000005</v>
      </c>
      <c r="AB3626">
        <v>25</v>
      </c>
      <c r="AC3626">
        <v>-0.27739999999999998</v>
      </c>
      <c r="AD3626">
        <v>-1.1090417289479999</v>
      </c>
      <c r="AE3626">
        <v>-15.921799999999999</v>
      </c>
      <c r="AF3626">
        <v>3.4599754593043901</v>
      </c>
      <c r="AG3626">
        <v>-1.1090417289479999</v>
      </c>
      <c r="AH3626">
        <v>15.4650273628666</v>
      </c>
      <c r="AI3626">
        <v>94.003191554060606</v>
      </c>
      <c r="AJ3626">
        <v>77.388948021526602</v>
      </c>
      <c r="AK3626">
        <v>15.8861095007477</v>
      </c>
      <c r="AL3626">
        <v>94.048927305369901</v>
      </c>
      <c r="AM3626">
        <v>86.725578578803095</v>
      </c>
      <c r="AN3626">
        <v>0.99999999124175398</v>
      </c>
    </row>
    <row r="3627" spans="1:40" x14ac:dyDescent="0.25">
      <c r="A3627" t="str">
        <f>"20190305135306384"</f>
        <v>20190305135306384</v>
      </c>
      <c r="B3627" t="str">
        <f>"1551765186373903"</f>
        <v>1551765186373903</v>
      </c>
      <c r="C3627" t="s">
        <v>40</v>
      </c>
      <c r="D3627">
        <v>4.763293</v>
      </c>
      <c r="E3627">
        <v>0.56078779999999995</v>
      </c>
      <c r="F3627" t="s">
        <v>42</v>
      </c>
      <c r="G3627">
        <v>-195.71680000000001</v>
      </c>
      <c r="H3627" s="1">
        <v>-2.7346379999999998E-6</v>
      </c>
      <c r="I3627">
        <v>182.4179</v>
      </c>
      <c r="J3627">
        <v>-195.4341</v>
      </c>
      <c r="K3627">
        <v>1.1091249999999999</v>
      </c>
      <c r="L3627">
        <v>198.065</v>
      </c>
      <c r="M3627">
        <v>0.20108219999999999</v>
      </c>
      <c r="N3627">
        <v>-1.341469E-2</v>
      </c>
      <c r="O3627">
        <v>-0.97948270000000004</v>
      </c>
      <c r="P3627">
        <v>0.14378540000000001</v>
      </c>
      <c r="Q3627">
        <v>-8.485782E-2</v>
      </c>
      <c r="R3627">
        <v>-0.98596419999999996</v>
      </c>
      <c r="S3627">
        <v>-4.4815059999999997E-2</v>
      </c>
      <c r="T3627">
        <v>-0.21167449999999999</v>
      </c>
      <c r="U3627">
        <v>-3.0312960000000002</v>
      </c>
      <c r="V3627">
        <v>5.7417559999999999E-2</v>
      </c>
      <c r="W3627">
        <v>-7.1515899999999993E-2</v>
      </c>
      <c r="X3627">
        <v>0.99578549999999999</v>
      </c>
      <c r="Y3627">
        <v>0.2154104</v>
      </c>
      <c r="Z3627">
        <v>5.3296379999999997E-2</v>
      </c>
      <c r="AA3627">
        <v>0.97506820000000005</v>
      </c>
      <c r="AB3627">
        <v>25</v>
      </c>
      <c r="AC3627">
        <v>-0.282700000000005</v>
      </c>
      <c r="AD3627">
        <v>-1.109127734638</v>
      </c>
      <c r="AE3627">
        <v>-15.647099999999901</v>
      </c>
      <c r="AF3627">
        <v>3.4064502568876098</v>
      </c>
      <c r="AG3627">
        <v>-1.109127734638</v>
      </c>
      <c r="AH3627">
        <v>15.1942699480394</v>
      </c>
      <c r="AI3627">
        <v>94.074202124407293</v>
      </c>
      <c r="AJ3627">
        <v>77.363629162170199</v>
      </c>
      <c r="AK3627">
        <v>15.6108906516664</v>
      </c>
      <c r="AL3627">
        <v>94.101060018011594</v>
      </c>
      <c r="AM3627">
        <v>86.699946705201498</v>
      </c>
      <c r="AN3627">
        <v>1.0000000310796999</v>
      </c>
    </row>
    <row r="3628" spans="1:40" x14ac:dyDescent="0.25">
      <c r="A3628" t="str">
        <f>"20190305135306405"</f>
        <v>20190305135306405</v>
      </c>
      <c r="B3628" t="str">
        <f>"1551765186393421"</f>
        <v>1551765186393421</v>
      </c>
      <c r="C3628" t="s">
        <v>40</v>
      </c>
      <c r="D3628">
        <v>4.7855259999999999</v>
      </c>
      <c r="E3628">
        <v>0.56075209999999998</v>
      </c>
      <c r="F3628" t="s">
        <v>42</v>
      </c>
      <c r="G3628">
        <v>-195.6712</v>
      </c>
      <c r="H3628" s="1">
        <v>-2.7823090000000001E-6</v>
      </c>
      <c r="I3628">
        <v>182.5573</v>
      </c>
      <c r="J3628">
        <v>-195.3878</v>
      </c>
      <c r="K3628">
        <v>1.1091759999999999</v>
      </c>
      <c r="L3628">
        <v>197.8383</v>
      </c>
      <c r="M3628">
        <v>0.2009802</v>
      </c>
      <c r="N3628">
        <v>-1.339839E-2</v>
      </c>
      <c r="O3628">
        <v>-0.97950380000000004</v>
      </c>
      <c r="P3628">
        <v>0.14358570000000001</v>
      </c>
      <c r="Q3628">
        <v>-8.6059300000000005E-2</v>
      </c>
      <c r="R3628">
        <v>-0.98588880000000001</v>
      </c>
      <c r="S3628">
        <v>-4.6356199999999903E-2</v>
      </c>
      <c r="T3628">
        <v>-0.21676709999999999</v>
      </c>
      <c r="U3628">
        <v>-3.0308069999999998</v>
      </c>
      <c r="V3628">
        <v>5.7506000000000002E-2</v>
      </c>
      <c r="W3628">
        <v>-7.2725620000000005E-2</v>
      </c>
      <c r="X3628">
        <v>0.99569269999999999</v>
      </c>
      <c r="Y3628">
        <v>0.21580250000000001</v>
      </c>
      <c r="Z3628">
        <v>5.4920080000000003E-2</v>
      </c>
      <c r="AA3628">
        <v>0.97489130000000002</v>
      </c>
      <c r="AB3628">
        <v>25</v>
      </c>
      <c r="AC3628">
        <v>-0.28339999999999999</v>
      </c>
      <c r="AD3628">
        <v>-1.109178782309</v>
      </c>
      <c r="AE3628">
        <v>-15.281000000000001</v>
      </c>
      <c r="AF3628">
        <v>3.3315234081146401</v>
      </c>
      <c r="AG3628">
        <v>-1.109178782309</v>
      </c>
      <c r="AH3628">
        <v>14.834047883542899</v>
      </c>
      <c r="AI3628">
        <v>94.172634626680505</v>
      </c>
      <c r="AJ3628">
        <v>77.342181526242697</v>
      </c>
      <c r="AK3628">
        <v>15.2439595381641</v>
      </c>
      <c r="AL3628">
        <v>94.170553156918501</v>
      </c>
      <c r="AM3628">
        <v>86.694567549158293</v>
      </c>
      <c r="AN3628">
        <v>0.99999995433683597</v>
      </c>
    </row>
    <row r="3629" spans="1:40" x14ac:dyDescent="0.25">
      <c r="A3629" t="str">
        <f>"20190305135306428"</f>
        <v>20190305135306428</v>
      </c>
      <c r="B3629" t="str">
        <f>"1551765186423678"</f>
        <v>1551765186423678</v>
      </c>
      <c r="C3629" t="s">
        <v>40</v>
      </c>
      <c r="D3629">
        <v>4.8406180000000001</v>
      </c>
      <c r="E3629">
        <v>0.5440374</v>
      </c>
      <c r="F3629" t="s">
        <v>42</v>
      </c>
      <c r="G3629">
        <v>-195.62190000000001</v>
      </c>
      <c r="H3629" s="1">
        <v>-2.8443119999999999E-6</v>
      </c>
      <c r="I3629">
        <v>182.73240000000001</v>
      </c>
      <c r="J3629">
        <v>-195.3366</v>
      </c>
      <c r="K3629">
        <v>1.1092070000000001</v>
      </c>
      <c r="L3629">
        <v>197.58840000000001</v>
      </c>
      <c r="M3629">
        <v>0.20094049999999999</v>
      </c>
      <c r="N3629">
        <v>-1.338289E-2</v>
      </c>
      <c r="O3629">
        <v>-0.97951200000000005</v>
      </c>
      <c r="P3629">
        <v>0.1443246</v>
      </c>
      <c r="Q3629">
        <v>-8.7709280000000001E-2</v>
      </c>
      <c r="R3629">
        <v>-0.98563590000000001</v>
      </c>
      <c r="S3629">
        <v>-4.6966550000000003E-2</v>
      </c>
      <c r="T3629">
        <v>-0.22250829999999999</v>
      </c>
      <c r="U3629">
        <v>-3.0303339999999999</v>
      </c>
      <c r="V3629">
        <v>5.6698100000000001E-2</v>
      </c>
      <c r="W3629">
        <v>-7.4386690000000005E-2</v>
      </c>
      <c r="X3629">
        <v>0.99561639999999996</v>
      </c>
      <c r="Y3629">
        <v>0.21595690000000001</v>
      </c>
      <c r="Z3629">
        <v>5.6747190000000003E-2</v>
      </c>
      <c r="AA3629">
        <v>0.97475250000000002</v>
      </c>
      <c r="AB3629">
        <v>25</v>
      </c>
      <c r="AC3629">
        <v>-0.28530000000000599</v>
      </c>
      <c r="AD3629">
        <v>-1.109209844312</v>
      </c>
      <c r="AE3629">
        <v>-14.8559999999999</v>
      </c>
      <c r="AF3629">
        <v>3.2468258253503799</v>
      </c>
      <c r="AG3629">
        <v>-1.109209844312</v>
      </c>
      <c r="AH3629">
        <v>14.4152689316301</v>
      </c>
      <c r="AI3629">
        <v>94.2929328012046</v>
      </c>
      <c r="AJ3629">
        <v>77.306791123011607</v>
      </c>
      <c r="AK3629">
        <v>14.817968915816399</v>
      </c>
      <c r="AL3629">
        <v>94.265983642678606</v>
      </c>
      <c r="AM3629">
        <v>86.740655426953793</v>
      </c>
      <c r="AN3629">
        <v>1.00000003507086</v>
      </c>
    </row>
    <row r="3630" spans="1:40" x14ac:dyDescent="0.25">
      <c r="A3630" t="str">
        <f>"20190305135306450"</f>
        <v>20190305135306450</v>
      </c>
      <c r="B3630" t="str">
        <f>"1551765186443197"</f>
        <v>1551765186443197</v>
      </c>
      <c r="C3630" t="s">
        <v>40</v>
      </c>
      <c r="D3630">
        <v>4.8140409999999996</v>
      </c>
      <c r="E3630">
        <v>0.52376929999999999</v>
      </c>
      <c r="F3630" t="s">
        <v>42</v>
      </c>
      <c r="G3630">
        <v>-194.62299999999999</v>
      </c>
      <c r="H3630" s="1">
        <v>-3.391282E-6</v>
      </c>
      <c r="I3630">
        <v>174.62700000000001</v>
      </c>
      <c r="J3630">
        <v>-195.2868</v>
      </c>
      <c r="K3630">
        <v>1.1092150000000001</v>
      </c>
      <c r="L3630">
        <v>197.34520000000001</v>
      </c>
      <c r="M3630">
        <v>0.20093269999999999</v>
      </c>
      <c r="N3630">
        <v>-1.3369610000000001E-2</v>
      </c>
      <c r="O3630">
        <v>-0.97951390000000005</v>
      </c>
      <c r="P3630">
        <v>0.1463834</v>
      </c>
      <c r="Q3630">
        <v>-8.8910050000000004E-2</v>
      </c>
      <c r="R3630">
        <v>-0.9852244</v>
      </c>
      <c r="S3630">
        <v>9.3765260000000003E-2</v>
      </c>
      <c r="T3630">
        <v>-0.14574529999999999</v>
      </c>
      <c r="U3630">
        <v>-3.017029</v>
      </c>
      <c r="V3630">
        <v>5.4593089999999997E-2</v>
      </c>
      <c r="W3630">
        <v>-7.5598940000000003E-2</v>
      </c>
      <c r="X3630">
        <v>0.99564269999999999</v>
      </c>
      <c r="Y3630">
        <v>0.17036850000000001</v>
      </c>
      <c r="Z3630">
        <v>3.3096970000000003E-2</v>
      </c>
      <c r="AA3630">
        <v>0.98482440000000004</v>
      </c>
      <c r="AB3630">
        <v>25</v>
      </c>
      <c r="AC3630">
        <v>0.66380000000000905</v>
      </c>
      <c r="AD3630">
        <v>-1.1092183912819999</v>
      </c>
      <c r="AE3630">
        <v>-22.7182</v>
      </c>
      <c r="AF3630">
        <v>3.90567474384933</v>
      </c>
      <c r="AG3630">
        <v>-1.1092183912819999</v>
      </c>
      <c r="AH3630">
        <v>22.334972115981799</v>
      </c>
      <c r="AI3630">
        <v>92.800706307333201</v>
      </c>
      <c r="AJ3630">
        <v>80.081085896079003</v>
      </c>
      <c r="AK3630">
        <v>22.7010052655381</v>
      </c>
      <c r="AL3630">
        <v>94.335636762142499</v>
      </c>
      <c r="AM3630">
        <v>86.861500106273894</v>
      </c>
      <c r="AN3630">
        <v>0.99999999563408004</v>
      </c>
    </row>
    <row r="3631" spans="1:40" x14ac:dyDescent="0.25">
      <c r="A3631" t="str">
        <f>"20190305135306472"</f>
        <v>20190305135306472</v>
      </c>
      <c r="B3631" t="str">
        <f>"1551765186463225"</f>
        <v>1551765186463225</v>
      </c>
      <c r="C3631" t="s">
        <v>40</v>
      </c>
      <c r="D3631">
        <v>4.6987180000000004</v>
      </c>
      <c r="E3631">
        <v>0.51749230000000002</v>
      </c>
      <c r="F3631" t="s">
        <v>41</v>
      </c>
      <c r="G3631">
        <v>-195.20939999999999</v>
      </c>
      <c r="H3631">
        <v>1.050368</v>
      </c>
      <c r="I3631">
        <v>196.44120000000001</v>
      </c>
      <c r="J3631">
        <v>-195.23849999999999</v>
      </c>
      <c r="K3631">
        <v>1.109199</v>
      </c>
      <c r="L3631">
        <v>197.10929999999999</v>
      </c>
      <c r="M3631">
        <v>0.2009263</v>
      </c>
      <c r="N3631">
        <v>-1.335826E-2</v>
      </c>
      <c r="O3631">
        <v>-0.97951560000000004</v>
      </c>
      <c r="P3631">
        <v>0.14884140000000001</v>
      </c>
      <c r="Q3631">
        <v>-9.0348999999999999E-2</v>
      </c>
      <c r="R3631">
        <v>-0.98472539999999997</v>
      </c>
      <c r="S3631">
        <v>0.25666810000000001</v>
      </c>
      <c r="T3631">
        <v>-0.1947682</v>
      </c>
      <c r="U3631">
        <v>-2.9892729999999998</v>
      </c>
      <c r="V3631">
        <v>5.20776999999999E-2</v>
      </c>
      <c r="W3631">
        <v>-7.7049820000000005E-2</v>
      </c>
      <c r="X3631">
        <v>0.99566619999999995</v>
      </c>
      <c r="Y3631">
        <v>0.1164485</v>
      </c>
      <c r="Z3631">
        <v>4.9479660000000002E-2</v>
      </c>
      <c r="AA3631">
        <v>0.99196340000000005</v>
      </c>
      <c r="AB3631">
        <v>25</v>
      </c>
      <c r="AC3631">
        <v>2.9099999999999598E-2</v>
      </c>
      <c r="AD3631">
        <v>-5.8831000000000001E-2</v>
      </c>
      <c r="AE3631">
        <v>-0.66809999999998104</v>
      </c>
      <c r="AF3631">
        <v>0.104932247840523</v>
      </c>
      <c r="AG3631">
        <v>-5.8831000000000001E-2</v>
      </c>
      <c r="AH3631">
        <v>0.65524881455064299</v>
      </c>
      <c r="AI3631">
        <v>95.066290722547294</v>
      </c>
      <c r="AJ3631">
        <v>80.901842156521099</v>
      </c>
      <c r="AK3631">
        <v>0.66620032435288401</v>
      </c>
      <c r="AL3631">
        <v>94.419009370717603</v>
      </c>
      <c r="AM3631">
        <v>87.005908335461896</v>
      </c>
      <c r="AN3631">
        <v>0.99999997171087995</v>
      </c>
    </row>
    <row r="3632" spans="1:40" x14ac:dyDescent="0.25">
      <c r="A3632" t="str">
        <f>"20190305135306493"</f>
        <v>20190305135306493</v>
      </c>
      <c r="B3632" t="str">
        <f>"1551765186483722"</f>
        <v>1551765186483722</v>
      </c>
      <c r="C3632" t="s">
        <v>40</v>
      </c>
      <c r="D3632">
        <v>4.7613659999999998</v>
      </c>
      <c r="E3632">
        <v>0.5146387</v>
      </c>
      <c r="F3632" t="s">
        <v>41</v>
      </c>
      <c r="G3632">
        <v>-195.1463</v>
      </c>
      <c r="H3632">
        <v>1.0488919999999999</v>
      </c>
      <c r="I3632">
        <v>196.23140000000001</v>
      </c>
      <c r="J3632">
        <v>-195.1909</v>
      </c>
      <c r="K3632">
        <v>1.1091660000000001</v>
      </c>
      <c r="L3632">
        <v>196.87710000000001</v>
      </c>
      <c r="M3632">
        <v>0.20090520000000001</v>
      </c>
      <c r="N3632">
        <v>-1.334835E-2</v>
      </c>
      <c r="O3632">
        <v>-0.97951999999999995</v>
      </c>
      <c r="P3632">
        <v>0.15098780000000001</v>
      </c>
      <c r="Q3632">
        <v>-9.1658890000000007E-2</v>
      </c>
      <c r="R3632">
        <v>-0.98427739999999997</v>
      </c>
      <c r="S3632">
        <v>0.31332399999999999</v>
      </c>
      <c r="T3632">
        <v>-0.2048228</v>
      </c>
      <c r="U3632">
        <v>-2.9803920000000002</v>
      </c>
      <c r="V3632">
        <v>4.9861089999999997E-2</v>
      </c>
      <c r="W3632">
        <v>-7.8371579999999996E-2</v>
      </c>
      <c r="X3632">
        <v>0.99567649999999996</v>
      </c>
      <c r="Y3632">
        <v>9.7496970000000002E-2</v>
      </c>
      <c r="Z3632">
        <v>5.2947130000000002E-2</v>
      </c>
      <c r="AA3632">
        <v>0.9938264</v>
      </c>
      <c r="AB3632">
        <v>25</v>
      </c>
      <c r="AC3632">
        <v>4.4600000000002603E-2</v>
      </c>
      <c r="AD3632">
        <v>-6.0274000000000098E-2</v>
      </c>
      <c r="AE3632">
        <v>-0.64570000000000405</v>
      </c>
      <c r="AF3632">
        <v>8.5305747788596994E-2</v>
      </c>
      <c r="AG3632">
        <v>-6.0274000000000098E-2</v>
      </c>
      <c r="AH3632">
        <v>0.63597807010484797</v>
      </c>
      <c r="AI3632">
        <v>95.366188679986493</v>
      </c>
      <c r="AJ3632">
        <v>82.360335171368902</v>
      </c>
      <c r="AK3632">
        <v>0.64449835634860897</v>
      </c>
      <c r="AL3632">
        <v>94.494970398149505</v>
      </c>
      <c r="AM3632">
        <v>87.133159697327002</v>
      </c>
      <c r="AN3632">
        <v>0.99999996274996605</v>
      </c>
    </row>
    <row r="3633" spans="1:40" x14ac:dyDescent="0.25">
      <c r="A3633" t="str">
        <f>"20190305135306516"</f>
        <v>20190305135306516</v>
      </c>
      <c r="B3633" t="str">
        <f>"1551765186513977"</f>
        <v>1551765186513977</v>
      </c>
      <c r="C3633" t="s">
        <v>40</v>
      </c>
      <c r="D3633">
        <v>4.6284400000000003</v>
      </c>
      <c r="E3633">
        <v>0.51327270000000003</v>
      </c>
      <c r="F3633" t="s">
        <v>41</v>
      </c>
      <c r="G3633">
        <v>-195.0925</v>
      </c>
      <c r="H3633">
        <v>1.0472330000000001</v>
      </c>
      <c r="I3633">
        <v>196.01929999999999</v>
      </c>
      <c r="J3633">
        <v>-195.13929999999999</v>
      </c>
      <c r="K3633">
        <v>1.1091230000000001</v>
      </c>
      <c r="L3633">
        <v>196.62520000000001</v>
      </c>
      <c r="M3633">
        <v>0.20085900000000001</v>
      </c>
      <c r="N3633">
        <v>-1.3338859999999999E-2</v>
      </c>
      <c r="O3633">
        <v>-0.9795296</v>
      </c>
      <c r="P3633">
        <v>0.152688299999999</v>
      </c>
      <c r="Q3633">
        <v>-9.3988810000000006E-2</v>
      </c>
      <c r="R3633">
        <v>-0.98379530000000004</v>
      </c>
      <c r="S3633">
        <v>0.34190369999999998</v>
      </c>
      <c r="T3633">
        <v>-0.21497069999999999</v>
      </c>
      <c r="U3633">
        <v>-2.9754330000000002</v>
      </c>
      <c r="V3633">
        <v>4.8047529999999998E-2</v>
      </c>
      <c r="W3633">
        <v>-8.0714960000000002E-2</v>
      </c>
      <c r="X3633">
        <v>0.99557850000000003</v>
      </c>
      <c r="Y3633">
        <v>8.7866920000000001E-2</v>
      </c>
      <c r="Z3633">
        <v>5.634463E-2</v>
      </c>
      <c r="AA3633">
        <v>0.99453740000000002</v>
      </c>
      <c r="AB3633">
        <v>25</v>
      </c>
      <c r="AC3633">
        <v>4.6799999999990398E-2</v>
      </c>
      <c r="AD3633">
        <v>-6.1889999999999702E-2</v>
      </c>
      <c r="AE3633">
        <v>-0.60590000000001898</v>
      </c>
      <c r="AF3633">
        <v>7.5086429037767299E-2</v>
      </c>
      <c r="AG3633">
        <v>-6.1889999999999702E-2</v>
      </c>
      <c r="AH3633">
        <v>0.596761167357579</v>
      </c>
      <c r="AI3633">
        <v>95.874973701791802</v>
      </c>
      <c r="AJ3633">
        <v>82.828545337627901</v>
      </c>
      <c r="AK3633">
        <v>0.60464223702254205</v>
      </c>
      <c r="AL3633">
        <v>94.629662785342404</v>
      </c>
      <c r="AM3633">
        <v>87.236997005913096</v>
      </c>
      <c r="AN3633">
        <v>1.00000000978457</v>
      </c>
    </row>
    <row r="3634" spans="1:40" x14ac:dyDescent="0.25">
      <c r="A3634" t="str">
        <f>"20190305135306539"</f>
        <v>20190305135306539</v>
      </c>
      <c r="B3634" t="str">
        <f>"1551765186533497"</f>
        <v>1551765186533497</v>
      </c>
      <c r="C3634" t="s">
        <v>40</v>
      </c>
      <c r="D3634">
        <v>4.7290660000000004</v>
      </c>
      <c r="E3634">
        <v>0.51302209999999904</v>
      </c>
      <c r="F3634" t="s">
        <v>41</v>
      </c>
      <c r="G3634">
        <v>-195.04079999999999</v>
      </c>
      <c r="H3634">
        <v>1.0459700000000001</v>
      </c>
      <c r="I3634">
        <v>195.8064</v>
      </c>
      <c r="J3634">
        <v>-195.08949999999999</v>
      </c>
      <c r="K3634">
        <v>1.1090869999999999</v>
      </c>
      <c r="L3634">
        <v>196.38200000000001</v>
      </c>
      <c r="M3634">
        <v>0.20079250000000001</v>
      </c>
      <c r="N3634">
        <v>-1.333078E-2</v>
      </c>
      <c r="O3634">
        <v>-0.97954330000000001</v>
      </c>
      <c r="P3634">
        <v>0.1533542</v>
      </c>
      <c r="Q3634">
        <v>-9.7081379999999995E-2</v>
      </c>
      <c r="R3634">
        <v>-0.98339149999999997</v>
      </c>
      <c r="S3634">
        <v>0.3571472</v>
      </c>
      <c r="T3634">
        <v>-0.2292082</v>
      </c>
      <c r="U3634">
        <v>-2.9720759999999999</v>
      </c>
      <c r="V3634">
        <v>4.7242449999999998E-2</v>
      </c>
      <c r="W3634">
        <v>-8.382117E-2</v>
      </c>
      <c r="X3634">
        <v>0.99536029999999998</v>
      </c>
      <c r="Y3634">
        <v>8.2673319999999995E-2</v>
      </c>
      <c r="Z3634">
        <v>6.102076E-2</v>
      </c>
      <c r="AA3634">
        <v>0.9947068</v>
      </c>
      <c r="AB3634">
        <v>25</v>
      </c>
      <c r="AC3634">
        <v>4.86999999999966E-2</v>
      </c>
      <c r="AD3634">
        <v>-6.3117000000000006E-2</v>
      </c>
      <c r="AE3634">
        <v>-0.57560000000000799</v>
      </c>
      <c r="AF3634">
        <v>6.7077609182431205E-2</v>
      </c>
      <c r="AG3634">
        <v>-6.3117000000000006E-2</v>
      </c>
      <c r="AH3634">
        <v>0.56688674048766297</v>
      </c>
      <c r="AI3634">
        <v>96.309471311477495</v>
      </c>
      <c r="AJ3634">
        <v>83.251780003099498</v>
      </c>
      <c r="AK3634">
        <v>0.57432023983432701</v>
      </c>
      <c r="AL3634">
        <v>94.808241050690697</v>
      </c>
      <c r="AM3634">
        <v>87.282629006910696</v>
      </c>
      <c r="AN3634">
        <v>0.99999998221913</v>
      </c>
    </row>
    <row r="3635" spans="1:40" x14ac:dyDescent="0.25">
      <c r="A3635" t="str">
        <f>"20190305135306561"</f>
        <v>20190305135306561</v>
      </c>
      <c r="B3635" t="str">
        <f>"1551765186553020"</f>
        <v>1551765186553020</v>
      </c>
      <c r="C3635" t="s">
        <v>40</v>
      </c>
      <c r="D3635">
        <v>4.7298559999999998</v>
      </c>
      <c r="E3635">
        <v>0.51279989999999998</v>
      </c>
      <c r="F3635" t="s">
        <v>41</v>
      </c>
      <c r="G3635">
        <v>-194.99350000000001</v>
      </c>
      <c r="H3635">
        <v>1.0460229999999999</v>
      </c>
      <c r="I3635">
        <v>195.59110000000001</v>
      </c>
      <c r="J3635">
        <v>-195.04040000000001</v>
      </c>
      <c r="K3635">
        <v>1.109048</v>
      </c>
      <c r="L3635">
        <v>196.1422</v>
      </c>
      <c r="M3635">
        <v>0.20071059999999999</v>
      </c>
      <c r="N3635">
        <v>-1.3323679999999999E-2</v>
      </c>
      <c r="O3635">
        <v>-0.97956019999999999</v>
      </c>
      <c r="P3635">
        <v>0.15353259999999999</v>
      </c>
      <c r="Q3635">
        <v>-9.9471950000000003E-2</v>
      </c>
      <c r="R3635">
        <v>-0.98312440000000001</v>
      </c>
      <c r="S3635">
        <v>0.36114499999999999</v>
      </c>
      <c r="T3635">
        <v>-0.2370921</v>
      </c>
      <c r="U3635">
        <v>-2.9709780000000001</v>
      </c>
      <c r="V3635">
        <v>4.692698E-2</v>
      </c>
      <c r="W3635">
        <v>-8.6223670000000002E-2</v>
      </c>
      <c r="X3635">
        <v>0.99517</v>
      </c>
      <c r="Y3635">
        <v>8.1246330000000005E-2</v>
      </c>
      <c r="Z3635">
        <v>6.3595890000000002E-2</v>
      </c>
      <c r="AA3635">
        <v>0.99466310000000002</v>
      </c>
      <c r="AB3635">
        <v>25</v>
      </c>
      <c r="AC3635">
        <v>4.6899999999993697E-2</v>
      </c>
      <c r="AD3635">
        <v>-6.3025000000000095E-2</v>
      </c>
      <c r="AE3635">
        <v>-0.55109999999999004</v>
      </c>
      <c r="AF3635">
        <v>6.3846933336081699E-2</v>
      </c>
      <c r="AG3635">
        <v>-6.3025000000000095E-2</v>
      </c>
      <c r="AH3635">
        <v>0.54225656565936498</v>
      </c>
      <c r="AI3635">
        <v>96.584504993247805</v>
      </c>
      <c r="AJ3635">
        <v>83.284739342144803</v>
      </c>
      <c r="AK3635">
        <v>0.54962784183673896</v>
      </c>
      <c r="AL3635">
        <v>94.946394378260194</v>
      </c>
      <c r="AM3635">
        <v>87.300232418914106</v>
      </c>
      <c r="AN3635">
        <v>0.99999999581009402</v>
      </c>
    </row>
    <row r="3636" spans="1:40" x14ac:dyDescent="0.25">
      <c r="A3636" t="str">
        <f>"20190305135306585"</f>
        <v>20190305135306585</v>
      </c>
      <c r="B3636" t="str">
        <f>"1551765186573517"</f>
        <v>1551765186573517</v>
      </c>
      <c r="C3636" t="s">
        <v>40</v>
      </c>
      <c r="D3636">
        <v>4.7389299999999999</v>
      </c>
      <c r="E3636">
        <v>0.51254949999999999</v>
      </c>
      <c r="F3636" t="s">
        <v>41</v>
      </c>
      <c r="G3636">
        <v>-194.94669999999999</v>
      </c>
      <c r="H3636">
        <v>1.0462629999999999</v>
      </c>
      <c r="I3636">
        <v>195.37569999999999</v>
      </c>
      <c r="J3636">
        <v>-194.9897</v>
      </c>
      <c r="K3636">
        <v>1.109011</v>
      </c>
      <c r="L3636">
        <v>195.89449999999999</v>
      </c>
      <c r="M3636">
        <v>0.20061560000000001</v>
      </c>
      <c r="N3636">
        <v>-1.331717E-2</v>
      </c>
      <c r="O3636">
        <v>-0.97957959999999999</v>
      </c>
      <c r="P3636">
        <v>0.15394349999999901</v>
      </c>
      <c r="Q3636">
        <v>-0.10079399999999999</v>
      </c>
      <c r="R3636">
        <v>-0.98292520000000005</v>
      </c>
      <c r="S3636">
        <v>0.36343379999999997</v>
      </c>
      <c r="T3636">
        <v>-0.24338399999999999</v>
      </c>
      <c r="U3636">
        <v>-2.9700929999999999</v>
      </c>
      <c r="V3636">
        <v>4.6384450000000001E-2</v>
      </c>
      <c r="W3636">
        <v>-8.7555389999999997E-2</v>
      </c>
      <c r="X3636">
        <v>0.99507920000000005</v>
      </c>
      <c r="Y3636">
        <v>8.0374849999999998E-2</v>
      </c>
      <c r="Z3636">
        <v>6.5653059999999999E-2</v>
      </c>
      <c r="AA3636">
        <v>0.99460020000000005</v>
      </c>
      <c r="AB3636">
        <v>25</v>
      </c>
      <c r="AC3636">
        <v>4.3000000000006297E-2</v>
      </c>
      <c r="AD3636">
        <v>-6.2747999999999998E-2</v>
      </c>
      <c r="AE3636">
        <v>-0.51879999999999804</v>
      </c>
      <c r="AF3636">
        <v>6.1075591699072097E-2</v>
      </c>
      <c r="AG3636">
        <v>-6.2747999999999998E-2</v>
      </c>
      <c r="AH3636">
        <v>0.50947613880676001</v>
      </c>
      <c r="AI3636">
        <v>96.971871157302999</v>
      </c>
      <c r="AJ3636">
        <v>83.164049789312699</v>
      </c>
      <c r="AK3636">
        <v>0.51694629838972295</v>
      </c>
      <c r="AL3636">
        <v>95.022985776007502</v>
      </c>
      <c r="AM3636">
        <v>87.331156306795805</v>
      </c>
      <c r="AN3636">
        <v>1.00000003889624</v>
      </c>
    </row>
    <row r="3637" spans="1:40" x14ac:dyDescent="0.25">
      <c r="A3637" t="str">
        <f>"20190305135306607"</f>
        <v>20190305135306607</v>
      </c>
      <c r="B3637" t="str">
        <f>"1551765186603769"</f>
        <v>1551765186603769</v>
      </c>
      <c r="C3637" t="s">
        <v>40</v>
      </c>
      <c r="D3637">
        <v>4.7051769999999999</v>
      </c>
      <c r="E3637">
        <v>0.51242209999999999</v>
      </c>
      <c r="F3637" t="s">
        <v>41</v>
      </c>
      <c r="G3637">
        <v>-194.899</v>
      </c>
      <c r="H3637">
        <v>1.047898</v>
      </c>
      <c r="I3637">
        <v>195.15940000000001</v>
      </c>
      <c r="J3637">
        <v>-194.9417</v>
      </c>
      <c r="K3637">
        <v>1.1089899999999999</v>
      </c>
      <c r="L3637">
        <v>195.65940000000001</v>
      </c>
      <c r="M3637">
        <v>0.2005208</v>
      </c>
      <c r="N3637">
        <v>-1.3311750000000001E-2</v>
      </c>
      <c r="O3637">
        <v>-0.97959909999999994</v>
      </c>
      <c r="P3637">
        <v>0.154279</v>
      </c>
      <c r="Q3637">
        <v>-0.10138</v>
      </c>
      <c r="R3637">
        <v>-0.98281220000000002</v>
      </c>
      <c r="S3637">
        <v>0.36679079999999997</v>
      </c>
      <c r="T3637">
        <v>-0.24698929999999999</v>
      </c>
      <c r="U3637">
        <v>-2.9693149999999999</v>
      </c>
      <c r="V3637">
        <v>4.5934089999999997E-2</v>
      </c>
      <c r="W3637">
        <v>-8.8148649999999995E-2</v>
      </c>
      <c r="X3637">
        <v>0.99504769999999998</v>
      </c>
      <c r="Y3637">
        <v>7.9149189999999994E-2</v>
      </c>
      <c r="Z3637">
        <v>6.684184E-2</v>
      </c>
      <c r="AA3637">
        <v>0.99461929999999998</v>
      </c>
      <c r="AB3637">
        <v>25</v>
      </c>
      <c r="AC3637">
        <v>4.2699999999996401E-2</v>
      </c>
      <c r="AD3637">
        <v>-6.1091999999999903E-2</v>
      </c>
      <c r="AE3637">
        <v>-0.5</v>
      </c>
      <c r="AF3637">
        <v>5.7583258449379698E-2</v>
      </c>
      <c r="AG3637">
        <v>-6.1091999999999903E-2</v>
      </c>
      <c r="AH3637">
        <v>0.49112698796779403</v>
      </c>
      <c r="AI3637">
        <v>97.042928510140598</v>
      </c>
      <c r="AJ3637">
        <v>83.312762354981601</v>
      </c>
      <c r="AK3637">
        <v>0.49825072245604002</v>
      </c>
      <c r="AL3637">
        <v>95.057109075017294</v>
      </c>
      <c r="AM3637">
        <v>87.356948408000406</v>
      </c>
      <c r="AN3637">
        <v>1.00000002519812</v>
      </c>
    </row>
    <row r="3638" spans="1:40" x14ac:dyDescent="0.25">
      <c r="A3638" t="str">
        <f>"20190305135306630"</f>
        <v>20190305135306630</v>
      </c>
      <c r="B3638" t="str">
        <f>"1551765186623290"</f>
        <v>1551765186623290</v>
      </c>
      <c r="C3638" t="s">
        <v>40</v>
      </c>
      <c r="D3638">
        <v>4.7212149999999999</v>
      </c>
      <c r="E3638">
        <v>0.51235730000000002</v>
      </c>
      <c r="F3638" t="s">
        <v>41</v>
      </c>
      <c r="G3638">
        <v>-194.82689999999999</v>
      </c>
      <c r="H3638">
        <v>1.0320560000000001</v>
      </c>
      <c r="I3638">
        <v>194.7353</v>
      </c>
      <c r="J3638">
        <v>-194.89169999999999</v>
      </c>
      <c r="K3638">
        <v>1.1089789999999999</v>
      </c>
      <c r="L3638">
        <v>195.41470000000001</v>
      </c>
      <c r="M3638">
        <v>0.20041529999999999</v>
      </c>
      <c r="N3638">
        <v>-1.3306790000000001E-2</v>
      </c>
      <c r="O3638">
        <v>-0.97962059999999995</v>
      </c>
      <c r="P3638">
        <v>0.15440599999999999</v>
      </c>
      <c r="Q3638">
        <v>-0.10183680000000001</v>
      </c>
      <c r="R3638">
        <v>-0.98274510000000004</v>
      </c>
      <c r="S3638">
        <v>0.3690948</v>
      </c>
      <c r="T3638">
        <v>-0.24731120000000001</v>
      </c>
      <c r="U3638">
        <v>-2.9689939999999999</v>
      </c>
      <c r="V3638">
        <v>4.5686690000000002E-2</v>
      </c>
      <c r="W3638">
        <v>-8.8612049999999998E-2</v>
      </c>
      <c r="X3638">
        <v>0.99501790000000001</v>
      </c>
      <c r="Y3638">
        <v>7.8270149999999997E-2</v>
      </c>
      <c r="Z3638">
        <v>6.6961649999999998E-2</v>
      </c>
      <c r="AA3638">
        <v>0.99468080000000003</v>
      </c>
      <c r="AB3638">
        <v>25</v>
      </c>
      <c r="AC3638">
        <v>6.4799999999991004E-2</v>
      </c>
      <c r="AD3638">
        <v>-7.6923000000000297E-2</v>
      </c>
      <c r="AE3638">
        <v>-0.67940000000001499</v>
      </c>
      <c r="AF3638">
        <v>7.1777345963893693E-2</v>
      </c>
      <c r="AG3638">
        <v>-7.6923000000000297E-2</v>
      </c>
      <c r="AH3638">
        <v>0.67008869925510195</v>
      </c>
      <c r="AI3638">
        <v>96.511690001868999</v>
      </c>
      <c r="AJ3638">
        <v>83.886007220102002</v>
      </c>
      <c r="AK3638">
        <v>0.67829786981238205</v>
      </c>
      <c r="AL3638">
        <v>95.083764398805201</v>
      </c>
      <c r="AM3638">
        <v>87.371085180776902</v>
      </c>
      <c r="AN3638">
        <v>0.99999999518438398</v>
      </c>
    </row>
    <row r="3639" spans="1:40" x14ac:dyDescent="0.25">
      <c r="A3639" t="str">
        <f>"20190305135306652"</f>
        <v>20190305135306652</v>
      </c>
      <c r="B3639" t="str">
        <f>"1551765186643785"</f>
        <v>1551765186643785</v>
      </c>
      <c r="C3639" t="s">
        <v>40</v>
      </c>
      <c r="D3639">
        <v>4.6854339999999999</v>
      </c>
      <c r="E3639">
        <v>0.51227829999999996</v>
      </c>
      <c r="F3639" t="s">
        <v>41</v>
      </c>
      <c r="G3639">
        <v>-194.7801</v>
      </c>
      <c r="H3639">
        <v>1.0347390000000001</v>
      </c>
      <c r="I3639">
        <v>194.5198</v>
      </c>
      <c r="J3639">
        <v>-194.84119999999999</v>
      </c>
      <c r="K3639">
        <v>1.1089659999999999</v>
      </c>
      <c r="L3639">
        <v>195.16759999999999</v>
      </c>
      <c r="M3639">
        <v>0.20030020000000001</v>
      </c>
      <c r="N3639">
        <v>-1.330223E-2</v>
      </c>
      <c r="O3639">
        <v>-0.97964470000000003</v>
      </c>
      <c r="P3639">
        <v>0.15349299999999999</v>
      </c>
      <c r="Q3639">
        <v>-0.1022169</v>
      </c>
      <c r="R3639">
        <v>-0.98284919999999998</v>
      </c>
      <c r="S3639">
        <v>0.37004090000000001</v>
      </c>
      <c r="T3639">
        <v>-0.24625920000000001</v>
      </c>
      <c r="U3639">
        <v>-2.9690089999999998</v>
      </c>
      <c r="V3639">
        <v>4.6482500000000003E-2</v>
      </c>
      <c r="W3639">
        <v>-8.8999090000000003E-2</v>
      </c>
      <c r="X3639">
        <v>0.99494649999999996</v>
      </c>
      <c r="Y3639">
        <v>7.7839110000000003E-2</v>
      </c>
      <c r="Z3639">
        <v>6.6630179999999997E-2</v>
      </c>
      <c r="AA3639">
        <v>0.99473690000000003</v>
      </c>
      <c r="AB3639">
        <v>25</v>
      </c>
      <c r="AC3639">
        <v>6.1099999999981898E-2</v>
      </c>
      <c r="AD3639">
        <v>-7.4227000000000001E-2</v>
      </c>
      <c r="AE3639">
        <v>-0.64779999999998905</v>
      </c>
      <c r="AF3639">
        <v>6.9006316924417804E-2</v>
      </c>
      <c r="AG3639">
        <v>-7.4227000000000001E-2</v>
      </c>
      <c r="AH3639">
        <v>0.63859870868134905</v>
      </c>
      <c r="AI3639">
        <v>96.591943318543301</v>
      </c>
      <c r="AJ3639">
        <v>83.8326079590136</v>
      </c>
      <c r="AK3639">
        <v>0.64659092943990404</v>
      </c>
      <c r="AL3639">
        <v>95.106028100673001</v>
      </c>
      <c r="AM3639">
        <v>87.325166753237696</v>
      </c>
      <c r="AN3639">
        <v>0.99999999934466299</v>
      </c>
    </row>
    <row r="3640" spans="1:40" x14ac:dyDescent="0.25">
      <c r="A3640" t="str">
        <f>"20190305135306674"</f>
        <v>20190305135306674</v>
      </c>
      <c r="B3640" t="str">
        <f>"1551765186663305"</f>
        <v>1551765186663305</v>
      </c>
      <c r="C3640" t="s">
        <v>40</v>
      </c>
      <c r="D3640">
        <v>4.6934699999999996</v>
      </c>
      <c r="E3640">
        <v>0.51215080000000002</v>
      </c>
      <c r="F3640" t="s">
        <v>41</v>
      </c>
      <c r="G3640">
        <v>-194.73429999999999</v>
      </c>
      <c r="H3640">
        <v>1.0375810000000001</v>
      </c>
      <c r="I3640">
        <v>194.304</v>
      </c>
      <c r="J3640">
        <v>-194.7945</v>
      </c>
      <c r="K3640">
        <v>1.1089560000000001</v>
      </c>
      <c r="L3640">
        <v>194.93819999999999</v>
      </c>
      <c r="M3640">
        <v>0.2001703</v>
      </c>
      <c r="N3640">
        <v>-1.329844E-2</v>
      </c>
      <c r="O3640">
        <v>-0.97967110000000002</v>
      </c>
      <c r="P3640">
        <v>0.1524961</v>
      </c>
      <c r="Q3640">
        <v>-0.1022294</v>
      </c>
      <c r="R3640">
        <v>-0.98300279999999995</v>
      </c>
      <c r="S3640">
        <v>0.36808780000000002</v>
      </c>
      <c r="T3640">
        <v>-0.2455243</v>
      </c>
      <c r="U3640">
        <v>-2.9693149999999999</v>
      </c>
      <c r="V3640">
        <v>4.7354550000000002E-2</v>
      </c>
      <c r="W3640">
        <v>-8.9018130000000001E-2</v>
      </c>
      <c r="X3640">
        <v>0.99490369999999995</v>
      </c>
      <c r="Y3640">
        <v>7.836158E-2</v>
      </c>
      <c r="Z3640">
        <v>6.6392950000000006E-2</v>
      </c>
      <c r="AA3640">
        <v>0.99471180000000003</v>
      </c>
      <c r="AB3640">
        <v>25</v>
      </c>
      <c r="AC3640">
        <v>6.0200000000008899E-2</v>
      </c>
      <c r="AD3640">
        <v>-7.1375000000000105E-2</v>
      </c>
      <c r="AE3640">
        <v>-0.63419999999999199</v>
      </c>
      <c r="AF3640">
        <v>6.7135059638988803E-2</v>
      </c>
      <c r="AG3640">
        <v>-7.1375000000000105E-2</v>
      </c>
      <c r="AH3640">
        <v>0.62556092374642602</v>
      </c>
      <c r="AI3640">
        <v>96.472314543890903</v>
      </c>
      <c r="AJ3640">
        <v>83.874474833033005</v>
      </c>
      <c r="AK3640">
        <v>0.63318873661508901</v>
      </c>
      <c r="AL3640">
        <v>95.107123220122006</v>
      </c>
      <c r="AM3640">
        <v>87.274942570796796</v>
      </c>
      <c r="AN3640">
        <v>1.0000000265740401</v>
      </c>
    </row>
    <row r="3641" spans="1:40" x14ac:dyDescent="0.25">
      <c r="A3641" t="str">
        <f>"20190305135306695"</f>
        <v>20190305135306695</v>
      </c>
      <c r="B3641" t="str">
        <f>"1551765186683801"</f>
        <v>1551765186683801</v>
      </c>
      <c r="C3641" t="s">
        <v>40</v>
      </c>
      <c r="D3641">
        <v>4.6963670000000004</v>
      </c>
      <c r="E3641">
        <v>0.51210109999999998</v>
      </c>
      <c r="F3641" t="s">
        <v>41</v>
      </c>
      <c r="G3641">
        <v>-194.68979999999999</v>
      </c>
      <c r="H3641">
        <v>1.039209</v>
      </c>
      <c r="I3641">
        <v>194.08879999999999</v>
      </c>
      <c r="J3641">
        <v>-194.7482</v>
      </c>
      <c r="K3641">
        <v>1.1089199999999999</v>
      </c>
      <c r="L3641">
        <v>194.7105</v>
      </c>
      <c r="M3641">
        <v>0.19999720000000001</v>
      </c>
      <c r="N3641">
        <v>-1.3295E-2</v>
      </c>
      <c r="O3641">
        <v>-0.97970650000000004</v>
      </c>
      <c r="P3641">
        <v>0.15180489999999999</v>
      </c>
      <c r="Q3641">
        <v>-0.1027829</v>
      </c>
      <c r="R3641">
        <v>-0.98305209999999998</v>
      </c>
      <c r="S3641">
        <v>0.36602780000000001</v>
      </c>
      <c r="T3641">
        <v>-0.24391499999999999</v>
      </c>
      <c r="U3641">
        <v>-2.9697110000000002</v>
      </c>
      <c r="V3641">
        <v>4.7859270000000002E-2</v>
      </c>
      <c r="W3641">
        <v>-8.9579740000000005E-2</v>
      </c>
      <c r="X3641">
        <v>0.99482910000000002</v>
      </c>
      <c r="Y3641">
        <v>7.8876940000000006E-2</v>
      </c>
      <c r="Z3641">
        <v>6.5872630000000001E-2</v>
      </c>
      <c r="AA3641">
        <v>0.99470559999999997</v>
      </c>
      <c r="AB3641">
        <v>25</v>
      </c>
      <c r="AC3641">
        <v>5.8400000000005899E-2</v>
      </c>
      <c r="AD3641">
        <v>-6.9710999999999995E-2</v>
      </c>
      <c r="AE3641">
        <v>-0.62170000000000403</v>
      </c>
      <c r="AF3641">
        <v>6.6302977609147704E-2</v>
      </c>
      <c r="AG3641">
        <v>-6.9710999999999995E-2</v>
      </c>
      <c r="AH3641">
        <v>0.61317602920393699</v>
      </c>
      <c r="AI3641">
        <v>96.448745968880502</v>
      </c>
      <c r="AJ3641">
        <v>83.828561664992506</v>
      </c>
      <c r="AK3641">
        <v>0.62067749367215397</v>
      </c>
      <c r="AL3641">
        <v>95.139430367191494</v>
      </c>
      <c r="AM3641">
        <v>87.245736312922403</v>
      </c>
      <c r="AN3641">
        <v>0.99999998887510499</v>
      </c>
    </row>
    <row r="3642" spans="1:40" x14ac:dyDescent="0.25">
      <c r="A3642" t="str">
        <f>"20190305135306710"</f>
        <v>20190305135306710</v>
      </c>
      <c r="B3642" t="str">
        <f>"1551765186703322"</f>
        <v>1551765186703322</v>
      </c>
      <c r="C3642" t="s">
        <v>40</v>
      </c>
      <c r="D3642">
        <v>4.7705209999999996</v>
      </c>
      <c r="E3642">
        <v>0.51216479999999998</v>
      </c>
      <c r="F3642" t="s">
        <v>41</v>
      </c>
      <c r="G3642">
        <v>-194.6456</v>
      </c>
      <c r="H3642">
        <v>1.040117</v>
      </c>
      <c r="I3642">
        <v>193.8741</v>
      </c>
      <c r="J3642">
        <v>-194.71639999999999</v>
      </c>
      <c r="K3642">
        <v>1.108884</v>
      </c>
      <c r="L3642">
        <v>194.55410000000001</v>
      </c>
      <c r="M3642">
        <v>0.19984469999999999</v>
      </c>
      <c r="N3642">
        <v>-1.329284E-2</v>
      </c>
      <c r="O3642">
        <v>-0.97973750000000004</v>
      </c>
      <c r="P3642">
        <v>0.1518176</v>
      </c>
      <c r="Q3642">
        <v>-0.1028027</v>
      </c>
      <c r="R3642">
        <v>-0.98304769999999997</v>
      </c>
      <c r="S3642">
        <v>0.3646393</v>
      </c>
      <c r="T3642">
        <v>-0.2443776</v>
      </c>
      <c r="U3642">
        <v>-2.9698639999999998</v>
      </c>
      <c r="V3642">
        <v>4.7684740000000003E-2</v>
      </c>
      <c r="W3642">
        <v>-8.960506E-2</v>
      </c>
      <c r="X3642">
        <v>0.99483520000000003</v>
      </c>
      <c r="Y3642">
        <v>7.9187030000000005E-2</v>
      </c>
      <c r="Z3642">
        <v>6.602392E-2</v>
      </c>
      <c r="AA3642">
        <v>0.99467090000000002</v>
      </c>
      <c r="AB3642">
        <v>24</v>
      </c>
      <c r="AC3642">
        <v>7.07999999999913E-2</v>
      </c>
      <c r="AD3642">
        <v>-6.8766999999999995E-2</v>
      </c>
      <c r="AE3642">
        <v>-0.68000000000000604</v>
      </c>
      <c r="AF3642">
        <v>6.5868450538149298E-2</v>
      </c>
      <c r="AG3642">
        <v>-6.8766999999999995E-2</v>
      </c>
      <c r="AH3642">
        <v>0.67361547203606598</v>
      </c>
      <c r="AI3642">
        <v>95.801449140253098</v>
      </c>
      <c r="AJ3642">
        <v>84.415175325479794</v>
      </c>
      <c r="AK3642">
        <v>0.68031269077657797</v>
      </c>
      <c r="AL3642">
        <v>95.140886957556305</v>
      </c>
      <c r="AM3642">
        <v>87.255781797566598</v>
      </c>
      <c r="AN3642">
        <v>0.99999998818275504</v>
      </c>
    </row>
    <row r="3643" spans="1:40" x14ac:dyDescent="0.25">
      <c r="A3643" t="str">
        <f>"20190305135306740"</f>
        <v>20190305135306740</v>
      </c>
      <c r="B3643" t="str">
        <f>"1551765186733577"</f>
        <v>1551765186733577</v>
      </c>
      <c r="C3643" t="s">
        <v>40</v>
      </c>
      <c r="D3643">
        <v>4.7119770000000001</v>
      </c>
      <c r="E3643">
        <v>0.51208809999999905</v>
      </c>
      <c r="F3643" t="s">
        <v>41</v>
      </c>
      <c r="G3643">
        <v>-194.607</v>
      </c>
      <c r="H3643">
        <v>1.035774</v>
      </c>
      <c r="I3643">
        <v>193.6611</v>
      </c>
      <c r="J3643">
        <v>-194.64920000000001</v>
      </c>
      <c r="K3643">
        <v>1.108776</v>
      </c>
      <c r="L3643">
        <v>194.22219999999999</v>
      </c>
      <c r="M3643">
        <v>0.19938910000000001</v>
      </c>
      <c r="N3643">
        <v>-1.3288980000000001E-2</v>
      </c>
      <c r="O3643">
        <v>-0.97983039999999999</v>
      </c>
      <c r="P3643">
        <v>0.15045610000000001</v>
      </c>
      <c r="Q3643">
        <v>-0.10385759999999999</v>
      </c>
      <c r="R3643">
        <v>-0.98314639999999998</v>
      </c>
      <c r="S3643">
        <v>0.36422729999999998</v>
      </c>
      <c r="T3643">
        <v>-0.2431915</v>
      </c>
      <c r="U3643">
        <v>-2.970062</v>
      </c>
      <c r="V3643">
        <v>4.8556149999999999E-2</v>
      </c>
      <c r="W3643">
        <v>-9.0676839999999995E-2</v>
      </c>
      <c r="X3643">
        <v>0.99469600000000002</v>
      </c>
      <c r="Y3643">
        <v>7.8864890000000007E-2</v>
      </c>
      <c r="Z3643">
        <v>6.5653000000000003E-2</v>
      </c>
      <c r="AA3643">
        <v>0.99472110000000002</v>
      </c>
      <c r="AB3643">
        <v>24</v>
      </c>
      <c r="AC3643">
        <v>4.2200000000008203E-2</v>
      </c>
      <c r="AD3643">
        <v>-7.3001999999999997E-2</v>
      </c>
      <c r="AE3643">
        <v>-0.56109999999998195</v>
      </c>
      <c r="AF3643">
        <v>6.9367006478610604E-2</v>
      </c>
      <c r="AG3643">
        <v>-7.3001999999999997E-2</v>
      </c>
      <c r="AH3643">
        <v>0.54900535473519196</v>
      </c>
      <c r="AI3643">
        <v>97.515206912129898</v>
      </c>
      <c r="AJ3643">
        <v>82.798818554248797</v>
      </c>
      <c r="AK3643">
        <v>0.55816480820606895</v>
      </c>
      <c r="AL3643">
        <v>95.202546068157005</v>
      </c>
      <c r="AM3643">
        <v>87.205321207218205</v>
      </c>
      <c r="AN3643">
        <v>1.0000000607156001</v>
      </c>
    </row>
    <row r="3644" spans="1:40" x14ac:dyDescent="0.25">
      <c r="A3644" t="str">
        <f>"20190305135306754"</f>
        <v>20190305135306754</v>
      </c>
      <c r="B3644" t="str">
        <f>"1551765186743337"</f>
        <v>1551765186743337</v>
      </c>
      <c r="C3644" t="s">
        <v>40</v>
      </c>
      <c r="D3644">
        <v>4.7245900000000001</v>
      </c>
      <c r="E3644">
        <v>0.51209609999999905</v>
      </c>
      <c r="F3644" t="s">
        <v>41</v>
      </c>
      <c r="G3644">
        <v>-194.5548</v>
      </c>
      <c r="H3644">
        <v>1.0445879999999901</v>
      </c>
      <c r="I3644">
        <v>193.4443</v>
      </c>
      <c r="J3644">
        <v>-194.6206</v>
      </c>
      <c r="K3644">
        <v>1.108716</v>
      </c>
      <c r="L3644">
        <v>194.08029999999999</v>
      </c>
      <c r="M3644">
        <v>0.19912250000000001</v>
      </c>
      <c r="N3644">
        <v>-1.328765E-2</v>
      </c>
      <c r="O3644">
        <v>-0.97988470000000005</v>
      </c>
      <c r="P3644">
        <v>0.1498293</v>
      </c>
      <c r="Q3644">
        <v>-0.10497869999999999</v>
      </c>
      <c r="R3644">
        <v>-0.98312310000000003</v>
      </c>
      <c r="S3644">
        <v>0.36083979999999999</v>
      </c>
      <c r="T3644">
        <v>-0.24512990000000001</v>
      </c>
      <c r="U3644">
        <v>-2.9703059999999999</v>
      </c>
      <c r="V3644">
        <v>4.8883389999999999E-2</v>
      </c>
      <c r="W3644">
        <v>-9.1807250000000007E-2</v>
      </c>
      <c r="X3644">
        <v>0.99457620000000002</v>
      </c>
      <c r="Y3644">
        <v>7.9725379999999998E-2</v>
      </c>
      <c r="Z3644">
        <v>6.6279459999999998E-2</v>
      </c>
      <c r="AA3644">
        <v>0.99461089999999996</v>
      </c>
      <c r="AB3644">
        <v>24</v>
      </c>
      <c r="AC3644">
        <v>6.5799999999995806E-2</v>
      </c>
      <c r="AD3644">
        <v>-6.4128000000000102E-2</v>
      </c>
      <c r="AE3644">
        <v>-0.63599999999999501</v>
      </c>
      <c r="AF3644">
        <v>6.1551821117957303E-2</v>
      </c>
      <c r="AG3644">
        <v>-6.4128000000000102E-2</v>
      </c>
      <c r="AH3644">
        <v>0.63002751478779495</v>
      </c>
      <c r="AI3644">
        <v>95.784541710946499</v>
      </c>
      <c r="AJ3644">
        <v>84.420080083118293</v>
      </c>
      <c r="AK3644">
        <v>0.63626700091755695</v>
      </c>
      <c r="AL3644">
        <v>95.267585472078693</v>
      </c>
      <c r="AM3644">
        <v>87.186178521811897</v>
      </c>
      <c r="AN3644">
        <v>0.99999998728844697</v>
      </c>
    </row>
    <row r="3645" spans="1:40" x14ac:dyDescent="0.25">
      <c r="A3645" t="str">
        <f>"20190305135306767"</f>
        <v>20190305135306767</v>
      </c>
      <c r="B3645" t="str">
        <f>"1551765186763833"</f>
        <v>1551765186763833</v>
      </c>
      <c r="C3645" t="s">
        <v>40</v>
      </c>
      <c r="D3645">
        <v>5.1970769999999904</v>
      </c>
      <c r="E3645">
        <v>0.51222129999999999</v>
      </c>
      <c r="F3645" t="s">
        <v>41</v>
      </c>
      <c r="G3645">
        <v>-194.51820000000001</v>
      </c>
      <c r="H3645">
        <v>1.037933</v>
      </c>
      <c r="I3645">
        <v>193.23240000000001</v>
      </c>
      <c r="J3645">
        <v>-194.5916</v>
      </c>
      <c r="K3645">
        <v>1.1086499999999999</v>
      </c>
      <c r="L3645">
        <v>193.93620000000001</v>
      </c>
      <c r="M3645">
        <v>0.19881409999999999</v>
      </c>
      <c r="N3645">
        <v>-1.328642E-2</v>
      </c>
      <c r="O3645">
        <v>-0.97994729999999997</v>
      </c>
      <c r="P3645">
        <v>0.14885090000000001</v>
      </c>
      <c r="Q3645">
        <v>-0.1064538</v>
      </c>
      <c r="R3645">
        <v>-0.98311320000000002</v>
      </c>
      <c r="S3645">
        <v>0.35879519999999998</v>
      </c>
      <c r="T3645">
        <v>-0.24800929999999999</v>
      </c>
      <c r="U3645">
        <v>-2.9703219999999999</v>
      </c>
      <c r="V3645">
        <v>4.951353E-2</v>
      </c>
      <c r="W3645">
        <v>-9.3293180000000003E-2</v>
      </c>
      <c r="X3645">
        <v>0.99440680000000004</v>
      </c>
      <c r="Y3645">
        <v>8.0093830000000005E-2</v>
      </c>
      <c r="Z3645">
        <v>6.7215819999999996E-2</v>
      </c>
      <c r="AA3645">
        <v>0.99451849999999997</v>
      </c>
      <c r="AB3645">
        <v>24</v>
      </c>
      <c r="AC3645">
        <v>7.3399999999992305E-2</v>
      </c>
      <c r="AD3645">
        <v>-7.0716999999999905E-2</v>
      </c>
      <c r="AE3645">
        <v>-0.70380000000000098</v>
      </c>
      <c r="AF3645">
        <v>6.7330767518980802E-2</v>
      </c>
      <c r="AG3645">
        <v>-7.0716999999999905E-2</v>
      </c>
      <c r="AH3645">
        <v>0.69737697564561796</v>
      </c>
      <c r="AI3645">
        <v>95.763624687248694</v>
      </c>
      <c r="AJ3645">
        <v>84.485266012018997</v>
      </c>
      <c r="AK3645">
        <v>0.70417964505112196</v>
      </c>
      <c r="AL3645">
        <v>95.353089670271103</v>
      </c>
      <c r="AM3645">
        <v>87.149481169998495</v>
      </c>
      <c r="AN3645">
        <v>1.0000000454869</v>
      </c>
    </row>
    <row r="3646" spans="1:40" x14ac:dyDescent="0.25">
      <c r="A3646" t="str">
        <f>"20190305135306786"</f>
        <v>20190305135306786</v>
      </c>
      <c r="B3646" t="str">
        <f>"1551765186783353"</f>
        <v>1551765186783353</v>
      </c>
      <c r="C3646" t="s">
        <v>40</v>
      </c>
      <c r="D3646">
        <v>4.8986020000000003</v>
      </c>
      <c r="E3646">
        <v>0.54874019999999901</v>
      </c>
      <c r="F3646" t="s">
        <v>41</v>
      </c>
      <c r="G3646">
        <v>-194.48230000000001</v>
      </c>
      <c r="H3646">
        <v>1.0316430000000001</v>
      </c>
      <c r="I3646">
        <v>193.02029999999999</v>
      </c>
      <c r="J3646">
        <v>-194.55260000000001</v>
      </c>
      <c r="K3646">
        <v>1.108549</v>
      </c>
      <c r="L3646">
        <v>193.7414</v>
      </c>
      <c r="M3646">
        <v>0.19829949999999999</v>
      </c>
      <c r="N3646">
        <v>-1.3285119999999999E-2</v>
      </c>
      <c r="O3646">
        <v>-0.98005160000000002</v>
      </c>
      <c r="P3646">
        <v>0.14674770000000001</v>
      </c>
      <c r="Q3646">
        <v>-0.10941620000000001</v>
      </c>
      <c r="R3646">
        <v>-0.98310430000000004</v>
      </c>
      <c r="S3646">
        <v>0.35514829999999997</v>
      </c>
      <c r="T3646">
        <v>-0.2498455</v>
      </c>
      <c r="U3646">
        <v>-2.9707029999999999</v>
      </c>
      <c r="V3646">
        <v>5.1029239999999997E-2</v>
      </c>
      <c r="W3646">
        <v>-9.6273929999999994E-2</v>
      </c>
      <c r="X3646">
        <v>0.99404599999999999</v>
      </c>
      <c r="Y3646">
        <v>8.0793190000000001E-2</v>
      </c>
      <c r="Z3646">
        <v>6.7812300000000006E-2</v>
      </c>
      <c r="AA3646">
        <v>0.99442140000000001</v>
      </c>
      <c r="AB3646">
        <v>24</v>
      </c>
      <c r="AC3646">
        <v>7.0300000000003096E-2</v>
      </c>
      <c r="AD3646">
        <v>-7.6905999999999905E-2</v>
      </c>
      <c r="AE3646">
        <v>-0.72110000000000696</v>
      </c>
      <c r="AF3646">
        <v>7.3277032551119101E-2</v>
      </c>
      <c r="AG3646">
        <v>-7.6905999999999905E-2</v>
      </c>
      <c r="AH3646">
        <v>0.71268904313372705</v>
      </c>
      <c r="AI3646">
        <v>96.126881054413403</v>
      </c>
      <c r="AJ3646">
        <v>84.129609225852604</v>
      </c>
      <c r="AK3646">
        <v>0.72056209207698696</v>
      </c>
      <c r="AL3646">
        <v>95.524646454481498</v>
      </c>
      <c r="AM3646">
        <v>87.061307185731295</v>
      </c>
      <c r="AN3646">
        <v>1.0000000515243099</v>
      </c>
    </row>
    <row r="3647" spans="1:40" x14ac:dyDescent="0.25">
      <c r="A3647" t="str">
        <f>"20190305135306810"</f>
        <v>20190305135306810</v>
      </c>
      <c r="B3647" t="str">
        <f>"1551765186803849"</f>
        <v>1551765186803849</v>
      </c>
      <c r="C3647" t="s">
        <v>40</v>
      </c>
      <c r="D3647">
        <v>4.9471489999999996</v>
      </c>
      <c r="E3647">
        <v>0.60314939999999995</v>
      </c>
      <c r="F3647" t="s">
        <v>42</v>
      </c>
      <c r="G3647">
        <v>-194.24279999999999</v>
      </c>
      <c r="H3647" s="1">
        <v>-4.8012989999999999E-6</v>
      </c>
      <c r="I3647">
        <v>178.88409999999999</v>
      </c>
      <c r="J3647">
        <v>-194.5044</v>
      </c>
      <c r="K3647">
        <v>1.1084179999999999</v>
      </c>
      <c r="L3647">
        <v>193.49889999999999</v>
      </c>
      <c r="M3647">
        <v>0.1974947</v>
      </c>
      <c r="N3647">
        <v>-1.328411E-2</v>
      </c>
      <c r="O3647">
        <v>-0.98021389999999997</v>
      </c>
      <c r="P3647">
        <v>0.14326420000000001</v>
      </c>
      <c r="Q3647">
        <v>-0.11159669999999999</v>
      </c>
      <c r="R3647">
        <v>-0.98337260000000004</v>
      </c>
      <c r="S3647">
        <v>6.2927250000000004E-2</v>
      </c>
      <c r="T3647">
        <v>-0.22511539999999999</v>
      </c>
      <c r="U3647">
        <v>-3.01709</v>
      </c>
      <c r="V3647">
        <v>5.3653140000000002E-2</v>
      </c>
      <c r="W3647">
        <v>-9.8477700000000001E-2</v>
      </c>
      <c r="X3647">
        <v>0.99369189999999996</v>
      </c>
      <c r="Y3647">
        <v>0.17695539999999901</v>
      </c>
      <c r="Z3647">
        <v>5.8390570000000003E-2</v>
      </c>
      <c r="AA3647">
        <v>0.98248530000000001</v>
      </c>
      <c r="AB3647">
        <v>24</v>
      </c>
      <c r="AC3647">
        <v>0.26160000000001499</v>
      </c>
      <c r="AD3647">
        <v>-1.1084228012989901</v>
      </c>
      <c r="AE3647">
        <v>-14.614800000000001</v>
      </c>
      <c r="AF3647">
        <v>2.6151162295049599</v>
      </c>
      <c r="AG3647">
        <v>-1.1084228012989901</v>
      </c>
      <c r="AH3647">
        <v>14.296356578284</v>
      </c>
      <c r="AI3647">
        <v>94.361299092234404</v>
      </c>
      <c r="AJ3647">
        <v>79.633952535492696</v>
      </c>
      <c r="AK3647">
        <v>14.575775979813301</v>
      </c>
      <c r="AL3647">
        <v>95.651516102580203</v>
      </c>
      <c r="AM3647">
        <v>86.909387745398007</v>
      </c>
      <c r="AN3647">
        <v>1.0000000544773699</v>
      </c>
    </row>
    <row r="3648" spans="1:40" x14ac:dyDescent="0.25">
      <c r="A3648" t="str">
        <f>"20190305135306830"</f>
        <v>20190305135306830</v>
      </c>
      <c r="B3648" t="str">
        <f>"1551765186823369"</f>
        <v>1551765186823369</v>
      </c>
      <c r="C3648" t="s">
        <v>40</v>
      </c>
      <c r="D3648">
        <v>4.97377</v>
      </c>
      <c r="E3648">
        <v>0.60083140000000002</v>
      </c>
      <c r="F3648" t="s">
        <v>42</v>
      </c>
      <c r="G3648">
        <v>-196.77029999999999</v>
      </c>
      <c r="H3648" s="1">
        <v>-3.8681180000000004E-6</v>
      </c>
      <c r="I3648">
        <v>174.8244</v>
      </c>
      <c r="J3648">
        <v>-194.45840000000001</v>
      </c>
      <c r="K3648">
        <v>1.1083069999999999</v>
      </c>
      <c r="L3648">
        <v>193.26519999999999</v>
      </c>
      <c r="M3648">
        <v>0.1965623</v>
      </c>
      <c r="N3648">
        <v>-1.328347E-2</v>
      </c>
      <c r="O3648">
        <v>-0.98040159999999998</v>
      </c>
      <c r="P3648">
        <v>0.14018239999999901</v>
      </c>
      <c r="Q3648">
        <v>-0.1126612</v>
      </c>
      <c r="R3648">
        <v>-0.9836956</v>
      </c>
      <c r="S3648">
        <v>-0.37425229999999998</v>
      </c>
      <c r="T3648">
        <v>-0.18307780000000001</v>
      </c>
      <c r="U3648">
        <v>-3.084457</v>
      </c>
      <c r="V3648">
        <v>5.5766839999999998E-2</v>
      </c>
      <c r="W3648">
        <v>-9.9563369999999998E-2</v>
      </c>
      <c r="X3648">
        <v>0.99346730000000005</v>
      </c>
      <c r="Y3648">
        <v>0.31298019999999999</v>
      </c>
      <c r="Z3648">
        <v>4.2392609999999997E-2</v>
      </c>
      <c r="AA3648">
        <v>0.94881309999999996</v>
      </c>
      <c r="AB3648">
        <v>24</v>
      </c>
      <c r="AC3648">
        <v>-2.3118999999999801</v>
      </c>
      <c r="AD3648">
        <v>-1.1083108681179901</v>
      </c>
      <c r="AE3648">
        <v>-18.440799999999999</v>
      </c>
      <c r="AF3648">
        <v>5.87099626580427</v>
      </c>
      <c r="AG3648">
        <v>-1.1083108681179901</v>
      </c>
      <c r="AH3648">
        <v>17.564046407888899</v>
      </c>
      <c r="AI3648">
        <v>93.4248540468774</v>
      </c>
      <c r="AJ3648">
        <v>71.517167953566698</v>
      </c>
      <c r="AK3648">
        <v>18.552430470209298</v>
      </c>
      <c r="AL3648">
        <v>95.714027710445194</v>
      </c>
      <c r="AM3648">
        <v>86.7871565612609</v>
      </c>
      <c r="AN3648">
        <v>1.0000000406293099</v>
      </c>
    </row>
    <row r="3649" spans="1:40" x14ac:dyDescent="0.25">
      <c r="A3649" t="str">
        <f>"20190305135306842"</f>
        <v>20190305135306842</v>
      </c>
      <c r="B3649" t="str">
        <f>"1551765186833130"</f>
        <v>1551765186833130</v>
      </c>
      <c r="C3649" t="s">
        <v>40</v>
      </c>
      <c r="D3649">
        <v>4.9054010000000003</v>
      </c>
      <c r="E3649">
        <v>0.59913369999999999</v>
      </c>
      <c r="F3649" t="s">
        <v>42</v>
      </c>
      <c r="G3649">
        <v>-196.52019999999999</v>
      </c>
      <c r="H3649" s="1">
        <v>-4.2021659999999997E-6</v>
      </c>
      <c r="I3649">
        <v>175.93639999999999</v>
      </c>
      <c r="J3649">
        <v>-194.43049999999999</v>
      </c>
      <c r="K3649">
        <v>1.108241</v>
      </c>
      <c r="L3649">
        <v>193.12299999999999</v>
      </c>
      <c r="M3649">
        <v>0.1959244</v>
      </c>
      <c r="N3649">
        <v>-1.328323E-2</v>
      </c>
      <c r="O3649">
        <v>-0.98052919999999999</v>
      </c>
      <c r="P3649">
        <v>0.13866870000000001</v>
      </c>
      <c r="Q3649">
        <v>-0.11274770000000001</v>
      </c>
      <c r="R3649">
        <v>-0.98390010000000006</v>
      </c>
      <c r="S3649">
        <v>-0.366394</v>
      </c>
      <c r="T3649">
        <v>-0.19694880000000001</v>
      </c>
      <c r="U3649">
        <v>-3.079361</v>
      </c>
      <c r="V3649">
        <v>5.6629550000000001E-2</v>
      </c>
      <c r="W3649">
        <v>-9.9661479999999997E-2</v>
      </c>
      <c r="X3649">
        <v>0.99340859999999997</v>
      </c>
      <c r="Y3649">
        <v>0.310129299999999</v>
      </c>
      <c r="Z3649">
        <v>4.6762039999999998E-2</v>
      </c>
      <c r="AA3649">
        <v>0.94954369999999999</v>
      </c>
      <c r="AB3649">
        <v>24</v>
      </c>
      <c r="AC3649">
        <v>-2.0896999999999899</v>
      </c>
      <c r="AD3649">
        <v>-1.1082452021660001</v>
      </c>
      <c r="AE3649">
        <v>-17.186599999999999</v>
      </c>
      <c r="AF3649">
        <v>5.3946586002397003</v>
      </c>
      <c r="AG3649">
        <v>-1.1082452021660001</v>
      </c>
      <c r="AH3649">
        <v>16.376883862065998</v>
      </c>
      <c r="AI3649">
        <v>93.677567504776704</v>
      </c>
      <c r="AJ3649">
        <v>71.767760186807493</v>
      </c>
      <c r="AK3649">
        <v>17.278103885347601</v>
      </c>
      <c r="AL3649">
        <v>95.719677436514502</v>
      </c>
      <c r="AM3649">
        <v>86.737368233191404</v>
      </c>
      <c r="AN3649">
        <v>0.99999998154147596</v>
      </c>
    </row>
    <row r="3650" spans="1:40" x14ac:dyDescent="0.25">
      <c r="A3650" t="str">
        <f>"20190305135306855"</f>
        <v>20190305135306855</v>
      </c>
      <c r="B3650" t="str">
        <f>"1551765186843866"</f>
        <v>1551765186843866</v>
      </c>
      <c r="C3650" t="s">
        <v>40</v>
      </c>
      <c r="D3650">
        <v>5.0612519999999996</v>
      </c>
      <c r="E3650">
        <v>0.59842469999999903</v>
      </c>
      <c r="F3650" t="s">
        <v>42</v>
      </c>
      <c r="G3650">
        <v>-196.38829999999999</v>
      </c>
      <c r="H3650" s="1">
        <v>-4.3051620000000001E-6</v>
      </c>
      <c r="I3650">
        <v>176.30779999999999</v>
      </c>
      <c r="J3650">
        <v>-194.40600000000001</v>
      </c>
      <c r="K3650">
        <v>1.1081799999999999</v>
      </c>
      <c r="L3650">
        <v>192.9967</v>
      </c>
      <c r="M3650">
        <v>0.19528319999999999</v>
      </c>
      <c r="N3650">
        <v>-1.32833E-2</v>
      </c>
      <c r="O3650">
        <v>-0.980657</v>
      </c>
      <c r="P3650">
        <v>0.1369967</v>
      </c>
      <c r="Q3650">
        <v>-0.1123806</v>
      </c>
      <c r="R3650">
        <v>-0.9841763</v>
      </c>
      <c r="S3650">
        <v>-0.35816959999999998</v>
      </c>
      <c r="T3650">
        <v>-0.2027552</v>
      </c>
      <c r="U3650">
        <v>-3.076355</v>
      </c>
      <c r="V3650">
        <v>5.7660120000000002E-2</v>
      </c>
      <c r="W3650">
        <v>-9.9305290000000004E-2</v>
      </c>
      <c r="X3650">
        <v>0.99338499999999996</v>
      </c>
      <c r="Y3650">
        <v>0.30709779999999998</v>
      </c>
      <c r="Z3650">
        <v>4.864864E-2</v>
      </c>
      <c r="AA3650">
        <v>0.95043370000000005</v>
      </c>
      <c r="AB3650">
        <v>24</v>
      </c>
      <c r="AC3650">
        <v>-1.9823</v>
      </c>
      <c r="AD3650">
        <v>-1.1081843051619999</v>
      </c>
      <c r="AE3650">
        <v>-16.6889</v>
      </c>
      <c r="AF3650">
        <v>5.1809504357450002</v>
      </c>
      <c r="AG3650">
        <v>-1.1081843051619999</v>
      </c>
      <c r="AH3650">
        <v>15.911204561185899</v>
      </c>
      <c r="AI3650">
        <v>93.788917686498294</v>
      </c>
      <c r="AJ3650">
        <v>71.963896868595299</v>
      </c>
      <c r="AK3650">
        <v>16.770114801627201</v>
      </c>
      <c r="AL3650">
        <v>95.699167435085101</v>
      </c>
      <c r="AM3650">
        <v>86.678046434410803</v>
      </c>
      <c r="AN3650">
        <v>0.99999999414269902</v>
      </c>
    </row>
    <row r="3651" spans="1:40" x14ac:dyDescent="0.25">
      <c r="A3651" t="str">
        <f>"20190305135306874"</f>
        <v>20190305135306874</v>
      </c>
      <c r="B3651" t="str">
        <f>"1551765186863386"</f>
        <v>1551765186863386</v>
      </c>
      <c r="C3651" t="s">
        <v>40</v>
      </c>
      <c r="D3651">
        <v>4.9699419999999996</v>
      </c>
      <c r="E3651">
        <v>0.59627430000000003</v>
      </c>
      <c r="F3651" t="s">
        <v>42</v>
      </c>
      <c r="G3651">
        <v>-196.41399999999999</v>
      </c>
      <c r="H3651" s="1">
        <v>-4.1066690000000002E-6</v>
      </c>
      <c r="I3651">
        <v>175.71109999999999</v>
      </c>
      <c r="J3651">
        <v>-194.36779999999999</v>
      </c>
      <c r="K3651">
        <v>1.1080829999999999</v>
      </c>
      <c r="L3651">
        <v>192.79910000000001</v>
      </c>
      <c r="M3651">
        <v>0.1941766</v>
      </c>
      <c r="N3651">
        <v>-1.328384E-2</v>
      </c>
      <c r="O3651">
        <v>-0.98087659999999999</v>
      </c>
      <c r="P3651">
        <v>0.13325429999999999</v>
      </c>
      <c r="Q3651">
        <v>-0.110983</v>
      </c>
      <c r="R3651">
        <v>-0.98484780000000005</v>
      </c>
      <c r="S3651">
        <v>-0.35726930000000001</v>
      </c>
      <c r="T3651">
        <v>-0.19716729999999999</v>
      </c>
      <c r="U3651">
        <v>-3.0754389999999998</v>
      </c>
      <c r="V3651">
        <v>6.0318690000000001E-2</v>
      </c>
      <c r="W3651">
        <v>-9.7928669999999995E-2</v>
      </c>
      <c r="X3651">
        <v>0.99336380000000002</v>
      </c>
      <c r="Y3651">
        <v>0.30579610000000002</v>
      </c>
      <c r="Z3651">
        <v>4.6997789999999998E-2</v>
      </c>
      <c r="AA3651">
        <v>0.95093629999999996</v>
      </c>
      <c r="AB3651">
        <v>24</v>
      </c>
      <c r="AC3651">
        <v>-2.0462000000000198</v>
      </c>
      <c r="AD3651">
        <v>-1.1080871066689999</v>
      </c>
      <c r="AE3651">
        <v>-17.088000000000001</v>
      </c>
      <c r="AF3651">
        <v>5.3036430396466896</v>
      </c>
      <c r="AG3651">
        <v>-1.1080871066689999</v>
      </c>
      <c r="AH3651">
        <v>16.2977765765167</v>
      </c>
      <c r="AI3651">
        <v>93.699188131393498</v>
      </c>
      <c r="AJ3651">
        <v>71.974010369729697</v>
      </c>
      <c r="AK3651">
        <v>17.174807360375699</v>
      </c>
      <c r="AL3651">
        <v>95.619906496854796</v>
      </c>
      <c r="AM3651">
        <v>86.525172181571705</v>
      </c>
      <c r="AN3651">
        <v>1.0000000039608601</v>
      </c>
    </row>
    <row r="3652" spans="1:40" x14ac:dyDescent="0.25">
      <c r="A3652" t="str">
        <f>"20190305135306888"</f>
        <v>20190305135306888</v>
      </c>
      <c r="B3652" t="str">
        <f>"1551765186883882"</f>
        <v>1551765186883882</v>
      </c>
      <c r="C3652" t="s">
        <v>40</v>
      </c>
      <c r="D3652">
        <v>4.9797549999999999</v>
      </c>
      <c r="E3652">
        <v>0.59495089999999995</v>
      </c>
      <c r="F3652" t="s">
        <v>42</v>
      </c>
      <c r="G3652">
        <v>-196.3227</v>
      </c>
      <c r="H3652" s="1">
        <v>-4.1125500000000001E-6</v>
      </c>
      <c r="I3652">
        <v>175.77599999999899</v>
      </c>
      <c r="J3652">
        <v>-194.33789999999999</v>
      </c>
      <c r="K3652">
        <v>1.1079840000000001</v>
      </c>
      <c r="L3652">
        <v>192.64269999999999</v>
      </c>
      <c r="M3652">
        <v>0.1931948</v>
      </c>
      <c r="N3652">
        <v>-1.3284819999999999E-2</v>
      </c>
      <c r="O3652">
        <v>-0.98107049999999996</v>
      </c>
      <c r="P3652">
        <v>0.13064039999999999</v>
      </c>
      <c r="Q3652">
        <v>-0.109566899999999</v>
      </c>
      <c r="R3652">
        <v>-0.98535669999999997</v>
      </c>
      <c r="S3652">
        <v>-0.3526917</v>
      </c>
      <c r="T3652">
        <v>-0.19992180000000001</v>
      </c>
      <c r="U3652">
        <v>-3.0713200000000001</v>
      </c>
      <c r="V3652">
        <v>6.1968429999999998E-2</v>
      </c>
      <c r="W3652">
        <v>-9.6529799999999999E-2</v>
      </c>
      <c r="X3652">
        <v>0.99339909999999998</v>
      </c>
      <c r="Y3652">
        <v>0.30358400000000002</v>
      </c>
      <c r="Z3652">
        <v>4.7968999999999998E-2</v>
      </c>
      <c r="AA3652">
        <v>0.95159640000000001</v>
      </c>
      <c r="AB3652">
        <v>24</v>
      </c>
      <c r="AC3652">
        <v>-1.9847999999999999</v>
      </c>
      <c r="AD3652">
        <v>-1.10798811255</v>
      </c>
      <c r="AE3652">
        <v>-16.866700000000002</v>
      </c>
      <c r="AF3652">
        <v>5.1841810978766603</v>
      </c>
      <c r="AG3652">
        <v>-1.10798811255</v>
      </c>
      <c r="AH3652">
        <v>16.096881009488801</v>
      </c>
      <c r="AI3652">
        <v>93.748569746908998</v>
      </c>
      <c r="AJ3652">
        <v>72.148263503556294</v>
      </c>
      <c r="AK3652">
        <v>16.947358187834901</v>
      </c>
      <c r="AL3652">
        <v>95.539375998590501</v>
      </c>
      <c r="AM3652">
        <v>86.430503262757497</v>
      </c>
      <c r="AN3652">
        <v>0.99999993024275502</v>
      </c>
    </row>
    <row r="3653" spans="1:40" x14ac:dyDescent="0.25">
      <c r="A3653" t="str">
        <f>"20190305135306902"</f>
        <v>20190305135306902</v>
      </c>
      <c r="B3653" t="str">
        <f>"1551765186893642"</f>
        <v>1551765186893642</v>
      </c>
      <c r="C3653" t="s">
        <v>40</v>
      </c>
      <c r="D3653">
        <v>4.9873649999999996</v>
      </c>
      <c r="E3653">
        <v>0.59441739999999998</v>
      </c>
      <c r="F3653" t="s">
        <v>42</v>
      </c>
      <c r="G3653">
        <v>-196.27359999999999</v>
      </c>
      <c r="H3653" s="1">
        <v>-4.0814630000000003E-6</v>
      </c>
      <c r="I3653">
        <v>175.71029999999999</v>
      </c>
      <c r="J3653">
        <v>-194.30959999999999</v>
      </c>
      <c r="K3653">
        <v>1.1078809999999999</v>
      </c>
      <c r="L3653">
        <v>192.4933</v>
      </c>
      <c r="M3653">
        <v>0.19215280000000001</v>
      </c>
      <c r="N3653">
        <v>-1.3286610000000001E-2</v>
      </c>
      <c r="O3653">
        <v>-0.98127529999999996</v>
      </c>
      <c r="P3653">
        <v>0.1277374</v>
      </c>
      <c r="Q3653">
        <v>-0.1091502</v>
      </c>
      <c r="R3653">
        <v>-0.98578410000000005</v>
      </c>
      <c r="S3653">
        <v>-0.35081479999999998</v>
      </c>
      <c r="T3653">
        <v>-0.2008066</v>
      </c>
      <c r="U3653">
        <v>-3.068756</v>
      </c>
      <c r="V3653">
        <v>6.3822290000000004E-2</v>
      </c>
      <c r="W3653">
        <v>-9.613323E-2</v>
      </c>
      <c r="X3653">
        <v>0.99332019999999999</v>
      </c>
      <c r="Y3653">
        <v>0.30208550000000001</v>
      </c>
      <c r="Z3653">
        <v>4.8328120000000002E-2</v>
      </c>
      <c r="AA3653">
        <v>0.95205499999999998</v>
      </c>
      <c r="AB3653">
        <v>24</v>
      </c>
      <c r="AC3653">
        <v>-1.96399999999999</v>
      </c>
      <c r="AD3653">
        <v>-1.1078850814629999</v>
      </c>
      <c r="AE3653">
        <v>-16.783000000000001</v>
      </c>
      <c r="AF3653">
        <v>5.1305239127104603</v>
      </c>
      <c r="AG3653">
        <v>-1.1078850814629999</v>
      </c>
      <c r="AH3653">
        <v>16.023889335797701</v>
      </c>
      <c r="AI3653">
        <v>93.767303896821801</v>
      </c>
      <c r="AJ3653">
        <v>72.245989736497805</v>
      </c>
      <c r="AK3653">
        <v>16.861634393454001</v>
      </c>
      <c r="AL3653">
        <v>95.516547927900106</v>
      </c>
      <c r="AM3653">
        <v>86.323714859876304</v>
      </c>
      <c r="AN3653">
        <v>0.99999995116955698</v>
      </c>
    </row>
    <row r="3654" spans="1:40" x14ac:dyDescent="0.25">
      <c r="A3654" t="str">
        <f>"20190305135306919"</f>
        <v>20190305135306919</v>
      </c>
      <c r="B3654" t="str">
        <f>"1551765186913162"</f>
        <v>1551765186913162</v>
      </c>
      <c r="C3654" t="s">
        <v>40</v>
      </c>
      <c r="D3654">
        <v>5.0049299999999999</v>
      </c>
      <c r="E3654">
        <v>0.59333029999999998</v>
      </c>
      <c r="F3654" t="s">
        <v>42</v>
      </c>
      <c r="G3654">
        <v>-196.24889999999999</v>
      </c>
      <c r="H3654" s="1">
        <v>-4.1035940000000002E-6</v>
      </c>
      <c r="I3654">
        <v>175.78809999999999</v>
      </c>
      <c r="J3654">
        <v>-194.27629999999999</v>
      </c>
      <c r="K3654">
        <v>1.107758</v>
      </c>
      <c r="L3654">
        <v>192.31610000000001</v>
      </c>
      <c r="M3654">
        <v>0.19079090000000001</v>
      </c>
      <c r="N3654">
        <v>-1.328935E-2</v>
      </c>
      <c r="O3654">
        <v>-0.98154090000000005</v>
      </c>
      <c r="P3654">
        <v>0.123777</v>
      </c>
      <c r="Q3654">
        <v>-0.1093267</v>
      </c>
      <c r="R3654">
        <v>-0.98626939999999996</v>
      </c>
      <c r="S3654">
        <v>-0.35604859999999999</v>
      </c>
      <c r="T3654">
        <v>-0.20339570000000001</v>
      </c>
      <c r="U3654">
        <v>-3.0668950000000001</v>
      </c>
      <c r="V3654">
        <v>6.6395430000000005E-2</v>
      </c>
      <c r="W3654">
        <v>-9.6337270000000003E-2</v>
      </c>
      <c r="X3654">
        <v>0.99313180000000001</v>
      </c>
      <c r="Y3654">
        <v>0.30242439999999998</v>
      </c>
      <c r="Z3654">
        <v>4.9171720000000002E-2</v>
      </c>
      <c r="AA3654">
        <v>0.95190419999999998</v>
      </c>
      <c r="AB3654">
        <v>24</v>
      </c>
      <c r="AC3654">
        <v>-1.9725999999999999</v>
      </c>
      <c r="AD3654">
        <v>-1.107762103594</v>
      </c>
      <c r="AE3654">
        <v>-16.527999999999999</v>
      </c>
      <c r="AF3654">
        <v>5.0675837202112204</v>
      </c>
      <c r="AG3654">
        <v>-1.107762103594</v>
      </c>
      <c r="AH3654">
        <v>15.7780691343921</v>
      </c>
      <c r="AI3654">
        <v>93.824293533255101</v>
      </c>
      <c r="AJ3654">
        <v>72.194074855878497</v>
      </c>
      <c r="AK3654">
        <v>16.608883383574199</v>
      </c>
      <c r="AL3654">
        <v>95.528292816451795</v>
      </c>
      <c r="AM3654">
        <v>86.175205113930303</v>
      </c>
      <c r="AN3654">
        <v>0.99999999744358803</v>
      </c>
    </row>
    <row r="3655" spans="1:40" x14ac:dyDescent="0.25">
      <c r="A3655" t="str">
        <f>"20190305135306932"</f>
        <v>20190305135306932</v>
      </c>
      <c r="B3655" t="str">
        <f>"1551765186923898"</f>
        <v>1551765186923898</v>
      </c>
      <c r="C3655" t="s">
        <v>40</v>
      </c>
      <c r="D3655">
        <v>5.0451030000000001</v>
      </c>
      <c r="E3655">
        <v>0.59295010000000004</v>
      </c>
      <c r="F3655" t="s">
        <v>42</v>
      </c>
      <c r="G3655">
        <v>-196.17939999999999</v>
      </c>
      <c r="H3655" s="1">
        <v>-4.2059949999999997E-6</v>
      </c>
      <c r="I3655">
        <v>176.12530000000001</v>
      </c>
      <c r="J3655">
        <v>-194.249</v>
      </c>
      <c r="K3655">
        <v>1.1076520000000001</v>
      </c>
      <c r="L3655">
        <v>192.16900000000001</v>
      </c>
      <c r="M3655">
        <v>0.1895636</v>
      </c>
      <c r="N3655">
        <v>-1.3291839999999999E-2</v>
      </c>
      <c r="O3655">
        <v>-0.98177859999999995</v>
      </c>
      <c r="P3655">
        <v>0.1216035</v>
      </c>
      <c r="Q3655">
        <v>-0.1099772</v>
      </c>
      <c r="R3655">
        <v>-0.98646739999999999</v>
      </c>
      <c r="S3655">
        <v>-0.36010740000000002</v>
      </c>
      <c r="T3655">
        <v>-0.2096181</v>
      </c>
      <c r="U3655">
        <v>-3.0637210000000001</v>
      </c>
      <c r="V3655">
        <v>6.7299600000000001E-2</v>
      </c>
      <c r="W3655">
        <v>-9.7007599999999999E-2</v>
      </c>
      <c r="X3655">
        <v>0.99300569999999999</v>
      </c>
      <c r="Y3655">
        <v>0.30257309999999998</v>
      </c>
      <c r="Z3655">
        <v>5.1159879999999998E-2</v>
      </c>
      <c r="AA3655">
        <v>0.95175209999999999</v>
      </c>
      <c r="AB3655">
        <v>24</v>
      </c>
      <c r="AC3655">
        <v>-1.9303999999999599</v>
      </c>
      <c r="AD3655">
        <v>-1.1076562059949999</v>
      </c>
      <c r="AE3655">
        <v>-16.043700000000001</v>
      </c>
      <c r="AF3655">
        <v>4.91387464621641</v>
      </c>
      <c r="AG3655">
        <v>-1.1076562059949999</v>
      </c>
      <c r="AH3655">
        <v>15.314828478924801</v>
      </c>
      <c r="AI3655">
        <v>93.939603433404002</v>
      </c>
      <c r="AJ3655">
        <v>72.210781994927899</v>
      </c>
      <c r="AK3655">
        <v>16.121942738029201</v>
      </c>
      <c r="AL3655">
        <v>95.566880532391195</v>
      </c>
      <c r="AM3655">
        <v>86.122786193371695</v>
      </c>
      <c r="AN3655">
        <v>1.0000000154252</v>
      </c>
    </row>
    <row r="3656" spans="1:40" x14ac:dyDescent="0.25">
      <c r="A3656" t="str">
        <f>"20190305135306953"</f>
        <v>20190305135306953</v>
      </c>
      <c r="B3656" t="str">
        <f>"1551765186943421"</f>
        <v>1551765186943421</v>
      </c>
      <c r="C3656" t="s">
        <v>40</v>
      </c>
      <c r="D3656">
        <v>5.018853</v>
      </c>
      <c r="E3656">
        <v>0.59211369999999997</v>
      </c>
      <c r="F3656" t="s">
        <v>42</v>
      </c>
      <c r="G3656">
        <v>-196.14879999999999</v>
      </c>
      <c r="H3656" s="1">
        <v>-4.2196630000000001E-6</v>
      </c>
      <c r="I3656">
        <v>176.1814</v>
      </c>
      <c r="J3656">
        <v>-194.20930000000001</v>
      </c>
      <c r="K3656">
        <v>1.1074980000000001</v>
      </c>
      <c r="L3656">
        <v>191.95179999999999</v>
      </c>
      <c r="M3656">
        <v>0.18757560000000001</v>
      </c>
      <c r="N3656">
        <v>-1.3295919999999999E-2</v>
      </c>
      <c r="O3656">
        <v>-0.98216020000000004</v>
      </c>
      <c r="P3656">
        <v>0.1188985</v>
      </c>
      <c r="Q3656">
        <v>-0.11047849999999999</v>
      </c>
      <c r="R3656">
        <v>-0.98674079999999997</v>
      </c>
      <c r="S3656">
        <v>-0.36389159999999998</v>
      </c>
      <c r="T3656">
        <v>-0.2121662</v>
      </c>
      <c r="U3656">
        <v>-3.0623469999999999</v>
      </c>
      <c r="V3656">
        <v>6.7960370000000006E-2</v>
      </c>
      <c r="W3656">
        <v>-9.7535060000000007E-2</v>
      </c>
      <c r="X3656">
        <v>0.99290900000000004</v>
      </c>
      <c r="Y3656">
        <v>0.30184640000000001</v>
      </c>
      <c r="Z3656">
        <v>5.2009510000000002E-2</v>
      </c>
      <c r="AA3656">
        <v>0.95193680000000003</v>
      </c>
      <c r="AB3656">
        <v>24</v>
      </c>
      <c r="AC3656">
        <v>-1.93949999999998</v>
      </c>
      <c r="AD3656">
        <v>-1.10750221966299</v>
      </c>
      <c r="AE3656">
        <v>-15.770399999999899</v>
      </c>
      <c r="AF3656">
        <v>4.83995777932153</v>
      </c>
      <c r="AG3656">
        <v>-1.10750221966299</v>
      </c>
      <c r="AH3656">
        <v>15.053458893976201</v>
      </c>
      <c r="AI3656">
        <v>94.006461225205001</v>
      </c>
      <c r="AJ3656">
        <v>72.176467884923795</v>
      </c>
      <c r="AK3656">
        <v>15.851131730725299</v>
      </c>
      <c r="AL3656">
        <v>95.597245895942507</v>
      </c>
      <c r="AM3656">
        <v>86.084456113647803</v>
      </c>
      <c r="AN3656">
        <v>0.99999999105036996</v>
      </c>
    </row>
    <row r="3657" spans="1:40" x14ac:dyDescent="0.25">
      <c r="A3657" t="str">
        <f>"20190305135306965"</f>
        <v>20190305135306965</v>
      </c>
      <c r="B3657" t="str">
        <f>"1551765186962938"</f>
        <v>1551765186962938</v>
      </c>
      <c r="C3657" t="s">
        <v>40</v>
      </c>
      <c r="D3657">
        <v>5.0700640000000003</v>
      </c>
      <c r="E3657">
        <v>0.59138539999999995</v>
      </c>
      <c r="F3657" t="s">
        <v>42</v>
      </c>
      <c r="G3657">
        <v>-196.10550000000001</v>
      </c>
      <c r="H3657" s="1">
        <v>-4.1740899999999997E-6</v>
      </c>
      <c r="I3657">
        <v>176.07</v>
      </c>
      <c r="J3657">
        <v>-194.18450000000001</v>
      </c>
      <c r="K3657">
        <v>1.107402</v>
      </c>
      <c r="L3657">
        <v>191.81469999999999</v>
      </c>
      <c r="M3657">
        <v>0.1862327</v>
      </c>
      <c r="N3657">
        <v>-1.32987E-2</v>
      </c>
      <c r="O3657">
        <v>-0.9824157</v>
      </c>
      <c r="P3657">
        <v>0.11690349999999999</v>
      </c>
      <c r="Q3657">
        <v>-0.1105575</v>
      </c>
      <c r="R3657">
        <v>-0.98697060000000003</v>
      </c>
      <c r="S3657">
        <v>-0.36541750000000001</v>
      </c>
      <c r="T3657">
        <v>-0.21341750000000001</v>
      </c>
      <c r="U3657">
        <v>-3.0604399999999998</v>
      </c>
      <c r="V3657">
        <v>6.8583560000000002E-2</v>
      </c>
      <c r="W3657">
        <v>-9.763107E-2</v>
      </c>
      <c r="X3657">
        <v>0.99285670000000004</v>
      </c>
      <c r="Y3657">
        <v>0.30107729999999999</v>
      </c>
      <c r="Z3657">
        <v>5.2465230000000002E-2</v>
      </c>
      <c r="AA3657">
        <v>0.95215539999999999</v>
      </c>
      <c r="AB3657">
        <v>24</v>
      </c>
      <c r="AC3657">
        <v>-1.92099999999999</v>
      </c>
      <c r="AD3657">
        <v>-1.1074061740899901</v>
      </c>
      <c r="AE3657">
        <v>-15.7446999999999</v>
      </c>
      <c r="AF3657">
        <v>4.7964444378705</v>
      </c>
      <c r="AG3657">
        <v>-1.1074061740899901</v>
      </c>
      <c r="AH3657">
        <v>15.038120246104199</v>
      </c>
      <c r="AI3657">
        <v>94.0131673921518</v>
      </c>
      <c r="AJ3657">
        <v>72.309792909786097</v>
      </c>
      <c r="AK3657">
        <v>15.8233147038249</v>
      </c>
      <c r="AL3657">
        <v>95.602773313487901</v>
      </c>
      <c r="AM3657">
        <v>86.048456694862793</v>
      </c>
      <c r="AN3657">
        <v>0.99999997863325396</v>
      </c>
    </row>
    <row r="3658" spans="1:40" x14ac:dyDescent="0.25">
      <c r="A3658" t="str">
        <f>"20190305135306987"</f>
        <v>20190305135306987</v>
      </c>
      <c r="B3658" t="str">
        <f>"1551765186983435"</f>
        <v>1551765186983435</v>
      </c>
      <c r="C3658" t="s">
        <v>40</v>
      </c>
      <c r="D3658">
        <v>5.0525310000000001</v>
      </c>
      <c r="E3658">
        <v>0.590673</v>
      </c>
      <c r="F3658" t="s">
        <v>42</v>
      </c>
      <c r="G3658">
        <v>-196.0652</v>
      </c>
      <c r="H3658" s="1">
        <v>-4.1721259999999997E-6</v>
      </c>
      <c r="I3658">
        <v>176.08529999999999</v>
      </c>
      <c r="J3658">
        <v>-194.14570000000001</v>
      </c>
      <c r="K3658">
        <v>1.1072569999999999</v>
      </c>
      <c r="L3658">
        <v>191.5966</v>
      </c>
      <c r="M3658">
        <v>0.18389990000000001</v>
      </c>
      <c r="N3658">
        <v>-1.330394E-2</v>
      </c>
      <c r="O3658">
        <v>-0.98285509999999998</v>
      </c>
      <c r="P3658">
        <v>0.112882</v>
      </c>
      <c r="Q3658">
        <v>-0.10969719999999999</v>
      </c>
      <c r="R3658">
        <v>-0.98753460000000004</v>
      </c>
      <c r="S3658">
        <v>-0.3657379</v>
      </c>
      <c r="T3658">
        <v>-0.2153504</v>
      </c>
      <c r="U3658">
        <v>-3.0588069999999998</v>
      </c>
      <c r="V3658">
        <v>7.0254750000000005E-2</v>
      </c>
      <c r="W3658">
        <v>-9.6798010000000004E-2</v>
      </c>
      <c r="X3658">
        <v>0.99282150000000002</v>
      </c>
      <c r="Y3658">
        <v>0.29896660000000003</v>
      </c>
      <c r="Z3658">
        <v>5.3160249999999999E-2</v>
      </c>
      <c r="AA3658">
        <v>0.95278169999999995</v>
      </c>
      <c r="AB3658">
        <v>24</v>
      </c>
      <c r="AC3658">
        <v>-1.91949999999999</v>
      </c>
      <c r="AD3658">
        <v>-1.1072611721259999</v>
      </c>
      <c r="AE3658">
        <v>-15.5113</v>
      </c>
      <c r="AF3658">
        <v>4.7158673981074104</v>
      </c>
      <c r="AG3658">
        <v>-1.1072611721259999</v>
      </c>
      <c r="AH3658">
        <v>14.819304469841899</v>
      </c>
      <c r="AI3658">
        <v>94.0725491367714</v>
      </c>
      <c r="AJ3658">
        <v>72.347649371492395</v>
      </c>
      <c r="AK3658">
        <v>15.5909338267375</v>
      </c>
      <c r="AL3658">
        <v>95.554814892672795</v>
      </c>
      <c r="AM3658">
        <v>85.952341819395201</v>
      </c>
      <c r="AN3658">
        <v>1.00000005774988</v>
      </c>
    </row>
    <row r="3659" spans="1:40" x14ac:dyDescent="0.25">
      <c r="A3659" t="str">
        <f>"20190305135307009"</f>
        <v>20190305135307009</v>
      </c>
      <c r="B3659" t="str">
        <f>"1551765187002953"</f>
        <v>1551765187002953</v>
      </c>
      <c r="C3659" t="s">
        <v>40</v>
      </c>
      <c r="D3659">
        <v>5.212434</v>
      </c>
      <c r="E3659">
        <v>0.59012219999999904</v>
      </c>
      <c r="F3659" t="s">
        <v>42</v>
      </c>
      <c r="G3659">
        <v>-196.06989999999999</v>
      </c>
      <c r="H3659" s="1">
        <v>-4.08253499999999E-6</v>
      </c>
      <c r="I3659">
        <v>175.81950000000001</v>
      </c>
      <c r="J3659">
        <v>-194.10329999999999</v>
      </c>
      <c r="K3659">
        <v>1.1071089999999999</v>
      </c>
      <c r="L3659">
        <v>191.35249999999999</v>
      </c>
      <c r="M3659">
        <v>0.1810582</v>
      </c>
      <c r="N3659">
        <v>-1.3309980000000001E-2</v>
      </c>
      <c r="O3659">
        <v>-0.98338239999999999</v>
      </c>
      <c r="P3659">
        <v>0.1074238</v>
      </c>
      <c r="Q3659">
        <v>-0.1095265</v>
      </c>
      <c r="R3659">
        <v>-0.98816199999999998</v>
      </c>
      <c r="S3659">
        <v>-0.37280269999999999</v>
      </c>
      <c r="T3659">
        <v>-0.2145222</v>
      </c>
      <c r="U3659">
        <v>-3.0566710000000001</v>
      </c>
      <c r="V3659">
        <v>7.2835259999999999E-2</v>
      </c>
      <c r="W3659">
        <v>-9.6661620000000004E-2</v>
      </c>
      <c r="X3659">
        <v>0.9926488</v>
      </c>
      <c r="Y3659">
        <v>0.29845949999999999</v>
      </c>
      <c r="Z3659">
        <v>5.2996130000000002E-2</v>
      </c>
      <c r="AA3659">
        <v>0.95294979999999996</v>
      </c>
      <c r="AB3659">
        <v>24</v>
      </c>
      <c r="AC3659">
        <v>-1.9665999999999999</v>
      </c>
      <c r="AD3659">
        <v>-1.107113082535</v>
      </c>
      <c r="AE3659">
        <v>-15.5329999999999</v>
      </c>
      <c r="AF3659">
        <v>4.7231015712212896</v>
      </c>
      <c r="AG3659">
        <v>-1.107113082535</v>
      </c>
      <c r="AH3659">
        <v>14.845901148368799</v>
      </c>
      <c r="AI3659">
        <v>94.064832639186804</v>
      </c>
      <c r="AJ3659">
        <v>72.351958387885304</v>
      </c>
      <c r="AK3659">
        <v>15.618392002275099</v>
      </c>
      <c r="AL3659">
        <v>95.546963591631197</v>
      </c>
      <c r="AM3659">
        <v>85.803462511488405</v>
      </c>
      <c r="AN3659">
        <v>1.0000000420108599</v>
      </c>
    </row>
    <row r="3660" spans="1:40" x14ac:dyDescent="0.25">
      <c r="A3660" t="str">
        <f>"20190305135307031"</f>
        <v>20190305135307031</v>
      </c>
      <c r="B3660" t="str">
        <f>"1551765187023449"</f>
        <v>1551765187023449</v>
      </c>
      <c r="C3660" t="s">
        <v>40</v>
      </c>
      <c r="D3660">
        <v>5.105823</v>
      </c>
      <c r="E3660">
        <v>0.58966660000000004</v>
      </c>
      <c r="F3660" t="s">
        <v>42</v>
      </c>
      <c r="G3660">
        <v>-196.0915</v>
      </c>
      <c r="H3660" s="1">
        <v>-4.0136470000000002E-6</v>
      </c>
      <c r="I3660">
        <v>175.60589999999999</v>
      </c>
      <c r="J3660">
        <v>-194.06270000000001</v>
      </c>
      <c r="K3660">
        <v>1.1069770000000001</v>
      </c>
      <c r="L3660">
        <v>191.1139</v>
      </c>
      <c r="M3660">
        <v>0.178083299999999</v>
      </c>
      <c r="N3660">
        <v>-1.331587E-2</v>
      </c>
      <c r="O3660">
        <v>-0.98392539999999995</v>
      </c>
      <c r="P3660">
        <v>0.1018153</v>
      </c>
      <c r="Q3660">
        <v>-0.1097757</v>
      </c>
      <c r="R3660">
        <v>-0.98872819999999995</v>
      </c>
      <c r="S3660">
        <v>-0.38562010000000002</v>
      </c>
      <c r="T3660">
        <v>-0.2147232</v>
      </c>
      <c r="U3660">
        <v>-3.0540470000000002</v>
      </c>
      <c r="V3660">
        <v>7.5424420000000006E-2</v>
      </c>
      <c r="W3660">
        <v>-9.6944290000000002E-2</v>
      </c>
      <c r="X3660">
        <v>0.99242779999999997</v>
      </c>
      <c r="Y3660">
        <v>0.2996084</v>
      </c>
      <c r="Z3660">
        <v>5.3133329999999999E-2</v>
      </c>
      <c r="AA3660">
        <v>0.95258160000000003</v>
      </c>
      <c r="AB3660">
        <v>24</v>
      </c>
      <c r="AC3660">
        <v>-2.02879999999998</v>
      </c>
      <c r="AD3660">
        <v>-1.106981013647</v>
      </c>
      <c r="AE3660">
        <v>-15.507999999999999</v>
      </c>
      <c r="AF3660">
        <v>4.7346068862167598</v>
      </c>
      <c r="AG3660">
        <v>-1.106981013647</v>
      </c>
      <c r="AH3660">
        <v>14.8244754078874</v>
      </c>
      <c r="AI3660">
        <v>94.068753377078906</v>
      </c>
      <c r="AJ3660">
        <v>72.287677339277096</v>
      </c>
      <c r="AK3660">
        <v>15.601505711008899</v>
      </c>
      <c r="AL3660">
        <v>95.563236109846898</v>
      </c>
      <c r="AM3660">
        <v>85.653880972246995</v>
      </c>
      <c r="AN3660">
        <v>0.99999998835438997</v>
      </c>
    </row>
    <row r="3661" spans="1:40" x14ac:dyDescent="0.25">
      <c r="A3661" t="str">
        <f>"20190305135307043"</f>
        <v>20190305135307043</v>
      </c>
      <c r="B3661" t="str">
        <f>"1551765187033209"</f>
        <v>1551765187033209</v>
      </c>
      <c r="C3661" t="s">
        <v>40</v>
      </c>
      <c r="D3661">
        <v>5.09884</v>
      </c>
      <c r="E3661">
        <v>0.58939399999999997</v>
      </c>
      <c r="F3661" t="s">
        <v>42</v>
      </c>
      <c r="G3661">
        <v>-196.12379999999999</v>
      </c>
      <c r="H3661" s="1">
        <v>-3.9366809999999996E-6</v>
      </c>
      <c r="I3661">
        <v>175.3629</v>
      </c>
      <c r="J3661">
        <v>-194.04040000000001</v>
      </c>
      <c r="K3661">
        <v>1.1069070000000001</v>
      </c>
      <c r="L3661">
        <v>190.98050000000001</v>
      </c>
      <c r="M3661">
        <v>0.17635309999999901</v>
      </c>
      <c r="N3661">
        <v>-1.3319080000000001E-2</v>
      </c>
      <c r="O3661">
        <v>-0.98423689999999997</v>
      </c>
      <c r="P3661">
        <v>9.9022020000000002E-2</v>
      </c>
      <c r="Q3661">
        <v>-0.1102605</v>
      </c>
      <c r="R3661">
        <v>-0.98895789999999995</v>
      </c>
      <c r="S3661">
        <v>-0.39930729999999998</v>
      </c>
      <c r="T3661">
        <v>-0.21446080000000001</v>
      </c>
      <c r="U3661">
        <v>-3.0515289999999999</v>
      </c>
      <c r="V3661">
        <v>7.6453279999999998E-2</v>
      </c>
      <c r="W3661">
        <v>-9.7445560000000001E-2</v>
      </c>
      <c r="X3661">
        <v>0.99229999999999996</v>
      </c>
      <c r="Y3661">
        <v>0.30222969999999999</v>
      </c>
      <c r="Z3661">
        <v>5.3084159999999998E-2</v>
      </c>
      <c r="AA3661">
        <v>0.95175589999999999</v>
      </c>
      <c r="AB3661">
        <v>24</v>
      </c>
      <c r="AC3661">
        <v>-2.0833999999999802</v>
      </c>
      <c r="AD3661">
        <v>-1.1069109366809999</v>
      </c>
      <c r="AE3661">
        <v>-15.617599999999999</v>
      </c>
      <c r="AF3661">
        <v>4.7815975082615303</v>
      </c>
      <c r="AG3661">
        <v>-1.1069109366809999</v>
      </c>
      <c r="AH3661">
        <v>14.931638563440901</v>
      </c>
      <c r="AI3661">
        <v>94.0383959369114</v>
      </c>
      <c r="AJ3661">
        <v>72.243239874902201</v>
      </c>
      <c r="AK3661">
        <v>15.717593859811799</v>
      </c>
      <c r="AL3661">
        <v>95.592093241799105</v>
      </c>
      <c r="AM3661">
        <v>85.5942625037043</v>
      </c>
      <c r="AN3661">
        <v>1.00000001559323</v>
      </c>
    </row>
    <row r="3662" spans="1:40" x14ac:dyDescent="0.25">
      <c r="A3662" t="str">
        <f>"20190305135307058"</f>
        <v>20190305135307058</v>
      </c>
      <c r="B3662" t="str">
        <f>"1551765187053706"</f>
        <v>1551765187053706</v>
      </c>
      <c r="C3662" t="s">
        <v>40</v>
      </c>
      <c r="D3662">
        <v>5.2403740000000001</v>
      </c>
      <c r="E3662">
        <v>0.589229</v>
      </c>
      <c r="F3662" t="s">
        <v>42</v>
      </c>
      <c r="G3662">
        <v>-196.11320000000001</v>
      </c>
      <c r="H3662" s="1">
        <v>-3.9467440000000002E-6</v>
      </c>
      <c r="I3662">
        <v>175.398</v>
      </c>
      <c r="J3662">
        <v>-194.01609999999999</v>
      </c>
      <c r="K3662">
        <v>1.106832</v>
      </c>
      <c r="L3662">
        <v>190.8322</v>
      </c>
      <c r="M3662">
        <v>0.17434279999999999</v>
      </c>
      <c r="N3662">
        <v>-1.332293E-2</v>
      </c>
      <c r="O3662">
        <v>-0.98459509999999995</v>
      </c>
      <c r="P3662">
        <v>9.5584329999999995E-2</v>
      </c>
      <c r="Q3662">
        <v>-0.1110693</v>
      </c>
      <c r="R3662">
        <v>-0.98920540000000001</v>
      </c>
      <c r="S3662">
        <v>-0.40570070000000003</v>
      </c>
      <c r="T3662">
        <v>-0.2166544</v>
      </c>
      <c r="U3662">
        <v>-3.0499420000000002</v>
      </c>
      <c r="V3662">
        <v>7.7836649999999993E-2</v>
      </c>
      <c r="W3662">
        <v>-9.8273719999999995E-2</v>
      </c>
      <c r="X3662">
        <v>0.99211070000000001</v>
      </c>
      <c r="Y3662">
        <v>0.30230109999999999</v>
      </c>
      <c r="Z3662">
        <v>5.3819890000000002E-2</v>
      </c>
      <c r="AA3662">
        <v>0.95169190000000004</v>
      </c>
      <c r="AB3662">
        <v>24</v>
      </c>
      <c r="AC3662">
        <v>-2.09710000000001</v>
      </c>
      <c r="AD3662">
        <v>-1.1068359467440001</v>
      </c>
      <c r="AE3662">
        <v>-15.434200000000001</v>
      </c>
      <c r="AF3662">
        <v>4.7321618031570196</v>
      </c>
      <c r="AG3662">
        <v>-1.1068359467440001</v>
      </c>
      <c r="AH3662">
        <v>14.7576171979993</v>
      </c>
      <c r="AI3662">
        <v>94.085075931692401</v>
      </c>
      <c r="AJ3662">
        <v>72.221087692326904</v>
      </c>
      <c r="AK3662">
        <v>15.5372361283128</v>
      </c>
      <c r="AL3662">
        <v>95.639772508404107</v>
      </c>
      <c r="AM3662">
        <v>85.514013788726402</v>
      </c>
      <c r="AN3662">
        <v>0.99999995459017399</v>
      </c>
    </row>
    <row r="3663" spans="1:40" x14ac:dyDescent="0.25">
      <c r="A3663" t="str">
        <f>"20190305135307075"</f>
        <v>20190305135307075</v>
      </c>
      <c r="B3663" t="str">
        <f>"1551765187063466"</f>
        <v>1551765187063466</v>
      </c>
      <c r="C3663" t="s">
        <v>40</v>
      </c>
      <c r="D3663">
        <v>5.1058309999999896</v>
      </c>
      <c r="E3663">
        <v>0.57873560000000002</v>
      </c>
      <c r="F3663" t="s">
        <v>42</v>
      </c>
      <c r="G3663">
        <v>-196.10409999999999</v>
      </c>
      <c r="H3663" s="1">
        <v>-3.978988E-6</v>
      </c>
      <c r="I3663">
        <v>175.4975</v>
      </c>
      <c r="J3663">
        <v>-193.98650000000001</v>
      </c>
      <c r="K3663">
        <v>1.1067389999999999</v>
      </c>
      <c r="L3663">
        <v>190.64879999999999</v>
      </c>
      <c r="M3663">
        <v>0.1717776</v>
      </c>
      <c r="N3663">
        <v>-1.3327779999999999E-2</v>
      </c>
      <c r="O3663">
        <v>-0.98504570000000002</v>
      </c>
      <c r="P3663">
        <v>8.9836029999999997E-2</v>
      </c>
      <c r="Q3663">
        <v>-0.11275639999999899</v>
      </c>
      <c r="R3663">
        <v>-0.98955349999999997</v>
      </c>
      <c r="S3663">
        <v>-0.41503909999999999</v>
      </c>
      <c r="T3663">
        <v>-0.22000990000000001</v>
      </c>
      <c r="U3663">
        <v>-3.0481410000000002</v>
      </c>
      <c r="V3663">
        <v>8.0948690000000004E-2</v>
      </c>
      <c r="W3663">
        <v>-9.9995230000000004E-2</v>
      </c>
      <c r="X3663">
        <v>0.99168959999999995</v>
      </c>
      <c r="Y3663">
        <v>0.30274469999999998</v>
      </c>
      <c r="Z3663">
        <v>5.4920759999999999E-2</v>
      </c>
      <c r="AA3663">
        <v>0.951488</v>
      </c>
      <c r="AB3663">
        <v>24</v>
      </c>
      <c r="AC3663">
        <v>-2.1175999999999799</v>
      </c>
      <c r="AD3663">
        <v>-1.1067429789879999</v>
      </c>
      <c r="AE3663">
        <v>-15.1512999999999</v>
      </c>
      <c r="AF3663">
        <v>4.6645905891510901</v>
      </c>
      <c r="AG3663">
        <v>-1.1067429789879999</v>
      </c>
      <c r="AH3663">
        <v>14.486443799038399</v>
      </c>
      <c r="AI3663">
        <v>94.159314956656402</v>
      </c>
      <c r="AJ3663">
        <v>72.151600253254898</v>
      </c>
      <c r="AK3663">
        <v>15.259106767063299</v>
      </c>
      <c r="AL3663">
        <v>95.738895801975801</v>
      </c>
      <c r="AM3663">
        <v>85.333460912020499</v>
      </c>
      <c r="AN3663">
        <v>0.99999999959181396</v>
      </c>
    </row>
    <row r="3664" spans="1:40" x14ac:dyDescent="0.25">
      <c r="A3664" t="str">
        <f>"20190305135307099"</f>
        <v>20190305135307099</v>
      </c>
      <c r="B3664" t="str">
        <f>"1551765187093721"</f>
        <v>1551765187093721</v>
      </c>
      <c r="C3664" t="s">
        <v>40</v>
      </c>
      <c r="D3664">
        <v>5.144393</v>
      </c>
      <c r="E3664">
        <v>0.57901969999999903</v>
      </c>
      <c r="F3664" t="s">
        <v>42</v>
      </c>
      <c r="G3664">
        <v>-195.8587</v>
      </c>
      <c r="H3664" s="1">
        <v>-3.5276770000000001E-6</v>
      </c>
      <c r="I3664">
        <v>174.29920000000001</v>
      </c>
      <c r="J3664">
        <v>-193.9478</v>
      </c>
      <c r="K3664">
        <v>1.1066240000000001</v>
      </c>
      <c r="L3664">
        <v>190.40260000000001</v>
      </c>
      <c r="M3664">
        <v>0.1681907</v>
      </c>
      <c r="N3664">
        <v>-1.333473E-2</v>
      </c>
      <c r="O3664">
        <v>-0.98566419999999999</v>
      </c>
      <c r="P3664">
        <v>8.1495390000000001E-2</v>
      </c>
      <c r="Q3664">
        <v>-0.1137326</v>
      </c>
      <c r="R3664">
        <v>-0.99016360000000003</v>
      </c>
      <c r="S3664">
        <v>-0.34808349999999999</v>
      </c>
      <c r="T3664">
        <v>-0.20577239999999999</v>
      </c>
      <c r="U3664">
        <v>-3.039825</v>
      </c>
      <c r="V3664">
        <v>8.5635639999999999E-2</v>
      </c>
      <c r="W3664">
        <v>-0.1010199</v>
      </c>
      <c r="X3664">
        <v>0.99119199999999996</v>
      </c>
      <c r="Y3664">
        <v>0.2789488</v>
      </c>
      <c r="Z3664">
        <v>5.1100470000000002E-2</v>
      </c>
      <c r="AA3664">
        <v>0.95894550000000001</v>
      </c>
      <c r="AB3664">
        <v>24</v>
      </c>
      <c r="AC3664">
        <v>-1.9108999999999901</v>
      </c>
      <c r="AD3664">
        <v>-1.1066275276769999</v>
      </c>
      <c r="AE3664">
        <v>-16.103399999999901</v>
      </c>
      <c r="AF3664">
        <v>4.5710695929506002</v>
      </c>
      <c r="AG3664">
        <v>-1.1066275276769999</v>
      </c>
      <c r="AH3664">
        <v>15.480442737436899</v>
      </c>
      <c r="AI3664">
        <v>93.922011351089793</v>
      </c>
      <c r="AJ3664">
        <v>73.549168245755396</v>
      </c>
      <c r="AK3664">
        <v>16.1791040869287</v>
      </c>
      <c r="AL3664">
        <v>95.797903682323494</v>
      </c>
      <c r="AM3664">
        <v>85.062099981300705</v>
      </c>
      <c r="AN3664">
        <v>1.0000000319491</v>
      </c>
    </row>
    <row r="3665" spans="1:40" x14ac:dyDescent="0.25">
      <c r="A3665" t="str">
        <f>"20190305135307112"</f>
        <v>20190305135307112</v>
      </c>
      <c r="B3665" t="str">
        <f>"1551765187103482"</f>
        <v>1551765187103482</v>
      </c>
      <c r="C3665" t="s">
        <v>40</v>
      </c>
      <c r="D3665">
        <v>5.1500069999999996</v>
      </c>
      <c r="E3665">
        <v>0.57856030000000003</v>
      </c>
      <c r="F3665" t="s">
        <v>42</v>
      </c>
      <c r="G3665">
        <v>-195.82409999999999</v>
      </c>
      <c r="H3665" s="1">
        <v>-3.8586699999999996E-6</v>
      </c>
      <c r="I3665">
        <v>175.28989999999999</v>
      </c>
      <c r="J3665">
        <v>-193.92519999999999</v>
      </c>
      <c r="K3665">
        <v>1.1065529999999999</v>
      </c>
      <c r="L3665">
        <v>190.2559</v>
      </c>
      <c r="M3665">
        <v>0.16598560000000001</v>
      </c>
      <c r="N3665">
        <v>-1.3338930000000001E-2</v>
      </c>
      <c r="O3665">
        <v>-0.98603810000000003</v>
      </c>
      <c r="P3665">
        <v>7.6718049999999996E-2</v>
      </c>
      <c r="Q3665">
        <v>-0.11408450000000001</v>
      </c>
      <c r="R3665">
        <v>-0.99050470000000002</v>
      </c>
      <c r="S3665">
        <v>-0.37684630000000002</v>
      </c>
      <c r="T3665">
        <v>-0.22225819999999999</v>
      </c>
      <c r="U3665">
        <v>-3.0352939999999999</v>
      </c>
      <c r="V3665">
        <v>8.8172840000000002E-2</v>
      </c>
      <c r="W3665">
        <v>-0.1013983</v>
      </c>
      <c r="X3665">
        <v>0.99093089999999995</v>
      </c>
      <c r="Y3665">
        <v>0.28586400000000001</v>
      </c>
      <c r="Z3665">
        <v>5.6266900000000002E-2</v>
      </c>
      <c r="AA3665">
        <v>0.95661689999999999</v>
      </c>
      <c r="AB3665">
        <v>24</v>
      </c>
      <c r="AC3665">
        <v>-1.89889999999999</v>
      </c>
      <c r="AD3665">
        <v>-1.1065568586700001</v>
      </c>
      <c r="AE3665">
        <v>-14.965999999999999</v>
      </c>
      <c r="AF3665">
        <v>4.3335995287495699</v>
      </c>
      <c r="AG3665">
        <v>-1.1065568586700001</v>
      </c>
      <c r="AH3665">
        <v>14.365847662615099</v>
      </c>
      <c r="AI3665">
        <v>94.217621268865699</v>
      </c>
      <c r="AJ3665">
        <v>73.213545482314899</v>
      </c>
      <c r="AK3665">
        <v>15.046000532450799</v>
      </c>
      <c r="AL3665">
        <v>95.819696161093404</v>
      </c>
      <c r="AM3665">
        <v>84.915223807361997</v>
      </c>
      <c r="AN3665">
        <v>1.0000000567656799</v>
      </c>
    </row>
    <row r="3666" spans="1:40" x14ac:dyDescent="0.25">
      <c r="A3666" t="str">
        <f>"20190305135307123"</f>
        <v>20190305135307123</v>
      </c>
      <c r="B3666" t="str">
        <f>"1551765187113242"</f>
        <v>1551765187113242</v>
      </c>
      <c r="C3666" t="s">
        <v>40</v>
      </c>
      <c r="D3666">
        <v>5.1421700000000001</v>
      </c>
      <c r="E3666">
        <v>0.57835080000000005</v>
      </c>
      <c r="F3666" t="s">
        <v>42</v>
      </c>
      <c r="G3666">
        <v>-195.77979999999999</v>
      </c>
      <c r="H3666" s="1">
        <v>-4.0170779999999999E-6</v>
      </c>
      <c r="I3666">
        <v>175.7784</v>
      </c>
      <c r="J3666">
        <v>-193.9049</v>
      </c>
      <c r="K3666">
        <v>1.1065020000000001</v>
      </c>
      <c r="L3666">
        <v>190.12219999999999</v>
      </c>
      <c r="M3666">
        <v>0.16394520000000001</v>
      </c>
      <c r="N3666">
        <v>-1.3342619999999999E-2</v>
      </c>
      <c r="O3666">
        <v>-0.98637929999999996</v>
      </c>
      <c r="P3666">
        <v>7.1592669999999997E-2</v>
      </c>
      <c r="Q3666">
        <v>-0.1143584</v>
      </c>
      <c r="R3666">
        <v>-0.99085659999999998</v>
      </c>
      <c r="S3666">
        <v>-0.38842769999999999</v>
      </c>
      <c r="T3666">
        <v>-0.23175509999999999</v>
      </c>
      <c r="U3666">
        <v>-3.0321349999999998</v>
      </c>
      <c r="V3666">
        <v>9.122545E-2</v>
      </c>
      <c r="W3666">
        <v>-0.1017016</v>
      </c>
      <c r="X3666">
        <v>0.99062340000000004</v>
      </c>
      <c r="Y3666">
        <v>0.28756880000000001</v>
      </c>
      <c r="Z3666">
        <v>5.9302569999999999E-2</v>
      </c>
      <c r="AA3666">
        <v>0.95592220000000006</v>
      </c>
      <c r="AB3666">
        <v>24</v>
      </c>
      <c r="AC3666">
        <v>-1.87489999999999</v>
      </c>
      <c r="AD3666">
        <v>-1.1065060170779999</v>
      </c>
      <c r="AE3666">
        <v>-14.3437999999999</v>
      </c>
      <c r="AF3666">
        <v>4.1768947889511097</v>
      </c>
      <c r="AG3666">
        <v>-1.1065060170779999</v>
      </c>
      <c r="AH3666">
        <v>13.761759026393101</v>
      </c>
      <c r="AI3666">
        <v>94.399591043695693</v>
      </c>
      <c r="AJ3666">
        <v>73.116190206925495</v>
      </c>
      <c r="AK3666">
        <v>14.424174747426999</v>
      </c>
      <c r="AL3666">
        <v>95.837164549961599</v>
      </c>
      <c r="AM3666">
        <v>84.738532489807696</v>
      </c>
      <c r="AN3666">
        <v>1.0000000093989101</v>
      </c>
    </row>
    <row r="3667" spans="1:40" x14ac:dyDescent="0.25">
      <c r="A3667" t="str">
        <f>"20190305135307137"</f>
        <v>20190305135307137</v>
      </c>
      <c r="B3667" t="str">
        <f>"1551765187133738"</f>
        <v>1551765187133738</v>
      </c>
      <c r="C3667" t="s">
        <v>40</v>
      </c>
      <c r="D3667">
        <v>5.1289059999999997</v>
      </c>
      <c r="E3667">
        <v>0.57739569999999996</v>
      </c>
      <c r="F3667" t="s">
        <v>42</v>
      </c>
      <c r="G3667">
        <v>-195.76820000000001</v>
      </c>
      <c r="H3667" s="1">
        <v>-4.1298709999999999E-6</v>
      </c>
      <c r="I3667">
        <v>176.11590000000001</v>
      </c>
      <c r="J3667">
        <v>-193.8853</v>
      </c>
      <c r="K3667">
        <v>1.10646</v>
      </c>
      <c r="L3667">
        <v>189.99</v>
      </c>
      <c r="M3667">
        <v>0.161882</v>
      </c>
      <c r="N3667">
        <v>-1.3345839999999999E-2</v>
      </c>
      <c r="O3667">
        <v>-0.98671989999999998</v>
      </c>
      <c r="P3667">
        <v>6.5668279999999996E-2</v>
      </c>
      <c r="Q3667">
        <v>-0.1147213</v>
      </c>
      <c r="R3667">
        <v>-0.99122489999999996</v>
      </c>
      <c r="S3667">
        <v>-0.40298460000000003</v>
      </c>
      <c r="T3667">
        <v>-0.23930679999999999</v>
      </c>
      <c r="U3667">
        <v>-3.029175</v>
      </c>
      <c r="V3667">
        <v>9.5050800000000005E-2</v>
      </c>
      <c r="W3667">
        <v>-0.10209849999999999</v>
      </c>
      <c r="X3667">
        <v>0.99022279999999996</v>
      </c>
      <c r="Y3667">
        <v>0.29017270000000001</v>
      </c>
      <c r="Z3667">
        <v>6.1713030000000002E-2</v>
      </c>
      <c r="AA3667">
        <v>0.95498240000000001</v>
      </c>
      <c r="AB3667">
        <v>24</v>
      </c>
      <c r="AC3667">
        <v>-1.8829</v>
      </c>
      <c r="AD3667">
        <v>-1.1064641298710001</v>
      </c>
      <c r="AE3667">
        <v>-13.8741</v>
      </c>
      <c r="AF3667">
        <v>4.0787551591105196</v>
      </c>
      <c r="AG3667">
        <v>-1.1064641298710001</v>
      </c>
      <c r="AH3667">
        <v>13.3031553109416</v>
      </c>
      <c r="AI3667">
        <v>94.546560487437006</v>
      </c>
      <c r="AJ3667">
        <v>72.954429993116094</v>
      </c>
      <c r="AK3667">
        <v>13.958311063509701</v>
      </c>
      <c r="AL3667">
        <v>95.860024434278401</v>
      </c>
      <c r="AM3667">
        <v>84.517016645104206</v>
      </c>
      <c r="AN3667">
        <v>0.99999997596136403</v>
      </c>
    </row>
    <row r="3668" spans="1:40" x14ac:dyDescent="0.25">
      <c r="A3668" t="str">
        <f>"20190305135307153"</f>
        <v>20190305135307153</v>
      </c>
      <c r="B3668" t="str">
        <f>"1551765187143497"</f>
        <v>1551765187143497</v>
      </c>
      <c r="C3668" t="s">
        <v>40</v>
      </c>
      <c r="D3668">
        <v>5.1316389999999998</v>
      </c>
      <c r="E3668">
        <v>0.57709089999999996</v>
      </c>
      <c r="F3668" t="s">
        <v>42</v>
      </c>
      <c r="G3668">
        <v>-195.71600000000001</v>
      </c>
      <c r="H3668" s="1">
        <v>-4.2920599999999997E-6</v>
      </c>
      <c r="I3668">
        <v>176.6198</v>
      </c>
      <c r="J3668">
        <v>-193.8603</v>
      </c>
      <c r="K3668">
        <v>1.106406</v>
      </c>
      <c r="L3668">
        <v>189.8185</v>
      </c>
      <c r="M3668">
        <v>0.1591784</v>
      </c>
      <c r="N3668">
        <v>-1.334955E-2</v>
      </c>
      <c r="O3668">
        <v>-0.98715960000000003</v>
      </c>
      <c r="P3668">
        <v>5.2105499999999902E-2</v>
      </c>
      <c r="Q3668">
        <v>-0.11611009999999999</v>
      </c>
      <c r="R3668">
        <v>-0.99186890000000005</v>
      </c>
      <c r="S3668">
        <v>-0.41419980000000001</v>
      </c>
      <c r="T3668">
        <v>-0.25033860000000002</v>
      </c>
      <c r="U3668">
        <v>-3.0250240000000002</v>
      </c>
      <c r="V3668">
        <v>0.1058154</v>
      </c>
      <c r="W3668">
        <v>-0.10357669999999999</v>
      </c>
      <c r="X3668">
        <v>0.98897670000000004</v>
      </c>
      <c r="Y3668">
        <v>0.29115990000000003</v>
      </c>
      <c r="Z3668">
        <v>6.5282560000000003E-2</v>
      </c>
      <c r="AA3668">
        <v>0.95444439999999997</v>
      </c>
      <c r="AB3668">
        <v>24</v>
      </c>
      <c r="AC3668">
        <v>-1.8556999999999799</v>
      </c>
      <c r="AD3668">
        <v>-1.1064102920600001</v>
      </c>
      <c r="AE3668">
        <v>-13.198700000000001</v>
      </c>
      <c r="AF3668">
        <v>3.90625323855107</v>
      </c>
      <c r="AG3668">
        <v>-1.1064102920600001</v>
      </c>
      <c r="AH3668">
        <v>12.6478171150449</v>
      </c>
      <c r="AI3668">
        <v>94.777835152384895</v>
      </c>
      <c r="AJ3668">
        <v>72.836800316977502</v>
      </c>
      <c r="AK3668">
        <v>13.2834572259518</v>
      </c>
      <c r="AL3668">
        <v>95.9451705177582</v>
      </c>
      <c r="AM3668">
        <v>83.892881288508605</v>
      </c>
      <c r="AN3668">
        <v>0.99999997240146898</v>
      </c>
    </row>
    <row r="3669" spans="1:40" x14ac:dyDescent="0.25">
      <c r="A3669" t="str">
        <f>"20190305135307188"</f>
        <v>20190305135307188</v>
      </c>
      <c r="B3669" t="str">
        <f>"1551765187183513"</f>
        <v>1551765187183513</v>
      </c>
      <c r="C3669" t="s">
        <v>40</v>
      </c>
      <c r="D3669">
        <v>5.2882499999999997</v>
      </c>
      <c r="E3669">
        <v>0.57697209999999999</v>
      </c>
      <c r="F3669" t="s">
        <v>42</v>
      </c>
      <c r="G3669">
        <v>-195.81229999999999</v>
      </c>
      <c r="H3669" s="1">
        <v>-4.3801309999999996E-6</v>
      </c>
      <c r="I3669">
        <v>176.82830000000001</v>
      </c>
      <c r="J3669">
        <v>-193.80840000000001</v>
      </c>
      <c r="K3669">
        <v>1.1063419999999999</v>
      </c>
      <c r="L3669">
        <v>189.45140000000001</v>
      </c>
      <c r="M3669">
        <v>0.1532937</v>
      </c>
      <c r="N3669">
        <v>-1.3355880000000001E-2</v>
      </c>
      <c r="O3669">
        <v>-0.98809060000000004</v>
      </c>
      <c r="P3669">
        <v>2.9920019999999999E-2</v>
      </c>
      <c r="Q3669">
        <v>-0.1185991</v>
      </c>
      <c r="R3669">
        <v>-0.99249169999999998</v>
      </c>
      <c r="S3669">
        <v>-0.45356750000000001</v>
      </c>
      <c r="T3669">
        <v>-0.2570808</v>
      </c>
      <c r="U3669">
        <v>-3.0183260000000001</v>
      </c>
      <c r="V3669">
        <v>0.12192119999999999</v>
      </c>
      <c r="W3669">
        <v>-0.106201</v>
      </c>
      <c r="X3669">
        <v>0.98684170000000004</v>
      </c>
      <c r="Y3669">
        <v>0.29790220000000001</v>
      </c>
      <c r="Z3669">
        <v>6.7508659999999998E-2</v>
      </c>
      <c r="AA3669">
        <v>0.95220629999999995</v>
      </c>
      <c r="AB3669">
        <v>24</v>
      </c>
      <c r="AC3669">
        <v>-2.0038999999999798</v>
      </c>
      <c r="AD3669">
        <v>-1.1063463801309901</v>
      </c>
      <c r="AE3669">
        <v>-12.6230999999999</v>
      </c>
      <c r="AF3669">
        <v>3.8863058515750701</v>
      </c>
      <c r="AG3669">
        <v>-1.1063463801309901</v>
      </c>
      <c r="AH3669">
        <v>12.076180361671399</v>
      </c>
      <c r="AI3669">
        <v>94.984111266519903</v>
      </c>
      <c r="AJ3669">
        <v>72.161003485098007</v>
      </c>
      <c r="AK3669">
        <v>12.734265099032299</v>
      </c>
      <c r="AL3669">
        <v>96.096365798185801</v>
      </c>
      <c r="AM3669">
        <v>82.956975763751601</v>
      </c>
      <c r="AN3669">
        <v>0.99999998613466501</v>
      </c>
    </row>
    <row r="3670" spans="1:40" x14ac:dyDescent="0.25">
      <c r="A3670" t="str">
        <f>"20190305135307221"</f>
        <v>20190305135307221</v>
      </c>
      <c r="B3670" t="str">
        <f>"1551765187213770"</f>
        <v>1551765187213770</v>
      </c>
      <c r="C3670" t="s">
        <v>40</v>
      </c>
      <c r="D3670">
        <v>5.1906540000000003</v>
      </c>
      <c r="E3670">
        <v>0.59874769999999999</v>
      </c>
      <c r="F3670" t="s">
        <v>42</v>
      </c>
      <c r="G3670">
        <v>-196.13890000000001</v>
      </c>
      <c r="H3670" s="1">
        <v>-4.1386980000000002E-6</v>
      </c>
      <c r="I3670">
        <v>175.9487</v>
      </c>
      <c r="J3670">
        <v>-193.7595</v>
      </c>
      <c r="K3670">
        <v>1.106328</v>
      </c>
      <c r="L3670">
        <v>189.08869999999999</v>
      </c>
      <c r="M3670">
        <v>0.14742539999999901</v>
      </c>
      <c r="N3670">
        <v>-1.335984E-2</v>
      </c>
      <c r="O3670">
        <v>-0.98898319999999995</v>
      </c>
      <c r="P3670">
        <v>3.8117229999999999E-3</v>
      </c>
      <c r="Q3670">
        <v>-0.12267</v>
      </c>
      <c r="R3670">
        <v>-0.99244049999999995</v>
      </c>
      <c r="S3670">
        <v>-0.51931759999999905</v>
      </c>
      <c r="T3670">
        <v>-0.24653410000000001</v>
      </c>
      <c r="U3670">
        <v>-3.008896</v>
      </c>
      <c r="V3670">
        <v>0.1418605</v>
      </c>
      <c r="W3670">
        <v>-0.110434</v>
      </c>
      <c r="X3670">
        <v>0.9837072</v>
      </c>
      <c r="Y3670">
        <v>0.31294850000000002</v>
      </c>
      <c r="Z3670">
        <v>6.4203259999999998E-2</v>
      </c>
      <c r="AA3670">
        <v>0.94759760000000004</v>
      </c>
      <c r="AB3670">
        <v>24</v>
      </c>
      <c r="AC3670">
        <v>-2.3794</v>
      </c>
      <c r="AD3670">
        <v>-1.1063321386980001</v>
      </c>
      <c r="AE3670">
        <v>-13.139999999999899</v>
      </c>
      <c r="AF3670">
        <v>4.2614879918236896</v>
      </c>
      <c r="AG3670">
        <v>-1.1063321386980001</v>
      </c>
      <c r="AH3670">
        <v>12.5593748904811</v>
      </c>
      <c r="AI3670">
        <v>94.7684055350595</v>
      </c>
      <c r="AJ3670">
        <v>71.257548795906104</v>
      </c>
      <c r="AK3670">
        <v>13.308724519848701</v>
      </c>
      <c r="AL3670">
        <v>96.340334601954197</v>
      </c>
      <c r="AM3670">
        <v>81.793944498327704</v>
      </c>
      <c r="AN3670">
        <v>0.999999962574044</v>
      </c>
    </row>
    <row r="3671" spans="1:40" x14ac:dyDescent="0.25">
      <c r="A3671" t="str">
        <f>"20190305135307243"</f>
        <v>20190305135307243</v>
      </c>
      <c r="B3671" t="str">
        <f>"1551765187233289"</f>
        <v>1551765187233289</v>
      </c>
      <c r="C3671" t="s">
        <v>40</v>
      </c>
      <c r="D3671">
        <v>5.1855960000000003</v>
      </c>
      <c r="E3671">
        <v>0.61058310000000005</v>
      </c>
      <c r="F3671" t="s">
        <v>42</v>
      </c>
      <c r="G3671">
        <v>-199.88059999999999</v>
      </c>
      <c r="H3671" s="1">
        <v>-4.7496859999999996E-6</v>
      </c>
      <c r="I3671">
        <v>165.09059999999999</v>
      </c>
      <c r="J3671">
        <v>-193.7295</v>
      </c>
      <c r="K3671">
        <v>1.106333</v>
      </c>
      <c r="L3671">
        <v>188.8579</v>
      </c>
      <c r="M3671">
        <v>0.14369660000000001</v>
      </c>
      <c r="N3671">
        <v>-1.336148E-2</v>
      </c>
      <c r="O3671">
        <v>-0.98953179999999996</v>
      </c>
      <c r="P3671">
        <v>-1.426842E-2</v>
      </c>
      <c r="Q3671">
        <v>-0.12613099999999999</v>
      </c>
      <c r="R3671">
        <v>-0.99191110000000005</v>
      </c>
      <c r="S3671">
        <v>-0.76739499999999905</v>
      </c>
      <c r="T3671">
        <v>-0.13870109999999999</v>
      </c>
      <c r="U3671">
        <v>-3.0086520000000001</v>
      </c>
      <c r="V3671">
        <v>0.1559564</v>
      </c>
      <c r="W3671">
        <v>-0.11401020000000001</v>
      </c>
      <c r="X3671">
        <v>0.98116219999999998</v>
      </c>
      <c r="Y3671">
        <v>0.3835768</v>
      </c>
      <c r="Z3671">
        <v>2.9288479999999999E-2</v>
      </c>
      <c r="AA3671">
        <v>0.92304439999999999</v>
      </c>
      <c r="AB3671">
        <v>24</v>
      </c>
      <c r="AC3671">
        <v>-6.15109999999998</v>
      </c>
      <c r="AD3671">
        <v>-1.1063377496860001</v>
      </c>
      <c r="AE3671">
        <v>-23.767299999999999</v>
      </c>
      <c r="AF3671">
        <v>9.4835766346726498</v>
      </c>
      <c r="AG3671">
        <v>-1.1063377496860001</v>
      </c>
      <c r="AH3671">
        <v>22.590746446382202</v>
      </c>
      <c r="AI3671">
        <v>92.585463973034095</v>
      </c>
      <c r="AJ3671">
        <v>67.227376204575705</v>
      </c>
      <c r="AK3671">
        <v>24.525579177805799</v>
      </c>
      <c r="AL3671">
        <v>96.546538246530005</v>
      </c>
      <c r="AM3671">
        <v>80.968353504791295</v>
      </c>
      <c r="AN3671">
        <v>0.99999999355691904</v>
      </c>
    </row>
    <row r="3672" spans="1:40" x14ac:dyDescent="0.25">
      <c r="A3672" t="str">
        <f>"20190305135307264"</f>
        <v>20190305135307264</v>
      </c>
      <c r="B3672" t="str">
        <f>"1551765187253790"</f>
        <v>1551765187253790</v>
      </c>
      <c r="C3672" t="s">
        <v>40</v>
      </c>
      <c r="D3672">
        <v>5.1313839999999997</v>
      </c>
      <c r="E3672">
        <v>0.61303759999999996</v>
      </c>
      <c r="F3672" t="s">
        <v>42</v>
      </c>
      <c r="G3672">
        <v>-200.77029999999999</v>
      </c>
      <c r="H3672">
        <v>7.998624E-2</v>
      </c>
      <c r="I3672">
        <v>165.83519999999999</v>
      </c>
      <c r="J3672">
        <v>-193.70050000000001</v>
      </c>
      <c r="K3672">
        <v>1.1063480000000001</v>
      </c>
      <c r="L3672">
        <v>188.6283</v>
      </c>
      <c r="M3672">
        <v>0.14000460000000001</v>
      </c>
      <c r="N3672">
        <v>-1.3362489999999999E-2</v>
      </c>
      <c r="O3672">
        <v>-0.99006070000000002</v>
      </c>
      <c r="P3672">
        <v>-3.0538650000000001E-2</v>
      </c>
      <c r="Q3672">
        <v>-0.12819179999999999</v>
      </c>
      <c r="R3672">
        <v>-0.99127909999999997</v>
      </c>
      <c r="S3672">
        <v>-0.91572569999999998</v>
      </c>
      <c r="T3672">
        <v>-0.13348759999999901</v>
      </c>
      <c r="U3672">
        <v>-2.994354</v>
      </c>
      <c r="V3672">
        <v>0.1683154</v>
      </c>
      <c r="W3672">
        <v>-0.1161698</v>
      </c>
      <c r="X3672">
        <v>0.97886390000000001</v>
      </c>
      <c r="Y3672">
        <v>0.42319269999999998</v>
      </c>
      <c r="Z3672">
        <v>2.72115E-2</v>
      </c>
      <c r="AA3672">
        <v>0.90563099999999996</v>
      </c>
      <c r="AB3672">
        <v>24</v>
      </c>
      <c r="AC3672">
        <v>-7.0697999999999803</v>
      </c>
      <c r="AD3672">
        <v>-1.0263617599999999</v>
      </c>
      <c r="AE3672">
        <v>-22.793099999999999</v>
      </c>
      <c r="AF3672">
        <v>10.1727631692639</v>
      </c>
      <c r="AG3672">
        <v>-1.0263617599999999</v>
      </c>
      <c r="AH3672">
        <v>21.538833844267099</v>
      </c>
      <c r="AI3672">
        <v>92.467217317725797</v>
      </c>
      <c r="AJ3672">
        <v>64.718695098394704</v>
      </c>
      <c r="AK3672">
        <v>23.842396950207601</v>
      </c>
      <c r="AL3672">
        <v>96.671101808292306</v>
      </c>
      <c r="AM3672">
        <v>80.2434153047259</v>
      </c>
      <c r="AN3672">
        <v>1.0000000155162001</v>
      </c>
    </row>
    <row r="3673" spans="1:40" x14ac:dyDescent="0.25">
      <c r="A3673" t="str">
        <f>"20190305135307287"</f>
        <v>20190305135307287</v>
      </c>
      <c r="B3673" t="str">
        <f>"1551765187283066"</f>
        <v>1551765187283066</v>
      </c>
      <c r="C3673" t="s">
        <v>40</v>
      </c>
      <c r="D3673">
        <v>5.1601939999999997</v>
      </c>
      <c r="E3673">
        <v>0.61259589999999997</v>
      </c>
      <c r="F3673" t="s">
        <v>42</v>
      </c>
      <c r="G3673">
        <v>-200.7998</v>
      </c>
      <c r="H3673">
        <v>7.9985780000000006E-2</v>
      </c>
      <c r="I3673">
        <v>167.1413</v>
      </c>
      <c r="J3673">
        <v>-193.6711</v>
      </c>
      <c r="K3673">
        <v>1.1063700000000001</v>
      </c>
      <c r="L3673">
        <v>188.38759999999999</v>
      </c>
      <c r="M3673">
        <v>0.13615289999999999</v>
      </c>
      <c r="N3673">
        <v>-1.3363079999999999E-2</v>
      </c>
      <c r="O3673">
        <v>-0.99059770000000003</v>
      </c>
      <c r="P3673">
        <v>-4.4790190000000001E-2</v>
      </c>
      <c r="Q3673">
        <v>-0.129166899999999</v>
      </c>
      <c r="R3673">
        <v>-0.99061109999999997</v>
      </c>
      <c r="S3673">
        <v>-0.98382570000000003</v>
      </c>
      <c r="T3673">
        <v>-0.14223420000000001</v>
      </c>
      <c r="U3673">
        <v>-2.9776919999999998</v>
      </c>
      <c r="V3673">
        <v>0.1785407</v>
      </c>
      <c r="W3673">
        <v>-0.117225</v>
      </c>
      <c r="X3673">
        <v>0.97692449999999997</v>
      </c>
      <c r="Y3673">
        <v>0.43977250000000001</v>
      </c>
      <c r="Z3673">
        <v>2.980783E-2</v>
      </c>
      <c r="AA3673">
        <v>0.89761440000000003</v>
      </c>
      <c r="AB3673">
        <v>24</v>
      </c>
      <c r="AC3673">
        <v>-7.1287000000000003</v>
      </c>
      <c r="AD3673">
        <v>-1.02638422</v>
      </c>
      <c r="AE3673">
        <v>-21.246299999999898</v>
      </c>
      <c r="AF3673">
        <v>9.9344696060868802</v>
      </c>
      <c r="AG3673">
        <v>-1.02638422</v>
      </c>
      <c r="AH3673">
        <v>20.035708688315701</v>
      </c>
      <c r="AI3673">
        <v>92.627782371209804</v>
      </c>
      <c r="AJ3673">
        <v>63.626029359363002</v>
      </c>
      <c r="AK3673">
        <v>22.386977767541101</v>
      </c>
      <c r="AL3673">
        <v>96.731976477585803</v>
      </c>
      <c r="AM3673">
        <v>79.643041520595801</v>
      </c>
      <c r="AN3673">
        <v>0.99999998044086902</v>
      </c>
    </row>
    <row r="3674" spans="1:40" x14ac:dyDescent="0.25">
      <c r="A3674" t="str">
        <f>"20190305135307310"</f>
        <v>20190305135307310</v>
      </c>
      <c r="B3674" t="str">
        <f>"1551765187303561"</f>
        <v>1551765187303561</v>
      </c>
      <c r="C3674" t="s">
        <v>40</v>
      </c>
      <c r="D3674">
        <v>5.1744960000000004</v>
      </c>
      <c r="E3674">
        <v>0.6111721</v>
      </c>
      <c r="F3674" t="s">
        <v>42</v>
      </c>
      <c r="G3674">
        <v>-201.02699999999999</v>
      </c>
      <c r="H3674">
        <v>7.9985810000000004E-2</v>
      </c>
      <c r="I3674">
        <v>167.0719</v>
      </c>
      <c r="J3674">
        <v>-193.64179999999999</v>
      </c>
      <c r="K3674">
        <v>1.10639</v>
      </c>
      <c r="L3674">
        <v>188.13980000000001</v>
      </c>
      <c r="M3674">
        <v>0.13220100000000001</v>
      </c>
      <c r="N3674">
        <v>-1.336331E-2</v>
      </c>
      <c r="O3674">
        <v>-0.99113300000000004</v>
      </c>
      <c r="P3674">
        <v>-5.806099E-2</v>
      </c>
      <c r="Q3674">
        <v>-0.12882939999999901</v>
      </c>
      <c r="R3674">
        <v>-0.98996600000000001</v>
      </c>
      <c r="S3674">
        <v>-1.022705</v>
      </c>
      <c r="T3674">
        <v>-0.14270099999999999</v>
      </c>
      <c r="U3674">
        <v>-2.9635769999999999</v>
      </c>
      <c r="V3674">
        <v>0.1877248</v>
      </c>
      <c r="W3674">
        <v>-0.1169589</v>
      </c>
      <c r="X3674">
        <v>0.97523329999999997</v>
      </c>
      <c r="Y3674">
        <v>0.44800410000000002</v>
      </c>
      <c r="Z3674">
        <v>2.9996370000000001E-2</v>
      </c>
      <c r="AA3674">
        <v>0.893528199999999</v>
      </c>
      <c r="AB3674">
        <v>24</v>
      </c>
      <c r="AC3674">
        <v>-7.3852000000000197</v>
      </c>
      <c r="AD3674">
        <v>-1.02640419</v>
      </c>
      <c r="AE3674">
        <v>-21.067900000000002</v>
      </c>
      <c r="AF3674">
        <v>10.0844972476891</v>
      </c>
      <c r="AG3674">
        <v>-1.02640419</v>
      </c>
      <c r="AH3674">
        <v>19.864545186435901</v>
      </c>
      <c r="AI3674">
        <v>92.637929010718295</v>
      </c>
      <c r="AJ3674">
        <v>63.084774420299901</v>
      </c>
      <c r="AK3674">
        <v>22.3013619710513</v>
      </c>
      <c r="AL3674">
        <v>96.716624419895794</v>
      </c>
      <c r="AM3674">
        <v>79.104278991941996</v>
      </c>
      <c r="AN3674">
        <v>0.99999998712656901</v>
      </c>
    </row>
    <row r="3675" spans="1:40" x14ac:dyDescent="0.25">
      <c r="A3675" t="str">
        <f>"20190305135307331"</f>
        <v>20190305135307331</v>
      </c>
      <c r="B3675" t="str">
        <f>"1551765187323082"</f>
        <v>1551765187323082</v>
      </c>
      <c r="C3675" t="s">
        <v>40</v>
      </c>
      <c r="D3675">
        <v>5.1539919999999997</v>
      </c>
      <c r="E3675">
        <v>0.60909650000000004</v>
      </c>
      <c r="F3675" t="s">
        <v>42</v>
      </c>
      <c r="G3675">
        <v>-201.00290000000001</v>
      </c>
      <c r="H3675">
        <v>7.9985680000000003E-2</v>
      </c>
      <c r="I3675">
        <v>167.4837</v>
      </c>
      <c r="J3675">
        <v>-193.6157</v>
      </c>
      <c r="K3675">
        <v>1.1064039999999999</v>
      </c>
      <c r="L3675">
        <v>187.911</v>
      </c>
      <c r="M3675">
        <v>0.12855610000000001</v>
      </c>
      <c r="N3675">
        <v>-1.3363430000000001E-2</v>
      </c>
      <c r="O3675">
        <v>-0.9916123</v>
      </c>
      <c r="P3675">
        <v>-6.9645830000000006E-2</v>
      </c>
      <c r="Q3675">
        <v>-0.12799929999999901</v>
      </c>
      <c r="R3675">
        <v>-0.98932609999999999</v>
      </c>
      <c r="S3675">
        <v>-1.0511629999999901</v>
      </c>
      <c r="T3675">
        <v>-0.146570799999999</v>
      </c>
      <c r="U3675">
        <v>-2.9496920000000002</v>
      </c>
      <c r="V3675">
        <v>0.19555819999999999</v>
      </c>
      <c r="W3675">
        <v>-0.1161909</v>
      </c>
      <c r="X3675">
        <v>0.97378469999999995</v>
      </c>
      <c r="Y3675">
        <v>0.45365719999999998</v>
      </c>
      <c r="Z3675">
        <v>3.1272750000000002E-2</v>
      </c>
      <c r="AA3675">
        <v>0.89062739999999996</v>
      </c>
      <c r="AB3675">
        <v>24</v>
      </c>
      <c r="AC3675">
        <v>-7.3872</v>
      </c>
      <c r="AD3675">
        <v>-1.0264183200000001</v>
      </c>
      <c r="AE3675">
        <v>-20.427299999999899</v>
      </c>
      <c r="AF3675">
        <v>9.9300083687252698</v>
      </c>
      <c r="AG3675">
        <v>-1.0264183200000001</v>
      </c>
      <c r="AH3675">
        <v>19.264999606180901</v>
      </c>
      <c r="AI3675">
        <v>92.711386668467796</v>
      </c>
      <c r="AJ3675">
        <v>62.731476847615298</v>
      </c>
      <c r="AK3675">
        <v>21.697898759943001</v>
      </c>
      <c r="AL3675">
        <v>96.672319173628196</v>
      </c>
      <c r="AM3675">
        <v>78.644743236707995</v>
      </c>
      <c r="AN3675">
        <v>0.99999998839206905</v>
      </c>
    </row>
    <row r="3676" spans="1:40" x14ac:dyDescent="0.25">
      <c r="A3676" t="str">
        <f>"20190305135307355"</f>
        <v>20190305135307355</v>
      </c>
      <c r="B3676" t="str">
        <f>"1551765187343578"</f>
        <v>1551765187343578</v>
      </c>
      <c r="C3676" t="s">
        <v>40</v>
      </c>
      <c r="D3676">
        <v>5.1766310000000004</v>
      </c>
      <c r="E3676">
        <v>0.60821749999999997</v>
      </c>
      <c r="F3676" t="s">
        <v>42</v>
      </c>
      <c r="G3676">
        <v>-200.77799999999999</v>
      </c>
      <c r="H3676">
        <v>7.9985410000000007E-2</v>
      </c>
      <c r="I3676">
        <v>168.23759999999999</v>
      </c>
      <c r="J3676">
        <v>-193.58949999999999</v>
      </c>
      <c r="K3676">
        <v>1.1064039999999999</v>
      </c>
      <c r="L3676">
        <v>187.67410000000001</v>
      </c>
      <c r="M3676">
        <v>0.1247747</v>
      </c>
      <c r="N3676">
        <v>-1.336353E-2</v>
      </c>
      <c r="O3676">
        <v>-0.99209519999999995</v>
      </c>
      <c r="P3676">
        <v>-7.979725E-2</v>
      </c>
      <c r="Q3676">
        <v>-0.12731149999999999</v>
      </c>
      <c r="R3676">
        <v>-0.98864790000000002</v>
      </c>
      <c r="S3676">
        <v>-1.0693509999999999</v>
      </c>
      <c r="T3676">
        <v>-0.1532463</v>
      </c>
      <c r="U3676">
        <v>-2.9372859999999998</v>
      </c>
      <c r="V3676">
        <v>0.20184350000000001</v>
      </c>
      <c r="W3676">
        <v>-0.11555459999999999</v>
      </c>
      <c r="X3676">
        <v>0.97257720000000003</v>
      </c>
      <c r="Y3676">
        <v>0.45629350000000002</v>
      </c>
      <c r="Z3676">
        <v>3.3459419999999997E-2</v>
      </c>
      <c r="AA3676">
        <v>0.88919999999999999</v>
      </c>
      <c r="AB3676">
        <v>24</v>
      </c>
      <c r="AC3676">
        <v>-7.1885000000000003</v>
      </c>
      <c r="AD3676">
        <v>-1.02641859</v>
      </c>
      <c r="AE3676">
        <v>-19.436499999999999</v>
      </c>
      <c r="AF3676">
        <v>9.5343226581747391</v>
      </c>
      <c r="AG3676">
        <v>-1.02641859</v>
      </c>
      <c r="AH3676">
        <v>18.342557456456301</v>
      </c>
      <c r="AI3676">
        <v>92.842479897123198</v>
      </c>
      <c r="AJ3676">
        <v>62.534930339176498</v>
      </c>
      <c r="AK3676">
        <v>20.697977140664801</v>
      </c>
      <c r="AL3676">
        <v>96.635614304568193</v>
      </c>
      <c r="AM3676">
        <v>78.275573933137295</v>
      </c>
      <c r="AN3676">
        <v>1.00000003701662</v>
      </c>
    </row>
    <row r="3677" spans="1:40" x14ac:dyDescent="0.25">
      <c r="A3677" t="str">
        <f>"20190305135307378"</f>
        <v>20190305135307378</v>
      </c>
      <c r="B3677" t="str">
        <f>"1551765187373834"</f>
        <v>1551765187373834</v>
      </c>
      <c r="C3677" t="s">
        <v>40</v>
      </c>
      <c r="D3677">
        <v>5.1465180000000004</v>
      </c>
      <c r="E3677">
        <v>0.60632869999999905</v>
      </c>
      <c r="F3677" t="s">
        <v>42</v>
      </c>
      <c r="G3677">
        <v>-201.3082</v>
      </c>
      <c r="H3677">
        <v>7.9985860000000006E-2</v>
      </c>
      <c r="I3677">
        <v>166.98939999999999</v>
      </c>
      <c r="J3677">
        <v>-193.56270000000001</v>
      </c>
      <c r="K3677">
        <v>1.106398</v>
      </c>
      <c r="L3677">
        <v>187.4229</v>
      </c>
      <c r="M3677">
        <v>0.1207531</v>
      </c>
      <c r="N3677">
        <v>-1.336357E-2</v>
      </c>
      <c r="O3677">
        <v>-0.99259260000000005</v>
      </c>
      <c r="P3677">
        <v>-8.9580610000000005E-2</v>
      </c>
      <c r="Q3677">
        <v>-0.127584</v>
      </c>
      <c r="R3677">
        <v>-0.98777429999999999</v>
      </c>
      <c r="S3677">
        <v>-1.0924529999999999</v>
      </c>
      <c r="T3677">
        <v>-0.14527209999999999</v>
      </c>
      <c r="U3677">
        <v>-2.9275669999999998</v>
      </c>
      <c r="V3677">
        <v>0.2075121</v>
      </c>
      <c r="W3677">
        <v>-0.1158766</v>
      </c>
      <c r="X3677">
        <v>0.97134509999999996</v>
      </c>
      <c r="Y3677">
        <v>0.45984190000000003</v>
      </c>
      <c r="Z3677">
        <v>3.1087460000000001E-2</v>
      </c>
      <c r="AA3677">
        <v>0.88745649999999998</v>
      </c>
      <c r="AB3677">
        <v>24</v>
      </c>
      <c r="AC3677">
        <v>-7.7454999999999901</v>
      </c>
      <c r="AD3677">
        <v>-1.0264121399999999</v>
      </c>
      <c r="AE3677">
        <v>-20.433499999999999</v>
      </c>
      <c r="AF3677">
        <v>10.134083412088501</v>
      </c>
      <c r="AG3677">
        <v>-1.0264121399999999</v>
      </c>
      <c r="AH3677">
        <v>19.305982353226199</v>
      </c>
      <c r="AI3677">
        <v>92.695162317283305</v>
      </c>
      <c r="AJ3677">
        <v>62.3041504637958</v>
      </c>
      <c r="AK3677">
        <v>21.828287223403201</v>
      </c>
      <c r="AL3677">
        <v>96.654188694543706</v>
      </c>
      <c r="AM3677">
        <v>77.940962313449603</v>
      </c>
      <c r="AN3677">
        <v>0.99999998068398899</v>
      </c>
    </row>
    <row r="3678" spans="1:40" x14ac:dyDescent="0.25">
      <c r="A3678" t="str">
        <f>"20190305135307401"</f>
        <v>20190305135307401</v>
      </c>
      <c r="B3678" t="str">
        <f>"1551765187393354"</f>
        <v>1551765187393354</v>
      </c>
      <c r="C3678" t="s">
        <v>40</v>
      </c>
      <c r="D3678">
        <v>5.108657</v>
      </c>
      <c r="E3678">
        <v>0.60490189999999999</v>
      </c>
      <c r="F3678" t="s">
        <v>42</v>
      </c>
      <c r="G3678">
        <v>-201.7079</v>
      </c>
      <c r="H3678">
        <v>7.998624E-2</v>
      </c>
      <c r="I3678">
        <v>165.94130000000001</v>
      </c>
      <c r="J3678">
        <v>-193.53749999999999</v>
      </c>
      <c r="K3678">
        <v>1.106384</v>
      </c>
      <c r="L3678">
        <v>187.1772</v>
      </c>
      <c r="M3678">
        <v>0.11680739999999901</v>
      </c>
      <c r="N3678">
        <v>-1.3363470000000001E-2</v>
      </c>
      <c r="O3678">
        <v>-0.99306479999999997</v>
      </c>
      <c r="P3678">
        <v>-9.8049739999999996E-2</v>
      </c>
      <c r="Q3678">
        <v>-0.13119169999999999</v>
      </c>
      <c r="R3678">
        <v>-0.98649629999999999</v>
      </c>
      <c r="S3678">
        <v>-1.1067049999999901</v>
      </c>
      <c r="T3678">
        <v>-0.13946020000000001</v>
      </c>
      <c r="U3678">
        <v>-2.9187319999999999</v>
      </c>
      <c r="V3678">
        <v>0.2118969</v>
      </c>
      <c r="W3678">
        <v>-0.1195292</v>
      </c>
      <c r="X3678">
        <v>0.96995489999999995</v>
      </c>
      <c r="Y3678">
        <v>0.461011</v>
      </c>
      <c r="Z3678">
        <v>2.94109E-2</v>
      </c>
      <c r="AA3678">
        <v>0.88690689999999905</v>
      </c>
      <c r="AB3678">
        <v>24</v>
      </c>
      <c r="AC3678">
        <v>-8.1704000000000008</v>
      </c>
      <c r="AD3678">
        <v>-1.02639776</v>
      </c>
      <c r="AE3678">
        <v>-21.235899999999901</v>
      </c>
      <c r="AF3678">
        <v>10.573675602091001</v>
      </c>
      <c r="AG3678">
        <v>-1.02639776</v>
      </c>
      <c r="AH3678">
        <v>20.095166042467</v>
      </c>
      <c r="AI3678">
        <v>92.588085646221799</v>
      </c>
      <c r="AJ3678">
        <v>62.247549700648598</v>
      </c>
      <c r="AK3678">
        <v>22.7304158865233</v>
      </c>
      <c r="AL3678">
        <v>96.864932045059604</v>
      </c>
      <c r="AM3678">
        <v>77.676739522977599</v>
      </c>
      <c r="AN3678">
        <v>1.00000001695812</v>
      </c>
    </row>
    <row r="3679" spans="1:40" x14ac:dyDescent="0.25">
      <c r="A3679" t="str">
        <f>"20190305135307422"</f>
        <v>20190305135307422</v>
      </c>
      <c r="B3679" t="str">
        <f>"1551765187413850"</f>
        <v>1551765187413850</v>
      </c>
      <c r="C3679" t="s">
        <v>40</v>
      </c>
      <c r="D3679">
        <v>5.1698820000000003</v>
      </c>
      <c r="E3679">
        <v>0.60351940000000004</v>
      </c>
      <c r="F3679" t="s">
        <v>42</v>
      </c>
      <c r="G3679">
        <v>-201.255</v>
      </c>
      <c r="H3679">
        <v>7.9985799999999996E-2</v>
      </c>
      <c r="I3679">
        <v>167.14019999999999</v>
      </c>
      <c r="J3679">
        <v>-193.51509999999999</v>
      </c>
      <c r="K3679">
        <v>1.1063609999999999</v>
      </c>
      <c r="L3679">
        <v>186.95009999999999</v>
      </c>
      <c r="M3679">
        <v>0.11314929999999999</v>
      </c>
      <c r="N3679">
        <v>-1.3363109999999999E-2</v>
      </c>
      <c r="O3679">
        <v>-0.99348800000000004</v>
      </c>
      <c r="P3679">
        <v>-0.1056131</v>
      </c>
      <c r="Q3679">
        <v>-0.1341397</v>
      </c>
      <c r="R3679">
        <v>-0.98531849999999999</v>
      </c>
      <c r="S3679">
        <v>-1.120773</v>
      </c>
      <c r="T3679">
        <v>-0.14905769999999999</v>
      </c>
      <c r="U3679">
        <v>-2.9098660000000001</v>
      </c>
      <c r="V3679">
        <v>0.21569360000000001</v>
      </c>
      <c r="W3679">
        <v>-0.1225156</v>
      </c>
      <c r="X3679">
        <v>0.96874459999999996</v>
      </c>
      <c r="Y3679">
        <v>0.46233340000000001</v>
      </c>
      <c r="Z3679">
        <v>3.2481110000000001E-2</v>
      </c>
      <c r="AA3679">
        <v>0.88611109999999904</v>
      </c>
      <c r="AB3679">
        <v>24</v>
      </c>
      <c r="AC3679">
        <v>-7.7398999999999996</v>
      </c>
      <c r="AD3679">
        <v>-1.0263751999999999</v>
      </c>
      <c r="AE3679">
        <v>-19.809899999999999</v>
      </c>
      <c r="AF3679">
        <v>9.9087857097290009</v>
      </c>
      <c r="AG3679">
        <v>-1.0263751999999999</v>
      </c>
      <c r="AH3679">
        <v>18.763118103591001</v>
      </c>
      <c r="AI3679">
        <v>92.769293790490806</v>
      </c>
      <c r="AJ3679">
        <v>62.1615062529184</v>
      </c>
      <c r="AK3679">
        <v>21.243636253283199</v>
      </c>
      <c r="AL3679">
        <v>97.037307690343397</v>
      </c>
      <c r="AM3679">
        <v>77.447690605016902</v>
      </c>
      <c r="AN3679">
        <v>0.99999995067673797</v>
      </c>
    </row>
    <row r="3680" spans="1:40" x14ac:dyDescent="0.25">
      <c r="A3680" t="str">
        <f>"20190305135307444"</f>
        <v>20190305135307444</v>
      </c>
      <c r="B3680" t="str">
        <f>"1551765187433374"</f>
        <v>1551765187433374</v>
      </c>
      <c r="C3680" t="s">
        <v>40</v>
      </c>
      <c r="D3680">
        <v>5.1944489999999996</v>
      </c>
      <c r="E3680">
        <v>0.6021687</v>
      </c>
      <c r="F3680" t="s">
        <v>42</v>
      </c>
      <c r="G3680">
        <v>-200.92099999999999</v>
      </c>
      <c r="H3680">
        <v>7.9985509999999996E-2</v>
      </c>
      <c r="I3680">
        <v>167.97059999999999</v>
      </c>
      <c r="J3680">
        <v>-193.49379999999999</v>
      </c>
      <c r="K3680">
        <v>1.106355</v>
      </c>
      <c r="L3680">
        <v>186.72659999999999</v>
      </c>
      <c r="M3680">
        <v>0.10954</v>
      </c>
      <c r="N3680">
        <v>-1.3362509999999999E-2</v>
      </c>
      <c r="O3680">
        <v>-0.99389269999999996</v>
      </c>
      <c r="P3680">
        <v>-0.1118767</v>
      </c>
      <c r="Q3680">
        <v>-0.137597</v>
      </c>
      <c r="R3680">
        <v>-0.98414990000000002</v>
      </c>
      <c r="S3680">
        <v>-1.1323700000000001</v>
      </c>
      <c r="T3680">
        <v>-0.156933399999999</v>
      </c>
      <c r="U3680">
        <v>-2.9019780000000002</v>
      </c>
      <c r="V3680">
        <v>0.2182578</v>
      </c>
      <c r="W3680">
        <v>-0.126001</v>
      </c>
      <c r="X3680">
        <v>0.96772279999999999</v>
      </c>
      <c r="Y3680">
        <v>0.46295789999999998</v>
      </c>
      <c r="Z3680">
        <v>3.5031760000000002E-2</v>
      </c>
      <c r="AA3680">
        <v>0.88568780000000003</v>
      </c>
      <c r="AB3680">
        <v>24</v>
      </c>
      <c r="AC3680">
        <v>-7.4271999999999903</v>
      </c>
      <c r="AD3680">
        <v>-1.02636949</v>
      </c>
      <c r="AE3680">
        <v>-18.756</v>
      </c>
      <c r="AF3680">
        <v>9.4128472871798703</v>
      </c>
      <c r="AG3680">
        <v>-1.02636949</v>
      </c>
      <c r="AH3680">
        <v>17.783431214328999</v>
      </c>
      <c r="AI3680">
        <v>92.920128076579999</v>
      </c>
      <c r="AJ3680">
        <v>62.107536810029401</v>
      </c>
      <c r="AK3680">
        <v>20.147097908546101</v>
      </c>
      <c r="AL3680">
        <v>97.2385654338606</v>
      </c>
      <c r="AM3680">
        <v>77.290306279887503</v>
      </c>
      <c r="AN3680">
        <v>1.0000000684508299</v>
      </c>
    </row>
    <row r="3681" spans="1:40" x14ac:dyDescent="0.25">
      <c r="A3681" t="str">
        <f>"20190305135307466"</f>
        <v>20190305135307466</v>
      </c>
      <c r="B3681" t="str">
        <f>"1551765187462928"</f>
        <v>1551765187462928</v>
      </c>
      <c r="C3681" t="s">
        <v>40</v>
      </c>
      <c r="D3681">
        <v>5.1685189999999999</v>
      </c>
      <c r="E3681">
        <v>0.60028959999999998</v>
      </c>
      <c r="F3681" t="s">
        <v>42</v>
      </c>
      <c r="G3681">
        <v>-200.53890000000001</v>
      </c>
      <c r="H3681">
        <v>7.9985199999999895E-2</v>
      </c>
      <c r="I3681">
        <v>168.8425</v>
      </c>
      <c r="J3681">
        <v>-193.47200000000001</v>
      </c>
      <c r="K3681">
        <v>1.106358</v>
      </c>
      <c r="L3681">
        <v>186.4871</v>
      </c>
      <c r="M3681">
        <v>0.1056695</v>
      </c>
      <c r="N3681">
        <v>-1.3361680000000001E-2</v>
      </c>
      <c r="O3681">
        <v>-0.99431159999999996</v>
      </c>
      <c r="P3681">
        <v>-0.1168853</v>
      </c>
      <c r="Q3681">
        <v>-0.13962920000000001</v>
      </c>
      <c r="R3681">
        <v>-0.98328130000000002</v>
      </c>
      <c r="S3681">
        <v>-1.1405940000000001</v>
      </c>
      <c r="T3681">
        <v>-0.1661687</v>
      </c>
      <c r="U3681">
        <v>-2.895416</v>
      </c>
      <c r="V3681">
        <v>0.21937319999999999</v>
      </c>
      <c r="W3681">
        <v>-0.12804479999999999</v>
      </c>
      <c r="X3681">
        <v>0.96720209999999995</v>
      </c>
      <c r="Y3681">
        <v>0.46231729999999999</v>
      </c>
      <c r="Z3681">
        <v>3.8024210000000003E-2</v>
      </c>
      <c r="AA3681">
        <v>0.88589889999999905</v>
      </c>
      <c r="AB3681">
        <v>24</v>
      </c>
      <c r="AC3681">
        <v>-7.0669000000000004</v>
      </c>
      <c r="AD3681">
        <v>-1.0263728000000001</v>
      </c>
      <c r="AE3681">
        <v>-17.644599999999901</v>
      </c>
      <c r="AF3681">
        <v>8.86613700441562</v>
      </c>
      <c r="AG3681">
        <v>-1.0263728000000001</v>
      </c>
      <c r="AH3681">
        <v>16.750131243509401</v>
      </c>
      <c r="AI3681">
        <v>93.099920080596704</v>
      </c>
      <c r="AJ3681">
        <v>62.106949305485799</v>
      </c>
      <c r="AK3681">
        <v>18.979692388983501</v>
      </c>
      <c r="AL3681">
        <v>97.356623454900998</v>
      </c>
      <c r="AM3681">
        <v>77.220828750279694</v>
      </c>
      <c r="AN3681">
        <v>0.99999998696484405</v>
      </c>
    </row>
    <row r="3682" spans="1:40" x14ac:dyDescent="0.25">
      <c r="A3682" t="str">
        <f>"20190305135307490"</f>
        <v>20190305135307490</v>
      </c>
      <c r="B3682" t="str">
        <f>"1551765187483424"</f>
        <v>1551765187483424</v>
      </c>
      <c r="C3682" t="s">
        <v>40</v>
      </c>
      <c r="D3682">
        <v>5.1794029999999998</v>
      </c>
      <c r="E3682">
        <v>0.58206930000000001</v>
      </c>
      <c r="F3682" t="s">
        <v>42</v>
      </c>
      <c r="G3682">
        <v>-200.3691</v>
      </c>
      <c r="H3682">
        <v>7.9985120000000007E-2</v>
      </c>
      <c r="I3682">
        <v>169.0035</v>
      </c>
      <c r="J3682">
        <v>-193.45070000000001</v>
      </c>
      <c r="K3682">
        <v>1.1063769999999999</v>
      </c>
      <c r="L3682">
        <v>186.24209999999999</v>
      </c>
      <c r="M3682">
        <v>0.1017111</v>
      </c>
      <c r="N3682">
        <v>-1.336066E-2</v>
      </c>
      <c r="O3682">
        <v>-0.99472439999999995</v>
      </c>
      <c r="P3682">
        <v>-0.1203034</v>
      </c>
      <c r="Q3682">
        <v>-0.13897100000000001</v>
      </c>
      <c r="R3682">
        <v>-0.982962</v>
      </c>
      <c r="S3682">
        <v>-1.1405940000000001</v>
      </c>
      <c r="T3682">
        <v>-0.16973379999999999</v>
      </c>
      <c r="U3682">
        <v>-2.8913120000000001</v>
      </c>
      <c r="V3682">
        <v>0.2189033</v>
      </c>
      <c r="W3682">
        <v>-0.12737780000000001</v>
      </c>
      <c r="X3682">
        <v>0.96739660000000005</v>
      </c>
      <c r="Y3682">
        <v>0.45919470000000001</v>
      </c>
      <c r="Z3682">
        <v>3.9291050000000001E-2</v>
      </c>
      <c r="AA3682">
        <v>0.88746630000000004</v>
      </c>
      <c r="AB3682">
        <v>24</v>
      </c>
      <c r="AC3682">
        <v>-6.9183999999999903</v>
      </c>
      <c r="AD3682">
        <v>-1.02639188</v>
      </c>
      <c r="AE3682">
        <v>-17.238599999999899</v>
      </c>
      <c r="AF3682">
        <v>8.6097399984087595</v>
      </c>
      <c r="AG3682">
        <v>-1.02639188</v>
      </c>
      <c r="AH3682">
        <v>16.395383973483799</v>
      </c>
      <c r="AI3682">
        <v>93.172378747060804</v>
      </c>
      <c r="AJ3682">
        <v>62.294600754117702</v>
      </c>
      <c r="AK3682">
        <v>18.546959825521299</v>
      </c>
      <c r="AL3682">
        <v>97.318091770017304</v>
      </c>
      <c r="AM3682">
        <v>77.249786015002101</v>
      </c>
      <c r="AN3682">
        <v>0.99999997018764397</v>
      </c>
    </row>
    <row r="3683" spans="1:40" x14ac:dyDescent="0.25">
      <c r="A3683" t="str">
        <f>"20190305135307511"</f>
        <v>20190305135307511</v>
      </c>
      <c r="B3683" t="str">
        <f>"1551765187503920"</f>
        <v>1551765187503920</v>
      </c>
      <c r="C3683" t="s">
        <v>40</v>
      </c>
      <c r="D3683">
        <v>5.2597459999999998</v>
      </c>
      <c r="E3683">
        <v>0.58060630000000002</v>
      </c>
      <c r="F3683" t="s">
        <v>42</v>
      </c>
      <c r="G3683">
        <v>-200.4271</v>
      </c>
      <c r="H3683">
        <v>7.9986130000000003E-2</v>
      </c>
      <c r="I3683">
        <v>166.08</v>
      </c>
      <c r="J3683">
        <v>-193.43090000000001</v>
      </c>
      <c r="K3683">
        <v>1.106409</v>
      </c>
      <c r="L3683">
        <v>186.005</v>
      </c>
      <c r="M3683">
        <v>9.7886600000000004E-2</v>
      </c>
      <c r="N3683">
        <v>-1.3359380000000001E-2</v>
      </c>
      <c r="O3683">
        <v>-0.99510790000000005</v>
      </c>
      <c r="P3683">
        <v>-0.1218872</v>
      </c>
      <c r="Q3683">
        <v>-0.1371317</v>
      </c>
      <c r="R3683">
        <v>-0.98302509999999999</v>
      </c>
      <c r="S3683">
        <v>-1.006195</v>
      </c>
      <c r="T3683">
        <v>-0.1480339</v>
      </c>
      <c r="U3683">
        <v>-2.9079280000000001</v>
      </c>
      <c r="V3683">
        <v>0.21678620000000001</v>
      </c>
      <c r="W3683">
        <v>-0.12551229999999999</v>
      </c>
      <c r="X3683">
        <v>0.96811689999999995</v>
      </c>
      <c r="Y3683">
        <v>0.41758600000000001</v>
      </c>
      <c r="Z3683">
        <v>3.322373E-2</v>
      </c>
      <c r="AA3683">
        <v>0.9080298</v>
      </c>
      <c r="AB3683">
        <v>24</v>
      </c>
      <c r="AC3683">
        <v>-6.9961999999999804</v>
      </c>
      <c r="AD3683">
        <v>-1.02642287</v>
      </c>
      <c r="AE3683">
        <v>-19.924999999999901</v>
      </c>
      <c r="AF3683">
        <v>8.8921525080338899</v>
      </c>
      <c r="AG3683">
        <v>-1.02642287</v>
      </c>
      <c r="AH3683">
        <v>19.099277965580701</v>
      </c>
      <c r="AI3683">
        <v>92.789242071426898</v>
      </c>
      <c r="AJ3683">
        <v>65.034475114562397</v>
      </c>
      <c r="AK3683">
        <v>21.092803012893</v>
      </c>
      <c r="AL3683">
        <v>97.210341681275807</v>
      </c>
      <c r="AM3683">
        <v>77.3782199366035</v>
      </c>
      <c r="AN3683">
        <v>0.999999963013669</v>
      </c>
    </row>
    <row r="3684" spans="1:40" x14ac:dyDescent="0.25">
      <c r="A3684" t="str">
        <f>"20190305135307532"</f>
        <v>20190305135307532</v>
      </c>
      <c r="B3684" t="str">
        <f>"1551765187523443"</f>
        <v>1551765187523443</v>
      </c>
      <c r="C3684" t="s">
        <v>40</v>
      </c>
      <c r="D3684">
        <v>5.2354190000000003</v>
      </c>
      <c r="E3684">
        <v>0.57980449999999994</v>
      </c>
      <c r="F3684" t="s">
        <v>42</v>
      </c>
      <c r="G3684">
        <v>-200.08029999999999</v>
      </c>
      <c r="H3684">
        <v>7.9985909999999993E-2</v>
      </c>
      <c r="I3684">
        <v>166.66419999999999</v>
      </c>
      <c r="J3684">
        <v>-193.41370000000001</v>
      </c>
      <c r="K3684">
        <v>1.106433</v>
      </c>
      <c r="L3684">
        <v>185.78899999999999</v>
      </c>
      <c r="M3684">
        <v>9.4416929999999996E-2</v>
      </c>
      <c r="N3684">
        <v>-1.335798E-2</v>
      </c>
      <c r="O3684">
        <v>-0.99544319999999997</v>
      </c>
      <c r="P3684">
        <v>-0.1208698</v>
      </c>
      <c r="Q3684">
        <v>-0.13550570000000001</v>
      </c>
      <c r="R3684">
        <v>-0.98337600000000003</v>
      </c>
      <c r="S3684">
        <v>-0.99922180000000005</v>
      </c>
      <c r="T3684">
        <v>-0.15424299999999999</v>
      </c>
      <c r="U3684">
        <v>-2.9063870000000001</v>
      </c>
      <c r="V3684">
        <v>0.21244969999999999</v>
      </c>
      <c r="W3684">
        <v>-0.12383959999999999</v>
      </c>
      <c r="X3684">
        <v>0.96929299999999996</v>
      </c>
      <c r="Y3684">
        <v>0.4125876</v>
      </c>
      <c r="Z3684">
        <v>3.5320999999999998E-2</v>
      </c>
      <c r="AA3684">
        <v>0.91023290000000001</v>
      </c>
      <c r="AB3684">
        <v>24</v>
      </c>
      <c r="AC3684">
        <v>-6.6665999999999803</v>
      </c>
      <c r="AD3684">
        <v>-1.02644709</v>
      </c>
      <c r="AE3684">
        <v>-19.1248</v>
      </c>
      <c r="AF3684">
        <v>8.4210498675518899</v>
      </c>
      <c r="AG3684">
        <v>-1.02644709</v>
      </c>
      <c r="AH3684">
        <v>18.362689159102601</v>
      </c>
      <c r="AI3684">
        <v>92.908715782536007</v>
      </c>
      <c r="AJ3684">
        <v>65.364014691468498</v>
      </c>
      <c r="AK3684">
        <v>20.227605583810199</v>
      </c>
      <c r="AL3684">
        <v>97.113748942644904</v>
      </c>
      <c r="AM3684">
        <v>77.637399339946299</v>
      </c>
      <c r="AN3684">
        <v>1.0000000207036199</v>
      </c>
    </row>
    <row r="3685" spans="1:40" x14ac:dyDescent="0.25">
      <c r="A3685" t="str">
        <f>"20190305135307555"</f>
        <v>20190305135307555</v>
      </c>
      <c r="B3685" t="str">
        <f>"1551765187542960"</f>
        <v>1551765187542960</v>
      </c>
      <c r="C3685" t="s">
        <v>40</v>
      </c>
      <c r="D3685">
        <v>5.226286</v>
      </c>
      <c r="E3685">
        <v>0.57954700000000003</v>
      </c>
      <c r="F3685" t="s">
        <v>42</v>
      </c>
      <c r="G3685">
        <v>-199.96879999999999</v>
      </c>
      <c r="H3685">
        <v>6.106528E-2</v>
      </c>
      <c r="I3685">
        <v>166.53659999999999</v>
      </c>
      <c r="J3685">
        <v>-193.39519999999999</v>
      </c>
      <c r="K3685">
        <v>1.1064529999999999</v>
      </c>
      <c r="L3685">
        <v>185.5462</v>
      </c>
      <c r="M3685">
        <v>9.054044E-2</v>
      </c>
      <c r="N3685">
        <v>-1.335594E-2</v>
      </c>
      <c r="O3685">
        <v>-0.99580329999999995</v>
      </c>
      <c r="P3685">
        <v>-0.1193345</v>
      </c>
      <c r="Q3685">
        <v>-0.13497190000000001</v>
      </c>
      <c r="R3685">
        <v>-0.98363719999999999</v>
      </c>
      <c r="S3685">
        <v>-0.98988339999999997</v>
      </c>
      <c r="T3685">
        <v>-0.15785920000000001</v>
      </c>
      <c r="U3685">
        <v>-2.9072719999999999</v>
      </c>
      <c r="V3685">
        <v>0.20718500000000001</v>
      </c>
      <c r="W3685">
        <v>-0.1232497</v>
      </c>
      <c r="X3685">
        <v>0.97050700000000001</v>
      </c>
      <c r="Y3685">
        <v>0.40631420000000001</v>
      </c>
      <c r="Z3685">
        <v>3.6591140000000001E-2</v>
      </c>
      <c r="AA3685">
        <v>0.91300049999999999</v>
      </c>
      <c r="AB3685">
        <v>24</v>
      </c>
      <c r="AC3685">
        <v>-6.5735999999999901</v>
      </c>
      <c r="AD3685">
        <v>-1.0453877199999999</v>
      </c>
      <c r="AE3685">
        <v>-19.009599999999999</v>
      </c>
      <c r="AF3685">
        <v>8.2456140052027997</v>
      </c>
      <c r="AG3685">
        <v>-1.0453877199999999</v>
      </c>
      <c r="AH3685">
        <v>18.2868836020392</v>
      </c>
      <c r="AI3685">
        <v>92.983171421157493</v>
      </c>
      <c r="AJ3685">
        <v>65.729235120259204</v>
      </c>
      <c r="AK3685">
        <v>20.087137617949701</v>
      </c>
      <c r="AL3685">
        <v>97.079689557393095</v>
      </c>
      <c r="AM3685">
        <v>77.949321699652899</v>
      </c>
      <c r="AN3685">
        <v>0.99999997491204395</v>
      </c>
    </row>
    <row r="3686" spans="1:40" x14ac:dyDescent="0.25">
      <c r="A3686" t="str">
        <f>"20190305135307578"</f>
        <v>20190305135307578</v>
      </c>
      <c r="B3686" t="str">
        <f>"1551765187573216"</f>
        <v>1551765187573216</v>
      </c>
      <c r="C3686" t="s">
        <v>40</v>
      </c>
      <c r="D3686">
        <v>5.0174370000000001</v>
      </c>
      <c r="E3686">
        <v>0.57441129999999996</v>
      </c>
      <c r="F3686" t="s">
        <v>42</v>
      </c>
      <c r="G3686">
        <v>-199.95779999999999</v>
      </c>
      <c r="H3686">
        <v>3.8789730000000001E-2</v>
      </c>
      <c r="I3686">
        <v>166.13910000000001</v>
      </c>
      <c r="J3686">
        <v>-193.37780000000001</v>
      </c>
      <c r="K3686">
        <v>1.1064849999999999</v>
      </c>
      <c r="L3686">
        <v>185.30619999999999</v>
      </c>
      <c r="M3686">
        <v>8.6747299999999999E-2</v>
      </c>
      <c r="N3686">
        <v>-1.335333E-2</v>
      </c>
      <c r="O3686">
        <v>-0.99614080000000005</v>
      </c>
      <c r="P3686">
        <v>-0.11845559999999999</v>
      </c>
      <c r="Q3686">
        <v>-0.136013</v>
      </c>
      <c r="R3686">
        <v>-0.98359969999999997</v>
      </c>
      <c r="S3686">
        <v>-0.9835663</v>
      </c>
      <c r="T3686">
        <v>-0.16001609999999999</v>
      </c>
      <c r="U3686">
        <v>-2.90863</v>
      </c>
      <c r="V3686">
        <v>0.20261789999999999</v>
      </c>
      <c r="W3686">
        <v>-0.1242408</v>
      </c>
      <c r="X3686">
        <v>0.97134450000000006</v>
      </c>
      <c r="Y3686">
        <v>0.40091110000000002</v>
      </c>
      <c r="Z3686">
        <v>3.7372870000000002E-2</v>
      </c>
      <c r="AA3686">
        <v>0.91535440000000001</v>
      </c>
      <c r="AB3686">
        <v>24</v>
      </c>
      <c r="AC3686">
        <v>-6.5799999999999796</v>
      </c>
      <c r="AD3686">
        <v>-1.06769527</v>
      </c>
      <c r="AE3686">
        <v>-19.167099999999898</v>
      </c>
      <c r="AF3686">
        <v>8.1952848208249396</v>
      </c>
      <c r="AG3686">
        <v>-1.06769527</v>
      </c>
      <c r="AH3686">
        <v>18.4727080021968</v>
      </c>
      <c r="AI3686">
        <v>93.024276949618695</v>
      </c>
      <c r="AJ3686">
        <v>66.075874673971398</v>
      </c>
      <c r="AK3686">
        <v>20.2371837818025</v>
      </c>
      <c r="AL3686">
        <v>97.136915324103597</v>
      </c>
      <c r="AM3686">
        <v>78.217326447004595</v>
      </c>
      <c r="AN3686">
        <v>0.99999996373264899</v>
      </c>
    </row>
    <row r="3687" spans="1:40" x14ac:dyDescent="0.25">
      <c r="A3687" t="str">
        <f>"20190305135307602"</f>
        <v>20190305135307602</v>
      </c>
      <c r="B3687" t="str">
        <f>"1551765187593712"</f>
        <v>1551765187593712</v>
      </c>
      <c r="C3687" t="s">
        <v>40</v>
      </c>
      <c r="D3687">
        <v>4.971895</v>
      </c>
      <c r="E3687">
        <v>0.51480109999999901</v>
      </c>
      <c r="F3687" t="s">
        <v>42</v>
      </c>
      <c r="G3687">
        <v>-199.721</v>
      </c>
      <c r="H3687" s="1">
        <v>-4.937211E-6</v>
      </c>
      <c r="I3687">
        <v>165.65260000000001</v>
      </c>
      <c r="J3687">
        <v>-193.3605</v>
      </c>
      <c r="K3687">
        <v>1.1065160000000001</v>
      </c>
      <c r="L3687">
        <v>185.05459999999999</v>
      </c>
      <c r="M3687">
        <v>8.2825410000000002E-2</v>
      </c>
      <c r="N3687">
        <v>-1.3349990000000001E-2</v>
      </c>
      <c r="O3687">
        <v>-0.99647470000000005</v>
      </c>
      <c r="P3687">
        <v>-0.1190114</v>
      </c>
      <c r="Q3687">
        <v>-0.13643640000000001</v>
      </c>
      <c r="R3687">
        <v>-0.98347450000000003</v>
      </c>
      <c r="S3687">
        <v>-0.94050599999999995</v>
      </c>
      <c r="T3687">
        <v>-0.16405899999999901</v>
      </c>
      <c r="U3687">
        <v>-2.9140320000000002</v>
      </c>
      <c r="V3687">
        <v>0.19935310000000001</v>
      </c>
      <c r="W3687">
        <v>-0.1246198</v>
      </c>
      <c r="X3687">
        <v>0.97197129999999998</v>
      </c>
      <c r="Y3687">
        <v>0.38451730000000001</v>
      </c>
      <c r="Z3687">
        <v>3.8921740000000003E-2</v>
      </c>
      <c r="AA3687">
        <v>0.92229689999999998</v>
      </c>
      <c r="AB3687">
        <v>24</v>
      </c>
      <c r="AC3687">
        <v>-6.3604999999999698</v>
      </c>
      <c r="AD3687">
        <v>-1.1065209372110001</v>
      </c>
      <c r="AE3687">
        <v>-19.401999999999902</v>
      </c>
      <c r="AF3687">
        <v>7.9224957885975398</v>
      </c>
      <c r="AG3687">
        <v>-1.1065209372110001</v>
      </c>
      <c r="AH3687">
        <v>18.753388848785299</v>
      </c>
      <c r="AI3687">
        <v>93.111115813286403</v>
      </c>
      <c r="AJ3687">
        <v>67.098044708824304</v>
      </c>
      <c r="AK3687">
        <v>20.388229972672399</v>
      </c>
      <c r="AL3687">
        <v>97.158800388595296</v>
      </c>
      <c r="AM3687">
        <v>78.409274327913494</v>
      </c>
      <c r="AN3687">
        <v>0.99999998052766903</v>
      </c>
    </row>
    <row r="3688" spans="1:40" x14ac:dyDescent="0.25">
      <c r="A3688" t="str">
        <f>"20190305135307624"</f>
        <v>20190305135307624</v>
      </c>
      <c r="B3688" t="str">
        <f>"1551765187613232"</f>
        <v>1551765187613232</v>
      </c>
      <c r="C3688" t="s">
        <v>40</v>
      </c>
      <c r="D3688">
        <v>4.9962749999999998</v>
      </c>
      <c r="E3688">
        <v>0.51827309999999904</v>
      </c>
      <c r="F3688" t="s">
        <v>42</v>
      </c>
      <c r="G3688">
        <v>-195.25739999999999</v>
      </c>
      <c r="H3688" s="1">
        <v>-2.9426809999999999E-6</v>
      </c>
      <c r="I3688">
        <v>173.18780000000001</v>
      </c>
      <c r="J3688">
        <v>-193.34479999999999</v>
      </c>
      <c r="K3688">
        <v>1.106563</v>
      </c>
      <c r="L3688">
        <v>184.81549999999999</v>
      </c>
      <c r="M3688">
        <v>7.9168929999999998E-2</v>
      </c>
      <c r="N3688">
        <v>-1.334635E-2</v>
      </c>
      <c r="O3688">
        <v>-0.99677199999999999</v>
      </c>
      <c r="P3688">
        <v>-0.12064469999999999</v>
      </c>
      <c r="Q3688">
        <v>-0.1372797</v>
      </c>
      <c r="R3688">
        <v>-0.98315790000000003</v>
      </c>
      <c r="S3688">
        <v>-0.47236630000000002</v>
      </c>
      <c r="T3688">
        <v>-0.27554089999999998</v>
      </c>
      <c r="U3688">
        <v>-2.9550320000000001</v>
      </c>
      <c r="V3688">
        <v>0.1974061</v>
      </c>
      <c r="W3688">
        <v>-0.12542700000000001</v>
      </c>
      <c r="X3688">
        <v>0.97226480000000004</v>
      </c>
      <c r="Y3688">
        <v>0.2348943</v>
      </c>
      <c r="Z3688">
        <v>7.7153849999999996E-2</v>
      </c>
      <c r="AA3688">
        <v>0.96895410000000004</v>
      </c>
      <c r="AB3688">
        <v>23</v>
      </c>
      <c r="AC3688">
        <v>-1.9125999999999901</v>
      </c>
      <c r="AD3688">
        <v>-1.1065659426809999</v>
      </c>
      <c r="AE3688">
        <v>-11.6276999999999</v>
      </c>
      <c r="AF3688">
        <v>2.8025173733473898</v>
      </c>
      <c r="AG3688">
        <v>-1.1065659426809999</v>
      </c>
      <c r="AH3688">
        <v>11.339769934629899</v>
      </c>
      <c r="AI3688">
        <v>95.411626378239802</v>
      </c>
      <c r="AJ3688">
        <v>76.118055192518796</v>
      </c>
      <c r="AK3688">
        <v>11.7332422622117</v>
      </c>
      <c r="AL3688">
        <v>97.205415363397904</v>
      </c>
      <c r="AM3688">
        <v>78.522829924397897</v>
      </c>
      <c r="AN3688">
        <v>0.99999997098262405</v>
      </c>
    </row>
    <row r="3689" spans="1:40" x14ac:dyDescent="0.25">
      <c r="A3689" t="str">
        <f>"20190305135307646"</f>
        <v>20190305135307646</v>
      </c>
      <c r="B3689" t="str">
        <f>"1551765187643489"</f>
        <v>1551765187643489</v>
      </c>
      <c r="C3689" t="s">
        <v>40</v>
      </c>
      <c r="D3689">
        <v>4.9767010000000003</v>
      </c>
      <c r="E3689">
        <v>0.52075660000000001</v>
      </c>
      <c r="F3689" t="s">
        <v>42</v>
      </c>
      <c r="G3689">
        <v>-195.38319999999999</v>
      </c>
      <c r="H3689" s="1">
        <v>-2.8530719999999999E-6</v>
      </c>
      <c r="I3689">
        <v>172.90090000000001</v>
      </c>
      <c r="J3689">
        <v>-193.3313</v>
      </c>
      <c r="K3689">
        <v>1.1066149999999999</v>
      </c>
      <c r="L3689">
        <v>184.59739999999999</v>
      </c>
      <c r="M3689">
        <v>7.5914529999999994E-2</v>
      </c>
      <c r="N3689">
        <v>-1.334226E-2</v>
      </c>
      <c r="O3689">
        <v>-0.9970251</v>
      </c>
      <c r="P3689">
        <v>-0.1228611</v>
      </c>
      <c r="Q3689">
        <v>-0.1383817</v>
      </c>
      <c r="R3689">
        <v>-0.98272899999999996</v>
      </c>
      <c r="S3689">
        <v>-0.50488279999999996</v>
      </c>
      <c r="T3689">
        <v>-0.27408660000000001</v>
      </c>
      <c r="U3689">
        <v>-2.9511569999999998</v>
      </c>
      <c r="V3689">
        <v>0.1964262</v>
      </c>
      <c r="W3689">
        <v>-0.12649820000000001</v>
      </c>
      <c r="X3689">
        <v>0.97232450000000004</v>
      </c>
      <c r="Y3689">
        <v>0.2423061</v>
      </c>
      <c r="Z3689">
        <v>7.6668700000000006E-2</v>
      </c>
      <c r="AA3689">
        <v>0.96716579999999996</v>
      </c>
      <c r="AB3689">
        <v>23</v>
      </c>
      <c r="AC3689">
        <v>-2.0518999999999799</v>
      </c>
      <c r="AD3689">
        <v>-1.1066178530719999</v>
      </c>
      <c r="AE3689">
        <v>-11.696499999999901</v>
      </c>
      <c r="AF3689">
        <v>2.9087317323809398</v>
      </c>
      <c r="AG3689">
        <v>-1.1066178530719999</v>
      </c>
      <c r="AH3689">
        <v>11.4078927648125</v>
      </c>
      <c r="AI3689">
        <v>95.369864648569902</v>
      </c>
      <c r="AJ3689">
        <v>75.695772942371406</v>
      </c>
      <c r="AK3689">
        <v>11.8247765601367</v>
      </c>
      <c r="AL3689">
        <v>97.267283247941705</v>
      </c>
      <c r="AM3689">
        <v>78.578983115545199</v>
      </c>
      <c r="AN3689">
        <v>0.99999998997496498</v>
      </c>
    </row>
    <row r="3690" spans="1:40" x14ac:dyDescent="0.25">
      <c r="A3690" t="str">
        <f>"20190305135307668"</f>
        <v>20190305135307668</v>
      </c>
      <c r="B3690" t="str">
        <f>"1551765187663008"</f>
        <v>1551765187663008</v>
      </c>
      <c r="C3690" t="s">
        <v>40</v>
      </c>
      <c r="D3690">
        <v>4.970637</v>
      </c>
      <c r="E3690">
        <v>0.52164189999999999</v>
      </c>
      <c r="F3690" t="s">
        <v>42</v>
      </c>
      <c r="G3690">
        <v>-195.4564</v>
      </c>
      <c r="H3690" s="1">
        <v>-2.8285090000000001E-6</v>
      </c>
      <c r="I3690">
        <v>172.79820000000001</v>
      </c>
      <c r="J3690">
        <v>-193.31729999999999</v>
      </c>
      <c r="K3690">
        <v>1.106687</v>
      </c>
      <c r="L3690">
        <v>184.35939999999999</v>
      </c>
      <c r="M3690">
        <v>7.2472099999999998E-2</v>
      </c>
      <c r="N3690">
        <v>-1.3337130000000001E-2</v>
      </c>
      <c r="O3690">
        <v>-0.99728130000000004</v>
      </c>
      <c r="P3690">
        <v>-0.12627389999999999</v>
      </c>
      <c r="Q3690">
        <v>-0.13895979999999999</v>
      </c>
      <c r="R3690">
        <v>-0.98221429999999998</v>
      </c>
      <c r="S3690">
        <v>-0.53083800000000003</v>
      </c>
      <c r="T3690">
        <v>-0.2764337</v>
      </c>
      <c r="U3690">
        <v>-2.9474330000000002</v>
      </c>
      <c r="V3690">
        <v>0.1964612</v>
      </c>
      <c r="W3690">
        <v>-0.1270462</v>
      </c>
      <c r="X3690">
        <v>0.97224600000000005</v>
      </c>
      <c r="Y3690">
        <v>0.24740300000000001</v>
      </c>
      <c r="Z3690">
        <v>7.7458979999999997E-2</v>
      </c>
      <c r="AA3690">
        <v>0.96581150000000004</v>
      </c>
      <c r="AB3690">
        <v>23</v>
      </c>
      <c r="AC3690">
        <v>-2.1391000000000102</v>
      </c>
      <c r="AD3690">
        <v>-1.1066898285090001</v>
      </c>
      <c r="AE3690">
        <v>-11.5611999999999</v>
      </c>
      <c r="AF3690">
        <v>2.9453179194338199</v>
      </c>
      <c r="AG3690">
        <v>-1.1066898285090001</v>
      </c>
      <c r="AH3690">
        <v>11.2758523048476</v>
      </c>
      <c r="AI3690">
        <v>95.424587848317003</v>
      </c>
      <c r="AJ3690">
        <v>75.361090640764104</v>
      </c>
      <c r="AK3690">
        <v>11.7066009252814</v>
      </c>
      <c r="AL3690">
        <v>97.298936556917099</v>
      </c>
      <c r="AM3690">
        <v>78.576103513750496</v>
      </c>
      <c r="AN3690">
        <v>1.00000001227794</v>
      </c>
    </row>
    <row r="3691" spans="1:40" x14ac:dyDescent="0.25">
      <c r="A3691" t="str">
        <f>"20190305135307691"</f>
        <v>20190305135307691</v>
      </c>
      <c r="B3691" t="str">
        <f>"1551765187683507"</f>
        <v>1551765187683507</v>
      </c>
      <c r="C3691" t="s">
        <v>40</v>
      </c>
      <c r="D3691">
        <v>4.9742989999999896</v>
      </c>
      <c r="E3691">
        <v>0.52250549999999996</v>
      </c>
      <c r="F3691" t="s">
        <v>42</v>
      </c>
      <c r="G3691">
        <v>-195.49690000000001</v>
      </c>
      <c r="H3691" s="1">
        <v>-2.7754990000000001E-6</v>
      </c>
      <c r="I3691">
        <v>172.64949999999999</v>
      </c>
      <c r="J3691">
        <v>-193.3038</v>
      </c>
      <c r="K3691">
        <v>1.1067549999999999</v>
      </c>
      <c r="L3691">
        <v>184.11779999999999</v>
      </c>
      <c r="M3691">
        <v>6.9074179999999999E-2</v>
      </c>
      <c r="N3691">
        <v>-1.3331600000000001E-2</v>
      </c>
      <c r="O3691">
        <v>-0.99752269999999998</v>
      </c>
      <c r="P3691">
        <v>-0.13117179999999901</v>
      </c>
      <c r="Q3691">
        <v>-0.13913519999999999</v>
      </c>
      <c r="R3691">
        <v>-0.98154779999999997</v>
      </c>
      <c r="S3691">
        <v>-0.54806519999999903</v>
      </c>
      <c r="T3691">
        <v>-0.27828380000000003</v>
      </c>
      <c r="U3691">
        <v>-2.9445039999999998</v>
      </c>
      <c r="V3691">
        <v>0.19801630000000001</v>
      </c>
      <c r="W3691">
        <v>-0.12720319999999999</v>
      </c>
      <c r="X3691">
        <v>0.97190989999999999</v>
      </c>
      <c r="Y3691">
        <v>0.2497248</v>
      </c>
      <c r="Z3691">
        <v>7.8116649999999996E-2</v>
      </c>
      <c r="AA3691">
        <v>0.96516080000000004</v>
      </c>
      <c r="AB3691">
        <v>23</v>
      </c>
      <c r="AC3691">
        <v>-2.19310000000001</v>
      </c>
      <c r="AD3691">
        <v>-1.1067577754989999</v>
      </c>
      <c r="AE3691">
        <v>-11.468299999999999</v>
      </c>
      <c r="AF3691">
        <v>2.9535573934680301</v>
      </c>
      <c r="AG3691">
        <v>-1.1067577754989999</v>
      </c>
      <c r="AH3691">
        <v>11.188873551235201</v>
      </c>
      <c r="AI3691">
        <v>95.463143950569304</v>
      </c>
      <c r="AJ3691">
        <v>75.212783545182504</v>
      </c>
      <c r="AK3691">
        <v>11.6249432426859</v>
      </c>
      <c r="AL3691">
        <v>97.308005800077794</v>
      </c>
      <c r="AM3691">
        <v>78.4842073260333</v>
      </c>
      <c r="AN3691">
        <v>0.999999981436969</v>
      </c>
    </row>
    <row r="3692" spans="1:40" x14ac:dyDescent="0.25">
      <c r="A3692" t="str">
        <f>"20190305135307712"</f>
        <v>20190305135307712</v>
      </c>
      <c r="B3692" t="str">
        <f>"1551765187703027"</f>
        <v>1551765187703027</v>
      </c>
      <c r="C3692" t="s">
        <v>40</v>
      </c>
      <c r="D3692">
        <v>5.0546600000000002</v>
      </c>
      <c r="E3692">
        <v>0.5233141</v>
      </c>
      <c r="F3692" t="s">
        <v>42</v>
      </c>
      <c r="G3692">
        <v>-195.5949</v>
      </c>
      <c r="H3692" s="1">
        <v>-2.6445689999999998E-6</v>
      </c>
      <c r="I3692">
        <v>172.28360000000001</v>
      </c>
      <c r="J3692">
        <v>-193.29150000000001</v>
      </c>
      <c r="K3692">
        <v>1.106816</v>
      </c>
      <c r="L3692">
        <v>183.88560000000001</v>
      </c>
      <c r="M3692">
        <v>6.5905820000000004E-2</v>
      </c>
      <c r="N3692">
        <v>-1.33264E-2</v>
      </c>
      <c r="O3692">
        <v>-0.99773699999999999</v>
      </c>
      <c r="P3692">
        <v>-0.13568440000000001</v>
      </c>
      <c r="Q3692">
        <v>-0.14010110000000001</v>
      </c>
      <c r="R3692">
        <v>-0.98079629999999995</v>
      </c>
      <c r="S3692">
        <v>-0.56942749999999998</v>
      </c>
      <c r="T3692">
        <v>-0.27507579999999998</v>
      </c>
      <c r="U3692">
        <v>-2.9412989999999999</v>
      </c>
      <c r="V3692">
        <v>0.19940430000000001</v>
      </c>
      <c r="W3692">
        <v>-0.12815299999999999</v>
      </c>
      <c r="X3692">
        <v>0.97150130000000001</v>
      </c>
      <c r="Y3692">
        <v>0.25361729999999999</v>
      </c>
      <c r="Z3692">
        <v>7.7094570000000001E-2</v>
      </c>
      <c r="AA3692">
        <v>0.96422750000000002</v>
      </c>
      <c r="AB3692">
        <v>23</v>
      </c>
      <c r="AC3692">
        <v>-2.3033999999999799</v>
      </c>
      <c r="AD3692">
        <v>-1.106818644569</v>
      </c>
      <c r="AE3692">
        <v>-11.602</v>
      </c>
      <c r="AF3692">
        <v>3.0365110838829099</v>
      </c>
      <c r="AG3692">
        <v>-1.106818644569</v>
      </c>
      <c r="AH3692">
        <v>11.325783342847</v>
      </c>
      <c r="AI3692">
        <v>95.392283452119599</v>
      </c>
      <c r="AJ3692">
        <v>74.991614855835493</v>
      </c>
      <c r="AK3692">
        <v>11.7778952026082</v>
      </c>
      <c r="AL3692">
        <v>97.362874104409002</v>
      </c>
      <c r="AM3692">
        <v>78.400921168219099</v>
      </c>
      <c r="AN3692">
        <v>1.0000000210845801</v>
      </c>
    </row>
    <row r="3693" spans="1:40" x14ac:dyDescent="0.25">
      <c r="A3693" t="str">
        <f>"20190305135307725"</f>
        <v>20190305135307725</v>
      </c>
      <c r="B3693" t="str">
        <f>"1551765187723520"</f>
        <v>1551765187723520</v>
      </c>
      <c r="C3693" t="s">
        <v>40</v>
      </c>
      <c r="D3693">
        <v>5.0624129999999896</v>
      </c>
      <c r="E3693">
        <v>0.52375470000000002</v>
      </c>
      <c r="F3693" t="s">
        <v>42</v>
      </c>
      <c r="G3693">
        <v>-195.66489999999999</v>
      </c>
      <c r="H3693" s="1">
        <v>-2.5658929999999999E-6</v>
      </c>
      <c r="I3693">
        <v>172.05670000000001</v>
      </c>
      <c r="J3693">
        <v>-193.28479999999999</v>
      </c>
      <c r="K3693">
        <v>1.1068519999999999</v>
      </c>
      <c r="L3693">
        <v>183.75569999999999</v>
      </c>
      <c r="M3693">
        <v>6.4167730000000006E-2</v>
      </c>
      <c r="N3693">
        <v>-1.332347E-2</v>
      </c>
      <c r="O3693">
        <v>-0.99785009999999996</v>
      </c>
      <c r="P3693">
        <v>-0.13830700000000001</v>
      </c>
      <c r="Q3693">
        <v>-0.14084249999999901</v>
      </c>
      <c r="R3693">
        <v>-0.98032370000000002</v>
      </c>
      <c r="S3693">
        <v>-0.58947749999999999</v>
      </c>
      <c r="T3693">
        <v>-0.27490019999999998</v>
      </c>
      <c r="U3693">
        <v>-2.9379270000000002</v>
      </c>
      <c r="V3693">
        <v>0.20030990000000001</v>
      </c>
      <c r="W3693">
        <v>-0.128887</v>
      </c>
      <c r="X3693">
        <v>0.97121789999999997</v>
      </c>
      <c r="Y3693">
        <v>0.25846760000000002</v>
      </c>
      <c r="Z3693">
        <v>7.7038330000000002E-2</v>
      </c>
      <c r="AA3693">
        <v>0.9629432</v>
      </c>
      <c r="AB3693">
        <v>23</v>
      </c>
      <c r="AC3693">
        <v>-2.3800999999999899</v>
      </c>
      <c r="AD3693">
        <v>-1.106854565893</v>
      </c>
      <c r="AE3693">
        <v>-11.6989999999999</v>
      </c>
      <c r="AF3693">
        <v>3.0993188735870301</v>
      </c>
      <c r="AG3693">
        <v>-1.106854565893</v>
      </c>
      <c r="AH3693">
        <v>11.4239519842502</v>
      </c>
      <c r="AI3693">
        <v>95.342121774100505</v>
      </c>
      <c r="AJ3693">
        <v>74.821020807339494</v>
      </c>
      <c r="AK3693">
        <v>11.888548416382299</v>
      </c>
      <c r="AL3693">
        <v>97.405280584646107</v>
      </c>
      <c r="AM3693">
        <v>78.346373983654004</v>
      </c>
      <c r="AN3693">
        <v>1.0000000620437</v>
      </c>
    </row>
    <row r="3694" spans="1:40" x14ac:dyDescent="0.25">
      <c r="A3694" t="str">
        <f>"20190305135307744"</f>
        <v>20190305135307744</v>
      </c>
      <c r="B3694" t="str">
        <f>"1551765187733280"</f>
        <v>1551765187733280</v>
      </c>
      <c r="C3694" t="s">
        <v>40</v>
      </c>
      <c r="D3694">
        <v>5.0451129999999997</v>
      </c>
      <c r="E3694">
        <v>0.5238661</v>
      </c>
      <c r="F3694" t="s">
        <v>42</v>
      </c>
      <c r="G3694">
        <v>-195.69239999999999</v>
      </c>
      <c r="H3694" s="1">
        <v>-2.5454939999999999E-6</v>
      </c>
      <c r="I3694">
        <v>171.99209999999999</v>
      </c>
      <c r="J3694">
        <v>-193.2747</v>
      </c>
      <c r="K3694">
        <v>1.1069119999999999</v>
      </c>
      <c r="L3694">
        <v>183.55109999999999</v>
      </c>
      <c r="M3694">
        <v>6.1515170000000001E-2</v>
      </c>
      <c r="N3694">
        <v>-1.331863E-2</v>
      </c>
      <c r="O3694">
        <v>-0.9980175</v>
      </c>
      <c r="P3694">
        <v>-0.14180229999999999</v>
      </c>
      <c r="Q3694">
        <v>-0.142121</v>
      </c>
      <c r="R3694">
        <v>-0.97963960000000005</v>
      </c>
      <c r="S3694">
        <v>-0.60084530000000003</v>
      </c>
      <c r="T3694">
        <v>-0.27622799999999997</v>
      </c>
      <c r="U3694">
        <v>-2.93573</v>
      </c>
      <c r="V3694">
        <v>0.20119200000000001</v>
      </c>
      <c r="W3694">
        <v>-0.1301494</v>
      </c>
      <c r="X3694">
        <v>0.97086709999999998</v>
      </c>
      <c r="Y3694">
        <v>0.2596118</v>
      </c>
      <c r="Z3694">
        <v>7.7519370000000004E-2</v>
      </c>
      <c r="AA3694">
        <v>0.96259669999999997</v>
      </c>
      <c r="AB3694">
        <v>23</v>
      </c>
      <c r="AC3694">
        <v>-2.4176999999999902</v>
      </c>
      <c r="AD3694">
        <v>-1.1069145454939999</v>
      </c>
      <c r="AE3694">
        <v>-11.5589999999999</v>
      </c>
      <c r="AF3694">
        <v>3.0970266834978202</v>
      </c>
      <c r="AG3694">
        <v>-1.1069145454939999</v>
      </c>
      <c r="AH3694">
        <v>11.2891798466311</v>
      </c>
      <c r="AI3694">
        <v>95.4016717902946</v>
      </c>
      <c r="AJ3694">
        <v>74.659132627826096</v>
      </c>
      <c r="AK3694">
        <v>11.7585039736739</v>
      </c>
      <c r="AL3694">
        <v>97.478225603950406</v>
      </c>
      <c r="AM3694">
        <v>78.292355760494502</v>
      </c>
      <c r="AN3694">
        <v>1.0000000065233801</v>
      </c>
    </row>
    <row r="3695" spans="1:40" x14ac:dyDescent="0.25">
      <c r="A3695" t="str">
        <f>"20190305135307758"</f>
        <v>20190305135307758</v>
      </c>
      <c r="B3695" t="str">
        <f>"1551765187753776"</f>
        <v>1551765187753776</v>
      </c>
      <c r="C3695" t="s">
        <v>40</v>
      </c>
      <c r="D3695">
        <v>5.0660049999999996</v>
      </c>
      <c r="E3695">
        <v>0.52399709999999999</v>
      </c>
      <c r="F3695" t="s">
        <v>42</v>
      </c>
      <c r="G3695">
        <v>-195.7029</v>
      </c>
      <c r="H3695" s="1">
        <v>-2.511716E-6</v>
      </c>
      <c r="I3695">
        <v>171.90690000000001</v>
      </c>
      <c r="J3695">
        <v>-193.2681</v>
      </c>
      <c r="K3695">
        <v>1.106949</v>
      </c>
      <c r="L3695">
        <v>183.41</v>
      </c>
      <c r="M3695">
        <v>5.973933E-2</v>
      </c>
      <c r="N3695">
        <v>-1.331504E-2</v>
      </c>
      <c r="O3695">
        <v>-0.99812509999999999</v>
      </c>
      <c r="P3695">
        <v>-0.1436326</v>
      </c>
      <c r="Q3695">
        <v>-0.14355179999999901</v>
      </c>
      <c r="R3695">
        <v>-0.97916429999999999</v>
      </c>
      <c r="S3695">
        <v>-0.61167910000000003</v>
      </c>
      <c r="T3695">
        <v>-0.27884900000000001</v>
      </c>
      <c r="U3695">
        <v>-2.9333650000000002</v>
      </c>
      <c r="V3695">
        <v>0.2012728</v>
      </c>
      <c r="W3695">
        <v>-0.13156609999999999</v>
      </c>
      <c r="X3695">
        <v>0.97065939999999995</v>
      </c>
      <c r="Y3695">
        <v>0.26143840000000002</v>
      </c>
      <c r="Z3695">
        <v>7.8409969999999996E-2</v>
      </c>
      <c r="AA3695">
        <v>0.9620301</v>
      </c>
      <c r="AB3695">
        <v>23</v>
      </c>
      <c r="AC3695">
        <v>-2.4347999999999899</v>
      </c>
      <c r="AD3695">
        <v>-1.106951511716</v>
      </c>
      <c r="AE3695">
        <v>-11.5030999999999</v>
      </c>
      <c r="AF3695">
        <v>3.0903089755803101</v>
      </c>
      <c r="AG3695">
        <v>-1.106951511716</v>
      </c>
      <c r="AH3695">
        <v>11.237484973527801</v>
      </c>
      <c r="AI3695">
        <v>95.425637818810003</v>
      </c>
      <c r="AJ3695">
        <v>74.623745869821903</v>
      </c>
      <c r="AK3695">
        <v>11.707109794654899</v>
      </c>
      <c r="AL3695">
        <v>97.560100433117697</v>
      </c>
      <c r="AM3695">
        <v>78.285346858229801</v>
      </c>
      <c r="AN3695">
        <v>1.0000000247487</v>
      </c>
    </row>
    <row r="3696" spans="1:40" x14ac:dyDescent="0.25">
      <c r="A3696" t="str">
        <f>"20190305135307771"</f>
        <v>20190305135307771</v>
      </c>
      <c r="B3696" t="str">
        <f>"1551765187763537"</f>
        <v>1551765187763537</v>
      </c>
      <c r="C3696" t="s">
        <v>40</v>
      </c>
      <c r="D3696">
        <v>5.0974560000000002</v>
      </c>
      <c r="E3696">
        <v>0.52414159999999999</v>
      </c>
      <c r="F3696" t="s">
        <v>42</v>
      </c>
      <c r="G3696">
        <v>-195.68639999999999</v>
      </c>
      <c r="H3696" s="1">
        <v>-2.5216569999999998E-6</v>
      </c>
      <c r="I3696">
        <v>171.94030000000001</v>
      </c>
      <c r="J3696">
        <v>-193.26179999999999</v>
      </c>
      <c r="K3696">
        <v>1.106981</v>
      </c>
      <c r="L3696">
        <v>183.27189999999999</v>
      </c>
      <c r="M3696">
        <v>5.802189E-2</v>
      </c>
      <c r="N3696">
        <v>-1.331163E-2</v>
      </c>
      <c r="O3696">
        <v>-0.99822650000000002</v>
      </c>
      <c r="P3696">
        <v>-0.14500629999999901</v>
      </c>
      <c r="Q3696">
        <v>-0.14592620000000001</v>
      </c>
      <c r="R3696">
        <v>-0.97861100000000001</v>
      </c>
      <c r="S3696">
        <v>-0.61811830000000001</v>
      </c>
      <c r="T3696">
        <v>-0.28293600000000002</v>
      </c>
      <c r="U3696">
        <v>-2.9316710000000001</v>
      </c>
      <c r="V3696">
        <v>0.20094690000000001</v>
      </c>
      <c r="W3696">
        <v>-0.1339264</v>
      </c>
      <c r="X3696">
        <v>0.97040409999999999</v>
      </c>
      <c r="Y3696">
        <v>0.261887799999999</v>
      </c>
      <c r="Z3696">
        <v>7.9789589999999994E-2</v>
      </c>
      <c r="AA3696">
        <v>0.96179440000000005</v>
      </c>
      <c r="AB3696">
        <v>23</v>
      </c>
      <c r="AC3696">
        <v>-2.4245999999999901</v>
      </c>
      <c r="AD3696">
        <v>-1.1069835216570001</v>
      </c>
      <c r="AE3696">
        <v>-11.3315999999999</v>
      </c>
      <c r="AF3696">
        <v>3.0502188328592501</v>
      </c>
      <c r="AG3696">
        <v>-1.1069835216570001</v>
      </c>
      <c r="AH3696">
        <v>11.070787136723</v>
      </c>
      <c r="AI3696">
        <v>95.506266320251299</v>
      </c>
      <c r="AJ3696">
        <v>74.596074724609394</v>
      </c>
      <c r="AK3696">
        <v>11.536532203057501</v>
      </c>
      <c r="AL3696">
        <v>97.696543183169695</v>
      </c>
      <c r="AM3696">
        <v>78.300799872178004</v>
      </c>
      <c r="AN3696">
        <v>1.00000002726668</v>
      </c>
    </row>
    <row r="3697" spans="1:40" x14ac:dyDescent="0.25">
      <c r="A3697" t="str">
        <f>"20190305135307784"</f>
        <v>20190305135307784</v>
      </c>
      <c r="B3697" t="str">
        <f>"1551765187773296"</f>
        <v>1551765187773296</v>
      </c>
      <c r="C3697" t="s">
        <v>40</v>
      </c>
      <c r="D3697">
        <v>5.07599</v>
      </c>
      <c r="E3697">
        <v>0.52417990000000003</v>
      </c>
      <c r="F3697" t="s">
        <v>42</v>
      </c>
      <c r="G3697">
        <v>-195.64320000000001</v>
      </c>
      <c r="H3697" s="1">
        <v>-2.5673E-6</v>
      </c>
      <c r="I3697">
        <v>172.0735</v>
      </c>
      <c r="J3697">
        <v>-193.256</v>
      </c>
      <c r="K3697">
        <v>1.1070089999999999</v>
      </c>
      <c r="L3697">
        <v>183.1414</v>
      </c>
      <c r="M3697">
        <v>5.6420270000000002E-2</v>
      </c>
      <c r="N3697">
        <v>-1.3308489999999999E-2</v>
      </c>
      <c r="O3697">
        <v>-0.99831859999999994</v>
      </c>
      <c r="P3697">
        <v>-0.14571339999999999</v>
      </c>
      <c r="Q3697">
        <v>-0.1479647</v>
      </c>
      <c r="R3697">
        <v>-0.97819970000000001</v>
      </c>
      <c r="S3697">
        <v>-0.6230774</v>
      </c>
      <c r="T3697">
        <v>-0.28963889999999998</v>
      </c>
      <c r="U3697">
        <v>-2.9300229999999998</v>
      </c>
      <c r="V3697">
        <v>0.20007820000000001</v>
      </c>
      <c r="W3697">
        <v>-0.13594800000000001</v>
      </c>
      <c r="X3697">
        <v>0.97030249999999996</v>
      </c>
      <c r="Y3697">
        <v>0.2619649</v>
      </c>
      <c r="Z3697">
        <v>8.2030679999999995E-2</v>
      </c>
      <c r="AA3697">
        <v>0.96158480000000002</v>
      </c>
      <c r="AB3697">
        <v>23</v>
      </c>
      <c r="AC3697">
        <v>-2.3872000000000302</v>
      </c>
      <c r="AD3697">
        <v>-1.1070115672999901</v>
      </c>
      <c r="AE3697">
        <v>-11.0679</v>
      </c>
      <c r="AF3697">
        <v>2.9794246594107201</v>
      </c>
      <c r="AG3697">
        <v>-1.1070115672999901</v>
      </c>
      <c r="AH3697">
        <v>10.812211388749001</v>
      </c>
      <c r="AI3697">
        <v>95.637193615587805</v>
      </c>
      <c r="AJ3697">
        <v>74.593865692074004</v>
      </c>
      <c r="AK3697">
        <v>11.269709890952599</v>
      </c>
      <c r="AL3697">
        <v>97.813441358037693</v>
      </c>
      <c r="AM3697">
        <v>78.348803995736702</v>
      </c>
      <c r="AN3697">
        <v>1.00000004316274</v>
      </c>
    </row>
    <row r="3698" spans="1:40" x14ac:dyDescent="0.25">
      <c r="A3698" t="str">
        <f>"20190305135307803"</f>
        <v>20190305135307803</v>
      </c>
      <c r="B3698" t="str">
        <f>"1551765187793792"</f>
        <v>1551765187793792</v>
      </c>
      <c r="C3698" t="s">
        <v>40</v>
      </c>
      <c r="D3698">
        <v>5.0839650000000001</v>
      </c>
      <c r="E3698">
        <v>0.52425200000000005</v>
      </c>
      <c r="F3698" t="s">
        <v>42</v>
      </c>
      <c r="G3698">
        <v>-195.6062</v>
      </c>
      <c r="H3698" s="1">
        <v>-2.5839520000000001E-6</v>
      </c>
      <c r="I3698">
        <v>172.1352</v>
      </c>
      <c r="J3698">
        <v>-193.2475</v>
      </c>
      <c r="K3698">
        <v>1.1070549999999999</v>
      </c>
      <c r="L3698">
        <v>182.94210000000001</v>
      </c>
      <c r="M3698">
        <v>5.4015319999999999E-2</v>
      </c>
      <c r="N3698">
        <v>-1.3304069999999999E-2</v>
      </c>
      <c r="O3698">
        <v>-0.99845150000000005</v>
      </c>
      <c r="P3698">
        <v>-0.1462695</v>
      </c>
      <c r="Q3698">
        <v>-0.14978729999999901</v>
      </c>
      <c r="R3698">
        <v>-0.97783889999999996</v>
      </c>
      <c r="S3698">
        <v>-0.62547299999999995</v>
      </c>
      <c r="T3698">
        <v>-0.29461209999999999</v>
      </c>
      <c r="U3698">
        <v>-2.9291079999999998</v>
      </c>
      <c r="V3698">
        <v>0.1982874</v>
      </c>
      <c r="W3698">
        <v>-0.13774429999999999</v>
      </c>
      <c r="X3698">
        <v>0.97041670000000002</v>
      </c>
      <c r="Y3698">
        <v>0.26042300000000002</v>
      </c>
      <c r="Z3698">
        <v>8.372346E-2</v>
      </c>
      <c r="AA3698">
        <v>0.96185770000000004</v>
      </c>
      <c r="AB3698">
        <v>23</v>
      </c>
      <c r="AC3698">
        <v>-2.35869999999999</v>
      </c>
      <c r="AD3698">
        <v>-1.1070575839519901</v>
      </c>
      <c r="AE3698">
        <v>-10.806900000000001</v>
      </c>
      <c r="AF3698">
        <v>2.9098979966826999</v>
      </c>
      <c r="AG3698">
        <v>-1.1070575839519901</v>
      </c>
      <c r="AH3698">
        <v>10.557946632627599</v>
      </c>
      <c r="AI3698">
        <v>95.772210307026796</v>
      </c>
      <c r="AJ3698">
        <v>74.591148087779899</v>
      </c>
      <c r="AK3698">
        <v>11.0074211304327</v>
      </c>
      <c r="AL3698">
        <v>97.917339731605693</v>
      </c>
      <c r="AM3698">
        <v>78.451596422880996</v>
      </c>
      <c r="AN3698">
        <v>0.99999997841006905</v>
      </c>
    </row>
    <row r="3699" spans="1:40" x14ac:dyDescent="0.25">
      <c r="A3699" t="str">
        <f>"20190305135307825"</f>
        <v>20190305135307825</v>
      </c>
      <c r="B3699" t="str">
        <f>"1551765187813312"</f>
        <v>1551765187813312</v>
      </c>
      <c r="C3699" t="s">
        <v>40</v>
      </c>
      <c r="D3699">
        <v>5.0377269999999896</v>
      </c>
      <c r="E3699">
        <v>0.52400879999999905</v>
      </c>
      <c r="F3699" t="s">
        <v>42</v>
      </c>
      <c r="G3699">
        <v>-195.56659999999999</v>
      </c>
      <c r="H3699" s="1">
        <v>-2.568905E-6</v>
      </c>
      <c r="I3699">
        <v>172.12469999999999</v>
      </c>
      <c r="J3699">
        <v>-193.23849999999999</v>
      </c>
      <c r="K3699">
        <v>1.107083</v>
      </c>
      <c r="L3699">
        <v>182.71889999999999</v>
      </c>
      <c r="M3699">
        <v>5.1351979999999998E-2</v>
      </c>
      <c r="N3699">
        <v>-1.3299689999999999E-2</v>
      </c>
      <c r="O3699">
        <v>-0.99859229999999999</v>
      </c>
      <c r="P3699">
        <v>-0.14766789999999999</v>
      </c>
      <c r="Q3699">
        <v>-0.14944499999999999</v>
      </c>
      <c r="R3699">
        <v>-0.97768149999999998</v>
      </c>
      <c r="S3699">
        <v>-0.62774659999999904</v>
      </c>
      <c r="T3699">
        <v>-0.29967070000000001</v>
      </c>
      <c r="U3699">
        <v>-2.9281769999999998</v>
      </c>
      <c r="V3699">
        <v>0.1971041</v>
      </c>
      <c r="W3699">
        <v>-0.1373817</v>
      </c>
      <c r="X3699">
        <v>0.97070909999999999</v>
      </c>
      <c r="Y3699">
        <v>0.2585924</v>
      </c>
      <c r="Z3699">
        <v>8.5451600000000003E-2</v>
      </c>
      <c r="AA3699">
        <v>0.96219960000000004</v>
      </c>
      <c r="AB3699">
        <v>23</v>
      </c>
      <c r="AC3699">
        <v>-2.3281000000000001</v>
      </c>
      <c r="AD3699">
        <v>-1.1070855689049901</v>
      </c>
      <c r="AE3699">
        <v>-10.594200000000001</v>
      </c>
      <c r="AF3699">
        <v>2.8395294561951201</v>
      </c>
      <c r="AG3699">
        <v>-1.1070855689049901</v>
      </c>
      <c r="AH3699">
        <v>10.352811029153701</v>
      </c>
      <c r="AI3699">
        <v>95.887932416936906</v>
      </c>
      <c r="AJ3699">
        <v>74.662311939418004</v>
      </c>
      <c r="AK3699">
        <v>10.792092577199501</v>
      </c>
      <c r="AL3699">
        <v>97.896365041740395</v>
      </c>
      <c r="AM3699">
        <v>78.522043936310197</v>
      </c>
      <c r="AN3699">
        <v>0.99999995727725399</v>
      </c>
    </row>
    <row r="3700" spans="1:40" x14ac:dyDescent="0.25">
      <c r="A3700" t="str">
        <f>"20190305135307846"</f>
        <v>20190305135307846</v>
      </c>
      <c r="B3700" t="str">
        <f>"1551765187843569"</f>
        <v>1551765187843569</v>
      </c>
      <c r="C3700" t="s">
        <v>40</v>
      </c>
      <c r="D3700">
        <v>4.9127650000000003</v>
      </c>
      <c r="E3700">
        <v>0.51961000000000002</v>
      </c>
      <c r="F3700" t="s">
        <v>42</v>
      </c>
      <c r="G3700">
        <v>-195.6131</v>
      </c>
      <c r="H3700" s="1">
        <v>-2.3890790000000002E-6</v>
      </c>
      <c r="I3700">
        <v>171.67670000000001</v>
      </c>
      <c r="J3700">
        <v>-193.2302</v>
      </c>
      <c r="K3700">
        <v>1.107097</v>
      </c>
      <c r="L3700">
        <v>182.4966</v>
      </c>
      <c r="M3700">
        <v>4.8715399999999999E-2</v>
      </c>
      <c r="N3700">
        <v>-1.329602E-2</v>
      </c>
      <c r="O3700">
        <v>-0.99872419999999995</v>
      </c>
      <c r="P3700">
        <v>-0.14892529999999901</v>
      </c>
      <c r="Q3700">
        <v>-0.14909910000000001</v>
      </c>
      <c r="R3700">
        <v>-0.97754319999999895</v>
      </c>
      <c r="S3700">
        <v>-0.62974549999999996</v>
      </c>
      <c r="T3700">
        <v>-0.29360969999999997</v>
      </c>
      <c r="U3700">
        <v>-2.9284970000000001</v>
      </c>
      <c r="V3700">
        <v>0.19580030000000001</v>
      </c>
      <c r="W3700">
        <v>-0.13702410000000001</v>
      </c>
      <c r="X3700">
        <v>0.97102350000000004</v>
      </c>
      <c r="Y3700">
        <v>0.25668869999999999</v>
      </c>
      <c r="Z3700">
        <v>8.3505969999999999E-2</v>
      </c>
      <c r="AA3700">
        <v>0.96287990000000001</v>
      </c>
      <c r="AB3700">
        <v>23</v>
      </c>
      <c r="AC3700">
        <v>-2.3828999999999998</v>
      </c>
      <c r="AD3700">
        <v>-1.107099389079</v>
      </c>
      <c r="AE3700">
        <v>-10.819899999999899</v>
      </c>
      <c r="AF3700">
        <v>2.8784705026505701</v>
      </c>
      <c r="AG3700">
        <v>-1.107099389079</v>
      </c>
      <c r="AH3700">
        <v>10.585261015707699</v>
      </c>
      <c r="AI3700">
        <v>95.762994448400903</v>
      </c>
      <c r="AJ3700">
        <v>74.787304577496798</v>
      </c>
      <c r="AK3700">
        <v>11.025380368159199</v>
      </c>
      <c r="AL3700">
        <v>97.875680120408305</v>
      </c>
      <c r="AM3700">
        <v>78.599568062928398</v>
      </c>
      <c r="AN3700">
        <v>0.99999999950657503</v>
      </c>
    </row>
    <row r="3701" spans="1:40" x14ac:dyDescent="0.25">
      <c r="A3701" t="str">
        <f>"20190305135307859"</f>
        <v>20190305135307859</v>
      </c>
      <c r="B3701" t="str">
        <f>"1551765187853328"</f>
        <v>1551765187853328</v>
      </c>
      <c r="C3701" t="s">
        <v>40</v>
      </c>
      <c r="D3701">
        <v>5.0131839999999999</v>
      </c>
      <c r="E3701">
        <v>0.5193953</v>
      </c>
      <c r="F3701" t="s">
        <v>42</v>
      </c>
      <c r="G3701">
        <v>-196.80709999999999</v>
      </c>
      <c r="H3701" s="1">
        <v>-4.0985730000000003E-6</v>
      </c>
      <c r="I3701">
        <v>164.81469999999999</v>
      </c>
      <c r="J3701">
        <v>-193.22540000000001</v>
      </c>
      <c r="K3701">
        <v>1.107092</v>
      </c>
      <c r="L3701">
        <v>182.36109999999999</v>
      </c>
      <c r="M3701">
        <v>4.7105899999999999E-2</v>
      </c>
      <c r="N3701">
        <v>-1.329404E-2</v>
      </c>
      <c r="O3701">
        <v>-0.99880159999999996</v>
      </c>
      <c r="P3701">
        <v>-0.14962239999999999</v>
      </c>
      <c r="Q3701">
        <v>-0.14968319999999999</v>
      </c>
      <c r="R3701">
        <v>-0.97734770000000004</v>
      </c>
      <c r="S3701">
        <v>-0.59674069999999901</v>
      </c>
      <c r="T3701">
        <v>-0.18469640000000001</v>
      </c>
      <c r="U3701">
        <v>-2.9498440000000001</v>
      </c>
      <c r="V3701">
        <v>0.1949217</v>
      </c>
      <c r="W3701">
        <v>-0.1376069</v>
      </c>
      <c r="X3701">
        <v>0.97111789999999998</v>
      </c>
      <c r="Y3701">
        <v>0.24388860000000001</v>
      </c>
      <c r="Z3701">
        <v>4.7491829999999999E-2</v>
      </c>
      <c r="AA3701">
        <v>0.96863969999999999</v>
      </c>
      <c r="AB3701">
        <v>23</v>
      </c>
      <c r="AC3701">
        <v>-3.5816999999999801</v>
      </c>
      <c r="AD3701">
        <v>-1.1070960985730001</v>
      </c>
      <c r="AE3701">
        <v>-17.546399999999998</v>
      </c>
      <c r="AF3701">
        <v>4.3875668300981703</v>
      </c>
      <c r="AG3701">
        <v>-1.1070960985730001</v>
      </c>
      <c r="AH3701">
        <v>17.292097702906901</v>
      </c>
      <c r="AI3701">
        <v>93.551037975520799</v>
      </c>
      <c r="AJ3701">
        <v>75.762658358461806</v>
      </c>
      <c r="AK3701">
        <v>17.874368448337801</v>
      </c>
      <c r="AL3701">
        <v>97.909391019462106</v>
      </c>
      <c r="AM3701">
        <v>78.650468244203296</v>
      </c>
      <c r="AN3701">
        <v>1.0000000518794501</v>
      </c>
    </row>
    <row r="3702" spans="1:40" x14ac:dyDescent="0.25">
      <c r="A3702" t="str">
        <f>"20190305135307881"</f>
        <v>20190305135307881</v>
      </c>
      <c r="B3702" t="str">
        <f>"1551765187873823"</f>
        <v>1551765187873823</v>
      </c>
      <c r="C3702" t="s">
        <v>40</v>
      </c>
      <c r="D3702">
        <v>5.3310040000000001</v>
      </c>
      <c r="E3702">
        <v>0.51918880000000001</v>
      </c>
      <c r="F3702" t="s">
        <v>42</v>
      </c>
      <c r="G3702">
        <v>-196.79419999999999</v>
      </c>
      <c r="H3702" s="1">
        <v>-4.0613969999999999E-6</v>
      </c>
      <c r="I3702">
        <v>164.72389999999999</v>
      </c>
      <c r="J3702">
        <v>-193.21780000000001</v>
      </c>
      <c r="K3702">
        <v>1.1070679999999999</v>
      </c>
      <c r="L3702">
        <v>182.13319999999999</v>
      </c>
      <c r="M3702">
        <v>4.4384439999999997E-2</v>
      </c>
      <c r="N3702">
        <v>-1.32912E-2</v>
      </c>
      <c r="O3702">
        <v>-0.99892630000000004</v>
      </c>
      <c r="P3702">
        <v>-0.15009259999999999</v>
      </c>
      <c r="Q3702">
        <v>-0.1512481</v>
      </c>
      <c r="R3702">
        <v>-0.97703490000000004</v>
      </c>
      <c r="S3702">
        <v>-0.59687809999999997</v>
      </c>
      <c r="T3702">
        <v>-0.18515989999999999</v>
      </c>
      <c r="U3702">
        <v>-2.9497990000000001</v>
      </c>
      <c r="V3702">
        <v>0.1927248</v>
      </c>
      <c r="W3702">
        <v>-0.13916909999999999</v>
      </c>
      <c r="X3702">
        <v>0.97133369999999997</v>
      </c>
      <c r="Y3702">
        <v>0.24129129999999999</v>
      </c>
      <c r="Z3702">
        <v>4.7682879999999997E-2</v>
      </c>
      <c r="AA3702">
        <v>0.96928060000000005</v>
      </c>
      <c r="AB3702">
        <v>23</v>
      </c>
      <c r="AC3702">
        <v>-3.5763999999999698</v>
      </c>
      <c r="AD3702">
        <v>-1.107072061397</v>
      </c>
      <c r="AE3702">
        <v>-17.409300000000002</v>
      </c>
      <c r="AF3702">
        <v>4.32884891467718</v>
      </c>
      <c r="AG3702">
        <v>-1.107072061397</v>
      </c>
      <c r="AH3702">
        <v>17.166782058580001</v>
      </c>
      <c r="AI3702">
        <v>93.578145957333902</v>
      </c>
      <c r="AJ3702">
        <v>75.847107359974402</v>
      </c>
      <c r="AK3702">
        <v>17.738741435682901</v>
      </c>
      <c r="AL3702">
        <v>97.999768333204102</v>
      </c>
      <c r="AM3702">
        <v>78.777549902930403</v>
      </c>
      <c r="AN3702">
        <v>1.00000002184276</v>
      </c>
    </row>
    <row r="3703" spans="1:40" x14ac:dyDescent="0.25">
      <c r="A3703" t="str">
        <f>"20190305135307895"</f>
        <v>20190305135307895</v>
      </c>
      <c r="B3703" t="str">
        <f>"1551765187883584"</f>
        <v>1551765187883584</v>
      </c>
      <c r="C3703" t="s">
        <v>40</v>
      </c>
      <c r="D3703">
        <v>5.1059549999999998</v>
      </c>
      <c r="E3703">
        <v>0.49615609999999999</v>
      </c>
      <c r="F3703" t="s">
        <v>42</v>
      </c>
      <c r="G3703">
        <v>-196.6114</v>
      </c>
      <c r="H3703" s="1">
        <v>-4.2735010000000001E-6</v>
      </c>
      <c r="I3703">
        <v>165.36060000000001</v>
      </c>
      <c r="J3703">
        <v>-193.21350000000001</v>
      </c>
      <c r="K3703">
        <v>1.107054</v>
      </c>
      <c r="L3703">
        <v>181.99600000000001</v>
      </c>
      <c r="M3703">
        <v>4.2725150000000003E-2</v>
      </c>
      <c r="N3703">
        <v>-1.3289870000000001E-2</v>
      </c>
      <c r="O3703">
        <v>-0.99899859999999896</v>
      </c>
      <c r="P3703">
        <v>-0.15033659999999999</v>
      </c>
      <c r="Q3703">
        <v>-0.15205199999999999</v>
      </c>
      <c r="R3703">
        <v>-0.97687250000000003</v>
      </c>
      <c r="S3703">
        <v>-0.59661869999999995</v>
      </c>
      <c r="T3703">
        <v>-0.19463030000000001</v>
      </c>
      <c r="U3703">
        <v>-2.9487299999999999</v>
      </c>
      <c r="V3703">
        <v>0.19134300000000001</v>
      </c>
      <c r="W3703">
        <v>-0.13997309999999999</v>
      </c>
      <c r="X3703">
        <v>0.97149129999999995</v>
      </c>
      <c r="Y3703">
        <v>0.23963039999999999</v>
      </c>
      <c r="Z3703">
        <v>5.0840280000000002E-2</v>
      </c>
      <c r="AA3703">
        <v>0.96953210000000001</v>
      </c>
      <c r="AB3703">
        <v>23</v>
      </c>
      <c r="AC3703">
        <v>-3.3978999999999902</v>
      </c>
      <c r="AD3703">
        <v>-1.1070582735009999</v>
      </c>
      <c r="AE3703">
        <v>-16.635399999999901</v>
      </c>
      <c r="AF3703">
        <v>4.0882290094091696</v>
      </c>
      <c r="AG3703">
        <v>-1.1070582735009999</v>
      </c>
      <c r="AH3703">
        <v>16.405274392910901</v>
      </c>
      <c r="AI3703">
        <v>93.746338633063601</v>
      </c>
      <c r="AJ3703">
        <v>76.006791121022601</v>
      </c>
      <c r="AK3703">
        <v>16.943205787601102</v>
      </c>
      <c r="AL3703">
        <v>98.046289832476603</v>
      </c>
      <c r="AM3703">
        <v>78.857754361152701</v>
      </c>
      <c r="AN3703">
        <v>0.99999997917414896</v>
      </c>
    </row>
    <row r="3704" spans="1:40" x14ac:dyDescent="0.25">
      <c r="A3704" t="str">
        <f>"20190305135307912"</f>
        <v>20190305135307912</v>
      </c>
      <c r="B3704" t="str">
        <f>"1551765187904092"</f>
        <v>1551765187904092</v>
      </c>
      <c r="C3704" t="s">
        <v>40</v>
      </c>
      <c r="D3704">
        <v>5.1034179999999996</v>
      </c>
      <c r="E3704">
        <v>0.4910332</v>
      </c>
      <c r="F3704" t="s">
        <v>41</v>
      </c>
      <c r="G3704">
        <v>-193.3321</v>
      </c>
      <c r="H3704">
        <v>1.0119579999999999</v>
      </c>
      <c r="I3704">
        <v>181.15960000000001</v>
      </c>
      <c r="J3704">
        <v>-193.20779999999999</v>
      </c>
      <c r="K3704">
        <v>1.1070310000000001</v>
      </c>
      <c r="L3704">
        <v>181.79839999999999</v>
      </c>
      <c r="M3704">
        <v>4.0302209999999998E-2</v>
      </c>
      <c r="N3704">
        <v>-1.3288309999999999E-2</v>
      </c>
      <c r="O3704">
        <v>-0.99909930000000002</v>
      </c>
      <c r="P3704">
        <v>-0.1490987</v>
      </c>
      <c r="Q3704">
        <v>-0.15273</v>
      </c>
      <c r="R3704">
        <v>-0.97695620000000005</v>
      </c>
      <c r="S3704">
        <v>-0.41828920000000003</v>
      </c>
      <c r="T3704">
        <v>-0.3358333</v>
      </c>
      <c r="U3704">
        <v>-2.9543910000000002</v>
      </c>
      <c r="V3704">
        <v>0.18774569999999999</v>
      </c>
      <c r="W3704">
        <v>-0.140641299999999</v>
      </c>
      <c r="X3704">
        <v>0.97209650000000003</v>
      </c>
      <c r="Y3704">
        <v>0.17915</v>
      </c>
      <c r="Z3704">
        <v>9.8094029999999999E-2</v>
      </c>
      <c r="AA3704">
        <v>0.97891919999999999</v>
      </c>
      <c r="AB3704">
        <v>23</v>
      </c>
      <c r="AC3704">
        <v>-0.124300000000005</v>
      </c>
      <c r="AD3704">
        <v>-9.5072999999999894E-2</v>
      </c>
      <c r="AE3704">
        <v>-0.63879999999997406</v>
      </c>
      <c r="AF3704">
        <v>0.146812963605328</v>
      </c>
      <c r="AG3704">
        <v>-9.5072999999999894E-2</v>
      </c>
      <c r="AH3704">
        <v>0.62003776361174101</v>
      </c>
      <c r="AI3704">
        <v>98.486411644961393</v>
      </c>
      <c r="AJ3704">
        <v>76.678801232567594</v>
      </c>
      <c r="AK3704">
        <v>0.64423578751589705</v>
      </c>
      <c r="AL3704">
        <v>98.084957087229299</v>
      </c>
      <c r="AM3704">
        <v>79.068778165220493</v>
      </c>
      <c r="AN3704">
        <v>1.0000000142232099</v>
      </c>
    </row>
    <row r="3705" spans="1:40" x14ac:dyDescent="0.25">
      <c r="A3705" t="str">
        <f>"20190305135307927"</f>
        <v>20190305135307927</v>
      </c>
      <c r="B3705" t="str">
        <f>"1551765187923600"</f>
        <v>1551765187923600</v>
      </c>
      <c r="C3705" t="s">
        <v>40</v>
      </c>
      <c r="D3705">
        <v>5.0998039999999998</v>
      </c>
      <c r="E3705">
        <v>0.49079850000000003</v>
      </c>
      <c r="F3705" t="s">
        <v>41</v>
      </c>
      <c r="G3705">
        <v>-193.31469999999999</v>
      </c>
      <c r="H3705">
        <v>1.0202770000000001</v>
      </c>
      <c r="I3705">
        <v>180.94890000000001</v>
      </c>
      <c r="J3705">
        <v>-193.20400000000001</v>
      </c>
      <c r="K3705">
        <v>1.10701</v>
      </c>
      <c r="L3705">
        <v>181.65629999999999</v>
      </c>
      <c r="M3705">
        <v>3.8537389999999998E-2</v>
      </c>
      <c r="N3705">
        <v>-1.328738E-2</v>
      </c>
      <c r="O3705">
        <v>-0.99916910000000003</v>
      </c>
      <c r="P3705">
        <v>-0.1487996</v>
      </c>
      <c r="Q3705">
        <v>-0.1526072</v>
      </c>
      <c r="R3705">
        <v>-0.97702140000000004</v>
      </c>
      <c r="S3705">
        <v>-0.37300109999999997</v>
      </c>
      <c r="T3705">
        <v>-0.30292029999999998</v>
      </c>
      <c r="U3705">
        <v>-2.9664760000000001</v>
      </c>
      <c r="V3705">
        <v>0.18572849999999999</v>
      </c>
      <c r="W3705">
        <v>-0.1405151</v>
      </c>
      <c r="X3705">
        <v>0.97250219999999998</v>
      </c>
      <c r="Y3705">
        <v>0.1623039</v>
      </c>
      <c r="Z3705">
        <v>8.7148229999999993E-2</v>
      </c>
      <c r="AA3705">
        <v>0.98288489999999995</v>
      </c>
      <c r="AB3705">
        <v>23</v>
      </c>
      <c r="AC3705">
        <v>-0.11069999999997999</v>
      </c>
      <c r="AD3705">
        <v>-8.6732999999999894E-2</v>
      </c>
      <c r="AE3705">
        <v>-0.70739999999997805</v>
      </c>
      <c r="AF3705">
        <v>0.13588756585311901</v>
      </c>
      <c r="AG3705">
        <v>-8.6732999999999894E-2</v>
      </c>
      <c r="AH3705">
        <v>0.69244738310596698</v>
      </c>
      <c r="AI3705">
        <v>97.007156967617505</v>
      </c>
      <c r="AJ3705">
        <v>78.897228029773501</v>
      </c>
      <c r="AK3705">
        <v>0.71096513431587305</v>
      </c>
      <c r="AL3705">
        <v>98.077653552610897</v>
      </c>
      <c r="AM3705">
        <v>79.187847489522099</v>
      </c>
      <c r="AN3705">
        <v>1.00000004902254</v>
      </c>
    </row>
    <row r="3706" spans="1:40" x14ac:dyDescent="0.25">
      <c r="A3706" t="str">
        <f>"20190305135307946"</f>
        <v>20190305135307946</v>
      </c>
      <c r="B3706" t="str">
        <f>"1551765187943120"</f>
        <v>1551765187943120</v>
      </c>
      <c r="C3706" t="s">
        <v>40</v>
      </c>
      <c r="D3706">
        <v>5.0380409999999998</v>
      </c>
      <c r="E3706">
        <v>0.49100890000000003</v>
      </c>
      <c r="F3706" t="s">
        <v>41</v>
      </c>
      <c r="G3706">
        <v>-193.31809999999999</v>
      </c>
      <c r="H3706">
        <v>1.017217</v>
      </c>
      <c r="I3706">
        <v>180.74260000000001</v>
      </c>
      <c r="J3706">
        <v>-193.19909999999999</v>
      </c>
      <c r="K3706">
        <v>1.1069770000000001</v>
      </c>
      <c r="L3706">
        <v>181.4572</v>
      </c>
      <c r="M3706">
        <v>3.6020469999999999E-2</v>
      </c>
      <c r="N3706">
        <v>-1.3286630000000001E-2</v>
      </c>
      <c r="O3706">
        <v>-0.99926280000000001</v>
      </c>
      <c r="P3706">
        <v>-0.14587629999999999</v>
      </c>
      <c r="Q3706">
        <v>-0.1534816</v>
      </c>
      <c r="R3706">
        <v>-0.97732479999999999</v>
      </c>
      <c r="S3706">
        <v>-0.3699036</v>
      </c>
      <c r="T3706">
        <v>-0.29167749999999998</v>
      </c>
      <c r="U3706">
        <v>-2.968674</v>
      </c>
      <c r="V3706">
        <v>0.18035799999999999</v>
      </c>
      <c r="W3706">
        <v>-0.14136889999999999</v>
      </c>
      <c r="X3706">
        <v>0.9733889</v>
      </c>
      <c r="Y3706">
        <v>0.15876409999999999</v>
      </c>
      <c r="Z3706">
        <v>8.34337E-2</v>
      </c>
      <c r="AA3706">
        <v>0.98378489999999996</v>
      </c>
      <c r="AB3706">
        <v>23</v>
      </c>
      <c r="AC3706">
        <v>-0.118999999999999</v>
      </c>
      <c r="AD3706">
        <v>-8.9760000000000006E-2</v>
      </c>
      <c r="AE3706">
        <v>-0.71459999999999002</v>
      </c>
      <c r="AF3706">
        <v>0.14247796240604199</v>
      </c>
      <c r="AG3706">
        <v>-8.9760000000000006E-2</v>
      </c>
      <c r="AH3706">
        <v>0.69911664644909399</v>
      </c>
      <c r="AI3706">
        <v>97.170404532992194</v>
      </c>
      <c r="AJ3706">
        <v>78.481029537445707</v>
      </c>
      <c r="AK3706">
        <v>0.71911119634838505</v>
      </c>
      <c r="AL3706">
        <v>98.127065820826999</v>
      </c>
      <c r="AM3706">
        <v>79.502786726100894</v>
      </c>
      <c r="AN3706">
        <v>1.0000000623472001</v>
      </c>
    </row>
    <row r="3707" spans="1:40" x14ac:dyDescent="0.25">
      <c r="A3707" t="str">
        <f>"20190305135307970"</f>
        <v>20190305135307970</v>
      </c>
      <c r="B3707" t="str">
        <f>"1551765187963407"</f>
        <v>1551765187963407</v>
      </c>
      <c r="C3707" t="s">
        <v>40</v>
      </c>
      <c r="D3707">
        <v>5.0329759999999997</v>
      </c>
      <c r="E3707">
        <v>0.49091639999999998</v>
      </c>
      <c r="F3707" t="s">
        <v>41</v>
      </c>
      <c r="G3707">
        <v>-193.31180000000001</v>
      </c>
      <c r="H3707">
        <v>1.0193700000000001</v>
      </c>
      <c r="I3707">
        <v>180.53450000000001</v>
      </c>
      <c r="J3707">
        <v>-193.19390000000001</v>
      </c>
      <c r="K3707">
        <v>1.1069530000000001</v>
      </c>
      <c r="L3707">
        <v>181.21289999999999</v>
      </c>
      <c r="M3707">
        <v>3.2879039999999998E-2</v>
      </c>
      <c r="N3707">
        <v>-1.3285760000000001E-2</v>
      </c>
      <c r="O3707">
        <v>-0.99937120000000002</v>
      </c>
      <c r="P3707">
        <v>-0.14133519999999999</v>
      </c>
      <c r="Q3707">
        <v>-0.15351719999999999</v>
      </c>
      <c r="R3707">
        <v>-0.97798620000000003</v>
      </c>
      <c r="S3707">
        <v>-0.36228939999999998</v>
      </c>
      <c r="T3707">
        <v>-0.2820394</v>
      </c>
      <c r="U3707">
        <v>-2.971222</v>
      </c>
      <c r="V3707">
        <v>0.17277439999999999</v>
      </c>
      <c r="W3707">
        <v>-0.14136789999999999</v>
      </c>
      <c r="X3707">
        <v>0.97476359999999995</v>
      </c>
      <c r="Y3707">
        <v>0.15311050000000001</v>
      </c>
      <c r="Z3707">
        <v>8.0260429999999994E-2</v>
      </c>
      <c r="AA3707">
        <v>0.98494440000000005</v>
      </c>
      <c r="AB3707">
        <v>23</v>
      </c>
      <c r="AC3707">
        <v>-0.117899999999991</v>
      </c>
      <c r="AD3707">
        <v>-8.7582999999999897E-2</v>
      </c>
      <c r="AE3707">
        <v>-0.67839999999998202</v>
      </c>
      <c r="AF3707">
        <v>0.13791210500161</v>
      </c>
      <c r="AG3707">
        <v>-8.7582999999999897E-2</v>
      </c>
      <c r="AH3707">
        <v>0.66342301472738296</v>
      </c>
      <c r="AI3707">
        <v>97.364852407532098</v>
      </c>
      <c r="AJ3707">
        <v>78.256629413665706</v>
      </c>
      <c r="AK3707">
        <v>0.683242729244113</v>
      </c>
      <c r="AL3707">
        <v>98.127008648931294</v>
      </c>
      <c r="AM3707">
        <v>79.948857193871703</v>
      </c>
      <c r="AN3707">
        <v>0.99999997616536396</v>
      </c>
    </row>
    <row r="3708" spans="1:40" x14ac:dyDescent="0.25">
      <c r="A3708" t="str">
        <f>"20190305135307982"</f>
        <v>20190305135307982</v>
      </c>
      <c r="B3708" t="str">
        <f>"1551765187973167"</f>
        <v>1551765187973167</v>
      </c>
      <c r="C3708" t="s">
        <v>40</v>
      </c>
      <c r="D3708">
        <v>5.1957149999999999</v>
      </c>
      <c r="E3708">
        <v>0.49147849999999998</v>
      </c>
      <c r="F3708" t="s">
        <v>41</v>
      </c>
      <c r="G3708">
        <v>-193.2979</v>
      </c>
      <c r="H3708">
        <v>1.0243960000000001</v>
      </c>
      <c r="I3708">
        <v>180.32560000000001</v>
      </c>
      <c r="J3708">
        <v>-193.19130000000001</v>
      </c>
      <c r="K3708">
        <v>1.1069530000000001</v>
      </c>
      <c r="L3708">
        <v>181.072</v>
      </c>
      <c r="M3708">
        <v>3.1048800000000001E-2</v>
      </c>
      <c r="N3708">
        <v>-1.328526E-2</v>
      </c>
      <c r="O3708">
        <v>-0.99942949999999997</v>
      </c>
      <c r="P3708">
        <v>-0.13801150000000001</v>
      </c>
      <c r="Q3708">
        <v>-0.15241370000000001</v>
      </c>
      <c r="R3708">
        <v>-0.97863350000000005</v>
      </c>
      <c r="S3708">
        <v>-0.34739690000000001</v>
      </c>
      <c r="T3708">
        <v>-0.27661570000000002</v>
      </c>
      <c r="U3708">
        <v>-2.9739070000000001</v>
      </c>
      <c r="V3708">
        <v>0.16769010000000001</v>
      </c>
      <c r="W3708">
        <v>-0.14023440000000001</v>
      </c>
      <c r="X3708">
        <v>0.97581470000000003</v>
      </c>
      <c r="Y3708">
        <v>0.1463507</v>
      </c>
      <c r="Z3708">
        <v>7.847904E-2</v>
      </c>
      <c r="AA3708">
        <v>0.98611490000000002</v>
      </c>
      <c r="AB3708">
        <v>23</v>
      </c>
      <c r="AC3708">
        <v>-0.106599999999986</v>
      </c>
      <c r="AD3708">
        <v>-8.25570000000002E-2</v>
      </c>
      <c r="AE3708">
        <v>-0.74639999999999396</v>
      </c>
      <c r="AF3708">
        <v>0.128188570949863</v>
      </c>
      <c r="AG3708">
        <v>-8.25570000000002E-2</v>
      </c>
      <c r="AH3708">
        <v>0.73393063606906905</v>
      </c>
      <c r="AI3708">
        <v>96.323071487632106</v>
      </c>
      <c r="AJ3708">
        <v>80.092638644346493</v>
      </c>
      <c r="AK3708">
        <v>0.74960132506013899</v>
      </c>
      <c r="AL3708">
        <v>98.061410246919095</v>
      </c>
      <c r="AM3708">
        <v>80.249174877028906</v>
      </c>
      <c r="AN3708">
        <v>0.99999999265872996</v>
      </c>
    </row>
    <row r="3709" spans="1:40" x14ac:dyDescent="0.25">
      <c r="A3709" t="str">
        <f>"20190305135308004"</f>
        <v>20190305135308004</v>
      </c>
      <c r="B3709" t="str">
        <f>"1551765187993666"</f>
        <v>1551765187993666</v>
      </c>
      <c r="C3709" t="s">
        <v>40</v>
      </c>
      <c r="D3709">
        <v>5.1096409999999999</v>
      </c>
      <c r="E3709">
        <v>0.49145250000000001</v>
      </c>
      <c r="F3709" t="s">
        <v>41</v>
      </c>
      <c r="G3709">
        <v>-193.27780000000001</v>
      </c>
      <c r="H3709">
        <v>1.036843</v>
      </c>
      <c r="I3709">
        <v>180.32040000000001</v>
      </c>
      <c r="J3709">
        <v>-193.18770000000001</v>
      </c>
      <c r="K3709">
        <v>1.1069580000000001</v>
      </c>
      <c r="L3709">
        <v>180.8544</v>
      </c>
      <c r="M3709">
        <v>2.820141E-2</v>
      </c>
      <c r="N3709">
        <v>-1.3284260000000001E-2</v>
      </c>
      <c r="O3709">
        <v>-0.99951400000000001</v>
      </c>
      <c r="P3709">
        <v>-0.12804160000000001</v>
      </c>
      <c r="Q3709">
        <v>-0.1501392</v>
      </c>
      <c r="R3709">
        <v>-0.98033859999999995</v>
      </c>
      <c r="S3709">
        <v>-0.34147640000000001</v>
      </c>
      <c r="T3709">
        <v>-0.27736280000000002</v>
      </c>
      <c r="U3709">
        <v>-2.974167</v>
      </c>
      <c r="V3709">
        <v>0.155002</v>
      </c>
      <c r="W3709">
        <v>-0.13787669999999999</v>
      </c>
      <c r="X3709">
        <v>0.97824560000000005</v>
      </c>
      <c r="Y3709">
        <v>0.1415846</v>
      </c>
      <c r="Z3709">
        <v>7.8774860000000002E-2</v>
      </c>
      <c r="AA3709">
        <v>0.98678679999999996</v>
      </c>
      <c r="AB3709">
        <v>23</v>
      </c>
      <c r="AC3709">
        <v>-9.0100000000006703E-2</v>
      </c>
      <c r="AD3709">
        <v>-7.01149999999999E-2</v>
      </c>
      <c r="AE3709">
        <v>-0.53399999999999104</v>
      </c>
      <c r="AF3709">
        <v>0.10339189452782201</v>
      </c>
      <c r="AG3709">
        <v>-7.01149999999999E-2</v>
      </c>
      <c r="AH3709">
        <v>0.52248800183488897</v>
      </c>
      <c r="AI3709">
        <v>97.499397766609306</v>
      </c>
      <c r="AJ3709">
        <v>78.806702488495404</v>
      </c>
      <c r="AK3709">
        <v>0.53721477003193696</v>
      </c>
      <c r="AL3709">
        <v>97.924998366032995</v>
      </c>
      <c r="AM3709">
        <v>80.996393678230007</v>
      </c>
      <c r="AN3709">
        <v>1.0000000291631199</v>
      </c>
    </row>
    <row r="3710" spans="1:40" x14ac:dyDescent="0.25">
      <c r="A3710" t="str">
        <f>"20190305135308025"</f>
        <v>20190305135308025</v>
      </c>
      <c r="B3710" t="str">
        <f>"1551765188013184"</f>
        <v>1551765188013184</v>
      </c>
      <c r="C3710" t="s">
        <v>40</v>
      </c>
      <c r="D3710">
        <v>5.0434729999999997</v>
      </c>
      <c r="E3710">
        <v>0.49211650000000001</v>
      </c>
      <c r="F3710" t="s">
        <v>41</v>
      </c>
      <c r="G3710">
        <v>-193.2653</v>
      </c>
      <c r="H3710">
        <v>1.039236</v>
      </c>
      <c r="I3710">
        <v>180.11269999999999</v>
      </c>
      <c r="J3710">
        <v>-193.1848</v>
      </c>
      <c r="K3710">
        <v>1.106965</v>
      </c>
      <c r="L3710">
        <v>180.63730000000001</v>
      </c>
      <c r="M3710">
        <v>2.5345320000000001E-2</v>
      </c>
      <c r="N3710">
        <v>-1.3283150000000001E-2</v>
      </c>
      <c r="O3710">
        <v>-0.9995906</v>
      </c>
      <c r="P3710">
        <v>-0.1169288</v>
      </c>
      <c r="Q3710">
        <v>-0.14895139999999901</v>
      </c>
      <c r="R3710">
        <v>-0.98190710000000003</v>
      </c>
      <c r="S3710">
        <v>-0.31088259999999901</v>
      </c>
      <c r="T3710">
        <v>-0.2718295</v>
      </c>
      <c r="U3710">
        <v>-2.9779360000000001</v>
      </c>
      <c r="V3710">
        <v>0.14114560000000001</v>
      </c>
      <c r="W3710">
        <v>-0.13659789999999999</v>
      </c>
      <c r="X3710">
        <v>0.98051969999999999</v>
      </c>
      <c r="Y3710">
        <v>0.1286108</v>
      </c>
      <c r="Z3710">
        <v>7.6984910000000004E-2</v>
      </c>
      <c r="AA3710">
        <v>0.98870250000000004</v>
      </c>
      <c r="AB3710">
        <v>23</v>
      </c>
      <c r="AC3710">
        <v>-8.0500000000000599E-2</v>
      </c>
      <c r="AD3710">
        <v>-6.77289999999999E-2</v>
      </c>
      <c r="AE3710">
        <v>-0.52460000000002005</v>
      </c>
      <c r="AF3710">
        <v>9.2268873064739299E-2</v>
      </c>
      <c r="AG3710">
        <v>-6.77289999999999E-2</v>
      </c>
      <c r="AH3710">
        <v>0.51402020225360001</v>
      </c>
      <c r="AI3710">
        <v>97.389469622502105</v>
      </c>
      <c r="AJ3710">
        <v>79.823534903139802</v>
      </c>
      <c r="AK3710">
        <v>0.52660946697003996</v>
      </c>
      <c r="AL3710">
        <v>97.851029065857205</v>
      </c>
      <c r="AM3710">
        <v>81.808555345359906</v>
      </c>
      <c r="AN3710">
        <v>0.99999997438592902</v>
      </c>
    </row>
    <row r="3711" spans="1:40" x14ac:dyDescent="0.25">
      <c r="A3711" t="str">
        <f>"20190305135308047"</f>
        <v>20190305135308047</v>
      </c>
      <c r="B3711" t="str">
        <f>"1551765188043439"</f>
        <v>1551765188043439</v>
      </c>
      <c r="C3711" t="s">
        <v>40</v>
      </c>
      <c r="D3711">
        <v>5.2234350000000003</v>
      </c>
      <c r="E3711">
        <v>0.49415959999999998</v>
      </c>
      <c r="F3711" t="s">
        <v>41</v>
      </c>
      <c r="G3711">
        <v>-193.25450000000001</v>
      </c>
      <c r="H3711">
        <v>1.040149</v>
      </c>
      <c r="I3711">
        <v>179.9058</v>
      </c>
      <c r="J3711">
        <v>-193.1824</v>
      </c>
      <c r="K3711">
        <v>1.106995</v>
      </c>
      <c r="L3711">
        <v>180.4083</v>
      </c>
      <c r="M3711">
        <v>2.2343809999999999E-2</v>
      </c>
      <c r="N3711">
        <v>-1.3281680000000001E-2</v>
      </c>
      <c r="O3711">
        <v>-0.99966219999999995</v>
      </c>
      <c r="P3711">
        <v>-0.10493329999999999</v>
      </c>
      <c r="Q3711">
        <v>-0.14660290000000001</v>
      </c>
      <c r="R3711">
        <v>-0.98361419999999999</v>
      </c>
      <c r="S3711">
        <v>-0.28308109999999997</v>
      </c>
      <c r="T3711">
        <v>-0.27215679999999998</v>
      </c>
      <c r="U3711">
        <v>-2.9803009999999999</v>
      </c>
      <c r="V3711">
        <v>0.1262654</v>
      </c>
      <c r="W3711">
        <v>-0.13414799999999999</v>
      </c>
      <c r="X3711">
        <v>0.98288419999999999</v>
      </c>
      <c r="Y3711">
        <v>0.1164179</v>
      </c>
      <c r="Z3711">
        <v>7.7146329999999999E-2</v>
      </c>
      <c r="AA3711">
        <v>0.99019959999999996</v>
      </c>
      <c r="AB3711">
        <v>23</v>
      </c>
      <c r="AC3711">
        <v>-7.2100000000006007E-2</v>
      </c>
      <c r="AD3711">
        <v>-6.68460000000001E-2</v>
      </c>
      <c r="AE3711">
        <v>-0.50249999999999695</v>
      </c>
      <c r="AF3711">
        <v>8.1890830883818294E-2</v>
      </c>
      <c r="AG3711">
        <v>-6.68460000000001E-2</v>
      </c>
      <c r="AH3711">
        <v>0.49222855605261101</v>
      </c>
      <c r="AI3711">
        <v>97.630004086618101</v>
      </c>
      <c r="AJ3711">
        <v>80.554356704911797</v>
      </c>
      <c r="AK3711">
        <v>0.50345153420411803</v>
      </c>
      <c r="AL3711">
        <v>97.709355801449902</v>
      </c>
      <c r="AM3711">
        <v>82.679639118713794</v>
      </c>
      <c r="AN3711">
        <v>0.99999999387539995</v>
      </c>
    </row>
    <row r="3712" spans="1:40" x14ac:dyDescent="0.25">
      <c r="A3712" t="str">
        <f>"20190305135308060"</f>
        <v>20190305135308060</v>
      </c>
      <c r="B3712" t="str">
        <f>"1551765188053199"</f>
        <v>1551765188053199</v>
      </c>
      <c r="C3712" t="s">
        <v>40</v>
      </c>
      <c r="D3712">
        <v>5.0585809999999896</v>
      </c>
      <c r="E3712">
        <v>0.49471549999999997</v>
      </c>
      <c r="F3712" t="s">
        <v>41</v>
      </c>
      <c r="G3712">
        <v>-193.26259999999999</v>
      </c>
      <c r="H3712">
        <v>1.028486</v>
      </c>
      <c r="I3712">
        <v>179.4982</v>
      </c>
      <c r="J3712">
        <v>-193.18129999999999</v>
      </c>
      <c r="K3712">
        <v>1.1070120000000001</v>
      </c>
      <c r="L3712">
        <v>180.27019999999999</v>
      </c>
      <c r="M3712">
        <v>2.0550280000000001E-2</v>
      </c>
      <c r="N3712">
        <v>-1.32806E-2</v>
      </c>
      <c r="O3712">
        <v>-0.99970060000000005</v>
      </c>
      <c r="P3712">
        <v>-9.9191050000000003E-2</v>
      </c>
      <c r="Q3712">
        <v>-0.14487809999999901</v>
      </c>
      <c r="R3712">
        <v>-0.98446480000000003</v>
      </c>
      <c r="S3712">
        <v>-0.2625885</v>
      </c>
      <c r="T3712">
        <v>-0.25734509999999999</v>
      </c>
      <c r="U3712">
        <v>-2.9836119999999999</v>
      </c>
      <c r="V3712">
        <v>0.1187937</v>
      </c>
      <c r="W3712">
        <v>-0.13237019999999999</v>
      </c>
      <c r="X3712">
        <v>0.98405600000000004</v>
      </c>
      <c r="Y3712">
        <v>0.1078255</v>
      </c>
      <c r="Z3712">
        <v>7.224092E-2</v>
      </c>
      <c r="AA3712">
        <v>0.99154169999999997</v>
      </c>
      <c r="AB3712">
        <v>23</v>
      </c>
      <c r="AC3712">
        <v>-8.1299999999998804E-2</v>
      </c>
      <c r="AD3712">
        <v>-7.8526000000000096E-2</v>
      </c>
      <c r="AE3712">
        <v>-0.77199999999999103</v>
      </c>
      <c r="AF3712">
        <v>9.6164988721785499E-2</v>
      </c>
      <c r="AG3712">
        <v>-7.8526000000000096E-2</v>
      </c>
      <c r="AH3712">
        <v>0.76236478762290605</v>
      </c>
      <c r="AI3712">
        <v>95.834992634429796</v>
      </c>
      <c r="AJ3712">
        <v>82.810658611512494</v>
      </c>
      <c r="AK3712">
        <v>0.77240799266914595</v>
      </c>
      <c r="AL3712">
        <v>97.606578565485194</v>
      </c>
      <c r="AM3712">
        <v>83.116651101845804</v>
      </c>
      <c r="AN3712">
        <v>1.00000001207186</v>
      </c>
    </row>
    <row r="3713" spans="1:40" x14ac:dyDescent="0.25">
      <c r="A3713" t="str">
        <f>"20190305135308082"</f>
        <v>20190305135308082</v>
      </c>
      <c r="B3713" t="str">
        <f>"1551765188073695"</f>
        <v>1551765188073695</v>
      </c>
      <c r="C3713" t="s">
        <v>40</v>
      </c>
      <c r="D3713">
        <v>5.0899919999999996</v>
      </c>
      <c r="E3713">
        <v>0.49545440000000002</v>
      </c>
      <c r="F3713" t="s">
        <v>41</v>
      </c>
      <c r="G3713">
        <v>-193.2466</v>
      </c>
      <c r="H3713">
        <v>1.0420499999999999</v>
      </c>
      <c r="I3713">
        <v>179.49189999999999</v>
      </c>
      <c r="J3713">
        <v>-193.18</v>
      </c>
      <c r="K3713">
        <v>1.1070580000000001</v>
      </c>
      <c r="L3713">
        <v>180.04900000000001</v>
      </c>
      <c r="M3713">
        <v>1.7707170000000001E-2</v>
      </c>
      <c r="N3713">
        <v>-1.327849E-2</v>
      </c>
      <c r="O3713">
        <v>-0.99975499999999995</v>
      </c>
      <c r="P3713">
        <v>-8.8486079999999995E-2</v>
      </c>
      <c r="Q3713">
        <v>-0.1408787</v>
      </c>
      <c r="R3713">
        <v>-0.98606470000000002</v>
      </c>
      <c r="S3713">
        <v>-0.2499237</v>
      </c>
      <c r="T3713">
        <v>-0.2491765</v>
      </c>
      <c r="U3713">
        <v>-2.9854889999999998</v>
      </c>
      <c r="V3713">
        <v>0.1053521</v>
      </c>
      <c r="W3713">
        <v>-0.128276</v>
      </c>
      <c r="X3713">
        <v>0.98612690000000003</v>
      </c>
      <c r="Y3713">
        <v>0.1007883</v>
      </c>
      <c r="Z3713">
        <v>6.9548499999999999E-2</v>
      </c>
      <c r="AA3713">
        <v>0.99247399999999997</v>
      </c>
      <c r="AB3713">
        <v>23</v>
      </c>
      <c r="AC3713">
        <v>-6.6599999999993997E-2</v>
      </c>
      <c r="AD3713">
        <v>-6.5008000000000093E-2</v>
      </c>
      <c r="AE3713">
        <v>-0.55710000000001902</v>
      </c>
      <c r="AF3713">
        <v>7.5442300970876702E-2</v>
      </c>
      <c r="AG3713">
        <v>-6.5008000000000093E-2</v>
      </c>
      <c r="AH3713">
        <v>0.54847019317664703</v>
      </c>
      <c r="AI3713">
        <v>96.697029471079702</v>
      </c>
      <c r="AJ3713">
        <v>82.168088717023906</v>
      </c>
      <c r="AK3713">
        <v>0.55743800878932603</v>
      </c>
      <c r="AL3713">
        <v>97.369980068775703</v>
      </c>
      <c r="AM3713">
        <v>83.901979809378304</v>
      </c>
      <c r="AN3713">
        <v>1.000000030027</v>
      </c>
    </row>
    <row r="3714" spans="1:40" x14ac:dyDescent="0.25">
      <c r="A3714" t="str">
        <f>"20190305135308095"</f>
        <v>20190305135308095</v>
      </c>
      <c r="B3714" t="str">
        <f>"1551765188083455"</f>
        <v>1551765188083455</v>
      </c>
      <c r="C3714" t="s">
        <v>40</v>
      </c>
      <c r="D3714">
        <v>5.1028589999999996</v>
      </c>
      <c r="E3714">
        <v>0.51749290000000003</v>
      </c>
      <c r="F3714" t="s">
        <v>41</v>
      </c>
      <c r="G3714">
        <v>-193.23750000000001</v>
      </c>
      <c r="H3714">
        <v>1.0464500000000001</v>
      </c>
      <c r="I3714">
        <v>179.28270000000001</v>
      </c>
      <c r="J3714">
        <v>-193.17949999999999</v>
      </c>
      <c r="K3714">
        <v>1.1070899999999999</v>
      </c>
      <c r="L3714">
        <v>179.91290000000001</v>
      </c>
      <c r="M3714">
        <v>1.5994910000000001E-2</v>
      </c>
      <c r="N3714">
        <v>-1.327689E-2</v>
      </c>
      <c r="O3714">
        <v>-0.99978409999999995</v>
      </c>
      <c r="P3714">
        <v>-8.3705150000000006E-2</v>
      </c>
      <c r="Q3714">
        <v>-0.13915569999999999</v>
      </c>
      <c r="R3714">
        <v>-0.98672660000000001</v>
      </c>
      <c r="S3714">
        <v>-0.22407530000000001</v>
      </c>
      <c r="T3714">
        <v>-0.23636270000000001</v>
      </c>
      <c r="U3714">
        <v>-2.9885250000000001</v>
      </c>
      <c r="V3714">
        <v>9.8912249999999993E-2</v>
      </c>
      <c r="W3714">
        <v>-0.12650699999999901</v>
      </c>
      <c r="X3714">
        <v>0.98702199999999995</v>
      </c>
      <c r="Y3714">
        <v>9.0495610000000004E-2</v>
      </c>
      <c r="Z3714">
        <v>6.5306900000000001E-2</v>
      </c>
      <c r="AA3714">
        <v>0.99375329999999995</v>
      </c>
      <c r="AB3714">
        <v>23</v>
      </c>
      <c r="AC3714">
        <v>-5.8000000000021097E-2</v>
      </c>
      <c r="AD3714">
        <v>-6.0639999999999798E-2</v>
      </c>
      <c r="AE3714">
        <v>-0.63020000000000198</v>
      </c>
      <c r="AF3714">
        <v>6.7454149315327103E-2</v>
      </c>
      <c r="AG3714">
        <v>-6.0639999999999798E-2</v>
      </c>
      <c r="AH3714">
        <v>0.62346741383120996</v>
      </c>
      <c r="AI3714">
        <v>95.523226264305904</v>
      </c>
      <c r="AJ3714">
        <v>83.825077196313899</v>
      </c>
      <c r="AK3714">
        <v>0.63003086271168596</v>
      </c>
      <c r="AL3714">
        <v>97.267791158719206</v>
      </c>
      <c r="AM3714">
        <v>84.277334619895001</v>
      </c>
      <c r="AN3714">
        <v>1.00000004136653</v>
      </c>
    </row>
    <row r="3715" spans="1:40" x14ac:dyDescent="0.25">
      <c r="A3715" t="str">
        <f>"20190305135308196"</f>
        <v>20190305135308196</v>
      </c>
      <c r="B3715" t="str">
        <f>"1551765188193744"</f>
        <v>1551765188193744</v>
      </c>
      <c r="C3715" t="s">
        <v>40</v>
      </c>
      <c r="D3715">
        <v>4.9794769999999904</v>
      </c>
      <c r="E3715">
        <v>0.51749290000000003</v>
      </c>
      <c r="F3715" t="s">
        <v>78</v>
      </c>
      <c r="G3715">
        <v>-196.0634</v>
      </c>
      <c r="H3715" s="1">
        <v>-1.442292E-5</v>
      </c>
      <c r="I3715">
        <v>157.41220000000001</v>
      </c>
      <c r="J3715">
        <v>-193.1816</v>
      </c>
      <c r="K3715">
        <v>1.1075549999999901</v>
      </c>
      <c r="L3715">
        <v>178.8716</v>
      </c>
      <c r="M3715">
        <v>4.3396850000000002E-3</v>
      </c>
      <c r="N3715">
        <v>-1.3256550000000001E-2</v>
      </c>
      <c r="O3715">
        <v>-0.99990299999999999</v>
      </c>
      <c r="P3715">
        <v>-5.8910480000000001E-2</v>
      </c>
      <c r="Q3715">
        <v>-0.13133249999999999</v>
      </c>
      <c r="R3715">
        <v>-0.98958690000000005</v>
      </c>
      <c r="S3715">
        <v>-0.38285829999999998</v>
      </c>
      <c r="T3715">
        <v>-0.1469772</v>
      </c>
      <c r="U3715">
        <v>-2.987152</v>
      </c>
      <c r="V3715">
        <v>6.2796969999999994E-2</v>
      </c>
      <c r="W3715">
        <v>-0.11842320000000001</v>
      </c>
      <c r="X3715">
        <v>0.99097550000000001</v>
      </c>
      <c r="Y3715">
        <v>0.1312982</v>
      </c>
      <c r="Z3715">
        <v>3.5482850000000003E-2</v>
      </c>
      <c r="AA3715">
        <v>0.99070769999999997</v>
      </c>
      <c r="AB3715">
        <v>23</v>
      </c>
      <c r="AC3715">
        <v>-2.8817999999999899</v>
      </c>
      <c r="AD3715">
        <v>-1.1075694229199999</v>
      </c>
      <c r="AE3715">
        <v>-21.459399999999899</v>
      </c>
      <c r="AF3715">
        <v>2.9671440953321402</v>
      </c>
      <c r="AG3715">
        <v>-1.1075694229199999</v>
      </c>
      <c r="AH3715">
        <v>21.390718818316099</v>
      </c>
      <c r="AI3715">
        <v>92.935955234304203</v>
      </c>
      <c r="AJ3715">
        <v>82.102794629063496</v>
      </c>
      <c r="AK3715">
        <v>21.6239105083543</v>
      </c>
      <c r="AL3715">
        <v>96.801109854922103</v>
      </c>
      <c r="AM3715">
        <v>86.374081033523296</v>
      </c>
      <c r="AN3715">
        <v>0.99999997766983495</v>
      </c>
    </row>
    <row r="3716" spans="1:40" x14ac:dyDescent="0.25">
      <c r="A3716" t="str">
        <f>"20190305135308211"</f>
        <v>20190305135308211</v>
      </c>
      <c r="B3716" t="str">
        <f>"1551765188203503"</f>
        <v>1551765188203503</v>
      </c>
      <c r="C3716" t="s">
        <v>40</v>
      </c>
      <c r="D3716">
        <v>5.1327619999999996</v>
      </c>
      <c r="E3716">
        <v>0.45219090000000001</v>
      </c>
      <c r="F3716" t="s">
        <v>78</v>
      </c>
      <c r="G3716">
        <v>-195.94290000000001</v>
      </c>
      <c r="H3716" s="1">
        <v>-1.273724E-5</v>
      </c>
      <c r="I3716">
        <v>152.12799999999999</v>
      </c>
      <c r="J3716">
        <v>-193.18260000000001</v>
      </c>
      <c r="K3716">
        <v>1.1076349999999999</v>
      </c>
      <c r="L3716">
        <v>178.72130000000001</v>
      </c>
      <c r="M3716">
        <v>2.932465E-3</v>
      </c>
      <c r="N3716">
        <v>-1.325287E-2</v>
      </c>
      <c r="O3716">
        <v>-0.99990809999999997</v>
      </c>
      <c r="P3716">
        <v>-5.6773400000000002E-2</v>
      </c>
      <c r="Q3716">
        <v>-0.1316253</v>
      </c>
      <c r="R3716">
        <v>-0.98967280000000002</v>
      </c>
      <c r="S3716">
        <v>-0.30940250000000002</v>
      </c>
      <c r="T3716">
        <v>-0.1241044</v>
      </c>
      <c r="U3716">
        <v>-2.996658</v>
      </c>
      <c r="V3716">
        <v>5.9289910000000001E-2</v>
      </c>
      <c r="W3716">
        <v>-0.1186934</v>
      </c>
      <c r="X3716">
        <v>0.99115920000000002</v>
      </c>
      <c r="Y3716">
        <v>0.105542</v>
      </c>
      <c r="Z3716">
        <v>2.79066E-2</v>
      </c>
      <c r="AA3716">
        <v>0.9940232</v>
      </c>
      <c r="AB3716">
        <v>23</v>
      </c>
      <c r="AC3716">
        <v>-2.7603</v>
      </c>
      <c r="AD3716">
        <v>-1.10764773724</v>
      </c>
      <c r="AE3716">
        <v>-26.593299999999999</v>
      </c>
      <c r="AF3716">
        <v>2.8334157605621901</v>
      </c>
      <c r="AG3716">
        <v>-1.10764773724</v>
      </c>
      <c r="AH3716">
        <v>26.539539406946901</v>
      </c>
      <c r="AI3716">
        <v>92.376406364137395</v>
      </c>
      <c r="AJ3716">
        <v>83.906068046508295</v>
      </c>
      <c r="AK3716">
        <v>26.713335252545701</v>
      </c>
      <c r="AL3716">
        <v>96.816701066782898</v>
      </c>
      <c r="AM3716">
        <v>86.5767170353583</v>
      </c>
      <c r="AN3716">
        <v>0.99999998818800395</v>
      </c>
    </row>
    <row r="3717" spans="1:40" x14ac:dyDescent="0.25">
      <c r="A3717" t="str">
        <f>"20190305135308238"</f>
        <v>20190305135308238</v>
      </c>
      <c r="B3717" t="str">
        <f>"1551765188233759"</f>
        <v>1551765188233759</v>
      </c>
      <c r="C3717" t="s">
        <v>40</v>
      </c>
      <c r="D3717">
        <v>5.011825</v>
      </c>
      <c r="E3717">
        <v>0.45215939999999999</v>
      </c>
      <c r="F3717" t="s">
        <v>78</v>
      </c>
      <c r="G3717">
        <v>-191.73169999999999</v>
      </c>
      <c r="H3717" s="1">
        <v>-1.4640539999999999E-5</v>
      </c>
      <c r="I3717">
        <v>158.4641</v>
      </c>
      <c r="J3717">
        <v>-193.18469999999999</v>
      </c>
      <c r="K3717">
        <v>1.1077939999999999</v>
      </c>
      <c r="L3717">
        <v>178.45</v>
      </c>
      <c r="M3717">
        <v>5.8044889999999999E-4</v>
      </c>
      <c r="N3717">
        <v>-1.324617E-2</v>
      </c>
      <c r="O3717">
        <v>-0.99991229999999998</v>
      </c>
      <c r="P3717">
        <v>-6.0178219999999998E-2</v>
      </c>
      <c r="Q3717">
        <v>-0.13416</v>
      </c>
      <c r="R3717">
        <v>-0.98913079999999998</v>
      </c>
      <c r="S3717">
        <v>0.2164307</v>
      </c>
      <c r="T3717">
        <v>-0.16522600000000001</v>
      </c>
      <c r="U3717">
        <v>-3.0217290000000001</v>
      </c>
      <c r="V3717">
        <v>6.0398739999999999E-2</v>
      </c>
      <c r="W3717">
        <v>-0.1212234</v>
      </c>
      <c r="X3717">
        <v>0.99078599999999994</v>
      </c>
      <c r="Y3717">
        <v>-7.0770250000000007E-2</v>
      </c>
      <c r="Z3717">
        <v>4.122878E-2</v>
      </c>
      <c r="AA3717">
        <v>0.99664030000000003</v>
      </c>
      <c r="AB3717">
        <v>23</v>
      </c>
      <c r="AC3717">
        <v>1.4530000000000001</v>
      </c>
      <c r="AD3717">
        <v>-1.1078086405399901</v>
      </c>
      <c r="AE3717">
        <v>-19.985899999999901</v>
      </c>
      <c r="AF3717">
        <v>-1.4370060578656101</v>
      </c>
      <c r="AG3717">
        <v>-1.1078086405399901</v>
      </c>
      <c r="AH3717">
        <v>19.925841214544</v>
      </c>
      <c r="AI3717">
        <v>93.173947283630994</v>
      </c>
      <c r="AJ3717">
        <v>94.124899207732696</v>
      </c>
      <c r="AK3717">
        <v>20.008282647484201</v>
      </c>
      <c r="AL3717">
        <v>96.962713654731303</v>
      </c>
      <c r="AM3717">
        <v>86.5115416436918</v>
      </c>
      <c r="AN3717">
        <v>1.0000000091485699</v>
      </c>
    </row>
    <row r="3718" spans="1:40" x14ac:dyDescent="0.25">
      <c r="A3718" t="str">
        <f>"20190305135308260"</f>
        <v>20190305135308260</v>
      </c>
      <c r="B3718" t="str">
        <f>"1551765188253279"</f>
        <v>1551765188253279</v>
      </c>
      <c r="C3718" t="s">
        <v>40</v>
      </c>
      <c r="D3718">
        <v>5.1121670000000003</v>
      </c>
      <c r="E3718">
        <v>0.453401</v>
      </c>
      <c r="F3718" t="s">
        <v>42</v>
      </c>
      <c r="G3718">
        <v>-192.03280000000001</v>
      </c>
      <c r="H3718" s="1">
        <v>-1.517842E-6</v>
      </c>
      <c r="I3718">
        <v>161.6584</v>
      </c>
      <c r="J3718">
        <v>-193.18680000000001</v>
      </c>
      <c r="K3718">
        <v>1.107904</v>
      </c>
      <c r="L3718">
        <v>178.22319999999999</v>
      </c>
      <c r="M3718">
        <v>-1.248524E-3</v>
      </c>
      <c r="N3718">
        <v>-1.324086E-2</v>
      </c>
      <c r="O3718">
        <v>-0.99991180000000002</v>
      </c>
      <c r="P3718">
        <v>-6.3435179999999994E-2</v>
      </c>
      <c r="Q3718">
        <v>-0.13377059999999999</v>
      </c>
      <c r="R3718">
        <v>-0.98898019999999998</v>
      </c>
      <c r="S3718">
        <v>0.20707700000000001</v>
      </c>
      <c r="T3718">
        <v>-0.19914280000000001</v>
      </c>
      <c r="U3718">
        <v>-3.0185550000000001</v>
      </c>
      <c r="V3718">
        <v>6.187455E-2</v>
      </c>
      <c r="W3718">
        <v>-0.120830199999999</v>
      </c>
      <c r="X3718">
        <v>0.99074289999999998</v>
      </c>
      <c r="Y3718">
        <v>-6.9555569999999997E-2</v>
      </c>
      <c r="Z3718">
        <v>5.2454670000000002E-2</v>
      </c>
      <c r="AA3718">
        <v>0.99619809999999998</v>
      </c>
      <c r="AB3718">
        <v>23</v>
      </c>
      <c r="AC3718">
        <v>1.1539999999999899</v>
      </c>
      <c r="AD3718">
        <v>-1.1079055178420001</v>
      </c>
      <c r="AE3718">
        <v>-16.564799999999899</v>
      </c>
      <c r="AF3718">
        <v>-1.1694762476212299</v>
      </c>
      <c r="AG3718">
        <v>-1.1079055178420001</v>
      </c>
      <c r="AH3718">
        <v>16.489937151425899</v>
      </c>
      <c r="AI3718">
        <v>93.834139920186104</v>
      </c>
      <c r="AJ3718">
        <v>94.056658894899996</v>
      </c>
      <c r="AK3718">
        <v>16.568438568199198</v>
      </c>
      <c r="AL3718">
        <v>96.940018568539898</v>
      </c>
      <c r="AM3718">
        <v>86.426366279129297</v>
      </c>
      <c r="AN3718">
        <v>0.99999994553507399</v>
      </c>
    </row>
    <row r="3719" spans="1:40" x14ac:dyDescent="0.25">
      <c r="A3719" t="str">
        <f>"20190305135308282"</f>
        <v>20190305135308282</v>
      </c>
      <c r="B3719" t="str">
        <f>"1551765188273775"</f>
        <v>1551765188273775</v>
      </c>
      <c r="C3719" t="s">
        <v>40</v>
      </c>
      <c r="D3719">
        <v>5.0655570000000001</v>
      </c>
      <c r="E3719">
        <v>0.4544205</v>
      </c>
      <c r="F3719" t="s">
        <v>42</v>
      </c>
      <c r="G3719">
        <v>-192.18010000000001</v>
      </c>
      <c r="H3719" s="1">
        <v>-1.7352879999999901E-6</v>
      </c>
      <c r="I3719">
        <v>162.03550000000001</v>
      </c>
      <c r="J3719">
        <v>-193.1892</v>
      </c>
      <c r="K3719">
        <v>1.107966</v>
      </c>
      <c r="L3719">
        <v>177.99549999999999</v>
      </c>
      <c r="M3719">
        <v>-2.9959689999999998E-3</v>
      </c>
      <c r="N3719">
        <v>-1.323592E-2</v>
      </c>
      <c r="O3719">
        <v>-0.99990809999999997</v>
      </c>
      <c r="P3719">
        <v>-6.6421229999999998E-2</v>
      </c>
      <c r="Q3719">
        <v>-0.132552</v>
      </c>
      <c r="R3719">
        <v>-0.98894820000000005</v>
      </c>
      <c r="S3719">
        <v>0.1876678</v>
      </c>
      <c r="T3719">
        <v>-0.20652470000000001</v>
      </c>
      <c r="U3719">
        <v>-3.0175480000000001</v>
      </c>
      <c r="V3719">
        <v>6.3153029999999999E-2</v>
      </c>
      <c r="W3719">
        <v>-0.1196096</v>
      </c>
      <c r="X3719">
        <v>0.99081039999999998</v>
      </c>
      <c r="Y3719">
        <v>-6.4933660000000004E-2</v>
      </c>
      <c r="Z3719">
        <v>5.4931220000000003E-2</v>
      </c>
      <c r="AA3719">
        <v>0.9963765</v>
      </c>
      <c r="AB3719">
        <v>23</v>
      </c>
      <c r="AC3719">
        <v>1.0090999999999799</v>
      </c>
      <c r="AD3719">
        <v>-1.107967735288</v>
      </c>
      <c r="AE3719">
        <v>-15.9599999999999</v>
      </c>
      <c r="AF3719">
        <v>-1.0518661890869101</v>
      </c>
      <c r="AG3719">
        <v>-1.107967735288</v>
      </c>
      <c r="AH3719">
        <v>15.8806750732222</v>
      </c>
      <c r="AI3719">
        <v>93.982264463813294</v>
      </c>
      <c r="AJ3719">
        <v>93.789485644887705</v>
      </c>
      <c r="AK3719">
        <v>15.9539918441575</v>
      </c>
      <c r="AL3719">
        <v>96.869571994090407</v>
      </c>
      <c r="AM3719">
        <v>86.352971349572897</v>
      </c>
      <c r="AN3719">
        <v>1.0000000051792499</v>
      </c>
    </row>
    <row r="3720" spans="1:40" x14ac:dyDescent="0.25">
      <c r="A3720" t="str">
        <f>"20190305135308304"</f>
        <v>20190305135308304</v>
      </c>
      <c r="B3720" t="str">
        <f>"1551765188293295"</f>
        <v>1551765188293295</v>
      </c>
      <c r="C3720" t="s">
        <v>40</v>
      </c>
      <c r="D3720">
        <v>5.0762159999999996</v>
      </c>
      <c r="E3720">
        <v>0.45502920000000002</v>
      </c>
      <c r="F3720" t="s">
        <v>42</v>
      </c>
      <c r="G3720">
        <v>-192.2756</v>
      </c>
      <c r="H3720" s="1">
        <v>-1.6726910000000001E-6</v>
      </c>
      <c r="I3720">
        <v>161.8493</v>
      </c>
      <c r="J3720">
        <v>-193.1919</v>
      </c>
      <c r="K3720">
        <v>1.10799</v>
      </c>
      <c r="L3720">
        <v>177.774</v>
      </c>
      <c r="M3720">
        <v>-4.6551539999999999E-3</v>
      </c>
      <c r="N3720">
        <v>-1.3180300000000001E-2</v>
      </c>
      <c r="O3720">
        <v>-0.99990239999999997</v>
      </c>
      <c r="P3720">
        <v>-6.8608310000000006E-2</v>
      </c>
      <c r="Q3720">
        <v>-0.13012209999999999</v>
      </c>
      <c r="R3720">
        <v>-0.98912169999999999</v>
      </c>
      <c r="S3720">
        <v>0.17073060000000001</v>
      </c>
      <c r="T3720">
        <v>-0.20704510000000001</v>
      </c>
      <c r="U3720">
        <v>-3.0172270000000001</v>
      </c>
      <c r="V3720">
        <v>6.3710879999999998E-2</v>
      </c>
      <c r="W3720">
        <v>-0.1172289</v>
      </c>
      <c r="X3720">
        <v>0.99105920000000003</v>
      </c>
      <c r="Y3720">
        <v>-6.1023470000000003E-2</v>
      </c>
      <c r="Z3720">
        <v>5.5183599999999999E-2</v>
      </c>
      <c r="AA3720">
        <v>0.99660970000000004</v>
      </c>
      <c r="AB3720">
        <v>23</v>
      </c>
      <c r="AC3720">
        <v>0.916300000000006</v>
      </c>
      <c r="AD3720">
        <v>-1.107991672691</v>
      </c>
      <c r="AE3720">
        <v>-15.9247</v>
      </c>
      <c r="AF3720">
        <v>-0.98567258861527995</v>
      </c>
      <c r="AG3720">
        <v>-1.107991672691</v>
      </c>
      <c r="AH3720">
        <v>15.843815533948501</v>
      </c>
      <c r="AI3720">
        <v>93.992609056709398</v>
      </c>
      <c r="AJ3720">
        <v>93.559886788281503</v>
      </c>
      <c r="AK3720">
        <v>15.9130665389323</v>
      </c>
      <c r="AL3720">
        <v>96.732201251710705</v>
      </c>
      <c r="AM3720">
        <v>86.321765225988401</v>
      </c>
      <c r="AN3720">
        <v>1.00000001456511</v>
      </c>
    </row>
    <row r="3721" spans="1:40" x14ac:dyDescent="0.25">
      <c r="A3721" t="str">
        <f>"20190305135308326"</f>
        <v>20190305135308326</v>
      </c>
      <c r="B3721" t="str">
        <f>"1551765188323551"</f>
        <v>1551765188323551</v>
      </c>
      <c r="C3721" t="s">
        <v>40</v>
      </c>
      <c r="D3721">
        <v>5.0712859999999997</v>
      </c>
      <c r="E3721">
        <v>0.45583079999999998</v>
      </c>
      <c r="F3721" t="s">
        <v>42</v>
      </c>
      <c r="G3721">
        <v>-192.32859999999999</v>
      </c>
      <c r="H3721" s="1">
        <v>-1.474375E-6</v>
      </c>
      <c r="I3721">
        <v>161.3999</v>
      </c>
      <c r="J3721">
        <v>-193.19489999999999</v>
      </c>
      <c r="K3721">
        <v>1.1079600000000001</v>
      </c>
      <c r="L3721">
        <v>177.55109999999999</v>
      </c>
      <c r="M3721">
        <v>-6.3100179999999997E-3</v>
      </c>
      <c r="N3721">
        <v>-1.302446E-2</v>
      </c>
      <c r="O3721">
        <v>-0.99989550000000005</v>
      </c>
      <c r="P3721">
        <v>-7.0743899999999998E-2</v>
      </c>
      <c r="Q3721">
        <v>-0.12781680000000001</v>
      </c>
      <c r="R3721">
        <v>-0.98927180000000003</v>
      </c>
      <c r="S3721">
        <v>0.15907289999999999</v>
      </c>
      <c r="T3721">
        <v>-0.2041644</v>
      </c>
      <c r="U3721">
        <v>-3.0171809999999999</v>
      </c>
      <c r="V3721">
        <v>6.4213220000000001E-2</v>
      </c>
      <c r="W3721">
        <v>-0.115076</v>
      </c>
      <c r="X3721">
        <v>0.99127909999999997</v>
      </c>
      <c r="Y3721">
        <v>-5.8841110000000002E-2</v>
      </c>
      <c r="Z3721">
        <v>5.4403119999999999E-2</v>
      </c>
      <c r="AA3721">
        <v>0.99678389999999994</v>
      </c>
      <c r="AB3721">
        <v>23</v>
      </c>
      <c r="AC3721">
        <v>0.86629999999999496</v>
      </c>
      <c r="AD3721">
        <v>-1.1079614743749999</v>
      </c>
      <c r="AE3721">
        <v>-16.1511999999999</v>
      </c>
      <c r="AF3721">
        <v>-0.96368377562634</v>
      </c>
      <c r="AG3721">
        <v>-1.1079614743749999</v>
      </c>
      <c r="AH3721">
        <v>16.0700051873091</v>
      </c>
      <c r="AI3721">
        <v>93.937018961786407</v>
      </c>
      <c r="AJ3721">
        <v>93.431795315982001</v>
      </c>
      <c r="AK3721">
        <v>16.136955467753001</v>
      </c>
      <c r="AL3721">
        <v>96.608008372986006</v>
      </c>
      <c r="AM3721">
        <v>86.293664157446102</v>
      </c>
      <c r="AN3721">
        <v>1.0000000387477801</v>
      </c>
    </row>
    <row r="3722" spans="1:40" x14ac:dyDescent="0.25">
      <c r="A3722" t="str">
        <f>"20190305135308348"</f>
        <v>20190305135308348</v>
      </c>
      <c r="B3722" t="str">
        <f>"1551765188344047"</f>
        <v>1551765188344047</v>
      </c>
      <c r="C3722" t="s">
        <v>40</v>
      </c>
      <c r="D3722">
        <v>5.0763559999999996</v>
      </c>
      <c r="E3722">
        <v>0.45582440000000002</v>
      </c>
      <c r="F3722" t="s">
        <v>42</v>
      </c>
      <c r="G3722">
        <v>-192.3955</v>
      </c>
      <c r="H3722" s="1">
        <v>-1.3129050000000001E-6</v>
      </c>
      <c r="I3722">
        <v>161.02070000000001</v>
      </c>
      <c r="J3722">
        <v>-193.1985</v>
      </c>
      <c r="K3722">
        <v>1.1078950000000001</v>
      </c>
      <c r="L3722">
        <v>177.3176</v>
      </c>
      <c r="M3722">
        <v>-8.0585569999999992E-3</v>
      </c>
      <c r="N3722">
        <v>-1.2809539999999999E-2</v>
      </c>
      <c r="O3722">
        <v>-0.99988549999999998</v>
      </c>
      <c r="P3722">
        <v>-7.1796429999999994E-2</v>
      </c>
      <c r="Q3722">
        <v>-0.12814339999999999</v>
      </c>
      <c r="R3722">
        <v>-0.98915339999999996</v>
      </c>
      <c r="S3722">
        <v>0.14590449999999999</v>
      </c>
      <c r="T3722">
        <v>-0.20220579999999999</v>
      </c>
      <c r="U3722">
        <v>-3.0168460000000001</v>
      </c>
      <c r="V3722">
        <v>6.3531729999999995E-2</v>
      </c>
      <c r="W3722">
        <v>-0.11561539999999999</v>
      </c>
      <c r="X3722">
        <v>0.99126020000000004</v>
      </c>
      <c r="Y3722">
        <v>-5.6255840000000001E-2</v>
      </c>
      <c r="Z3722">
        <v>5.3991579999999997E-2</v>
      </c>
      <c r="AA3722">
        <v>0.99695549999999999</v>
      </c>
      <c r="AB3722">
        <v>23</v>
      </c>
      <c r="AC3722">
        <v>0.80299999999999705</v>
      </c>
      <c r="AD3722">
        <v>-1.1078963129049999</v>
      </c>
      <c r="AE3722">
        <v>-16.296899999999901</v>
      </c>
      <c r="AF3722">
        <v>-0.93002643337291802</v>
      </c>
      <c r="AG3722">
        <v>-1.1078963129049999</v>
      </c>
      <c r="AH3722">
        <v>16.2151415027495</v>
      </c>
      <c r="AI3722">
        <v>93.902254670530496</v>
      </c>
      <c r="AJ3722">
        <v>93.282627733464494</v>
      </c>
      <c r="AK3722">
        <v>16.279533081790401</v>
      </c>
      <c r="AL3722">
        <v>96.639121688859902</v>
      </c>
      <c r="AM3722">
        <v>86.3328215814863</v>
      </c>
      <c r="AN3722">
        <v>0.99999999276899598</v>
      </c>
    </row>
    <row r="3723" spans="1:40" x14ac:dyDescent="0.25">
      <c r="A3723" t="str">
        <f>"20190305135308371"</f>
        <v>20190305135308371</v>
      </c>
      <c r="B3723" t="str">
        <f>"1551765188363567"</f>
        <v>1551765188363567</v>
      </c>
      <c r="C3723" t="s">
        <v>40</v>
      </c>
      <c r="D3723">
        <v>4.8885719999999999</v>
      </c>
      <c r="E3723">
        <v>0.45609709999999998</v>
      </c>
      <c r="F3723" t="s">
        <v>42</v>
      </c>
      <c r="G3723">
        <v>-192.4178</v>
      </c>
      <c r="H3723" s="1">
        <v>-1.211564E-6</v>
      </c>
      <c r="I3723">
        <v>160.7937</v>
      </c>
      <c r="J3723">
        <v>-193.20259999999999</v>
      </c>
      <c r="K3723">
        <v>1.1078429999999999</v>
      </c>
      <c r="L3723">
        <v>177.07839999999999</v>
      </c>
      <c r="M3723">
        <v>-9.8869470000000001E-3</v>
      </c>
      <c r="N3723">
        <v>-1.260733E-2</v>
      </c>
      <c r="O3723">
        <v>-0.99987170000000003</v>
      </c>
      <c r="P3723">
        <v>-7.2406390000000001E-2</v>
      </c>
      <c r="Q3723">
        <v>-0.12985389999999999</v>
      </c>
      <c r="R3723">
        <v>-0.98888620000000005</v>
      </c>
      <c r="S3723">
        <v>0.1425476</v>
      </c>
      <c r="T3723">
        <v>-0.20228889999999999</v>
      </c>
      <c r="U3723">
        <v>-3.0170590000000002</v>
      </c>
      <c r="V3723">
        <v>6.232625E-2</v>
      </c>
      <c r="W3723">
        <v>-0.1175269</v>
      </c>
      <c r="X3723">
        <v>0.99111190000000005</v>
      </c>
      <c r="Y3723">
        <v>-5.6970970000000003E-2</v>
      </c>
      <c r="Z3723">
        <v>5.4214480000000002E-2</v>
      </c>
      <c r="AA3723">
        <v>0.99690279999999998</v>
      </c>
      <c r="AB3723">
        <v>23</v>
      </c>
      <c r="AC3723">
        <v>0.78479999999998995</v>
      </c>
      <c r="AD3723">
        <v>-1.1078442115639999</v>
      </c>
      <c r="AE3723">
        <v>-16.284699999999901</v>
      </c>
      <c r="AF3723">
        <v>-0.94143348528651905</v>
      </c>
      <c r="AG3723">
        <v>-1.1078442115639999</v>
      </c>
      <c r="AH3723">
        <v>16.2013372056674</v>
      </c>
      <c r="AI3723">
        <v>93.905217515589896</v>
      </c>
      <c r="AJ3723">
        <v>93.325625301813602</v>
      </c>
      <c r="AK3723">
        <v>16.266436089569801</v>
      </c>
      <c r="AL3723">
        <v>96.749394572803496</v>
      </c>
      <c r="AM3723">
        <v>86.401682850544006</v>
      </c>
      <c r="AN3723">
        <v>0.99999996599214003</v>
      </c>
    </row>
    <row r="3724" spans="1:40" x14ac:dyDescent="0.25">
      <c r="A3724" t="str">
        <f>"20190305135308393"</f>
        <v>20190305135308393</v>
      </c>
      <c r="B3724" t="str">
        <f>"1551765188383093"</f>
        <v>1551765188383093</v>
      </c>
      <c r="C3724" t="s">
        <v>40</v>
      </c>
      <c r="D3724">
        <v>4.9560000000000004</v>
      </c>
      <c r="E3724">
        <v>0.45631450000000001</v>
      </c>
      <c r="F3724" t="s">
        <v>78</v>
      </c>
      <c r="G3724">
        <v>-192.37260000000001</v>
      </c>
      <c r="H3724" s="1">
        <v>-1.48322499999999E-5</v>
      </c>
      <c r="I3724">
        <v>159.03909999999999</v>
      </c>
      <c r="J3724">
        <v>-193.20679999999999</v>
      </c>
      <c r="K3724">
        <v>1.107802</v>
      </c>
      <c r="L3724">
        <v>176.8569</v>
      </c>
      <c r="M3724">
        <v>-1.161653E-2</v>
      </c>
      <c r="N3724">
        <v>-1.2419080000000001E-2</v>
      </c>
      <c r="O3724">
        <v>-0.99985579999999996</v>
      </c>
      <c r="P3724">
        <v>-7.3787409999999998E-2</v>
      </c>
      <c r="Q3724">
        <v>-0.1296786</v>
      </c>
      <c r="R3724">
        <v>-0.98880729999999994</v>
      </c>
      <c r="S3724">
        <v>0.13893129999999901</v>
      </c>
      <c r="T3724">
        <v>-0.1854393</v>
      </c>
      <c r="U3724">
        <v>-3.0195310000000002</v>
      </c>
      <c r="V3724">
        <v>6.1992560000000002E-2</v>
      </c>
      <c r="W3724">
        <v>-0.1175387</v>
      </c>
      <c r="X3724">
        <v>0.99113150000000005</v>
      </c>
      <c r="Y3724">
        <v>-5.7483180000000002E-2</v>
      </c>
      <c r="Z3724">
        <v>4.8804899999999998E-2</v>
      </c>
      <c r="AA3724">
        <v>0.99715279999999995</v>
      </c>
      <c r="AB3724">
        <v>23</v>
      </c>
      <c r="AC3724">
        <v>0.83419999999998096</v>
      </c>
      <c r="AD3724">
        <v>-1.1078168322499999</v>
      </c>
      <c r="AE3724">
        <v>-17.817799999999998</v>
      </c>
      <c r="AF3724">
        <v>-1.0371400936363999</v>
      </c>
      <c r="AG3724">
        <v>-1.1078168322499999</v>
      </c>
      <c r="AH3724">
        <v>17.7384846997839</v>
      </c>
      <c r="AI3724">
        <v>93.567559691548993</v>
      </c>
      <c r="AJ3724">
        <v>93.346180654782202</v>
      </c>
      <c r="AK3724">
        <v>17.803279393193598</v>
      </c>
      <c r="AL3724">
        <v>96.7500749009006</v>
      </c>
      <c r="AM3724">
        <v>86.420968348970405</v>
      </c>
      <c r="AN3724">
        <v>1.0000000368926401</v>
      </c>
    </row>
    <row r="3725" spans="1:40" x14ac:dyDescent="0.25">
      <c r="A3725" t="str">
        <f>"20190305135308416"</f>
        <v>20190305135308416</v>
      </c>
      <c r="B3725" t="str">
        <f>"1551765188413343"</f>
        <v>1551765188413343</v>
      </c>
      <c r="C3725" t="s">
        <v>40</v>
      </c>
      <c r="D3725">
        <v>5.0571479999999998</v>
      </c>
      <c r="E3725">
        <v>0.45660800000000001</v>
      </c>
      <c r="F3725" t="s">
        <v>78</v>
      </c>
      <c r="G3725">
        <v>-192.32259999999999</v>
      </c>
      <c r="H3725" s="1">
        <v>-1.3956520000000001E-5</v>
      </c>
      <c r="I3725">
        <v>156.7475</v>
      </c>
      <c r="J3725">
        <v>-193.2115</v>
      </c>
      <c r="K3725">
        <v>1.1077600000000001</v>
      </c>
      <c r="L3725">
        <v>176.6267</v>
      </c>
      <c r="M3725">
        <v>-1.3437650000000001E-2</v>
      </c>
      <c r="N3725">
        <v>-1.222586E-2</v>
      </c>
      <c r="O3725">
        <v>-0.99983509999999998</v>
      </c>
      <c r="P3725">
        <v>-7.4910309999999994E-2</v>
      </c>
      <c r="Q3725">
        <v>-0.13017380000000001</v>
      </c>
      <c r="R3725">
        <v>-0.98865780000000003</v>
      </c>
      <c r="S3725">
        <v>0.13287349999999901</v>
      </c>
      <c r="T3725">
        <v>-0.16648379999999999</v>
      </c>
      <c r="U3725">
        <v>-3.0220639999999999</v>
      </c>
      <c r="V3725">
        <v>6.1308410000000001E-2</v>
      </c>
      <c r="W3725">
        <v>-0.11822630000000001</v>
      </c>
      <c r="X3725">
        <v>0.99109230000000004</v>
      </c>
      <c r="Y3725">
        <v>-5.7283439999999998E-2</v>
      </c>
      <c r="Z3725">
        <v>4.2711880000000001E-2</v>
      </c>
      <c r="AA3725">
        <v>0.99744390000000005</v>
      </c>
      <c r="AB3725">
        <v>23</v>
      </c>
      <c r="AC3725">
        <v>0.88890000000000602</v>
      </c>
      <c r="AD3725">
        <v>-1.10777395652</v>
      </c>
      <c r="AE3725">
        <v>-19.879200000000001</v>
      </c>
      <c r="AF3725">
        <v>-1.15239798384451</v>
      </c>
      <c r="AG3725">
        <v>-1.10777395652</v>
      </c>
      <c r="AH3725">
        <v>19.8040841958817</v>
      </c>
      <c r="AI3725">
        <v>93.196201624081397</v>
      </c>
      <c r="AJ3725">
        <v>93.330281099623505</v>
      </c>
      <c r="AK3725">
        <v>19.868491011888199</v>
      </c>
      <c r="AL3725">
        <v>96.789747918587906</v>
      </c>
      <c r="AM3725">
        <v>86.460225924342197</v>
      </c>
      <c r="AN3725">
        <v>1.0000000631338499</v>
      </c>
    </row>
    <row r="3726" spans="1:40" x14ac:dyDescent="0.25">
      <c r="A3726" t="str">
        <f>"20190305135308439"</f>
        <v>20190305135308439</v>
      </c>
      <c r="B3726" t="str">
        <f>"1551765188433839"</f>
        <v>1551765188433839</v>
      </c>
      <c r="C3726" t="s">
        <v>40</v>
      </c>
      <c r="D3726">
        <v>5.0784609999999999</v>
      </c>
      <c r="E3726">
        <v>0.45622000000000001</v>
      </c>
      <c r="F3726" t="s">
        <v>78</v>
      </c>
      <c r="G3726">
        <v>-192.3</v>
      </c>
      <c r="H3726" s="1">
        <v>-1.3185209999999999E-5</v>
      </c>
      <c r="I3726">
        <v>154.95419999999999</v>
      </c>
      <c r="J3726">
        <v>-193.21690000000001</v>
      </c>
      <c r="K3726">
        <v>1.107726</v>
      </c>
      <c r="L3726">
        <v>176.3862</v>
      </c>
      <c r="M3726">
        <v>-1.53451E-2</v>
      </c>
      <c r="N3726">
        <v>-1.205022E-2</v>
      </c>
      <c r="O3726">
        <v>-0.99980970000000002</v>
      </c>
      <c r="P3726">
        <v>-7.5261659999999994E-2</v>
      </c>
      <c r="Q3726">
        <v>-0.13095780000000001</v>
      </c>
      <c r="R3726">
        <v>-0.9885273</v>
      </c>
      <c r="S3726">
        <v>0.12716669999999999</v>
      </c>
      <c r="T3726">
        <v>-0.154555</v>
      </c>
      <c r="U3726">
        <v>-3.0237120000000002</v>
      </c>
      <c r="V3726">
        <v>5.9766600000000003E-2</v>
      </c>
      <c r="W3726">
        <v>-0.11918280000000001</v>
      </c>
      <c r="X3726">
        <v>0.99107190000000001</v>
      </c>
      <c r="Y3726">
        <v>-5.7293410000000003E-2</v>
      </c>
      <c r="Z3726">
        <v>3.8932149999999999E-2</v>
      </c>
      <c r="AA3726">
        <v>0.99759799999999998</v>
      </c>
      <c r="AB3726">
        <v>23</v>
      </c>
      <c r="AC3726">
        <v>0.91689999999999805</v>
      </c>
      <c r="AD3726">
        <v>-1.10773918521</v>
      </c>
      <c r="AE3726">
        <v>-21.431999999999999</v>
      </c>
      <c r="AF3726">
        <v>-1.24237916018918</v>
      </c>
      <c r="AG3726">
        <v>-1.10773918521</v>
      </c>
      <c r="AH3726">
        <v>21.358451091570799</v>
      </c>
      <c r="AI3726">
        <v>92.963939096446296</v>
      </c>
      <c r="AJ3726">
        <v>93.329031753351202</v>
      </c>
      <c r="AK3726">
        <v>21.4232122967389</v>
      </c>
      <c r="AL3726">
        <v>96.844941670247707</v>
      </c>
      <c r="AM3726">
        <v>86.548956905451007</v>
      </c>
      <c r="AN3726">
        <v>1.0000000486305001</v>
      </c>
    </row>
    <row r="3727" spans="1:40" x14ac:dyDescent="0.25">
      <c r="A3727" t="str">
        <f>"20190305135308463"</f>
        <v>20190305135308463</v>
      </c>
      <c r="B3727" t="str">
        <f>"1551765188453359"</f>
        <v>1551765188453359</v>
      </c>
      <c r="C3727" t="s">
        <v>40</v>
      </c>
      <c r="D3727">
        <v>5.1027620000000002</v>
      </c>
      <c r="E3727">
        <v>0.45617220000000003</v>
      </c>
      <c r="F3727" t="s">
        <v>78</v>
      </c>
      <c r="G3727">
        <v>-192.3348</v>
      </c>
      <c r="H3727" s="1">
        <v>-1.3526419999999999E-5</v>
      </c>
      <c r="I3727">
        <v>155.7424</v>
      </c>
      <c r="J3727">
        <v>-193.2227</v>
      </c>
      <c r="K3727">
        <v>1.1077170000000001</v>
      </c>
      <c r="L3727">
        <v>176.14519999999999</v>
      </c>
      <c r="M3727">
        <v>-1.7231670000000001E-2</v>
      </c>
      <c r="N3727">
        <v>-1.190079E-2</v>
      </c>
      <c r="O3727">
        <v>-0.99978080000000003</v>
      </c>
      <c r="P3727">
        <v>-7.4882260000000006E-2</v>
      </c>
      <c r="Q3727">
        <v>-0.13045129999999999</v>
      </c>
      <c r="R3727">
        <v>-0.98862289999999997</v>
      </c>
      <c r="S3727">
        <v>0.12918089999999999</v>
      </c>
      <c r="T3727">
        <v>-0.16222230000000001</v>
      </c>
      <c r="U3727">
        <v>-3.0231629999999998</v>
      </c>
      <c r="V3727">
        <v>5.7517930000000002E-2</v>
      </c>
      <c r="W3727">
        <v>-0.1188167</v>
      </c>
      <c r="X3727">
        <v>0.99124880000000004</v>
      </c>
      <c r="Y3727">
        <v>-5.984196E-2</v>
      </c>
      <c r="Z3727">
        <v>4.1606549999999999E-2</v>
      </c>
      <c r="AA3727">
        <v>0.99734040000000002</v>
      </c>
      <c r="AB3727">
        <v>23</v>
      </c>
      <c r="AC3727">
        <v>0.88790000000000102</v>
      </c>
      <c r="AD3727">
        <v>-1.1077305264199999</v>
      </c>
      <c r="AE3727">
        <v>-20.4027999999999</v>
      </c>
      <c r="AF3727">
        <v>-1.2357316027351499</v>
      </c>
      <c r="AG3727">
        <v>-1.1077305264199999</v>
      </c>
      <c r="AH3727">
        <v>20.3246706291851</v>
      </c>
      <c r="AI3727">
        <v>93.113896205281605</v>
      </c>
      <c r="AJ3727">
        <v>93.479276859542694</v>
      </c>
      <c r="AK3727">
        <v>20.392310700311</v>
      </c>
      <c r="AL3727">
        <v>96.823816232835796</v>
      </c>
      <c r="AM3727">
        <v>86.679094675493602</v>
      </c>
      <c r="AN3727">
        <v>0.99999995198590597</v>
      </c>
    </row>
    <row r="3728" spans="1:40" x14ac:dyDescent="0.25">
      <c r="A3728" t="str">
        <f>"20190305135308483"</f>
        <v>20190305135308483</v>
      </c>
      <c r="B3728" t="str">
        <f>"1551765188473855"</f>
        <v>1551765188473855</v>
      </c>
      <c r="C3728" t="s">
        <v>40</v>
      </c>
      <c r="D3728">
        <v>5.0573360000000003</v>
      </c>
      <c r="E3728">
        <v>0.45598670000000002</v>
      </c>
      <c r="F3728" t="s">
        <v>78</v>
      </c>
      <c r="G3728">
        <v>-192.35169999999999</v>
      </c>
      <c r="H3728" s="1">
        <v>-1.36504799999999E-5</v>
      </c>
      <c r="I3728">
        <v>156.02809999999999</v>
      </c>
      <c r="J3728">
        <v>-193.22829999999999</v>
      </c>
      <c r="K3728">
        <v>1.107745</v>
      </c>
      <c r="L3728">
        <v>175.9315</v>
      </c>
      <c r="M3728">
        <v>-1.88386E-2</v>
      </c>
      <c r="N3728">
        <v>-1.1786410000000001E-2</v>
      </c>
      <c r="O3728">
        <v>-0.99975320000000001</v>
      </c>
      <c r="P3728">
        <v>-7.4445029999999995E-2</v>
      </c>
      <c r="Q3728">
        <v>-0.13031889999999999</v>
      </c>
      <c r="R3728">
        <v>-0.98867329999999998</v>
      </c>
      <c r="S3728">
        <v>0.13085939999999999</v>
      </c>
      <c r="T3728">
        <v>-0.1664302</v>
      </c>
      <c r="U3728">
        <v>-3.0224760000000002</v>
      </c>
      <c r="V3728">
        <v>5.5495460000000003E-2</v>
      </c>
      <c r="W3728">
        <v>-0.1187878</v>
      </c>
      <c r="X3728">
        <v>0.99136760000000002</v>
      </c>
      <c r="Y3728">
        <v>-6.200485E-2</v>
      </c>
      <c r="Z3728">
        <v>4.3110540000000003E-2</v>
      </c>
      <c r="AA3728">
        <v>0.99714429999999998</v>
      </c>
      <c r="AB3728">
        <v>23</v>
      </c>
      <c r="AC3728">
        <v>0.87659999999999605</v>
      </c>
      <c r="AD3728">
        <v>-1.1077586504800001</v>
      </c>
      <c r="AE3728">
        <v>-19.903400000000001</v>
      </c>
      <c r="AF3728">
        <v>-1.24756553194961</v>
      </c>
      <c r="AG3728">
        <v>-1.1077586504800001</v>
      </c>
      <c r="AH3728">
        <v>19.822068909002699</v>
      </c>
      <c r="AI3728">
        <v>93.192350738634502</v>
      </c>
      <c r="AJ3728">
        <v>93.601343569187605</v>
      </c>
      <c r="AK3728">
        <v>19.892158375034899</v>
      </c>
      <c r="AL3728">
        <v>96.822148225131798</v>
      </c>
      <c r="AM3728">
        <v>86.796001200939202</v>
      </c>
      <c r="AN3728">
        <v>1.0000000029195999</v>
      </c>
    </row>
    <row r="3729" spans="1:40" x14ac:dyDescent="0.25">
      <c r="A3729" t="str">
        <f>"20190305135308505"</f>
        <v>20190305135308505</v>
      </c>
      <c r="B3729" t="str">
        <f>"1551765188493375"</f>
        <v>1551765188493375</v>
      </c>
      <c r="C3729" t="s">
        <v>40</v>
      </c>
      <c r="D3729">
        <v>5.4739760000000004</v>
      </c>
      <c r="E3729">
        <v>0.45596999999999999</v>
      </c>
      <c r="F3729" t="s">
        <v>78</v>
      </c>
      <c r="G3729">
        <v>-192.3443</v>
      </c>
      <c r="H3729" s="1">
        <v>-1.3596570000000001E-5</v>
      </c>
      <c r="I3729">
        <v>155.904</v>
      </c>
      <c r="J3729">
        <v>-193.23419999999999</v>
      </c>
      <c r="K3729">
        <v>1.10781</v>
      </c>
      <c r="L3729">
        <v>175.71170000000001</v>
      </c>
      <c r="M3729">
        <v>-2.0376600000000002E-2</v>
      </c>
      <c r="N3729">
        <v>-1.168842E-2</v>
      </c>
      <c r="O3729">
        <v>-0.99972430000000001</v>
      </c>
      <c r="P3729">
        <v>-7.412697E-2</v>
      </c>
      <c r="Q3729">
        <v>-0.1286841</v>
      </c>
      <c r="R3729">
        <v>-0.98891189999999995</v>
      </c>
      <c r="S3729">
        <v>0.13340759999999999</v>
      </c>
      <c r="T3729">
        <v>-0.1671742</v>
      </c>
      <c r="U3729">
        <v>-3.0224000000000002</v>
      </c>
      <c r="V3729">
        <v>5.3671669999999998E-2</v>
      </c>
      <c r="W3729">
        <v>-0.1172335</v>
      </c>
      <c r="X3729">
        <v>0.99165300000000001</v>
      </c>
      <c r="Y3729">
        <v>-6.4378829999999998E-2</v>
      </c>
      <c r="Z3729">
        <v>4.3446480000000003E-2</v>
      </c>
      <c r="AA3729">
        <v>0.99697930000000001</v>
      </c>
      <c r="AB3729">
        <v>23</v>
      </c>
      <c r="AC3729">
        <v>0.88989999999998204</v>
      </c>
      <c r="AD3729">
        <v>-1.1078235965700001</v>
      </c>
      <c r="AE3729">
        <v>-19.807700000000001</v>
      </c>
      <c r="AF3729">
        <v>-1.28933129860366</v>
      </c>
      <c r="AG3729">
        <v>-1.1078235965700001</v>
      </c>
      <c r="AH3729">
        <v>19.7238795855814</v>
      </c>
      <c r="AI3729">
        <v>93.207900257923001</v>
      </c>
      <c r="AJ3729">
        <v>93.740049595240095</v>
      </c>
      <c r="AK3729">
        <v>19.796996596079701</v>
      </c>
      <c r="AL3729">
        <v>96.732466693110297</v>
      </c>
      <c r="AM3729">
        <v>86.901978110897105</v>
      </c>
      <c r="AN3729">
        <v>1.0000000070459101</v>
      </c>
    </row>
    <row r="3730" spans="1:40" x14ac:dyDescent="0.25">
      <c r="A3730" t="str">
        <f>"20190305135308528"</f>
        <v>20190305135308528</v>
      </c>
      <c r="B3730" t="str">
        <f>"1551765188523632"</f>
        <v>1551765188523632</v>
      </c>
      <c r="C3730" t="s">
        <v>40</v>
      </c>
      <c r="D3730">
        <v>5.4040189999999999</v>
      </c>
      <c r="E3730">
        <v>0.46442650000000002</v>
      </c>
      <c r="F3730" t="s">
        <v>78</v>
      </c>
      <c r="G3730">
        <v>-192.31360000000001</v>
      </c>
      <c r="H3730" s="1">
        <v>-1.321539E-5</v>
      </c>
      <c r="I3730">
        <v>155.02180000000001</v>
      </c>
      <c r="J3730">
        <v>-193.24080000000001</v>
      </c>
      <c r="K3730">
        <v>1.107945</v>
      </c>
      <c r="L3730">
        <v>175.47540000000001</v>
      </c>
      <c r="M3730">
        <v>-2.1814279999999998E-2</v>
      </c>
      <c r="N3730">
        <v>-1.1615149999999999E-2</v>
      </c>
      <c r="O3730">
        <v>-0.99969470000000005</v>
      </c>
      <c r="P3730">
        <v>-7.5420399999999999E-2</v>
      </c>
      <c r="Q3730">
        <v>-0.12543460000000001</v>
      </c>
      <c r="R3730">
        <v>-0.98923119999999998</v>
      </c>
      <c r="S3730">
        <v>0.134491</v>
      </c>
      <c r="T3730">
        <v>-0.16184519999999999</v>
      </c>
      <c r="U3730">
        <v>-3.022659</v>
      </c>
      <c r="V3730">
        <v>5.3576940000000003E-2</v>
      </c>
      <c r="W3730">
        <v>-0.114035</v>
      </c>
      <c r="X3730">
        <v>0.992031</v>
      </c>
      <c r="Y3730">
        <v>-6.6170049999999994E-2</v>
      </c>
      <c r="Z3730">
        <v>4.1755609999999999E-2</v>
      </c>
      <c r="AA3730">
        <v>0.99693430000000005</v>
      </c>
      <c r="AB3730">
        <v>23</v>
      </c>
      <c r="AC3730">
        <v>0.92719999999999902</v>
      </c>
      <c r="AD3730">
        <v>-1.1079582153900001</v>
      </c>
      <c r="AE3730">
        <v>-20.453599999999899</v>
      </c>
      <c r="AF3730">
        <v>-1.36918055960945</v>
      </c>
      <c r="AG3730">
        <v>-1.1079582153900001</v>
      </c>
      <c r="AH3730">
        <v>20.368858503227599</v>
      </c>
      <c r="AI3730">
        <v>93.106522542659704</v>
      </c>
      <c r="AJ3730">
        <v>93.845597546142201</v>
      </c>
      <c r="AK3730">
        <v>20.444867902150101</v>
      </c>
      <c r="AL3730">
        <v>96.547968550692602</v>
      </c>
      <c r="AM3730">
        <v>86.908611561414006</v>
      </c>
      <c r="AN3730">
        <v>0.99999998734288098</v>
      </c>
    </row>
    <row r="3731" spans="1:40" x14ac:dyDescent="0.25">
      <c r="A3731" t="str">
        <f>"20190305135308551"</f>
        <v>20190305135308551</v>
      </c>
      <c r="B3731" t="str">
        <f>"1551765188544128"</f>
        <v>1551765188544128</v>
      </c>
      <c r="C3731" t="s">
        <v>40</v>
      </c>
      <c r="D3731">
        <v>5.2537659999999997</v>
      </c>
      <c r="E3731">
        <v>0.46458080000000002</v>
      </c>
      <c r="F3731" t="s">
        <v>41</v>
      </c>
      <c r="G3731">
        <v>-193.22319999999999</v>
      </c>
      <c r="H3731">
        <v>1.02078</v>
      </c>
      <c r="I3731">
        <v>174.57329999999999</v>
      </c>
      <c r="J3731">
        <v>-193.24760000000001</v>
      </c>
      <c r="K3731">
        <v>1.1081350000000001</v>
      </c>
      <c r="L3731">
        <v>175.2346</v>
      </c>
      <c r="M3731">
        <v>-2.3004130000000001E-2</v>
      </c>
      <c r="N3731">
        <v>-1.156912E-2</v>
      </c>
      <c r="O3731">
        <v>-0.99966869999999997</v>
      </c>
      <c r="P3731">
        <v>-7.8756989999999999E-2</v>
      </c>
      <c r="Q3731">
        <v>-0.1231208</v>
      </c>
      <c r="R3731">
        <v>-0.98926210000000003</v>
      </c>
      <c r="S3731">
        <v>5.8990479999999998E-2</v>
      </c>
      <c r="T3731">
        <v>-0.28996100000000002</v>
      </c>
      <c r="U3731">
        <v>-3.000381</v>
      </c>
      <c r="V3731">
        <v>5.5786740000000001E-2</v>
      </c>
      <c r="W3731">
        <v>-0.1117451</v>
      </c>
      <c r="X3731">
        <v>0.99216979999999999</v>
      </c>
      <c r="Y3731">
        <v>-4.2556070000000001E-2</v>
      </c>
      <c r="Z3731">
        <v>8.4577769999999997E-2</v>
      </c>
      <c r="AA3731">
        <v>0.9955077</v>
      </c>
      <c r="AB3731">
        <v>23</v>
      </c>
      <c r="AC3731">
        <v>2.4400000000014101E-2</v>
      </c>
      <c r="AD3731">
        <v>-8.7355000000000002E-2</v>
      </c>
      <c r="AE3731">
        <v>-0.66130000000001099</v>
      </c>
      <c r="AF3731">
        <v>-3.8928829296980202E-2</v>
      </c>
      <c r="AG3731">
        <v>-8.7355000000000002E-2</v>
      </c>
      <c r="AH3731">
        <v>0.64925006904937999</v>
      </c>
      <c r="AI3731">
        <v>97.649411228869695</v>
      </c>
      <c r="AJ3731">
        <v>93.4313287343208</v>
      </c>
      <c r="AK3731">
        <v>0.65625604906626001</v>
      </c>
      <c r="AL3731">
        <v>96.415922599465205</v>
      </c>
      <c r="AM3731">
        <v>86.781818253053899</v>
      </c>
      <c r="AN3731">
        <v>1.00000001988293</v>
      </c>
    </row>
    <row r="3732" spans="1:40" x14ac:dyDescent="0.25">
      <c r="A3732" t="str">
        <f>"20190305135308573"</f>
        <v>20190305135308573</v>
      </c>
      <c r="B3732" t="str">
        <f>"1551765188563648"</f>
        <v>1551765188563648</v>
      </c>
      <c r="C3732" t="s">
        <v>40</v>
      </c>
      <c r="D3732">
        <v>5.7016850000000003</v>
      </c>
      <c r="E3732">
        <v>0.50206549999999905</v>
      </c>
      <c r="F3732" t="s">
        <v>41</v>
      </c>
      <c r="G3732">
        <v>-193.23400000000001</v>
      </c>
      <c r="H3732">
        <v>1.02576</v>
      </c>
      <c r="I3732">
        <v>174.36500000000001</v>
      </c>
      <c r="J3732">
        <v>-193.25389999999999</v>
      </c>
      <c r="K3732">
        <v>1.108314</v>
      </c>
      <c r="L3732">
        <v>175.011</v>
      </c>
      <c r="M3732">
        <v>-2.3868899999999998E-2</v>
      </c>
      <c r="N3732">
        <v>-1.153829E-2</v>
      </c>
      <c r="O3732">
        <v>-0.99964869999999995</v>
      </c>
      <c r="P3732">
        <v>-8.2069100000000006E-2</v>
      </c>
      <c r="Q3732">
        <v>-0.1227019</v>
      </c>
      <c r="R3732">
        <v>-0.98904460000000005</v>
      </c>
      <c r="S3732">
        <v>4.73938E-2</v>
      </c>
      <c r="T3732">
        <v>-0.28429470000000001</v>
      </c>
      <c r="U3732">
        <v>-3.0009610000000002</v>
      </c>
      <c r="V3732">
        <v>5.8295029999999998E-2</v>
      </c>
      <c r="W3732">
        <v>-0.1113368</v>
      </c>
      <c r="X3732">
        <v>0.99207140000000005</v>
      </c>
      <c r="Y3732">
        <v>-3.9575470000000001E-2</v>
      </c>
      <c r="Z3732">
        <v>8.2733950000000001E-2</v>
      </c>
      <c r="AA3732">
        <v>0.99578549999999999</v>
      </c>
      <c r="AB3732">
        <v>23</v>
      </c>
      <c r="AC3732">
        <v>1.98999999999784E-2</v>
      </c>
      <c r="AD3732">
        <v>-8.2554000000000002E-2</v>
      </c>
      <c r="AE3732">
        <v>-0.64599999999998603</v>
      </c>
      <c r="AF3732">
        <v>-3.4747737393958901E-2</v>
      </c>
      <c r="AG3732">
        <v>-8.2554000000000002E-2</v>
      </c>
      <c r="AH3732">
        <v>0.63498090125495599</v>
      </c>
      <c r="AI3732">
        <v>97.396543793451102</v>
      </c>
      <c r="AJ3732">
        <v>93.132243783554202</v>
      </c>
      <c r="AK3732">
        <v>0.64126695933016498</v>
      </c>
      <c r="AL3732">
        <v>96.392382423797301</v>
      </c>
      <c r="AM3732">
        <v>86.637114129549502</v>
      </c>
      <c r="AN3732">
        <v>0.99999992812744698</v>
      </c>
    </row>
    <row r="3733" spans="1:40" x14ac:dyDescent="0.25">
      <c r="A3733" t="str">
        <f>"20190305135308595"</f>
        <v>20190305135308595</v>
      </c>
      <c r="B3733" t="str">
        <f>"1551765188583167"</f>
        <v>1551765188583167</v>
      </c>
      <c r="C3733" t="s">
        <v>40</v>
      </c>
      <c r="D3733">
        <v>5.1045800000000003</v>
      </c>
      <c r="E3733">
        <v>0.5187446</v>
      </c>
      <c r="F3733" t="s">
        <v>41</v>
      </c>
      <c r="G3733">
        <v>-193.32820000000001</v>
      </c>
      <c r="H3733">
        <v>1.0370790000000001</v>
      </c>
      <c r="I3733">
        <v>174.1611</v>
      </c>
      <c r="J3733">
        <v>-193.2602</v>
      </c>
      <c r="K3733">
        <v>1.1084969999999901</v>
      </c>
      <c r="L3733">
        <v>174.78200000000001</v>
      </c>
      <c r="M3733">
        <v>-2.446137E-2</v>
      </c>
      <c r="N3733">
        <v>-1.15169E-2</v>
      </c>
      <c r="O3733">
        <v>-0.99963469999999999</v>
      </c>
      <c r="P3733">
        <v>-8.5892570000000001E-2</v>
      </c>
      <c r="Q3733">
        <v>-0.1239063</v>
      </c>
      <c r="R3733">
        <v>-0.98856999999999995</v>
      </c>
      <c r="S3733">
        <v>-0.25979609999999997</v>
      </c>
      <c r="T3733">
        <v>-0.25000289999999997</v>
      </c>
      <c r="U3733">
        <v>-2.9806520000000001</v>
      </c>
      <c r="V3733">
        <v>6.1592470000000003E-2</v>
      </c>
      <c r="W3733">
        <v>-0.1125418</v>
      </c>
      <c r="X3733">
        <v>0.99173619999999996</v>
      </c>
      <c r="Y3733">
        <v>6.217669E-2</v>
      </c>
      <c r="Z3733">
        <v>7.1836709999999998E-2</v>
      </c>
      <c r="AA3733">
        <v>0.99547649999999999</v>
      </c>
      <c r="AB3733">
        <v>23</v>
      </c>
      <c r="AC3733">
        <v>-6.8000000000011995E-2</v>
      </c>
      <c r="AD3733">
        <v>-7.1417999999999704E-2</v>
      </c>
      <c r="AE3733">
        <v>-0.620900000000006</v>
      </c>
      <c r="AF3733">
        <v>5.2109327498135703E-2</v>
      </c>
      <c r="AG3733">
        <v>-7.1417999999999704E-2</v>
      </c>
      <c r="AH3733">
        <v>0.61434597898356802</v>
      </c>
      <c r="AI3733">
        <v>96.607381886843797</v>
      </c>
      <c r="AJ3733">
        <v>85.151730055091804</v>
      </c>
      <c r="AK3733">
        <v>0.62067454807619304</v>
      </c>
      <c r="AL3733">
        <v>96.461860114223995</v>
      </c>
      <c r="AM3733">
        <v>86.446170049329893</v>
      </c>
      <c r="AN3733">
        <v>0.99999998974919002</v>
      </c>
    </row>
    <row r="3734" spans="1:40" x14ac:dyDescent="0.25">
      <c r="A3734" t="str">
        <f>"20190305135308618"</f>
        <v>20190305135308618</v>
      </c>
      <c r="B3734" t="str">
        <f>"1551765188613424"</f>
        <v>1551765188613424</v>
      </c>
      <c r="C3734" t="s">
        <v>40</v>
      </c>
      <c r="D3734">
        <v>5.0395390000000004</v>
      </c>
      <c r="E3734">
        <v>0.52368320000000002</v>
      </c>
      <c r="F3734" t="s">
        <v>41</v>
      </c>
      <c r="G3734">
        <v>-193.37280000000001</v>
      </c>
      <c r="H3734">
        <v>1.043844</v>
      </c>
      <c r="I3734">
        <v>173.953</v>
      </c>
      <c r="J3734">
        <v>-193.2664</v>
      </c>
      <c r="K3734">
        <v>1.1086929999999999</v>
      </c>
      <c r="L3734">
        <v>174.55350000000001</v>
      </c>
      <c r="M3734">
        <v>-2.4707860000000002E-2</v>
      </c>
      <c r="N3734">
        <v>-1.1503960000000001E-2</v>
      </c>
      <c r="O3734">
        <v>-0.99962879999999998</v>
      </c>
      <c r="P3734">
        <v>-8.94118E-2</v>
      </c>
      <c r="Q3734">
        <v>-0.12562119999999999</v>
      </c>
      <c r="R3734">
        <v>-0.98804130000000001</v>
      </c>
      <c r="S3734">
        <v>-0.40303040000000001</v>
      </c>
      <c r="T3734">
        <v>-0.23178779999999999</v>
      </c>
      <c r="U3734">
        <v>-2.9706269999999999</v>
      </c>
      <c r="V3734">
        <v>6.4935229999999997E-2</v>
      </c>
      <c r="W3734">
        <v>-0.1142446</v>
      </c>
      <c r="X3734">
        <v>0.99132819999999999</v>
      </c>
      <c r="Y3734">
        <v>0.1095677</v>
      </c>
      <c r="Z3734">
        <v>6.5713869999999994E-2</v>
      </c>
      <c r="AA3734">
        <v>0.99180469999999998</v>
      </c>
      <c r="AB3734">
        <v>23</v>
      </c>
      <c r="AC3734">
        <v>-0.106400000000007</v>
      </c>
      <c r="AD3734">
        <v>-6.4848999999999907E-2</v>
      </c>
      <c r="AE3734">
        <v>-0.60050000000001003</v>
      </c>
      <c r="AF3734">
        <v>9.0506093849115496E-2</v>
      </c>
      <c r="AG3734">
        <v>-6.4848999999999907E-2</v>
      </c>
      <c r="AH3734">
        <v>0.59620433117106197</v>
      </c>
      <c r="AI3734">
        <v>96.137871119582201</v>
      </c>
      <c r="AJ3734">
        <v>81.368184300559093</v>
      </c>
      <c r="AK3734">
        <v>0.60651162423481897</v>
      </c>
      <c r="AL3734">
        <v>96.560056620569796</v>
      </c>
      <c r="AM3734">
        <v>86.252293537142805</v>
      </c>
      <c r="AN3734">
        <v>1.00000000641977</v>
      </c>
    </row>
    <row r="3735" spans="1:40" x14ac:dyDescent="0.25">
      <c r="A3735" t="str">
        <f>"20190305135308640"</f>
        <v>20190305135308640</v>
      </c>
      <c r="B3735" t="str">
        <f>"1551765188633920"</f>
        <v>1551765188633920</v>
      </c>
      <c r="C3735" t="s">
        <v>40</v>
      </c>
      <c r="D3735">
        <v>5.0547570000000004</v>
      </c>
      <c r="E3735">
        <v>0.52448700000000004</v>
      </c>
      <c r="F3735" t="s">
        <v>41</v>
      </c>
      <c r="G3735">
        <v>-193.38980000000001</v>
      </c>
      <c r="H3735">
        <v>1.0451090000000001</v>
      </c>
      <c r="I3735">
        <v>173.7457</v>
      </c>
      <c r="J3735">
        <v>-193.2723</v>
      </c>
      <c r="K3735">
        <v>1.1089199999999999</v>
      </c>
      <c r="L3735">
        <v>174.3168</v>
      </c>
      <c r="M3735">
        <v>-2.4572380000000001E-2</v>
      </c>
      <c r="N3735">
        <v>-1.1496640000000001E-2</v>
      </c>
      <c r="O3735">
        <v>-0.99963190000000002</v>
      </c>
      <c r="P3735">
        <v>-9.058824E-2</v>
      </c>
      <c r="Q3735">
        <v>-0.1259527</v>
      </c>
      <c r="R3735">
        <v>-0.98789170000000004</v>
      </c>
      <c r="S3735">
        <v>-0.45256039999999997</v>
      </c>
      <c r="T3735">
        <v>-0.2335835</v>
      </c>
      <c r="U3735">
        <v>-2.965652</v>
      </c>
      <c r="V3735">
        <v>6.6315959999999993E-2</v>
      </c>
      <c r="W3735">
        <v>-0.1145466</v>
      </c>
      <c r="X3735">
        <v>0.99120189999999997</v>
      </c>
      <c r="Y3735">
        <v>0.12611989999999901</v>
      </c>
      <c r="Z3735">
        <v>6.6278569999999995E-2</v>
      </c>
      <c r="AA3735">
        <v>0.98979839999999997</v>
      </c>
      <c r="AB3735">
        <v>23</v>
      </c>
      <c r="AC3735">
        <v>-0.117500000000006</v>
      </c>
      <c r="AD3735">
        <v>-6.3811000000000007E-2</v>
      </c>
      <c r="AE3735">
        <v>-0.57110000000000105</v>
      </c>
      <c r="AF3735">
        <v>0.102206141608124</v>
      </c>
      <c r="AG3735">
        <v>-6.3811000000000007E-2</v>
      </c>
      <c r="AH3735">
        <v>0.56702353129085503</v>
      </c>
      <c r="AI3735">
        <v>96.319865311603706</v>
      </c>
      <c r="AJ3735">
        <v>79.782137780273402</v>
      </c>
      <c r="AK3735">
        <v>0.57968407269906197</v>
      </c>
      <c r="AL3735">
        <v>96.577474539683095</v>
      </c>
      <c r="AM3735">
        <v>86.172353507657903</v>
      </c>
      <c r="AN3735">
        <v>0.99999996834294502</v>
      </c>
    </row>
    <row r="3736" spans="1:40" x14ac:dyDescent="0.25">
      <c r="A3736" t="str">
        <f>"20190305135308663"</f>
        <v>20190305135308663</v>
      </c>
      <c r="B3736" t="str">
        <f>"1551765188653439"</f>
        <v>1551765188653439</v>
      </c>
      <c r="C3736" t="s">
        <v>40</v>
      </c>
      <c r="D3736">
        <v>5.1001459999999996</v>
      </c>
      <c r="E3736">
        <v>0.52392079999999996</v>
      </c>
      <c r="F3736" t="s">
        <v>41</v>
      </c>
      <c r="G3736">
        <v>-193.3939</v>
      </c>
      <c r="H3736">
        <v>1.046719</v>
      </c>
      <c r="I3736">
        <v>173.53880000000001</v>
      </c>
      <c r="J3736">
        <v>-193.27770000000001</v>
      </c>
      <c r="K3736">
        <v>1.1091799999999901</v>
      </c>
      <c r="L3736">
        <v>174.08629999999999</v>
      </c>
      <c r="M3736">
        <v>-2.4047880000000001E-2</v>
      </c>
      <c r="N3736">
        <v>-1.149448E-2</v>
      </c>
      <c r="O3736">
        <v>-0.9996448</v>
      </c>
      <c r="P3736">
        <v>-9.0270130000000004E-2</v>
      </c>
      <c r="Q3736">
        <v>-0.12643190000000001</v>
      </c>
      <c r="R3736">
        <v>-0.98785970000000001</v>
      </c>
      <c r="S3736">
        <v>-0.46257019999999999</v>
      </c>
      <c r="T3736">
        <v>-0.23714150000000001</v>
      </c>
      <c r="U3736">
        <v>-2.9641109999999999</v>
      </c>
      <c r="V3736">
        <v>6.6591199999999906E-2</v>
      </c>
      <c r="W3736">
        <v>-0.1149864</v>
      </c>
      <c r="X3736">
        <v>0.99113260000000003</v>
      </c>
      <c r="Y3736">
        <v>0.12996579999999999</v>
      </c>
      <c r="Z3736">
        <v>6.7460339999999994E-2</v>
      </c>
      <c r="AA3736">
        <v>0.98922089999999996</v>
      </c>
      <c r="AB3736">
        <v>23</v>
      </c>
      <c r="AC3736">
        <v>-0.116199999999992</v>
      </c>
      <c r="AD3736">
        <v>-6.2460999999999801E-2</v>
      </c>
      <c r="AE3736">
        <v>-0.547499999999985</v>
      </c>
      <c r="AF3736">
        <v>0.101732316843924</v>
      </c>
      <c r="AG3736">
        <v>-6.2460999999999801E-2</v>
      </c>
      <c r="AH3736">
        <v>0.54336898557419799</v>
      </c>
      <c r="AI3736">
        <v>96.446402315389406</v>
      </c>
      <c r="AJ3736">
        <v>79.395560738450399</v>
      </c>
      <c r="AK3736">
        <v>0.55632786672551804</v>
      </c>
      <c r="AL3736">
        <v>96.602840321081899</v>
      </c>
      <c r="AM3736">
        <v>86.156246700983104</v>
      </c>
      <c r="AN3736">
        <v>1.0000000454425699</v>
      </c>
    </row>
    <row r="3737" spans="1:40" x14ac:dyDescent="0.25">
      <c r="A3737" t="str">
        <f>"20190305135308684"</f>
        <v>20190305135308684</v>
      </c>
      <c r="B3737" t="str">
        <f>"1551765188673936"</f>
        <v>1551765188673936</v>
      </c>
      <c r="C3737" t="s">
        <v>40</v>
      </c>
      <c r="D3737">
        <v>5.0600699999999996</v>
      </c>
      <c r="E3737">
        <v>0.5234955</v>
      </c>
      <c r="F3737" t="s">
        <v>41</v>
      </c>
      <c r="G3737">
        <v>-193.39400000000001</v>
      </c>
      <c r="H3737">
        <v>1.046281</v>
      </c>
      <c r="I3737">
        <v>173.334</v>
      </c>
      <c r="J3737">
        <v>-193.28229999999999</v>
      </c>
      <c r="K3737">
        <v>1.109445</v>
      </c>
      <c r="L3737">
        <v>173.86840000000001</v>
      </c>
      <c r="M3737">
        <v>-2.3191659999999999E-2</v>
      </c>
      <c r="N3737">
        <v>-1.1491360000000001E-2</v>
      </c>
      <c r="O3737">
        <v>-0.99966529999999998</v>
      </c>
      <c r="P3737">
        <v>-8.9390129999999998E-2</v>
      </c>
      <c r="Q3737">
        <v>-0.126524</v>
      </c>
      <c r="R3737">
        <v>-0.98792809999999998</v>
      </c>
      <c r="S3737">
        <v>-0.45684809999999998</v>
      </c>
      <c r="T3737">
        <v>-0.24804619999999999</v>
      </c>
      <c r="U3737">
        <v>-2.9633940000000001</v>
      </c>
      <c r="V3737">
        <v>6.6630449999999994E-2</v>
      </c>
      <c r="W3737">
        <v>-0.1150395</v>
      </c>
      <c r="X3737">
        <v>0.99112370000000005</v>
      </c>
      <c r="Y3737">
        <v>0.12894549999999999</v>
      </c>
      <c r="Z3737">
        <v>7.1109179999999994E-2</v>
      </c>
      <c r="AA3737">
        <v>0.98909879999999994</v>
      </c>
      <c r="AB3737">
        <v>23</v>
      </c>
      <c r="AC3737">
        <v>-0.111700000000013</v>
      </c>
      <c r="AD3737">
        <v>-6.3163999999999998E-2</v>
      </c>
      <c r="AE3737">
        <v>-0.53440000000000498</v>
      </c>
      <c r="AF3737">
        <v>9.7964213492253399E-2</v>
      </c>
      <c r="AG3737">
        <v>-6.3163999999999998E-2</v>
      </c>
      <c r="AH3737">
        <v>0.529755869286751</v>
      </c>
      <c r="AI3737">
        <v>96.687082789557294</v>
      </c>
      <c r="AJ3737">
        <v>79.523030032493693</v>
      </c>
      <c r="AK3737">
        <v>0.542427837656694</v>
      </c>
      <c r="AL3737">
        <v>96.605903710540204</v>
      </c>
      <c r="AM3737">
        <v>86.153953491613194</v>
      </c>
      <c r="AN3737">
        <v>0.99999994606456899</v>
      </c>
    </row>
    <row r="3738" spans="1:40" x14ac:dyDescent="0.25">
      <c r="A3738" t="str">
        <f>"20190305135308706"</f>
        <v>20190305135308706</v>
      </c>
      <c r="B3738" t="str">
        <f>"1551765188703215"</f>
        <v>1551765188703215</v>
      </c>
      <c r="C3738" t="s">
        <v>40</v>
      </c>
      <c r="D3738">
        <v>5.0208050000000002</v>
      </c>
      <c r="E3738">
        <v>0.52278829999999998</v>
      </c>
      <c r="F3738" t="s">
        <v>41</v>
      </c>
      <c r="G3738">
        <v>-193.39500000000001</v>
      </c>
      <c r="H3738">
        <v>1.0461119999999999</v>
      </c>
      <c r="I3738">
        <v>173.12889999999999</v>
      </c>
      <c r="J3738">
        <v>-193.28630000000001</v>
      </c>
      <c r="K3738">
        <v>1.1097060000000001</v>
      </c>
      <c r="L3738">
        <v>173.6481</v>
      </c>
      <c r="M3738">
        <v>-2.1971549999999999E-2</v>
      </c>
      <c r="N3738">
        <v>-1.148189E-2</v>
      </c>
      <c r="O3738">
        <v>-0.9996929</v>
      </c>
      <c r="P3738">
        <v>-8.8476929999999995E-2</v>
      </c>
      <c r="Q3738">
        <v>-0.1256401</v>
      </c>
      <c r="R3738">
        <v>-0.98812290000000003</v>
      </c>
      <c r="S3738">
        <v>-0.45111079999999998</v>
      </c>
      <c r="T3738">
        <v>-0.25392039999999999</v>
      </c>
      <c r="U3738">
        <v>-2.9633180000000001</v>
      </c>
      <c r="V3738">
        <v>6.6991659999999995E-2</v>
      </c>
      <c r="W3738">
        <v>-0.1141215</v>
      </c>
      <c r="X3738">
        <v>0.99120549999999996</v>
      </c>
      <c r="Y3738">
        <v>0.12826599999999999</v>
      </c>
      <c r="Z3738">
        <v>7.308162E-2</v>
      </c>
      <c r="AA3738">
        <v>0.98904340000000002</v>
      </c>
      <c r="AB3738">
        <v>23</v>
      </c>
      <c r="AC3738">
        <v>-0.10869999999999801</v>
      </c>
      <c r="AD3738">
        <v>-6.3593999999999706E-2</v>
      </c>
      <c r="AE3738">
        <v>-0.51920000000001199</v>
      </c>
      <c r="AF3738">
        <v>9.5887238386189497E-2</v>
      </c>
      <c r="AG3738">
        <v>-6.3593999999999706E-2</v>
      </c>
      <c r="AH3738">
        <v>0.51407457330606698</v>
      </c>
      <c r="AI3738">
        <v>96.933603687732798</v>
      </c>
      <c r="AJ3738">
        <v>79.434376536542302</v>
      </c>
      <c r="AK3738">
        <v>0.526793343011417</v>
      </c>
      <c r="AL3738">
        <v>96.552957308677506</v>
      </c>
      <c r="AM3738">
        <v>86.133484936662697</v>
      </c>
      <c r="AN3738">
        <v>0.99999997125102702</v>
      </c>
    </row>
    <row r="3739" spans="1:40" x14ac:dyDescent="0.25">
      <c r="A3739" t="str">
        <f>"20190305135308728"</f>
        <v>20190305135308728</v>
      </c>
      <c r="B3739" t="str">
        <f>"1551765188723712"</f>
        <v>1551765188723712</v>
      </c>
      <c r="C3739" t="s">
        <v>40</v>
      </c>
      <c r="D3739">
        <v>5.0677680000000001</v>
      </c>
      <c r="E3739">
        <v>0.52222190000000002</v>
      </c>
      <c r="F3739" t="s">
        <v>41</v>
      </c>
      <c r="G3739">
        <v>-193.4239</v>
      </c>
      <c r="H3739">
        <v>1.029587</v>
      </c>
      <c r="I3739">
        <v>172.72720000000001</v>
      </c>
      <c r="J3739">
        <v>-193.28980000000001</v>
      </c>
      <c r="K3739">
        <v>1.1099509999999999</v>
      </c>
      <c r="L3739">
        <v>173.4128</v>
      </c>
      <c r="M3739">
        <v>-2.0294280000000001E-2</v>
      </c>
      <c r="N3739">
        <v>-1.1472120000000001E-2</v>
      </c>
      <c r="O3739">
        <v>-0.99972859999999997</v>
      </c>
      <c r="P3739">
        <v>-8.7771420000000003E-2</v>
      </c>
      <c r="Q3739">
        <v>-0.1238312</v>
      </c>
      <c r="R3739">
        <v>-0.98841440000000003</v>
      </c>
      <c r="S3739">
        <v>-0.4426117</v>
      </c>
      <c r="T3739">
        <v>-0.25787870000000002</v>
      </c>
      <c r="U3739">
        <v>-2.963638</v>
      </c>
      <c r="V3739">
        <v>6.8004040000000002E-2</v>
      </c>
      <c r="W3739">
        <v>-0.1122778</v>
      </c>
      <c r="X3739">
        <v>0.99134710000000004</v>
      </c>
      <c r="Y3739">
        <v>0.12712560000000001</v>
      </c>
      <c r="Z3739">
        <v>7.4418330000000005E-2</v>
      </c>
      <c r="AA3739">
        <v>0.98909100000000005</v>
      </c>
      <c r="AB3739">
        <v>23</v>
      </c>
      <c r="AC3739">
        <v>-0.13409999999998901</v>
      </c>
      <c r="AD3739">
        <v>-8.0364000000000102E-2</v>
      </c>
      <c r="AE3739">
        <v>-0.68559999999999299</v>
      </c>
      <c r="AF3739">
        <v>0.118588364328508</v>
      </c>
      <c r="AG3739">
        <v>-8.0364000000000102E-2</v>
      </c>
      <c r="AH3739">
        <v>0.67919229677766602</v>
      </c>
      <c r="AI3739">
        <v>96.648368684449906</v>
      </c>
      <c r="AJ3739">
        <v>80.095879564082495</v>
      </c>
      <c r="AK3739">
        <v>0.69413525242004004</v>
      </c>
      <c r="AL3739">
        <v>96.446637718104697</v>
      </c>
      <c r="AM3739">
        <v>86.075794147369805</v>
      </c>
      <c r="AN3739">
        <v>0.99999996325378504</v>
      </c>
    </row>
    <row r="3740" spans="1:40" x14ac:dyDescent="0.25">
      <c r="A3740" t="str">
        <f>"20190305135308752"</f>
        <v>20190305135308752</v>
      </c>
      <c r="B3740" t="str">
        <f>"1551765188743231"</f>
        <v>1551765188743231</v>
      </c>
      <c r="C3740" t="s">
        <v>40</v>
      </c>
      <c r="D3740">
        <v>4.985392</v>
      </c>
      <c r="E3740">
        <v>0.52165760000000005</v>
      </c>
      <c r="F3740" t="s">
        <v>41</v>
      </c>
      <c r="G3740">
        <v>-193.4212</v>
      </c>
      <c r="H3740">
        <v>1.0339910000000001</v>
      </c>
      <c r="I3740">
        <v>172.51939999999999</v>
      </c>
      <c r="J3740">
        <v>-193.29249999999999</v>
      </c>
      <c r="K3740">
        <v>1.110139</v>
      </c>
      <c r="L3740">
        <v>173.1771</v>
      </c>
      <c r="M3740">
        <v>-1.8341980000000001E-2</v>
      </c>
      <c r="N3740">
        <v>-1.14631E-2</v>
      </c>
      <c r="O3740">
        <v>-0.99976620000000005</v>
      </c>
      <c r="P3740">
        <v>-8.6601410000000004E-2</v>
      </c>
      <c r="Q3740">
        <v>-0.12258090000000001</v>
      </c>
      <c r="R3740">
        <v>-0.98867300000000002</v>
      </c>
      <c r="S3740">
        <v>-0.43577579999999999</v>
      </c>
      <c r="T3740">
        <v>-0.25220559999999997</v>
      </c>
      <c r="U3740">
        <v>-2.964874</v>
      </c>
      <c r="V3740">
        <v>6.8809330000000002E-2</v>
      </c>
      <c r="W3740">
        <v>-0.1110022</v>
      </c>
      <c r="X3740">
        <v>0.99143519999999896</v>
      </c>
      <c r="Y3740">
        <v>0.1267924</v>
      </c>
      <c r="Z3740">
        <v>7.2535100000000005E-2</v>
      </c>
      <c r="AA3740">
        <v>0.98927370000000003</v>
      </c>
      <c r="AB3740">
        <v>23</v>
      </c>
      <c r="AC3740">
        <v>-0.128700000000009</v>
      </c>
      <c r="AD3740">
        <v>-7.6148000000000104E-2</v>
      </c>
      <c r="AE3740">
        <v>-0.65770000000000495</v>
      </c>
      <c r="AF3740">
        <v>0.115127682490945</v>
      </c>
      <c r="AG3740">
        <v>-7.6148000000000104E-2</v>
      </c>
      <c r="AH3740">
        <v>0.65153844179470899</v>
      </c>
      <c r="AI3740">
        <v>96.565353068373796</v>
      </c>
      <c r="AJ3740">
        <v>79.979201732127194</v>
      </c>
      <c r="AK3740">
        <v>0.66599943116793503</v>
      </c>
      <c r="AL3740">
        <v>96.373091322166601</v>
      </c>
      <c r="AM3740">
        <v>86.029823964035501</v>
      </c>
      <c r="AN3740">
        <v>0.999999984049464</v>
      </c>
    </row>
    <row r="3741" spans="1:40" x14ac:dyDescent="0.25">
      <c r="A3741" t="str">
        <f>"20190305135308772"</f>
        <v>20190305135308772</v>
      </c>
      <c r="B3741" t="str">
        <f>"1551765188763727"</f>
        <v>1551765188763727</v>
      </c>
      <c r="C3741" t="s">
        <v>40</v>
      </c>
      <c r="D3741">
        <v>4.9549599999999998</v>
      </c>
      <c r="E3741">
        <v>0.52133660000000004</v>
      </c>
      <c r="F3741" t="s">
        <v>41</v>
      </c>
      <c r="G3741">
        <v>-193.41730000000001</v>
      </c>
      <c r="H3741">
        <v>1.036878</v>
      </c>
      <c r="I3741">
        <v>172.31229999999999</v>
      </c>
      <c r="J3741">
        <v>-193.2944</v>
      </c>
      <c r="K3741">
        <v>1.1102590000000001</v>
      </c>
      <c r="L3741">
        <v>172.9571</v>
      </c>
      <c r="M3741">
        <v>-1.6333520000000001E-2</v>
      </c>
      <c r="N3741">
        <v>-1.1446990000000001E-2</v>
      </c>
      <c r="O3741">
        <v>-0.99980119999999895</v>
      </c>
      <c r="P3741">
        <v>-8.6034979999999997E-2</v>
      </c>
      <c r="Q3741">
        <v>-0.12166540000000001</v>
      </c>
      <c r="R3741">
        <v>-0.98883560000000004</v>
      </c>
      <c r="S3741">
        <v>-0.42779539999999999</v>
      </c>
      <c r="T3741">
        <v>-0.2512761</v>
      </c>
      <c r="U3741">
        <v>-2.9657589999999998</v>
      </c>
      <c r="V3741">
        <v>7.0257780000000006E-2</v>
      </c>
      <c r="W3741">
        <v>-0.11007790000000001</v>
      </c>
      <c r="X3741">
        <v>0.99143669999999995</v>
      </c>
      <c r="Y3741">
        <v>0.12613949999999999</v>
      </c>
      <c r="Z3741">
        <v>7.2241079999999999E-2</v>
      </c>
      <c r="AA3741">
        <v>0.9893786</v>
      </c>
      <c r="AB3741">
        <v>23</v>
      </c>
      <c r="AC3741">
        <v>-0.122900000000015</v>
      </c>
      <c r="AD3741">
        <v>-7.3381000000000099E-2</v>
      </c>
      <c r="AE3741">
        <v>-0.64480000000000304</v>
      </c>
      <c r="AF3741">
        <v>0.110964295717286</v>
      </c>
      <c r="AG3741">
        <v>-7.3381000000000099E-2</v>
      </c>
      <c r="AH3741">
        <v>0.63873891951537498</v>
      </c>
      <c r="AI3741">
        <v>96.457759166840802</v>
      </c>
      <c r="AJ3741">
        <v>80.144705436030193</v>
      </c>
      <c r="AK3741">
        <v>0.65244559419824599</v>
      </c>
      <c r="AL3741">
        <v>96.319806086196905</v>
      </c>
      <c r="AM3741">
        <v>85.946532808823804</v>
      </c>
      <c r="AN3741">
        <v>1.00000001491291</v>
      </c>
    </row>
    <row r="3742" spans="1:40" x14ac:dyDescent="0.25">
      <c r="A3742" t="str">
        <f>"20190305135308785"</f>
        <v>20190305135308785</v>
      </c>
      <c r="B3742" t="str">
        <f>"1551765188773488"</f>
        <v>1551765188773488</v>
      </c>
      <c r="C3742" t="s">
        <v>40</v>
      </c>
      <c r="D3742">
        <v>4.9702840000000004</v>
      </c>
      <c r="E3742">
        <v>0.5213333</v>
      </c>
      <c r="F3742" t="s">
        <v>41</v>
      </c>
      <c r="G3742">
        <v>-193.4161</v>
      </c>
      <c r="H3742">
        <v>1.0390379999999999</v>
      </c>
      <c r="I3742">
        <v>172.10550000000001</v>
      </c>
      <c r="J3742">
        <v>-193.2953</v>
      </c>
      <c r="K3742">
        <v>1.110309</v>
      </c>
      <c r="L3742">
        <v>172.8288</v>
      </c>
      <c r="M3742">
        <v>-1.5110220000000001E-2</v>
      </c>
      <c r="N3742">
        <v>-1.143391E-2</v>
      </c>
      <c r="O3742">
        <v>-0.9998205</v>
      </c>
      <c r="P3742">
        <v>-8.5459750000000001E-2</v>
      </c>
      <c r="Q3742">
        <v>-0.1213012</v>
      </c>
      <c r="R3742">
        <v>-0.98893010000000003</v>
      </c>
      <c r="S3742">
        <v>-0.4231567</v>
      </c>
      <c r="T3742">
        <v>-0.2483166</v>
      </c>
      <c r="U3742">
        <v>-2.966507</v>
      </c>
      <c r="V3742">
        <v>7.0904629999999996E-2</v>
      </c>
      <c r="W3742">
        <v>-0.10971590000000001</v>
      </c>
      <c r="X3742">
        <v>0.99143079999999995</v>
      </c>
      <c r="Y3742">
        <v>0.12581289999999901</v>
      </c>
      <c r="Z3742">
        <v>7.126652E-2</v>
      </c>
      <c r="AA3742">
        <v>0.98949089999999995</v>
      </c>
      <c r="AB3742">
        <v>23</v>
      </c>
      <c r="AC3742">
        <v>-0.120800000000002</v>
      </c>
      <c r="AD3742">
        <v>-7.1271000000000001E-2</v>
      </c>
      <c r="AE3742">
        <v>-0.72329999999999395</v>
      </c>
      <c r="AF3742">
        <v>0.10882829559283</v>
      </c>
      <c r="AG3742">
        <v>-7.1271000000000001E-2</v>
      </c>
      <c r="AH3742">
        <v>0.71825829029006305</v>
      </c>
      <c r="AI3742">
        <v>95.603230178861295</v>
      </c>
      <c r="AJ3742">
        <v>81.384251851992005</v>
      </c>
      <c r="AK3742">
        <v>0.72994391903285705</v>
      </c>
      <c r="AL3742">
        <v>96.298938472339202</v>
      </c>
      <c r="AM3742">
        <v>85.909315163049399</v>
      </c>
      <c r="AN3742">
        <v>1.00000003822844</v>
      </c>
    </row>
    <row r="3743" spans="1:40" x14ac:dyDescent="0.25">
      <c r="A3743" t="str">
        <f>"20190305135308808"</f>
        <v>20190305135308808</v>
      </c>
      <c r="B3743" t="str">
        <f>"1551765188803744"</f>
        <v>1551765188803744</v>
      </c>
      <c r="C3743" t="s">
        <v>40</v>
      </c>
      <c r="D3743">
        <v>4.8903840000000001</v>
      </c>
      <c r="E3743">
        <v>0.52110159999999905</v>
      </c>
      <c r="F3743" t="s">
        <v>41</v>
      </c>
      <c r="G3743">
        <v>-193.4271</v>
      </c>
      <c r="H3743">
        <v>1.033196</v>
      </c>
      <c r="I3743">
        <v>171.9025</v>
      </c>
      <c r="J3743">
        <v>-193.2963</v>
      </c>
      <c r="K3743">
        <v>1.110347</v>
      </c>
      <c r="L3743">
        <v>172.59049999999999</v>
      </c>
      <c r="M3743">
        <v>-1.275245E-2</v>
      </c>
      <c r="N3743">
        <v>-1.140916E-2</v>
      </c>
      <c r="O3743">
        <v>-0.99985389999999996</v>
      </c>
      <c r="P3743">
        <v>-8.3695580000000006E-2</v>
      </c>
      <c r="Q3743">
        <v>-0.1209329</v>
      </c>
      <c r="R3743">
        <v>-0.98912659999999997</v>
      </c>
      <c r="S3743">
        <v>-0.42146299999999998</v>
      </c>
      <c r="T3743">
        <v>-0.24714849999999999</v>
      </c>
      <c r="U3743">
        <v>-2.966812</v>
      </c>
      <c r="V3743">
        <v>7.1481890000000006E-2</v>
      </c>
      <c r="W3743">
        <v>-0.1093633</v>
      </c>
      <c r="X3743">
        <v>0.99142830000000004</v>
      </c>
      <c r="Y3743">
        <v>0.12758739999999999</v>
      </c>
      <c r="Z3743">
        <v>7.0892360000000001E-2</v>
      </c>
      <c r="AA3743">
        <v>0.98929049999999996</v>
      </c>
      <c r="AB3743">
        <v>23</v>
      </c>
      <c r="AC3743">
        <v>-0.13079999999999301</v>
      </c>
      <c r="AD3743">
        <v>-7.71509999999999E-2</v>
      </c>
      <c r="AE3743">
        <v>-0.68799999999998795</v>
      </c>
      <c r="AF3743">
        <v>0.12055205352008699</v>
      </c>
      <c r="AG3743">
        <v>-7.71509999999999E-2</v>
      </c>
      <c r="AH3743">
        <v>0.68134319554308997</v>
      </c>
      <c r="AI3743">
        <v>96.362304681196505</v>
      </c>
      <c r="AJ3743">
        <v>79.966331585233604</v>
      </c>
      <c r="AK3743">
        <v>0.69621377788850103</v>
      </c>
      <c r="AL3743">
        <v>96.278613708194101</v>
      </c>
      <c r="AM3743">
        <v>85.876115506884105</v>
      </c>
      <c r="AN3743">
        <v>1.00000003301287</v>
      </c>
    </row>
    <row r="3744" spans="1:40" x14ac:dyDescent="0.25">
      <c r="A3744" t="str">
        <f>"20190305135308822"</f>
        <v>20190305135308822</v>
      </c>
      <c r="B3744" t="str">
        <f>"1551765188813504"</f>
        <v>1551765188813504</v>
      </c>
      <c r="C3744" t="s">
        <v>40</v>
      </c>
      <c r="D3744">
        <v>4.9698099999999998</v>
      </c>
      <c r="E3744">
        <v>0.52098180000000005</v>
      </c>
      <c r="F3744" t="s">
        <v>41</v>
      </c>
      <c r="G3744">
        <v>-193.42150000000001</v>
      </c>
      <c r="H3744">
        <v>1.0357069999999999</v>
      </c>
      <c r="I3744">
        <v>171.6953</v>
      </c>
      <c r="J3744">
        <v>-193.29660000000001</v>
      </c>
      <c r="K3744">
        <v>1.110366</v>
      </c>
      <c r="L3744">
        <v>172.44799999999901</v>
      </c>
      <c r="M3744">
        <v>-1.1330460000000001E-2</v>
      </c>
      <c r="N3744">
        <v>-1.1396389999999999E-2</v>
      </c>
      <c r="O3744">
        <v>-0.99987110000000001</v>
      </c>
      <c r="P3744">
        <v>-8.3464259999999998E-2</v>
      </c>
      <c r="Q3744">
        <v>-0.119903</v>
      </c>
      <c r="R3744">
        <v>-0.98927140000000002</v>
      </c>
      <c r="S3744">
        <v>-0.41433720000000002</v>
      </c>
      <c r="T3744">
        <v>-0.24764240000000001</v>
      </c>
      <c r="U3744">
        <v>-2.9676209999999998</v>
      </c>
      <c r="V3744">
        <v>7.2654250000000004E-2</v>
      </c>
      <c r="W3744">
        <v>-0.1083406</v>
      </c>
      <c r="X3744">
        <v>0.99145530000000004</v>
      </c>
      <c r="Y3744">
        <v>0.12662970000000001</v>
      </c>
      <c r="Z3744">
        <v>7.1065929999999999E-2</v>
      </c>
      <c r="AA3744">
        <v>0.98940110000000003</v>
      </c>
      <c r="AB3744">
        <v>23</v>
      </c>
      <c r="AC3744">
        <v>-0.124899999999996</v>
      </c>
      <c r="AD3744">
        <v>-7.4659000000000003E-2</v>
      </c>
      <c r="AE3744">
        <v>-0.75269999999997494</v>
      </c>
      <c r="AF3744">
        <v>0.115259420948919</v>
      </c>
      <c r="AG3744">
        <v>-7.4659000000000003E-2</v>
      </c>
      <c r="AH3744">
        <v>0.746915470634676</v>
      </c>
      <c r="AI3744">
        <v>95.641781569886604</v>
      </c>
      <c r="AJ3744">
        <v>81.227660720217898</v>
      </c>
      <c r="AK3744">
        <v>0.75943493511419402</v>
      </c>
      <c r="AL3744">
        <v>96.219667452234305</v>
      </c>
      <c r="AM3744">
        <v>85.808833337787405</v>
      </c>
      <c r="AN3744">
        <v>0.99999996877475505</v>
      </c>
    </row>
    <row r="3745" spans="1:40" x14ac:dyDescent="0.25">
      <c r="A3745" t="str">
        <f>"20190305135308836"</f>
        <v>20190305135308836</v>
      </c>
      <c r="B3745" t="str">
        <f>"1551765188834000"</f>
        <v>1551765188834000</v>
      </c>
      <c r="C3745" t="s">
        <v>40</v>
      </c>
      <c r="D3745">
        <v>4.8658419999999998</v>
      </c>
      <c r="E3745">
        <v>0.52094390000000002</v>
      </c>
      <c r="F3745" t="s">
        <v>41</v>
      </c>
      <c r="G3745">
        <v>-193.4024</v>
      </c>
      <c r="H3745">
        <v>1.0476730000000001</v>
      </c>
      <c r="I3745">
        <v>171.68809999999999</v>
      </c>
      <c r="J3745">
        <v>-193.29669999999999</v>
      </c>
      <c r="K3745">
        <v>1.11036</v>
      </c>
      <c r="L3745">
        <v>172.2998</v>
      </c>
      <c r="M3745">
        <v>-9.8594129999999992E-3</v>
      </c>
      <c r="N3745">
        <v>-1.138076E-2</v>
      </c>
      <c r="O3745">
        <v>-0.99988670000000002</v>
      </c>
      <c r="P3745">
        <v>-8.2751530000000004E-2</v>
      </c>
      <c r="Q3745">
        <v>-0.1195735</v>
      </c>
      <c r="R3745">
        <v>-0.98937090000000005</v>
      </c>
      <c r="S3745">
        <v>-0.4124756</v>
      </c>
      <c r="T3745">
        <v>-0.24509790000000001</v>
      </c>
      <c r="U3745">
        <v>-2.968048</v>
      </c>
      <c r="V3745">
        <v>7.3393550000000002E-2</v>
      </c>
      <c r="W3745">
        <v>-0.1080257</v>
      </c>
      <c r="X3745">
        <v>0.99143519999999896</v>
      </c>
      <c r="Y3745">
        <v>0.1274692</v>
      </c>
      <c r="Z3745">
        <v>7.0227819999999996E-2</v>
      </c>
      <c r="AA3745">
        <v>0.98935320000000004</v>
      </c>
      <c r="AB3745">
        <v>23</v>
      </c>
      <c r="AC3745">
        <v>-0.10570000000001301</v>
      </c>
      <c r="AD3745">
        <v>-6.2687000000000104E-2</v>
      </c>
      <c r="AE3745">
        <v>-0.61170000000001301</v>
      </c>
      <c r="AF3745">
        <v>9.8657394596075601E-2</v>
      </c>
      <c r="AG3745">
        <v>-6.2687000000000104E-2</v>
      </c>
      <c r="AH3745">
        <v>0.60652731551901395</v>
      </c>
      <c r="AI3745">
        <v>95.824777885013702</v>
      </c>
      <c r="AJ3745">
        <v>80.761213661223593</v>
      </c>
      <c r="AK3745">
        <v>0.61768788716323997</v>
      </c>
      <c r="AL3745">
        <v>96.201518546036695</v>
      </c>
      <c r="AM3745">
        <v>85.766254505728099</v>
      </c>
      <c r="AN3745">
        <v>0.99999996042056505</v>
      </c>
    </row>
    <row r="3746" spans="1:40" x14ac:dyDescent="0.25">
      <c r="A3746" t="str">
        <f>"20190305135308853"</f>
        <v>20190305135308853</v>
      </c>
      <c r="B3746" t="str">
        <f>"1551765188843760"</f>
        <v>1551765188843760</v>
      </c>
      <c r="C3746" t="s">
        <v>40</v>
      </c>
      <c r="D3746">
        <v>4.8921289999999997</v>
      </c>
      <c r="E3746">
        <v>0.52086390000000005</v>
      </c>
      <c r="F3746" t="s">
        <v>41</v>
      </c>
      <c r="G3746">
        <v>-193.4093</v>
      </c>
      <c r="H3746">
        <v>1.0432509999999999</v>
      </c>
      <c r="I3746">
        <v>171.4854</v>
      </c>
      <c r="J3746">
        <v>-193.29660000000001</v>
      </c>
      <c r="K3746">
        <v>1.1103240000000001</v>
      </c>
      <c r="L3746">
        <v>172.12880000000001</v>
      </c>
      <c r="M3746">
        <v>-8.1854240000000002E-3</v>
      </c>
      <c r="N3746">
        <v>-1.135657E-2</v>
      </c>
      <c r="O3746">
        <v>-0.99990199999999996</v>
      </c>
      <c r="P3746">
        <v>-8.239225E-2</v>
      </c>
      <c r="Q3746">
        <v>-0.1183032</v>
      </c>
      <c r="R3746">
        <v>-0.98955360000000003</v>
      </c>
      <c r="S3746">
        <v>-0.40995789999999999</v>
      </c>
      <c r="T3746">
        <v>-0.24479519999999999</v>
      </c>
      <c r="U3746">
        <v>-2.9683380000000001</v>
      </c>
      <c r="V3746">
        <v>7.4679899999999994E-2</v>
      </c>
      <c r="W3746">
        <v>-0.1067781</v>
      </c>
      <c r="X3746">
        <v>0.99147430000000003</v>
      </c>
      <c r="Y3746">
        <v>0.12829360000000001</v>
      </c>
      <c r="Z3746">
        <v>7.0144789999999999E-2</v>
      </c>
      <c r="AA3746">
        <v>0.98925240000000003</v>
      </c>
      <c r="AB3746">
        <v>23</v>
      </c>
      <c r="AC3746">
        <v>-0.112699999999989</v>
      </c>
      <c r="AD3746">
        <v>-6.7073000000000105E-2</v>
      </c>
      <c r="AE3746">
        <v>-0.64340000000001396</v>
      </c>
      <c r="AF3746">
        <v>0.10630845779959699</v>
      </c>
      <c r="AG3746">
        <v>-6.7073000000000105E-2</v>
      </c>
      <c r="AH3746">
        <v>0.63757832398374303</v>
      </c>
      <c r="AI3746">
        <v>95.924212762578193</v>
      </c>
      <c r="AJ3746">
        <v>80.533707914769593</v>
      </c>
      <c r="AK3746">
        <v>0.649851055814059</v>
      </c>
      <c r="AL3746">
        <v>96.129620390894303</v>
      </c>
      <c r="AM3746">
        <v>85.692496886019697</v>
      </c>
      <c r="AN3746">
        <v>0.999999968832054</v>
      </c>
    </row>
    <row r="3747" spans="1:40" x14ac:dyDescent="0.25">
      <c r="A3747" t="str">
        <f>"20190305135308873"</f>
        <v>20190305135308873</v>
      </c>
      <c r="B3747" t="str">
        <f>"1551765188863279"</f>
        <v>1551765188863279</v>
      </c>
      <c r="C3747" t="s">
        <v>40</v>
      </c>
      <c r="D3747">
        <v>4.9136540000000002</v>
      </c>
      <c r="E3747">
        <v>0.5208334</v>
      </c>
      <c r="F3747" t="s">
        <v>41</v>
      </c>
      <c r="G3747">
        <v>-193.4134</v>
      </c>
      <c r="H3747">
        <v>1.0412159999999999</v>
      </c>
      <c r="I3747">
        <v>171.2801</v>
      </c>
      <c r="J3747">
        <v>-193.29599999999999</v>
      </c>
      <c r="K3747">
        <v>1.1102620000000001</v>
      </c>
      <c r="L3747">
        <v>171.9229</v>
      </c>
      <c r="M3747">
        <v>-6.2215919999999997E-3</v>
      </c>
      <c r="N3747">
        <v>-1.131738E-2</v>
      </c>
      <c r="O3747">
        <v>-0.99991680000000005</v>
      </c>
      <c r="P3747">
        <v>-8.1758499999999998E-2</v>
      </c>
      <c r="Q3747">
        <v>-0.1190619</v>
      </c>
      <c r="R3747">
        <v>-0.98951540000000004</v>
      </c>
      <c r="S3747">
        <v>-0.40824890000000003</v>
      </c>
      <c r="T3747">
        <v>-0.2419944</v>
      </c>
      <c r="U3747">
        <v>-2.9687649999999999</v>
      </c>
      <c r="V3747">
        <v>7.5982910000000001E-2</v>
      </c>
      <c r="W3747">
        <v>-0.1075807</v>
      </c>
      <c r="X3747">
        <v>0.99128850000000002</v>
      </c>
      <c r="Y3747">
        <v>0.1296718</v>
      </c>
      <c r="Z3747">
        <v>6.9241789999999998E-2</v>
      </c>
      <c r="AA3747">
        <v>0.98913640000000003</v>
      </c>
      <c r="AB3747">
        <v>23</v>
      </c>
      <c r="AC3747">
        <v>-0.117400000000003</v>
      </c>
      <c r="AD3747">
        <v>-6.9046000000000093E-2</v>
      </c>
      <c r="AE3747">
        <v>-0.64279999999999404</v>
      </c>
      <c r="AF3747">
        <v>0.11214607496795501</v>
      </c>
      <c r="AG3747">
        <v>-6.9046000000000093E-2</v>
      </c>
      <c r="AH3747">
        <v>0.63641221031614803</v>
      </c>
      <c r="AI3747">
        <v>96.098707540096299</v>
      </c>
      <c r="AJ3747">
        <v>80.006161785204</v>
      </c>
      <c r="AK3747">
        <v>0.64989583295033004</v>
      </c>
      <c r="AL3747">
        <v>96.1758725291036</v>
      </c>
      <c r="AM3747">
        <v>85.616811940854205</v>
      </c>
      <c r="AN3747">
        <v>0.99999994992840202</v>
      </c>
    </row>
    <row r="3748" spans="1:40" x14ac:dyDescent="0.25">
      <c r="A3748" t="str">
        <f>"20190305135308886"</f>
        <v>20190305135308886</v>
      </c>
      <c r="B3748" t="str">
        <f>"1551765188883776"</f>
        <v>1551765188883776</v>
      </c>
      <c r="C3748" t="s">
        <v>40</v>
      </c>
      <c r="D3748">
        <v>4.834562</v>
      </c>
      <c r="E3748">
        <v>0.5207813</v>
      </c>
      <c r="F3748" t="s">
        <v>41</v>
      </c>
      <c r="G3748">
        <v>-193.41220000000001</v>
      </c>
      <c r="H3748">
        <v>1.039893</v>
      </c>
      <c r="I3748">
        <v>171.07429999999999</v>
      </c>
      <c r="J3748">
        <v>-193.2955</v>
      </c>
      <c r="K3748">
        <v>1.1102110000000001</v>
      </c>
      <c r="L3748">
        <v>171.785</v>
      </c>
      <c r="M3748">
        <v>-4.936274E-3</v>
      </c>
      <c r="N3748">
        <v>-1.1287449999999999E-2</v>
      </c>
      <c r="O3748">
        <v>-0.99992409999999998</v>
      </c>
      <c r="P3748">
        <v>-8.1181240000000002E-2</v>
      </c>
      <c r="Q3748">
        <v>-0.1200808</v>
      </c>
      <c r="R3748">
        <v>-0.98943919999999996</v>
      </c>
      <c r="S3748">
        <v>-0.40625</v>
      </c>
      <c r="T3748">
        <v>-0.24633060000000001</v>
      </c>
      <c r="U3748">
        <v>-2.9685820000000001</v>
      </c>
      <c r="V3748">
        <v>7.6673430000000001E-2</v>
      </c>
      <c r="W3748">
        <v>-0.10863490000000001</v>
      </c>
      <c r="X3748">
        <v>0.99112040000000001</v>
      </c>
      <c r="Y3748">
        <v>0.1302856</v>
      </c>
      <c r="Z3748">
        <v>7.0711280000000001E-2</v>
      </c>
      <c r="AA3748">
        <v>0.98895169999999999</v>
      </c>
      <c r="AB3748">
        <v>23</v>
      </c>
      <c r="AC3748">
        <v>-0.11670000000000801</v>
      </c>
      <c r="AD3748">
        <v>-7.0318000000000103E-2</v>
      </c>
      <c r="AE3748">
        <v>-0.710700000000002</v>
      </c>
      <c r="AF3748">
        <v>0.112121350819423</v>
      </c>
      <c r="AG3748">
        <v>-7.0318000000000103E-2</v>
      </c>
      <c r="AH3748">
        <v>0.70455132373770901</v>
      </c>
      <c r="AI3748">
        <v>95.6291807610408</v>
      </c>
      <c r="AJ3748">
        <v>80.957849044992301</v>
      </c>
      <c r="AK3748">
        <v>0.716874037899358</v>
      </c>
      <c r="AL3748">
        <v>96.236629508672394</v>
      </c>
      <c r="AM3748">
        <v>85.576388438363495</v>
      </c>
      <c r="AN3748">
        <v>1.00000000183106</v>
      </c>
    </row>
    <row r="3749" spans="1:40" x14ac:dyDescent="0.25">
      <c r="A3749" t="str">
        <f>"20190305135308900"</f>
        <v>20190305135308900</v>
      </c>
      <c r="B3749" t="str">
        <f>"1551765188893536"</f>
        <v>1551765188893536</v>
      </c>
      <c r="C3749" t="s">
        <v>40</v>
      </c>
      <c r="D3749">
        <v>4.8749019999999996</v>
      </c>
      <c r="E3749">
        <v>0.52072019999999997</v>
      </c>
      <c r="F3749" t="s">
        <v>41</v>
      </c>
      <c r="G3749">
        <v>-193.42009999999999</v>
      </c>
      <c r="H3749">
        <v>1.0333410000000001</v>
      </c>
      <c r="I3749">
        <v>170.8706</v>
      </c>
      <c r="J3749">
        <v>-193.29470000000001</v>
      </c>
      <c r="K3749">
        <v>1.1101479999999999</v>
      </c>
      <c r="L3749">
        <v>171.64570000000001</v>
      </c>
      <c r="M3749">
        <v>-3.6768809999999999E-3</v>
      </c>
      <c r="N3749">
        <v>-1.125281E-2</v>
      </c>
      <c r="O3749">
        <v>-0.99992999999999999</v>
      </c>
      <c r="P3749">
        <v>-8.0329079999999997E-2</v>
      </c>
      <c r="Q3749">
        <v>-0.12130829999999999</v>
      </c>
      <c r="R3749">
        <v>-0.98935910000000005</v>
      </c>
      <c r="S3749">
        <v>-0.4041748</v>
      </c>
      <c r="T3749">
        <v>-0.2497798</v>
      </c>
      <c r="U3749">
        <v>-2.9685519999999999</v>
      </c>
      <c r="V3749">
        <v>7.706267E-2</v>
      </c>
      <c r="W3749">
        <v>-0.1099043</v>
      </c>
      <c r="X3749">
        <v>0.9909502</v>
      </c>
      <c r="Y3749">
        <v>0.13084469999999901</v>
      </c>
      <c r="Z3749">
        <v>7.1887889999999996E-2</v>
      </c>
      <c r="AA3749">
        <v>0.98879309999999998</v>
      </c>
      <c r="AB3749">
        <v>23</v>
      </c>
      <c r="AC3749">
        <v>-0.125399999999984</v>
      </c>
      <c r="AD3749">
        <v>-7.6806999999999806E-2</v>
      </c>
      <c r="AE3749">
        <v>-0.775100000000009</v>
      </c>
      <c r="AF3749">
        <v>0.121387469295604</v>
      </c>
      <c r="AG3749">
        <v>-7.6806999999999806E-2</v>
      </c>
      <c r="AH3749">
        <v>0.768204945087545</v>
      </c>
      <c r="AI3749">
        <v>95.640077981372698</v>
      </c>
      <c r="AJ3749">
        <v>81.020682207934996</v>
      </c>
      <c r="AK3749">
        <v>0.78151971863027803</v>
      </c>
      <c r="AL3749">
        <v>96.309799202927707</v>
      </c>
      <c r="AM3749">
        <v>85.553260809320193</v>
      </c>
      <c r="AN3749">
        <v>0.99999995457302804</v>
      </c>
    </row>
    <row r="3750" spans="1:40" x14ac:dyDescent="0.25">
      <c r="A3750" t="str">
        <f>"20190305135308913"</f>
        <v>20190305135308913</v>
      </c>
      <c r="B3750" t="str">
        <f>"1551765188903295"</f>
        <v>1551765188903295</v>
      </c>
      <c r="C3750" t="s">
        <v>40</v>
      </c>
      <c r="D3750">
        <v>4.7692920000000001</v>
      </c>
      <c r="E3750">
        <v>0.52075450000000001</v>
      </c>
      <c r="F3750" t="s">
        <v>41</v>
      </c>
      <c r="G3750">
        <v>-193.40029999999999</v>
      </c>
      <c r="H3750">
        <v>1.043344</v>
      </c>
      <c r="I3750">
        <v>170.86590000000001</v>
      </c>
      <c r="J3750">
        <v>-193.2938</v>
      </c>
      <c r="K3750">
        <v>1.1100989999999999</v>
      </c>
      <c r="L3750">
        <v>171.5121</v>
      </c>
      <c r="M3750">
        <v>-2.4910869999999999E-3</v>
      </c>
      <c r="N3750">
        <v>-1.121748E-2</v>
      </c>
      <c r="O3750">
        <v>-0.9999342</v>
      </c>
      <c r="P3750">
        <v>-7.9624630000000002E-2</v>
      </c>
      <c r="Q3750">
        <v>-0.1226787</v>
      </c>
      <c r="R3750">
        <v>-0.9892474</v>
      </c>
      <c r="S3750">
        <v>-0.40112300000000001</v>
      </c>
      <c r="T3750">
        <v>-0.25459270000000001</v>
      </c>
      <c r="U3750">
        <v>-2.9684910000000002</v>
      </c>
      <c r="V3750">
        <v>7.7527390000000002E-2</v>
      </c>
      <c r="W3750">
        <v>-0.111316899999999</v>
      </c>
      <c r="X3750">
        <v>0.99075630000000003</v>
      </c>
      <c r="Y3750">
        <v>0.13100789999999901</v>
      </c>
      <c r="Z3750">
        <v>7.3520470000000004E-2</v>
      </c>
      <c r="AA3750">
        <v>0.98865150000000002</v>
      </c>
      <c r="AB3750">
        <v>23</v>
      </c>
      <c r="AC3750">
        <v>-0.106499999999982</v>
      </c>
      <c r="AD3750">
        <v>-6.6754999999999898E-2</v>
      </c>
      <c r="AE3750">
        <v>-0.646199999999993</v>
      </c>
      <c r="AF3750">
        <v>0.10381128084241099</v>
      </c>
      <c r="AG3750">
        <v>-6.6754999999999898E-2</v>
      </c>
      <c r="AH3750">
        <v>0.639815944279994</v>
      </c>
      <c r="AI3750">
        <v>95.880040899992295</v>
      </c>
      <c r="AJ3750">
        <v>80.783969934850504</v>
      </c>
      <c r="AK3750">
        <v>0.65161142915854597</v>
      </c>
      <c r="AL3750">
        <v>96.391234662447602</v>
      </c>
      <c r="AM3750">
        <v>85.5256817009667</v>
      </c>
      <c r="AN3750">
        <v>0.99999999720775601</v>
      </c>
    </row>
    <row r="3751" spans="1:40" x14ac:dyDescent="0.25">
      <c r="A3751" t="str">
        <f>"20190305135308930"</f>
        <v>20190305135308930</v>
      </c>
      <c r="B3751" t="str">
        <f>"1551765188923791"</f>
        <v>1551765188923791</v>
      </c>
      <c r="C3751" t="s">
        <v>40</v>
      </c>
      <c r="D3751">
        <v>4.8021260000000003</v>
      </c>
      <c r="E3751">
        <v>0.52089640000000004</v>
      </c>
      <c r="F3751" t="s">
        <v>41</v>
      </c>
      <c r="G3751">
        <v>-193.4083</v>
      </c>
      <c r="H3751">
        <v>1.0362990000000001</v>
      </c>
      <c r="I3751">
        <v>170.66229999999999</v>
      </c>
      <c r="J3751">
        <v>-193.29259999999999</v>
      </c>
      <c r="K3751">
        <v>1.110025</v>
      </c>
      <c r="L3751">
        <v>171.34020000000001</v>
      </c>
      <c r="M3751">
        <v>-9.968049000000001E-4</v>
      </c>
      <c r="N3751">
        <v>-1.116963E-2</v>
      </c>
      <c r="O3751">
        <v>-0.99993739999999998</v>
      </c>
      <c r="P3751">
        <v>-7.9175200000000001E-2</v>
      </c>
      <c r="Q3751">
        <v>-0.12604189999999901</v>
      </c>
      <c r="R3751">
        <v>-0.98886070000000004</v>
      </c>
      <c r="S3751">
        <v>-0.39929199999999998</v>
      </c>
      <c r="T3751">
        <v>-0.25801649999999998</v>
      </c>
      <c r="U3751">
        <v>-2.9684750000000002</v>
      </c>
      <c r="V3751">
        <v>7.8556089999999995E-2</v>
      </c>
      <c r="W3751">
        <v>-0.1147377</v>
      </c>
      <c r="X3751">
        <v>0.99028490000000002</v>
      </c>
      <c r="Y3751">
        <v>0.1318783</v>
      </c>
      <c r="Z3751">
        <v>7.4698050000000002E-2</v>
      </c>
      <c r="AA3751">
        <v>0.98844739999999998</v>
      </c>
      <c r="AB3751">
        <v>23</v>
      </c>
      <c r="AC3751">
        <v>-0.11570000000000299</v>
      </c>
      <c r="AD3751">
        <v>-7.3725999999999903E-2</v>
      </c>
      <c r="AE3751">
        <v>-0.67790000000002204</v>
      </c>
      <c r="AF3751">
        <v>0.11371719499838701</v>
      </c>
      <c r="AG3751">
        <v>-7.3725999999999903E-2</v>
      </c>
      <c r="AH3751">
        <v>0.67031099973515895</v>
      </c>
      <c r="AI3751">
        <v>96.188877958557796</v>
      </c>
      <c r="AJ3751">
        <v>80.371534642422105</v>
      </c>
      <c r="AK3751">
        <v>0.68387422811526499</v>
      </c>
      <c r="AL3751">
        <v>96.588496281716502</v>
      </c>
      <c r="AM3751">
        <v>85.464409442993201</v>
      </c>
      <c r="AN3751">
        <v>0.999999991122694</v>
      </c>
    </row>
    <row r="3752" spans="1:40" x14ac:dyDescent="0.25">
      <c r="A3752" t="str">
        <f>"20190305135308952"</f>
        <v>20190305135308952</v>
      </c>
      <c r="B3752" t="str">
        <f>"1551765188943315"</f>
        <v>1551765188943315</v>
      </c>
      <c r="C3752" t="s">
        <v>40</v>
      </c>
      <c r="D3752">
        <v>4.7904799999999996</v>
      </c>
      <c r="E3752">
        <v>0.5210806</v>
      </c>
      <c r="F3752" t="s">
        <v>41</v>
      </c>
      <c r="G3752">
        <v>-193.41149999999999</v>
      </c>
      <c r="H3752">
        <v>1.03081</v>
      </c>
      <c r="I3752">
        <v>170.45769999999999</v>
      </c>
      <c r="J3752">
        <v>-193.29040000000001</v>
      </c>
      <c r="K3752">
        <v>1.109939</v>
      </c>
      <c r="L3752">
        <v>171.1044</v>
      </c>
      <c r="M3752">
        <v>9.946906000000001E-4</v>
      </c>
      <c r="N3752">
        <v>-1.110206E-2</v>
      </c>
      <c r="O3752">
        <v>-0.9999382</v>
      </c>
      <c r="P3752">
        <v>-7.9103400000000004E-2</v>
      </c>
      <c r="Q3752">
        <v>-0.12776779999999999</v>
      </c>
      <c r="R3752">
        <v>-0.98864510000000005</v>
      </c>
      <c r="S3752">
        <v>-0.3990631</v>
      </c>
      <c r="T3752">
        <v>-0.2666694</v>
      </c>
      <c r="U3752">
        <v>-2.9678499999999999</v>
      </c>
      <c r="V3752">
        <v>8.0444459999999995E-2</v>
      </c>
      <c r="W3752">
        <v>-0.1165387</v>
      </c>
      <c r="X3752">
        <v>0.98992290000000005</v>
      </c>
      <c r="Y3752">
        <v>0.13377220000000001</v>
      </c>
      <c r="Z3752">
        <v>7.7630080000000004E-2</v>
      </c>
      <c r="AA3752">
        <v>0.98796689999999998</v>
      </c>
      <c r="AB3752">
        <v>23</v>
      </c>
      <c r="AC3752">
        <v>-0.121099999999984</v>
      </c>
      <c r="AD3752">
        <v>-7.9128999999999894E-2</v>
      </c>
      <c r="AE3752">
        <v>-0.64670000000000905</v>
      </c>
      <c r="AF3752">
        <v>0.12000742141613301</v>
      </c>
      <c r="AG3752">
        <v>-7.9128999999999894E-2</v>
      </c>
      <c r="AH3752">
        <v>0.63736023968321698</v>
      </c>
      <c r="AI3752">
        <v>96.956120571661998</v>
      </c>
      <c r="AJ3752">
        <v>79.336723387412704</v>
      </c>
      <c r="AK3752">
        <v>0.65336915672917895</v>
      </c>
      <c r="AL3752">
        <v>96.692383113553404</v>
      </c>
      <c r="AM3752">
        <v>85.354161180690497</v>
      </c>
      <c r="AN3752">
        <v>0.99999996384339496</v>
      </c>
    </row>
    <row r="3753" spans="1:40" x14ac:dyDescent="0.25">
      <c r="A3753" t="str">
        <f>"20190305135308964"</f>
        <v>20190305135308964</v>
      </c>
      <c r="B3753" t="str">
        <f>"1551765188954047"</f>
        <v>1551765188954047</v>
      </c>
      <c r="C3753" t="s">
        <v>40</v>
      </c>
      <c r="D3753">
        <v>4.8581289999999999</v>
      </c>
      <c r="E3753">
        <v>0.52106169999999996</v>
      </c>
      <c r="F3753" t="s">
        <v>41</v>
      </c>
      <c r="G3753">
        <v>-193.4058</v>
      </c>
      <c r="H3753">
        <v>1.0319579999999999</v>
      </c>
      <c r="I3753">
        <v>170.24979999999999</v>
      </c>
      <c r="J3753">
        <v>-193.28909999999999</v>
      </c>
      <c r="K3753">
        <v>1.109907</v>
      </c>
      <c r="L3753">
        <v>170.97370000000001</v>
      </c>
      <c r="M3753">
        <v>2.0801389999999999E-3</v>
      </c>
      <c r="N3753">
        <v>-1.106559E-2</v>
      </c>
      <c r="O3753">
        <v>-0.99993679999999996</v>
      </c>
      <c r="P3753">
        <v>-7.9118389999999997E-2</v>
      </c>
      <c r="Q3753">
        <v>-0.12848270000000001</v>
      </c>
      <c r="R3753">
        <v>-0.98855079999999995</v>
      </c>
      <c r="S3753">
        <v>-0.40008539999999998</v>
      </c>
      <c r="T3753">
        <v>-0.27090750000000002</v>
      </c>
      <c r="U3753">
        <v>-2.967438</v>
      </c>
      <c r="V3753">
        <v>8.1527329999999995E-2</v>
      </c>
      <c r="W3753">
        <v>-0.11729340000000001</v>
      </c>
      <c r="X3753">
        <v>0.98974519999999999</v>
      </c>
      <c r="Y3753">
        <v>0.13518350000000001</v>
      </c>
      <c r="Z3753">
        <v>7.9066460000000005E-2</v>
      </c>
      <c r="AA3753">
        <v>0.98766080000000001</v>
      </c>
      <c r="AB3753">
        <v>23</v>
      </c>
      <c r="AC3753">
        <v>-0.11670000000000801</v>
      </c>
      <c r="AD3753">
        <v>-7.7949000000000004E-2</v>
      </c>
      <c r="AE3753">
        <v>-0.72390000000001398</v>
      </c>
      <c r="AF3753">
        <v>0.116884724102488</v>
      </c>
      <c r="AG3753">
        <v>-7.7949000000000004E-2</v>
      </c>
      <c r="AH3753">
        <v>0.71556893843560299</v>
      </c>
      <c r="AI3753">
        <v>96.136191893040007</v>
      </c>
      <c r="AJ3753">
        <v>80.722941673458394</v>
      </c>
      <c r="AK3753">
        <v>0.72923041007857703</v>
      </c>
      <c r="AL3753">
        <v>96.7359225729261</v>
      </c>
      <c r="AM3753">
        <v>85.291060916019902</v>
      </c>
      <c r="AN3753">
        <v>1.00000000407176</v>
      </c>
    </row>
    <row r="3754" spans="1:40" x14ac:dyDescent="0.25">
      <c r="A3754" t="str">
        <f>"20190305135308985"</f>
        <v>20190305135308985</v>
      </c>
      <c r="B3754" t="str">
        <f>"1551765188973568"</f>
        <v>1551765188973568</v>
      </c>
      <c r="C3754" t="s">
        <v>40</v>
      </c>
      <c r="D3754">
        <v>4.8034150000000002</v>
      </c>
      <c r="E3754">
        <v>0.52128450000000004</v>
      </c>
      <c r="F3754" t="s">
        <v>41</v>
      </c>
      <c r="G3754">
        <v>-193.38749999999999</v>
      </c>
      <c r="H3754">
        <v>1.0427729999999999</v>
      </c>
      <c r="I3754">
        <v>170.2448</v>
      </c>
      <c r="J3754">
        <v>-193.2867</v>
      </c>
      <c r="K3754">
        <v>1.109864</v>
      </c>
      <c r="L3754">
        <v>170.76669999999999</v>
      </c>
      <c r="M3754">
        <v>3.7656040000000001E-3</v>
      </c>
      <c r="N3754">
        <v>-1.101186E-2</v>
      </c>
      <c r="O3754">
        <v>-0.9999325</v>
      </c>
      <c r="P3754">
        <v>-8.0311729999999998E-2</v>
      </c>
      <c r="Q3754">
        <v>-0.12809029999999999</v>
      </c>
      <c r="R3754">
        <v>-0.98850570000000004</v>
      </c>
      <c r="S3754">
        <v>-0.4000244</v>
      </c>
      <c r="T3754">
        <v>-0.27341969999999999</v>
      </c>
      <c r="U3754">
        <v>-2.9671940000000001</v>
      </c>
      <c r="V3754">
        <v>8.4375939999999996E-2</v>
      </c>
      <c r="W3754">
        <v>-0.11695460000000001</v>
      </c>
      <c r="X3754">
        <v>0.9895465</v>
      </c>
      <c r="Y3754">
        <v>0.1368336</v>
      </c>
      <c r="Z3754">
        <v>7.9944539999999994E-2</v>
      </c>
      <c r="AA3754">
        <v>0.98736290000000004</v>
      </c>
      <c r="AB3754">
        <v>23</v>
      </c>
      <c r="AC3754">
        <v>-0.10079999999999199</v>
      </c>
      <c r="AD3754">
        <v>-6.7090999999999998E-2</v>
      </c>
      <c r="AE3754">
        <v>-0.52189999999998804</v>
      </c>
      <c r="AF3754">
        <v>0.101153182186527</v>
      </c>
      <c r="AG3754">
        <v>-6.7090999999999998E-2</v>
      </c>
      <c r="AH3754">
        <v>0.51333860882786597</v>
      </c>
      <c r="AI3754">
        <v>97.307140794068999</v>
      </c>
      <c r="AJ3754">
        <v>78.852701511164</v>
      </c>
      <c r="AK3754">
        <v>0.52749378750918896</v>
      </c>
      <c r="AL3754">
        <v>96.716376415946399</v>
      </c>
      <c r="AM3754">
        <v>85.126333171522901</v>
      </c>
      <c r="AN3754">
        <v>0.99999997668714602</v>
      </c>
    </row>
    <row r="3755" spans="1:40" x14ac:dyDescent="0.25">
      <c r="A3755" t="str">
        <f>"20190305135309008"</f>
        <v>20190305135309008</v>
      </c>
      <c r="B3755" t="str">
        <f>"1551765189003824"</f>
        <v>1551765189003824</v>
      </c>
      <c r="C3755" t="s">
        <v>40</v>
      </c>
      <c r="D3755">
        <v>4.7777269999999996</v>
      </c>
      <c r="E3755">
        <v>0.52179039999999999</v>
      </c>
      <c r="F3755" t="s">
        <v>41</v>
      </c>
      <c r="G3755">
        <v>-193.38659999999999</v>
      </c>
      <c r="H3755">
        <v>1.043331</v>
      </c>
      <c r="I3755">
        <v>170.03700000000001</v>
      </c>
      <c r="J3755">
        <v>-193.2835</v>
      </c>
      <c r="K3755">
        <v>1.1098380000000001</v>
      </c>
      <c r="L3755">
        <v>170.53</v>
      </c>
      <c r="M3755">
        <v>5.6570290000000001E-3</v>
      </c>
      <c r="N3755">
        <v>-1.095514E-2</v>
      </c>
      <c r="O3755">
        <v>-0.99992429999999999</v>
      </c>
      <c r="P3755">
        <v>-8.1469249999999993E-2</v>
      </c>
      <c r="Q3755">
        <v>-0.12690860000000001</v>
      </c>
      <c r="R3755">
        <v>-0.98856350000000004</v>
      </c>
      <c r="S3755">
        <v>-0.40525820000000001</v>
      </c>
      <c r="T3755">
        <v>-0.270804299999999</v>
      </c>
      <c r="U3755">
        <v>-2.9668730000000001</v>
      </c>
      <c r="V3755">
        <v>8.7390499999999996E-2</v>
      </c>
      <c r="W3755">
        <v>-0.11582820000000001</v>
      </c>
      <c r="X3755">
        <v>0.9894174</v>
      </c>
      <c r="Y3755">
        <v>0.1404388</v>
      </c>
      <c r="Z3755">
        <v>7.9111260000000003E-2</v>
      </c>
      <c r="AA3755">
        <v>0.98692369999999996</v>
      </c>
      <c r="AB3755">
        <v>23</v>
      </c>
      <c r="AC3755">
        <v>-0.103099999999983</v>
      </c>
      <c r="AD3755">
        <v>-6.6506999999999802E-2</v>
      </c>
      <c r="AE3755">
        <v>-0.492999999999995</v>
      </c>
      <c r="AF3755">
        <v>0.10407280177507799</v>
      </c>
      <c r="AG3755">
        <v>-6.6506999999999802E-2</v>
      </c>
      <c r="AH3755">
        <v>0.48397025282099698</v>
      </c>
      <c r="AI3755">
        <v>97.651780714486193</v>
      </c>
      <c r="AJ3755">
        <v>77.863947537560904</v>
      </c>
      <c r="AK3755">
        <v>0.49948126564860701</v>
      </c>
      <c r="AL3755">
        <v>96.651396440281999</v>
      </c>
      <c r="AM3755">
        <v>84.952436948726202</v>
      </c>
      <c r="AN3755">
        <v>1.00000003141412</v>
      </c>
    </row>
    <row r="3756" spans="1:40" x14ac:dyDescent="0.25">
      <c r="A3756" t="str">
        <f>"20190305135309021"</f>
        <v>20190305135309021</v>
      </c>
      <c r="B3756" t="str">
        <f>"1551765189013584"</f>
        <v>1551765189013584</v>
      </c>
      <c r="C3756" t="s">
        <v>40</v>
      </c>
      <c r="D3756">
        <v>4.7698619999999998</v>
      </c>
      <c r="E3756">
        <v>0.52189019999999997</v>
      </c>
      <c r="F3756" t="s">
        <v>41</v>
      </c>
      <c r="G3756">
        <v>-193.40940000000001</v>
      </c>
      <c r="H3756">
        <v>1.029649</v>
      </c>
      <c r="I3756">
        <v>169.62719999999999</v>
      </c>
      <c r="J3756">
        <v>-193.28149999999999</v>
      </c>
      <c r="K3756">
        <v>1.1098220000000001</v>
      </c>
      <c r="L3756">
        <v>170.39150000000001</v>
      </c>
      <c r="M3756">
        <v>6.7487629999999996E-3</v>
      </c>
      <c r="N3756">
        <v>-1.0923810000000001E-2</v>
      </c>
      <c r="O3756">
        <v>-0.99991770000000002</v>
      </c>
      <c r="P3756">
        <v>-8.2027390000000006E-2</v>
      </c>
      <c r="Q3756">
        <v>-0.12594449999999999</v>
      </c>
      <c r="R3756">
        <v>-0.98864030000000003</v>
      </c>
      <c r="S3756">
        <v>-0.41281129999999999</v>
      </c>
      <c r="T3756">
        <v>-0.263739</v>
      </c>
      <c r="U3756">
        <v>-2.9667970000000001</v>
      </c>
      <c r="V3756">
        <v>8.9020520000000006E-2</v>
      </c>
      <c r="W3756">
        <v>-0.11489439999999999</v>
      </c>
      <c r="X3756">
        <v>0.98938099999999995</v>
      </c>
      <c r="Y3756">
        <v>0.14401320000000001</v>
      </c>
      <c r="Z3756">
        <v>7.6772649999999998E-2</v>
      </c>
      <c r="AA3756">
        <v>0.98659319999999895</v>
      </c>
      <c r="AB3756">
        <v>23</v>
      </c>
      <c r="AC3756">
        <v>-0.127900000000011</v>
      </c>
      <c r="AD3756">
        <v>-8.01729999999998E-2</v>
      </c>
      <c r="AE3756">
        <v>-0.76430000000001996</v>
      </c>
      <c r="AF3756">
        <v>0.13164637032801399</v>
      </c>
      <c r="AG3756">
        <v>-8.01729999999998E-2</v>
      </c>
      <c r="AH3756">
        <v>0.75533450033719496</v>
      </c>
      <c r="AI3756">
        <v>95.969501066198902</v>
      </c>
      <c r="AJ3756">
        <v>80.113295209123606</v>
      </c>
      <c r="AK3756">
        <v>0.77090121555824598</v>
      </c>
      <c r="AL3756">
        <v>96.597533780590496</v>
      </c>
      <c r="AM3756">
        <v>84.858600922811803</v>
      </c>
      <c r="AN3756">
        <v>1.00000006964671</v>
      </c>
    </row>
    <row r="3757" spans="1:40" x14ac:dyDescent="0.25">
      <c r="A3757" t="str">
        <f>"20190305135309035"</f>
        <v>20190305135309035</v>
      </c>
      <c r="B3757" t="str">
        <f>"1551765189023345"</f>
        <v>1551765189023345</v>
      </c>
      <c r="C3757" t="s">
        <v>40</v>
      </c>
      <c r="D3757">
        <v>4.7910320000000004</v>
      </c>
      <c r="E3757">
        <v>0.52201830000000005</v>
      </c>
      <c r="F3757" t="s">
        <v>41</v>
      </c>
      <c r="G3757">
        <v>-193.3896</v>
      </c>
      <c r="H3757">
        <v>1.042297</v>
      </c>
      <c r="I3757">
        <v>169.62090000000001</v>
      </c>
      <c r="J3757">
        <v>-193.27930000000001</v>
      </c>
      <c r="K3757">
        <v>1.1098079999999999</v>
      </c>
      <c r="L3757">
        <v>170.25389999999999</v>
      </c>
      <c r="M3757">
        <v>7.8263659999999995E-3</v>
      </c>
      <c r="N3757">
        <v>-1.089442E-2</v>
      </c>
      <c r="O3757">
        <v>-0.99991019999999997</v>
      </c>
      <c r="P3757">
        <v>-8.2828299999999994E-2</v>
      </c>
      <c r="Q3757">
        <v>-0.12528829999999999</v>
      </c>
      <c r="R3757">
        <v>-0.98865709999999996</v>
      </c>
      <c r="S3757">
        <v>-0.41508479999999998</v>
      </c>
      <c r="T3757">
        <v>-0.26025809999999999</v>
      </c>
      <c r="U3757">
        <v>-2.966888</v>
      </c>
      <c r="V3757">
        <v>9.0880359999999993E-2</v>
      </c>
      <c r="W3757">
        <v>-0.1142664</v>
      </c>
      <c r="X3757">
        <v>0.98928459999999996</v>
      </c>
      <c r="Y3757">
        <v>0.14582909999999999</v>
      </c>
      <c r="Z3757">
        <v>7.5632130000000006E-2</v>
      </c>
      <c r="AA3757">
        <v>0.98641460000000003</v>
      </c>
      <c r="AB3757">
        <v>23</v>
      </c>
      <c r="AC3757">
        <v>-0.110299999999995</v>
      </c>
      <c r="AD3757">
        <v>-6.7510999999999793E-2</v>
      </c>
      <c r="AE3757">
        <v>-0.63299999999998102</v>
      </c>
      <c r="AF3757">
        <v>0.113992577383425</v>
      </c>
      <c r="AG3757">
        <v>-6.7510999999999793E-2</v>
      </c>
      <c r="AH3757">
        <v>0.62521521617811404</v>
      </c>
      <c r="AI3757">
        <v>96.063743355813202</v>
      </c>
      <c r="AJ3757">
        <v>79.667027831196805</v>
      </c>
      <c r="AK3757">
        <v>0.63909788715044402</v>
      </c>
      <c r="AL3757">
        <v>96.561313714302102</v>
      </c>
      <c r="AM3757">
        <v>84.751270658098093</v>
      </c>
      <c r="AN3757">
        <v>1.0000000348999201</v>
      </c>
    </row>
    <row r="3758" spans="1:40" x14ac:dyDescent="0.25">
      <c r="A3758" t="str">
        <f>"20190305135309053"</f>
        <v>20190305135309053</v>
      </c>
      <c r="B3758" t="str">
        <f>"1551765189043840"</f>
        <v>1551765189043840</v>
      </c>
      <c r="C3758" t="s">
        <v>40</v>
      </c>
      <c r="D3758">
        <v>4.7875610000000002</v>
      </c>
      <c r="E3758">
        <v>0.52222559999999996</v>
      </c>
      <c r="F3758" t="s">
        <v>41</v>
      </c>
      <c r="G3758">
        <v>-193.39769999999999</v>
      </c>
      <c r="H3758">
        <v>1.037061</v>
      </c>
      <c r="I3758">
        <v>169.4153</v>
      </c>
      <c r="J3758">
        <v>-193.27610000000001</v>
      </c>
      <c r="K3758">
        <v>1.109791</v>
      </c>
      <c r="L3758">
        <v>170.0565</v>
      </c>
      <c r="M3758">
        <v>9.35362E-3</v>
      </c>
      <c r="N3758">
        <v>-1.0855129999999999E-2</v>
      </c>
      <c r="O3758">
        <v>-0.99989740000000005</v>
      </c>
      <c r="P3758">
        <v>-8.531764E-2</v>
      </c>
      <c r="Q3758">
        <v>-0.1238831</v>
      </c>
      <c r="R3758">
        <v>-0.98862240000000001</v>
      </c>
      <c r="S3758">
        <v>-0.41845700000000002</v>
      </c>
      <c r="T3758">
        <v>-0.25743070000000001</v>
      </c>
      <c r="U3758">
        <v>-2.966736</v>
      </c>
      <c r="V3758">
        <v>9.4868330000000001E-2</v>
      </c>
      <c r="W3758">
        <v>-0.1128963</v>
      </c>
      <c r="X3758">
        <v>0.98906740000000004</v>
      </c>
      <c r="Y3758">
        <v>0.14845529999999901</v>
      </c>
      <c r="Z3758">
        <v>7.4715729999999994E-2</v>
      </c>
      <c r="AA3758">
        <v>0.98609259999999999</v>
      </c>
      <c r="AB3758">
        <v>23</v>
      </c>
      <c r="AC3758">
        <v>-0.12159999999997199</v>
      </c>
      <c r="AD3758">
        <v>-7.2729999999999906E-2</v>
      </c>
      <c r="AE3758">
        <v>-0.64119999999999699</v>
      </c>
      <c r="AF3758">
        <v>0.12602740918531299</v>
      </c>
      <c r="AG3758">
        <v>-7.2729999999999906E-2</v>
      </c>
      <c r="AH3758">
        <v>0.63218324339184295</v>
      </c>
      <c r="AI3758">
        <v>96.437212379991195</v>
      </c>
      <c r="AJ3758">
        <v>78.725735452479498</v>
      </c>
      <c r="AK3758">
        <v>0.64871273611005398</v>
      </c>
      <c r="AL3758">
        <v>96.482302015653701</v>
      </c>
      <c r="AM3758">
        <v>84.521124459605403</v>
      </c>
      <c r="AN3758">
        <v>0.999999948166718</v>
      </c>
    </row>
    <row r="3759" spans="1:40" x14ac:dyDescent="0.25">
      <c r="A3759" t="str">
        <f>"20190305135309074"</f>
        <v>20190305135309074</v>
      </c>
      <c r="B3759" t="str">
        <f>"1551765189063359"</f>
        <v>1551765189063359</v>
      </c>
      <c r="C3759" t="s">
        <v>40</v>
      </c>
      <c r="D3759">
        <v>4.7493540000000003</v>
      </c>
      <c r="E3759">
        <v>0.52246610000000004</v>
      </c>
      <c r="F3759" t="s">
        <v>41</v>
      </c>
      <c r="G3759">
        <v>-193.399</v>
      </c>
      <c r="H3759">
        <v>1.0379160000000001</v>
      </c>
      <c r="I3759">
        <v>169.20509999999999</v>
      </c>
      <c r="J3759">
        <v>-193.27209999999999</v>
      </c>
      <c r="K3759">
        <v>1.109761</v>
      </c>
      <c r="L3759">
        <v>169.8408</v>
      </c>
      <c r="M3759">
        <v>1.098354E-2</v>
      </c>
      <c r="N3759">
        <v>-1.081644E-2</v>
      </c>
      <c r="O3759">
        <v>-0.99988129999999997</v>
      </c>
      <c r="P3759">
        <v>-8.7532540000000006E-2</v>
      </c>
      <c r="Q3759">
        <v>-0.1229558</v>
      </c>
      <c r="R3759">
        <v>-0.98854439999999999</v>
      </c>
      <c r="S3759">
        <v>-0.4276276</v>
      </c>
      <c r="T3759">
        <v>-0.25065929999999997</v>
      </c>
      <c r="U3759">
        <v>-2.966202</v>
      </c>
      <c r="V3759">
        <v>9.8681900000000003E-2</v>
      </c>
      <c r="W3759">
        <v>-0.1120068</v>
      </c>
      <c r="X3759">
        <v>0.98879539999999999</v>
      </c>
      <c r="Y3759">
        <v>0.15310119999999999</v>
      </c>
      <c r="Z3759">
        <v>7.2481920000000005E-2</v>
      </c>
      <c r="AA3759">
        <v>0.9855488</v>
      </c>
      <c r="AB3759">
        <v>23</v>
      </c>
      <c r="AC3759">
        <v>-0.12690000000000601</v>
      </c>
      <c r="AD3759">
        <v>-7.1844999999999895E-2</v>
      </c>
      <c r="AE3759">
        <v>-0.63570000000001403</v>
      </c>
      <c r="AF3759">
        <v>0.132250503483377</v>
      </c>
      <c r="AG3759">
        <v>-7.1844999999999895E-2</v>
      </c>
      <c r="AH3759">
        <v>0.62657133504765805</v>
      </c>
      <c r="AI3759">
        <v>96.401350726602004</v>
      </c>
      <c r="AJ3759">
        <v>78.081508435650903</v>
      </c>
      <c r="AK3759">
        <v>0.64439393044938897</v>
      </c>
      <c r="AL3759">
        <v>96.431011811981506</v>
      </c>
      <c r="AM3759">
        <v>84.300745953890598</v>
      </c>
      <c r="AN3759">
        <v>0.99999999184750499</v>
      </c>
    </row>
    <row r="3760" spans="1:40" x14ac:dyDescent="0.25">
      <c r="A3760" t="str">
        <f>"20190305135309088"</f>
        <v>20190305135309088</v>
      </c>
      <c r="B3760" t="str">
        <f>"1551765189083856"</f>
        <v>1551765189083856</v>
      </c>
      <c r="C3760" t="s">
        <v>40</v>
      </c>
      <c r="D3760">
        <v>4.7768459999999999</v>
      </c>
      <c r="E3760">
        <v>0.52271309999999904</v>
      </c>
      <c r="F3760" t="s">
        <v>41</v>
      </c>
      <c r="G3760">
        <v>-193.39670000000001</v>
      </c>
      <c r="H3760">
        <v>1.039479</v>
      </c>
      <c r="I3760">
        <v>168.99449999999999</v>
      </c>
      <c r="J3760">
        <v>-193.26939999999999</v>
      </c>
      <c r="K3760">
        <v>1.109739</v>
      </c>
      <c r="L3760">
        <v>169.69759999999999</v>
      </c>
      <c r="M3760">
        <v>1.203985E-2</v>
      </c>
      <c r="N3760">
        <v>-1.0792690000000001E-2</v>
      </c>
      <c r="O3760">
        <v>-0.99986940000000002</v>
      </c>
      <c r="P3760">
        <v>-8.8250800000000004E-2</v>
      </c>
      <c r="Q3760">
        <v>-0.122502</v>
      </c>
      <c r="R3760">
        <v>-0.98853709999999995</v>
      </c>
      <c r="S3760">
        <v>-0.43600460000000002</v>
      </c>
      <c r="T3760">
        <v>-0.24638119999999999</v>
      </c>
      <c r="U3760">
        <v>-2.9655300000000002</v>
      </c>
      <c r="V3760">
        <v>0.1004356</v>
      </c>
      <c r="W3760">
        <v>-0.111579</v>
      </c>
      <c r="X3760">
        <v>0.98866719999999997</v>
      </c>
      <c r="Y3760">
        <v>0.1569159</v>
      </c>
      <c r="Z3760">
        <v>7.1067469999999994E-2</v>
      </c>
      <c r="AA3760">
        <v>0.98505169999999997</v>
      </c>
      <c r="AB3760">
        <v>23</v>
      </c>
      <c r="AC3760">
        <v>-0.12730000000001901</v>
      </c>
      <c r="AD3760">
        <v>-7.0259999999999906E-2</v>
      </c>
      <c r="AE3760">
        <v>-0.70310000000000605</v>
      </c>
      <c r="AF3760">
        <v>0.134456446254512</v>
      </c>
      <c r="AG3760">
        <v>-7.0259999999999906E-2</v>
      </c>
      <c r="AH3760">
        <v>0.694798384079093</v>
      </c>
      <c r="AI3760">
        <v>95.669798906656894</v>
      </c>
      <c r="AJ3760">
        <v>79.047579578979395</v>
      </c>
      <c r="AK3760">
        <v>0.71116791129684098</v>
      </c>
      <c r="AL3760">
        <v>96.406345958704406</v>
      </c>
      <c r="AM3760">
        <v>84.199400694327494</v>
      </c>
      <c r="AN3760">
        <v>1.0000000076721001</v>
      </c>
    </row>
    <row r="3761" spans="1:40" x14ac:dyDescent="0.25">
      <c r="A3761" t="str">
        <f>"20190305135309102"</f>
        <v>20190305135309102</v>
      </c>
      <c r="B3761" t="str">
        <f>"1551765189093616"</f>
        <v>1551765189093616</v>
      </c>
      <c r="C3761" t="s">
        <v>40</v>
      </c>
      <c r="D3761">
        <v>5.0857859999999997</v>
      </c>
      <c r="E3761">
        <v>0.52278549999999901</v>
      </c>
      <c r="F3761" t="s">
        <v>41</v>
      </c>
      <c r="G3761">
        <v>-193.40469999999999</v>
      </c>
      <c r="H3761">
        <v>1.034942</v>
      </c>
      <c r="I3761">
        <v>168.78710000000001</v>
      </c>
      <c r="J3761">
        <v>-193.2663</v>
      </c>
      <c r="K3761">
        <v>1.109707</v>
      </c>
      <c r="L3761">
        <v>169.5444</v>
      </c>
      <c r="M3761">
        <v>1.313099E-2</v>
      </c>
      <c r="N3761">
        <v>-1.0769300000000001E-2</v>
      </c>
      <c r="O3761">
        <v>-0.99985590000000002</v>
      </c>
      <c r="P3761">
        <v>-8.8799039999999996E-2</v>
      </c>
      <c r="Q3761">
        <v>-0.1220276</v>
      </c>
      <c r="R3761">
        <v>-0.9885467</v>
      </c>
      <c r="S3761">
        <v>-0.43991089999999999</v>
      </c>
      <c r="T3761">
        <v>-0.24379609999999999</v>
      </c>
      <c r="U3761">
        <v>-2.9653170000000002</v>
      </c>
      <c r="V3761">
        <v>0.1020513</v>
      </c>
      <c r="W3761">
        <v>-0.111133</v>
      </c>
      <c r="X3761">
        <v>0.98855199999999999</v>
      </c>
      <c r="Y3761">
        <v>0.1592818</v>
      </c>
      <c r="Z3761">
        <v>7.0217160000000001E-2</v>
      </c>
      <c r="AA3761">
        <v>0.98473290000000002</v>
      </c>
      <c r="AB3761">
        <v>23</v>
      </c>
      <c r="AC3761">
        <v>-0.13839999999999</v>
      </c>
      <c r="AD3761">
        <v>-7.4764999999999901E-2</v>
      </c>
      <c r="AE3761">
        <v>-0.75729999999998598</v>
      </c>
      <c r="AF3761">
        <v>0.14694677439567499</v>
      </c>
      <c r="AG3761">
        <v>-7.4764999999999901E-2</v>
      </c>
      <c r="AH3761">
        <v>0.74835892743020604</v>
      </c>
      <c r="AI3761">
        <v>95.598999249219702</v>
      </c>
      <c r="AJ3761">
        <v>78.890814990509696</v>
      </c>
      <c r="AK3761">
        <v>0.76630558134127003</v>
      </c>
      <c r="AL3761">
        <v>96.380631946423506</v>
      </c>
      <c r="AM3761">
        <v>84.106056566101998</v>
      </c>
      <c r="AN3761">
        <v>1.0000000341123401</v>
      </c>
    </row>
    <row r="3762" spans="1:40" x14ac:dyDescent="0.25">
      <c r="A3762" t="str">
        <f>"20190305135309120"</f>
        <v>20190305135309120</v>
      </c>
      <c r="B3762" t="str">
        <f>"1551765189113136"</f>
        <v>1551765189113136</v>
      </c>
      <c r="C3762" t="s">
        <v>40</v>
      </c>
      <c r="D3762">
        <v>5.9573980000000004</v>
      </c>
      <c r="E3762">
        <v>0.56561209999999995</v>
      </c>
      <c r="F3762" t="s">
        <v>41</v>
      </c>
      <c r="G3762">
        <v>-193.38079999999999</v>
      </c>
      <c r="H3762">
        <v>1.0473809999999999</v>
      </c>
      <c r="I3762">
        <v>168.7782</v>
      </c>
      <c r="J3762">
        <v>-193.26240000000001</v>
      </c>
      <c r="K3762">
        <v>1.1096539999999999</v>
      </c>
      <c r="L3762">
        <v>169.3596</v>
      </c>
      <c r="M3762">
        <v>1.4374039999999999E-2</v>
      </c>
      <c r="N3762">
        <v>-1.0743290000000001E-2</v>
      </c>
      <c r="O3762">
        <v>-0.99983909999999998</v>
      </c>
      <c r="P3762">
        <v>-9.1351109999999999E-2</v>
      </c>
      <c r="Q3762">
        <v>-0.1210644</v>
      </c>
      <c r="R3762">
        <v>-0.98843230000000004</v>
      </c>
      <c r="S3762">
        <v>-0.44200129999999999</v>
      </c>
      <c r="T3762">
        <v>-0.2414317</v>
      </c>
      <c r="U3762">
        <v>-2.9652250000000002</v>
      </c>
      <c r="V3762">
        <v>0.10581160000000001</v>
      </c>
      <c r="W3762">
        <v>-0.1102032</v>
      </c>
      <c r="X3762">
        <v>0.98826069999999999</v>
      </c>
      <c r="Y3762">
        <v>0.16120029999999999</v>
      </c>
      <c r="Z3762">
        <v>6.9445049999999994E-2</v>
      </c>
      <c r="AA3762">
        <v>0.9844754</v>
      </c>
      <c r="AB3762">
        <v>23</v>
      </c>
      <c r="AC3762">
        <v>-0.11839999999997899</v>
      </c>
      <c r="AD3762">
        <v>-6.2273000000000203E-2</v>
      </c>
      <c r="AE3762">
        <v>-0.58140000000000203</v>
      </c>
      <c r="AF3762">
        <v>0.125364370427371</v>
      </c>
      <c r="AG3762">
        <v>-6.2273000000000203E-2</v>
      </c>
      <c r="AH3762">
        <v>0.57332254115746495</v>
      </c>
      <c r="AI3762">
        <v>96.057024644764596</v>
      </c>
      <c r="AJ3762">
        <v>77.665675284532398</v>
      </c>
      <c r="AK3762">
        <v>0.59016344185395297</v>
      </c>
      <c r="AL3762">
        <v>96.327029124752002</v>
      </c>
      <c r="AM3762">
        <v>83.888707935574402</v>
      </c>
      <c r="AN3762">
        <v>1.00000002557464</v>
      </c>
    </row>
    <row r="3763" spans="1:40" x14ac:dyDescent="0.25">
      <c r="A3763" t="str">
        <f>"20190305135309134"</f>
        <v>20190305135309134</v>
      </c>
      <c r="B3763" t="str">
        <f>"1551765189123873"</f>
        <v>1551765189123873</v>
      </c>
      <c r="C3763" t="s">
        <v>40</v>
      </c>
      <c r="D3763">
        <v>4.9441389999999998</v>
      </c>
      <c r="E3763">
        <v>0.57413749999999997</v>
      </c>
      <c r="F3763" t="s">
        <v>78</v>
      </c>
      <c r="G3763">
        <v>-199.74</v>
      </c>
      <c r="H3763" s="1">
        <v>-1.10714E-5</v>
      </c>
      <c r="I3763">
        <v>145.04920000000001</v>
      </c>
      <c r="J3763">
        <v>-193.2594</v>
      </c>
      <c r="K3763">
        <v>1.10959599999999</v>
      </c>
      <c r="L3763">
        <v>169.21549999999999</v>
      </c>
      <c r="M3763">
        <v>1.526488E-2</v>
      </c>
      <c r="N3763">
        <v>-1.072447E-2</v>
      </c>
      <c r="O3763">
        <v>-0.99982610000000005</v>
      </c>
      <c r="P3763">
        <v>-9.1927419999999996E-2</v>
      </c>
      <c r="Q3763">
        <v>-0.1206656</v>
      </c>
      <c r="R3763">
        <v>-0.98842779999999997</v>
      </c>
      <c r="S3763">
        <v>-0.78498840000000003</v>
      </c>
      <c r="T3763">
        <v>-0.13447539999999999</v>
      </c>
      <c r="U3763">
        <v>-2.946075</v>
      </c>
      <c r="V3763">
        <v>0.1072499</v>
      </c>
      <c r="W3763">
        <v>-0.1098367</v>
      </c>
      <c r="X3763">
        <v>0.98814639999999998</v>
      </c>
      <c r="Y3763">
        <v>0.27196920000000002</v>
      </c>
      <c r="Z3763">
        <v>3.3227769999999997E-2</v>
      </c>
      <c r="AA3763">
        <v>0.96173209999999998</v>
      </c>
      <c r="AB3763">
        <v>23</v>
      </c>
      <c r="AC3763">
        <v>-6.4806000000000097</v>
      </c>
      <c r="AD3763">
        <v>-1.1096070713999899</v>
      </c>
      <c r="AE3763">
        <v>-24.1662999999999</v>
      </c>
      <c r="AF3763">
        <v>6.8353180157541704</v>
      </c>
      <c r="AG3763">
        <v>-1.1096070713999899</v>
      </c>
      <c r="AH3763">
        <v>24.017315621651999</v>
      </c>
      <c r="AI3763">
        <v>92.544307246958297</v>
      </c>
      <c r="AJ3763">
        <v>74.113669011230698</v>
      </c>
      <c r="AK3763">
        <v>24.995684625539699</v>
      </c>
      <c r="AL3763">
        <v>96.305902288652703</v>
      </c>
      <c r="AM3763">
        <v>83.805567487835404</v>
      </c>
      <c r="AN3763">
        <v>0.99999997477492897</v>
      </c>
    </row>
    <row r="3764" spans="1:40" x14ac:dyDescent="0.25">
      <c r="A3764" t="str">
        <f>"20190305135309153"</f>
        <v>20190305135309153</v>
      </c>
      <c r="B3764" t="str">
        <f>"1551765189143392"</f>
        <v>1551765189143392</v>
      </c>
      <c r="C3764" t="s">
        <v>40</v>
      </c>
      <c r="D3764">
        <v>4.9303379999999999</v>
      </c>
      <c r="E3764">
        <v>0.58141129999999996</v>
      </c>
      <c r="F3764" t="s">
        <v>78</v>
      </c>
      <c r="G3764">
        <v>-199.53280000000001</v>
      </c>
      <c r="H3764" s="1">
        <v>-1.1822500000000001E-5</v>
      </c>
      <c r="I3764">
        <v>147.6739</v>
      </c>
      <c r="J3764">
        <v>-193.255</v>
      </c>
      <c r="K3764">
        <v>1.1094850000000001</v>
      </c>
      <c r="L3764">
        <v>169.01499999999999</v>
      </c>
      <c r="M3764">
        <v>1.6372640000000001E-2</v>
      </c>
      <c r="N3764">
        <v>-1.070021E-2</v>
      </c>
      <c r="O3764">
        <v>-0.99980880000000005</v>
      </c>
      <c r="P3764">
        <v>-9.6388550000000003E-2</v>
      </c>
      <c r="Q3764">
        <v>-0.1197522</v>
      </c>
      <c r="R3764">
        <v>-0.98811389999999999</v>
      </c>
      <c r="S3764">
        <v>-0.85536190000000001</v>
      </c>
      <c r="T3764">
        <v>-0.15129100000000001</v>
      </c>
      <c r="U3764">
        <v>-2.937119</v>
      </c>
      <c r="V3764">
        <v>0.11276700000000001</v>
      </c>
      <c r="W3764">
        <v>-0.1089712</v>
      </c>
      <c r="X3764">
        <v>0.9876279</v>
      </c>
      <c r="Y3764">
        <v>0.29499069999999999</v>
      </c>
      <c r="Z3764">
        <v>3.8551929999999998E-2</v>
      </c>
      <c r="AA3764">
        <v>0.95472199999999996</v>
      </c>
      <c r="AB3764">
        <v>23</v>
      </c>
      <c r="AC3764">
        <v>-6.2778000000000098</v>
      </c>
      <c r="AD3764">
        <v>-1.1094968224999999</v>
      </c>
      <c r="AE3764">
        <v>-21.341099999999901</v>
      </c>
      <c r="AF3764">
        <v>6.6099458261706401</v>
      </c>
      <c r="AG3764">
        <v>-1.1094968224999999</v>
      </c>
      <c r="AH3764">
        <v>21.1827554376056</v>
      </c>
      <c r="AI3764">
        <v>92.862384240301196</v>
      </c>
      <c r="AJ3764">
        <v>72.669795444274399</v>
      </c>
      <c r="AK3764">
        <v>22.217819311387402</v>
      </c>
      <c r="AL3764">
        <v>96.256013204277593</v>
      </c>
      <c r="AM3764">
        <v>83.486197461245794</v>
      </c>
      <c r="AN3764">
        <v>0.99999999378842497</v>
      </c>
    </row>
    <row r="3765" spans="1:40" x14ac:dyDescent="0.25">
      <c r="A3765" t="str">
        <f>"20190305135309175"</f>
        <v>20190305135309175</v>
      </c>
      <c r="B3765" t="str">
        <f>"1551765189163888"</f>
        <v>1551765189163888</v>
      </c>
      <c r="C3765" t="s">
        <v>40</v>
      </c>
      <c r="D3765">
        <v>5.2381000000000002</v>
      </c>
      <c r="E3765">
        <v>0.58362219999999998</v>
      </c>
      <c r="F3765" t="s">
        <v>78</v>
      </c>
      <c r="G3765">
        <v>-199.25989999999999</v>
      </c>
      <c r="H3765" s="1">
        <v>-1.251479E-5</v>
      </c>
      <c r="I3765">
        <v>150.0746</v>
      </c>
      <c r="J3765">
        <v>-193.25</v>
      </c>
      <c r="K3765">
        <v>1.1093230000000001</v>
      </c>
      <c r="L3765">
        <v>168.78909999999999</v>
      </c>
      <c r="M3765">
        <v>1.739483E-2</v>
      </c>
      <c r="N3765">
        <v>-1.0675830000000001E-2</v>
      </c>
      <c r="O3765">
        <v>-0.99979200000000001</v>
      </c>
      <c r="P3765">
        <v>-9.9036219999999994E-2</v>
      </c>
      <c r="Q3765">
        <v>-0.120339</v>
      </c>
      <c r="R3765">
        <v>-0.98778089999999996</v>
      </c>
      <c r="S3765">
        <v>-0.92730710000000005</v>
      </c>
      <c r="T3765">
        <v>-0.1713336</v>
      </c>
      <c r="U3765">
        <v>-2.9248660000000002</v>
      </c>
      <c r="V3765">
        <v>0.1163747</v>
      </c>
      <c r="W3765">
        <v>-0.1096263</v>
      </c>
      <c r="X3765">
        <v>0.98713680000000004</v>
      </c>
      <c r="Y3765">
        <v>0.31833830000000002</v>
      </c>
      <c r="Z3765">
        <v>4.4894740000000002E-2</v>
      </c>
      <c r="AA3765">
        <v>0.94691349999999996</v>
      </c>
      <c r="AB3765">
        <v>23</v>
      </c>
      <c r="AC3765">
        <v>-6.0098999999999796</v>
      </c>
      <c r="AD3765">
        <v>-1.1093355147899999</v>
      </c>
      <c r="AE3765">
        <v>-18.714499999999902</v>
      </c>
      <c r="AF3765">
        <v>6.3144315573457499</v>
      </c>
      <c r="AG3765">
        <v>-1.1093355147899999</v>
      </c>
      <c r="AH3765">
        <v>18.548040909934301</v>
      </c>
      <c r="AI3765">
        <v>93.240500002662699</v>
      </c>
      <c r="AJ3765">
        <v>71.199547729342299</v>
      </c>
      <c r="AK3765">
        <v>19.624792808418999</v>
      </c>
      <c r="AL3765">
        <v>96.293773673086505</v>
      </c>
      <c r="AM3765">
        <v>83.276368689921597</v>
      </c>
      <c r="AN3765">
        <v>1.000000029183</v>
      </c>
    </row>
    <row r="3766" spans="1:40" x14ac:dyDescent="0.25">
      <c r="A3766" t="str">
        <f>"20190305135309198"</f>
        <v>20190305135309198</v>
      </c>
      <c r="B3766" t="str">
        <f>"1551765189193168"</f>
        <v>1551765189193168</v>
      </c>
      <c r="C3766" t="s">
        <v>40</v>
      </c>
      <c r="D3766">
        <v>4.9273099999999896</v>
      </c>
      <c r="E3766">
        <v>0.58501599999999998</v>
      </c>
      <c r="F3766" t="s">
        <v>78</v>
      </c>
      <c r="G3766">
        <v>-199.32589999999999</v>
      </c>
      <c r="H3766" s="1">
        <v>-1.2542500000000001E-5</v>
      </c>
      <c r="I3766">
        <v>150.16149999999999</v>
      </c>
      <c r="J3766">
        <v>-193.24469999999999</v>
      </c>
      <c r="K3766">
        <v>1.1091230000000001</v>
      </c>
      <c r="L3766">
        <v>168.5506</v>
      </c>
      <c r="M3766">
        <v>1.8184390000000002E-2</v>
      </c>
      <c r="N3766">
        <v>-1.0653589999999999E-2</v>
      </c>
      <c r="O3766">
        <v>-0.99977800000000006</v>
      </c>
      <c r="P3766">
        <v>-0.1014284</v>
      </c>
      <c r="Q3766">
        <v>-0.120021</v>
      </c>
      <c r="R3766">
        <v>-0.98757649999999997</v>
      </c>
      <c r="S3766">
        <v>-0.95259090000000002</v>
      </c>
      <c r="T3766">
        <v>-0.1739211</v>
      </c>
      <c r="U3766">
        <v>-2.9204249999999998</v>
      </c>
      <c r="V3766">
        <v>0.1194875</v>
      </c>
      <c r="W3766">
        <v>-0.1093874</v>
      </c>
      <c r="X3766">
        <v>0.98679130000000004</v>
      </c>
      <c r="Y3766">
        <v>0.32690150000000001</v>
      </c>
      <c r="Z3766">
        <v>4.5674960000000001E-2</v>
      </c>
      <c r="AA3766">
        <v>0.94395410000000002</v>
      </c>
      <c r="AB3766">
        <v>23</v>
      </c>
      <c r="AC3766">
        <v>-6.0811999999999902</v>
      </c>
      <c r="AD3766">
        <v>-1.10913554249999</v>
      </c>
      <c r="AE3766">
        <v>-18.389099999999999</v>
      </c>
      <c r="AF3766">
        <v>6.3936414551302301</v>
      </c>
      <c r="AG3766">
        <v>-1.10913554249999</v>
      </c>
      <c r="AH3766">
        <v>18.215735709764601</v>
      </c>
      <c r="AI3766">
        <v>93.288177467881596</v>
      </c>
      <c r="AJ3766">
        <v>70.659155707417298</v>
      </c>
      <c r="AK3766">
        <v>19.337059242718102</v>
      </c>
      <c r="AL3766">
        <v>96.280003281586602</v>
      </c>
      <c r="AM3766">
        <v>83.095843716704906</v>
      </c>
      <c r="AN3766">
        <v>0.99999996784534895</v>
      </c>
    </row>
    <row r="3767" spans="1:40" x14ac:dyDescent="0.25">
      <c r="A3767" t="str">
        <f>"20190305135309220"</f>
        <v>20190305135309220</v>
      </c>
      <c r="B3767" t="str">
        <f>"1551765189213663"</f>
        <v>1551765189213663</v>
      </c>
      <c r="C3767" t="s">
        <v>40</v>
      </c>
      <c r="D3767">
        <v>4.8674879999999998</v>
      </c>
      <c r="E3767">
        <v>0.58517519999999901</v>
      </c>
      <c r="F3767" t="s">
        <v>78</v>
      </c>
      <c r="G3767">
        <v>-199.4093</v>
      </c>
      <c r="H3767" s="1">
        <v>-1.251568E-5</v>
      </c>
      <c r="I3767">
        <v>150.02549999999999</v>
      </c>
      <c r="J3767">
        <v>-193.2397</v>
      </c>
      <c r="K3767">
        <v>1.108908</v>
      </c>
      <c r="L3767">
        <v>168.31120000000001</v>
      </c>
      <c r="M3767">
        <v>1.8649349999999999E-2</v>
      </c>
      <c r="N3767">
        <v>-1.063447E-2</v>
      </c>
      <c r="O3767">
        <v>-0.99976980000000004</v>
      </c>
      <c r="P3767">
        <v>-0.103733199999999</v>
      </c>
      <c r="Q3767">
        <v>-0.11914</v>
      </c>
      <c r="R3767">
        <v>-0.98744430000000005</v>
      </c>
      <c r="S3767">
        <v>-0.97062680000000001</v>
      </c>
      <c r="T3767">
        <v>-0.17463679999999901</v>
      </c>
      <c r="U3767">
        <v>-2.9168400000000001</v>
      </c>
      <c r="V3767">
        <v>0.1221892</v>
      </c>
      <c r="W3767">
        <v>-0.1085897</v>
      </c>
      <c r="X3767">
        <v>0.9865486</v>
      </c>
      <c r="Y3767">
        <v>0.3329356</v>
      </c>
      <c r="Z3767">
        <v>4.5874529999999997E-2</v>
      </c>
      <c r="AA3767">
        <v>0.94183300000000003</v>
      </c>
      <c r="AB3767">
        <v>24</v>
      </c>
      <c r="AC3767">
        <v>-6.1696</v>
      </c>
      <c r="AD3767">
        <v>-1.1089205156799999</v>
      </c>
      <c r="AE3767">
        <v>-18.285699999999999</v>
      </c>
      <c r="AF3767">
        <v>6.4881397476268701</v>
      </c>
      <c r="AG3767">
        <v>-1.1089205156799999</v>
      </c>
      <c r="AH3767">
        <v>18.1076654840755</v>
      </c>
      <c r="AI3767">
        <v>93.299524890989801</v>
      </c>
      <c r="AJ3767">
        <v>70.286940382662493</v>
      </c>
      <c r="AK3767">
        <v>19.266894180900302</v>
      </c>
      <c r="AL3767">
        <v>96.234024139780601</v>
      </c>
      <c r="AM3767">
        <v>82.9395743442835</v>
      </c>
      <c r="AN3767">
        <v>1.0000000318523401</v>
      </c>
    </row>
    <row r="3768" spans="1:40" x14ac:dyDescent="0.25">
      <c r="A3768" t="str">
        <f>"20190305135309243"</f>
        <v>20190305135309243</v>
      </c>
      <c r="B3768" t="str">
        <f>"1551765189233184"</f>
        <v>1551765189233184</v>
      </c>
      <c r="C3768" t="s">
        <v>40</v>
      </c>
      <c r="D3768">
        <v>4.881888</v>
      </c>
      <c r="E3768">
        <v>0.58530369999999998</v>
      </c>
      <c r="F3768" t="s">
        <v>78</v>
      </c>
      <c r="G3768">
        <v>-199.09549999999999</v>
      </c>
      <c r="H3768" s="1">
        <v>-1.270712E-5</v>
      </c>
      <c r="I3768">
        <v>150.89689999999999</v>
      </c>
      <c r="J3768">
        <v>-193.2347</v>
      </c>
      <c r="K3768">
        <v>1.1086670000000001</v>
      </c>
      <c r="L3768">
        <v>168.0668</v>
      </c>
      <c r="M3768">
        <v>1.8752609999999999E-2</v>
      </c>
      <c r="N3768">
        <v>-1.061783E-2</v>
      </c>
      <c r="O3768">
        <v>-0.99976779999999998</v>
      </c>
      <c r="P3768">
        <v>-0.1064276</v>
      </c>
      <c r="Q3768">
        <v>-0.1182938</v>
      </c>
      <c r="R3768">
        <v>-0.98725890000000005</v>
      </c>
      <c r="S3768">
        <v>-0.97950740000000003</v>
      </c>
      <c r="T3768">
        <v>-0.1854885</v>
      </c>
      <c r="U3768">
        <v>-2.9128720000000001</v>
      </c>
      <c r="V3768">
        <v>0.12491969999999999</v>
      </c>
      <c r="W3768">
        <v>-0.1078322</v>
      </c>
      <c r="X3768">
        <v>0.98628970000000005</v>
      </c>
      <c r="Y3768">
        <v>0.33593659999999997</v>
      </c>
      <c r="Z3768">
        <v>4.9408220000000003E-2</v>
      </c>
      <c r="AA3768">
        <v>0.94058779999999997</v>
      </c>
      <c r="AB3768">
        <v>24</v>
      </c>
      <c r="AC3768">
        <v>-5.8607999999999798</v>
      </c>
      <c r="AD3768">
        <v>-1.1086797071200001</v>
      </c>
      <c r="AE3768">
        <v>-17.169899999999998</v>
      </c>
      <c r="AF3768">
        <v>6.1587690046002299</v>
      </c>
      <c r="AG3768">
        <v>-1.1086797071200001</v>
      </c>
      <c r="AH3768">
        <v>16.993509577087099</v>
      </c>
      <c r="AI3768">
        <v>93.509973916548802</v>
      </c>
      <c r="AJ3768">
        <v>70.078526580057499</v>
      </c>
      <c r="AK3768">
        <v>18.109085401851701</v>
      </c>
      <c r="AL3768">
        <v>96.190366153070102</v>
      </c>
      <c r="AM3768">
        <v>82.781569716406096</v>
      </c>
      <c r="AN3768">
        <v>1.0000000435655001</v>
      </c>
    </row>
    <row r="3769" spans="1:40" x14ac:dyDescent="0.25">
      <c r="A3769" t="str">
        <f>"20190305135309264"</f>
        <v>20190305135309264</v>
      </c>
      <c r="B3769" t="str">
        <f>"1551765189253680"</f>
        <v>1551765189253680</v>
      </c>
      <c r="C3769" t="s">
        <v>40</v>
      </c>
      <c r="D3769">
        <v>4.8887900000000002</v>
      </c>
      <c r="E3769">
        <v>0.58532259999999903</v>
      </c>
      <c r="F3769" t="s">
        <v>78</v>
      </c>
      <c r="G3769">
        <v>-198.93389999999999</v>
      </c>
      <c r="H3769" s="1">
        <v>-1.2796049999999999E-5</v>
      </c>
      <c r="I3769">
        <v>151.3074</v>
      </c>
      <c r="J3769">
        <v>-193.23070000000001</v>
      </c>
      <c r="K3769">
        <v>1.1084430000000001</v>
      </c>
      <c r="L3769">
        <v>167.84649999999999</v>
      </c>
      <c r="M3769">
        <v>1.8485660000000001E-2</v>
      </c>
      <c r="N3769">
        <v>-1.060554E-2</v>
      </c>
      <c r="O3769">
        <v>-0.99977329999999998</v>
      </c>
      <c r="P3769">
        <v>-0.1095019</v>
      </c>
      <c r="Q3769">
        <v>-0.1184142</v>
      </c>
      <c r="R3769">
        <v>-0.98690840000000002</v>
      </c>
      <c r="S3769">
        <v>-0.98922730000000003</v>
      </c>
      <c r="T3769">
        <v>-0.1924392</v>
      </c>
      <c r="U3769">
        <v>-2.909027</v>
      </c>
      <c r="V3769">
        <v>0.12766559999999999</v>
      </c>
      <c r="W3769">
        <v>-0.1080377</v>
      </c>
      <c r="X3769">
        <v>0.98591549999999994</v>
      </c>
      <c r="Y3769">
        <v>0.338837</v>
      </c>
      <c r="Z3769">
        <v>5.167542E-2</v>
      </c>
      <c r="AA3769">
        <v>0.93942490000000001</v>
      </c>
      <c r="AB3769">
        <v>24</v>
      </c>
      <c r="AC3769">
        <v>-5.7031999999999803</v>
      </c>
      <c r="AD3769">
        <v>-1.1084557960500001</v>
      </c>
      <c r="AE3769">
        <v>-16.539099999999902</v>
      </c>
      <c r="AF3769">
        <v>5.9839567348614802</v>
      </c>
      <c r="AG3769">
        <v>-1.1084557960500001</v>
      </c>
      <c r="AH3769">
        <v>16.365144381529099</v>
      </c>
      <c r="AI3769">
        <v>93.639879137609796</v>
      </c>
      <c r="AJ3769">
        <v>69.914932028122607</v>
      </c>
      <c r="AK3769">
        <v>17.46007912596</v>
      </c>
      <c r="AL3769">
        <v>96.202209824400299</v>
      </c>
      <c r="AM3769">
        <v>82.6218591496676</v>
      </c>
      <c r="AN3769">
        <v>1.0000000115924399</v>
      </c>
    </row>
    <row r="3770" spans="1:40" x14ac:dyDescent="0.25">
      <c r="A3770" t="str">
        <f>"20190305135309286"</f>
        <v>20190305135309286</v>
      </c>
      <c r="B3770" t="str">
        <f>"1551765189283936"</f>
        <v>1551765189283936</v>
      </c>
      <c r="C3770" t="s">
        <v>40</v>
      </c>
      <c r="D3770">
        <v>4.7584949999999999</v>
      </c>
      <c r="E3770">
        <v>0.58511279999999999</v>
      </c>
      <c r="F3770" t="s">
        <v>78</v>
      </c>
      <c r="G3770">
        <v>-198.71530000000001</v>
      </c>
      <c r="H3770" s="1">
        <v>-1.292608E-5</v>
      </c>
      <c r="I3770">
        <v>151.90119999999999</v>
      </c>
      <c r="J3770">
        <v>-193.2268</v>
      </c>
      <c r="K3770">
        <v>1.108204</v>
      </c>
      <c r="L3770">
        <v>167.6146</v>
      </c>
      <c r="M3770">
        <v>1.7831909999999999E-2</v>
      </c>
      <c r="N3770">
        <v>-1.0595780000000001E-2</v>
      </c>
      <c r="O3770">
        <v>-0.99978480000000003</v>
      </c>
      <c r="P3770">
        <v>-0.11232159999999999</v>
      </c>
      <c r="Q3770">
        <v>-0.11937639999999999</v>
      </c>
      <c r="R3770">
        <v>-0.98647499999999999</v>
      </c>
      <c r="S3770">
        <v>-0.99911499999999998</v>
      </c>
      <c r="T3770">
        <v>-0.2019252</v>
      </c>
      <c r="U3770">
        <v>-2.904709</v>
      </c>
      <c r="V3770">
        <v>0.12976770000000001</v>
      </c>
      <c r="W3770">
        <v>-0.1090923</v>
      </c>
      <c r="X3770">
        <v>0.98552479999999998</v>
      </c>
      <c r="Y3770">
        <v>0.34144849999999999</v>
      </c>
      <c r="Z3770">
        <v>5.4771210000000001E-2</v>
      </c>
      <c r="AA3770">
        <v>0.93830329999999995</v>
      </c>
      <c r="AB3770">
        <v>24</v>
      </c>
      <c r="AC3770">
        <v>-5.4885000000000099</v>
      </c>
      <c r="AD3770">
        <v>-1.1082169260799899</v>
      </c>
      <c r="AE3770">
        <v>-15.7134</v>
      </c>
      <c r="AF3770">
        <v>5.74238586074806</v>
      </c>
      <c r="AG3770">
        <v>-1.1082169260799899</v>
      </c>
      <c r="AH3770">
        <v>15.544115435727999</v>
      </c>
      <c r="AI3770">
        <v>93.826090674800099</v>
      </c>
      <c r="AJ3770">
        <v>69.724506403149803</v>
      </c>
      <c r="AK3770">
        <v>16.607909706167298</v>
      </c>
      <c r="AL3770">
        <v>96.262993557867404</v>
      </c>
      <c r="AM3770">
        <v>82.498805711752993</v>
      </c>
      <c r="AN3770">
        <v>0.99999995864880897</v>
      </c>
    </row>
    <row r="3771" spans="1:40" x14ac:dyDescent="0.25">
      <c r="A3771" t="str">
        <f>"20190305135309309"</f>
        <v>20190305135309309</v>
      </c>
      <c r="B3771" t="str">
        <f>"1551765189303456"</f>
        <v>1551765189303456</v>
      </c>
      <c r="C3771" t="s">
        <v>40</v>
      </c>
      <c r="D3771">
        <v>4.8532029999999997</v>
      </c>
      <c r="E3771">
        <v>0.58502319999999997</v>
      </c>
      <c r="F3771" t="s">
        <v>78</v>
      </c>
      <c r="G3771">
        <v>-198.4838</v>
      </c>
      <c r="H3771" s="1">
        <v>-1.304495E-5</v>
      </c>
      <c r="I3771">
        <v>152.45519999999999</v>
      </c>
      <c r="J3771">
        <v>-193.2234</v>
      </c>
      <c r="K3771">
        <v>1.107945</v>
      </c>
      <c r="L3771">
        <v>167.37049999999999</v>
      </c>
      <c r="M3771">
        <v>1.675664E-2</v>
      </c>
      <c r="N3771">
        <v>-1.058861E-2</v>
      </c>
      <c r="O3771">
        <v>-0.99980369999999996</v>
      </c>
      <c r="P3771">
        <v>-0.115832199999999</v>
      </c>
      <c r="Q3771">
        <v>-0.1208304</v>
      </c>
      <c r="R3771">
        <v>-0.98589210000000005</v>
      </c>
      <c r="S3771">
        <v>-1.005981</v>
      </c>
      <c r="T3771">
        <v>-0.21206920000000001</v>
      </c>
      <c r="U3771">
        <v>-2.900909</v>
      </c>
      <c r="V3771">
        <v>0.13213849999999999</v>
      </c>
      <c r="W3771">
        <v>-0.11064400000000001</v>
      </c>
      <c r="X3771">
        <v>0.98503669999999999</v>
      </c>
      <c r="Y3771">
        <v>0.34273150000000002</v>
      </c>
      <c r="Z3771">
        <v>5.8095050000000002E-2</v>
      </c>
      <c r="AA3771">
        <v>0.93763540000000001</v>
      </c>
      <c r="AB3771">
        <v>24</v>
      </c>
      <c r="AC3771">
        <v>-5.2603999999999997</v>
      </c>
      <c r="AD3771">
        <v>-1.1079580449499999</v>
      </c>
      <c r="AE3771">
        <v>-14.9153</v>
      </c>
      <c r="AF3771">
        <v>5.4826988682912496</v>
      </c>
      <c r="AG3771">
        <v>-1.1079580449499999</v>
      </c>
      <c r="AH3771">
        <v>14.7526543023227</v>
      </c>
      <c r="AI3771">
        <v>94.026858305675603</v>
      </c>
      <c r="AJ3771">
        <v>69.612843660237402</v>
      </c>
      <c r="AK3771">
        <v>15.7774638923235</v>
      </c>
      <c r="AL3771">
        <v>96.352440736732603</v>
      </c>
      <c r="AM3771">
        <v>82.359625779721398</v>
      </c>
      <c r="AN3771">
        <v>0.99999998913256904</v>
      </c>
    </row>
    <row r="3772" spans="1:40" x14ac:dyDescent="0.25">
      <c r="A3772" t="str">
        <f>"20190305135309331"</f>
        <v>20190305135309331</v>
      </c>
      <c r="B3772" t="str">
        <f>"1551765189323952"</f>
        <v>1551765189323952</v>
      </c>
      <c r="C3772" t="s">
        <v>40</v>
      </c>
      <c r="D3772">
        <v>4.7980539999999996</v>
      </c>
      <c r="E3772">
        <v>0.5849143</v>
      </c>
      <c r="F3772" t="s">
        <v>78</v>
      </c>
      <c r="G3772">
        <v>-198.29679999999999</v>
      </c>
      <c r="H3772" s="1">
        <v>-1.31419899999999E-5</v>
      </c>
      <c r="I3772">
        <v>152.9068</v>
      </c>
      <c r="J3772">
        <v>-193.22069999999999</v>
      </c>
      <c r="K3772">
        <v>1.1077159999999999</v>
      </c>
      <c r="L3772">
        <v>167.13130000000001</v>
      </c>
      <c r="M3772">
        <v>1.542662E-2</v>
      </c>
      <c r="N3772">
        <v>-1.058275E-2</v>
      </c>
      <c r="O3772">
        <v>-0.99982530000000003</v>
      </c>
      <c r="P3772">
        <v>-0.11956749999999999</v>
      </c>
      <c r="Q3772">
        <v>-0.1220628</v>
      </c>
      <c r="R3772">
        <v>-0.98529429999999996</v>
      </c>
      <c r="S3772">
        <v>-1.0159609999999999</v>
      </c>
      <c r="T3772">
        <v>-0.22187109999999999</v>
      </c>
      <c r="U3772">
        <v>-2.8963779999999999</v>
      </c>
      <c r="V3772">
        <v>0.13449349999999999</v>
      </c>
      <c r="W3772">
        <v>-0.1119631</v>
      </c>
      <c r="X3772">
        <v>0.98456880000000002</v>
      </c>
      <c r="Y3772">
        <v>0.34474500000000002</v>
      </c>
      <c r="Z3772">
        <v>6.130451E-2</v>
      </c>
      <c r="AA3772">
        <v>0.93669239999999998</v>
      </c>
      <c r="AB3772">
        <v>24</v>
      </c>
      <c r="AC3772">
        <v>-5.0760999999999896</v>
      </c>
      <c r="AD3772">
        <v>-1.1077291419899999</v>
      </c>
      <c r="AE3772">
        <v>-14.224500000000001</v>
      </c>
      <c r="AF3772">
        <v>5.2666127241753902</v>
      </c>
      <c r="AG3772">
        <v>-1.1077291419899999</v>
      </c>
      <c r="AH3772">
        <v>14.0688135879934</v>
      </c>
      <c r="AI3772">
        <v>94.217307049102004</v>
      </c>
      <c r="AJ3772">
        <v>69.476782679096104</v>
      </c>
      <c r="AK3772">
        <v>15.063060419853899</v>
      </c>
      <c r="AL3772">
        <v>96.428492216342605</v>
      </c>
      <c r="AM3772">
        <v>82.221458903823006</v>
      </c>
      <c r="AN3772">
        <v>0.99999997961864895</v>
      </c>
    </row>
    <row r="3773" spans="1:40" x14ac:dyDescent="0.25">
      <c r="A3773" t="str">
        <f>"20190305135309353"</f>
        <v>20190305135309353</v>
      </c>
      <c r="B3773" t="str">
        <f>"1551765189343471"</f>
        <v>1551765189343471</v>
      </c>
      <c r="C3773" t="s">
        <v>40</v>
      </c>
      <c r="D3773">
        <v>4.8375069999999996</v>
      </c>
      <c r="E3773">
        <v>0.58498079999999997</v>
      </c>
      <c r="F3773" t="s">
        <v>78</v>
      </c>
      <c r="G3773">
        <v>-198.18620000000001</v>
      </c>
      <c r="H3773" s="1">
        <v>-1.3190870000000001E-5</v>
      </c>
      <c r="I3773">
        <v>153.14009999999999</v>
      </c>
      <c r="J3773">
        <v>-193.21870000000001</v>
      </c>
      <c r="K3773">
        <v>1.1075390000000001</v>
      </c>
      <c r="L3773">
        <v>166.9075</v>
      </c>
      <c r="M3773">
        <v>1.3949049999999999E-2</v>
      </c>
      <c r="N3773">
        <v>-1.0577710000000001E-2</v>
      </c>
      <c r="O3773">
        <v>-0.99984689999999998</v>
      </c>
      <c r="P3773">
        <v>-0.124144699999999</v>
      </c>
      <c r="Q3773">
        <v>-0.1223231</v>
      </c>
      <c r="R3773">
        <v>-0.98469569999999995</v>
      </c>
      <c r="S3773">
        <v>-1.0263370000000001</v>
      </c>
      <c r="T3773">
        <v>-0.22895879999999999</v>
      </c>
      <c r="U3773">
        <v>-2.8918759999999999</v>
      </c>
      <c r="V3773">
        <v>0.1375605</v>
      </c>
      <c r="W3773">
        <v>-0.1122986</v>
      </c>
      <c r="X3773">
        <v>0.98410679999999995</v>
      </c>
      <c r="Y3773">
        <v>0.34674700000000003</v>
      </c>
      <c r="Z3773">
        <v>6.3636789999999999E-2</v>
      </c>
      <c r="AA3773">
        <v>0.93579749999999995</v>
      </c>
      <c r="AB3773">
        <v>24</v>
      </c>
      <c r="AC3773">
        <v>-4.9675000000000002</v>
      </c>
      <c r="AD3773">
        <v>-1.1075521908699999</v>
      </c>
      <c r="AE3773">
        <v>-13.7674</v>
      </c>
      <c r="AF3773">
        <v>5.1296953618599197</v>
      </c>
      <c r="AG3773">
        <v>-1.1075521908699999</v>
      </c>
      <c r="AH3773">
        <v>13.618779457080599</v>
      </c>
      <c r="AI3773">
        <v>94.352140604115704</v>
      </c>
      <c r="AJ3773">
        <v>69.360446258327897</v>
      </c>
      <c r="AK3773">
        <v>14.5949169323292</v>
      </c>
      <c r="AL3773">
        <v>96.447836621447905</v>
      </c>
      <c r="AM3773">
        <v>82.042635588959499</v>
      </c>
      <c r="AN3773">
        <v>1.00000003026422</v>
      </c>
    </row>
    <row r="3774" spans="1:40" x14ac:dyDescent="0.25">
      <c r="A3774" t="str">
        <f>"20190305135309375"</f>
        <v>20190305135309375</v>
      </c>
      <c r="B3774" t="str">
        <f>"1551765189363968"</f>
        <v>1551765189363968</v>
      </c>
      <c r="C3774" t="s">
        <v>40</v>
      </c>
      <c r="D3774">
        <v>4.7818440000000004</v>
      </c>
      <c r="E3774">
        <v>0.58495249999999999</v>
      </c>
      <c r="F3774" t="s">
        <v>78</v>
      </c>
      <c r="G3774">
        <v>-198.1567</v>
      </c>
      <c r="H3774" s="1">
        <v>-1.320559E-5</v>
      </c>
      <c r="I3774">
        <v>153.209</v>
      </c>
      <c r="J3774">
        <v>-193.21729999999999</v>
      </c>
      <c r="K3774">
        <v>1.1073789999999999</v>
      </c>
      <c r="L3774">
        <v>166.66640000000001</v>
      </c>
      <c r="M3774">
        <v>1.2102389999999999E-2</v>
      </c>
      <c r="N3774">
        <v>-1.057373E-2</v>
      </c>
      <c r="O3774">
        <v>-0.99987090000000001</v>
      </c>
      <c r="P3774">
        <v>-0.12856300000000001</v>
      </c>
      <c r="Q3774">
        <v>-0.12174500000000001</v>
      </c>
      <c r="R3774">
        <v>-0.98419999999999996</v>
      </c>
      <c r="S3774">
        <v>-1.040497</v>
      </c>
      <c r="T3774">
        <v>-0.2333761</v>
      </c>
      <c r="U3774">
        <v>-2.8864589999999999</v>
      </c>
      <c r="V3774">
        <v>0.1401152</v>
      </c>
      <c r="W3774">
        <v>-0.11178920000000001</v>
      </c>
      <c r="X3774">
        <v>0.98380429999999996</v>
      </c>
      <c r="Y3774">
        <v>0.34960029999999997</v>
      </c>
      <c r="Z3774">
        <v>6.5102160000000006E-2</v>
      </c>
      <c r="AA3774">
        <v>0.93463430000000003</v>
      </c>
      <c r="AB3774">
        <v>24</v>
      </c>
      <c r="AC3774">
        <v>-4.9394</v>
      </c>
      <c r="AD3774">
        <v>-1.1073922055900001</v>
      </c>
      <c r="AE3774">
        <v>-13.4574</v>
      </c>
      <c r="AF3774">
        <v>5.0716489386080097</v>
      </c>
      <c r="AG3774">
        <v>-1.1073922055900001</v>
      </c>
      <c r="AH3774">
        <v>13.3171622329698</v>
      </c>
      <c r="AI3774">
        <v>94.443558885458998</v>
      </c>
      <c r="AJ3774">
        <v>69.151387261743096</v>
      </c>
      <c r="AK3774">
        <v>14.2931714602716</v>
      </c>
      <c r="AL3774">
        <v>96.418465418220705</v>
      </c>
      <c r="AM3774">
        <v>81.894342392258906</v>
      </c>
      <c r="AN3774">
        <v>0.999999997603084</v>
      </c>
    </row>
    <row r="3775" spans="1:40" x14ac:dyDescent="0.25">
      <c r="A3775" t="str">
        <f>"20190305135309399"</f>
        <v>20190305135309399</v>
      </c>
      <c r="B3775" t="str">
        <f>"1551765189393248"</f>
        <v>1551765189393248</v>
      </c>
      <c r="C3775" t="s">
        <v>40</v>
      </c>
      <c r="D3775">
        <v>4.7433709999999998</v>
      </c>
      <c r="E3775">
        <v>0.58503819999999995</v>
      </c>
      <c r="F3775" t="s">
        <v>78</v>
      </c>
      <c r="G3775">
        <v>-198.2045</v>
      </c>
      <c r="H3775" s="1">
        <v>-1.3163049999999999E-5</v>
      </c>
      <c r="I3775">
        <v>153.0231</v>
      </c>
      <c r="J3775">
        <v>-193.2165</v>
      </c>
      <c r="K3775">
        <v>1.1072329999999999</v>
      </c>
      <c r="L3775">
        <v>166.4188</v>
      </c>
      <c r="M3775">
        <v>9.9643609999999997E-3</v>
      </c>
      <c r="N3775">
        <v>-1.057166E-2</v>
      </c>
      <c r="O3775">
        <v>-0.99989439999999996</v>
      </c>
      <c r="P3775">
        <v>-0.13371069999999999</v>
      </c>
      <c r="Q3775">
        <v>-0.1204129</v>
      </c>
      <c r="R3775">
        <v>-0.98367789999999999</v>
      </c>
      <c r="S3775">
        <v>-1.0533600000000001</v>
      </c>
      <c r="T3775">
        <v>-0.23389570000000001</v>
      </c>
      <c r="U3775">
        <v>-2.881653</v>
      </c>
      <c r="V3775">
        <v>0.14312139999999901</v>
      </c>
      <c r="W3775">
        <v>-0.110522</v>
      </c>
      <c r="X3775">
        <v>0.98351469999999996</v>
      </c>
      <c r="Y3775">
        <v>0.35177380000000003</v>
      </c>
      <c r="Z3775">
        <v>6.5308959999999999E-2</v>
      </c>
      <c r="AA3775">
        <v>0.93380399999999997</v>
      </c>
      <c r="AB3775">
        <v>24</v>
      </c>
      <c r="AC3775">
        <v>-4.9880000000000004</v>
      </c>
      <c r="AD3775">
        <v>-1.1072461630499999</v>
      </c>
      <c r="AE3775">
        <v>-13.3957</v>
      </c>
      <c r="AF3775">
        <v>5.0906941259032097</v>
      </c>
      <c r="AG3775">
        <v>-1.1072461630499999</v>
      </c>
      <c r="AH3775">
        <v>13.265732589226101</v>
      </c>
      <c r="AI3775">
        <v>94.4558180536728</v>
      </c>
      <c r="AJ3775">
        <v>69.005810616405498</v>
      </c>
      <c r="AK3775">
        <v>14.2520462347675</v>
      </c>
      <c r="AL3775">
        <v>96.345407406230706</v>
      </c>
      <c r="AM3775">
        <v>81.720415193405799</v>
      </c>
      <c r="AN3775">
        <v>1.00000000636902</v>
      </c>
    </row>
    <row r="3776" spans="1:40" x14ac:dyDescent="0.25">
      <c r="A3776" t="str">
        <f>"20190305135309421"</f>
        <v>20190305135309421</v>
      </c>
      <c r="B3776" t="str">
        <f>"1551765189413744"</f>
        <v>1551765189413744</v>
      </c>
      <c r="C3776" t="s">
        <v>40</v>
      </c>
      <c r="D3776">
        <v>4.7652349999999997</v>
      </c>
      <c r="E3776">
        <v>0.58512569999999997</v>
      </c>
      <c r="F3776" t="s">
        <v>78</v>
      </c>
      <c r="G3776">
        <v>-198.4144</v>
      </c>
      <c r="H3776" s="1">
        <v>-1.303239E-5</v>
      </c>
      <c r="I3776">
        <v>152.4298</v>
      </c>
      <c r="J3776">
        <v>-193.2165</v>
      </c>
      <c r="K3776">
        <v>1.107097</v>
      </c>
      <c r="L3776">
        <v>166.17230000000001</v>
      </c>
      <c r="M3776">
        <v>7.635836E-3</v>
      </c>
      <c r="N3776">
        <v>-1.057107E-2</v>
      </c>
      <c r="O3776">
        <v>-0.99991509999999995</v>
      </c>
      <c r="P3776">
        <v>-0.13899139999999999</v>
      </c>
      <c r="Q3776">
        <v>-0.1204298</v>
      </c>
      <c r="R3776">
        <v>-0.98294400000000004</v>
      </c>
      <c r="S3776">
        <v>-1.0688629999999999</v>
      </c>
      <c r="T3776">
        <v>-0.227686</v>
      </c>
      <c r="U3776">
        <v>-2.8766020000000001</v>
      </c>
      <c r="V3776">
        <v>0.14607329999999999</v>
      </c>
      <c r="W3776">
        <v>-0.1106007</v>
      </c>
      <c r="X3776">
        <v>0.98307169999999999</v>
      </c>
      <c r="Y3776">
        <v>0.35459849999999998</v>
      </c>
      <c r="Z3776">
        <v>6.3326140000000003E-2</v>
      </c>
      <c r="AA3776">
        <v>0.93287180000000003</v>
      </c>
      <c r="AB3776">
        <v>24</v>
      </c>
      <c r="AC3776">
        <v>-5.1978999999999997</v>
      </c>
      <c r="AD3776">
        <v>-1.1071100323899901</v>
      </c>
      <c r="AE3776">
        <v>-13.7425</v>
      </c>
      <c r="AF3776">
        <v>5.2727521271511497</v>
      </c>
      <c r="AG3776">
        <v>-1.1071100323899901</v>
      </c>
      <c r="AH3776">
        <v>13.625046466032099</v>
      </c>
      <c r="AI3776">
        <v>94.333535866543201</v>
      </c>
      <c r="AJ3776">
        <v>68.8440776864892</v>
      </c>
      <c r="AK3776">
        <v>14.651603967474999</v>
      </c>
      <c r="AL3776">
        <v>96.349944786600005</v>
      </c>
      <c r="AM3776">
        <v>81.548335518513198</v>
      </c>
      <c r="AN3776">
        <v>0.99999994557713301</v>
      </c>
    </row>
    <row r="3777" spans="1:40" x14ac:dyDescent="0.25">
      <c r="A3777" t="str">
        <f>"20190305135309444"</f>
        <v>20190305135309444</v>
      </c>
      <c r="B3777" t="str">
        <f>"1551765189433264"</f>
        <v>1551765189433264</v>
      </c>
      <c r="C3777" t="s">
        <v>40</v>
      </c>
      <c r="D3777">
        <v>4.7554559999999997</v>
      </c>
      <c r="E3777">
        <v>0.58503479999999997</v>
      </c>
      <c r="F3777" t="s">
        <v>78</v>
      </c>
      <c r="G3777">
        <v>-198.54349999999999</v>
      </c>
      <c r="H3777" s="1">
        <v>-1.2954420000000001E-5</v>
      </c>
      <c r="I3777">
        <v>152.0744</v>
      </c>
      <c r="J3777">
        <v>-193.21719999999999</v>
      </c>
      <c r="K3777">
        <v>1.1069789999999999</v>
      </c>
      <c r="L3777">
        <v>165.93340000000001</v>
      </c>
      <c r="M3777">
        <v>5.2243239999999998E-3</v>
      </c>
      <c r="N3777">
        <v>-1.056605E-2</v>
      </c>
      <c r="O3777">
        <v>-0.99993069999999895</v>
      </c>
      <c r="P3777">
        <v>-0.14533450000000001</v>
      </c>
      <c r="Q3777">
        <v>-0.1214649</v>
      </c>
      <c r="R3777">
        <v>-0.98189850000000001</v>
      </c>
      <c r="S3777">
        <v>-1.084854</v>
      </c>
      <c r="T3777">
        <v>-0.22546279999999999</v>
      </c>
      <c r="U3777">
        <v>-2.8710330000000002</v>
      </c>
      <c r="V3777">
        <v>0.15000859999999999</v>
      </c>
      <c r="W3777">
        <v>-0.1117037</v>
      </c>
      <c r="X3777">
        <v>0.98235419999999996</v>
      </c>
      <c r="Y3777">
        <v>0.35750399999999999</v>
      </c>
      <c r="Z3777">
        <v>6.2641020000000006E-2</v>
      </c>
      <c r="AA3777">
        <v>0.93180850000000004</v>
      </c>
      <c r="AB3777">
        <v>24</v>
      </c>
      <c r="AC3777">
        <v>-5.3262999999999998</v>
      </c>
      <c r="AD3777">
        <v>-1.10699195442</v>
      </c>
      <c r="AE3777">
        <v>-13.859</v>
      </c>
      <c r="AF3777">
        <v>5.3687901917105503</v>
      </c>
      <c r="AG3777">
        <v>-1.10699195442</v>
      </c>
      <c r="AH3777">
        <v>13.754521738012601</v>
      </c>
      <c r="AI3777">
        <v>94.287620839944694</v>
      </c>
      <c r="AJ3777">
        <v>68.677851170960906</v>
      </c>
      <c r="AK3777">
        <v>14.8066271497333</v>
      </c>
      <c r="AL3777">
        <v>96.413535509509003</v>
      </c>
      <c r="AM3777">
        <v>81.317822698556</v>
      </c>
      <c r="AN3777">
        <v>1.0000000354626399</v>
      </c>
    </row>
    <row r="3778" spans="1:40" x14ac:dyDescent="0.25">
      <c r="A3778" t="str">
        <f>"20190305135309467"</f>
        <v>20190305135309467</v>
      </c>
      <c r="B3778" t="str">
        <f>"1551765189463519"</f>
        <v>1551765189463519</v>
      </c>
      <c r="C3778" t="s">
        <v>40</v>
      </c>
      <c r="D3778">
        <v>4.7701200000000004</v>
      </c>
      <c r="E3778">
        <v>0.58500399999999997</v>
      </c>
      <c r="F3778" t="s">
        <v>78</v>
      </c>
      <c r="G3778">
        <v>-198.52760000000001</v>
      </c>
      <c r="H3778" s="1">
        <v>-1.2969410000000001E-5</v>
      </c>
      <c r="I3778">
        <v>152.1396</v>
      </c>
      <c r="J3778">
        <v>-193.21870000000001</v>
      </c>
      <c r="K3778">
        <v>1.106886</v>
      </c>
      <c r="L3778">
        <v>165.7012</v>
      </c>
      <c r="M3778">
        <v>2.7565559999999999E-3</v>
      </c>
      <c r="N3778">
        <v>-1.0546740000000001E-2</v>
      </c>
      <c r="O3778">
        <v>-0.99994059999999996</v>
      </c>
      <c r="P3778">
        <v>-0.15179339999999999</v>
      </c>
      <c r="Q3778">
        <v>-0.1220941</v>
      </c>
      <c r="R3778">
        <v>-0.9808422</v>
      </c>
      <c r="S3778">
        <v>-1.102463</v>
      </c>
      <c r="T3778">
        <v>-0.2298183</v>
      </c>
      <c r="U3778">
        <v>-2.863693</v>
      </c>
      <c r="V3778">
        <v>0.15401670000000001</v>
      </c>
      <c r="W3778">
        <v>-0.1124077</v>
      </c>
      <c r="X3778">
        <v>0.98165340000000001</v>
      </c>
      <c r="Y3778">
        <v>0.36094949999999998</v>
      </c>
      <c r="Z3778">
        <v>6.4120689999999994E-2</v>
      </c>
      <c r="AA3778">
        <v>0.93037840000000005</v>
      </c>
      <c r="AB3778">
        <v>24</v>
      </c>
      <c r="AC3778">
        <v>-5.3088999999999897</v>
      </c>
      <c r="AD3778">
        <v>-1.10689896941</v>
      </c>
      <c r="AE3778">
        <v>-13.5616</v>
      </c>
      <c r="AF3778">
        <v>5.3155593484143502</v>
      </c>
      <c r="AG3778">
        <v>-1.10689896941</v>
      </c>
      <c r="AH3778">
        <v>13.4691077089615</v>
      </c>
      <c r="AI3778">
        <v>94.371359841514803</v>
      </c>
      <c r="AJ3778">
        <v>68.463417484392195</v>
      </c>
      <c r="AK3778">
        <v>14.522302124339699</v>
      </c>
      <c r="AL3778">
        <v>96.454127512429196</v>
      </c>
      <c r="AM3778">
        <v>81.083258551184798</v>
      </c>
      <c r="AN3778">
        <v>1.0000000163148699</v>
      </c>
    </row>
    <row r="3779" spans="1:40" x14ac:dyDescent="0.25">
      <c r="A3779" t="str">
        <f>"20190305135309489"</f>
        <v>20190305135309489</v>
      </c>
      <c r="B3779" t="str">
        <f>"1551765189484016"</f>
        <v>1551765189484016</v>
      </c>
      <c r="C3779" t="s">
        <v>40</v>
      </c>
      <c r="D3779">
        <v>4.7583019999999996</v>
      </c>
      <c r="E3779">
        <v>0.58482209999999901</v>
      </c>
      <c r="F3779" t="s">
        <v>78</v>
      </c>
      <c r="G3779">
        <v>-198.58879999999999</v>
      </c>
      <c r="H3779" s="1">
        <v>-1.294421E-5</v>
      </c>
      <c r="I3779">
        <v>152.01779999999999</v>
      </c>
      <c r="J3779">
        <v>-193.22120000000001</v>
      </c>
      <c r="K3779">
        <v>1.106819</v>
      </c>
      <c r="L3779">
        <v>165.4512</v>
      </c>
      <c r="M3779" s="1">
        <v>-9.342387E-6</v>
      </c>
      <c r="N3779">
        <v>-1.0502829999999999E-2</v>
      </c>
      <c r="O3779">
        <v>-0.99994499999999997</v>
      </c>
      <c r="P3779">
        <v>-0.15882199999999999</v>
      </c>
      <c r="Q3779">
        <v>-0.1214134</v>
      </c>
      <c r="R3779">
        <v>-0.97981359999999995</v>
      </c>
      <c r="S3779">
        <v>-1.1209720000000001</v>
      </c>
      <c r="T3779">
        <v>-0.2310606</v>
      </c>
      <c r="U3779">
        <v>-2.8563540000000001</v>
      </c>
      <c r="V3779">
        <v>0.1583184</v>
      </c>
      <c r="W3779">
        <v>-0.11181919999999999</v>
      </c>
      <c r="X3779">
        <v>0.98103609999999997</v>
      </c>
      <c r="Y3779">
        <v>0.3643922</v>
      </c>
      <c r="Z3779">
        <v>6.4613870000000004E-2</v>
      </c>
      <c r="AA3779">
        <v>0.92900130000000003</v>
      </c>
      <c r="AB3779">
        <v>24</v>
      </c>
      <c r="AC3779">
        <v>-5.3675999999999799</v>
      </c>
      <c r="AD3779">
        <v>-1.1068319442100001</v>
      </c>
      <c r="AE3779">
        <v>-13.433400000000001</v>
      </c>
      <c r="AF3779">
        <v>5.3362355123605099</v>
      </c>
      <c r="AG3779">
        <v>-1.1068319442100001</v>
      </c>
      <c r="AH3779">
        <v>13.3552667704064</v>
      </c>
      <c r="AI3779">
        <v>94.400817253077506</v>
      </c>
      <c r="AJ3779">
        <v>68.220307745087595</v>
      </c>
      <c r="AK3779">
        <v>14.4244111458604</v>
      </c>
      <c r="AL3779">
        <v>96.420194867124195</v>
      </c>
      <c r="AM3779">
        <v>80.832713800841105</v>
      </c>
      <c r="AN3779">
        <v>1.0000000393852</v>
      </c>
    </row>
    <row r="3780" spans="1:40" x14ac:dyDescent="0.25">
      <c r="A3780" t="str">
        <f>"20190305135309510"</f>
        <v>20190305135309510</v>
      </c>
      <c r="B3780" t="str">
        <f>"1551765189503540"</f>
        <v>1551765189503540</v>
      </c>
      <c r="C3780" t="s">
        <v>40</v>
      </c>
      <c r="D3780">
        <v>4.7290839999999896</v>
      </c>
      <c r="E3780">
        <v>0.58472690000000005</v>
      </c>
      <c r="F3780" t="s">
        <v>78</v>
      </c>
      <c r="G3780">
        <v>-198.68889999999999</v>
      </c>
      <c r="H3780" s="1">
        <v>-1.289549E-5</v>
      </c>
      <c r="I3780">
        <v>151.78890000000001</v>
      </c>
      <c r="J3780">
        <v>-193.22409999999999</v>
      </c>
      <c r="K3780">
        <v>1.106781</v>
      </c>
      <c r="L3780">
        <v>165.21950000000001</v>
      </c>
      <c r="M3780">
        <v>-2.630084E-3</v>
      </c>
      <c r="N3780">
        <v>-1.0456399999999999E-2</v>
      </c>
      <c r="O3780">
        <v>-0.9999422</v>
      </c>
      <c r="P3780">
        <v>-0.1654262</v>
      </c>
      <c r="Q3780">
        <v>-0.1204617</v>
      </c>
      <c r="R3780">
        <v>-0.97883770000000003</v>
      </c>
      <c r="S3780">
        <v>-1.139969</v>
      </c>
      <c r="T3780">
        <v>-0.2307622</v>
      </c>
      <c r="U3780">
        <v>-2.8484340000000001</v>
      </c>
      <c r="V3780">
        <v>0.16235189999999999</v>
      </c>
      <c r="W3780">
        <v>-0.11094950000000001</v>
      </c>
      <c r="X3780">
        <v>0.9804754</v>
      </c>
      <c r="Y3780">
        <v>0.36817949999999999</v>
      </c>
      <c r="Z3780">
        <v>6.4615130000000007E-2</v>
      </c>
      <c r="AA3780">
        <v>0.92750670000000002</v>
      </c>
      <c r="AB3780">
        <v>24</v>
      </c>
      <c r="AC3780">
        <v>-5.4647999999999897</v>
      </c>
      <c r="AD3780">
        <v>-1.1067938954899901</v>
      </c>
      <c r="AE3780">
        <v>-13.430599999999901</v>
      </c>
      <c r="AF3780">
        <v>5.3980041025294803</v>
      </c>
      <c r="AG3780">
        <v>-1.1067938954899901</v>
      </c>
      <c r="AH3780">
        <v>13.3670441299535</v>
      </c>
      <c r="AI3780">
        <v>94.390342558373405</v>
      </c>
      <c r="AJ3780">
        <v>68.009700230518504</v>
      </c>
      <c r="AK3780">
        <v>14.4582609531763</v>
      </c>
      <c r="AL3780">
        <v>96.3700531542557</v>
      </c>
      <c r="AM3780">
        <v>80.597995059683697</v>
      </c>
      <c r="AN3780">
        <v>0.99999997049450895</v>
      </c>
    </row>
    <row r="3781" spans="1:40" x14ac:dyDescent="0.25">
      <c r="A3781" t="str">
        <f>"20190305135309532"</f>
        <v>20190305135309532</v>
      </c>
      <c r="B3781" t="str">
        <f>"1551765189524032"</f>
        <v>1551765189524032</v>
      </c>
      <c r="C3781" t="s">
        <v>40</v>
      </c>
      <c r="D3781">
        <v>4.7660879999999999</v>
      </c>
      <c r="E3781">
        <v>0.58464209999999905</v>
      </c>
      <c r="F3781" t="s">
        <v>78</v>
      </c>
      <c r="G3781">
        <v>-198.83330000000001</v>
      </c>
      <c r="H3781" s="1">
        <v>-1.282652E-5</v>
      </c>
      <c r="I3781">
        <v>151.4639</v>
      </c>
      <c r="J3781">
        <v>-193.2278</v>
      </c>
      <c r="K3781">
        <v>1.106757</v>
      </c>
      <c r="L3781">
        <v>164.98159999999999</v>
      </c>
      <c r="M3781">
        <v>-5.3646429999999997E-3</v>
      </c>
      <c r="N3781">
        <v>-1.0390750000000001E-2</v>
      </c>
      <c r="O3781">
        <v>-0.99993180000000004</v>
      </c>
      <c r="P3781">
        <v>-0.17174990000000001</v>
      </c>
      <c r="Q3781">
        <v>-0.11961960000000001</v>
      </c>
      <c r="R3781">
        <v>-0.97785129999999998</v>
      </c>
      <c r="S3781">
        <v>-1.158463</v>
      </c>
      <c r="T3781">
        <v>-0.2285846</v>
      </c>
      <c r="U3781">
        <v>-2.8409270000000002</v>
      </c>
      <c r="V3781">
        <v>0.1660015</v>
      </c>
      <c r="W3781">
        <v>-0.1101998</v>
      </c>
      <c r="X3781">
        <v>0.97994879999999995</v>
      </c>
      <c r="Y3781">
        <v>0.37168459999999998</v>
      </c>
      <c r="Z3781">
        <v>6.4021129999999996E-2</v>
      </c>
      <c r="AA3781">
        <v>0.926149</v>
      </c>
      <c r="AB3781">
        <v>24</v>
      </c>
      <c r="AC3781">
        <v>-5.6055000000000001</v>
      </c>
      <c r="AD3781">
        <v>-1.1067698265200001</v>
      </c>
      <c r="AE3781">
        <v>-13.5176999999999</v>
      </c>
      <c r="AF3781">
        <v>5.5014295549997101</v>
      </c>
      <c r="AG3781">
        <v>-1.1067698265200001</v>
      </c>
      <c r="AH3781">
        <v>13.470527024594199</v>
      </c>
      <c r="AI3781">
        <v>94.3497339038977</v>
      </c>
      <c r="AJ3781">
        <v>67.784653784510397</v>
      </c>
      <c r="AK3781">
        <v>14.5926613377355</v>
      </c>
      <c r="AL3781">
        <v>96.3268328286741</v>
      </c>
      <c r="AM3781">
        <v>80.385473683072604</v>
      </c>
      <c r="AN3781">
        <v>1.0000000722718601</v>
      </c>
    </row>
    <row r="3782" spans="1:40" x14ac:dyDescent="0.25">
      <c r="A3782" t="str">
        <f>"20190305135309554"</f>
        <v>20190305135309554</v>
      </c>
      <c r="B3782" t="str">
        <f>"1551765189543552"</f>
        <v>1551765189543552</v>
      </c>
      <c r="C3782" t="s">
        <v>40</v>
      </c>
      <c r="D3782">
        <v>4.7663449999999896</v>
      </c>
      <c r="E3782">
        <v>0.58448610000000001</v>
      </c>
      <c r="F3782" t="s">
        <v>78</v>
      </c>
      <c r="G3782">
        <v>-198.98689999999999</v>
      </c>
      <c r="H3782" s="1">
        <v>-1.2749770000000001E-5</v>
      </c>
      <c r="I3782">
        <v>151.10480000000001</v>
      </c>
      <c r="J3782">
        <v>-193.232</v>
      </c>
      <c r="K3782">
        <v>1.106732</v>
      </c>
      <c r="L3782">
        <v>164.7527</v>
      </c>
      <c r="M3782">
        <v>-8.0261399999999993E-3</v>
      </c>
      <c r="N3782">
        <v>-1.029799E-2</v>
      </c>
      <c r="O3782">
        <v>-0.99991490000000005</v>
      </c>
      <c r="P3782">
        <v>-0.17815429999999999</v>
      </c>
      <c r="Q3782">
        <v>-0.11884649999999999</v>
      </c>
      <c r="R3782">
        <v>-0.97679919999999998</v>
      </c>
      <c r="S3782">
        <v>-1.1760250000000001</v>
      </c>
      <c r="T3782">
        <v>-0.22600770000000001</v>
      </c>
      <c r="U3782">
        <v>-2.8337249999999998</v>
      </c>
      <c r="V3782">
        <v>0.16980919999999999</v>
      </c>
      <c r="W3782">
        <v>-0.10954419999999999</v>
      </c>
      <c r="X3782">
        <v>0.97936959999999995</v>
      </c>
      <c r="Y3782">
        <v>0.3749614</v>
      </c>
      <c r="Z3782">
        <v>6.3321710000000003E-2</v>
      </c>
      <c r="AA3782">
        <v>0.92487529999999996</v>
      </c>
      <c r="AB3782">
        <v>24</v>
      </c>
      <c r="AC3782">
        <v>-5.7548999999999904</v>
      </c>
      <c r="AD3782">
        <v>-1.10674474977</v>
      </c>
      <c r="AE3782">
        <v>-13.6478999999999</v>
      </c>
      <c r="AF3782">
        <v>5.6138252719244504</v>
      </c>
      <c r="AG3782">
        <v>-1.10674474977</v>
      </c>
      <c r="AH3782">
        <v>13.617621352946299</v>
      </c>
      <c r="AI3782">
        <v>94.297048983862794</v>
      </c>
      <c r="AJ3782">
        <v>67.596235378269498</v>
      </c>
      <c r="AK3782">
        <v>14.770901442940399</v>
      </c>
      <c r="AL3782">
        <v>96.289041657667795</v>
      </c>
      <c r="AM3782">
        <v>80.163493862155207</v>
      </c>
      <c r="AN3782">
        <v>0.99999995478121895</v>
      </c>
    </row>
    <row r="3783" spans="1:40" x14ac:dyDescent="0.25">
      <c r="A3783" t="str">
        <f>"20190305135309576"</f>
        <v>20190305135309576</v>
      </c>
      <c r="B3783" t="str">
        <f>"1551765189573808"</f>
        <v>1551765189573808</v>
      </c>
      <c r="C3783" t="s">
        <v>40</v>
      </c>
      <c r="D3783">
        <v>4.7563199999999997</v>
      </c>
      <c r="E3783">
        <v>0.58426080000000002</v>
      </c>
      <c r="F3783" t="s">
        <v>78</v>
      </c>
      <c r="G3783">
        <v>-199.11760000000001</v>
      </c>
      <c r="H3783" s="1">
        <v>-1.268762E-5</v>
      </c>
      <c r="I3783">
        <v>150.8117</v>
      </c>
      <c r="J3783">
        <v>-193.2372</v>
      </c>
      <c r="K3783">
        <v>1.1067020000000001</v>
      </c>
      <c r="L3783">
        <v>164.5069</v>
      </c>
      <c r="M3783">
        <v>-1.0910069999999999E-2</v>
      </c>
      <c r="N3783">
        <v>-1.017181E-2</v>
      </c>
      <c r="O3783">
        <v>-0.99988869999999996</v>
      </c>
      <c r="P3783">
        <v>-0.18491640000000001</v>
      </c>
      <c r="Q3783">
        <v>-0.1177812</v>
      </c>
      <c r="R3783">
        <v>-0.97567090000000001</v>
      </c>
      <c r="S3783">
        <v>-1.193222</v>
      </c>
      <c r="T3783">
        <v>-0.2243754</v>
      </c>
      <c r="U3783">
        <v>-2.8263400000000001</v>
      </c>
      <c r="V3783">
        <v>0.17376259999999999</v>
      </c>
      <c r="W3783">
        <v>-0.10863100000000001</v>
      </c>
      <c r="X3783">
        <v>0.97877780000000003</v>
      </c>
      <c r="Y3783">
        <v>0.37793909999999997</v>
      </c>
      <c r="Z3783">
        <v>6.2969040000000004E-2</v>
      </c>
      <c r="AA3783">
        <v>0.92368660000000002</v>
      </c>
      <c r="AB3783">
        <v>24</v>
      </c>
      <c r="AC3783">
        <v>-5.8803999999999998</v>
      </c>
      <c r="AD3783">
        <v>-1.10671468762</v>
      </c>
      <c r="AE3783">
        <v>-13.6952</v>
      </c>
      <c r="AF3783">
        <v>5.6992025184369997</v>
      </c>
      <c r="AG3783">
        <v>-1.10671468762</v>
      </c>
      <c r="AH3783">
        <v>13.6830981594291</v>
      </c>
      <c r="AI3783">
        <v>94.270022883637594</v>
      </c>
      <c r="AJ3783">
        <v>67.387586613789296</v>
      </c>
      <c r="AK3783">
        <v>14.863811825589099</v>
      </c>
      <c r="AL3783">
        <v>96.236404369743497</v>
      </c>
      <c r="AM3783">
        <v>79.933154229513406</v>
      </c>
      <c r="AN3783">
        <v>1.00000005854629</v>
      </c>
    </row>
    <row r="3784" spans="1:40" x14ac:dyDescent="0.25">
      <c r="A3784" t="str">
        <f>"20190305135309601"</f>
        <v>20190305135309601</v>
      </c>
      <c r="B3784" t="str">
        <f>"1551765189593328"</f>
        <v>1551765189593328</v>
      </c>
      <c r="C3784" t="s">
        <v>40</v>
      </c>
      <c r="D3784">
        <v>4.7020089999999897</v>
      </c>
      <c r="E3784">
        <v>0.58412810000000004</v>
      </c>
      <c r="F3784" t="s">
        <v>78</v>
      </c>
      <c r="G3784">
        <v>-199.24770000000001</v>
      </c>
      <c r="H3784" s="1">
        <v>-1.26251399999999E-5</v>
      </c>
      <c r="I3784">
        <v>150.51750000000001</v>
      </c>
      <c r="J3784">
        <v>-193.24350000000001</v>
      </c>
      <c r="K3784">
        <v>1.106657</v>
      </c>
      <c r="L3784">
        <v>164.24690000000001</v>
      </c>
      <c r="M3784">
        <v>-1.3987960000000001E-2</v>
      </c>
      <c r="N3784">
        <v>-1.0024669999999999E-2</v>
      </c>
      <c r="O3784">
        <v>-0.99985190000000002</v>
      </c>
      <c r="P3784">
        <v>-0.1918559</v>
      </c>
      <c r="Q3784">
        <v>-0.1165407</v>
      </c>
      <c r="R3784">
        <v>-0.97447899999999998</v>
      </c>
      <c r="S3784">
        <v>-1.210907</v>
      </c>
      <c r="T3784">
        <v>-0.222965</v>
      </c>
      <c r="U3784">
        <v>-2.8183750000000001</v>
      </c>
      <c r="V3784">
        <v>0.17770759999999999</v>
      </c>
      <c r="W3784">
        <v>-0.10756689999999999</v>
      </c>
      <c r="X3784">
        <v>0.97818680000000002</v>
      </c>
      <c r="Y3784">
        <v>0.38093569999999999</v>
      </c>
      <c r="Z3784">
        <v>6.2717049999999996E-2</v>
      </c>
      <c r="AA3784">
        <v>0.92247199999999996</v>
      </c>
      <c r="AB3784">
        <v>24</v>
      </c>
      <c r="AC3784">
        <v>-6.0041999999999902</v>
      </c>
      <c r="AD3784">
        <v>-1.1066696251399999</v>
      </c>
      <c r="AE3784">
        <v>-13.729399999999901</v>
      </c>
      <c r="AF3784">
        <v>5.7800312626108497</v>
      </c>
      <c r="AG3784">
        <v>-1.1066696251399999</v>
      </c>
      <c r="AH3784">
        <v>13.737122697701</v>
      </c>
      <c r="AI3784">
        <v>94.246715036563401</v>
      </c>
      <c r="AJ3784">
        <v>67.180590734960902</v>
      </c>
      <c r="AK3784">
        <v>14.9446317809326</v>
      </c>
      <c r="AL3784">
        <v>96.175076783121696</v>
      </c>
      <c r="AM3784">
        <v>79.703349342009801</v>
      </c>
      <c r="AN3784">
        <v>1.0000000223837999</v>
      </c>
    </row>
    <row r="3785" spans="1:40" x14ac:dyDescent="0.25">
      <c r="A3785" t="str">
        <f>"20190305135309622"</f>
        <v>20190305135309622</v>
      </c>
      <c r="B3785" t="str">
        <f>"1551765189613824"</f>
        <v>1551765189613824</v>
      </c>
      <c r="C3785" t="s">
        <v>40</v>
      </c>
      <c r="D3785">
        <v>4.7371230000000004</v>
      </c>
      <c r="E3785">
        <v>0.58392730000000004</v>
      </c>
      <c r="F3785" t="s">
        <v>78</v>
      </c>
      <c r="G3785">
        <v>-199.42240000000001</v>
      </c>
      <c r="H3785" s="1">
        <v>-1.25432E-5</v>
      </c>
      <c r="I3785">
        <v>150.1302</v>
      </c>
      <c r="J3785">
        <v>-193.2499</v>
      </c>
      <c r="K3785">
        <v>1.1066069999999999</v>
      </c>
      <c r="L3785">
        <v>164.011</v>
      </c>
      <c r="M3785">
        <v>-1.6818449999999999E-2</v>
      </c>
      <c r="N3785">
        <v>-9.8840669999999999E-3</v>
      </c>
      <c r="O3785">
        <v>-0.99980970000000002</v>
      </c>
      <c r="P3785">
        <v>-0.1983007</v>
      </c>
      <c r="Q3785">
        <v>-0.11546579999999999</v>
      </c>
      <c r="R3785">
        <v>-0.97331639999999997</v>
      </c>
      <c r="S3785">
        <v>-1.2299960000000001</v>
      </c>
      <c r="T3785">
        <v>-0.2202952</v>
      </c>
      <c r="U3785">
        <v>-2.8100740000000002</v>
      </c>
      <c r="V3785">
        <v>0.18140129999999999</v>
      </c>
      <c r="W3785">
        <v>-0.1066647</v>
      </c>
      <c r="X3785">
        <v>0.97760740000000002</v>
      </c>
      <c r="Y3785">
        <v>0.38459569999999998</v>
      </c>
      <c r="Z3785">
        <v>6.2036819999999999E-2</v>
      </c>
      <c r="AA3785">
        <v>0.92099819999999999</v>
      </c>
      <c r="AB3785">
        <v>24</v>
      </c>
      <c r="AC3785">
        <v>-6.1725000000000101</v>
      </c>
      <c r="AD3785">
        <v>-1.1066195432000001</v>
      </c>
      <c r="AE3785">
        <v>-13.880799999999899</v>
      </c>
      <c r="AF3785">
        <v>5.9068176055460304</v>
      </c>
      <c r="AG3785">
        <v>-1.1066195432000001</v>
      </c>
      <c r="AH3785">
        <v>13.9088466457775</v>
      </c>
      <c r="AI3785">
        <v>94.188410253010602</v>
      </c>
      <c r="AJ3785">
        <v>66.9900093377573</v>
      </c>
      <c r="AK3785">
        <v>15.151604405287801</v>
      </c>
      <c r="AL3785">
        <v>96.1230854814699</v>
      </c>
      <c r="AM3785">
        <v>79.487961072832803</v>
      </c>
      <c r="AN3785">
        <v>1.00000000920127</v>
      </c>
    </row>
    <row r="3786" spans="1:40" x14ac:dyDescent="0.25">
      <c r="A3786" t="str">
        <f>"20190305135309645"</f>
        <v>20190305135309645</v>
      </c>
      <c r="B3786" t="str">
        <f>"1551765189633344"</f>
        <v>1551765189633344</v>
      </c>
      <c r="C3786" t="s">
        <v>40</v>
      </c>
      <c r="D3786">
        <v>4.7749629999999996</v>
      </c>
      <c r="E3786">
        <v>0.58375500000000002</v>
      </c>
      <c r="F3786" t="s">
        <v>78</v>
      </c>
      <c r="G3786">
        <v>-199.56970000000001</v>
      </c>
      <c r="H3786" s="1">
        <v>-1.2475789999999999E-5</v>
      </c>
      <c r="I3786">
        <v>149.81039999999999</v>
      </c>
      <c r="J3786">
        <v>-193.25729999999999</v>
      </c>
      <c r="K3786">
        <v>1.106538</v>
      </c>
      <c r="L3786">
        <v>163.76740000000001</v>
      </c>
      <c r="M3786">
        <v>-1.9791949999999999E-2</v>
      </c>
      <c r="N3786">
        <v>-9.7407239999999992E-3</v>
      </c>
      <c r="O3786">
        <v>-0.99975670000000005</v>
      </c>
      <c r="P3786">
        <v>-0.2061077</v>
      </c>
      <c r="Q3786">
        <v>-0.1147606</v>
      </c>
      <c r="R3786">
        <v>-0.9717768</v>
      </c>
      <c r="S3786">
        <v>-1.2471159999999999</v>
      </c>
      <c r="T3786">
        <v>-0.2183734</v>
      </c>
      <c r="U3786">
        <v>-2.8022459999999998</v>
      </c>
      <c r="V3786">
        <v>0.1863245</v>
      </c>
      <c r="W3786">
        <v>-0.1061491</v>
      </c>
      <c r="X3786">
        <v>0.97673719999999997</v>
      </c>
      <c r="Y3786">
        <v>0.38751469999999999</v>
      </c>
      <c r="Z3786">
        <v>6.1608339999999998E-2</v>
      </c>
      <c r="AA3786">
        <v>0.91980260000000003</v>
      </c>
      <c r="AB3786">
        <v>24</v>
      </c>
      <c r="AC3786">
        <v>-6.3124000000000198</v>
      </c>
      <c r="AD3786">
        <v>-1.10655047579</v>
      </c>
      <c r="AE3786">
        <v>-13.957000000000001</v>
      </c>
      <c r="AF3786">
        <v>6.0035853049548704</v>
      </c>
      <c r="AG3786">
        <v>-1.10655047579</v>
      </c>
      <c r="AH3786">
        <v>14.006117759255501</v>
      </c>
      <c r="AI3786">
        <v>94.153246580636406</v>
      </c>
      <c r="AJ3786">
        <v>66.798080036818007</v>
      </c>
      <c r="AK3786">
        <v>15.278704956751801</v>
      </c>
      <c r="AL3786">
        <v>96.093375131843302</v>
      </c>
      <c r="AM3786">
        <v>79.199891654180206</v>
      </c>
      <c r="AN3786">
        <v>1.00000000429745</v>
      </c>
    </row>
    <row r="3787" spans="1:40" x14ac:dyDescent="0.25">
      <c r="A3787" t="str">
        <f>"20190305135309668"</f>
        <v>20190305135309668</v>
      </c>
      <c r="B3787" t="str">
        <f>"1551765189663600"</f>
        <v>1551765189663600</v>
      </c>
      <c r="C3787" t="s">
        <v>40</v>
      </c>
      <c r="D3787">
        <v>4.7632750000000001</v>
      </c>
      <c r="E3787">
        <v>0.60920490000000005</v>
      </c>
      <c r="F3787" t="s">
        <v>78</v>
      </c>
      <c r="G3787">
        <v>-199.69319999999999</v>
      </c>
      <c r="H3787" s="1">
        <v>-1.240944E-5</v>
      </c>
      <c r="I3787">
        <v>149.59739999999999</v>
      </c>
      <c r="J3787">
        <v>-193.26570000000001</v>
      </c>
      <c r="K3787">
        <v>1.1064670000000001</v>
      </c>
      <c r="L3787">
        <v>163.51939999999999</v>
      </c>
      <c r="M3787">
        <v>-2.28913E-2</v>
      </c>
      <c r="N3787">
        <v>-9.6068409999999996E-3</v>
      </c>
      <c r="O3787">
        <v>-0.99969189999999997</v>
      </c>
      <c r="P3787">
        <v>-0.21176890000000001</v>
      </c>
      <c r="Q3787">
        <v>-0.1156148</v>
      </c>
      <c r="R3787">
        <v>-0.97045720000000002</v>
      </c>
      <c r="S3787">
        <v>-1.2682800000000001</v>
      </c>
      <c r="T3787">
        <v>-0.21806</v>
      </c>
      <c r="U3787">
        <v>-2.792389</v>
      </c>
      <c r="V3787">
        <v>0.1889709</v>
      </c>
      <c r="W3787">
        <v>-0.10717599999999999</v>
      </c>
      <c r="X3787">
        <v>0.9761164</v>
      </c>
      <c r="Y3787">
        <v>0.39165369999999999</v>
      </c>
      <c r="Z3787">
        <v>6.1697399999999999E-2</v>
      </c>
      <c r="AA3787">
        <v>0.91804180000000002</v>
      </c>
      <c r="AB3787">
        <v>24</v>
      </c>
      <c r="AC3787">
        <v>-6.4274999999999798</v>
      </c>
      <c r="AD3787">
        <v>-1.1064794094399999</v>
      </c>
      <c r="AE3787">
        <v>-13.921999999999899</v>
      </c>
      <c r="AF3787">
        <v>6.0754745345974603</v>
      </c>
      <c r="AG3787">
        <v>-1.1064794094399999</v>
      </c>
      <c r="AH3787">
        <v>13.9926354953661</v>
      </c>
      <c r="AI3787">
        <v>94.148613633236593</v>
      </c>
      <c r="AJ3787">
        <v>66.529954612946796</v>
      </c>
      <c r="AK3787">
        <v>15.2947551667308</v>
      </c>
      <c r="AL3787">
        <v>96.152550011245395</v>
      </c>
      <c r="AM3787">
        <v>79.043383145938094</v>
      </c>
      <c r="AN3787">
        <v>0.99999996118588397</v>
      </c>
    </row>
    <row r="3788" spans="1:40" x14ac:dyDescent="0.25">
      <c r="A3788" t="str">
        <f>"20190305135309689"</f>
        <v>20190305135309689</v>
      </c>
      <c r="B3788" t="str">
        <f>"1551765189683121"</f>
        <v>1551765189683121</v>
      </c>
      <c r="C3788" t="s">
        <v>40</v>
      </c>
      <c r="D3788">
        <v>4.7733100000000004</v>
      </c>
      <c r="E3788">
        <v>0.61814669999999905</v>
      </c>
      <c r="F3788" t="s">
        <v>78</v>
      </c>
      <c r="G3788">
        <v>-199.87700000000001</v>
      </c>
      <c r="H3788" s="1">
        <v>-1.2883639999999999E-5</v>
      </c>
      <c r="I3788">
        <v>151.32299999999901</v>
      </c>
      <c r="J3788">
        <v>-193.2749</v>
      </c>
      <c r="K3788">
        <v>1.1063959999999999</v>
      </c>
      <c r="L3788">
        <v>163.27170000000001</v>
      </c>
      <c r="M3788">
        <v>-2.6067650000000001E-2</v>
      </c>
      <c r="N3788">
        <v>-9.4846870000000003E-3</v>
      </c>
      <c r="O3788">
        <v>-0.99961529999999998</v>
      </c>
      <c r="P3788">
        <v>-0.21977540000000001</v>
      </c>
      <c r="Q3788">
        <v>-0.11618589999999999</v>
      </c>
      <c r="R3788">
        <v>-0.96860740000000001</v>
      </c>
      <c r="S3788">
        <v>-1.484116</v>
      </c>
      <c r="T3788">
        <v>-0.24838450000000001</v>
      </c>
      <c r="U3788">
        <v>-2.7378689999999999</v>
      </c>
      <c r="V3788">
        <v>0.1939052</v>
      </c>
      <c r="W3788">
        <v>-0.1079276</v>
      </c>
      <c r="X3788">
        <v>0.97506539999999997</v>
      </c>
      <c r="Y3788">
        <v>0.45211259999999998</v>
      </c>
      <c r="Z3788">
        <v>7.0580240000000002E-2</v>
      </c>
      <c r="AA3788">
        <v>0.88916399999999995</v>
      </c>
      <c r="AB3788">
        <v>24</v>
      </c>
      <c r="AC3788">
        <v>-6.6021000000000001</v>
      </c>
      <c r="AD3788">
        <v>-1.1064088836399999</v>
      </c>
      <c r="AE3788">
        <v>-11.948700000000001</v>
      </c>
      <c r="AF3788">
        <v>6.2473308251179498</v>
      </c>
      <c r="AG3788">
        <v>-1.1064088836399999</v>
      </c>
      <c r="AH3788">
        <v>12.037676103430099</v>
      </c>
      <c r="AI3788">
        <v>94.663861687759194</v>
      </c>
      <c r="AJ3788">
        <v>62.571523872892101</v>
      </c>
      <c r="AK3788">
        <v>13.6073116017588</v>
      </c>
      <c r="AL3788">
        <v>96.1958641313079</v>
      </c>
      <c r="AM3788">
        <v>78.752677424714605</v>
      </c>
      <c r="AN3788">
        <v>1.00000006385297</v>
      </c>
    </row>
    <row r="3789" spans="1:40" x14ac:dyDescent="0.25">
      <c r="A3789" t="str">
        <f>"20190305135309702"</f>
        <v>20190305135309702</v>
      </c>
      <c r="B3789" t="str">
        <f>"1551765189693857"</f>
        <v>1551765189693857</v>
      </c>
      <c r="C3789" t="s">
        <v>40</v>
      </c>
      <c r="D3789">
        <v>4.7700809999999896</v>
      </c>
      <c r="E3789">
        <v>0.61996070000000003</v>
      </c>
      <c r="F3789" t="s">
        <v>78</v>
      </c>
      <c r="G3789">
        <v>-200.2672</v>
      </c>
      <c r="H3789" s="1">
        <v>-1.27225399999999E-5</v>
      </c>
      <c r="I3789">
        <v>151.25360000000001</v>
      </c>
      <c r="J3789">
        <v>-193.28049999999999</v>
      </c>
      <c r="K3789">
        <v>1.106357</v>
      </c>
      <c r="L3789">
        <v>163.13050000000001</v>
      </c>
      <c r="M3789">
        <v>-2.7907189999999998E-2</v>
      </c>
      <c r="N3789">
        <v>-9.4190960000000001E-3</v>
      </c>
      <c r="O3789">
        <v>-0.99956630000000002</v>
      </c>
      <c r="P3789">
        <v>-0.22433400000000001</v>
      </c>
      <c r="Q3789">
        <v>-0.116381</v>
      </c>
      <c r="R3789">
        <v>-0.96753789999999995</v>
      </c>
      <c r="S3789">
        <v>-1.5764769999999999</v>
      </c>
      <c r="T3789">
        <v>-0.24945059999999999</v>
      </c>
      <c r="U3789">
        <v>-2.7096100000000001</v>
      </c>
      <c r="V3789">
        <v>0.19668920000000001</v>
      </c>
      <c r="W3789">
        <v>-0.10822180000000001</v>
      </c>
      <c r="X3789">
        <v>0.97447490000000003</v>
      </c>
      <c r="Y3789">
        <v>0.47713549999999899</v>
      </c>
      <c r="Z3789">
        <v>7.0534739999999999E-2</v>
      </c>
      <c r="AA3789">
        <v>0.87599459999999996</v>
      </c>
      <c r="AB3789">
        <v>24</v>
      </c>
      <c r="AC3789">
        <v>-6.9867000000000097</v>
      </c>
      <c r="AD3789">
        <v>-1.10636972254</v>
      </c>
      <c r="AE3789">
        <v>-11.876899999999999</v>
      </c>
      <c r="AF3789">
        <v>6.6099013609530104</v>
      </c>
      <c r="AG3789">
        <v>-1.10636972254</v>
      </c>
      <c r="AH3789">
        <v>11.989966547970001</v>
      </c>
      <c r="AI3789">
        <v>94.619951641802601</v>
      </c>
      <c r="AJ3789">
        <v>61.132664590101299</v>
      </c>
      <c r="AK3789">
        <v>13.7358708419205</v>
      </c>
      <c r="AL3789">
        <v>96.212820478321603</v>
      </c>
      <c r="AM3789">
        <v>78.588667018633402</v>
      </c>
      <c r="AN3789">
        <v>0.99999996506094402</v>
      </c>
    </row>
    <row r="3790" spans="1:40" x14ac:dyDescent="0.25">
      <c r="A3790" t="str">
        <f>"20190305135309715"</f>
        <v>20190305135309715</v>
      </c>
      <c r="B3790" t="str">
        <f>"1551765189703617"</f>
        <v>1551765189703617</v>
      </c>
      <c r="C3790" t="s">
        <v>40</v>
      </c>
      <c r="D3790">
        <v>4.7294900000000002</v>
      </c>
      <c r="E3790">
        <v>0.62102760000000001</v>
      </c>
      <c r="F3790" t="s">
        <v>78</v>
      </c>
      <c r="G3790">
        <v>-200.45920000000001</v>
      </c>
      <c r="H3790" s="1">
        <v>-1.2576210000000001E-5</v>
      </c>
      <c r="I3790">
        <v>151.04399999999899</v>
      </c>
      <c r="J3790">
        <v>-193.2861</v>
      </c>
      <c r="K3790">
        <v>1.106322</v>
      </c>
      <c r="L3790">
        <v>162.99709999999999</v>
      </c>
      <c r="M3790">
        <v>-2.9675070000000001E-2</v>
      </c>
      <c r="N3790">
        <v>-9.3614639999999999E-3</v>
      </c>
      <c r="O3790">
        <v>-0.99951579999999995</v>
      </c>
      <c r="P3790">
        <v>-0.2285893</v>
      </c>
      <c r="Q3790">
        <v>-0.1165157</v>
      </c>
      <c r="R3790">
        <v>-0.96652559999999998</v>
      </c>
      <c r="S3790">
        <v>-1.6031949999999999</v>
      </c>
      <c r="T3790">
        <v>-0.2470803</v>
      </c>
      <c r="U3790">
        <v>-2.6992189999999998</v>
      </c>
      <c r="V3790">
        <v>0.19924169999999999</v>
      </c>
      <c r="W3790">
        <v>-0.1084456</v>
      </c>
      <c r="X3790">
        <v>0.9739314</v>
      </c>
      <c r="Y3790">
        <v>0.48350009999999999</v>
      </c>
      <c r="Z3790">
        <v>6.9768449999999996E-2</v>
      </c>
      <c r="AA3790">
        <v>0.87255949999999904</v>
      </c>
      <c r="AB3790">
        <v>24</v>
      </c>
      <c r="AC3790">
        <v>-7.1730999999999998</v>
      </c>
      <c r="AD3790">
        <v>-1.1063345762100001</v>
      </c>
      <c r="AE3790">
        <v>-11.953099999999999</v>
      </c>
      <c r="AF3790">
        <v>6.7725594882118001</v>
      </c>
      <c r="AG3790">
        <v>-1.1063345762100001</v>
      </c>
      <c r="AH3790">
        <v>12.084592816378599</v>
      </c>
      <c r="AI3790">
        <v>94.566098348755105</v>
      </c>
      <c r="AJ3790">
        <v>60.732453612749502</v>
      </c>
      <c r="AK3790">
        <v>13.897083210283901</v>
      </c>
      <c r="AL3790">
        <v>96.2257187354801</v>
      </c>
      <c r="AM3790">
        <v>78.438262219199899</v>
      </c>
      <c r="AN3790">
        <v>1.0000000375421001</v>
      </c>
    </row>
    <row r="3791" spans="1:40" x14ac:dyDescent="0.25">
      <c r="A3791" t="str">
        <f>"20190305135309733"</f>
        <v>20190305135309733</v>
      </c>
      <c r="B3791" t="str">
        <f>"1551765189723136"</f>
        <v>1551765189723136</v>
      </c>
      <c r="C3791" t="s">
        <v>40</v>
      </c>
      <c r="D3791">
        <v>4.74071</v>
      </c>
      <c r="E3791">
        <v>0.62104919999999997</v>
      </c>
      <c r="F3791" t="s">
        <v>78</v>
      </c>
      <c r="G3791">
        <v>-200.71719999999999</v>
      </c>
      <c r="H3791" s="1">
        <v>-1.23584199999999E-5</v>
      </c>
      <c r="I3791">
        <v>150.678</v>
      </c>
      <c r="J3791">
        <v>-193.29509999999999</v>
      </c>
      <c r="K3791">
        <v>1.1062590000000001</v>
      </c>
      <c r="L3791">
        <v>162.79429999999999</v>
      </c>
      <c r="M3791">
        <v>-3.2404460000000003E-2</v>
      </c>
      <c r="N3791">
        <v>-9.2794360000000003E-3</v>
      </c>
      <c r="O3791">
        <v>-0.99943170000000003</v>
      </c>
      <c r="P3791">
        <v>-0.23593430000000001</v>
      </c>
      <c r="Q3791">
        <v>-0.1169911</v>
      </c>
      <c r="R3791">
        <v>-0.96470109999999998</v>
      </c>
      <c r="S3791">
        <v>-1.6231690000000001</v>
      </c>
      <c r="T3791">
        <v>-0.24165800000000001</v>
      </c>
      <c r="U3791">
        <v>-2.6908720000000002</v>
      </c>
      <c r="V3791">
        <v>0.20396839999999999</v>
      </c>
      <c r="W3791">
        <v>-0.1090597</v>
      </c>
      <c r="X3791">
        <v>0.97288379999999997</v>
      </c>
      <c r="Y3791">
        <v>0.48712299999999997</v>
      </c>
      <c r="Z3791">
        <v>6.8109619999999996E-2</v>
      </c>
      <c r="AA3791">
        <v>0.87067349999999999</v>
      </c>
      <c r="AB3791">
        <v>24</v>
      </c>
      <c r="AC3791">
        <v>-7.4221000000000004</v>
      </c>
      <c r="AD3791">
        <v>-1.1062713584199999</v>
      </c>
      <c r="AE3791">
        <v>-12.116299999999899</v>
      </c>
      <c r="AF3791">
        <v>6.9832316210533003</v>
      </c>
      <c r="AG3791">
        <v>-1.1062713584199999</v>
      </c>
      <c r="AH3791">
        <v>12.276040693758899</v>
      </c>
      <c r="AI3791">
        <v>94.478816223905895</v>
      </c>
      <c r="AJ3791">
        <v>60.366595884067202</v>
      </c>
      <c r="AK3791">
        <v>14.1665286964225</v>
      </c>
      <c r="AL3791">
        <v>96.261114197804204</v>
      </c>
      <c r="AM3791">
        <v>78.159241943414401</v>
      </c>
      <c r="AN3791">
        <v>1.0000000073325399</v>
      </c>
    </row>
    <row r="3792" spans="1:40" x14ac:dyDescent="0.25">
      <c r="A3792" t="str">
        <f>"20190305135309756"</f>
        <v>20190305135309756</v>
      </c>
      <c r="B3792" t="str">
        <f>"1551765189753393"</f>
        <v>1551765189753393</v>
      </c>
      <c r="C3792" t="s">
        <v>40</v>
      </c>
      <c r="D3792">
        <v>4.737266</v>
      </c>
      <c r="E3792">
        <v>0.62090649999999903</v>
      </c>
      <c r="F3792" t="s">
        <v>78</v>
      </c>
      <c r="G3792">
        <v>-200.89439999999999</v>
      </c>
      <c r="H3792" s="1">
        <v>-1.22109E-5</v>
      </c>
      <c r="I3792">
        <v>150.41</v>
      </c>
      <c r="J3792">
        <v>-193.30690000000001</v>
      </c>
      <c r="K3792">
        <v>1.1061730000000001</v>
      </c>
      <c r="L3792">
        <v>162.5472</v>
      </c>
      <c r="M3792">
        <v>-3.5821180000000001E-2</v>
      </c>
      <c r="N3792">
        <v>-9.1907010000000008E-3</v>
      </c>
      <c r="O3792">
        <v>-0.99931610000000004</v>
      </c>
      <c r="P3792">
        <v>-0.24322659999999999</v>
      </c>
      <c r="Q3792">
        <v>-0.11769350000000001</v>
      </c>
      <c r="R3792">
        <v>-0.96280290000000002</v>
      </c>
      <c r="S3792">
        <v>-1.643723</v>
      </c>
      <c r="T3792">
        <v>-0.2392862</v>
      </c>
      <c r="U3792">
        <v>-2.6787260000000002</v>
      </c>
      <c r="V3792">
        <v>0.20797789999999999</v>
      </c>
      <c r="W3792">
        <v>-0.1099128</v>
      </c>
      <c r="X3792">
        <v>0.97193850000000004</v>
      </c>
      <c r="Y3792">
        <v>0.49077280000000001</v>
      </c>
      <c r="Z3792">
        <v>6.751008E-2</v>
      </c>
      <c r="AA3792">
        <v>0.868668199999999</v>
      </c>
      <c r="AB3792">
        <v>25</v>
      </c>
      <c r="AC3792">
        <v>-7.5874999999999702</v>
      </c>
      <c r="AD3792">
        <v>-1.1061852109000001</v>
      </c>
      <c r="AE3792">
        <v>-12.1372</v>
      </c>
      <c r="AF3792">
        <v>7.1054062578344999</v>
      </c>
      <c r="AG3792">
        <v>-1.1061852109000001</v>
      </c>
      <c r="AH3792">
        <v>12.3275886426954</v>
      </c>
      <c r="AI3792">
        <v>94.445414086848402</v>
      </c>
      <c r="AJ3792">
        <v>60.041604604184698</v>
      </c>
      <c r="AK3792">
        <v>14.2716462103431</v>
      </c>
      <c r="AL3792">
        <v>96.310288649743001</v>
      </c>
      <c r="AM3792">
        <v>77.921850199141701</v>
      </c>
      <c r="AN3792">
        <v>1.0000000391372399</v>
      </c>
    </row>
    <row r="3793" spans="1:40" x14ac:dyDescent="0.25">
      <c r="A3793" t="str">
        <f>"20190305135309769"</f>
        <v>20190305135309769</v>
      </c>
      <c r="B3793" t="str">
        <f>"1551765189764129"</f>
        <v>1551765189764129</v>
      </c>
      <c r="C3793" t="s">
        <v>40</v>
      </c>
      <c r="D3793">
        <v>4.6940670000000004</v>
      </c>
      <c r="E3793">
        <v>0.62065039999999905</v>
      </c>
      <c r="F3793" t="s">
        <v>78</v>
      </c>
      <c r="G3793">
        <v>-200.8604</v>
      </c>
      <c r="H3793" s="1">
        <v>-1.223203E-5</v>
      </c>
      <c r="I3793">
        <v>150.4391</v>
      </c>
      <c r="J3793">
        <v>-193.3143</v>
      </c>
      <c r="K3793">
        <v>1.1061270000000001</v>
      </c>
      <c r="L3793">
        <v>162.3997</v>
      </c>
      <c r="M3793">
        <v>-3.7903869999999999E-2</v>
      </c>
      <c r="N3793">
        <v>-9.1428020000000002E-3</v>
      </c>
      <c r="O3793">
        <v>-0.99923960000000001</v>
      </c>
      <c r="P3793">
        <v>-0.24664710000000001</v>
      </c>
      <c r="Q3793">
        <v>-0.1177405</v>
      </c>
      <c r="R3793">
        <v>-0.96192670000000002</v>
      </c>
      <c r="S3793">
        <v>-1.6631320000000001</v>
      </c>
      <c r="T3793">
        <v>-0.24356079999999999</v>
      </c>
      <c r="U3793">
        <v>-2.665985</v>
      </c>
      <c r="V3793">
        <v>0.209393</v>
      </c>
      <c r="W3793">
        <v>-0.1100391</v>
      </c>
      <c r="X3793">
        <v>0.97162029999999999</v>
      </c>
      <c r="Y3793">
        <v>0.49531069999999999</v>
      </c>
      <c r="Z3793">
        <v>6.8985000000000005E-2</v>
      </c>
      <c r="AA3793">
        <v>0.86597250000000003</v>
      </c>
      <c r="AB3793">
        <v>25</v>
      </c>
      <c r="AC3793">
        <v>-7.5460999999999903</v>
      </c>
      <c r="AD3793">
        <v>-1.1061392320299901</v>
      </c>
      <c r="AE3793">
        <v>-11.960599999999999</v>
      </c>
      <c r="AF3793">
        <v>7.0442102873057797</v>
      </c>
      <c r="AG3793">
        <v>-1.1061392320299901</v>
      </c>
      <c r="AH3793">
        <v>12.1636287826082</v>
      </c>
      <c r="AI3793">
        <v>94.499586318887907</v>
      </c>
      <c r="AJ3793">
        <v>59.923975881254201</v>
      </c>
      <c r="AK3793">
        <v>14.0995853745248</v>
      </c>
      <c r="AL3793">
        <v>96.317569392294899</v>
      </c>
      <c r="AM3793">
        <v>77.838243167002602</v>
      </c>
      <c r="AN3793">
        <v>1.0000000196749499</v>
      </c>
    </row>
    <row r="3794" spans="1:40" x14ac:dyDescent="0.25">
      <c r="A3794" t="str">
        <f>"20190305135309782"</f>
        <v>20190305135309782</v>
      </c>
      <c r="B3794" t="str">
        <f>"1551765189773420"</f>
        <v>1551765189773420</v>
      </c>
      <c r="C3794" t="s">
        <v>40</v>
      </c>
      <c r="D3794">
        <v>4.7098950000000004</v>
      </c>
      <c r="E3794">
        <v>0.62050399999999994</v>
      </c>
      <c r="F3794" t="s">
        <v>78</v>
      </c>
      <c r="G3794">
        <v>-200.90100000000001</v>
      </c>
      <c r="H3794" s="1">
        <v>-1.218859E-5</v>
      </c>
      <c r="I3794">
        <v>150.3168</v>
      </c>
      <c r="J3794">
        <v>-193.3218</v>
      </c>
      <c r="K3794">
        <v>1.1060890000000001</v>
      </c>
      <c r="L3794">
        <v>162.2578</v>
      </c>
      <c r="M3794">
        <v>-3.9939879999999997E-2</v>
      </c>
      <c r="N3794">
        <v>-9.1006430000000003E-3</v>
      </c>
      <c r="O3794">
        <v>-0.99916070000000001</v>
      </c>
      <c r="P3794">
        <v>-0.2501679</v>
      </c>
      <c r="Q3794">
        <v>-0.1173324</v>
      </c>
      <c r="R3794">
        <v>-0.96106670000000005</v>
      </c>
      <c r="S3794">
        <v>-1.670563</v>
      </c>
      <c r="T3794">
        <v>-0.24356659999999999</v>
      </c>
      <c r="U3794">
        <v>-2.6605829999999999</v>
      </c>
      <c r="V3794">
        <v>0.2109578</v>
      </c>
      <c r="W3794">
        <v>-0.1097057</v>
      </c>
      <c r="X3794">
        <v>0.97131940000000005</v>
      </c>
      <c r="Y3794">
        <v>0.49606509999999998</v>
      </c>
      <c r="Z3794">
        <v>6.9087079999999995E-2</v>
      </c>
      <c r="AA3794">
        <v>0.86553250000000004</v>
      </c>
      <c r="AB3794">
        <v>25</v>
      </c>
      <c r="AC3794">
        <v>-7.5791999999999797</v>
      </c>
      <c r="AD3794">
        <v>-1.1061011885899901</v>
      </c>
      <c r="AE3794">
        <v>-11.941000000000001</v>
      </c>
      <c r="AF3794">
        <v>7.0530712124747703</v>
      </c>
      <c r="AG3794">
        <v>-1.1061011885899901</v>
      </c>
      <c r="AH3794">
        <v>12.1598226957455</v>
      </c>
      <c r="AI3794">
        <v>94.499065537629306</v>
      </c>
      <c r="AJ3794">
        <v>59.884948041068803</v>
      </c>
      <c r="AK3794">
        <v>14.1007291073762</v>
      </c>
      <c r="AL3794">
        <v>96.298351029946403</v>
      </c>
      <c r="AM3794">
        <v>77.746412537839404</v>
      </c>
      <c r="AN3794">
        <v>0.99999995540484399</v>
      </c>
    </row>
    <row r="3795" spans="1:40" x14ac:dyDescent="0.25">
      <c r="A3795" t="str">
        <f>"20190305135309793"</f>
        <v>20190305135309793</v>
      </c>
      <c r="B3795" t="str">
        <f>"1551765189783179"</f>
        <v>1551765189783179</v>
      </c>
      <c r="C3795" t="s">
        <v>40</v>
      </c>
      <c r="D3795">
        <v>4.7481949999999999</v>
      </c>
      <c r="E3795">
        <v>0.62027519999999903</v>
      </c>
      <c r="F3795" t="s">
        <v>78</v>
      </c>
      <c r="G3795">
        <v>-200.9676</v>
      </c>
      <c r="H3795" s="1">
        <v>-1.212846E-5</v>
      </c>
      <c r="I3795">
        <v>150.1694</v>
      </c>
      <c r="J3795">
        <v>-193.32910000000001</v>
      </c>
      <c r="K3795">
        <v>1.106047</v>
      </c>
      <c r="L3795">
        <v>162.126</v>
      </c>
      <c r="M3795">
        <v>-4.1865029999999998E-2</v>
      </c>
      <c r="N3795">
        <v>-9.0648129999999997E-3</v>
      </c>
      <c r="O3795">
        <v>-0.99908209999999997</v>
      </c>
      <c r="P3795">
        <v>-0.25306040000000002</v>
      </c>
      <c r="Q3795">
        <v>-0.1167436</v>
      </c>
      <c r="R3795">
        <v>-0.96038069999999998</v>
      </c>
      <c r="S3795">
        <v>-1.679138</v>
      </c>
      <c r="T3795">
        <v>-0.24291869999999999</v>
      </c>
      <c r="U3795">
        <v>-2.6548310000000002</v>
      </c>
      <c r="V3795">
        <v>0.21199860000000001</v>
      </c>
      <c r="W3795">
        <v>-0.1091806</v>
      </c>
      <c r="X3795">
        <v>0.97115200000000002</v>
      </c>
      <c r="Y3795">
        <v>0.49724249999999998</v>
      </c>
      <c r="Z3795">
        <v>6.8964510000000007E-2</v>
      </c>
      <c r="AA3795">
        <v>0.86486640000000004</v>
      </c>
      <c r="AB3795">
        <v>25</v>
      </c>
      <c r="AC3795">
        <v>-7.6384999999999899</v>
      </c>
      <c r="AD3795">
        <v>-1.1060591284600001</v>
      </c>
      <c r="AE3795">
        <v>-11.9566</v>
      </c>
      <c r="AF3795">
        <v>7.0881430724951802</v>
      </c>
      <c r="AG3795">
        <v>-1.1060591284600001</v>
      </c>
      <c r="AH3795">
        <v>12.191824485576101</v>
      </c>
      <c r="AI3795">
        <v>94.484507289631594</v>
      </c>
      <c r="AJ3795">
        <v>59.826925954128903</v>
      </c>
      <c r="AK3795">
        <v>14.145873012964</v>
      </c>
      <c r="AL3795">
        <v>96.268082863356597</v>
      </c>
      <c r="AM3795">
        <v>77.68573930142</v>
      </c>
      <c r="AN3795">
        <v>1.00000000846116</v>
      </c>
    </row>
    <row r="3796" spans="1:40" x14ac:dyDescent="0.25">
      <c r="A3796" t="str">
        <f>"20190305135309807"</f>
        <v>20190305135309807</v>
      </c>
      <c r="B3796" t="str">
        <f>"1551765189803676"</f>
        <v>1551765189803676</v>
      </c>
      <c r="C3796" t="s">
        <v>40</v>
      </c>
      <c r="D3796">
        <v>4.7203339999999896</v>
      </c>
      <c r="E3796">
        <v>0.61973080000000003</v>
      </c>
      <c r="F3796" t="s">
        <v>78</v>
      </c>
      <c r="G3796">
        <v>-200.95959999999999</v>
      </c>
      <c r="H3796" s="1">
        <v>-1.2123800000000001E-5</v>
      </c>
      <c r="I3796">
        <v>150.13</v>
      </c>
      <c r="J3796">
        <v>-193.3373</v>
      </c>
      <c r="K3796">
        <v>1.105999</v>
      </c>
      <c r="L3796">
        <v>161.98169999999999</v>
      </c>
      <c r="M3796">
        <v>-4.3991240000000001E-2</v>
      </c>
      <c r="N3796">
        <v>-9.0274429999999996E-3</v>
      </c>
      <c r="O3796">
        <v>-0.99899139999999997</v>
      </c>
      <c r="P3796">
        <v>-0.25611729999999999</v>
      </c>
      <c r="Q3796">
        <v>-0.1163444</v>
      </c>
      <c r="R3796">
        <v>-0.95961890000000005</v>
      </c>
      <c r="S3796">
        <v>-1.6855929999999999</v>
      </c>
      <c r="T3796">
        <v>-0.2443292</v>
      </c>
      <c r="U3796">
        <v>-2.649918</v>
      </c>
      <c r="V3796">
        <v>0.2130108</v>
      </c>
      <c r="W3796">
        <v>-0.1088489</v>
      </c>
      <c r="X3796">
        <v>0.97096769999999999</v>
      </c>
      <c r="Y3796">
        <v>0.49760280000000001</v>
      </c>
      <c r="Z3796">
        <v>6.9512110000000002E-2</v>
      </c>
      <c r="AA3796">
        <v>0.86461529999999998</v>
      </c>
      <c r="AB3796">
        <v>25</v>
      </c>
      <c r="AC3796">
        <v>-7.6222999999999903</v>
      </c>
      <c r="AD3796">
        <v>-1.1060111238000001</v>
      </c>
      <c r="AE3796">
        <v>-11.8516999999999</v>
      </c>
      <c r="AF3796">
        <v>7.05009555009745</v>
      </c>
      <c r="AG3796">
        <v>-1.1060111238000001</v>
      </c>
      <c r="AH3796">
        <v>12.101004315269501</v>
      </c>
      <c r="AI3796">
        <v>94.515446060137506</v>
      </c>
      <c r="AJ3796">
        <v>59.774743954356701</v>
      </c>
      <c r="AK3796">
        <v>14.0485377641107</v>
      </c>
      <c r="AL3796">
        <v>96.248964090517404</v>
      </c>
      <c r="AM3796">
        <v>77.626474596667506</v>
      </c>
      <c r="AN3796">
        <v>0.99999997919556904</v>
      </c>
    </row>
    <row r="3797" spans="1:40" x14ac:dyDescent="0.25">
      <c r="A3797" t="str">
        <f>"20190305135309823"</f>
        <v>20190305135309823</v>
      </c>
      <c r="B3797" t="str">
        <f>"1551765189813436"</f>
        <v>1551765189813436</v>
      </c>
      <c r="C3797" t="s">
        <v>40</v>
      </c>
      <c r="D3797">
        <v>4.7069070000000002</v>
      </c>
      <c r="E3797">
        <v>0.6195349</v>
      </c>
      <c r="F3797" t="s">
        <v>78</v>
      </c>
      <c r="G3797">
        <v>-201.03540000000001</v>
      </c>
      <c r="H3797" s="1">
        <v>-1.204801E-5</v>
      </c>
      <c r="I3797">
        <v>149.92689999999999</v>
      </c>
      <c r="J3797">
        <v>-193.34809999999999</v>
      </c>
      <c r="K3797">
        <v>1.105942</v>
      </c>
      <c r="L3797">
        <v>161.80070000000001</v>
      </c>
      <c r="M3797">
        <v>-4.671521E-2</v>
      </c>
      <c r="N3797">
        <v>-8.9855719999999903E-3</v>
      </c>
      <c r="O3797">
        <v>-0.99886790000000003</v>
      </c>
      <c r="P3797">
        <v>-0.26007999999999998</v>
      </c>
      <c r="Q3797">
        <v>-0.1164434</v>
      </c>
      <c r="R3797">
        <v>-0.95854039999999996</v>
      </c>
      <c r="S3797">
        <v>-1.68962099999999</v>
      </c>
      <c r="T3797">
        <v>-0.24275279999999999</v>
      </c>
      <c r="U3797">
        <v>-2.6458439999999999</v>
      </c>
      <c r="V3797">
        <v>0.21435750000000001</v>
      </c>
      <c r="W3797">
        <v>-0.1090299</v>
      </c>
      <c r="X3797">
        <v>0.97065100000000004</v>
      </c>
      <c r="Y3797">
        <v>0.49679430000000002</v>
      </c>
      <c r="Z3797">
        <v>6.9133650000000005E-2</v>
      </c>
      <c r="AA3797">
        <v>0.86511039999999995</v>
      </c>
      <c r="AB3797">
        <v>25</v>
      </c>
      <c r="AC3797">
        <v>-7.68730000000002</v>
      </c>
      <c r="AD3797">
        <v>-1.1059540480100001</v>
      </c>
      <c r="AE3797">
        <v>-11.873799999999999</v>
      </c>
      <c r="AF3797">
        <v>7.0809104449909501</v>
      </c>
      <c r="AG3797">
        <v>-1.1059540480100001</v>
      </c>
      <c r="AH3797">
        <v>12.145715151296599</v>
      </c>
      <c r="AI3797">
        <v>94.497896165310095</v>
      </c>
      <c r="AJ3797">
        <v>59.757960699689001</v>
      </c>
      <c r="AK3797">
        <v>14.1025112523524</v>
      </c>
      <c r="AL3797">
        <v>96.259396521950904</v>
      </c>
      <c r="AM3797">
        <v>77.546743041623301</v>
      </c>
      <c r="AN3797">
        <v>1.0000000103506299</v>
      </c>
    </row>
    <row r="3798" spans="1:40" x14ac:dyDescent="0.25">
      <c r="A3798" t="str">
        <f>"20190305135309835"</f>
        <v>20190305135309835</v>
      </c>
      <c r="B3798" t="str">
        <f>"1551765189823196"</f>
        <v>1551765189823196</v>
      </c>
      <c r="C3798" t="s">
        <v>40</v>
      </c>
      <c r="D3798">
        <v>4.7464829999999996</v>
      </c>
      <c r="E3798">
        <v>0.61935069999999903</v>
      </c>
      <c r="F3798" t="s">
        <v>78</v>
      </c>
      <c r="G3798">
        <v>-201.12029999999999</v>
      </c>
      <c r="H3798" s="1">
        <v>-1.196864E-5</v>
      </c>
      <c r="I3798">
        <v>149.7261</v>
      </c>
      <c r="J3798">
        <v>-193.35669999999999</v>
      </c>
      <c r="K3798">
        <v>1.105898</v>
      </c>
      <c r="L3798">
        <v>161.6645</v>
      </c>
      <c r="M3798">
        <v>-4.8800429999999999E-2</v>
      </c>
      <c r="N3798">
        <v>-8.9573719999999999E-3</v>
      </c>
      <c r="O3798">
        <v>-0.9987684</v>
      </c>
      <c r="P3798">
        <v>-0.26262600000000003</v>
      </c>
      <c r="Q3798">
        <v>-0.11667080000000001</v>
      </c>
      <c r="R3798">
        <v>-0.95781819999999895</v>
      </c>
      <c r="S3798">
        <v>-1.69894399999999</v>
      </c>
      <c r="T3798">
        <v>-0.2417542</v>
      </c>
      <c r="U3798">
        <v>-2.6394199999999999</v>
      </c>
      <c r="V3798">
        <v>0.21489839999999999</v>
      </c>
      <c r="W3798">
        <v>-0.10931100000000001</v>
      </c>
      <c r="X3798">
        <v>0.97049980000000002</v>
      </c>
      <c r="Y3798">
        <v>0.49811179999999999</v>
      </c>
      <c r="Z3798">
        <v>6.8895849999999995E-2</v>
      </c>
      <c r="AA3798">
        <v>0.86437140000000001</v>
      </c>
      <c r="AB3798">
        <v>25</v>
      </c>
      <c r="AC3798">
        <v>-7.7635999999999896</v>
      </c>
      <c r="AD3798">
        <v>-1.10590996864</v>
      </c>
      <c r="AE3798">
        <v>-11.9384</v>
      </c>
      <c r="AF3798">
        <v>7.1287350101561904</v>
      </c>
      <c r="AG3798">
        <v>-1.10590996864</v>
      </c>
      <c r="AH3798">
        <v>12.2293047220373</v>
      </c>
      <c r="AI3798">
        <v>94.467243458338302</v>
      </c>
      <c r="AJ3798">
        <v>59.761135311090896</v>
      </c>
      <c r="AK3798">
        <v>14.1985137844849</v>
      </c>
      <c r="AL3798">
        <v>96.2755990250227</v>
      </c>
      <c r="AM3798">
        <v>77.5144190687285</v>
      </c>
      <c r="AN3798">
        <v>1.0000000394217901</v>
      </c>
    </row>
    <row r="3799" spans="1:40" x14ac:dyDescent="0.25">
      <c r="A3799" t="str">
        <f>"20190305135309849"</f>
        <v>20190305135309849</v>
      </c>
      <c r="B3799" t="str">
        <f>"1551765189843692"</f>
        <v>1551765189843692</v>
      </c>
      <c r="C3799" t="s">
        <v>40</v>
      </c>
      <c r="D3799">
        <v>4.7290640000000002</v>
      </c>
      <c r="E3799">
        <v>0.61886459999999999</v>
      </c>
      <c r="F3799" t="s">
        <v>78</v>
      </c>
      <c r="G3799">
        <v>-201.11320000000001</v>
      </c>
      <c r="H3799" s="1">
        <v>-1.1961019999999999E-5</v>
      </c>
      <c r="I3799">
        <v>149.67420000000001</v>
      </c>
      <c r="J3799">
        <v>-193.3665</v>
      </c>
      <c r="K3799">
        <v>1.1058509999999999</v>
      </c>
      <c r="L3799">
        <v>161.5128</v>
      </c>
      <c r="M3799">
        <v>-5.114167E-2</v>
      </c>
      <c r="N3799">
        <v>-8.9276359999999992E-3</v>
      </c>
      <c r="O3799">
        <v>-0.99865170000000003</v>
      </c>
      <c r="P3799">
        <v>-0.26535409999999998</v>
      </c>
      <c r="Q3799">
        <v>-0.1169438</v>
      </c>
      <c r="R3799">
        <v>-0.95703300000000002</v>
      </c>
      <c r="S3799">
        <v>-1.7046509999999999</v>
      </c>
      <c r="T3799">
        <v>-0.24304890000000001</v>
      </c>
      <c r="U3799">
        <v>-2.635132</v>
      </c>
      <c r="V3799">
        <v>0.21537609999999999</v>
      </c>
      <c r="W3799">
        <v>-0.1096404</v>
      </c>
      <c r="X3799">
        <v>0.97035669999999996</v>
      </c>
      <c r="Y3799">
        <v>0.4980231</v>
      </c>
      <c r="Z3799">
        <v>6.9397310000000004E-2</v>
      </c>
      <c r="AA3799">
        <v>0.8643824</v>
      </c>
      <c r="AB3799">
        <v>25</v>
      </c>
      <c r="AC3799">
        <v>-7.7466999999999997</v>
      </c>
      <c r="AD3799">
        <v>-1.1058629610199999</v>
      </c>
      <c r="AE3799">
        <v>-11.8385999999999</v>
      </c>
      <c r="AF3799">
        <v>7.0877881669972904</v>
      </c>
      <c r="AG3799">
        <v>-1.1058629610199999</v>
      </c>
      <c r="AH3799">
        <v>12.1450993356281</v>
      </c>
      <c r="AI3799">
        <v>94.496592887220402</v>
      </c>
      <c r="AJ3799">
        <v>59.732487446291103</v>
      </c>
      <c r="AK3799">
        <v>14.1054284536506</v>
      </c>
      <c r="AL3799">
        <v>96.294586605174501</v>
      </c>
      <c r="AM3799">
        <v>77.485750755019893</v>
      </c>
      <c r="AN3799">
        <v>1.0000000034991201</v>
      </c>
    </row>
    <row r="3800" spans="1:40" x14ac:dyDescent="0.25">
      <c r="A3800" t="str">
        <f>"20190305135309863"</f>
        <v>20190305135309863</v>
      </c>
      <c r="B3800" t="str">
        <f>"1551765189853452"</f>
        <v>1551765189853452</v>
      </c>
      <c r="C3800" t="s">
        <v>40</v>
      </c>
      <c r="D3800">
        <v>4.7388199999999996</v>
      </c>
      <c r="E3800">
        <v>0.61870519999999996</v>
      </c>
      <c r="F3800" t="s">
        <v>78</v>
      </c>
      <c r="G3800">
        <v>-201.0729</v>
      </c>
      <c r="H3800" s="1">
        <v>-1.197256E-5</v>
      </c>
      <c r="I3800">
        <v>149.6438</v>
      </c>
      <c r="J3800">
        <v>-193.37729999999999</v>
      </c>
      <c r="K3800">
        <v>1.1058030000000001</v>
      </c>
      <c r="L3800">
        <v>161.35249999999999</v>
      </c>
      <c r="M3800">
        <v>-5.3646729999999997E-2</v>
      </c>
      <c r="N3800">
        <v>-8.8990330000000006E-3</v>
      </c>
      <c r="O3800">
        <v>-0.99852039999999997</v>
      </c>
      <c r="P3800">
        <v>-0.26811750000000001</v>
      </c>
      <c r="Q3800">
        <v>-0.116466899999999</v>
      </c>
      <c r="R3800">
        <v>-0.95632050000000002</v>
      </c>
      <c r="S3800">
        <v>-1.7083279999999901</v>
      </c>
      <c r="T3800">
        <v>-0.24514459999999999</v>
      </c>
      <c r="U3800">
        <v>-2.6310730000000002</v>
      </c>
      <c r="V3800">
        <v>0.2157328</v>
      </c>
      <c r="W3800">
        <v>-0.1092161</v>
      </c>
      <c r="X3800">
        <v>0.97032529999999995</v>
      </c>
      <c r="Y3800">
        <v>0.49727789999999999</v>
      </c>
      <c r="Z3800">
        <v>7.0177840000000005E-2</v>
      </c>
      <c r="AA3800">
        <v>0.86474839999999997</v>
      </c>
      <c r="AB3800">
        <v>25</v>
      </c>
      <c r="AC3800">
        <v>-7.6956000000000104</v>
      </c>
      <c r="AD3800">
        <v>-1.1058149725599999</v>
      </c>
      <c r="AE3800">
        <v>-11.708699999999901</v>
      </c>
      <c r="AF3800">
        <v>7.0126779176773697</v>
      </c>
      <c r="AG3800">
        <v>-1.1058149725599999</v>
      </c>
      <c r="AH3800">
        <v>12.0297660887598</v>
      </c>
      <c r="AI3800">
        <v>94.540603860976205</v>
      </c>
      <c r="AJ3800">
        <v>59.760216608750198</v>
      </c>
      <c r="AK3800">
        <v>13.9683839609631</v>
      </c>
      <c r="AL3800">
        <v>96.270129199536598</v>
      </c>
      <c r="AM3800">
        <v>77.465286652431899</v>
      </c>
      <c r="AN3800">
        <v>0.999999992657569</v>
      </c>
    </row>
    <row r="3801" spans="1:40" x14ac:dyDescent="0.25">
      <c r="A3801" t="str">
        <f>"20190305135309879"</f>
        <v>20190305135309879</v>
      </c>
      <c r="B3801" t="str">
        <f>"1551765189873947"</f>
        <v>1551765189873947</v>
      </c>
      <c r="C3801" t="s">
        <v>40</v>
      </c>
      <c r="D3801">
        <v>4.6952199999999999</v>
      </c>
      <c r="E3801">
        <v>0.6185813</v>
      </c>
      <c r="F3801" t="s">
        <v>78</v>
      </c>
      <c r="G3801">
        <v>-201.14859999999999</v>
      </c>
      <c r="H3801" s="1">
        <v>-1.188369E-5</v>
      </c>
      <c r="I3801">
        <v>149.4496</v>
      </c>
      <c r="J3801">
        <v>-193.39</v>
      </c>
      <c r="K3801">
        <v>1.1057600000000001</v>
      </c>
      <c r="L3801">
        <v>161.17320000000001</v>
      </c>
      <c r="M3801">
        <v>-5.6480349999999999E-2</v>
      </c>
      <c r="N3801">
        <v>-8.8702929999999996E-3</v>
      </c>
      <c r="O3801">
        <v>-0.99836440000000004</v>
      </c>
      <c r="P3801">
        <v>-0.27186579999999999</v>
      </c>
      <c r="Q3801">
        <v>-0.1157117</v>
      </c>
      <c r="R3801">
        <v>-0.95535329999999996</v>
      </c>
      <c r="S3801">
        <v>-1.71484399999999</v>
      </c>
      <c r="T3801">
        <v>-0.24401500000000001</v>
      </c>
      <c r="U3801">
        <v>-2.6265559999999999</v>
      </c>
      <c r="V3801">
        <v>0.2167723</v>
      </c>
      <c r="W3801">
        <v>-0.1085175</v>
      </c>
      <c r="X3801">
        <v>0.97017200000000003</v>
      </c>
      <c r="Y3801">
        <v>0.49701479999999998</v>
      </c>
      <c r="Z3801">
        <v>6.9903889999999996E-2</v>
      </c>
      <c r="AA3801">
        <v>0.86492179999999996</v>
      </c>
      <c r="AB3801">
        <v>25</v>
      </c>
      <c r="AC3801">
        <v>-7.7586000000000004</v>
      </c>
      <c r="AD3801">
        <v>-1.1057718836899999</v>
      </c>
      <c r="AE3801">
        <v>-11.723599999999999</v>
      </c>
      <c r="AF3801">
        <v>7.0404777043991604</v>
      </c>
      <c r="AG3801">
        <v>-1.1057718836899999</v>
      </c>
      <c r="AH3801">
        <v>12.0684460455946</v>
      </c>
      <c r="AI3801">
        <v>94.525082534744897</v>
      </c>
      <c r="AJ3801">
        <v>59.741611658752703</v>
      </c>
      <c r="AK3801">
        <v>14.0156500998109</v>
      </c>
      <c r="AL3801">
        <v>96.229863032069801</v>
      </c>
      <c r="AM3801">
        <v>77.404884300326898</v>
      </c>
      <c r="AN3801">
        <v>0.99999999371877002</v>
      </c>
    </row>
    <row r="3802" spans="1:40" x14ac:dyDescent="0.25">
      <c r="A3802" t="str">
        <f>"20190305135309902"</f>
        <v>20190305135309902</v>
      </c>
      <c r="B3802" t="str">
        <f>"1551765189893470"</f>
        <v>1551765189893470</v>
      </c>
      <c r="C3802" t="s">
        <v>40</v>
      </c>
      <c r="D3802">
        <v>4.7456719999999999</v>
      </c>
      <c r="E3802">
        <v>0.61894659999999901</v>
      </c>
      <c r="F3802" t="s">
        <v>78</v>
      </c>
      <c r="G3802">
        <v>-201.26249999999999</v>
      </c>
      <c r="H3802" s="1">
        <v>-1.176108E-5</v>
      </c>
      <c r="I3802">
        <v>149.2072</v>
      </c>
      <c r="J3802">
        <v>-193.4092</v>
      </c>
      <c r="K3802">
        <v>1.1057110000000001</v>
      </c>
      <c r="L3802">
        <v>160.9144</v>
      </c>
      <c r="M3802">
        <v>-6.0601059999999998E-2</v>
      </c>
      <c r="N3802">
        <v>-8.83281E-3</v>
      </c>
      <c r="O3802">
        <v>-0.99812310000000004</v>
      </c>
      <c r="P3802">
        <v>-0.27705229999999997</v>
      </c>
      <c r="Q3802">
        <v>-0.1153105</v>
      </c>
      <c r="R3802">
        <v>-0.95391060000000005</v>
      </c>
      <c r="S3802">
        <v>-1.72389199999999</v>
      </c>
      <c r="T3802">
        <v>-0.24214050000000001</v>
      </c>
      <c r="U3802">
        <v>-2.6202999999999999</v>
      </c>
      <c r="V3802">
        <v>0.21802489999999999</v>
      </c>
      <c r="W3802">
        <v>-0.108186</v>
      </c>
      <c r="X3802">
        <v>0.96992829999999997</v>
      </c>
      <c r="Y3802">
        <v>0.49648940000000003</v>
      </c>
      <c r="Z3802">
        <v>6.9422849999999994E-2</v>
      </c>
      <c r="AA3802">
        <v>0.86526229999999904</v>
      </c>
      <c r="AB3802">
        <v>25</v>
      </c>
      <c r="AC3802">
        <v>-7.8532999999999902</v>
      </c>
      <c r="AD3802">
        <v>-1.10572276108</v>
      </c>
      <c r="AE3802">
        <v>-11.7072</v>
      </c>
      <c r="AF3802">
        <v>7.0857763602504802</v>
      </c>
      <c r="AG3802">
        <v>-1.10572276108</v>
      </c>
      <c r="AH3802">
        <v>12.0872561747957</v>
      </c>
      <c r="AI3802">
        <v>94.512305639204101</v>
      </c>
      <c r="AJ3802">
        <v>59.620367988293403</v>
      </c>
      <c r="AK3802">
        <v>14.054629532185899</v>
      </c>
      <c r="AL3802">
        <v>96.210757035961805</v>
      </c>
      <c r="AM3802">
        <v>77.3313664049235</v>
      </c>
      <c r="AN3802">
        <v>0.99999998737844897</v>
      </c>
    </row>
    <row r="3803" spans="1:40" x14ac:dyDescent="0.25">
      <c r="A3803" t="str">
        <f>"20190305135309923"</f>
        <v>20190305135309923</v>
      </c>
      <c r="B3803" t="str">
        <f>"1551765189913967"</f>
        <v>1551765189913967</v>
      </c>
      <c r="C3803" t="s">
        <v>40</v>
      </c>
      <c r="D3803">
        <v>4.6574619999999998</v>
      </c>
      <c r="E3803">
        <v>0.63100809999999996</v>
      </c>
      <c r="F3803" t="s">
        <v>78</v>
      </c>
      <c r="G3803">
        <v>-201.39789999999999</v>
      </c>
      <c r="H3803" s="1">
        <v>-1.162099E-5</v>
      </c>
      <c r="I3803">
        <v>148.93819999999999</v>
      </c>
      <c r="J3803">
        <v>-193.42750000000001</v>
      </c>
      <c r="K3803">
        <v>1.105685</v>
      </c>
      <c r="L3803">
        <v>160.68010000000001</v>
      </c>
      <c r="M3803">
        <v>-6.4356389999999999E-2</v>
      </c>
      <c r="N3803">
        <v>-8.8026230000000007E-3</v>
      </c>
      <c r="O3803">
        <v>-0.99788809999999994</v>
      </c>
      <c r="P3803">
        <v>-0.28176089999999998</v>
      </c>
      <c r="Q3803">
        <v>-0.1158501</v>
      </c>
      <c r="R3803">
        <v>-0.95246540000000002</v>
      </c>
      <c r="S3803">
        <v>-1.7410890000000001</v>
      </c>
      <c r="T3803">
        <v>-0.24098459999999999</v>
      </c>
      <c r="U3803">
        <v>-2.6101380000000001</v>
      </c>
      <c r="V3803">
        <v>0.21915889999999999</v>
      </c>
      <c r="W3803">
        <v>-0.1087785</v>
      </c>
      <c r="X3803">
        <v>0.96960650000000004</v>
      </c>
      <c r="Y3803">
        <v>0.49873889999999999</v>
      </c>
      <c r="Z3803">
        <v>6.9133479999999997E-2</v>
      </c>
      <c r="AA3803">
        <v>0.86399079999999995</v>
      </c>
      <c r="AB3803">
        <v>25</v>
      </c>
      <c r="AC3803">
        <v>-7.9703999999999802</v>
      </c>
      <c r="AD3803">
        <v>-1.1056966209899901</v>
      </c>
      <c r="AE3803">
        <v>-11.741899999999999</v>
      </c>
      <c r="AF3803">
        <v>7.1547484794401504</v>
      </c>
      <c r="AG3803">
        <v>-1.1056966209899901</v>
      </c>
      <c r="AH3803">
        <v>12.156727407978099</v>
      </c>
      <c r="AI3803">
        <v>94.481987738136098</v>
      </c>
      <c r="AJ3803">
        <v>59.521387983691298</v>
      </c>
      <c r="AK3803">
        <v>14.149170014301401</v>
      </c>
      <c r="AL3803">
        <v>96.244905771701895</v>
      </c>
      <c r="AM3803">
        <v>77.263528596543594</v>
      </c>
      <c r="AN3803">
        <v>1.0000000751768501</v>
      </c>
    </row>
    <row r="3804" spans="1:40" x14ac:dyDescent="0.25">
      <c r="A3804" t="str">
        <f>"20190305135309935"</f>
        <v>20190305135309935</v>
      </c>
      <c r="B3804" t="str">
        <f>"1551765189913967"</f>
        <v>1551765189913967</v>
      </c>
      <c r="C3804" t="s">
        <v>40</v>
      </c>
      <c r="D3804">
        <v>4.6574619999999998</v>
      </c>
      <c r="E3804">
        <v>0.63100809999999996</v>
      </c>
      <c r="F3804" t="s">
        <v>42</v>
      </c>
      <c r="G3804">
        <v>-216.4648</v>
      </c>
      <c r="H3804">
        <v>7.9986299999999996E-2</v>
      </c>
      <c r="I3804">
        <v>128.2432</v>
      </c>
      <c r="J3804">
        <v>-193.43870000000001</v>
      </c>
      <c r="K3804">
        <v>1.1056709999999901</v>
      </c>
      <c r="L3804">
        <v>160.54259999999999</v>
      </c>
      <c r="M3804">
        <v>-6.6563120000000003E-2</v>
      </c>
      <c r="N3804">
        <v>-8.7871059999999994E-3</v>
      </c>
      <c r="O3804">
        <v>-0.99774350000000001</v>
      </c>
      <c r="P3804">
        <v>-0.2841862</v>
      </c>
      <c r="Q3804">
        <v>-0.11583</v>
      </c>
      <c r="R3804">
        <v>-0.9517468</v>
      </c>
      <c r="S3804">
        <v>-1.842743</v>
      </c>
      <c r="T3804">
        <v>-8.2045080000000006E-2</v>
      </c>
      <c r="U3804">
        <v>-2.5946039999999999</v>
      </c>
      <c r="V3804">
        <v>0.2194815</v>
      </c>
      <c r="W3804">
        <v>-0.10878110000000001</v>
      </c>
      <c r="X3804">
        <v>0.96953310000000004</v>
      </c>
      <c r="Y3804">
        <v>0.52332630000000002</v>
      </c>
      <c r="Z3804">
        <v>1.759993E-2</v>
      </c>
      <c r="AA3804">
        <v>0.851950599999999</v>
      </c>
      <c r="AB3804">
        <v>25</v>
      </c>
      <c r="AC3804">
        <v>-23.0260999999999</v>
      </c>
      <c r="AD3804">
        <v>-1.02568469999999</v>
      </c>
      <c r="AE3804">
        <v>-32.299399999999899</v>
      </c>
      <c r="AF3804">
        <v>20.811082706872</v>
      </c>
      <c r="AG3804">
        <v>-1.02568469999999</v>
      </c>
      <c r="AH3804">
        <v>33.737952045849603</v>
      </c>
      <c r="AI3804">
        <v>91.482187249268506</v>
      </c>
      <c r="AJ3804">
        <v>58.331852136364198</v>
      </c>
      <c r="AK3804">
        <v>39.653532008941298</v>
      </c>
      <c r="AL3804">
        <v>96.245056450722203</v>
      </c>
      <c r="AM3804">
        <v>77.244459438760799</v>
      </c>
      <c r="AN3804">
        <v>0.99999994427753303</v>
      </c>
    </row>
    <row r="3805" spans="1:40" x14ac:dyDescent="0.25">
      <c r="A3805" t="str">
        <f>"20190305135309968"</f>
        <v>20190305135309968</v>
      </c>
      <c r="B3805" t="str">
        <f>"1551765189963740"</f>
        <v>1551765189963740</v>
      </c>
      <c r="C3805" t="s">
        <v>40</v>
      </c>
      <c r="D3805">
        <v>4.70038</v>
      </c>
      <c r="E3805">
        <v>0.62866239999999995</v>
      </c>
      <c r="F3805" t="s">
        <v>42</v>
      </c>
      <c r="G3805">
        <v>-216.75749999999999</v>
      </c>
      <c r="H3805">
        <v>7.998624E-2</v>
      </c>
      <c r="I3805">
        <v>127.88760000000001</v>
      </c>
      <c r="J3805">
        <v>-193.4701</v>
      </c>
      <c r="K3805">
        <v>1.1056490000000001</v>
      </c>
      <c r="L3805">
        <v>160.17349999999999</v>
      </c>
      <c r="M3805">
        <v>-7.2482569999999996E-2</v>
      </c>
      <c r="N3805">
        <v>-8.7509249999999997E-3</v>
      </c>
      <c r="O3805">
        <v>-0.99733150000000004</v>
      </c>
      <c r="P3805">
        <v>-0.29092479999999998</v>
      </c>
      <c r="Q3805">
        <v>-0.11629200000000001</v>
      </c>
      <c r="R3805">
        <v>-0.9496523</v>
      </c>
      <c r="S3805">
        <v>-1.849472</v>
      </c>
      <c r="T3805">
        <v>-8.1349610000000003E-2</v>
      </c>
      <c r="U3805">
        <v>-2.5899510000000001</v>
      </c>
      <c r="V3805">
        <v>0.2205954</v>
      </c>
      <c r="W3805">
        <v>-0.1092968</v>
      </c>
      <c r="X3805">
        <v>0.96922229999999998</v>
      </c>
      <c r="Y3805">
        <v>0.52046020000000004</v>
      </c>
      <c r="Z3805">
        <v>1.7458379999999999E-2</v>
      </c>
      <c r="AA3805">
        <v>0.85370740000000001</v>
      </c>
      <c r="AB3805">
        <v>25</v>
      </c>
      <c r="AC3805">
        <v>-23.287399999999899</v>
      </c>
      <c r="AD3805">
        <v>-1.0256627599999999</v>
      </c>
      <c r="AE3805">
        <v>-32.285899999999899</v>
      </c>
      <c r="AF3805">
        <v>20.872032073221099</v>
      </c>
      <c r="AG3805">
        <v>-1.0256627599999999</v>
      </c>
      <c r="AH3805">
        <v>33.866484017705602</v>
      </c>
      <c r="AI3805">
        <v>91.476889892829305</v>
      </c>
      <c r="AJ3805">
        <v>58.3543272019554</v>
      </c>
      <c r="AK3805">
        <v>39.794879654100299</v>
      </c>
      <c r="AL3805">
        <v>96.274780807578495</v>
      </c>
      <c r="AM3805">
        <v>77.177882104212003</v>
      </c>
      <c r="AN3805">
        <v>0.99999999390434402</v>
      </c>
    </row>
    <row r="3806" spans="1:40" x14ac:dyDescent="0.25">
      <c r="A3806" t="str">
        <f>"20190305135309979"</f>
        <v>20190305135309979</v>
      </c>
      <c r="B3806" t="str">
        <f>"1551765189974008"</f>
        <v>1551765189974008</v>
      </c>
      <c r="C3806" t="s">
        <v>40</v>
      </c>
      <c r="D3806">
        <v>4.5462769999999999</v>
      </c>
      <c r="E3806">
        <v>0.63019139999999996</v>
      </c>
      <c r="F3806" t="s">
        <v>79</v>
      </c>
      <c r="G3806">
        <v>-222.2627</v>
      </c>
      <c r="H3806">
        <v>0.19301860000000001</v>
      </c>
      <c r="I3806">
        <v>119.91719999999999</v>
      </c>
      <c r="J3806">
        <v>-193.482</v>
      </c>
      <c r="K3806">
        <v>1.1056459999999999</v>
      </c>
      <c r="L3806">
        <v>160.0402</v>
      </c>
      <c r="M3806">
        <v>-7.4615550000000003E-2</v>
      </c>
      <c r="N3806">
        <v>-8.7398430000000006E-3</v>
      </c>
      <c r="O3806">
        <v>-0.997174</v>
      </c>
      <c r="P3806">
        <v>-0.29322300000000001</v>
      </c>
      <c r="Q3806">
        <v>-0.11624139999999999</v>
      </c>
      <c r="R3806">
        <v>-0.94895110000000005</v>
      </c>
      <c r="S3806">
        <v>-1.849167</v>
      </c>
      <c r="T3806">
        <v>-5.8610559999999999E-2</v>
      </c>
      <c r="U3806">
        <v>-2.5854029999999999</v>
      </c>
      <c r="V3806">
        <v>0.22086729999999999</v>
      </c>
      <c r="W3806">
        <v>-0.10926130000000001</v>
      </c>
      <c r="X3806">
        <v>0.96916440000000004</v>
      </c>
      <c r="Y3806">
        <v>0.5193487</v>
      </c>
      <c r="Z3806">
        <v>1.0237799999999899E-2</v>
      </c>
      <c r="AA3806">
        <v>0.85450110000000001</v>
      </c>
      <c r="AB3806">
        <v>25</v>
      </c>
      <c r="AC3806">
        <v>-28.7807</v>
      </c>
      <c r="AD3806">
        <v>-0.91262739999999998</v>
      </c>
      <c r="AE3806">
        <v>-40.122999999999998</v>
      </c>
      <c r="AF3806">
        <v>25.697771339822602</v>
      </c>
      <c r="AG3806">
        <v>-0.91262739999999998</v>
      </c>
      <c r="AH3806">
        <v>42.144316879916801</v>
      </c>
      <c r="AI3806">
        <v>91.059209251784296</v>
      </c>
      <c r="AJ3806">
        <v>58.626977868727202</v>
      </c>
      <c r="AK3806">
        <v>49.3695430997683</v>
      </c>
      <c r="AL3806">
        <v>96.272734419380896</v>
      </c>
      <c r="AM3806">
        <v>77.1618597121292</v>
      </c>
      <c r="AN3806">
        <v>1.00000001505717</v>
      </c>
    </row>
    <row r="3807" spans="1:40" x14ac:dyDescent="0.25">
      <c r="A3807" t="str">
        <f>"20190305135309991"</f>
        <v>20190305135309991</v>
      </c>
      <c r="B3807" t="str">
        <f>"1551765189983767"</f>
        <v>1551765189983767</v>
      </c>
      <c r="C3807" t="s">
        <v>40</v>
      </c>
      <c r="D3807">
        <v>4.7294669999999996</v>
      </c>
      <c r="E3807">
        <v>0.62806759999999995</v>
      </c>
      <c r="F3807" t="s">
        <v>80</v>
      </c>
      <c r="G3807">
        <v>-226.39619999999999</v>
      </c>
      <c r="H3807">
        <v>0.40270850000000002</v>
      </c>
      <c r="I3807">
        <v>114.5591</v>
      </c>
      <c r="J3807">
        <v>-193.49440000000001</v>
      </c>
      <c r="K3807">
        <v>1.105642</v>
      </c>
      <c r="L3807">
        <v>159.90459999999999</v>
      </c>
      <c r="M3807">
        <v>-7.6782699999999995E-2</v>
      </c>
      <c r="N3807">
        <v>-8.7292280000000003E-3</v>
      </c>
      <c r="O3807">
        <v>-0.99700960000000005</v>
      </c>
      <c r="P3807">
        <v>-0.29576839999999999</v>
      </c>
      <c r="Q3807">
        <v>-0.1161174</v>
      </c>
      <c r="R3807">
        <v>-0.94817600000000002</v>
      </c>
      <c r="S3807">
        <v>-1.8668670000000001</v>
      </c>
      <c r="T3807">
        <v>-3.9869670000000003E-2</v>
      </c>
      <c r="U3807">
        <v>-2.5796510000000001</v>
      </c>
      <c r="V3807">
        <v>0.22135969999999999</v>
      </c>
      <c r="W3807">
        <v>-0.1091538</v>
      </c>
      <c r="X3807">
        <v>0.96906420000000004</v>
      </c>
      <c r="Y3807">
        <v>0.5222869</v>
      </c>
      <c r="Z3807">
        <v>4.2396040000000001E-3</v>
      </c>
      <c r="AA3807">
        <v>0.8527593</v>
      </c>
      <c r="AB3807">
        <v>25</v>
      </c>
      <c r="AC3807">
        <v>-32.901799999999902</v>
      </c>
      <c r="AD3807">
        <v>-0.70293349999999999</v>
      </c>
      <c r="AE3807">
        <v>-45.345499999999902</v>
      </c>
      <c r="AF3807">
        <v>29.318163443961101</v>
      </c>
      <c r="AG3807">
        <v>-0.70293349999999999</v>
      </c>
      <c r="AH3807">
        <v>47.730494529820703</v>
      </c>
      <c r="AI3807">
        <v>90.718959747243204</v>
      </c>
      <c r="AJ3807">
        <v>58.439929059939999</v>
      </c>
      <c r="AK3807">
        <v>56.020076145016901</v>
      </c>
      <c r="AL3807">
        <v>96.266537866129198</v>
      </c>
      <c r="AM3807">
        <v>77.132903875298197</v>
      </c>
      <c r="AN3807">
        <v>1.00000004628008</v>
      </c>
    </row>
    <row r="3808" spans="1:40" x14ac:dyDescent="0.25">
      <c r="A3808" t="str">
        <f>"20190305135310004"</f>
        <v>20190305135310004</v>
      </c>
      <c r="B3808" t="str">
        <f>"1551765189993528"</f>
        <v>1551765189993528</v>
      </c>
      <c r="C3808" t="s">
        <v>40</v>
      </c>
      <c r="D3808">
        <v>4.676444</v>
      </c>
      <c r="E3808">
        <v>0.62719060000000004</v>
      </c>
      <c r="F3808" t="s">
        <v>79</v>
      </c>
      <c r="G3808">
        <v>-222.31010000000001</v>
      </c>
      <c r="H3808">
        <v>0.28203240000000002</v>
      </c>
      <c r="I3808">
        <v>119.91719999999999</v>
      </c>
      <c r="J3808">
        <v>-193.5076</v>
      </c>
      <c r="K3808">
        <v>1.10564</v>
      </c>
      <c r="L3808">
        <v>159.7629</v>
      </c>
      <c r="M3808">
        <v>-7.9042699999999994E-2</v>
      </c>
      <c r="N3808">
        <v>-8.7187050000000002E-3</v>
      </c>
      <c r="O3808">
        <v>-0.99683330000000003</v>
      </c>
      <c r="P3808">
        <v>-0.29831859999999999</v>
      </c>
      <c r="Q3808">
        <v>-0.1154847</v>
      </c>
      <c r="R3808">
        <v>-0.94745429999999997</v>
      </c>
      <c r="S3808">
        <v>-1.857742</v>
      </c>
      <c r="T3808">
        <v>-5.309606E-2</v>
      </c>
      <c r="U3808">
        <v>-2.5779719999999999</v>
      </c>
      <c r="V3808">
        <v>0.22176689999999999</v>
      </c>
      <c r="W3808">
        <v>-0.1085362</v>
      </c>
      <c r="X3808">
        <v>0.96904040000000002</v>
      </c>
      <c r="Y3808">
        <v>0.51860550000000005</v>
      </c>
      <c r="Z3808">
        <v>8.5261450000000006E-3</v>
      </c>
      <c r="AA3808">
        <v>0.85497119999999904</v>
      </c>
      <c r="AB3808">
        <v>25</v>
      </c>
      <c r="AC3808">
        <v>-28.802499999999998</v>
      </c>
      <c r="AD3808">
        <v>-0.823607599999999</v>
      </c>
      <c r="AE3808">
        <v>-39.845700000000001</v>
      </c>
      <c r="AF3808">
        <v>25.555574630763999</v>
      </c>
      <c r="AG3808">
        <v>-0.823607599999999</v>
      </c>
      <c r="AH3808">
        <v>41.985953983637799</v>
      </c>
      <c r="AI3808">
        <v>90.959979955337701</v>
      </c>
      <c r="AJ3808">
        <v>58.672395475739798</v>
      </c>
      <c r="AK3808">
        <v>49.158784119458097</v>
      </c>
      <c r="AL3808">
        <v>96.230940910338205</v>
      </c>
      <c r="AM3808">
        <v>77.109718249484501</v>
      </c>
      <c r="AN3808">
        <v>0.99999998073910401</v>
      </c>
    </row>
    <row r="3809" spans="1:40" x14ac:dyDescent="0.25">
      <c r="A3809" t="str">
        <f>"20190305135310017"</f>
        <v>20190305135310017</v>
      </c>
      <c r="B3809" t="str">
        <f>"1551765190014024"</f>
        <v>1551765190014024</v>
      </c>
      <c r="C3809" t="s">
        <v>40</v>
      </c>
      <c r="D3809">
        <v>4.8019129999999999</v>
      </c>
      <c r="E3809">
        <v>0.6228399</v>
      </c>
      <c r="F3809" t="s">
        <v>79</v>
      </c>
      <c r="G3809">
        <v>-222.26050000000001</v>
      </c>
      <c r="H3809">
        <v>0.2432956</v>
      </c>
      <c r="I3809">
        <v>119.91719999999999</v>
      </c>
      <c r="J3809">
        <v>-193.52170000000001</v>
      </c>
      <c r="K3809">
        <v>1.105631</v>
      </c>
      <c r="L3809">
        <v>159.61689999999999</v>
      </c>
      <c r="M3809">
        <v>-8.1365160000000006E-2</v>
      </c>
      <c r="N3809">
        <v>-8.7092179999999995E-3</v>
      </c>
      <c r="O3809">
        <v>-0.99664629999999998</v>
      </c>
      <c r="P3809">
        <v>-0.30081200000000002</v>
      </c>
      <c r="Q3809">
        <v>-0.1150128</v>
      </c>
      <c r="R3809">
        <v>-0.94672290000000003</v>
      </c>
      <c r="S3809">
        <v>-1.8578490000000001</v>
      </c>
      <c r="T3809">
        <v>-5.5717950000000002E-2</v>
      </c>
      <c r="U3809">
        <v>-2.5746000000000002</v>
      </c>
      <c r="V3809">
        <v>0.22205730000000001</v>
      </c>
      <c r="W3809">
        <v>-0.1080779</v>
      </c>
      <c r="X3809">
        <v>0.96902509999999997</v>
      </c>
      <c r="Y3809">
        <v>0.51716079999999998</v>
      </c>
      <c r="Z3809">
        <v>9.4043800000000004E-3</v>
      </c>
      <c r="AA3809">
        <v>0.85583659999999995</v>
      </c>
      <c r="AB3809">
        <v>25</v>
      </c>
      <c r="AC3809">
        <v>-28.738800000000001</v>
      </c>
      <c r="AD3809">
        <v>-0.86233539999999997</v>
      </c>
      <c r="AE3809">
        <v>-39.699699999999901</v>
      </c>
      <c r="AF3809">
        <v>25.4053450742244</v>
      </c>
      <c r="AG3809">
        <v>-0.86233539999999997</v>
      </c>
      <c r="AH3809">
        <v>41.893516119645298</v>
      </c>
      <c r="AI3809">
        <v>91.008331445778296</v>
      </c>
      <c r="AJ3809">
        <v>58.766260570266098</v>
      </c>
      <c r="AK3809">
        <v>49.0024680352887</v>
      </c>
      <c r="AL3809">
        <v>96.204526997860995</v>
      </c>
      <c r="AM3809">
        <v>77.093206585142795</v>
      </c>
      <c r="AN3809">
        <v>0.99999996069085395</v>
      </c>
    </row>
    <row r="3810" spans="1:40" x14ac:dyDescent="0.25">
      <c r="A3810" t="str">
        <f>"20190305135310031"</f>
        <v>20190305135310031</v>
      </c>
      <c r="B3810" t="str">
        <f>"1551765190023783"</f>
        <v>1551765190023783</v>
      </c>
      <c r="C3810" t="s">
        <v>40</v>
      </c>
      <c r="D3810">
        <v>4.815455</v>
      </c>
      <c r="E3810">
        <v>0.62141880000000005</v>
      </c>
      <c r="F3810" t="s">
        <v>42</v>
      </c>
      <c r="G3810">
        <v>-213.22069999999999</v>
      </c>
      <c r="H3810" s="1">
        <v>-4.6288030000000003E-6</v>
      </c>
      <c r="I3810">
        <v>131.94460000000001</v>
      </c>
      <c r="J3810">
        <v>-193.53829999999999</v>
      </c>
      <c r="K3810">
        <v>1.1056269999999999</v>
      </c>
      <c r="L3810">
        <v>159.44820000000001</v>
      </c>
      <c r="M3810">
        <v>-8.4045339999999996E-2</v>
      </c>
      <c r="N3810">
        <v>-8.6989690000000008E-3</v>
      </c>
      <c r="O3810">
        <v>-0.99642410000000003</v>
      </c>
      <c r="P3810">
        <v>-0.30396450000000003</v>
      </c>
      <c r="Q3810">
        <v>-0.1143759</v>
      </c>
      <c r="R3810">
        <v>-0.94579259999999998</v>
      </c>
      <c r="S3810">
        <v>-1.8324279999999999</v>
      </c>
      <c r="T3810">
        <v>-0.1028476</v>
      </c>
      <c r="U3810">
        <v>-2.574112</v>
      </c>
      <c r="V3810">
        <v>0.22267529999999999</v>
      </c>
      <c r="W3810">
        <v>-0.1074585</v>
      </c>
      <c r="X3810">
        <v>0.96895220000000004</v>
      </c>
      <c r="Y3810">
        <v>0.50915250000000001</v>
      </c>
      <c r="Z3810">
        <v>2.4701379999999998E-2</v>
      </c>
      <c r="AA3810">
        <v>0.86032180000000003</v>
      </c>
      <c r="AB3810">
        <v>25</v>
      </c>
      <c r="AC3810">
        <v>-19.682400000000001</v>
      </c>
      <c r="AD3810">
        <v>-1.1056316288029999</v>
      </c>
      <c r="AE3810">
        <v>-27.503599999999999</v>
      </c>
      <c r="AF3810">
        <v>17.282650621023301</v>
      </c>
      <c r="AG3810">
        <v>-1.1056316288029999</v>
      </c>
      <c r="AH3810">
        <v>29.0295356704836</v>
      </c>
      <c r="AI3810">
        <v>91.8743834104082</v>
      </c>
      <c r="AJ3810">
        <v>59.232668012345101</v>
      </c>
      <c r="AK3810">
        <v>33.802756914648903</v>
      </c>
      <c r="AL3810">
        <v>96.168829898041395</v>
      </c>
      <c r="AM3810">
        <v>77.057552986605003</v>
      </c>
      <c r="AN3810">
        <v>0.99999999216859004</v>
      </c>
    </row>
    <row r="3811" spans="1:40" x14ac:dyDescent="0.25">
      <c r="A3811" t="str">
        <f>"20190305135310045"</f>
        <v>20190305135310045</v>
      </c>
      <c r="B3811" t="str">
        <f>"1551765190033543"</f>
        <v>1551765190033543</v>
      </c>
      <c r="C3811" t="s">
        <v>40</v>
      </c>
      <c r="D3811">
        <v>4.7738569999999996</v>
      </c>
      <c r="E3811">
        <v>0.62033640000000001</v>
      </c>
      <c r="F3811" t="s">
        <v>42</v>
      </c>
      <c r="G3811">
        <v>-210.99760000000001</v>
      </c>
      <c r="H3811" s="1">
        <v>-5.06608799999999E-6</v>
      </c>
      <c r="I3811">
        <v>134.9365</v>
      </c>
      <c r="J3811">
        <v>-193.55330000000001</v>
      </c>
      <c r="K3811">
        <v>1.1056250000000001</v>
      </c>
      <c r="L3811">
        <v>159.29859999999999</v>
      </c>
      <c r="M3811">
        <v>-8.6420510000000006E-2</v>
      </c>
      <c r="N3811">
        <v>-8.6904930000000005E-3</v>
      </c>
      <c r="O3811">
        <v>-0.99622109999999997</v>
      </c>
      <c r="P3811">
        <v>-0.30780669999999999</v>
      </c>
      <c r="Q3811">
        <v>-0.1128895</v>
      </c>
      <c r="R3811">
        <v>-0.94472829999999997</v>
      </c>
      <c r="S3811">
        <v>-1.8303529999999999</v>
      </c>
      <c r="T3811">
        <v>-0.1159096</v>
      </c>
      <c r="U3811">
        <v>-2.5697019999999999</v>
      </c>
      <c r="V3811">
        <v>0.22429560000000001</v>
      </c>
      <c r="W3811">
        <v>-0.1059956</v>
      </c>
      <c r="X3811">
        <v>0.96873960000000003</v>
      </c>
      <c r="Y3811">
        <v>0.50726210000000005</v>
      </c>
      <c r="Z3811">
        <v>2.8993640000000001E-2</v>
      </c>
      <c r="AA3811">
        <v>0.86130399999999996</v>
      </c>
      <c r="AB3811">
        <v>25</v>
      </c>
      <c r="AC3811">
        <v>-17.444299999999998</v>
      </c>
      <c r="AD3811">
        <v>-1.1056300660879901</v>
      </c>
      <c r="AE3811">
        <v>-24.362100000000002</v>
      </c>
      <c r="AF3811">
        <v>15.252800113809601</v>
      </c>
      <c r="AG3811">
        <v>-1.1056300660879901</v>
      </c>
      <c r="AH3811">
        <v>25.7434992957497</v>
      </c>
      <c r="AI3811">
        <v>92.116081081015807</v>
      </c>
      <c r="AJ3811">
        <v>59.353626280402203</v>
      </c>
      <c r="AK3811">
        <v>29.943247738766299</v>
      </c>
      <c r="AL3811">
        <v>96.084530369458193</v>
      </c>
      <c r="AM3811">
        <v>76.963818785002601</v>
      </c>
      <c r="AN3811">
        <v>0.99999999800343997</v>
      </c>
    </row>
    <row r="3812" spans="1:40" x14ac:dyDescent="0.25">
      <c r="A3812" t="str">
        <f>"20190305135310070"</f>
        <v>20190305135310070</v>
      </c>
      <c r="B3812" t="str">
        <f>"1551765190063800"</f>
        <v>1551765190063800</v>
      </c>
      <c r="C3812" t="s">
        <v>40</v>
      </c>
      <c r="D3812">
        <v>4.7232859999999999</v>
      </c>
      <c r="E3812">
        <v>0.61821110000000001</v>
      </c>
      <c r="F3812" t="s">
        <v>42</v>
      </c>
      <c r="G3812">
        <v>-210.2527</v>
      </c>
      <c r="H3812" s="1">
        <v>-5.2407270000000002E-6</v>
      </c>
      <c r="I3812">
        <v>135.93709999999999</v>
      </c>
      <c r="J3812">
        <v>-193.5831</v>
      </c>
      <c r="K3812">
        <v>1.105604</v>
      </c>
      <c r="L3812">
        <v>159.01390000000001</v>
      </c>
      <c r="M3812">
        <v>-9.0931559999999995E-2</v>
      </c>
      <c r="N3812">
        <v>-8.6767389999999993E-3</v>
      </c>
      <c r="O3812">
        <v>-0.99581940000000002</v>
      </c>
      <c r="P3812">
        <v>-0.313913</v>
      </c>
      <c r="Q3812">
        <v>-0.1120594</v>
      </c>
      <c r="R3812">
        <v>-0.94281579999999998</v>
      </c>
      <c r="S3812">
        <v>-1.8327329999999999</v>
      </c>
      <c r="T3812">
        <v>-0.12134159999999999</v>
      </c>
      <c r="U3812">
        <v>-2.5638890000000001</v>
      </c>
      <c r="V3812">
        <v>0.2261677</v>
      </c>
      <c r="W3812">
        <v>-0.1052005</v>
      </c>
      <c r="X3812">
        <v>0.96839090000000005</v>
      </c>
      <c r="Y3812">
        <v>0.50477470000000002</v>
      </c>
      <c r="Z3812">
        <v>3.0840719999999999E-2</v>
      </c>
      <c r="AA3812">
        <v>0.86270009999999997</v>
      </c>
      <c r="AB3812">
        <v>25</v>
      </c>
      <c r="AC3812">
        <v>-16.669599999999999</v>
      </c>
      <c r="AD3812">
        <v>-1.105609240727</v>
      </c>
      <c r="AE3812">
        <v>-23.076799999999999</v>
      </c>
      <c r="AF3812">
        <v>14.4802058223871</v>
      </c>
      <c r="AG3812">
        <v>-1.105609240727</v>
      </c>
      <c r="AH3812">
        <v>24.4601446903031</v>
      </c>
      <c r="AI3812">
        <v>92.227442241448799</v>
      </c>
      <c r="AJ3812">
        <v>59.374813900116202</v>
      </c>
      <c r="AK3812">
        <v>28.4463953906718</v>
      </c>
      <c r="AL3812">
        <v>96.038718617969593</v>
      </c>
      <c r="AM3812">
        <v>76.854204855186396</v>
      </c>
      <c r="AN3812">
        <v>0.99999995446317402</v>
      </c>
    </row>
    <row r="3813" spans="1:40" x14ac:dyDescent="0.25">
      <c r="A3813" t="str">
        <f>"20190305135310093"</f>
        <v>20190305135310093</v>
      </c>
      <c r="B3813" t="str">
        <f>"1551765190083319"</f>
        <v>1551765190083319</v>
      </c>
      <c r="C3813" t="s">
        <v>40</v>
      </c>
      <c r="D3813">
        <v>4.8567479999999996</v>
      </c>
      <c r="E3813">
        <v>0.61684050000000001</v>
      </c>
      <c r="F3813" t="s">
        <v>78</v>
      </c>
      <c r="G3813">
        <v>-207.87010000000001</v>
      </c>
      <c r="H3813" s="1">
        <v>-6.150483E-6</v>
      </c>
      <c r="I3813">
        <v>139.10910000000001</v>
      </c>
      <c r="J3813">
        <v>-193.6114</v>
      </c>
      <c r="K3813">
        <v>1.105586</v>
      </c>
      <c r="L3813">
        <v>158.7544</v>
      </c>
      <c r="M3813">
        <v>-9.5052029999999996E-2</v>
      </c>
      <c r="N3813">
        <v>-8.6662200000000005E-3</v>
      </c>
      <c r="O3813">
        <v>-0.99543479999999995</v>
      </c>
      <c r="P3813">
        <v>-0.3198994</v>
      </c>
      <c r="Q3813">
        <v>-0.1115371</v>
      </c>
      <c r="R3813">
        <v>-0.94086349999999996</v>
      </c>
      <c r="S3813">
        <v>-1.833618</v>
      </c>
      <c r="T3813">
        <v>-0.1418961</v>
      </c>
      <c r="U3813">
        <v>-2.5546259999999998</v>
      </c>
      <c r="V3813">
        <v>0.22830629999999999</v>
      </c>
      <c r="W3813">
        <v>-0.104715</v>
      </c>
      <c r="X3813">
        <v>0.96794159999999996</v>
      </c>
      <c r="Y3813">
        <v>0.50272969999999995</v>
      </c>
      <c r="Z3813">
        <v>3.7633449999999999E-2</v>
      </c>
      <c r="AA3813">
        <v>0.86362410000000001</v>
      </c>
      <c r="AB3813">
        <v>25</v>
      </c>
      <c r="AC3813">
        <v>-14.258699999999999</v>
      </c>
      <c r="AD3813">
        <v>-1.105592150483</v>
      </c>
      <c r="AE3813">
        <v>-19.645299999999899</v>
      </c>
      <c r="AF3813">
        <v>12.301223168639501</v>
      </c>
      <c r="AG3813">
        <v>-1.105592150483</v>
      </c>
      <c r="AH3813">
        <v>20.868425052116599</v>
      </c>
      <c r="AI3813">
        <v>92.613166526906198</v>
      </c>
      <c r="AJ3813">
        <v>59.482103952145799</v>
      </c>
      <c r="AK3813">
        <v>24.249403902028</v>
      </c>
      <c r="AL3813">
        <v>96.010746929132395</v>
      </c>
      <c r="AM3813">
        <v>76.728336316125194</v>
      </c>
      <c r="AN3813">
        <v>0.99999996942762404</v>
      </c>
    </row>
    <row r="3814" spans="1:40" x14ac:dyDescent="0.25">
      <c r="A3814" t="str">
        <f>"20190305135310113"</f>
        <v>20190305135310113</v>
      </c>
      <c r="B3814" t="str">
        <f>"1551765190103815"</f>
        <v>1551765190103815</v>
      </c>
      <c r="C3814" t="s">
        <v>40</v>
      </c>
      <c r="D3814">
        <v>4.823442</v>
      </c>
      <c r="E3814">
        <v>0.61555459999999995</v>
      </c>
      <c r="F3814" t="s">
        <v>78</v>
      </c>
      <c r="G3814">
        <v>-206.68100000000001</v>
      </c>
      <c r="H3814" s="1">
        <v>-7.1202220000000002E-6</v>
      </c>
      <c r="I3814">
        <v>140.67769999999999</v>
      </c>
      <c r="J3814">
        <v>-193.63810000000001</v>
      </c>
      <c r="K3814">
        <v>1.1055600000000001</v>
      </c>
      <c r="L3814">
        <v>158.518</v>
      </c>
      <c r="M3814">
        <v>-9.8822090000000001E-2</v>
      </c>
      <c r="N3814">
        <v>-8.6583600000000004E-3</v>
      </c>
      <c r="O3814">
        <v>-0.99506760000000005</v>
      </c>
      <c r="P3814">
        <v>-0.32551049999999998</v>
      </c>
      <c r="Q3814">
        <v>-0.11185299999999999</v>
      </c>
      <c r="R3814">
        <v>-0.9388995</v>
      </c>
      <c r="S3814">
        <v>-1.8397669999999999</v>
      </c>
      <c r="T3814">
        <v>-0.1556305</v>
      </c>
      <c r="U3814">
        <v>-2.5446010000000001</v>
      </c>
      <c r="V3814">
        <v>0.2304119</v>
      </c>
      <c r="W3814">
        <v>-0.1050688</v>
      </c>
      <c r="X3814">
        <v>0.96740420000000005</v>
      </c>
      <c r="Y3814">
        <v>0.50232319999999997</v>
      </c>
      <c r="Z3814">
        <v>4.2203499999999998E-2</v>
      </c>
      <c r="AA3814">
        <v>0.86364940000000001</v>
      </c>
      <c r="AB3814">
        <v>26</v>
      </c>
      <c r="AC3814">
        <v>-13.0428999999999</v>
      </c>
      <c r="AD3814">
        <v>-1.1055671202220001</v>
      </c>
      <c r="AE3814">
        <v>-17.840299999999999</v>
      </c>
      <c r="AF3814">
        <v>11.187970613882101</v>
      </c>
      <c r="AG3814">
        <v>-1.1055671202220001</v>
      </c>
      <c r="AH3814">
        <v>18.9944056767558</v>
      </c>
      <c r="AI3814">
        <v>92.871075437235405</v>
      </c>
      <c r="AJ3814">
        <v>59.501319915925002</v>
      </c>
      <c r="AK3814">
        <v>22.0721637391439</v>
      </c>
      <c r="AL3814">
        <v>96.031130488334199</v>
      </c>
      <c r="AM3814">
        <v>76.603154796024299</v>
      </c>
      <c r="AN3814">
        <v>0.99999999128634498</v>
      </c>
    </row>
    <row r="3815" spans="1:40" x14ac:dyDescent="0.25">
      <c r="A3815" t="str">
        <f>"20190305135310127"</f>
        <v>20190305135310127</v>
      </c>
      <c r="B3815" t="str">
        <f>"1551765190123336"</f>
        <v>1551765190123336</v>
      </c>
      <c r="C3815" t="s">
        <v>40</v>
      </c>
      <c r="D3815">
        <v>4.7861469999999997</v>
      </c>
      <c r="E3815">
        <v>0.61463990000000002</v>
      </c>
      <c r="F3815" t="s">
        <v>78</v>
      </c>
      <c r="G3815">
        <v>-205.59280000000001</v>
      </c>
      <c r="H3815" s="1">
        <v>-7.9772989999999996E-6</v>
      </c>
      <c r="I3815">
        <v>142.09630000000001</v>
      </c>
      <c r="J3815">
        <v>-193.65539999999999</v>
      </c>
      <c r="K3815">
        <v>1.1055360000000001</v>
      </c>
      <c r="L3815">
        <v>158.3682</v>
      </c>
      <c r="M3815">
        <v>-0.1012243</v>
      </c>
      <c r="N3815">
        <v>-8.6540880000000008E-3</v>
      </c>
      <c r="O3815">
        <v>-0.99482610000000005</v>
      </c>
      <c r="P3815">
        <v>-0.32838129999999999</v>
      </c>
      <c r="Q3815">
        <v>-0.1120391</v>
      </c>
      <c r="R3815">
        <v>-0.93787710000000002</v>
      </c>
      <c r="S3815">
        <v>-1.845505</v>
      </c>
      <c r="T3815">
        <v>-0.17067170000000001</v>
      </c>
      <c r="U3815">
        <v>-2.5350950000000001</v>
      </c>
      <c r="V3815">
        <v>0.2310315</v>
      </c>
      <c r="W3815">
        <v>-0.10527499999999999</v>
      </c>
      <c r="X3815">
        <v>0.96723400000000004</v>
      </c>
      <c r="Y3815">
        <v>0.50291070000000004</v>
      </c>
      <c r="Z3815">
        <v>4.7193010000000001E-2</v>
      </c>
      <c r="AA3815">
        <v>0.86304899999999996</v>
      </c>
      <c r="AB3815">
        <v>26</v>
      </c>
      <c r="AC3815">
        <v>-11.9374</v>
      </c>
      <c r="AD3815">
        <v>-1.1055439772989999</v>
      </c>
      <c r="AE3815">
        <v>-16.271899999999899</v>
      </c>
      <c r="AF3815">
        <v>10.1983024199789</v>
      </c>
      <c r="AG3815">
        <v>-1.1055439772989999</v>
      </c>
      <c r="AH3815">
        <v>17.344664335813199</v>
      </c>
      <c r="AI3815">
        <v>93.144988007301706</v>
      </c>
      <c r="AJ3815">
        <v>59.545356030907598</v>
      </c>
      <c r="AK3815">
        <v>20.151054083028001</v>
      </c>
      <c r="AL3815">
        <v>96.043010741878902</v>
      </c>
      <c r="AM3815">
        <v>76.566155320365198</v>
      </c>
      <c r="AN3815">
        <v>0.99999999518662497</v>
      </c>
    </row>
    <row r="3816" spans="1:40" x14ac:dyDescent="0.25">
      <c r="A3816" t="str">
        <f>"20190305135310139"</f>
        <v>20190305135310139</v>
      </c>
      <c r="B3816" t="str">
        <f>"1551765190134071"</f>
        <v>1551765190134071</v>
      </c>
      <c r="C3816" t="s">
        <v>40</v>
      </c>
      <c r="D3816">
        <v>4.8703370000000001</v>
      </c>
      <c r="E3816">
        <v>0.61418139999999999</v>
      </c>
      <c r="F3816" t="s">
        <v>78</v>
      </c>
      <c r="G3816">
        <v>-204.8699</v>
      </c>
      <c r="H3816" s="1">
        <v>-8.5306600000000001E-6</v>
      </c>
      <c r="I3816">
        <v>143.00030000000001</v>
      </c>
      <c r="J3816">
        <v>-193.67429999999999</v>
      </c>
      <c r="K3816">
        <v>1.1055010000000001</v>
      </c>
      <c r="L3816">
        <v>158.20910000000001</v>
      </c>
      <c r="M3816">
        <v>-0.10381310000000001</v>
      </c>
      <c r="N3816">
        <v>-8.6506729999999993E-3</v>
      </c>
      <c r="O3816">
        <v>-0.99455930000000003</v>
      </c>
      <c r="P3816">
        <v>-0.33181840000000001</v>
      </c>
      <c r="Q3816">
        <v>-0.1124212</v>
      </c>
      <c r="R3816">
        <v>-0.93662080000000003</v>
      </c>
      <c r="S3816">
        <v>-1.846527</v>
      </c>
      <c r="T3816">
        <v>-0.18203449999999999</v>
      </c>
      <c r="U3816">
        <v>-2.530411</v>
      </c>
      <c r="V3816">
        <v>0.2320538</v>
      </c>
      <c r="W3816">
        <v>-0.1056878</v>
      </c>
      <c r="X3816">
        <v>0.96694420000000003</v>
      </c>
      <c r="Y3816">
        <v>0.50153369999999997</v>
      </c>
      <c r="Z3816">
        <v>5.0972450000000002E-2</v>
      </c>
      <c r="AA3816">
        <v>0.86363519999999905</v>
      </c>
      <c r="AB3816">
        <v>26</v>
      </c>
      <c r="AC3816">
        <v>-11.195600000000001</v>
      </c>
      <c r="AD3816">
        <v>-1.10550953066</v>
      </c>
      <c r="AE3816">
        <v>-15.208799999999901</v>
      </c>
      <c r="AF3816">
        <v>9.5235371699984697</v>
      </c>
      <c r="AG3816">
        <v>-1.10550953066</v>
      </c>
      <c r="AH3816">
        <v>16.233283735287401</v>
      </c>
      <c r="AI3816">
        <v>93.361642518248004</v>
      </c>
      <c r="AJ3816">
        <v>59.601244158505303</v>
      </c>
      <c r="AK3816">
        <v>18.853100869116201</v>
      </c>
      <c r="AL3816">
        <v>96.066795209580107</v>
      </c>
      <c r="AM3816">
        <v>76.5049843191576</v>
      </c>
      <c r="AN3816">
        <v>0.99999998153845904</v>
      </c>
    </row>
    <row r="3817" spans="1:40" x14ac:dyDescent="0.25">
      <c r="A3817" t="str">
        <f>"20190305135310153"</f>
        <v>20190305135310153</v>
      </c>
      <c r="B3817" t="str">
        <f>"1551765190143832"</f>
        <v>1551765190143832</v>
      </c>
      <c r="C3817" t="s">
        <v>40</v>
      </c>
      <c r="D3817">
        <v>4.7568669999999997</v>
      </c>
      <c r="E3817">
        <v>0.61393350000000002</v>
      </c>
      <c r="F3817" t="s">
        <v>78</v>
      </c>
      <c r="G3817">
        <v>-204.501</v>
      </c>
      <c r="H3817" s="1">
        <v>-8.7903419999999994E-6</v>
      </c>
      <c r="I3817">
        <v>143.458</v>
      </c>
      <c r="J3817">
        <v>-193.6926</v>
      </c>
      <c r="K3817">
        <v>1.105461</v>
      </c>
      <c r="L3817">
        <v>158.05930000000001</v>
      </c>
      <c r="M3817">
        <v>-0.1062845</v>
      </c>
      <c r="N3817">
        <v>-8.6484849999999992E-3</v>
      </c>
      <c r="O3817">
        <v>-0.99429829999999997</v>
      </c>
      <c r="P3817">
        <v>-0.33472190000000002</v>
      </c>
      <c r="Q3817">
        <v>-0.1126326</v>
      </c>
      <c r="R3817">
        <v>-0.93556159999999999</v>
      </c>
      <c r="S3817">
        <v>-1.8525240000000001</v>
      </c>
      <c r="T3817">
        <v>-0.18916140000000001</v>
      </c>
      <c r="U3817">
        <v>-2.5240170000000002</v>
      </c>
      <c r="V3817">
        <v>0.23264019999999999</v>
      </c>
      <c r="W3817">
        <v>-0.1059297</v>
      </c>
      <c r="X3817">
        <v>0.96677679999999999</v>
      </c>
      <c r="Y3817">
        <v>0.50168290000000004</v>
      </c>
      <c r="Z3817">
        <v>5.3354949999999998E-2</v>
      </c>
      <c r="AA3817">
        <v>0.86340459999999997</v>
      </c>
      <c r="AB3817">
        <v>26</v>
      </c>
      <c r="AC3817">
        <v>-10.808399999999899</v>
      </c>
      <c r="AD3817">
        <v>-1.1054697903419901</v>
      </c>
      <c r="AE3817">
        <v>-14.6013</v>
      </c>
      <c r="AF3817">
        <v>9.1613000528646609</v>
      </c>
      <c r="AG3817">
        <v>-1.1054697903419901</v>
      </c>
      <c r="AH3817">
        <v>15.609594353301</v>
      </c>
      <c r="AI3817">
        <v>93.495149698064907</v>
      </c>
      <c r="AJ3817">
        <v>59.591247909697302</v>
      </c>
      <c r="AK3817">
        <v>18.133144183802798</v>
      </c>
      <c r="AL3817">
        <v>96.080733355549995</v>
      </c>
      <c r="AM3817">
        <v>76.469877952840307</v>
      </c>
      <c r="AN3817">
        <v>0.99999997250818395</v>
      </c>
    </row>
    <row r="3818" spans="1:40" x14ac:dyDescent="0.25">
      <c r="A3818" t="str">
        <f>"20190305135310170"</f>
        <v>20190305135310170</v>
      </c>
      <c r="B3818" t="str">
        <f>"1551765190163351"</f>
        <v>1551765190163351</v>
      </c>
      <c r="C3818" t="s">
        <v>40</v>
      </c>
      <c r="D3818">
        <v>4.7591799999999997</v>
      </c>
      <c r="E3818">
        <v>0.61341639999999997</v>
      </c>
      <c r="F3818" t="s">
        <v>78</v>
      </c>
      <c r="G3818">
        <v>-204.34100000000001</v>
      </c>
      <c r="H3818" s="1">
        <v>-8.8961990000000002E-6</v>
      </c>
      <c r="I3818">
        <v>143.63079999999999</v>
      </c>
      <c r="J3818">
        <v>-193.7166</v>
      </c>
      <c r="K3818">
        <v>1.1053900000000001</v>
      </c>
      <c r="L3818">
        <v>157.8663</v>
      </c>
      <c r="M3818">
        <v>-0.109526</v>
      </c>
      <c r="N3818">
        <v>-8.6483529999999992E-3</v>
      </c>
      <c r="O3818">
        <v>-0.99394629999999995</v>
      </c>
      <c r="P3818">
        <v>-0.33976600000000001</v>
      </c>
      <c r="Q3818">
        <v>-0.1126964</v>
      </c>
      <c r="R3818">
        <v>-0.93373399999999995</v>
      </c>
      <c r="S3818">
        <v>-1.858627</v>
      </c>
      <c r="T3818">
        <v>-0.1929543</v>
      </c>
      <c r="U3818">
        <v>-2.5184169999999999</v>
      </c>
      <c r="V3818">
        <v>0.23468559999999999</v>
      </c>
      <c r="W3818">
        <v>-0.1060511</v>
      </c>
      <c r="X3818">
        <v>0.96626900000000004</v>
      </c>
      <c r="Y3818">
        <v>0.50109179999999998</v>
      </c>
      <c r="Z3818">
        <v>5.4645899999999997E-2</v>
      </c>
      <c r="AA3818">
        <v>0.86366710000000002</v>
      </c>
      <c r="AB3818">
        <v>26</v>
      </c>
      <c r="AC3818">
        <v>-10.6243999999999</v>
      </c>
      <c r="AD3818">
        <v>-1.10539889619899</v>
      </c>
      <c r="AE3818">
        <v>-14.2355</v>
      </c>
      <c r="AF3818">
        <v>8.9665386948458998</v>
      </c>
      <c r="AG3818">
        <v>-1.10539889619899</v>
      </c>
      <c r="AH3818">
        <v>15.254469144303901</v>
      </c>
      <c r="AI3818">
        <v>93.574684744526394</v>
      </c>
      <c r="AJ3818">
        <v>59.553094503577199</v>
      </c>
      <c r="AK3818">
        <v>17.729059528367699</v>
      </c>
      <c r="AL3818">
        <v>96.087728459645305</v>
      </c>
      <c r="AM3818">
        <v>76.3484458040883</v>
      </c>
      <c r="AN3818">
        <v>0.99999997350978398</v>
      </c>
    </row>
    <row r="3819" spans="1:40" x14ac:dyDescent="0.25">
      <c r="A3819" t="str">
        <f>"20190305135310202"</f>
        <v>20190305135310202</v>
      </c>
      <c r="B3819" t="str">
        <f>"1551765190193610"</f>
        <v>1551765190193610</v>
      </c>
      <c r="C3819" t="s">
        <v>40</v>
      </c>
      <c r="D3819">
        <v>4.742057</v>
      </c>
      <c r="E3819">
        <v>0.61308689999999999</v>
      </c>
      <c r="F3819" t="s">
        <v>78</v>
      </c>
      <c r="G3819">
        <v>-203.98099999999999</v>
      </c>
      <c r="H3819" s="1">
        <v>-9.1512070000000006E-6</v>
      </c>
      <c r="I3819">
        <v>144.08349999999999</v>
      </c>
      <c r="J3819">
        <v>-193.76560000000001</v>
      </c>
      <c r="K3819">
        <v>1.105208</v>
      </c>
      <c r="L3819">
        <v>157.48920000000001</v>
      </c>
      <c r="M3819">
        <v>-0.1161175</v>
      </c>
      <c r="N3819">
        <v>-8.6661769999999902E-3</v>
      </c>
      <c r="O3819">
        <v>-0.99319769999999996</v>
      </c>
      <c r="P3819">
        <v>-0.34617300000000001</v>
      </c>
      <c r="Q3819">
        <v>-0.1110119</v>
      </c>
      <c r="R3819">
        <v>-0.93157970000000001</v>
      </c>
      <c r="S3819">
        <v>-1.868347</v>
      </c>
      <c r="T3819">
        <v>-0.201207</v>
      </c>
      <c r="U3819">
        <v>-2.5087739999999998</v>
      </c>
      <c r="V3819">
        <v>0.23485539999999999</v>
      </c>
      <c r="W3819">
        <v>-0.1044561</v>
      </c>
      <c r="X3819">
        <v>0.96640150000000002</v>
      </c>
      <c r="Y3819">
        <v>0.49899579999999999</v>
      </c>
      <c r="Z3819">
        <v>5.7430500000000002E-2</v>
      </c>
      <c r="AA3819">
        <v>0.86469940000000001</v>
      </c>
      <c r="AB3819">
        <v>26</v>
      </c>
      <c r="AC3819">
        <v>-10.215399999999899</v>
      </c>
      <c r="AD3819">
        <v>-1.1052171512069999</v>
      </c>
      <c r="AE3819">
        <v>-13.4057</v>
      </c>
      <c r="AF3819">
        <v>8.5528201571262592</v>
      </c>
      <c r="AG3819">
        <v>-1.1052171512069999</v>
      </c>
      <c r="AH3819">
        <v>14.4391521519162</v>
      </c>
      <c r="AI3819">
        <v>93.767875228729395</v>
      </c>
      <c r="AJ3819">
        <v>59.360241821014903</v>
      </c>
      <c r="AK3819">
        <v>16.818482465955501</v>
      </c>
      <c r="AL3819">
        <v>95.995831083406202</v>
      </c>
      <c r="AM3819">
        <v>76.340741447589295</v>
      </c>
      <c r="AN3819">
        <v>0.99999999746931001</v>
      </c>
    </row>
    <row r="3820" spans="1:40" x14ac:dyDescent="0.25">
      <c r="A3820" t="str">
        <f>"20190305135310224"</f>
        <v>20190305135310224</v>
      </c>
      <c r="B3820" t="str">
        <f>"1551765190214103"</f>
        <v>1551765190214103</v>
      </c>
      <c r="C3820" t="s">
        <v>40</v>
      </c>
      <c r="D3820">
        <v>4.7729970000000002</v>
      </c>
      <c r="E3820">
        <v>0.61298960000000002</v>
      </c>
      <c r="F3820" t="s">
        <v>78</v>
      </c>
      <c r="G3820">
        <v>-204.24789999999999</v>
      </c>
      <c r="H3820" s="1">
        <v>-8.9200850000000002E-6</v>
      </c>
      <c r="I3820">
        <v>143.58860000000001</v>
      </c>
      <c r="J3820">
        <v>-193.8</v>
      </c>
      <c r="K3820">
        <v>1.105083</v>
      </c>
      <c r="L3820">
        <v>157.23750000000001</v>
      </c>
      <c r="M3820">
        <v>-0.1207299</v>
      </c>
      <c r="N3820">
        <v>-8.6858370000000001E-3</v>
      </c>
      <c r="O3820">
        <v>-0.99264750000000002</v>
      </c>
      <c r="P3820">
        <v>-0.3507247</v>
      </c>
      <c r="Q3820">
        <v>-0.1088722</v>
      </c>
      <c r="R3820">
        <v>-0.93012879999999998</v>
      </c>
      <c r="S3820">
        <v>-1.882935</v>
      </c>
      <c r="T3820">
        <v>-0.1985306</v>
      </c>
      <c r="U3820">
        <v>-2.4969790000000001</v>
      </c>
      <c r="V3820">
        <v>0.23504159999999999</v>
      </c>
      <c r="W3820">
        <v>-0.1023811</v>
      </c>
      <c r="X3820">
        <v>0.96657820000000005</v>
      </c>
      <c r="Y3820">
        <v>0.50018409999999902</v>
      </c>
      <c r="Z3820">
        <v>5.6619540000000003E-2</v>
      </c>
      <c r="AA3820">
        <v>0.86406609999999995</v>
      </c>
      <c r="AB3820">
        <v>26</v>
      </c>
      <c r="AC3820">
        <v>-10.447899999999899</v>
      </c>
      <c r="AD3820">
        <v>-1.105091920085</v>
      </c>
      <c r="AE3820">
        <v>-13.6488999999999</v>
      </c>
      <c r="AF3820">
        <v>8.6876697087585892</v>
      </c>
      <c r="AG3820">
        <v>-1.105091920085</v>
      </c>
      <c r="AH3820">
        <v>14.749511345192801</v>
      </c>
      <c r="AI3820">
        <v>93.693749362738302</v>
      </c>
      <c r="AJ3820">
        <v>59.501316372903602</v>
      </c>
      <c r="AK3820">
        <v>17.1535686678396</v>
      </c>
      <c r="AL3820">
        <v>95.876301788276706</v>
      </c>
      <c r="AM3820">
        <v>76.332723366753996</v>
      </c>
      <c r="AN3820">
        <v>0.99999993004150201</v>
      </c>
    </row>
    <row r="3821" spans="1:40" x14ac:dyDescent="0.25">
      <c r="A3821" t="str">
        <f>"20190305135310247"</f>
        <v>20190305135310247</v>
      </c>
      <c r="B3821" t="str">
        <f>"1551765190243383"</f>
        <v>1551765190243383</v>
      </c>
      <c r="C3821" t="s">
        <v>40</v>
      </c>
      <c r="D3821">
        <v>4.7920489999999996</v>
      </c>
      <c r="E3821">
        <v>0.61279169999999905</v>
      </c>
      <c r="F3821" t="s">
        <v>78</v>
      </c>
      <c r="G3821">
        <v>-204.79900000000001</v>
      </c>
      <c r="H3821" s="1">
        <v>-8.5007300000000002E-6</v>
      </c>
      <c r="I3821">
        <v>142.7859</v>
      </c>
      <c r="J3821">
        <v>-193.83680000000001</v>
      </c>
      <c r="K3821">
        <v>1.1049209999999901</v>
      </c>
      <c r="L3821">
        <v>156.97919999999999</v>
      </c>
      <c r="M3821">
        <v>-0.12570899999999999</v>
      </c>
      <c r="N3821">
        <v>-8.7186840000000008E-3</v>
      </c>
      <c r="O3821">
        <v>-0.99202880000000004</v>
      </c>
      <c r="P3821">
        <v>-0.35565249999999998</v>
      </c>
      <c r="Q3821">
        <v>-0.1068379</v>
      </c>
      <c r="R3821">
        <v>-0.92849170000000003</v>
      </c>
      <c r="S3821">
        <v>-1.894196</v>
      </c>
      <c r="T3821">
        <v>-0.1903136</v>
      </c>
      <c r="U3821">
        <v>-2.4887999999999999</v>
      </c>
      <c r="V3821">
        <v>0.2352621</v>
      </c>
      <c r="W3821">
        <v>-0.1004157</v>
      </c>
      <c r="X3821">
        <v>0.9667308</v>
      </c>
      <c r="Y3821">
        <v>0.4997799</v>
      </c>
      <c r="Z3821">
        <v>5.3961439999999999E-2</v>
      </c>
      <c r="AA3821">
        <v>0.86446990000000001</v>
      </c>
      <c r="AB3821">
        <v>26</v>
      </c>
      <c r="AC3821">
        <v>-10.9621999999999</v>
      </c>
      <c r="AD3821">
        <v>-1.10492950072999</v>
      </c>
      <c r="AE3821">
        <v>-14.193299999999899</v>
      </c>
      <c r="AF3821">
        <v>9.0565597762159396</v>
      </c>
      <c r="AG3821">
        <v>-1.10492950072999</v>
      </c>
      <c r="AH3821">
        <v>15.400338099609501</v>
      </c>
      <c r="AI3821">
        <v>93.538984187395002</v>
      </c>
      <c r="AJ3821">
        <v>59.541262320669397</v>
      </c>
      <c r="AK3821">
        <v>17.900071445780299</v>
      </c>
      <c r="AL3821">
        <v>95.763108802431404</v>
      </c>
      <c r="AM3821">
        <v>76.322461416204106</v>
      </c>
      <c r="AN3821">
        <v>1.0000000040857699</v>
      </c>
    </row>
    <row r="3822" spans="1:40" x14ac:dyDescent="0.25">
      <c r="A3822" t="str">
        <f>"20190305135310271"</f>
        <v>20190305135310271</v>
      </c>
      <c r="B3822" t="str">
        <f>"1551765190263879"</f>
        <v>1551765190263879</v>
      </c>
      <c r="C3822" t="s">
        <v>40</v>
      </c>
      <c r="D3822">
        <v>4.8000790000000002</v>
      </c>
      <c r="E3822">
        <v>0.61285849999999997</v>
      </c>
      <c r="F3822" t="s">
        <v>78</v>
      </c>
      <c r="G3822">
        <v>-205.11689999999999</v>
      </c>
      <c r="H3822" s="1">
        <v>-8.2428580000000004E-6</v>
      </c>
      <c r="I3822">
        <v>142.30269999999999</v>
      </c>
      <c r="J3822">
        <v>-193.87870000000001</v>
      </c>
      <c r="K3822">
        <v>1.104724</v>
      </c>
      <c r="L3822">
        <v>156.69820000000001</v>
      </c>
      <c r="M3822">
        <v>-0.13144790000000001</v>
      </c>
      <c r="N3822">
        <v>-8.7700179999999992E-3</v>
      </c>
      <c r="O3822">
        <v>-0.99128430000000001</v>
      </c>
      <c r="P3822">
        <v>-0.36143530000000001</v>
      </c>
      <c r="Q3822">
        <v>-0.10454289999999899</v>
      </c>
      <c r="R3822">
        <v>-0.92651799999999995</v>
      </c>
      <c r="S3822">
        <v>-1.9057770000000001</v>
      </c>
      <c r="T3822">
        <v>-0.1866786</v>
      </c>
      <c r="U3822">
        <v>-2.4796140000000002</v>
      </c>
      <c r="V3822">
        <v>0.23562930000000001</v>
      </c>
      <c r="W3822">
        <v>-9.8196510000000001E-2</v>
      </c>
      <c r="X3822">
        <v>0.96686939999999999</v>
      </c>
      <c r="Y3822">
        <v>0.49889470000000002</v>
      </c>
      <c r="Z3822">
        <v>5.2793439999999997E-2</v>
      </c>
      <c r="AA3822">
        <v>0.86505309999999902</v>
      </c>
      <c r="AB3822">
        <v>26</v>
      </c>
      <c r="AC3822">
        <v>-11.2381999999999</v>
      </c>
      <c r="AD3822">
        <v>-1.104732242858</v>
      </c>
      <c r="AE3822">
        <v>-14.3955</v>
      </c>
      <c r="AF3822">
        <v>9.2146306373085807</v>
      </c>
      <c r="AG3822">
        <v>-1.104732242858</v>
      </c>
      <c r="AH3822">
        <v>15.690462303452399</v>
      </c>
      <c r="AI3822">
        <v>93.474299893187506</v>
      </c>
      <c r="AJ3822">
        <v>59.575309804619103</v>
      </c>
      <c r="AK3822">
        <v>18.2296587572696</v>
      </c>
      <c r="AL3822">
        <v>95.635326496078704</v>
      </c>
      <c r="AM3822">
        <v>76.303806629067594</v>
      </c>
      <c r="AN3822">
        <v>1.0000000791255099</v>
      </c>
    </row>
    <row r="3823" spans="1:40" x14ac:dyDescent="0.25">
      <c r="A3823" t="str">
        <f>"20190305135310292"</f>
        <v>20190305135310292</v>
      </c>
      <c r="B3823" t="str">
        <f>"1551765190283399"</f>
        <v>1551765190283399</v>
      </c>
      <c r="C3823" t="s">
        <v>40</v>
      </c>
      <c r="D3823">
        <v>4.7950210000000002</v>
      </c>
      <c r="E3823">
        <v>0.61286660000000004</v>
      </c>
      <c r="F3823" t="s">
        <v>78</v>
      </c>
      <c r="G3823">
        <v>-205.61279999999999</v>
      </c>
      <c r="H3823" s="1">
        <v>-7.8445639999999993E-6</v>
      </c>
      <c r="I3823">
        <v>141.62710000000001</v>
      </c>
      <c r="J3823">
        <v>-193.9179</v>
      </c>
      <c r="K3823">
        <v>1.10456</v>
      </c>
      <c r="L3823">
        <v>156.4461</v>
      </c>
      <c r="M3823">
        <v>-0.13683219999999999</v>
      </c>
      <c r="N3823">
        <v>-8.8189199999999992E-3</v>
      </c>
      <c r="O3823">
        <v>-0.99055499999999996</v>
      </c>
      <c r="P3823">
        <v>-0.36654239999999999</v>
      </c>
      <c r="Q3823">
        <v>-0.1021156</v>
      </c>
      <c r="R3823">
        <v>-0.92478070000000001</v>
      </c>
      <c r="S3823">
        <v>-1.9215089999999999</v>
      </c>
      <c r="T3823">
        <v>-0.1809036</v>
      </c>
      <c r="U3823">
        <v>-2.4679410000000002</v>
      </c>
      <c r="V3823">
        <v>0.23565140000000001</v>
      </c>
      <c r="W3823">
        <v>-9.5830029999999997E-2</v>
      </c>
      <c r="X3823">
        <v>0.96710130000000005</v>
      </c>
      <c r="Y3823">
        <v>0.49966749999999999</v>
      </c>
      <c r="Z3823">
        <v>5.0917030000000002E-2</v>
      </c>
      <c r="AA3823">
        <v>0.86471949999999997</v>
      </c>
      <c r="AB3823">
        <v>26</v>
      </c>
      <c r="AC3823">
        <v>-11.694899999999899</v>
      </c>
      <c r="AD3823">
        <v>-1.1045678445639999</v>
      </c>
      <c r="AE3823">
        <v>-14.8189999999999</v>
      </c>
      <c r="AF3823">
        <v>9.5244890210525792</v>
      </c>
      <c r="AG3823">
        <v>-1.1045678445639999</v>
      </c>
      <c r="AH3823">
        <v>16.224360994737101</v>
      </c>
      <c r="AI3823">
        <v>93.360070505382893</v>
      </c>
      <c r="AJ3823">
        <v>59.584993423477599</v>
      </c>
      <c r="AK3823">
        <v>18.845844394002199</v>
      </c>
      <c r="AL3823">
        <v>95.499095272041899</v>
      </c>
      <c r="AM3823">
        <v>76.305731240726502</v>
      </c>
      <c r="AN3823">
        <v>0.99999995071672398</v>
      </c>
    </row>
    <row r="3824" spans="1:40" x14ac:dyDescent="0.25">
      <c r="A3824" t="str">
        <f>"20190305135310313"</f>
        <v>20190305135310313</v>
      </c>
      <c r="B3824" t="str">
        <f>"1551765190303895"</f>
        <v>1551765190303895</v>
      </c>
      <c r="C3824" t="s">
        <v>40</v>
      </c>
      <c r="D3824">
        <v>4.8396080000000001</v>
      </c>
      <c r="E3824">
        <v>0.61296099999999998</v>
      </c>
      <c r="F3824" t="s">
        <v>78</v>
      </c>
      <c r="G3824">
        <v>-206.14619999999999</v>
      </c>
      <c r="H3824" s="1">
        <v>-7.4201770000000001E-6</v>
      </c>
      <c r="I3824">
        <v>140.91540000000001</v>
      </c>
      <c r="J3824">
        <v>-193.95760000000001</v>
      </c>
      <c r="K3824">
        <v>1.104392</v>
      </c>
      <c r="L3824">
        <v>156.20070000000001</v>
      </c>
      <c r="M3824">
        <v>-0.142321</v>
      </c>
      <c r="N3824">
        <v>-8.8737499999999997E-3</v>
      </c>
      <c r="O3824">
        <v>-0.98978109999999997</v>
      </c>
      <c r="P3824">
        <v>-0.37135790000000002</v>
      </c>
      <c r="Q3824">
        <v>-9.9908990000000003E-2</v>
      </c>
      <c r="R3824">
        <v>-0.92309920000000001</v>
      </c>
      <c r="S3824">
        <v>-1.93512</v>
      </c>
      <c r="T3824">
        <v>-0.1747967</v>
      </c>
      <c r="U3824">
        <v>-2.4577179999999998</v>
      </c>
      <c r="V3824">
        <v>0.23527500000000001</v>
      </c>
      <c r="W3824">
        <v>-9.3674820000000006E-2</v>
      </c>
      <c r="X3824">
        <v>0.96740409999999999</v>
      </c>
      <c r="Y3824">
        <v>0.49963800000000003</v>
      </c>
      <c r="Z3824">
        <v>4.8920060000000001E-2</v>
      </c>
      <c r="AA3824">
        <v>0.86485190000000001</v>
      </c>
      <c r="AB3824">
        <v>26</v>
      </c>
      <c r="AC3824">
        <v>-12.1885999999999</v>
      </c>
      <c r="AD3824">
        <v>-1.104399420177</v>
      </c>
      <c r="AE3824">
        <v>-15.285299999999999</v>
      </c>
      <c r="AF3824">
        <v>9.8575551542558095</v>
      </c>
      <c r="AG3824">
        <v>-1.104399420177</v>
      </c>
      <c r="AH3824">
        <v>16.810806162067301</v>
      </c>
      <c r="AI3824">
        <v>93.243557192304394</v>
      </c>
      <c r="AJ3824">
        <v>59.613405177695199</v>
      </c>
      <c r="AK3824">
        <v>19.519075170639699</v>
      </c>
      <c r="AL3824">
        <v>95.375052481008495</v>
      </c>
      <c r="AM3824">
        <v>76.330902246540802</v>
      </c>
      <c r="AN3824">
        <v>0.99999999511192095</v>
      </c>
    </row>
    <row r="3825" spans="1:40" x14ac:dyDescent="0.25">
      <c r="A3825" t="str">
        <f>"20190305135310336"</f>
        <v>20190305135310336</v>
      </c>
      <c r="B3825" t="str">
        <f>"1551765190334153"</f>
        <v>1551765190334153</v>
      </c>
      <c r="C3825" t="s">
        <v>40</v>
      </c>
      <c r="D3825">
        <v>4.8574780000000004</v>
      </c>
      <c r="E3825">
        <v>0.61307349999999905</v>
      </c>
      <c r="F3825" t="s">
        <v>78</v>
      </c>
      <c r="G3825">
        <v>-206.72900000000001</v>
      </c>
      <c r="H3825" s="1">
        <v>-6.96082E-6</v>
      </c>
      <c r="I3825">
        <v>140.15450000000001</v>
      </c>
      <c r="J3825">
        <v>-194.0018</v>
      </c>
      <c r="K3825">
        <v>1.1041829999999999</v>
      </c>
      <c r="L3825">
        <v>155.93899999999999</v>
      </c>
      <c r="M3825">
        <v>-0.14847569999999999</v>
      </c>
      <c r="N3825">
        <v>-8.9591210000000004E-3</v>
      </c>
      <c r="O3825">
        <v>-0.98887539999999996</v>
      </c>
      <c r="P3825">
        <v>-0.37640659999999998</v>
      </c>
      <c r="Q3825">
        <v>-9.8372210000000002E-2</v>
      </c>
      <c r="R3825">
        <v>-0.92121710000000001</v>
      </c>
      <c r="S3825">
        <v>-1.948318</v>
      </c>
      <c r="T3825">
        <v>-0.1684793</v>
      </c>
      <c r="U3825">
        <v>-2.4478909999999998</v>
      </c>
      <c r="V3825">
        <v>0.23449500000000001</v>
      </c>
      <c r="W3825">
        <v>-9.2174179999999994E-2</v>
      </c>
      <c r="X3825">
        <v>0.96773759999999998</v>
      </c>
      <c r="Y3825">
        <v>0.49886380000000002</v>
      </c>
      <c r="Z3825">
        <v>4.682095E-2</v>
      </c>
      <c r="AA3825">
        <v>0.86541469999999898</v>
      </c>
      <c r="AB3825">
        <v>26</v>
      </c>
      <c r="AC3825">
        <v>-12.7272</v>
      </c>
      <c r="AD3825">
        <v>-1.1041899608200001</v>
      </c>
      <c r="AE3825">
        <v>-15.7844999999999</v>
      </c>
      <c r="AF3825">
        <v>10.2121274637122</v>
      </c>
      <c r="AG3825">
        <v>-1.1041899608200001</v>
      </c>
      <c r="AH3825">
        <v>17.447545564342899</v>
      </c>
      <c r="AI3825">
        <v>93.126298716806502</v>
      </c>
      <c r="AJ3825">
        <v>59.659368065619702</v>
      </c>
      <c r="AK3825">
        <v>20.246570796668401</v>
      </c>
      <c r="AL3825">
        <v>95.2886983431967</v>
      </c>
      <c r="AM3825">
        <v>76.3790476550368</v>
      </c>
      <c r="AN3825">
        <v>1.0000000234687101</v>
      </c>
    </row>
    <row r="3826" spans="1:40" x14ac:dyDescent="0.25">
      <c r="A3826" t="str">
        <f>"20190305135310359"</f>
        <v>20190305135310359</v>
      </c>
      <c r="B3826" t="str">
        <f>"1551765190353672"</f>
        <v>1551765190353672</v>
      </c>
      <c r="C3826" t="s">
        <v>40</v>
      </c>
      <c r="D3826">
        <v>4.8401079999999999</v>
      </c>
      <c r="E3826">
        <v>0.61309780000000003</v>
      </c>
      <c r="F3826" t="s">
        <v>78</v>
      </c>
      <c r="G3826">
        <v>-207.23740000000001</v>
      </c>
      <c r="H3826" s="1">
        <v>-6.555255E-6</v>
      </c>
      <c r="I3826">
        <v>139.49719999999999</v>
      </c>
      <c r="J3826">
        <v>-194.04920000000001</v>
      </c>
      <c r="K3826">
        <v>1.1039399999999999</v>
      </c>
      <c r="L3826">
        <v>155.6711</v>
      </c>
      <c r="M3826">
        <v>-0.15512779999999901</v>
      </c>
      <c r="N3826">
        <v>-9.1031250000000001E-3</v>
      </c>
      <c r="O3826">
        <v>-0.98785259999999997</v>
      </c>
      <c r="P3826">
        <v>-0.38169019999999998</v>
      </c>
      <c r="Q3826">
        <v>-9.7888100000000006E-2</v>
      </c>
      <c r="R3826">
        <v>-0.91909209999999997</v>
      </c>
      <c r="S3826">
        <v>-1.9620820000000001</v>
      </c>
      <c r="T3826">
        <v>-0.163689</v>
      </c>
      <c r="U3826">
        <v>-2.4373930000000001</v>
      </c>
      <c r="V3826">
        <v>0.2334801</v>
      </c>
      <c r="W3826">
        <v>-9.1685290000000003E-2</v>
      </c>
      <c r="X3826">
        <v>0.96802940000000004</v>
      </c>
      <c r="Y3826">
        <v>0.49786809999999998</v>
      </c>
      <c r="Z3826">
        <v>4.5167480000000003E-2</v>
      </c>
      <c r="AA3826">
        <v>0.86607579999999995</v>
      </c>
      <c r="AB3826">
        <v>26</v>
      </c>
      <c r="AC3826">
        <v>-13.188199999999901</v>
      </c>
      <c r="AD3826">
        <v>-1.1039465552550001</v>
      </c>
      <c r="AE3826">
        <v>-16.1739</v>
      </c>
      <c r="AF3826">
        <v>10.4900569735423</v>
      </c>
      <c r="AG3826">
        <v>-1.1039465552550001</v>
      </c>
      <c r="AH3826">
        <v>17.973735330333199</v>
      </c>
      <c r="AI3826">
        <v>93.036487551754504</v>
      </c>
      <c r="AJ3826">
        <v>59.730773258878997</v>
      </c>
      <c r="AK3826">
        <v>20.840229246097401</v>
      </c>
      <c r="AL3826">
        <v>95.260567833857095</v>
      </c>
      <c r="AM3826">
        <v>76.439754650994203</v>
      </c>
      <c r="AN3826">
        <v>1.00000003438137</v>
      </c>
    </row>
    <row r="3827" spans="1:40" x14ac:dyDescent="0.25">
      <c r="A3827" t="str">
        <f>"20190305135310381"</f>
        <v>20190305135310381</v>
      </c>
      <c r="B3827" t="str">
        <f>"1551765190373191"</f>
        <v>1551765190373191</v>
      </c>
      <c r="C3827" t="s">
        <v>40</v>
      </c>
      <c r="D3827">
        <v>4.862222</v>
      </c>
      <c r="E3827">
        <v>0.61321230000000004</v>
      </c>
      <c r="F3827" t="s">
        <v>78</v>
      </c>
      <c r="G3827">
        <v>-207.536</v>
      </c>
      <c r="H3827" s="1">
        <v>-6.30040499999999E-6</v>
      </c>
      <c r="I3827">
        <v>139.11449999999999</v>
      </c>
      <c r="J3827">
        <v>-194.09719999999999</v>
      </c>
      <c r="K3827">
        <v>1.103715</v>
      </c>
      <c r="L3827">
        <v>155.41159999999999</v>
      </c>
      <c r="M3827">
        <v>-0.161929399999999</v>
      </c>
      <c r="N3827">
        <v>-9.3236819999999998E-3</v>
      </c>
      <c r="O3827">
        <v>-0.98675840000000004</v>
      </c>
      <c r="P3827">
        <v>-0.38632090000000002</v>
      </c>
      <c r="Q3827">
        <v>-9.726427E-2</v>
      </c>
      <c r="R3827">
        <v>-0.91722199999999998</v>
      </c>
      <c r="S3827">
        <v>-1.9763029999999999</v>
      </c>
      <c r="T3827">
        <v>-0.1617681</v>
      </c>
      <c r="U3827">
        <v>-2.426132</v>
      </c>
      <c r="V3827">
        <v>0.2316318</v>
      </c>
      <c r="W3827">
        <v>-9.0979879999999999E-2</v>
      </c>
      <c r="X3827">
        <v>0.96853979999999995</v>
      </c>
      <c r="Y3827">
        <v>0.4969364</v>
      </c>
      <c r="Z3827">
        <v>4.4384659999999999E-2</v>
      </c>
      <c r="AA3827">
        <v>0.86665119999999896</v>
      </c>
      <c r="AB3827">
        <v>26</v>
      </c>
      <c r="AC3827">
        <v>-13.438799999999899</v>
      </c>
      <c r="AD3827">
        <v>-1.1037213004049999</v>
      </c>
      <c r="AE3827">
        <v>-16.2971</v>
      </c>
      <c r="AF3827">
        <v>10.593407821982799</v>
      </c>
      <c r="AG3827">
        <v>-1.1037213004049999</v>
      </c>
      <c r="AH3827">
        <v>18.208516268445301</v>
      </c>
      <c r="AI3827">
        <v>92.999203879921396</v>
      </c>
      <c r="AJ3827">
        <v>59.809876923093697</v>
      </c>
      <c r="AK3827">
        <v>21.0947518281219</v>
      </c>
      <c r="AL3827">
        <v>95.219981433709506</v>
      </c>
      <c r="AM3827">
        <v>76.550016441228905</v>
      </c>
      <c r="AN3827">
        <v>0.99999998676004698</v>
      </c>
    </row>
    <row r="3828" spans="1:40" x14ac:dyDescent="0.25">
      <c r="A3828" t="str">
        <f>"20190305135310403"</f>
        <v>20190305135310403</v>
      </c>
      <c r="B3828" t="str">
        <f>"1551765190393692"</f>
        <v>1551765190393692</v>
      </c>
      <c r="C3828" t="s">
        <v>40</v>
      </c>
      <c r="D3828">
        <v>4.8988110000000002</v>
      </c>
      <c r="E3828">
        <v>0.61330609999999997</v>
      </c>
      <c r="F3828" t="s">
        <v>78</v>
      </c>
      <c r="G3828">
        <v>-207.8013</v>
      </c>
      <c r="H3828" s="1">
        <v>-6.0709849999999998E-6</v>
      </c>
      <c r="I3828">
        <v>138.76519999999999</v>
      </c>
      <c r="J3828">
        <v>-194.14580000000001</v>
      </c>
      <c r="K3828">
        <v>1.1034949999999999</v>
      </c>
      <c r="L3828">
        <v>155.16059999999999</v>
      </c>
      <c r="M3828">
        <v>-0.16888300000000001</v>
      </c>
      <c r="N3828">
        <v>-9.6331630000000001E-3</v>
      </c>
      <c r="O3828">
        <v>-0.9855891</v>
      </c>
      <c r="P3828">
        <v>-0.3910978</v>
      </c>
      <c r="Q3828">
        <v>-9.5498630000000001E-2</v>
      </c>
      <c r="R3828">
        <v>-0.915381</v>
      </c>
      <c r="S3828">
        <v>-1.988998</v>
      </c>
      <c r="T3828">
        <v>-0.16019269999999999</v>
      </c>
      <c r="U3828">
        <v>-2.4160460000000001</v>
      </c>
      <c r="V3828">
        <v>0.2297836</v>
      </c>
      <c r="W3828">
        <v>-8.9049600000000007E-2</v>
      </c>
      <c r="X3828">
        <v>0.9691592</v>
      </c>
      <c r="Y3828">
        <v>0.49532670000000001</v>
      </c>
      <c r="Z3828">
        <v>4.3626030000000003E-2</v>
      </c>
      <c r="AA3828">
        <v>0.86761069999999996</v>
      </c>
      <c r="AB3828">
        <v>26</v>
      </c>
      <c r="AC3828">
        <v>-13.6554999999999</v>
      </c>
      <c r="AD3828">
        <v>-1.1035010709849999</v>
      </c>
      <c r="AE3828">
        <v>-16.395399999999899</v>
      </c>
      <c r="AF3828">
        <v>10.6617864686246</v>
      </c>
      <c r="AG3828">
        <v>-1.1035010709849999</v>
      </c>
      <c r="AH3828">
        <v>18.4169062981106</v>
      </c>
      <c r="AI3828">
        <v>92.968427538647802</v>
      </c>
      <c r="AJ3828">
        <v>59.932892048141497</v>
      </c>
      <c r="AK3828">
        <v>21.309008491940599</v>
      </c>
      <c r="AL3828">
        <v>95.108933927971094</v>
      </c>
      <c r="AM3828">
        <v>76.661704588851407</v>
      </c>
      <c r="AN3828">
        <v>0.99999994451687801</v>
      </c>
    </row>
    <row r="3829" spans="1:40" x14ac:dyDescent="0.25">
      <c r="A3829" t="str">
        <f>"20190305135310425"</f>
        <v>20190305135310425</v>
      </c>
      <c r="B3829" t="str">
        <f>"1551765190423944"</f>
        <v>1551765190423944</v>
      </c>
      <c r="C3829" t="s">
        <v>40</v>
      </c>
      <c r="D3829">
        <v>4.9054840000000004</v>
      </c>
      <c r="E3829">
        <v>0.61342299999999905</v>
      </c>
      <c r="F3829" t="s">
        <v>78</v>
      </c>
      <c r="G3829">
        <v>-208.2961</v>
      </c>
      <c r="H3829" s="1">
        <v>-5.6578850000000003E-6</v>
      </c>
      <c r="I3829">
        <v>138.15969999999999</v>
      </c>
      <c r="J3829">
        <v>-194.1994</v>
      </c>
      <c r="K3829">
        <v>1.103264</v>
      </c>
      <c r="L3829">
        <v>154.89699999999999</v>
      </c>
      <c r="M3829">
        <v>-0.17662429999999901</v>
      </c>
      <c r="N3829">
        <v>-1.004184E-2</v>
      </c>
      <c r="O3829">
        <v>-0.98422719999999997</v>
      </c>
      <c r="P3829">
        <v>-0.3965515</v>
      </c>
      <c r="Q3829">
        <v>-9.2957910000000005E-2</v>
      </c>
      <c r="R3829">
        <v>-0.91329400000000005</v>
      </c>
      <c r="S3829">
        <v>-2.002243</v>
      </c>
      <c r="T3829">
        <v>-0.15614339999999999</v>
      </c>
      <c r="U3829">
        <v>-2.4055939999999998</v>
      </c>
      <c r="V3829">
        <v>0.2278715</v>
      </c>
      <c r="W3829">
        <v>-8.6260770000000001E-2</v>
      </c>
      <c r="X3829">
        <v>0.96986269999999997</v>
      </c>
      <c r="Y3829">
        <v>0.4932182</v>
      </c>
      <c r="Z3829">
        <v>4.1961650000000003E-2</v>
      </c>
      <c r="AA3829">
        <v>0.86889300000000003</v>
      </c>
      <c r="AB3829">
        <v>26</v>
      </c>
      <c r="AC3829">
        <v>-14.096699999999901</v>
      </c>
      <c r="AD3829">
        <v>-1.1032696578849901</v>
      </c>
      <c r="AE3829">
        <v>-16.737300000000001</v>
      </c>
      <c r="AF3829">
        <v>10.8910073547293</v>
      </c>
      <c r="AG3829">
        <v>-1.1032696578849901</v>
      </c>
      <c r="AH3829">
        <v>18.915997563191901</v>
      </c>
      <c r="AI3829">
        <v>92.893581816820998</v>
      </c>
      <c r="AJ3829">
        <v>60.068537171875803</v>
      </c>
      <c r="AK3829">
        <v>21.855118598384699</v>
      </c>
      <c r="AL3829">
        <v>94.948527985803807</v>
      </c>
      <c r="AM3829">
        <v>76.778037247647802</v>
      </c>
      <c r="AN3829">
        <v>0.99999999890226599</v>
      </c>
    </row>
    <row r="3830" spans="1:40" x14ac:dyDescent="0.25">
      <c r="A3830" t="str">
        <f>"20190305135310448"</f>
        <v>20190305135310448</v>
      </c>
      <c r="B3830" t="str">
        <f>"1551765190443464"</f>
        <v>1551765190443464</v>
      </c>
      <c r="C3830" t="s">
        <v>40</v>
      </c>
      <c r="D3830">
        <v>4.9335360000000001</v>
      </c>
      <c r="E3830">
        <v>0.61349119999999902</v>
      </c>
      <c r="F3830" t="s">
        <v>78</v>
      </c>
      <c r="G3830">
        <v>-208.5668</v>
      </c>
      <c r="H3830" s="1">
        <v>-5.4399579999999997E-6</v>
      </c>
      <c r="I3830">
        <v>137.8537</v>
      </c>
      <c r="J3830">
        <v>-194.25569999999999</v>
      </c>
      <c r="K3830">
        <v>1.103002</v>
      </c>
      <c r="L3830">
        <v>154.6343</v>
      </c>
      <c r="M3830">
        <v>-0.18485989999999999</v>
      </c>
      <c r="N3830">
        <v>-1.0473079999999999E-2</v>
      </c>
      <c r="O3830">
        <v>-0.98270919999999895</v>
      </c>
      <c r="P3830">
        <v>-0.40233799999999997</v>
      </c>
      <c r="Q3830">
        <v>-9.1252449999999999E-2</v>
      </c>
      <c r="R3830">
        <v>-0.91093250000000003</v>
      </c>
      <c r="S3830">
        <v>-2.017395</v>
      </c>
      <c r="T3830">
        <v>-0.15491469999999999</v>
      </c>
      <c r="U3830">
        <v>-2.3931119999999999</v>
      </c>
      <c r="V3830">
        <v>0.22583139999999999</v>
      </c>
      <c r="W3830">
        <v>-8.4289039999999996E-2</v>
      </c>
      <c r="X3830">
        <v>0.97051299999999996</v>
      </c>
      <c r="Y3830">
        <v>0.49139899999999997</v>
      </c>
      <c r="Z3830">
        <v>4.1210450000000003E-2</v>
      </c>
      <c r="AA3830">
        <v>0.86995900000000004</v>
      </c>
      <c r="AB3830">
        <v>26</v>
      </c>
      <c r="AC3830">
        <v>-14.3111</v>
      </c>
      <c r="AD3830">
        <v>-1.1030074399580001</v>
      </c>
      <c r="AE3830">
        <v>-16.7805999999999</v>
      </c>
      <c r="AF3830">
        <v>10.9348381188322</v>
      </c>
      <c r="AG3830">
        <v>-1.1030074399580001</v>
      </c>
      <c r="AH3830">
        <v>19.0892976079178</v>
      </c>
      <c r="AI3830">
        <v>92.870301060438294</v>
      </c>
      <c r="AJ3830">
        <v>60.194814810284498</v>
      </c>
      <c r="AK3830">
        <v>22.026996918811399</v>
      </c>
      <c r="AL3830">
        <v>94.835143274786802</v>
      </c>
      <c r="AM3830">
        <v>76.900786839997906</v>
      </c>
      <c r="AN3830">
        <v>0.99999997332954005</v>
      </c>
    </row>
    <row r="3831" spans="1:40" x14ac:dyDescent="0.25">
      <c r="A3831" t="str">
        <f>"20190305135310472"</f>
        <v>20190305135310472</v>
      </c>
      <c r="B3831" t="str">
        <f>"1551765190463959"</f>
        <v>1551765190463959</v>
      </c>
      <c r="C3831" t="s">
        <v>40</v>
      </c>
      <c r="D3831">
        <v>4.9305960000000004</v>
      </c>
      <c r="E3831">
        <v>0.61370809999999998</v>
      </c>
      <c r="F3831" t="s">
        <v>78</v>
      </c>
      <c r="G3831">
        <v>-208.97710000000001</v>
      </c>
      <c r="H3831" s="1">
        <v>-5.0967800000000004E-6</v>
      </c>
      <c r="I3831">
        <v>137.40010000000001</v>
      </c>
      <c r="J3831">
        <v>-194.31729999999999</v>
      </c>
      <c r="K3831">
        <v>1.102732</v>
      </c>
      <c r="L3831">
        <v>154.36080000000001</v>
      </c>
      <c r="M3831">
        <v>-0.19387740000000001</v>
      </c>
      <c r="N3831">
        <v>-1.090175E-2</v>
      </c>
      <c r="O3831">
        <v>-0.98096539999999999</v>
      </c>
      <c r="P3831">
        <v>-0.40956209999999998</v>
      </c>
      <c r="Q3831">
        <v>-9.0861200000000003E-2</v>
      </c>
      <c r="R3831">
        <v>-0.90774630000000001</v>
      </c>
      <c r="S3831">
        <v>-2.033096</v>
      </c>
      <c r="T3831">
        <v>-0.15232989999999999</v>
      </c>
      <c r="U3831">
        <v>-2.380112</v>
      </c>
      <c r="V3831">
        <v>0.22456480000000001</v>
      </c>
      <c r="W3831">
        <v>-8.3642679999999997E-2</v>
      </c>
      <c r="X3831">
        <v>0.97086280000000003</v>
      </c>
      <c r="Y3831">
        <v>0.48909330000000001</v>
      </c>
      <c r="Z3831">
        <v>4.0016379999999997E-2</v>
      </c>
      <c r="AA3831">
        <v>0.87131309999999995</v>
      </c>
      <c r="AB3831">
        <v>26</v>
      </c>
      <c r="AC3831">
        <v>-14.659800000000001</v>
      </c>
      <c r="AD3831">
        <v>-1.1027370967799901</v>
      </c>
      <c r="AE3831">
        <v>-16.960699999999999</v>
      </c>
      <c r="AF3831">
        <v>11.066341009877</v>
      </c>
      <c r="AG3831">
        <v>-1.1027370967799901</v>
      </c>
      <c r="AH3831">
        <v>19.434194541677801</v>
      </c>
      <c r="AI3831">
        <v>92.8228778806766</v>
      </c>
      <c r="AJ3831">
        <v>60.341676880180998</v>
      </c>
      <c r="AK3831">
        <v>22.391244939379298</v>
      </c>
      <c r="AL3831">
        <v>94.797978144631401</v>
      </c>
      <c r="AM3831">
        <v>76.976276155966801</v>
      </c>
      <c r="AN3831">
        <v>1.0000000118702299</v>
      </c>
    </row>
    <row r="3832" spans="1:40" x14ac:dyDescent="0.25">
      <c r="A3832" t="str">
        <f>"20190305135310494"</f>
        <v>20190305135310494</v>
      </c>
      <c r="B3832" t="str">
        <f>"1551765190483480"</f>
        <v>1551765190483480</v>
      </c>
      <c r="C3832" t="s">
        <v>40</v>
      </c>
      <c r="D3832">
        <v>4.9349239999999996</v>
      </c>
      <c r="E3832">
        <v>0.61387829999999999</v>
      </c>
      <c r="F3832" t="s">
        <v>78</v>
      </c>
      <c r="G3832">
        <v>-208.64959999999999</v>
      </c>
      <c r="H3832" s="1">
        <v>-5.4100709999999999E-6</v>
      </c>
      <c r="I3832">
        <v>137.8751</v>
      </c>
      <c r="J3832">
        <v>-194.3766</v>
      </c>
      <c r="K3832">
        <v>1.102487</v>
      </c>
      <c r="L3832">
        <v>154.1096</v>
      </c>
      <c r="M3832">
        <v>-0.20253789999999999</v>
      </c>
      <c r="N3832">
        <v>-1.127411E-2</v>
      </c>
      <c r="O3832">
        <v>-0.97920949999999995</v>
      </c>
      <c r="P3832">
        <v>-0.41710730000000001</v>
      </c>
      <c r="Q3832">
        <v>-8.9662160000000005E-2</v>
      </c>
      <c r="R3832">
        <v>-0.90442400000000001</v>
      </c>
      <c r="S3832">
        <v>-2.0538639999999999</v>
      </c>
      <c r="T3832">
        <v>-0.158025</v>
      </c>
      <c r="U3832">
        <v>-2.3624420000000002</v>
      </c>
      <c r="V3832">
        <v>0.2240124</v>
      </c>
      <c r="W3832">
        <v>-8.2228419999999997E-2</v>
      </c>
      <c r="X3832">
        <v>0.97111119999999995</v>
      </c>
      <c r="Y3832">
        <v>0.48892479999999999</v>
      </c>
      <c r="Z3832">
        <v>4.1608569999999998E-2</v>
      </c>
      <c r="AA3832">
        <v>0.87133309999999997</v>
      </c>
      <c r="AB3832">
        <v>26</v>
      </c>
      <c r="AC3832">
        <v>-14.2729999999999</v>
      </c>
      <c r="AD3832">
        <v>-1.1024924100710001</v>
      </c>
      <c r="AE3832">
        <v>-16.234499999999901</v>
      </c>
      <c r="AF3832">
        <v>10.661103415372001</v>
      </c>
      <c r="AG3832">
        <v>-1.1024924100710001</v>
      </c>
      <c r="AH3832">
        <v>18.7402472408364</v>
      </c>
      <c r="AI3832">
        <v>92.927257489384104</v>
      </c>
      <c r="AJ3832">
        <v>60.364967873497299</v>
      </c>
      <c r="AK3832">
        <v>21.588688755809098</v>
      </c>
      <c r="AL3832">
        <v>94.7166668675859</v>
      </c>
      <c r="AM3832">
        <v>77.010435188576196</v>
      </c>
      <c r="AN3832">
        <v>1.00000001558744</v>
      </c>
    </row>
    <row r="3833" spans="1:40" x14ac:dyDescent="0.25">
      <c r="A3833" t="str">
        <f>"20190305135310514"</f>
        <v>20190305135310514</v>
      </c>
      <c r="B3833" t="str">
        <f>"1551765190503975"</f>
        <v>1551765190503975</v>
      </c>
      <c r="C3833" t="s">
        <v>40</v>
      </c>
      <c r="D3833">
        <v>5.0689849999999996</v>
      </c>
      <c r="E3833">
        <v>0.61398750000000002</v>
      </c>
      <c r="F3833" t="s">
        <v>78</v>
      </c>
      <c r="G3833">
        <v>-208.67250000000001</v>
      </c>
      <c r="H3833" s="1">
        <v>-5.4255750000000001E-6</v>
      </c>
      <c r="I3833">
        <v>137.95519999999999</v>
      </c>
      <c r="J3833">
        <v>-194.4358</v>
      </c>
      <c r="K3833">
        <v>1.102263</v>
      </c>
      <c r="L3833">
        <v>153.87010000000001</v>
      </c>
      <c r="M3833">
        <v>-0.21116470000000001</v>
      </c>
      <c r="N3833">
        <v>-1.1612509999999999E-2</v>
      </c>
      <c r="O3833">
        <v>-0.97738159999999996</v>
      </c>
      <c r="P3833">
        <v>-0.42588510000000002</v>
      </c>
      <c r="Q3833">
        <v>-8.8311039999999993E-2</v>
      </c>
      <c r="R3833">
        <v>-0.90045730000000002</v>
      </c>
      <c r="S3833">
        <v>-2.0746609999999999</v>
      </c>
      <c r="T3833">
        <v>-0.15999659999999999</v>
      </c>
      <c r="U3833">
        <v>-2.34436</v>
      </c>
      <c r="V3833">
        <v>0.2248396</v>
      </c>
      <c r="W3833">
        <v>-8.0708059999999998E-2</v>
      </c>
      <c r="X3833">
        <v>0.97104760000000001</v>
      </c>
      <c r="Y3833">
        <v>0.48888730000000002</v>
      </c>
      <c r="Z3833">
        <v>4.2010409999999998E-2</v>
      </c>
      <c r="AA3833">
        <v>0.87133479999999996</v>
      </c>
      <c r="AB3833">
        <v>26</v>
      </c>
      <c r="AC3833">
        <v>-14.236700000000001</v>
      </c>
      <c r="AD3833">
        <v>-1.1022684255749999</v>
      </c>
      <c r="AE3833">
        <v>-15.914899999999999</v>
      </c>
      <c r="AF3833">
        <v>10.5266843444776</v>
      </c>
      <c r="AG3833">
        <v>-1.1022684255749999</v>
      </c>
      <c r="AH3833">
        <v>18.513137834541801</v>
      </c>
      <c r="AI3833">
        <v>92.962861310232299</v>
      </c>
      <c r="AJ3833">
        <v>60.377172774794801</v>
      </c>
      <c r="AK3833">
        <v>21.3251577122195</v>
      </c>
      <c r="AL3833">
        <v>94.629266014575407</v>
      </c>
      <c r="AM3833">
        <v>76.963279999839997</v>
      </c>
      <c r="AN3833">
        <v>1.0000000390714401</v>
      </c>
    </row>
    <row r="3834" spans="1:40" x14ac:dyDescent="0.25">
      <c r="A3834" t="str">
        <f>"20190305135310538"</f>
        <v>20190305135310538</v>
      </c>
      <c r="B3834" t="str">
        <f>"1551765190534233"</f>
        <v>1551765190534233</v>
      </c>
      <c r="C3834" t="s">
        <v>40</v>
      </c>
      <c r="D3834">
        <v>4.804125</v>
      </c>
      <c r="E3834">
        <v>0.57612369999999902</v>
      </c>
      <c r="F3834" t="s">
        <v>78</v>
      </c>
      <c r="G3834">
        <v>-209.0746</v>
      </c>
      <c r="H3834" s="1">
        <v>-5.140333E-6</v>
      </c>
      <c r="I3834">
        <v>137.65880000000001</v>
      </c>
      <c r="J3834">
        <v>-194.5026</v>
      </c>
      <c r="K3834">
        <v>1.1020110000000001</v>
      </c>
      <c r="L3834">
        <v>153.61179999999999</v>
      </c>
      <c r="M3834">
        <v>-0.22089919999999999</v>
      </c>
      <c r="N3834">
        <v>-1.195859E-2</v>
      </c>
      <c r="O3834">
        <v>-0.97522330000000002</v>
      </c>
      <c r="P3834">
        <v>-0.43565369999999998</v>
      </c>
      <c r="Q3834">
        <v>-8.6390199999999903E-2</v>
      </c>
      <c r="R3834">
        <v>-0.89595899999999995</v>
      </c>
      <c r="S3834">
        <v>-2.0983429999999998</v>
      </c>
      <c r="T3834">
        <v>-0.1579999</v>
      </c>
      <c r="U3834">
        <v>-2.3237299999999999</v>
      </c>
      <c r="V3834">
        <v>0.22565769999999999</v>
      </c>
      <c r="W3834">
        <v>-7.862355E-2</v>
      </c>
      <c r="X3834">
        <v>0.97102880000000003</v>
      </c>
      <c r="Y3834">
        <v>0.4889539</v>
      </c>
      <c r="Z3834">
        <v>4.1104670000000003E-2</v>
      </c>
      <c r="AA3834">
        <v>0.87134069999999997</v>
      </c>
      <c r="AB3834">
        <v>26</v>
      </c>
      <c r="AC3834">
        <v>-14.571999999999999</v>
      </c>
      <c r="AD3834">
        <v>-1.102016140333</v>
      </c>
      <c r="AE3834">
        <v>-15.9529999999999</v>
      </c>
      <c r="AF3834">
        <v>10.659982660123999</v>
      </c>
      <c r="AG3834">
        <v>-1.102016140333</v>
      </c>
      <c r="AH3834">
        <v>18.729301334759</v>
      </c>
      <c r="AI3834">
        <v>92.927359704901704</v>
      </c>
      <c r="AJ3834">
        <v>60.353167829867999</v>
      </c>
      <c r="AK3834">
        <v>21.578609741498699</v>
      </c>
      <c r="AL3834">
        <v>94.5094517546747</v>
      </c>
      <c r="AM3834">
        <v>76.9172289160216</v>
      </c>
      <c r="AN3834">
        <v>0.99999999530666595</v>
      </c>
    </row>
    <row r="3835" spans="1:40" x14ac:dyDescent="0.25">
      <c r="A3835" t="str">
        <f>"20190305135310560"</f>
        <v>20190305135310560</v>
      </c>
      <c r="B3835" t="str">
        <f>"1551765190553755"</f>
        <v>1551765190553755</v>
      </c>
      <c r="C3835" t="s">
        <v>40</v>
      </c>
      <c r="D3835">
        <v>5.7284759999999997</v>
      </c>
      <c r="E3835">
        <v>0.56889749999999994</v>
      </c>
      <c r="F3835" t="s">
        <v>78</v>
      </c>
      <c r="G3835">
        <v>-202.28270000000001</v>
      </c>
      <c r="H3835" s="1">
        <v>-9.6250380000000008E-6</v>
      </c>
      <c r="I3835">
        <v>143.45670000000001</v>
      </c>
      <c r="J3835">
        <v>-194.5727</v>
      </c>
      <c r="K3835">
        <v>1.1017490000000001</v>
      </c>
      <c r="L3835">
        <v>153.35319999999999</v>
      </c>
      <c r="M3835">
        <v>-0.23109959999999999</v>
      </c>
      <c r="N3835">
        <v>-1.2283469999999999E-2</v>
      </c>
      <c r="O3835">
        <v>-0.97285250000000001</v>
      </c>
      <c r="P3835">
        <v>-0.44599840000000002</v>
      </c>
      <c r="Q3835">
        <v>-8.4716799999999995E-2</v>
      </c>
      <c r="R3835">
        <v>-0.89101529999999995</v>
      </c>
      <c r="S3835">
        <v>-1.854889</v>
      </c>
      <c r="T3835">
        <v>-0.26273659999999999</v>
      </c>
      <c r="U3835">
        <v>-2.4211119999999999</v>
      </c>
      <c r="V3835">
        <v>0.22667119999999999</v>
      </c>
      <c r="W3835">
        <v>-7.6817590000000005E-2</v>
      </c>
      <c r="X3835">
        <v>0.9709373</v>
      </c>
      <c r="Y3835">
        <v>0.4062192</v>
      </c>
      <c r="Z3835">
        <v>7.641887E-2</v>
      </c>
      <c r="AA3835">
        <v>0.91057460000000001</v>
      </c>
      <c r="AB3835">
        <v>26</v>
      </c>
      <c r="AC3835">
        <v>-7.71</v>
      </c>
      <c r="AD3835">
        <v>-1.10175862503799</v>
      </c>
      <c r="AE3835">
        <v>-9.8964999999999694</v>
      </c>
      <c r="AF3835">
        <v>5.1741025879657503</v>
      </c>
      <c r="AG3835">
        <v>-1.10175862503799</v>
      </c>
      <c r="AH3835">
        <v>11.323141409315999</v>
      </c>
      <c r="AI3835">
        <v>95.057483147745103</v>
      </c>
      <c r="AJ3835">
        <v>65.441997998319593</v>
      </c>
      <c r="AK3835">
        <v>12.497949473173801</v>
      </c>
      <c r="AL3835">
        <v>94.405663859363898</v>
      </c>
      <c r="AM3835">
        <v>76.859309033374004</v>
      </c>
      <c r="AN3835">
        <v>1.0000000077870601</v>
      </c>
    </row>
    <row r="3836" spans="1:40" x14ac:dyDescent="0.25">
      <c r="A3836" t="str">
        <f>"20190305135310582"</f>
        <v>20190305135310582</v>
      </c>
      <c r="B3836" t="str">
        <f>"1551765190573271"</f>
        <v>1551765190573271</v>
      </c>
      <c r="C3836" t="s">
        <v>40</v>
      </c>
      <c r="D3836">
        <v>4.8919769999999998</v>
      </c>
      <c r="E3836">
        <v>0.56585659999999904</v>
      </c>
      <c r="F3836" t="s">
        <v>78</v>
      </c>
      <c r="G3836">
        <v>-202.47389999999999</v>
      </c>
      <c r="H3836" s="1">
        <v>-9.4018399999999998E-6</v>
      </c>
      <c r="I3836">
        <v>142.88390000000001</v>
      </c>
      <c r="J3836">
        <v>-194.64400000000001</v>
      </c>
      <c r="K3836">
        <v>1.1014660000000001</v>
      </c>
      <c r="L3836">
        <v>153.10220000000001</v>
      </c>
      <c r="M3836">
        <v>-0.2414482</v>
      </c>
      <c r="N3836">
        <v>-1.257722E-2</v>
      </c>
      <c r="O3836">
        <v>-0.97033239999999998</v>
      </c>
      <c r="P3836">
        <v>-0.45675749999999998</v>
      </c>
      <c r="Q3836">
        <v>-8.3266450000000006E-2</v>
      </c>
      <c r="R3836">
        <v>-0.88568609999999903</v>
      </c>
      <c r="S3836">
        <v>-1.8310090000000001</v>
      </c>
      <c r="T3836">
        <v>-0.25531759999999998</v>
      </c>
      <c r="U3836">
        <v>-2.426132</v>
      </c>
      <c r="V3836">
        <v>0.2280295</v>
      </c>
      <c r="W3836">
        <v>-7.5275659999999994E-2</v>
      </c>
      <c r="X3836">
        <v>0.97074000000000005</v>
      </c>
      <c r="Y3836">
        <v>0.38996019999999998</v>
      </c>
      <c r="Z3836">
        <v>7.3794670000000007E-2</v>
      </c>
      <c r="AA3836">
        <v>0.91786999999999996</v>
      </c>
      <c r="AB3836">
        <v>26</v>
      </c>
      <c r="AC3836">
        <v>-7.8298999999999799</v>
      </c>
      <c r="AD3836">
        <v>-1.1014754018399999</v>
      </c>
      <c r="AE3836">
        <v>-10.218299999999999</v>
      </c>
      <c r="AF3836">
        <v>5.0935304738888201</v>
      </c>
      <c r="AG3836">
        <v>-1.1014754018399999</v>
      </c>
      <c r="AH3836">
        <v>11.720786194270699</v>
      </c>
      <c r="AI3836">
        <v>94.926115851338395</v>
      </c>
      <c r="AJ3836">
        <v>66.511563194596306</v>
      </c>
      <c r="AK3836">
        <v>12.827085785988199</v>
      </c>
      <c r="AL3836">
        <v>94.317061178397793</v>
      </c>
      <c r="AM3836">
        <v>76.780729076613795</v>
      </c>
      <c r="AN3836">
        <v>1.00000001272934</v>
      </c>
    </row>
    <row r="3837" spans="1:40" x14ac:dyDescent="0.25">
      <c r="A3837" t="str">
        <f>"20190305135310604"</f>
        <v>20190305135310604</v>
      </c>
      <c r="B3837" t="str">
        <f>"1551765190593767"</f>
        <v>1551765190593767</v>
      </c>
      <c r="C3837" t="s">
        <v>40</v>
      </c>
      <c r="D3837">
        <v>4.9038040000000001</v>
      </c>
      <c r="E3837">
        <v>0.56396999999999997</v>
      </c>
      <c r="F3837" t="s">
        <v>78</v>
      </c>
      <c r="G3837">
        <v>-202.70050000000001</v>
      </c>
      <c r="H3837" s="1">
        <v>-9.2205090000000005E-6</v>
      </c>
      <c r="I3837">
        <v>142.52000000000001</v>
      </c>
      <c r="J3837">
        <v>-194.7192</v>
      </c>
      <c r="K3837">
        <v>1.101181</v>
      </c>
      <c r="L3837">
        <v>152.84979999999999</v>
      </c>
      <c r="M3837">
        <v>-0.25231720000000002</v>
      </c>
      <c r="N3837">
        <v>-1.2852819999999999E-2</v>
      </c>
      <c r="O3837">
        <v>-0.96755950000000002</v>
      </c>
      <c r="P3837">
        <v>-0.46796520000000003</v>
      </c>
      <c r="Q3837">
        <v>-8.2343250000000007E-2</v>
      </c>
      <c r="R3837">
        <v>-0.87990270000000004</v>
      </c>
      <c r="S3837">
        <v>-1.8387910000000001</v>
      </c>
      <c r="T3837">
        <v>-0.25139840000000002</v>
      </c>
      <c r="U3837">
        <v>-2.4152680000000002</v>
      </c>
      <c r="V3837">
        <v>0.229406</v>
      </c>
      <c r="W3837">
        <v>-7.4288820000000005E-2</v>
      </c>
      <c r="X3837">
        <v>0.97049160000000001</v>
      </c>
      <c r="Y3837">
        <v>0.38355129999999998</v>
      </c>
      <c r="Z3837">
        <v>7.2278560000000006E-2</v>
      </c>
      <c r="AA3837">
        <v>0.92068680000000003</v>
      </c>
      <c r="AB3837">
        <v>26</v>
      </c>
      <c r="AC3837">
        <v>-7.9813000000000001</v>
      </c>
      <c r="AD3837">
        <v>-1.1011902205090001</v>
      </c>
      <c r="AE3837">
        <v>-10.329799999999899</v>
      </c>
      <c r="AF3837">
        <v>5.0802661239125602</v>
      </c>
      <c r="AG3837">
        <v>-1.1011902205090001</v>
      </c>
      <c r="AH3837">
        <v>11.9246474931265</v>
      </c>
      <c r="AI3837">
        <v>94.856020935129095</v>
      </c>
      <c r="AJ3837">
        <v>66.924505808709299</v>
      </c>
      <c r="AK3837">
        <v>13.0084181062436</v>
      </c>
      <c r="AL3837">
        <v>94.260360936748398</v>
      </c>
      <c r="AM3837">
        <v>76.700474863806605</v>
      </c>
      <c r="AN3837">
        <v>0.99999994364177403</v>
      </c>
    </row>
    <row r="3838" spans="1:40" x14ac:dyDescent="0.25">
      <c r="A3838" t="str">
        <f>"20190305135310627"</f>
        <v>20190305135310627</v>
      </c>
      <c r="B3838" t="str">
        <f>"1551765190624023"</f>
        <v>1551765190624023</v>
      </c>
      <c r="C3838" t="s">
        <v>40</v>
      </c>
      <c r="D3838">
        <v>4.8919240000000004</v>
      </c>
      <c r="E3838">
        <v>0.56251790000000002</v>
      </c>
      <c r="F3838" t="s">
        <v>78</v>
      </c>
      <c r="G3838">
        <v>-202.8314</v>
      </c>
      <c r="H3838" s="1">
        <v>-9.1300370000000002E-6</v>
      </c>
      <c r="I3838">
        <v>142.364</v>
      </c>
      <c r="J3838">
        <v>-194.79859999999999</v>
      </c>
      <c r="K3838">
        <v>1.100889</v>
      </c>
      <c r="L3838">
        <v>152.59630000000001</v>
      </c>
      <c r="M3838">
        <v>-0.26374560000000002</v>
      </c>
      <c r="N3838">
        <v>-1.311122E-2</v>
      </c>
      <c r="O3838">
        <v>-0.9645032</v>
      </c>
      <c r="P3838">
        <v>-0.47972910000000002</v>
      </c>
      <c r="Q3838">
        <v>-7.9691529999999997E-2</v>
      </c>
      <c r="R3838">
        <v>-0.87379030000000002</v>
      </c>
      <c r="S3838">
        <v>-1.85585</v>
      </c>
      <c r="T3838">
        <v>-0.2519227</v>
      </c>
      <c r="U3838">
        <v>-2.3988800000000001</v>
      </c>
      <c r="V3838">
        <v>0.230879</v>
      </c>
      <c r="W3838">
        <v>-7.1597110000000005E-2</v>
      </c>
      <c r="X3838">
        <v>0.97034469999999995</v>
      </c>
      <c r="Y3838">
        <v>0.3797587</v>
      </c>
      <c r="Z3838">
        <v>7.2241239999999998E-2</v>
      </c>
      <c r="AA3838">
        <v>0.92226059999999999</v>
      </c>
      <c r="AB3838">
        <v>26</v>
      </c>
      <c r="AC3838">
        <v>-8.0327999999999999</v>
      </c>
      <c r="AD3838">
        <v>-1.100898130037</v>
      </c>
      <c r="AE3838">
        <v>-10.2323</v>
      </c>
      <c r="AF3838">
        <v>5.0134651701923101</v>
      </c>
      <c r="AG3838">
        <v>-1.100898130037</v>
      </c>
      <c r="AH3838">
        <v>11.903480432417799</v>
      </c>
      <c r="AI3838">
        <v>94.871776034332598</v>
      </c>
      <c r="AJ3838">
        <v>67.160322014588303</v>
      </c>
      <c r="AK3838">
        <v>12.963011074222001</v>
      </c>
      <c r="AL3838">
        <v>94.105724897688205</v>
      </c>
      <c r="AM3838">
        <v>76.616189096182893</v>
      </c>
      <c r="AN3838">
        <v>1.00000004780971</v>
      </c>
    </row>
    <row r="3839" spans="1:40" x14ac:dyDescent="0.25">
      <c r="A3839" t="str">
        <f>"20190305135310650"</f>
        <v>20190305135310650</v>
      </c>
      <c r="B3839" t="str">
        <f>"1551765190643543"</f>
        <v>1551765190643543</v>
      </c>
      <c r="C3839" t="s">
        <v>40</v>
      </c>
      <c r="D3839">
        <v>4.6847490000000001</v>
      </c>
      <c r="E3839">
        <v>0.56246640000000003</v>
      </c>
      <c r="F3839" t="s">
        <v>78</v>
      </c>
      <c r="G3839">
        <v>-202.97239999999999</v>
      </c>
      <c r="H3839" s="1">
        <v>-9.0446929999999992E-6</v>
      </c>
      <c r="I3839">
        <v>142.24170000000001</v>
      </c>
      <c r="J3839">
        <v>-194.8845</v>
      </c>
      <c r="K3839">
        <v>1.100587</v>
      </c>
      <c r="L3839">
        <v>152.33519999999999</v>
      </c>
      <c r="M3839">
        <v>-0.27603509999999998</v>
      </c>
      <c r="N3839">
        <v>-1.3360240000000001E-2</v>
      </c>
      <c r="O3839">
        <v>-0.96105479999999999</v>
      </c>
      <c r="P3839">
        <v>-0.49276900000000001</v>
      </c>
      <c r="Q3839">
        <v>-7.7100440000000006E-2</v>
      </c>
      <c r="R3839">
        <v>-0.86673799999999901</v>
      </c>
      <c r="S3839">
        <v>-1.878082</v>
      </c>
      <c r="T3839">
        <v>-0.25295189999999901</v>
      </c>
      <c r="U3839">
        <v>-2.3791500000000001</v>
      </c>
      <c r="V3839">
        <v>0.23296710000000001</v>
      </c>
      <c r="W3839">
        <v>-6.8996080000000001E-2</v>
      </c>
      <c r="X3839">
        <v>0.9700339</v>
      </c>
      <c r="Y3839">
        <v>0.37696689999999999</v>
      </c>
      <c r="Z3839">
        <v>7.2360610000000006E-2</v>
      </c>
      <c r="AA3839">
        <v>0.92339590000000005</v>
      </c>
      <c r="AB3839">
        <v>26</v>
      </c>
      <c r="AC3839">
        <v>-8.0878999999999905</v>
      </c>
      <c r="AD3839">
        <v>-1.1005960446930001</v>
      </c>
      <c r="AE3839">
        <v>-10.093499999999899</v>
      </c>
      <c r="AF3839">
        <v>4.9513483951093402</v>
      </c>
      <c r="AG3839">
        <v>-1.1005960446930001</v>
      </c>
      <c r="AH3839">
        <v>11.848225807517901</v>
      </c>
      <c r="AI3839">
        <v>94.898747549853297</v>
      </c>
      <c r="AJ3839">
        <v>67.320053625015404</v>
      </c>
      <c r="AK3839">
        <v>12.888274413950001</v>
      </c>
      <c r="AL3839">
        <v>93.956327626592596</v>
      </c>
      <c r="AM3839">
        <v>76.495389091935195</v>
      </c>
      <c r="AN3839">
        <v>0.99999994794349101</v>
      </c>
    </row>
    <row r="3840" spans="1:40" x14ac:dyDescent="0.25">
      <c r="A3840" t="str">
        <f>"20190305135310674"</f>
        <v>20190305135310674</v>
      </c>
      <c r="B3840" t="str">
        <f>"1551765190664039"</f>
        <v>1551765190664039</v>
      </c>
      <c r="C3840" t="s">
        <v>40</v>
      </c>
      <c r="D3840">
        <v>4.7382080000000002</v>
      </c>
      <c r="E3840">
        <v>0.56233869999999997</v>
      </c>
      <c r="F3840" t="s">
        <v>78</v>
      </c>
      <c r="G3840">
        <v>-203.5008</v>
      </c>
      <c r="H3840" s="1">
        <v>-8.7142619999999999E-6</v>
      </c>
      <c r="I3840">
        <v>141.74359999999999</v>
      </c>
      <c r="J3840">
        <v>-194.9736</v>
      </c>
      <c r="K3840">
        <v>1.1003099999999999</v>
      </c>
      <c r="L3840">
        <v>152.07679999999999</v>
      </c>
      <c r="M3840">
        <v>-0.28863620000000001</v>
      </c>
      <c r="N3840">
        <v>-1.358698E-2</v>
      </c>
      <c r="O3840">
        <v>-0.95734240000000004</v>
      </c>
      <c r="P3840">
        <v>-0.50616099999999997</v>
      </c>
      <c r="Q3840">
        <v>-7.6217670000000001E-2</v>
      </c>
      <c r="R3840">
        <v>-0.85906459999999996</v>
      </c>
      <c r="S3840">
        <v>-1.9132229999999999</v>
      </c>
      <c r="T3840">
        <v>-0.2443823</v>
      </c>
      <c r="U3840">
        <v>-2.351807</v>
      </c>
      <c r="V3840">
        <v>0.23522560000000001</v>
      </c>
      <c r="W3840">
        <v>-6.8116930000000006E-2</v>
      </c>
      <c r="X3840">
        <v>0.96955089999999999</v>
      </c>
      <c r="Y3840">
        <v>0.37850689999999998</v>
      </c>
      <c r="Z3840">
        <v>6.9300810000000004E-2</v>
      </c>
      <c r="AA3840">
        <v>0.9230005</v>
      </c>
      <c r="AB3840">
        <v>26</v>
      </c>
      <c r="AC3840">
        <v>-8.5271999999999899</v>
      </c>
      <c r="AD3840">
        <v>-1.1003187142619999</v>
      </c>
      <c r="AE3840">
        <v>-10.3332</v>
      </c>
      <c r="AF3840">
        <v>5.1466771111557899</v>
      </c>
      <c r="AG3840">
        <v>-1.1003187142619999</v>
      </c>
      <c r="AH3840">
        <v>12.2720314281201</v>
      </c>
      <c r="AI3840">
        <v>94.726678429684597</v>
      </c>
      <c r="AJ3840">
        <v>67.247668318138807</v>
      </c>
      <c r="AK3840">
        <v>13.352967532807799</v>
      </c>
      <c r="AL3840">
        <v>93.905837146284696</v>
      </c>
      <c r="AM3840">
        <v>76.362793812275299</v>
      </c>
      <c r="AN3840">
        <v>0.99999997336939705</v>
      </c>
    </row>
    <row r="3841" spans="1:40" x14ac:dyDescent="0.25">
      <c r="A3841" t="str">
        <f>"20190305135310695"</f>
        <v>20190305135310695</v>
      </c>
      <c r="B3841" t="str">
        <f>"1551765190683559"</f>
        <v>1551765190683559</v>
      </c>
      <c r="C3841" t="s">
        <v>40</v>
      </c>
      <c r="D3841">
        <v>5.6785759999999996</v>
      </c>
      <c r="E3841">
        <v>0.56218230000000002</v>
      </c>
      <c r="F3841" t="s">
        <v>78</v>
      </c>
      <c r="G3841">
        <v>-203.87280000000001</v>
      </c>
      <c r="H3841" s="1">
        <v>-8.5014520000000002E-6</v>
      </c>
      <c r="I3841">
        <v>141.46780000000001</v>
      </c>
      <c r="J3841">
        <v>-195.05789999999999</v>
      </c>
      <c r="K3841">
        <v>1.1000620000000001</v>
      </c>
      <c r="L3841">
        <v>151.84299999999999</v>
      </c>
      <c r="M3841">
        <v>-0.30043330000000001</v>
      </c>
      <c r="N3841">
        <v>-1.3774639999999999E-2</v>
      </c>
      <c r="O3841">
        <v>-0.95370350000000004</v>
      </c>
      <c r="P3841">
        <v>-0.5172194</v>
      </c>
      <c r="Q3841">
        <v>-7.623017E-2</v>
      </c>
      <c r="R3841">
        <v>-0.85245149999999903</v>
      </c>
      <c r="S3841">
        <v>-1.9484250000000001</v>
      </c>
      <c r="T3841">
        <v>-0.2409086</v>
      </c>
      <c r="U3841">
        <v>-2.322784</v>
      </c>
      <c r="V3841">
        <v>0.2357448</v>
      </c>
      <c r="W3841">
        <v>-6.8106150000000004E-2</v>
      </c>
      <c r="X3841">
        <v>0.9694256</v>
      </c>
      <c r="Y3841">
        <v>0.38102910000000001</v>
      </c>
      <c r="Z3841">
        <v>6.7996399999999999E-2</v>
      </c>
      <c r="AA3841">
        <v>0.92205930000000003</v>
      </c>
      <c r="AB3841">
        <v>26</v>
      </c>
      <c r="AC3841">
        <v>-8.8149000000000193</v>
      </c>
      <c r="AD3841">
        <v>-1.100070501452</v>
      </c>
      <c r="AE3841">
        <v>-10.3751999999999</v>
      </c>
      <c r="AF3841">
        <v>5.2559299746093604</v>
      </c>
      <c r="AG3841">
        <v>-1.100070501452</v>
      </c>
      <c r="AH3841">
        <v>12.462970192222601</v>
      </c>
      <c r="AI3841">
        <v>94.649664342809004</v>
      </c>
      <c r="AJ3841">
        <v>67.133694017776904</v>
      </c>
      <c r="AK3841">
        <v>13.570577770249599</v>
      </c>
      <c r="AL3841">
        <v>93.905217853570207</v>
      </c>
      <c r="AM3841">
        <v>76.332120619940497</v>
      </c>
      <c r="AN3841">
        <v>1.0000000261651101</v>
      </c>
    </row>
    <row r="3842" spans="1:40" x14ac:dyDescent="0.25">
      <c r="A3842" t="str">
        <f>"20190305135310716"</f>
        <v>20190305135310716</v>
      </c>
      <c r="B3842" t="str">
        <f>"1551765190704056"</f>
        <v>1551765190704056</v>
      </c>
      <c r="C3842" t="s">
        <v>40</v>
      </c>
      <c r="D3842">
        <v>4.7432889999999999</v>
      </c>
      <c r="E3842">
        <v>0.56266119999999997</v>
      </c>
      <c r="F3842" t="s">
        <v>78</v>
      </c>
      <c r="G3842">
        <v>-204.28800000000001</v>
      </c>
      <c r="H3842" s="1">
        <v>-8.2514940000000008E-6</v>
      </c>
      <c r="I3842">
        <v>141.113</v>
      </c>
      <c r="J3842">
        <v>-195.14570000000001</v>
      </c>
      <c r="K3842">
        <v>1.0998220000000001</v>
      </c>
      <c r="L3842">
        <v>151.60980000000001</v>
      </c>
      <c r="M3842">
        <v>-0.31258229999999998</v>
      </c>
      <c r="N3842">
        <v>-1.395102E-2</v>
      </c>
      <c r="O3842">
        <v>-0.94978839999999998</v>
      </c>
      <c r="P3842">
        <v>-0.528821599999999</v>
      </c>
      <c r="Q3842">
        <v>-7.5585630000000001E-2</v>
      </c>
      <c r="R3842">
        <v>-0.84536089999999997</v>
      </c>
      <c r="S3842">
        <v>-1.9772339999999999</v>
      </c>
      <c r="T3842">
        <v>-0.2356539</v>
      </c>
      <c r="U3842">
        <v>-2.2985380000000002</v>
      </c>
      <c r="V3842">
        <v>0.23657690000000001</v>
      </c>
      <c r="W3842">
        <v>-6.7455810000000005E-2</v>
      </c>
      <c r="X3842">
        <v>0.96926829999999997</v>
      </c>
      <c r="Y3842">
        <v>0.38077050000000001</v>
      </c>
      <c r="Z3842">
        <v>6.6059640000000003E-2</v>
      </c>
      <c r="AA3842">
        <v>0.92230679999999998</v>
      </c>
      <c r="AB3842">
        <v>26</v>
      </c>
      <c r="AC3842">
        <v>-9.1422999999999703</v>
      </c>
      <c r="AD3842">
        <v>-1.0998302514939999</v>
      </c>
      <c r="AE3842">
        <v>-10.4968</v>
      </c>
      <c r="AF3842">
        <v>5.36914318365573</v>
      </c>
      <c r="AG3842">
        <v>-1.0998302514939999</v>
      </c>
      <c r="AH3842">
        <v>12.749116635569299</v>
      </c>
      <c r="AI3842">
        <v>94.545707108285498</v>
      </c>
      <c r="AJ3842">
        <v>67.162169498363895</v>
      </c>
      <c r="AK3842">
        <v>13.8772223480078</v>
      </c>
      <c r="AL3842">
        <v>93.867870417294</v>
      </c>
      <c r="AM3842">
        <v>76.283554645993306</v>
      </c>
      <c r="AN3842">
        <v>0.99999997665062701</v>
      </c>
    </row>
    <row r="3843" spans="1:40" x14ac:dyDescent="0.25">
      <c r="A3843" t="str">
        <f>"20190305135310728"</f>
        <v>20190305135310728</v>
      </c>
      <c r="B3843" t="str">
        <f>"1551765190723576"</f>
        <v>1551765190723576</v>
      </c>
      <c r="C3843" t="s">
        <v>40</v>
      </c>
      <c r="D3843">
        <v>4.7513949999999996</v>
      </c>
      <c r="E3843">
        <v>0.56294419999999901</v>
      </c>
      <c r="F3843" t="s">
        <v>78</v>
      </c>
      <c r="G3843">
        <v>-205.15719999999999</v>
      </c>
      <c r="H3843" s="1">
        <v>-7.6980539999999992E-6</v>
      </c>
      <c r="I3843">
        <v>140.3066</v>
      </c>
      <c r="J3843">
        <v>-195.19730000000001</v>
      </c>
      <c r="K3843">
        <v>1.099682</v>
      </c>
      <c r="L3843">
        <v>151.477</v>
      </c>
      <c r="M3843">
        <v>-0.31966139999999998</v>
      </c>
      <c r="N3843">
        <v>-1.4048929999999999E-2</v>
      </c>
      <c r="O3843">
        <v>-0.94742769999999998</v>
      </c>
      <c r="P3843">
        <v>-0.53594010000000003</v>
      </c>
      <c r="Q3843">
        <v>-7.5333189999999994E-2</v>
      </c>
      <c r="R3843">
        <v>-0.84088830000000003</v>
      </c>
      <c r="S3843">
        <v>-2.011307</v>
      </c>
      <c r="T3843">
        <v>-0.22095680000000001</v>
      </c>
      <c r="U3843">
        <v>-2.2708279999999998</v>
      </c>
      <c r="V3843">
        <v>0.2375023</v>
      </c>
      <c r="W3843">
        <v>-6.7217029999999997E-2</v>
      </c>
      <c r="X3843">
        <v>0.96905859999999999</v>
      </c>
      <c r="Y3843">
        <v>0.38743270000000002</v>
      </c>
      <c r="Z3843">
        <v>6.1153329999999999E-2</v>
      </c>
      <c r="AA3843">
        <v>0.91986749999999995</v>
      </c>
      <c r="AB3843">
        <v>26</v>
      </c>
      <c r="AC3843">
        <v>-9.9598999999999691</v>
      </c>
      <c r="AD3843">
        <v>-1.0996896980540001</v>
      </c>
      <c r="AE3843">
        <v>-11.170400000000001</v>
      </c>
      <c r="AF3843">
        <v>5.8346155567770603</v>
      </c>
      <c r="AG3843">
        <v>-1.0996896980540001</v>
      </c>
      <c r="AH3843">
        <v>13.6943608422318</v>
      </c>
      <c r="AI3843">
        <v>94.225138897218798</v>
      </c>
      <c r="AJ3843">
        <v>66.923099323458999</v>
      </c>
      <c r="AK3843">
        <v>14.9260703135367</v>
      </c>
      <c r="AL3843">
        <v>93.854158037565497</v>
      </c>
      <c r="AM3843">
        <v>76.229073080155302</v>
      </c>
      <c r="AN3843">
        <v>1.0000000209306299</v>
      </c>
    </row>
    <row r="3844" spans="1:40" x14ac:dyDescent="0.25">
      <c r="A3844" t="str">
        <f>"20190305135310740"</f>
        <v>20190305135310740</v>
      </c>
      <c r="B3844" t="str">
        <f>"1551765190733337"</f>
        <v>1551765190733337</v>
      </c>
      <c r="C3844" t="s">
        <v>40</v>
      </c>
      <c r="D3844">
        <v>4.7645350000000004</v>
      </c>
      <c r="E3844">
        <v>0.56302640000000004</v>
      </c>
      <c r="F3844" t="s">
        <v>78</v>
      </c>
      <c r="G3844">
        <v>-205.77959999999999</v>
      </c>
      <c r="H3844" s="1">
        <v>-7.2725030000000001E-6</v>
      </c>
      <c r="I3844">
        <v>139.74010000000001</v>
      </c>
      <c r="J3844">
        <v>-195.24889999999999</v>
      </c>
      <c r="K3844">
        <v>1.099545</v>
      </c>
      <c r="L3844">
        <v>151.34790000000001</v>
      </c>
      <c r="M3844">
        <v>-0.3267079</v>
      </c>
      <c r="N3844">
        <v>-1.414349E-2</v>
      </c>
      <c r="O3844">
        <v>-0.94501959999999996</v>
      </c>
      <c r="P3844">
        <v>-0.54277240000000004</v>
      </c>
      <c r="Q3844">
        <v>-7.5543150000000003E-2</v>
      </c>
      <c r="R3844">
        <v>-0.83647590000000005</v>
      </c>
      <c r="S3844">
        <v>-2.0319669999999999</v>
      </c>
      <c r="T3844">
        <v>-0.2111574</v>
      </c>
      <c r="U3844">
        <v>-2.2536619999999998</v>
      </c>
      <c r="V3844">
        <v>0.23815800000000001</v>
      </c>
      <c r="W3844">
        <v>-6.7438570000000003E-2</v>
      </c>
      <c r="X3844">
        <v>0.96888229999999997</v>
      </c>
      <c r="Y3844">
        <v>0.38885160000000002</v>
      </c>
      <c r="Z3844">
        <v>5.7806490000000002E-2</v>
      </c>
      <c r="AA3844">
        <v>0.91948510000000006</v>
      </c>
      <c r="AB3844">
        <v>26</v>
      </c>
      <c r="AC3844">
        <v>-10.5306999999999</v>
      </c>
      <c r="AD3844">
        <v>-1.099552272503</v>
      </c>
      <c r="AE3844">
        <v>-11.6077999999999</v>
      </c>
      <c r="AF3844">
        <v>6.1298029923301902</v>
      </c>
      <c r="AG3844">
        <v>-1.099552272503</v>
      </c>
      <c r="AH3844">
        <v>14.340916426722799</v>
      </c>
      <c r="AI3844">
        <v>94.032795906781004</v>
      </c>
      <c r="AJ3844">
        <v>66.856463365349995</v>
      </c>
      <c r="AK3844">
        <v>15.6347492427284</v>
      </c>
      <c r="AL3844">
        <v>93.866880089940196</v>
      </c>
      <c r="AM3844">
        <v>76.190090892831805</v>
      </c>
      <c r="AN3844">
        <v>1.00000005247046</v>
      </c>
    </row>
    <row r="3845" spans="1:40" x14ac:dyDescent="0.25">
      <c r="A3845" t="str">
        <f>"20190305135310750"</f>
        <v>20190305135310750</v>
      </c>
      <c r="B3845" t="str">
        <f>"1551765190744071"</f>
        <v>1551765190744071</v>
      </c>
      <c r="C3845" t="s">
        <v>40</v>
      </c>
      <c r="D3845">
        <v>4.7541200000000003</v>
      </c>
      <c r="E3845">
        <v>0.56309770000000003</v>
      </c>
      <c r="F3845" t="s">
        <v>78</v>
      </c>
      <c r="G3845">
        <v>-206.0574</v>
      </c>
      <c r="H3845" s="1">
        <v>-7.0980289999999998E-6</v>
      </c>
      <c r="I3845">
        <v>139.5582</v>
      </c>
      <c r="J3845">
        <v>-195.2963</v>
      </c>
      <c r="K3845">
        <v>1.0994159999999999</v>
      </c>
      <c r="L3845">
        <v>151.23169999999999</v>
      </c>
      <c r="M3845">
        <v>-0.3331481</v>
      </c>
      <c r="N3845">
        <v>-1.4227780000000001E-2</v>
      </c>
      <c r="O3845">
        <v>-0.94276740000000003</v>
      </c>
      <c r="P3845">
        <v>-0.54921850000000005</v>
      </c>
      <c r="Q3845">
        <v>-7.6134640000000003E-2</v>
      </c>
      <c r="R3845">
        <v>-0.83220380000000005</v>
      </c>
      <c r="S3845">
        <v>-2.0507659999999999</v>
      </c>
      <c r="T3845">
        <v>-0.208625</v>
      </c>
      <c r="U3845">
        <v>-2.236923</v>
      </c>
      <c r="V3845">
        <v>0.2390147</v>
      </c>
      <c r="W3845">
        <v>-6.8051539999999994E-2</v>
      </c>
      <c r="X3845">
        <v>0.96862839999999995</v>
      </c>
      <c r="Y3845">
        <v>0.39022990000000002</v>
      </c>
      <c r="Z3845">
        <v>5.6894849999999997E-2</v>
      </c>
      <c r="AA3845">
        <v>0.91895789999999999</v>
      </c>
      <c r="AB3845">
        <v>26</v>
      </c>
      <c r="AC3845">
        <v>-10.761100000000001</v>
      </c>
      <c r="AD3845">
        <v>-1.0994230980289901</v>
      </c>
      <c r="AE3845">
        <v>-11.673499999999899</v>
      </c>
      <c r="AF3845">
        <v>6.2269822822576497</v>
      </c>
      <c r="AG3845">
        <v>-1.0994230980289901</v>
      </c>
      <c r="AH3845">
        <v>14.5222719495045</v>
      </c>
      <c r="AI3845">
        <v>93.980186814006302</v>
      </c>
      <c r="AJ3845">
        <v>66.790906035663994</v>
      </c>
      <c r="AK3845">
        <v>15.8392052220872</v>
      </c>
      <c r="AL3845">
        <v>93.902081725579507</v>
      </c>
      <c r="AM3845">
        <v>76.138833190398699</v>
      </c>
      <c r="AN3845">
        <v>1.00000000809951</v>
      </c>
    </row>
    <row r="3846" spans="1:40" x14ac:dyDescent="0.25">
      <c r="A3846" t="str">
        <f>"20190305135310773"</f>
        <v>20190305135310773</v>
      </c>
      <c r="B3846" t="str">
        <f>"1551765190763592"</f>
        <v>1551765190763592</v>
      </c>
      <c r="C3846" t="s">
        <v>40</v>
      </c>
      <c r="D3846">
        <v>4.8089529999999998</v>
      </c>
      <c r="E3846">
        <v>0.56323679999999998</v>
      </c>
      <c r="F3846" t="s">
        <v>78</v>
      </c>
      <c r="G3846">
        <v>-206.2646</v>
      </c>
      <c r="H3846" s="1">
        <v>-6.9731869999999999E-6</v>
      </c>
      <c r="I3846">
        <v>139.45509999999999</v>
      </c>
      <c r="J3846">
        <v>-195.3991</v>
      </c>
      <c r="K3846">
        <v>1.0991310000000001</v>
      </c>
      <c r="L3846">
        <v>150.98840000000001</v>
      </c>
      <c r="M3846">
        <v>-0.34697349999999999</v>
      </c>
      <c r="N3846">
        <v>-1.4401799999999999E-2</v>
      </c>
      <c r="O3846">
        <v>-0.93776459999999995</v>
      </c>
      <c r="P3846">
        <v>-0.56297549999999996</v>
      </c>
      <c r="Q3846">
        <v>-7.7255009999999999E-2</v>
      </c>
      <c r="R3846">
        <v>-0.82285529999999996</v>
      </c>
      <c r="S3846">
        <v>-2.0684200000000001</v>
      </c>
      <c r="T3846">
        <v>-0.20733260000000001</v>
      </c>
      <c r="U3846">
        <v>-2.2208559999999999</v>
      </c>
      <c r="V3846">
        <v>0.24083379999999999</v>
      </c>
      <c r="W3846">
        <v>-6.9228399999999995E-2</v>
      </c>
      <c r="X3846">
        <v>0.96809429999999996</v>
      </c>
      <c r="Y3846">
        <v>0.38394319999999998</v>
      </c>
      <c r="Z3846">
        <v>5.6172649999999998E-2</v>
      </c>
      <c r="AA3846">
        <v>0.92164650000000004</v>
      </c>
      <c r="AB3846">
        <v>26</v>
      </c>
      <c r="AC3846">
        <v>-10.8654999999999</v>
      </c>
      <c r="AD3846">
        <v>-1.0991379731869999</v>
      </c>
      <c r="AE3846">
        <v>-11.533300000000001</v>
      </c>
      <c r="AF3846">
        <v>6.1585390562468696</v>
      </c>
      <c r="AG3846">
        <v>-1.0991379731869999</v>
      </c>
      <c r="AH3846">
        <v>14.5172178869635</v>
      </c>
      <c r="AI3846">
        <v>93.987080782688693</v>
      </c>
      <c r="AJ3846">
        <v>67.012221920523402</v>
      </c>
      <c r="AK3846">
        <v>15.807761472422101</v>
      </c>
      <c r="AL3846">
        <v>93.9696701522859</v>
      </c>
      <c r="AM3846">
        <v>76.030049319533802</v>
      </c>
      <c r="AN3846">
        <v>1.0000000321407401</v>
      </c>
    </row>
    <row r="3847" spans="1:40" x14ac:dyDescent="0.25">
      <c r="A3847" t="str">
        <f>"20190305135310786"</f>
        <v>20190305135310786</v>
      </c>
      <c r="B3847" t="str">
        <f>"1551765190773352"</f>
        <v>1551765190773352</v>
      </c>
      <c r="C3847" t="s">
        <v>40</v>
      </c>
      <c r="D3847">
        <v>4.7100519999999904</v>
      </c>
      <c r="E3847">
        <v>0.56331399999999998</v>
      </c>
      <c r="F3847" t="s">
        <v>78</v>
      </c>
      <c r="G3847">
        <v>-206.6097</v>
      </c>
      <c r="H3847" s="1">
        <v>-6.7872729999999997E-6</v>
      </c>
      <c r="I3847">
        <v>139.35239999999999</v>
      </c>
      <c r="J3847">
        <v>-195.4545</v>
      </c>
      <c r="K3847">
        <v>1.0989789999999999</v>
      </c>
      <c r="L3847">
        <v>150.86089999999999</v>
      </c>
      <c r="M3847">
        <v>-0.35435680000000003</v>
      </c>
      <c r="N3847">
        <v>-1.449083E-2</v>
      </c>
      <c r="O3847">
        <v>-0.934998</v>
      </c>
      <c r="P3847">
        <v>-0.57052389999999997</v>
      </c>
      <c r="Q3847">
        <v>-7.7658850000000001E-2</v>
      </c>
      <c r="R3847">
        <v>-0.81760140000000003</v>
      </c>
      <c r="S3847">
        <v>-2.1058349999999999</v>
      </c>
      <c r="T3847">
        <v>-0.20646619999999999</v>
      </c>
      <c r="U3847">
        <v>-2.1857449999999998</v>
      </c>
      <c r="V3847">
        <v>0.242086</v>
      </c>
      <c r="W3847">
        <v>-6.9676080000000001E-2</v>
      </c>
      <c r="X3847">
        <v>0.96774979999999999</v>
      </c>
      <c r="Y3847">
        <v>0.39223580000000002</v>
      </c>
      <c r="Z3847">
        <v>5.5915159999999998E-2</v>
      </c>
      <c r="AA3847">
        <v>0.91816370000000003</v>
      </c>
      <c r="AB3847">
        <v>26</v>
      </c>
      <c r="AC3847">
        <v>-11.155200000000001</v>
      </c>
      <c r="AD3847">
        <v>-1.098985787273</v>
      </c>
      <c r="AE3847">
        <v>-11.5084999999999</v>
      </c>
      <c r="AF3847">
        <v>6.32291361283594</v>
      </c>
      <c r="AG3847">
        <v>-1.098985787273</v>
      </c>
      <c r="AH3847">
        <v>14.646030603827301</v>
      </c>
      <c r="AI3847">
        <v>93.940919792848106</v>
      </c>
      <c r="AJ3847">
        <v>66.649409811139506</v>
      </c>
      <c r="AK3847">
        <v>15.9904102125073</v>
      </c>
      <c r="AL3847">
        <v>93.9953824169434</v>
      </c>
      <c r="AM3847">
        <v>75.955479253511399</v>
      </c>
      <c r="AN3847">
        <v>1.0000000314601001</v>
      </c>
    </row>
    <row r="3848" spans="1:40" x14ac:dyDescent="0.25">
      <c r="A3848" t="str">
        <f>"20190305135310798"</f>
        <v>20190305135310798</v>
      </c>
      <c r="B3848" t="str">
        <f>"1551765190793848"</f>
        <v>1551765190793848</v>
      </c>
      <c r="C3848" t="s">
        <v>40</v>
      </c>
      <c r="D3848">
        <v>4.7265220000000001</v>
      </c>
      <c r="E3848">
        <v>0.56317729999999999</v>
      </c>
      <c r="F3848" t="s">
        <v>78</v>
      </c>
      <c r="G3848">
        <v>-206.845</v>
      </c>
      <c r="H3848" s="1">
        <v>-6.6525360000000004E-6</v>
      </c>
      <c r="I3848">
        <v>139.25739999999999</v>
      </c>
      <c r="J3848">
        <v>-195.51429999999999</v>
      </c>
      <c r="K3848">
        <v>1.0988230000000001</v>
      </c>
      <c r="L3848">
        <v>150.72829999999999</v>
      </c>
      <c r="M3848">
        <v>-0.36225879999999999</v>
      </c>
      <c r="N3848">
        <v>-1.458366E-2</v>
      </c>
      <c r="O3848">
        <v>-0.9319636</v>
      </c>
      <c r="P3848">
        <v>-0.57866139999999999</v>
      </c>
      <c r="Q3848">
        <v>-7.7808100000000005E-2</v>
      </c>
      <c r="R3848">
        <v>-0.81184789999999996</v>
      </c>
      <c r="S3848">
        <v>-2.126328</v>
      </c>
      <c r="T3848">
        <v>-0.2051528</v>
      </c>
      <c r="U3848">
        <v>-2.166061</v>
      </c>
      <c r="V3848">
        <v>0.24353279999999999</v>
      </c>
      <c r="W3848">
        <v>-6.9874450000000005E-2</v>
      </c>
      <c r="X3848">
        <v>0.96737240000000002</v>
      </c>
      <c r="Y3848">
        <v>0.39306669999999999</v>
      </c>
      <c r="Z3848">
        <v>5.5384099999999999E-2</v>
      </c>
      <c r="AA3848">
        <v>0.91784049999999995</v>
      </c>
      <c r="AB3848">
        <v>26</v>
      </c>
      <c r="AC3848">
        <v>-11.3307</v>
      </c>
      <c r="AD3848">
        <v>-1.098829652536</v>
      </c>
      <c r="AE3848">
        <v>-11.4709</v>
      </c>
      <c r="AF3848">
        <v>6.37543475041001</v>
      </c>
      <c r="AG3848">
        <v>-1.098829652536</v>
      </c>
      <c r="AH3848">
        <v>14.728272407495201</v>
      </c>
      <c r="AI3848">
        <v>93.916784237079497</v>
      </c>
      <c r="AJ3848">
        <v>66.593636661592896</v>
      </c>
      <c r="AK3848">
        <v>16.0865037522581</v>
      </c>
      <c r="AL3848">
        <v>94.006776028091593</v>
      </c>
      <c r="AM3848">
        <v>75.869604269249606</v>
      </c>
      <c r="AN3848">
        <v>1.0000000118601999</v>
      </c>
    </row>
    <row r="3849" spans="1:40" x14ac:dyDescent="0.25">
      <c r="A3849" t="str">
        <f>"20190305135310810"</f>
        <v>20190305135310810</v>
      </c>
      <c r="B3849" t="str">
        <f>"1551765190803608"</f>
        <v>1551765190803608</v>
      </c>
      <c r="C3849" t="s">
        <v>40</v>
      </c>
      <c r="D3849">
        <v>4.71007</v>
      </c>
      <c r="E3849">
        <v>0.56311730000000004</v>
      </c>
      <c r="F3849" t="s">
        <v>78</v>
      </c>
      <c r="G3849">
        <v>-207.04560000000001</v>
      </c>
      <c r="H3849" s="1">
        <v>-6.5466869999999998E-6</v>
      </c>
      <c r="I3849">
        <v>139.2047</v>
      </c>
      <c r="J3849">
        <v>-195.5746</v>
      </c>
      <c r="K3849">
        <v>1.0986670000000001</v>
      </c>
      <c r="L3849">
        <v>150.5968</v>
      </c>
      <c r="M3849">
        <v>-0.37017630000000001</v>
      </c>
      <c r="N3849">
        <v>-1.4673459999999999E-2</v>
      </c>
      <c r="O3849">
        <v>-0.92884549999999999</v>
      </c>
      <c r="P3849">
        <v>-0.58702299999999996</v>
      </c>
      <c r="Q3849">
        <v>-7.775754E-2</v>
      </c>
      <c r="R3849">
        <v>-0.80582719999999997</v>
      </c>
      <c r="S3849">
        <v>-2.1468660000000002</v>
      </c>
      <c r="T3849">
        <v>-0.20457629999999999</v>
      </c>
      <c r="U3849">
        <v>-2.145432</v>
      </c>
      <c r="V3849">
        <v>0.24527189999999999</v>
      </c>
      <c r="W3849">
        <v>-6.9884189999999999E-2</v>
      </c>
      <c r="X3849">
        <v>0.96693220000000002</v>
      </c>
      <c r="Y3849">
        <v>0.3940554</v>
      </c>
      <c r="Z3849">
        <v>5.5107749999999997E-2</v>
      </c>
      <c r="AA3849">
        <v>0.9174331</v>
      </c>
      <c r="AB3849">
        <v>26</v>
      </c>
      <c r="AC3849">
        <v>-11.471</v>
      </c>
      <c r="AD3849">
        <v>-1.0986735466869999</v>
      </c>
      <c r="AE3849">
        <v>-11.392099999999999</v>
      </c>
      <c r="AF3849">
        <v>6.4087968062669303</v>
      </c>
      <c r="AG3849">
        <v>-1.0986735466869999</v>
      </c>
      <c r="AH3849">
        <v>14.7612181673832</v>
      </c>
      <c r="AI3849">
        <v>93.905676898265796</v>
      </c>
      <c r="AJ3849">
        <v>66.531226028070293</v>
      </c>
      <c r="AK3849">
        <v>16.129889083663599</v>
      </c>
      <c r="AL3849">
        <v>94.007335535564195</v>
      </c>
      <c r="AM3849">
        <v>75.766566807518103</v>
      </c>
      <c r="AN3849">
        <v>0.99999999216920299</v>
      </c>
    </row>
    <row r="3850" spans="1:40" x14ac:dyDescent="0.25">
      <c r="A3850" t="str">
        <f>"20190305135310822"</f>
        <v>20190305135310822</v>
      </c>
      <c r="B3850" t="str">
        <f>"1551765190813369"</f>
        <v>1551765190813369</v>
      </c>
      <c r="C3850" t="s">
        <v>40</v>
      </c>
      <c r="D3850">
        <v>4.7085749999999997</v>
      </c>
      <c r="E3850">
        <v>0.56297299999999995</v>
      </c>
      <c r="F3850" t="s">
        <v>78</v>
      </c>
      <c r="G3850">
        <v>-207.26150000000001</v>
      </c>
      <c r="H3850" s="1">
        <v>-6.4350500000000003E-6</v>
      </c>
      <c r="I3850">
        <v>139.1549</v>
      </c>
      <c r="J3850">
        <v>-195.63749999999999</v>
      </c>
      <c r="K3850">
        <v>1.098506</v>
      </c>
      <c r="L3850">
        <v>150.46289999999999</v>
      </c>
      <c r="M3850">
        <v>-0.37836819999999999</v>
      </c>
      <c r="N3850">
        <v>-1.4763E-2</v>
      </c>
      <c r="O3850">
        <v>-0.92553759999999996</v>
      </c>
      <c r="P3850">
        <v>-0.59552439999999995</v>
      </c>
      <c r="Q3850">
        <v>-7.7828149999999999E-2</v>
      </c>
      <c r="R3850">
        <v>-0.79955880000000001</v>
      </c>
      <c r="S3850">
        <v>-2.1687620000000001</v>
      </c>
      <c r="T3850">
        <v>-0.2038836</v>
      </c>
      <c r="U3850">
        <v>-2.123291</v>
      </c>
      <c r="V3850">
        <v>0.24694160000000001</v>
      </c>
      <c r="W3850">
        <v>-7.0015530000000006E-2</v>
      </c>
      <c r="X3850">
        <v>0.96649770000000002</v>
      </c>
      <c r="Y3850">
        <v>0.39536060000000001</v>
      </c>
      <c r="Z3850">
        <v>5.4791499999999903E-2</v>
      </c>
      <c r="AA3850">
        <v>0.91689039999999999</v>
      </c>
      <c r="AB3850">
        <v>25</v>
      </c>
      <c r="AC3850">
        <v>-11.624000000000001</v>
      </c>
      <c r="AD3850">
        <v>-1.09851243505</v>
      </c>
      <c r="AE3850">
        <v>-11.3079999999999</v>
      </c>
      <c r="AF3850">
        <v>6.4509663071074401</v>
      </c>
      <c r="AG3850">
        <v>-1.09851243505</v>
      </c>
      <c r="AH3850">
        <v>14.7978486565416</v>
      </c>
      <c r="AI3850">
        <v>93.892948286663795</v>
      </c>
      <c r="AJ3850">
        <v>66.445712501919104</v>
      </c>
      <c r="AK3850">
        <v>16.180173692742098</v>
      </c>
      <c r="AL3850">
        <v>94.014878943927798</v>
      </c>
      <c r="AM3850">
        <v>75.667472575735601</v>
      </c>
      <c r="AN3850">
        <v>1.00000006617851</v>
      </c>
    </row>
    <row r="3851" spans="1:40" x14ac:dyDescent="0.25">
      <c r="A3851" t="str">
        <f>"20190305135310841"</f>
        <v>20190305135310841</v>
      </c>
      <c r="B3851" t="str">
        <f>"1551765190833864"</f>
        <v>1551765190833864</v>
      </c>
      <c r="C3851" t="s">
        <v>40</v>
      </c>
      <c r="D3851">
        <v>4.7433189999999996</v>
      </c>
      <c r="E3851">
        <v>0.56283509999999903</v>
      </c>
      <c r="F3851" t="s">
        <v>78</v>
      </c>
      <c r="G3851">
        <v>-207.42590000000001</v>
      </c>
      <c r="H3851" s="1">
        <v>-6.3622459999999998E-6</v>
      </c>
      <c r="I3851">
        <v>139.15520000000001</v>
      </c>
      <c r="J3851">
        <v>-195.73089999999999</v>
      </c>
      <c r="K3851">
        <v>1.0982889999999901</v>
      </c>
      <c r="L3851">
        <v>150.27099999999999</v>
      </c>
      <c r="M3851">
        <v>-0.39039309999999999</v>
      </c>
      <c r="N3851">
        <v>-1.4889360000000001E-2</v>
      </c>
      <c r="O3851">
        <v>-0.92052809999999896</v>
      </c>
      <c r="P3851">
        <v>-0.60839589999999999</v>
      </c>
      <c r="Q3851">
        <v>-7.793166E-2</v>
      </c>
      <c r="R3851">
        <v>-0.78979849999999996</v>
      </c>
      <c r="S3851">
        <v>-2.1902309999999998</v>
      </c>
      <c r="T3851">
        <v>-0.2040998</v>
      </c>
      <c r="U3851">
        <v>-2.1009220000000002</v>
      </c>
      <c r="V3851">
        <v>0.2499634</v>
      </c>
      <c r="W3851">
        <v>-7.0227699999999907E-2</v>
      </c>
      <c r="X3851">
        <v>0.96570509999999998</v>
      </c>
      <c r="Y3851">
        <v>0.39276559999999999</v>
      </c>
      <c r="Z3851">
        <v>5.4654019999999998E-2</v>
      </c>
      <c r="AA3851">
        <v>0.91801319999999997</v>
      </c>
      <c r="AB3851">
        <v>25</v>
      </c>
      <c r="AC3851">
        <v>-11.695</v>
      </c>
      <c r="AD3851">
        <v>-1.0982953622460001</v>
      </c>
      <c r="AE3851">
        <v>-11.1158</v>
      </c>
      <c r="AF3851">
        <v>6.39711458385458</v>
      </c>
      <c r="AG3851">
        <v>-1.0982953622460001</v>
      </c>
      <c r="AH3851">
        <v>14.731433015457901</v>
      </c>
      <c r="AI3851">
        <v>93.912085407949107</v>
      </c>
      <c r="AJ3851">
        <v>66.527137392557805</v>
      </c>
      <c r="AK3851">
        <v>16.097964044891398</v>
      </c>
      <c r="AL3851">
        <v>94.027065710941699</v>
      </c>
      <c r="AM3851">
        <v>75.488039824894003</v>
      </c>
      <c r="AN3851">
        <v>0.999999985676429</v>
      </c>
    </row>
    <row r="3852" spans="1:40" x14ac:dyDescent="0.25">
      <c r="A3852" t="str">
        <f>"20190305135310855"</f>
        <v>20190305135310855</v>
      </c>
      <c r="B3852" t="str">
        <f>"1551765190843624"</f>
        <v>1551765190843624</v>
      </c>
      <c r="C3852" t="s">
        <v>40</v>
      </c>
      <c r="D3852">
        <v>4.7242839999999999</v>
      </c>
      <c r="E3852">
        <v>0.56266870000000002</v>
      </c>
      <c r="F3852" t="s">
        <v>78</v>
      </c>
      <c r="G3852">
        <v>-207.72630000000001</v>
      </c>
      <c r="H3852" s="1">
        <v>-6.2182830000000004E-6</v>
      </c>
      <c r="I3852">
        <v>139.1216</v>
      </c>
      <c r="J3852">
        <v>-195.8022</v>
      </c>
      <c r="K3852">
        <v>1.0981339999999999</v>
      </c>
      <c r="L3852">
        <v>150.12899999999999</v>
      </c>
      <c r="M3852">
        <v>-0.39949980000000002</v>
      </c>
      <c r="N3852">
        <v>-1.4982509999999999E-2</v>
      </c>
      <c r="O3852">
        <v>-0.91661090000000001</v>
      </c>
      <c r="P3852">
        <v>-0.61689869999999902</v>
      </c>
      <c r="Q3852">
        <v>-7.8076679999999996E-2</v>
      </c>
      <c r="R3852">
        <v>-0.78316049999999904</v>
      </c>
      <c r="S3852">
        <v>-2.222839</v>
      </c>
      <c r="T3852">
        <v>-0.2035216</v>
      </c>
      <c r="U3852">
        <v>-2.066055</v>
      </c>
      <c r="V3852">
        <v>0.25080340000000001</v>
      </c>
      <c r="W3852">
        <v>-7.0411550000000003E-2</v>
      </c>
      <c r="X3852">
        <v>0.9654739</v>
      </c>
      <c r="Y3852">
        <v>0.39808929999999998</v>
      </c>
      <c r="Z3852">
        <v>5.4439939999999999E-2</v>
      </c>
      <c r="AA3852">
        <v>0.91572989999999999</v>
      </c>
      <c r="AB3852">
        <v>25</v>
      </c>
      <c r="AC3852">
        <v>-11.924099999999999</v>
      </c>
      <c r="AD3852">
        <v>-1.098140218283</v>
      </c>
      <c r="AE3852">
        <v>-11.007399999999899</v>
      </c>
      <c r="AF3852">
        <v>6.5032593178169797</v>
      </c>
      <c r="AG3852">
        <v>-1.098140218283</v>
      </c>
      <c r="AH3852">
        <v>14.787132095518499</v>
      </c>
      <c r="AI3852">
        <v>93.888953475135594</v>
      </c>
      <c r="AJ3852">
        <v>66.260500794200993</v>
      </c>
      <c r="AK3852">
        <v>16.191280656702201</v>
      </c>
      <c r="AL3852">
        <v>94.037625656887002</v>
      </c>
      <c r="AM3852">
        <v>75.438003288385602</v>
      </c>
      <c r="AN3852">
        <v>0.99999999170308596</v>
      </c>
    </row>
    <row r="3853" spans="1:40" x14ac:dyDescent="0.25">
      <c r="A3853" t="str">
        <f>"20190305135310869"</f>
        <v>20190305135310869</v>
      </c>
      <c r="B3853" t="str">
        <f>"1551765190864120"</f>
        <v>1551765190864120</v>
      </c>
      <c r="C3853" t="s">
        <v>40</v>
      </c>
      <c r="D3853">
        <v>4.708939</v>
      </c>
      <c r="E3853">
        <v>0.56232269999999995</v>
      </c>
      <c r="F3853" t="s">
        <v>78</v>
      </c>
      <c r="G3853">
        <v>-207.90770000000001</v>
      </c>
      <c r="H3853" s="1">
        <v>-6.1340169999999999E-6</v>
      </c>
      <c r="I3853">
        <v>139.1096</v>
      </c>
      <c r="J3853">
        <v>-195.8766</v>
      </c>
      <c r="K3853">
        <v>1.0979749999999999</v>
      </c>
      <c r="L3853">
        <v>149.98419999999999</v>
      </c>
      <c r="M3853">
        <v>-0.4089026</v>
      </c>
      <c r="N3853">
        <v>-1.507647E-2</v>
      </c>
      <c r="O3853">
        <v>-0.91245370000000003</v>
      </c>
      <c r="P3853">
        <v>-0.62523189999999995</v>
      </c>
      <c r="Q3853">
        <v>-7.8093739999999995E-2</v>
      </c>
      <c r="R3853">
        <v>-0.77652259999999995</v>
      </c>
      <c r="S3853">
        <v>-2.2440190000000002</v>
      </c>
      <c r="T3853">
        <v>-0.20356579999999999</v>
      </c>
      <c r="U3853">
        <v>-2.042694</v>
      </c>
      <c r="V3853">
        <v>0.251166</v>
      </c>
      <c r="W3853">
        <v>-7.0453109999999999E-2</v>
      </c>
      <c r="X3853">
        <v>0.96537660000000003</v>
      </c>
      <c r="Y3853">
        <v>0.39817710000000001</v>
      </c>
      <c r="Z3853">
        <v>5.432791E-2</v>
      </c>
      <c r="AA3853">
        <v>0.91569829999999997</v>
      </c>
      <c r="AB3853">
        <v>25</v>
      </c>
      <c r="AC3853">
        <v>-12.0311</v>
      </c>
      <c r="AD3853">
        <v>-1.09798113401699</v>
      </c>
      <c r="AE3853">
        <v>-10.8745999999999</v>
      </c>
      <c r="AF3853">
        <v>6.5021061723487996</v>
      </c>
      <c r="AG3853">
        <v>-1.09798113401699</v>
      </c>
      <c r="AH3853">
        <v>14.7760705205681</v>
      </c>
      <c r="AI3853">
        <v>93.8909346312483</v>
      </c>
      <c r="AJ3853">
        <v>66.248442172320296</v>
      </c>
      <c r="AK3853">
        <v>16.1807047830419</v>
      </c>
      <c r="AL3853">
        <v>94.040012804530903</v>
      </c>
      <c r="AM3853">
        <v>75.416439964920798</v>
      </c>
      <c r="AN3853">
        <v>0.99999999004611595</v>
      </c>
    </row>
    <row r="3854" spans="1:40" x14ac:dyDescent="0.25">
      <c r="A3854" t="str">
        <f>"20190305135310886"</f>
        <v>20190305135310886</v>
      </c>
      <c r="B3854" t="str">
        <f>"1551765190883639"</f>
        <v>1551765190883639</v>
      </c>
      <c r="C3854" t="s">
        <v>40</v>
      </c>
      <c r="D3854">
        <v>4.6755209999999998</v>
      </c>
      <c r="E3854">
        <v>0.56197790000000003</v>
      </c>
      <c r="F3854" t="s">
        <v>78</v>
      </c>
      <c r="G3854">
        <v>-208.1164</v>
      </c>
      <c r="H3854" s="1">
        <v>-6.025892E-6</v>
      </c>
      <c r="I3854">
        <v>139.06100000000001</v>
      </c>
      <c r="J3854">
        <v>-195.97409999999999</v>
      </c>
      <c r="K3854">
        <v>1.0977840000000001</v>
      </c>
      <c r="L3854">
        <v>149.8006</v>
      </c>
      <c r="M3854">
        <v>-0.42108879999999999</v>
      </c>
      <c r="N3854">
        <v>-1.5195999999999999E-2</v>
      </c>
      <c r="O3854">
        <v>-0.90689209999999998</v>
      </c>
      <c r="P3854">
        <v>-0.63561919999999905</v>
      </c>
      <c r="Q3854">
        <v>-7.7896000000000007E-2</v>
      </c>
      <c r="R3854">
        <v>-0.7680633</v>
      </c>
      <c r="S3854">
        <v>-2.2637330000000002</v>
      </c>
      <c r="T3854">
        <v>-0.20307049999999999</v>
      </c>
      <c r="U3854">
        <v>-2.020248</v>
      </c>
      <c r="V3854">
        <v>0.2511814</v>
      </c>
      <c r="W3854">
        <v>-7.0269479999999995E-2</v>
      </c>
      <c r="X3854">
        <v>0.96538599999999997</v>
      </c>
      <c r="Y3854">
        <v>0.39491870000000001</v>
      </c>
      <c r="Z3854">
        <v>5.3932750000000002E-2</v>
      </c>
      <c r="AA3854">
        <v>0.91713169999999999</v>
      </c>
      <c r="AB3854">
        <v>25</v>
      </c>
      <c r="AC3854">
        <v>-12.142300000000001</v>
      </c>
      <c r="AD3854">
        <v>-1.0977900258919999</v>
      </c>
      <c r="AE3854">
        <v>-10.7395999999999</v>
      </c>
      <c r="AF3854">
        <v>6.4605505960373</v>
      </c>
      <c r="AG3854">
        <v>-1.0977900258919999</v>
      </c>
      <c r="AH3854">
        <v>14.786545841442599</v>
      </c>
      <c r="AI3854">
        <v>93.891964498782301</v>
      </c>
      <c r="AJ3854">
        <v>66.398478665588399</v>
      </c>
      <c r="AK3854">
        <v>16.173614155963701</v>
      </c>
      <c r="AL3854">
        <v>94.029465349881306</v>
      </c>
      <c r="AM3854">
        <v>75.415719868116796</v>
      </c>
      <c r="AN3854">
        <v>1.00000001226071</v>
      </c>
    </row>
    <row r="3855" spans="1:40" x14ac:dyDescent="0.25">
      <c r="A3855" t="str">
        <f>"20190305135310902"</f>
        <v>20190305135310902</v>
      </c>
      <c r="B3855" t="str">
        <f>"1551765190893400"</f>
        <v>1551765190893400</v>
      </c>
      <c r="C3855" t="s">
        <v>40</v>
      </c>
      <c r="D3855">
        <v>4.6894970000000002</v>
      </c>
      <c r="E3855">
        <v>0.56176329999999997</v>
      </c>
      <c r="F3855" t="s">
        <v>78</v>
      </c>
      <c r="G3855">
        <v>-208.43289999999999</v>
      </c>
      <c r="H3855" s="1">
        <v>-5.8525829999999998E-6</v>
      </c>
      <c r="I3855">
        <v>138.9579</v>
      </c>
      <c r="J3855">
        <v>-196.0617</v>
      </c>
      <c r="K3855">
        <v>1.097621</v>
      </c>
      <c r="L3855">
        <v>149.64160000000001</v>
      </c>
      <c r="M3855">
        <v>-0.43187829999999999</v>
      </c>
      <c r="N3855">
        <v>-1.529896E-2</v>
      </c>
      <c r="O3855">
        <v>-0.90180199999999999</v>
      </c>
      <c r="P3855">
        <v>-0.64495130000000001</v>
      </c>
      <c r="Q3855">
        <v>-7.7206689999999994E-2</v>
      </c>
      <c r="R3855">
        <v>-0.76031359999999903</v>
      </c>
      <c r="S3855">
        <v>-2.2884980000000001</v>
      </c>
      <c r="T3855">
        <v>-0.20164850000000001</v>
      </c>
      <c r="U3855">
        <v>-1.991638</v>
      </c>
      <c r="V3855">
        <v>0.25141479999999999</v>
      </c>
      <c r="W3855">
        <v>-6.9593989999999994E-2</v>
      </c>
      <c r="X3855">
        <v>0.96537419999999996</v>
      </c>
      <c r="Y3855">
        <v>0.39542270000000002</v>
      </c>
      <c r="Z3855">
        <v>5.3324530000000002E-2</v>
      </c>
      <c r="AA3855">
        <v>0.91695000000000004</v>
      </c>
      <c r="AB3855">
        <v>25</v>
      </c>
      <c r="AC3855">
        <v>-12.3711999999999</v>
      </c>
      <c r="AD3855">
        <v>-1.097626852583</v>
      </c>
      <c r="AE3855">
        <v>-10.6837</v>
      </c>
      <c r="AF3855">
        <v>6.5137100881410896</v>
      </c>
      <c r="AG3855">
        <v>-1.097626852583</v>
      </c>
      <c r="AH3855">
        <v>14.9119497970204</v>
      </c>
      <c r="AI3855">
        <v>93.858916412482699</v>
      </c>
      <c r="AJ3855">
        <v>66.403744666965295</v>
      </c>
      <c r="AK3855">
        <v>16.3094895863948</v>
      </c>
      <c r="AL3855">
        <v>93.990667544996697</v>
      </c>
      <c r="AM3855">
        <v>75.402575817916002</v>
      </c>
      <c r="AN3855">
        <v>1.0000000355643901</v>
      </c>
    </row>
    <row r="3856" spans="1:40" x14ac:dyDescent="0.25">
      <c r="A3856" t="str">
        <f>"20190305135310919"</f>
        <v>20190305135310919</v>
      </c>
      <c r="B3856" t="str">
        <f>"1551765190913897"</f>
        <v>1551765190913897</v>
      </c>
      <c r="C3856" t="s">
        <v>40</v>
      </c>
      <c r="D3856">
        <v>4.6848729999999996</v>
      </c>
      <c r="E3856">
        <v>0.56136039999999998</v>
      </c>
      <c r="F3856" t="s">
        <v>78</v>
      </c>
      <c r="G3856">
        <v>-208.77889999999999</v>
      </c>
      <c r="H3856" s="1">
        <v>-5.6584739999999998E-6</v>
      </c>
      <c r="I3856">
        <v>138.83080000000001</v>
      </c>
      <c r="J3856">
        <v>-196.16030000000001</v>
      </c>
      <c r="K3856">
        <v>1.0974619999999999</v>
      </c>
      <c r="L3856">
        <v>149.46809999999999</v>
      </c>
      <c r="M3856">
        <v>-0.4438549</v>
      </c>
      <c r="N3856">
        <v>-1.540794E-2</v>
      </c>
      <c r="O3856">
        <v>-0.89596629999999999</v>
      </c>
      <c r="P3856">
        <v>-0.65646769999999999</v>
      </c>
      <c r="Q3856">
        <v>-7.4999650000000001E-2</v>
      </c>
      <c r="R3856">
        <v>-0.75061669999999903</v>
      </c>
      <c r="S3856">
        <v>-2.3113250000000001</v>
      </c>
      <c r="T3856">
        <v>-0.1994911</v>
      </c>
      <c r="U3856">
        <v>-1.964828</v>
      </c>
      <c r="V3856">
        <v>0.25320330000000002</v>
      </c>
      <c r="W3856">
        <v>-6.7446829999999999E-2</v>
      </c>
      <c r="X3856">
        <v>0.965059</v>
      </c>
      <c r="Y3856">
        <v>0.3938682</v>
      </c>
      <c r="Z3856">
        <v>5.2414420000000003E-2</v>
      </c>
      <c r="AA3856">
        <v>0.91767129999999997</v>
      </c>
      <c r="AB3856">
        <v>25</v>
      </c>
      <c r="AC3856">
        <v>-12.618599999999899</v>
      </c>
      <c r="AD3856">
        <v>-1.097467658474</v>
      </c>
      <c r="AE3856">
        <v>-10.6372999999999</v>
      </c>
      <c r="AF3856">
        <v>6.5562129890332104</v>
      </c>
      <c r="AG3856">
        <v>-1.097467658474</v>
      </c>
      <c r="AH3856">
        <v>15.066661935120599</v>
      </c>
      <c r="AI3856">
        <v>93.821179036002107</v>
      </c>
      <c r="AJ3856">
        <v>66.483877037467195</v>
      </c>
      <c r="AK3856">
        <v>16.467928402995199</v>
      </c>
      <c r="AL3856">
        <v>93.867354908409695</v>
      </c>
      <c r="AM3856">
        <v>75.298621834933002</v>
      </c>
      <c r="AN3856">
        <v>0.99999992974446605</v>
      </c>
    </row>
    <row r="3857" spans="1:40" x14ac:dyDescent="0.25">
      <c r="A3857" t="str">
        <f>"20190305135310934"</f>
        <v>20190305135310934</v>
      </c>
      <c r="B3857" t="str">
        <f>"1551765190923657"</f>
        <v>1551765190923657</v>
      </c>
      <c r="C3857" t="s">
        <v>40</v>
      </c>
      <c r="D3857">
        <v>4.6830020000000001</v>
      </c>
      <c r="E3857">
        <v>0.56118509999999999</v>
      </c>
      <c r="F3857" t="s">
        <v>78</v>
      </c>
      <c r="G3857">
        <v>-209.40289999999999</v>
      </c>
      <c r="H3857" s="1">
        <v>-5.28489699999999E-6</v>
      </c>
      <c r="I3857">
        <v>138.52799999999999</v>
      </c>
      <c r="J3857">
        <v>-196.24850000000001</v>
      </c>
      <c r="K3857">
        <v>1.0973219999999999</v>
      </c>
      <c r="L3857">
        <v>149.3175</v>
      </c>
      <c r="M3857">
        <v>-0.45442179999999999</v>
      </c>
      <c r="N3857">
        <v>-1.5499509999999999E-2</v>
      </c>
      <c r="O3857">
        <v>-0.89065190000000005</v>
      </c>
      <c r="P3857">
        <v>-0.6664371</v>
      </c>
      <c r="Q3857">
        <v>-7.3997030000000005E-2</v>
      </c>
      <c r="R3857">
        <v>-0.74188009999999904</v>
      </c>
      <c r="S3857">
        <v>-2.338654</v>
      </c>
      <c r="T3857">
        <v>-0.19381380000000001</v>
      </c>
      <c r="U3857">
        <v>-1.932037</v>
      </c>
      <c r="V3857">
        <v>0.25463950000000002</v>
      </c>
      <c r="W3857">
        <v>-6.6494380000000006E-2</v>
      </c>
      <c r="X3857">
        <v>0.96474729999999997</v>
      </c>
      <c r="Y3857">
        <v>0.39599519999999999</v>
      </c>
      <c r="Z3857">
        <v>5.046374E-2</v>
      </c>
      <c r="AA3857">
        <v>0.91686489999999998</v>
      </c>
      <c r="AB3857">
        <v>25</v>
      </c>
      <c r="AC3857">
        <v>-13.1543999999999</v>
      </c>
      <c r="AD3857">
        <v>-1.0973272848969999</v>
      </c>
      <c r="AE3857">
        <v>-10.7895</v>
      </c>
      <c r="AF3857">
        <v>6.7855968335702004</v>
      </c>
      <c r="AG3857">
        <v>-1.0973272848969999</v>
      </c>
      <c r="AH3857">
        <v>15.524622880294</v>
      </c>
      <c r="AI3857">
        <v>93.705677797919506</v>
      </c>
      <c r="AJ3857">
        <v>66.390530220037604</v>
      </c>
      <c r="AK3857">
        <v>16.978291054557999</v>
      </c>
      <c r="AL3857">
        <v>93.812660228883402</v>
      </c>
      <c r="AM3857">
        <v>75.214308686981298</v>
      </c>
      <c r="AN3857">
        <v>1.00000006519456</v>
      </c>
    </row>
    <row r="3858" spans="1:40" x14ac:dyDescent="0.25">
      <c r="A3858" t="str">
        <f>"20190305135310948"</f>
        <v>20190305135310948</v>
      </c>
      <c r="B3858" t="str">
        <f>"1551765190944152"</f>
        <v>1551765190944152</v>
      </c>
      <c r="C3858" t="s">
        <v>40</v>
      </c>
      <c r="D3858">
        <v>4.924328</v>
      </c>
      <c r="E3858">
        <v>0.56118509999999999</v>
      </c>
      <c r="F3858" t="s">
        <v>78</v>
      </c>
      <c r="G3858">
        <v>-209.81379999999999</v>
      </c>
      <c r="H3858" s="1">
        <v>-5.0034159999999998E-6</v>
      </c>
      <c r="I3858">
        <v>138.40119999999999</v>
      </c>
      <c r="J3858">
        <v>-196.3272</v>
      </c>
      <c r="K3858">
        <v>1.097199</v>
      </c>
      <c r="L3858">
        <v>149.18620000000001</v>
      </c>
      <c r="M3858">
        <v>-0.46373439999999999</v>
      </c>
      <c r="N3858">
        <v>-1.557715E-2</v>
      </c>
      <c r="O3858">
        <v>-0.8858376</v>
      </c>
      <c r="P3858">
        <v>-0.67521219999999904</v>
      </c>
      <c r="Q3858">
        <v>-7.2766209999999998E-2</v>
      </c>
      <c r="R3858">
        <v>-0.73402599999999996</v>
      </c>
      <c r="S3858">
        <v>-2.3632659999999999</v>
      </c>
      <c r="T3858">
        <v>-0.1911709</v>
      </c>
      <c r="U3858">
        <v>-1.901794</v>
      </c>
      <c r="V3858">
        <v>0.2559553</v>
      </c>
      <c r="W3858">
        <v>-6.5309930000000002E-2</v>
      </c>
      <c r="X3858">
        <v>0.96447989999999995</v>
      </c>
      <c r="Y3858">
        <v>0.39819339999999998</v>
      </c>
      <c r="Z3858">
        <v>4.9517640000000002E-2</v>
      </c>
      <c r="AA3858">
        <v>0.915964</v>
      </c>
      <c r="AB3858">
        <v>25</v>
      </c>
      <c r="AC3858">
        <v>-13.4865999999999</v>
      </c>
      <c r="AD3858">
        <v>-1.097204003416</v>
      </c>
      <c r="AE3858">
        <v>-10.785</v>
      </c>
      <c r="AF3858">
        <v>6.9184729851292097</v>
      </c>
      <c r="AG3858">
        <v>-1.097204003416</v>
      </c>
      <c r="AH3858">
        <v>15.746305113971401</v>
      </c>
      <c r="AI3858">
        <v>93.6501814856056</v>
      </c>
      <c r="AJ3858">
        <v>66.280696436635196</v>
      </c>
      <c r="AK3858">
        <v>17.234130375895301</v>
      </c>
      <c r="AL3858">
        <v>93.744648673504699</v>
      </c>
      <c r="AM3858">
        <v>75.137340965615493</v>
      </c>
      <c r="AN3858">
        <v>0.99999999002935203</v>
      </c>
    </row>
    <row r="3859" spans="1:40" x14ac:dyDescent="0.25">
      <c r="A3859" t="str">
        <f>"20190305135310962"</f>
        <v>20190305135310962</v>
      </c>
      <c r="B3859" t="str">
        <f>"1551765190953912"</f>
        <v>1551765190953912</v>
      </c>
      <c r="C3859" t="s">
        <v>40</v>
      </c>
      <c r="D3859">
        <v>5.1267230000000001</v>
      </c>
      <c r="E3859">
        <v>0.56118509999999999</v>
      </c>
      <c r="F3859" t="s">
        <v>42</v>
      </c>
      <c r="G3859">
        <v>-210.27590000000001</v>
      </c>
      <c r="H3859" s="1">
        <v>-4.8231270000000001E-6</v>
      </c>
      <c r="I3859">
        <v>138.2295</v>
      </c>
      <c r="J3859">
        <v>-196.42400000000001</v>
      </c>
      <c r="K3859">
        <v>1.0970679999999999</v>
      </c>
      <c r="L3859">
        <v>149.02969999999999</v>
      </c>
      <c r="M3859">
        <v>-0.47502860000000002</v>
      </c>
      <c r="N3859">
        <v>-1.566907E-2</v>
      </c>
      <c r="O3859">
        <v>-0.87983120000000004</v>
      </c>
      <c r="P3859">
        <v>-0.68744300000000003</v>
      </c>
      <c r="Q3859">
        <v>-7.132956E-2</v>
      </c>
      <c r="R3859">
        <v>-0.72272740000000002</v>
      </c>
      <c r="S3859">
        <v>-2.3856510000000002</v>
      </c>
      <c r="T3859">
        <v>-0.1876554</v>
      </c>
      <c r="U3859">
        <v>-1.8739319999999999</v>
      </c>
      <c r="V3859">
        <v>0.25975880000000001</v>
      </c>
      <c r="W3859">
        <v>-6.4002660000000003E-2</v>
      </c>
      <c r="X3859">
        <v>0.96355020000000002</v>
      </c>
      <c r="Y3859">
        <v>0.3973081</v>
      </c>
      <c r="Z3859">
        <v>4.8194750000000001E-2</v>
      </c>
      <c r="AA3859">
        <v>0.91641890000000004</v>
      </c>
      <c r="AB3859">
        <v>25</v>
      </c>
      <c r="AC3859">
        <v>-13.851900000000001</v>
      </c>
      <c r="AD3859">
        <v>-1.0970728231269999</v>
      </c>
      <c r="AE3859">
        <v>-10.800199999999901</v>
      </c>
      <c r="AF3859">
        <v>7.03036790458279</v>
      </c>
      <c r="AG3859">
        <v>-1.0970728231269999</v>
      </c>
      <c r="AH3859">
        <v>16.021868058200202</v>
      </c>
      <c r="AI3859">
        <v>93.587893606345304</v>
      </c>
      <c r="AJ3859">
        <v>66.308217337957004</v>
      </c>
      <c r="AK3859">
        <v>17.530827069120502</v>
      </c>
      <c r="AL3859">
        <v>93.669590593609399</v>
      </c>
      <c r="AM3859">
        <v>74.912582705448102</v>
      </c>
      <c r="AN3859">
        <v>0.99999998129227696</v>
      </c>
    </row>
    <row r="3860" spans="1:40" x14ac:dyDescent="0.25">
      <c r="A3860" t="str">
        <f>"20190305135310986"</f>
        <v>20190305135310986</v>
      </c>
      <c r="B3860" t="str">
        <f>"1551765190983195"</f>
        <v>1551765190983195</v>
      </c>
      <c r="C3860" t="s">
        <v>40</v>
      </c>
      <c r="D3860">
        <v>4.7679859999999996</v>
      </c>
      <c r="E3860">
        <v>0.66846329999999998</v>
      </c>
      <c r="F3860" t="s">
        <v>42</v>
      </c>
      <c r="G3860">
        <v>-210.85149999999999</v>
      </c>
      <c r="H3860" s="1">
        <v>-4.5774210000000004E-6</v>
      </c>
      <c r="I3860">
        <v>138.08080000000001</v>
      </c>
      <c r="J3860">
        <v>-196.5615</v>
      </c>
      <c r="K3860">
        <v>1.096902</v>
      </c>
      <c r="L3860">
        <v>148.81530000000001</v>
      </c>
      <c r="M3860">
        <v>-0.49076249999999999</v>
      </c>
      <c r="N3860">
        <v>-1.579357E-2</v>
      </c>
      <c r="O3860">
        <v>-0.871150599999999</v>
      </c>
      <c r="P3860">
        <v>-0.70246960000000003</v>
      </c>
      <c r="Q3860">
        <v>-7.0575979999999996E-2</v>
      </c>
      <c r="R3860">
        <v>-0.70820620000000001</v>
      </c>
      <c r="S3860">
        <v>-2.4167329999999998</v>
      </c>
      <c r="T3860">
        <v>-0.1837704</v>
      </c>
      <c r="U3860">
        <v>-1.8340449999999999</v>
      </c>
      <c r="V3860">
        <v>0.26263340000000002</v>
      </c>
      <c r="W3860">
        <v>-6.3346479999999997E-2</v>
      </c>
      <c r="X3860">
        <v>0.96281399999999995</v>
      </c>
      <c r="Y3860">
        <v>0.39615630000000002</v>
      </c>
      <c r="Z3860">
        <v>4.6682149999999999E-2</v>
      </c>
      <c r="AA3860">
        <v>0.91699560000000002</v>
      </c>
      <c r="AB3860">
        <v>25</v>
      </c>
      <c r="AC3860">
        <v>-14.2899999999999</v>
      </c>
      <c r="AD3860">
        <v>-1.0969065774210001</v>
      </c>
      <c r="AE3860">
        <v>-10.734499999999899</v>
      </c>
      <c r="AF3860">
        <v>7.1545963867298399</v>
      </c>
      <c r="AG3860">
        <v>-1.0969065774210001</v>
      </c>
      <c r="AH3860">
        <v>16.304982704779</v>
      </c>
      <c r="AI3860">
        <v>93.525220280378704</v>
      </c>
      <c r="AJ3860">
        <v>66.308222446093595</v>
      </c>
      <c r="AK3860">
        <v>17.839392212172999</v>
      </c>
      <c r="AL3860">
        <v>93.631917952754605</v>
      </c>
      <c r="AM3860">
        <v>74.742235757944499</v>
      </c>
      <c r="AN3860">
        <v>0.99999993895997297</v>
      </c>
    </row>
    <row r="3861" spans="1:40" x14ac:dyDescent="0.25">
      <c r="A3861" t="str">
        <f>"20190305135310999"</f>
        <v>20190305135310999</v>
      </c>
      <c r="B3861" t="str">
        <f>"1551765190993931"</f>
        <v>1551765190993931</v>
      </c>
      <c r="C3861" t="s">
        <v>40</v>
      </c>
      <c r="D3861">
        <v>4.7393369999999999</v>
      </c>
      <c r="E3861">
        <v>0.67273660000000002</v>
      </c>
      <c r="F3861" t="s">
        <v>42</v>
      </c>
      <c r="G3861">
        <v>-218.4828</v>
      </c>
      <c r="H3861" s="1">
        <v>-8.9594969999999899E-7</v>
      </c>
      <c r="I3861">
        <v>140.36150000000001</v>
      </c>
      <c r="J3861">
        <v>-196.6584</v>
      </c>
      <c r="K3861">
        <v>1.096792</v>
      </c>
      <c r="L3861">
        <v>148.67009999999999</v>
      </c>
      <c r="M3861">
        <v>-0.50163729999999995</v>
      </c>
      <c r="N3861">
        <v>-1.5876890000000001E-2</v>
      </c>
      <c r="O3861">
        <v>-0.86493229999999999</v>
      </c>
      <c r="P3861">
        <v>-0.71204129999999999</v>
      </c>
      <c r="Q3861">
        <v>-6.9685849999999994E-2</v>
      </c>
      <c r="R3861">
        <v>-0.69867100000000004</v>
      </c>
      <c r="S3861">
        <v>-3.0639949999999998</v>
      </c>
      <c r="T3861">
        <v>-0.15331700000000001</v>
      </c>
      <c r="U3861">
        <v>-1.18161</v>
      </c>
      <c r="V3861">
        <v>0.2636366</v>
      </c>
      <c r="W3861">
        <v>-6.248807E-2</v>
      </c>
      <c r="X3861">
        <v>0.96259589999999995</v>
      </c>
      <c r="Y3861">
        <v>0.62565709999999997</v>
      </c>
      <c r="Z3861">
        <v>3.7654569999999998E-2</v>
      </c>
      <c r="AA3861">
        <v>0.77918889999999996</v>
      </c>
      <c r="AB3861">
        <v>25</v>
      </c>
      <c r="AC3861">
        <v>-21.824400000000001</v>
      </c>
      <c r="AD3861">
        <v>-1.0967928959497</v>
      </c>
      <c r="AE3861">
        <v>-8.3085999999999807</v>
      </c>
      <c r="AF3861">
        <v>14.678200951535199</v>
      </c>
      <c r="AG3861">
        <v>-1.0967928959497</v>
      </c>
      <c r="AH3861">
        <v>18.096676884017299</v>
      </c>
      <c r="AI3861">
        <v>92.694952932500698</v>
      </c>
      <c r="AJ3861">
        <v>50.954517528782901</v>
      </c>
      <c r="AK3861">
        <v>23.326856883746299</v>
      </c>
      <c r="AL3861">
        <v>93.582637031964893</v>
      </c>
      <c r="AM3861">
        <v>74.683379111485607</v>
      </c>
      <c r="AN3861">
        <v>0.99999994122434499</v>
      </c>
    </row>
    <row r="3862" spans="1:40" x14ac:dyDescent="0.25">
      <c r="A3862" t="str">
        <f>"20190305135311020"</f>
        <v>20190305135311020</v>
      </c>
      <c r="B3862" t="str">
        <f>"1551765191013451"</f>
        <v>1551765191013451</v>
      </c>
      <c r="C3862" t="s">
        <v>40</v>
      </c>
      <c r="D3862">
        <v>4.7189509999999997</v>
      </c>
      <c r="E3862">
        <v>0.67524740000000005</v>
      </c>
      <c r="F3862" t="s">
        <v>42</v>
      </c>
      <c r="G3862">
        <v>-234.74690000000001</v>
      </c>
      <c r="H3862" s="1">
        <v>-3.0732690000000001E-6</v>
      </c>
      <c r="I3862">
        <v>134.89529999999999</v>
      </c>
      <c r="J3862">
        <v>-196.78469999999999</v>
      </c>
      <c r="K3862">
        <v>1.096673</v>
      </c>
      <c r="L3862">
        <v>148.4863</v>
      </c>
      <c r="M3862">
        <v>-0.51555879999999998</v>
      </c>
      <c r="N3862">
        <v>-1.597929E-2</v>
      </c>
      <c r="O3862">
        <v>-0.85670539999999995</v>
      </c>
      <c r="P3862">
        <v>-0.72411049999999999</v>
      </c>
      <c r="Q3862">
        <v>-6.7628430000000003E-2</v>
      </c>
      <c r="R3862">
        <v>-0.68636049999999904</v>
      </c>
      <c r="S3862">
        <v>-3.1032709999999999</v>
      </c>
      <c r="T3862">
        <v>-8.9361670000000004E-2</v>
      </c>
      <c r="U3862">
        <v>-1.1222989999999999</v>
      </c>
      <c r="V3862">
        <v>0.26478309999999999</v>
      </c>
      <c r="W3862">
        <v>-6.0462719999999998E-2</v>
      </c>
      <c r="X3862">
        <v>0.9624106</v>
      </c>
      <c r="Y3862">
        <v>0.63008039999999998</v>
      </c>
      <c r="Z3862">
        <v>1.7380300000000001E-2</v>
      </c>
      <c r="AA3862">
        <v>0.77633540000000001</v>
      </c>
      <c r="AB3862">
        <v>25</v>
      </c>
      <c r="AC3862">
        <v>-37.962200000000003</v>
      </c>
      <c r="AD3862">
        <v>-1.096676073269</v>
      </c>
      <c r="AE3862">
        <v>-13.590999999999999</v>
      </c>
      <c r="AF3862">
        <v>25.499852482715902</v>
      </c>
      <c r="AG3862">
        <v>-1.096676073269</v>
      </c>
      <c r="AH3862">
        <v>31.196132817949898</v>
      </c>
      <c r="AI3862">
        <v>91.559105521971205</v>
      </c>
      <c r="AJ3862">
        <v>50.737288996082903</v>
      </c>
      <c r="AK3862">
        <v>40.306871347763099</v>
      </c>
      <c r="AL3862">
        <v>93.466372903454797</v>
      </c>
      <c r="AM3862">
        <v>74.617096973160301</v>
      </c>
      <c r="AN3862">
        <v>0.99999999677388396</v>
      </c>
    </row>
    <row r="3863" spans="1:40" x14ac:dyDescent="0.25">
      <c r="A3863" t="str">
        <f>"20190305135311034"</f>
        <v>20190305135311034</v>
      </c>
      <c r="B3863" t="str">
        <f>"1551765191024188"</f>
        <v>1551765191024188</v>
      </c>
      <c r="C3863" t="s">
        <v>40</v>
      </c>
      <c r="D3863">
        <v>4.7316070000000003</v>
      </c>
      <c r="E3863">
        <v>0.6758518</v>
      </c>
      <c r="F3863" t="s">
        <v>76</v>
      </c>
      <c r="G3863">
        <v>-320.47219999999999</v>
      </c>
      <c r="H3863">
        <v>0.58102069999999995</v>
      </c>
      <c r="I3863">
        <v>106.5928</v>
      </c>
      <c r="J3863">
        <v>-196.88249999999999</v>
      </c>
      <c r="K3863">
        <v>1.096584</v>
      </c>
      <c r="L3863">
        <v>148.3486</v>
      </c>
      <c r="M3863">
        <v>-0.52613509999999997</v>
      </c>
      <c r="N3863">
        <v>-1.6053810000000002E-2</v>
      </c>
      <c r="O3863">
        <v>-0.85024940000000004</v>
      </c>
      <c r="P3863">
        <v>-0.73300290000000001</v>
      </c>
      <c r="Q3863">
        <v>-6.6228270000000006E-2</v>
      </c>
      <c r="R3863">
        <v>-0.67699379999999998</v>
      </c>
      <c r="S3863">
        <v>-3.1352389999999999</v>
      </c>
      <c r="T3863">
        <v>-1.3070460000000001E-2</v>
      </c>
      <c r="U3863">
        <v>-1.06192</v>
      </c>
      <c r="V3863">
        <v>0.26536890000000002</v>
      </c>
      <c r="W3863">
        <v>-5.9076299999999998E-2</v>
      </c>
      <c r="X3863">
        <v>0.9623353</v>
      </c>
      <c r="Y3863">
        <v>0.63650649999999998</v>
      </c>
      <c r="Z3863">
        <v>-6.5107230000000004E-3</v>
      </c>
      <c r="AA3863">
        <v>0.77124389999999998</v>
      </c>
      <c r="AB3863">
        <v>25</v>
      </c>
      <c r="AC3863">
        <v>-123.58969999999999</v>
      </c>
      <c r="AD3863">
        <v>-0.51556329999999995</v>
      </c>
      <c r="AE3863">
        <v>-41.755800000000001</v>
      </c>
      <c r="AF3863">
        <v>83.122293883856301</v>
      </c>
      <c r="AG3863">
        <v>-0.51556329999999995</v>
      </c>
      <c r="AH3863">
        <v>100.539113983752</v>
      </c>
      <c r="AI3863">
        <v>90.226441169974194</v>
      </c>
      <c r="AJ3863">
        <v>50.4172237364658</v>
      </c>
      <c r="AK3863">
        <v>130.451887631679</v>
      </c>
      <c r="AL3863">
        <v>93.386794784690807</v>
      </c>
      <c r="AM3863">
        <v>74.583532452540396</v>
      </c>
      <c r="AN3863">
        <v>0.99999994596749298</v>
      </c>
    </row>
    <row r="3864" spans="1:40" x14ac:dyDescent="0.25">
      <c r="A3864" t="str">
        <f>"20190305135311055"</f>
        <v>20190305135311055</v>
      </c>
      <c r="B3864" t="str">
        <f>"1551765191043710"</f>
        <v>1551765191043710</v>
      </c>
      <c r="C3864" t="s">
        <v>40</v>
      </c>
      <c r="D3864">
        <v>4.715967</v>
      </c>
      <c r="E3864">
        <v>0.6758478</v>
      </c>
      <c r="F3864" t="s">
        <v>50</v>
      </c>
      <c r="G3864">
        <v>-285.46730000000002</v>
      </c>
      <c r="H3864">
        <v>1.212691</v>
      </c>
      <c r="I3864">
        <v>119.7073</v>
      </c>
      <c r="J3864">
        <v>-197.0264</v>
      </c>
      <c r="K3864">
        <v>1.096468</v>
      </c>
      <c r="L3864">
        <v>148.15260000000001</v>
      </c>
      <c r="M3864">
        <v>-0.54139380000000004</v>
      </c>
      <c r="N3864">
        <v>-1.6157080000000001E-2</v>
      </c>
      <c r="O3864">
        <v>-0.84061379999999997</v>
      </c>
      <c r="P3864">
        <v>-0.74587399999999904</v>
      </c>
      <c r="Q3864">
        <v>-6.2664899999999996E-2</v>
      </c>
      <c r="R3864">
        <v>-0.66313269999999902</v>
      </c>
      <c r="S3864">
        <v>-3.151932</v>
      </c>
      <c r="T3864">
        <v>4.131198E-3</v>
      </c>
      <c r="U3864">
        <v>-1.0190889999999999</v>
      </c>
      <c r="V3864">
        <v>0.26639499999999999</v>
      </c>
      <c r="W3864">
        <v>-5.55369E-2</v>
      </c>
      <c r="X3864">
        <v>0.96226259999999997</v>
      </c>
      <c r="Y3864">
        <v>0.63323580000000002</v>
      </c>
      <c r="Z3864">
        <v>-1.1748949999999999E-2</v>
      </c>
      <c r="AA3864">
        <v>0.77386969999999899</v>
      </c>
      <c r="AB3864">
        <v>25</v>
      </c>
      <c r="AC3864">
        <v>-88.440899999999999</v>
      </c>
      <c r="AD3864">
        <v>0.11622299999999899</v>
      </c>
      <c r="AE3864">
        <v>-28.4453</v>
      </c>
      <c r="AF3864">
        <v>58.9521391478022</v>
      </c>
      <c r="AG3864">
        <v>0.11622299999999899</v>
      </c>
      <c r="AH3864">
        <v>71.802131996829502</v>
      </c>
      <c r="AI3864">
        <v>89.928321910192906</v>
      </c>
      <c r="AJ3864">
        <v>50.6127705777809</v>
      </c>
      <c r="AK3864">
        <v>92.902714584546402</v>
      </c>
      <c r="AL3864">
        <v>93.183668071609006</v>
      </c>
      <c r="AM3864">
        <v>74.525659985052798</v>
      </c>
      <c r="AN3864">
        <v>0.99999997732268397</v>
      </c>
    </row>
    <row r="3865" spans="1:40" x14ac:dyDescent="0.25">
      <c r="A3865" t="str">
        <f>"20190305135311069"</f>
        <v>20190305135311069</v>
      </c>
      <c r="B3865" t="str">
        <f>"1551765191064204"</f>
        <v>1551765191064204</v>
      </c>
      <c r="C3865" t="s">
        <v>40</v>
      </c>
      <c r="D3865">
        <v>4.7363470000000003</v>
      </c>
      <c r="E3865">
        <v>0.67524219999999902</v>
      </c>
      <c r="F3865" t="s">
        <v>76</v>
      </c>
      <c r="G3865">
        <v>-323.78530000000001</v>
      </c>
      <c r="H3865">
        <v>2.3653749999999998</v>
      </c>
      <c r="I3865">
        <v>109.72929999999999</v>
      </c>
      <c r="J3865">
        <v>-197.12350000000001</v>
      </c>
      <c r="K3865">
        <v>1.0963860000000001</v>
      </c>
      <c r="L3865">
        <v>148.02430000000001</v>
      </c>
      <c r="M3865">
        <v>-0.55149309999999996</v>
      </c>
      <c r="N3865">
        <v>-1.6223370000000001E-2</v>
      </c>
      <c r="O3865">
        <v>-0.83402189999999998</v>
      </c>
      <c r="P3865">
        <v>-0.75421300000000002</v>
      </c>
      <c r="Q3865">
        <v>-6.1637539999999998E-2</v>
      </c>
      <c r="R3865">
        <v>-0.65373099999999995</v>
      </c>
      <c r="S3865">
        <v>-3.1703950000000001</v>
      </c>
      <c r="T3865">
        <v>3.1737210000000002E-2</v>
      </c>
      <c r="U3865">
        <v>-0.96101380000000003</v>
      </c>
      <c r="V3865">
        <v>0.26694329999999999</v>
      </c>
      <c r="W3865">
        <v>-5.4522429999999997E-2</v>
      </c>
      <c r="X3865">
        <v>0.96216869999999999</v>
      </c>
      <c r="Y3865">
        <v>0.63799949999999905</v>
      </c>
      <c r="Z3865">
        <v>-2.0199660000000001E-2</v>
      </c>
      <c r="AA3865">
        <v>0.76977180000000001</v>
      </c>
      <c r="AB3865">
        <v>25</v>
      </c>
      <c r="AC3865">
        <v>-126.6618</v>
      </c>
      <c r="AD3865">
        <v>1.2689889999999899</v>
      </c>
      <c r="AE3865">
        <v>-38.295000000000002</v>
      </c>
      <c r="AF3865">
        <v>84.522622788959097</v>
      </c>
      <c r="AG3865">
        <v>1.2689889999999899</v>
      </c>
      <c r="AH3865">
        <v>101.795995103902</v>
      </c>
      <c r="AI3865">
        <v>89.450500210639703</v>
      </c>
      <c r="AJ3865">
        <v>50.296681765089197</v>
      </c>
      <c r="AK3865">
        <v>132.318210067248</v>
      </c>
      <c r="AL3865">
        <v>93.125454894407497</v>
      </c>
      <c r="AM3865">
        <v>74.493900830022497</v>
      </c>
      <c r="AN3865">
        <v>1.0000000140238401</v>
      </c>
    </row>
    <row r="3866" spans="1:40" x14ac:dyDescent="0.25">
      <c r="A3866" t="str">
        <f>"20190305135311088"</f>
        <v>20190305135311088</v>
      </c>
      <c r="B3866" t="str">
        <f>"1551765191083723"</f>
        <v>1551765191083723</v>
      </c>
      <c r="C3866" t="s">
        <v>40</v>
      </c>
      <c r="D3866">
        <v>4.7197740000000001</v>
      </c>
      <c r="E3866">
        <v>0.67430230000000002</v>
      </c>
      <c r="F3866" t="s">
        <v>76</v>
      </c>
      <c r="G3866">
        <v>-324.97289999999998</v>
      </c>
      <c r="H3866">
        <v>2.433036</v>
      </c>
      <c r="I3866">
        <v>110.8506</v>
      </c>
      <c r="J3866">
        <v>-197.25460000000001</v>
      </c>
      <c r="K3866">
        <v>1.0962879999999999</v>
      </c>
      <c r="L3866">
        <v>147.85650000000001</v>
      </c>
      <c r="M3866">
        <v>-0.5648746</v>
      </c>
      <c r="N3866">
        <v>-1.6309489999999999E-2</v>
      </c>
      <c r="O3866">
        <v>-0.82501569999999902</v>
      </c>
      <c r="P3866">
        <v>-0.76463440000000005</v>
      </c>
      <c r="Q3866">
        <v>-5.9683809999999997E-2</v>
      </c>
      <c r="R3866">
        <v>-0.64169509999999996</v>
      </c>
      <c r="S3866">
        <v>-3.1791529999999999</v>
      </c>
      <c r="T3866">
        <v>3.3237929999999999E-2</v>
      </c>
      <c r="U3866">
        <v>-0.92437740000000002</v>
      </c>
      <c r="V3866">
        <v>0.26685029999999998</v>
      </c>
      <c r="W3866">
        <v>-5.2552580000000002E-2</v>
      </c>
      <c r="X3866">
        <v>0.9623041</v>
      </c>
      <c r="Y3866">
        <v>0.63430830000000005</v>
      </c>
      <c r="Z3866">
        <v>-2.0470510000000001E-2</v>
      </c>
      <c r="AA3866">
        <v>0.77280909999999903</v>
      </c>
      <c r="AB3866">
        <v>25</v>
      </c>
      <c r="AC3866">
        <v>-127.718299999999</v>
      </c>
      <c r="AD3866">
        <v>1.336748</v>
      </c>
      <c r="AE3866">
        <v>-37.005899999999997</v>
      </c>
      <c r="AF3866">
        <v>84.468600215192396</v>
      </c>
      <c r="AG3866">
        <v>1.336748</v>
      </c>
      <c r="AH3866">
        <v>102.678542639817</v>
      </c>
      <c r="AI3866">
        <v>89.423972660222603</v>
      </c>
      <c r="AJ3866">
        <v>50.557544962806404</v>
      </c>
      <c r="AK3866">
        <v>132.96471124387199</v>
      </c>
      <c r="AL3866">
        <v>93.012428674803303</v>
      </c>
      <c r="AM3866">
        <v>74.501119355873897</v>
      </c>
      <c r="AN3866">
        <v>1.00000001857577</v>
      </c>
    </row>
    <row r="3867" spans="1:40" x14ac:dyDescent="0.25">
      <c r="A3867" t="str">
        <f>"20190305135311111"</f>
        <v>20190305135311111</v>
      </c>
      <c r="B3867" t="str">
        <f>"1551765191103244"</f>
        <v>1551765191103244</v>
      </c>
      <c r="C3867" t="s">
        <v>40</v>
      </c>
      <c r="D3867">
        <v>4.7559310000000004</v>
      </c>
      <c r="E3867">
        <v>0.67331009999999902</v>
      </c>
      <c r="F3867" t="s">
        <v>76</v>
      </c>
      <c r="G3867">
        <v>-326.45839999999998</v>
      </c>
      <c r="H3867">
        <v>2.439235</v>
      </c>
      <c r="I3867">
        <v>112.2531</v>
      </c>
      <c r="J3867">
        <v>-197.42</v>
      </c>
      <c r="K3867">
        <v>1.0961650000000001</v>
      </c>
      <c r="L3867">
        <v>147.6533</v>
      </c>
      <c r="M3867">
        <v>-0.58133389999999996</v>
      </c>
      <c r="N3867">
        <v>-1.6411410000000001E-2</v>
      </c>
      <c r="O3867">
        <v>-0.8134998</v>
      </c>
      <c r="P3867">
        <v>-0.77665949999999995</v>
      </c>
      <c r="Q3867">
        <v>-5.7915389999999997E-2</v>
      </c>
      <c r="R3867">
        <v>-0.62725310000000001</v>
      </c>
      <c r="S3867">
        <v>-3.188644</v>
      </c>
      <c r="T3867">
        <v>3.3143159999999998E-2</v>
      </c>
      <c r="U3867">
        <v>-0.878662099999999</v>
      </c>
      <c r="V3867">
        <v>0.265706</v>
      </c>
      <c r="W3867">
        <v>-5.072463E-2</v>
      </c>
      <c r="X3867">
        <v>0.96271870000000004</v>
      </c>
      <c r="Y3867">
        <v>0.6296484</v>
      </c>
      <c r="Z3867">
        <v>-2.018549E-2</v>
      </c>
      <c r="AA3867">
        <v>0.77661800000000003</v>
      </c>
      <c r="AB3867">
        <v>25</v>
      </c>
      <c r="AC3867">
        <v>-129.0384</v>
      </c>
      <c r="AD3867">
        <v>1.34307</v>
      </c>
      <c r="AE3867">
        <v>-35.400199999999998</v>
      </c>
      <c r="AF3867">
        <v>84.3962253649904</v>
      </c>
      <c r="AG3867">
        <v>1.34307</v>
      </c>
      <c r="AH3867">
        <v>103.815956624348</v>
      </c>
      <c r="AI3867">
        <v>89.424858895358994</v>
      </c>
      <c r="AJ3867">
        <v>50.8909318688981</v>
      </c>
      <c r="AK3867">
        <v>133.79940038248199</v>
      </c>
      <c r="AL3867">
        <v>92.907555032761096</v>
      </c>
      <c r="AM3867">
        <v>74.570736134405095</v>
      </c>
      <c r="AN3867">
        <v>0.99999998092716302</v>
      </c>
    </row>
    <row r="3868" spans="1:40" x14ac:dyDescent="0.25">
      <c r="A3868" t="str">
        <f>"20190305135311133"</f>
        <v>20190305135311133</v>
      </c>
      <c r="B3868" t="str">
        <f>"1551765191123742"</f>
        <v>1551765191123742</v>
      </c>
      <c r="C3868" t="s">
        <v>40</v>
      </c>
      <c r="D3868">
        <v>4.7678919999999998</v>
      </c>
      <c r="E3868">
        <v>0.67219110000000004</v>
      </c>
      <c r="F3868" t="s">
        <v>76</v>
      </c>
      <c r="G3868">
        <v>-328.27390000000003</v>
      </c>
      <c r="H3868">
        <v>2.2972800000000002</v>
      </c>
      <c r="I3868">
        <v>113.96720000000001</v>
      </c>
      <c r="J3868">
        <v>-197.58850000000001</v>
      </c>
      <c r="K3868">
        <v>1.0960479999999999</v>
      </c>
      <c r="L3868">
        <v>147.45490000000001</v>
      </c>
      <c r="M3868">
        <v>-0.59763739999999999</v>
      </c>
      <c r="N3868">
        <v>-1.6507330000000001E-2</v>
      </c>
      <c r="O3868">
        <v>-0.8015968</v>
      </c>
      <c r="P3868">
        <v>-0.78792659999999903</v>
      </c>
      <c r="Q3868">
        <v>-5.6222000000000001E-2</v>
      </c>
      <c r="R3868">
        <v>-0.61319760000000001</v>
      </c>
      <c r="S3868">
        <v>-3.1996769999999999</v>
      </c>
      <c r="T3868">
        <v>2.937031E-2</v>
      </c>
      <c r="U3868">
        <v>-0.82369999999999999</v>
      </c>
      <c r="V3868">
        <v>0.26371220000000001</v>
      </c>
      <c r="W3868">
        <v>-4.8937620000000001E-2</v>
      </c>
      <c r="X3868">
        <v>0.96335919999999997</v>
      </c>
      <c r="Y3868">
        <v>0.62713390000000002</v>
      </c>
      <c r="Z3868">
        <v>-1.875249E-2</v>
      </c>
      <c r="AA3868">
        <v>0.77868570000000004</v>
      </c>
      <c r="AB3868">
        <v>25</v>
      </c>
      <c r="AC3868">
        <v>-130.68539999999999</v>
      </c>
      <c r="AD3868">
        <v>1.2012320000000001</v>
      </c>
      <c r="AE3868">
        <v>-33.487699999999997</v>
      </c>
      <c r="AF3868">
        <v>84.748309447511602</v>
      </c>
      <c r="AG3868">
        <v>1.2012320000000001</v>
      </c>
      <c r="AH3868">
        <v>104.95207619086401</v>
      </c>
      <c r="AI3868">
        <v>89.489805711626303</v>
      </c>
      <c r="AJ3868">
        <v>51.079287905934599</v>
      </c>
      <c r="AK3868">
        <v>134.90239882708499</v>
      </c>
      <c r="AL3868">
        <v>92.805039524719305</v>
      </c>
      <c r="AM3868">
        <v>74.690762676726905</v>
      </c>
      <c r="AN3868">
        <v>0.99999998165237103</v>
      </c>
    </row>
    <row r="3869" spans="1:40" x14ac:dyDescent="0.25">
      <c r="A3869" t="str">
        <f>"20190305135311154"</f>
        <v>20190305135311154</v>
      </c>
      <c r="B3869" t="str">
        <f>"1551765191144235"</f>
        <v>1551765191144235</v>
      </c>
      <c r="C3869" t="s">
        <v>40</v>
      </c>
      <c r="D3869">
        <v>4.7962109999999996</v>
      </c>
      <c r="E3869">
        <v>0.67089219999999905</v>
      </c>
      <c r="F3869" t="s">
        <v>76</v>
      </c>
      <c r="G3869">
        <v>-329.98140000000001</v>
      </c>
      <c r="H3869">
        <v>2.2933119999999998</v>
      </c>
      <c r="I3869">
        <v>115.57940000000001</v>
      </c>
      <c r="J3869">
        <v>-197.74889999999999</v>
      </c>
      <c r="K3869">
        <v>1.0959410000000001</v>
      </c>
      <c r="L3869">
        <v>147.27350000000001</v>
      </c>
      <c r="M3869">
        <v>-0.61273999999999995</v>
      </c>
      <c r="N3869">
        <v>-1.6591709999999999E-2</v>
      </c>
      <c r="O3869">
        <v>-0.79011069999999906</v>
      </c>
      <c r="P3869">
        <v>-0.79789580000000004</v>
      </c>
      <c r="Q3869">
        <v>-5.6533680000000003E-2</v>
      </c>
      <c r="R3869">
        <v>-0.60013899999999998</v>
      </c>
      <c r="S3869">
        <v>-3.2083740000000001</v>
      </c>
      <c r="T3869">
        <v>2.9014470000000001E-2</v>
      </c>
      <c r="U3869">
        <v>-0.77246090000000001</v>
      </c>
      <c r="V3869">
        <v>0.26126169999999999</v>
      </c>
      <c r="W3869">
        <v>-4.914023E-2</v>
      </c>
      <c r="X3869">
        <v>0.9640164</v>
      </c>
      <c r="Y3869">
        <v>0.62457779999999996</v>
      </c>
      <c r="Z3869">
        <v>-1.8379650000000001E-2</v>
      </c>
      <c r="AA3869">
        <v>0.7807463</v>
      </c>
      <c r="AB3869">
        <v>25</v>
      </c>
      <c r="AC3869">
        <v>-132.23249999999999</v>
      </c>
      <c r="AD3869">
        <v>1.19737099999999</v>
      </c>
      <c r="AE3869">
        <v>-31.694099999999999</v>
      </c>
      <c r="AF3869">
        <v>85.063162855890198</v>
      </c>
      <c r="AG3869">
        <v>1.19737099999999</v>
      </c>
      <c r="AH3869">
        <v>106.072339914126</v>
      </c>
      <c r="AI3869">
        <v>89.495447983337698</v>
      </c>
      <c r="AJ3869">
        <v>51.272640033215197</v>
      </c>
      <c r="AK3869">
        <v>135.97248496374999</v>
      </c>
      <c r="AL3869">
        <v>92.816662073608498</v>
      </c>
      <c r="AM3869">
        <v>74.836301672086194</v>
      </c>
      <c r="AN3869">
        <v>1.00000002878015</v>
      </c>
    </row>
    <row r="3870" spans="1:40" x14ac:dyDescent="0.25">
      <c r="A3870" t="str">
        <f>"20190305135311174"</f>
        <v>20190305135311174</v>
      </c>
      <c r="B3870" t="str">
        <f>"1551765191163755"</f>
        <v>1551765191163755</v>
      </c>
      <c r="C3870" t="s">
        <v>40</v>
      </c>
      <c r="D3870">
        <v>4.766483</v>
      </c>
      <c r="E3870">
        <v>0.66964619999999997</v>
      </c>
      <c r="F3870" t="s">
        <v>76</v>
      </c>
      <c r="G3870">
        <v>-331.48610000000002</v>
      </c>
      <c r="H3870">
        <v>2.1160290000000002</v>
      </c>
      <c r="I3870">
        <v>117</v>
      </c>
      <c r="J3870">
        <v>-197.90559999999999</v>
      </c>
      <c r="K3870">
        <v>1.095844</v>
      </c>
      <c r="L3870">
        <v>147.10310000000001</v>
      </c>
      <c r="M3870">
        <v>-0.62710049999999995</v>
      </c>
      <c r="N3870">
        <v>-1.6668369999999998E-2</v>
      </c>
      <c r="O3870">
        <v>-0.77876009999999996</v>
      </c>
      <c r="P3870">
        <v>-0.80753839999999999</v>
      </c>
      <c r="Q3870">
        <v>-5.7099410000000003E-2</v>
      </c>
      <c r="R3870">
        <v>-0.58704480000000003</v>
      </c>
      <c r="S3870">
        <v>-3.21434</v>
      </c>
      <c r="T3870">
        <v>2.4517890000000001E-2</v>
      </c>
      <c r="U3870">
        <v>-0.72761540000000002</v>
      </c>
      <c r="V3870">
        <v>0.25928259999999997</v>
      </c>
      <c r="W3870">
        <v>-4.9613560000000001E-2</v>
      </c>
      <c r="X3870">
        <v>0.96452629999999995</v>
      </c>
      <c r="Y3870">
        <v>0.62096379999999995</v>
      </c>
      <c r="Z3870">
        <v>-1.6759320000000001E-2</v>
      </c>
      <c r="AA3870">
        <v>0.78366000000000002</v>
      </c>
      <c r="AB3870">
        <v>25</v>
      </c>
      <c r="AC3870">
        <v>-133.5805</v>
      </c>
      <c r="AD3870">
        <v>1.0201849999999999</v>
      </c>
      <c r="AE3870">
        <v>-30.103100000000001</v>
      </c>
      <c r="AF3870">
        <v>85.156591753167106</v>
      </c>
      <c r="AG3870">
        <v>1.0201849999999999</v>
      </c>
      <c r="AH3870">
        <v>107.220427667858</v>
      </c>
      <c r="AI3870">
        <v>89.573108391032406</v>
      </c>
      <c r="AJ3870">
        <v>51.542699894729203</v>
      </c>
      <c r="AK3870">
        <v>136.926644615751</v>
      </c>
      <c r="AL3870">
        <v>92.843815150473503</v>
      </c>
      <c r="AM3870">
        <v>74.953534122860205</v>
      </c>
      <c r="AN3870">
        <v>0.99999997769516102</v>
      </c>
    </row>
    <row r="3871" spans="1:40" x14ac:dyDescent="0.25">
      <c r="A3871" t="str">
        <f>"20190305135311198"</f>
        <v>20190305135311198</v>
      </c>
      <c r="B3871" t="str">
        <f>"1551765191194011"</f>
        <v>1551765191194011</v>
      </c>
      <c r="C3871" t="s">
        <v>40</v>
      </c>
      <c r="D3871">
        <v>4.7454330000000002</v>
      </c>
      <c r="E3871">
        <v>0.66764840000000003</v>
      </c>
      <c r="F3871" t="s">
        <v>76</v>
      </c>
      <c r="G3871">
        <v>-333.02719999999999</v>
      </c>
      <c r="H3871">
        <v>1.76876699999999</v>
      </c>
      <c r="I3871">
        <v>118.455</v>
      </c>
      <c r="J3871">
        <v>-198.0925</v>
      </c>
      <c r="K3871">
        <v>1.095756</v>
      </c>
      <c r="L3871">
        <v>146.90799999999999</v>
      </c>
      <c r="M3871">
        <v>-0.64374969999999998</v>
      </c>
      <c r="N3871">
        <v>-1.6753589999999999E-2</v>
      </c>
      <c r="O3871">
        <v>-0.76505290000000004</v>
      </c>
      <c r="P3871">
        <v>-0.81849119999999997</v>
      </c>
      <c r="Q3871">
        <v>-5.728693E-2</v>
      </c>
      <c r="R3871">
        <v>-0.57165639999999995</v>
      </c>
      <c r="S3871">
        <v>-3.219849</v>
      </c>
      <c r="T3871">
        <v>1.6035560000000001E-2</v>
      </c>
      <c r="U3871">
        <v>-0.68266300000000002</v>
      </c>
      <c r="V3871">
        <v>0.25671250000000001</v>
      </c>
      <c r="W3871">
        <v>-4.9679910000000001E-2</v>
      </c>
      <c r="X3871">
        <v>0.96521009999999996</v>
      </c>
      <c r="Y3871">
        <v>0.61481249999999998</v>
      </c>
      <c r="Z3871">
        <v>-1.3915469999999999E-2</v>
      </c>
      <c r="AA3871">
        <v>0.78855059999999999</v>
      </c>
      <c r="AB3871">
        <v>25</v>
      </c>
      <c r="AC3871">
        <v>-134.93469999999999</v>
      </c>
      <c r="AD3871">
        <v>0.67301099999999903</v>
      </c>
      <c r="AE3871">
        <v>-28.4529999999999</v>
      </c>
      <c r="AF3871">
        <v>84.925457571083101</v>
      </c>
      <c r="AG3871">
        <v>0.67301099999999903</v>
      </c>
      <c r="AH3871">
        <v>108.64486768450401</v>
      </c>
      <c r="AI3871">
        <v>89.720371586496299</v>
      </c>
      <c r="AJ3871">
        <v>51.9859919823204</v>
      </c>
      <c r="AK3871">
        <v>137.90030297880901</v>
      </c>
      <c r="AL3871">
        <v>92.847621443682698</v>
      </c>
      <c r="AM3871">
        <v>75.106100924435594</v>
      </c>
      <c r="AN3871">
        <v>0.99999996912793299</v>
      </c>
    </row>
    <row r="3872" spans="1:40" x14ac:dyDescent="0.25">
      <c r="A3872" t="str">
        <f>"20190305135311221"</f>
        <v>20190305135311221</v>
      </c>
      <c r="B3872" t="str">
        <f>"1551765191213531"</f>
        <v>1551765191213531</v>
      </c>
      <c r="C3872" t="s">
        <v>40</v>
      </c>
      <c r="D3872">
        <v>4.7067750000000004</v>
      </c>
      <c r="E3872">
        <v>0.6669891</v>
      </c>
      <c r="F3872" t="s">
        <v>76</v>
      </c>
      <c r="G3872">
        <v>-340.15309999999999</v>
      </c>
      <c r="H3872">
        <v>1.115521</v>
      </c>
      <c r="I3872">
        <v>119.0001</v>
      </c>
      <c r="J3872">
        <v>-198.27760000000001</v>
      </c>
      <c r="K3872">
        <v>1.0956840000000001</v>
      </c>
      <c r="L3872">
        <v>146.72299999999899</v>
      </c>
      <c r="M3872">
        <v>-0.65972969999999997</v>
      </c>
      <c r="N3872">
        <v>-1.6831349999999998E-2</v>
      </c>
      <c r="O3872">
        <v>-0.75131479999999995</v>
      </c>
      <c r="P3872">
        <v>-0.82872449999999998</v>
      </c>
      <c r="Q3872">
        <v>-5.7018180000000002E-2</v>
      </c>
      <c r="R3872">
        <v>-0.55674480000000004</v>
      </c>
      <c r="S3872">
        <v>-3.2230989999999999</v>
      </c>
      <c r="T3872">
        <v>4.48823E-4</v>
      </c>
      <c r="U3872">
        <v>-0.63317869999999998</v>
      </c>
      <c r="V3872">
        <v>0.2538629</v>
      </c>
      <c r="W3872">
        <v>-4.9276449999999999E-2</v>
      </c>
      <c r="X3872">
        <v>0.96598419999999896</v>
      </c>
      <c r="Y3872">
        <v>0.61001909999999904</v>
      </c>
      <c r="Z3872">
        <v>-8.9997089999999998E-3</v>
      </c>
      <c r="AA3872">
        <v>0.79233560000000003</v>
      </c>
      <c r="AB3872">
        <v>25</v>
      </c>
      <c r="AC3872">
        <v>-141.87549999999999</v>
      </c>
      <c r="AD3872">
        <v>1.9836999999999799E-2</v>
      </c>
      <c r="AE3872">
        <v>-27.7228999999999</v>
      </c>
      <c r="AF3872">
        <v>88.316029259583402</v>
      </c>
      <c r="AG3872">
        <v>1.9836999999999799E-2</v>
      </c>
      <c r="AH3872">
        <v>114.44428720328099</v>
      </c>
      <c r="AI3872">
        <v>89.992137613154199</v>
      </c>
      <c r="AJ3872">
        <v>52.342827769892097</v>
      </c>
      <c r="AK3872">
        <v>144.55869496904501</v>
      </c>
      <c r="AL3872">
        <v>92.824476431129199</v>
      </c>
      <c r="AM3872">
        <v>75.275491652713399</v>
      </c>
      <c r="AN3872">
        <v>1.0000000075853199</v>
      </c>
    </row>
    <row r="3873" spans="1:40" x14ac:dyDescent="0.25">
      <c r="A3873" t="str">
        <f>"20190305135311234"</f>
        <v>20190305135311234</v>
      </c>
      <c r="B3873" t="str">
        <f>"1551765191223292"</f>
        <v>1551765191223292</v>
      </c>
      <c r="C3873" t="s">
        <v>40</v>
      </c>
      <c r="D3873">
        <v>4.7148539999999999</v>
      </c>
      <c r="E3873">
        <v>0.64722880000000005</v>
      </c>
      <c r="F3873" t="s">
        <v>76</v>
      </c>
      <c r="G3873">
        <v>-353.04629999999997</v>
      </c>
      <c r="H3873">
        <v>1.015053</v>
      </c>
      <c r="I3873">
        <v>119.0001</v>
      </c>
      <c r="J3873">
        <v>-198.38509999999999</v>
      </c>
      <c r="K3873">
        <v>1.09565</v>
      </c>
      <c r="L3873">
        <v>146.61949999999999</v>
      </c>
      <c r="M3873">
        <v>-0.66877509999999996</v>
      </c>
      <c r="N3873">
        <v>-1.6872930000000001E-2</v>
      </c>
      <c r="O3873">
        <v>-0.74327359999999998</v>
      </c>
      <c r="P3873">
        <v>-0.8345553</v>
      </c>
      <c r="Q3873">
        <v>-5.618484E-2</v>
      </c>
      <c r="R3873">
        <v>-0.54805209999999904</v>
      </c>
      <c r="S3873">
        <v>-3.2310789999999998</v>
      </c>
      <c r="T3873">
        <v>-1.6829970000000001E-3</v>
      </c>
      <c r="U3873">
        <v>-0.57876590000000006</v>
      </c>
      <c r="V3873">
        <v>0.25233640000000002</v>
      </c>
      <c r="W3873">
        <v>-4.8367340000000002E-2</v>
      </c>
      <c r="X3873">
        <v>0.96643000000000001</v>
      </c>
      <c r="Y3873">
        <v>0.61368780000000001</v>
      </c>
      <c r="Z3873">
        <v>-8.1726999999999998E-3</v>
      </c>
      <c r="AA3873">
        <v>0.7895065</v>
      </c>
      <c r="AB3873">
        <v>25</v>
      </c>
      <c r="AC3873">
        <v>-154.66119999999901</v>
      </c>
      <c r="AD3873">
        <v>-8.0597000000000002E-2</v>
      </c>
      <c r="AE3873">
        <v>-27.619399999999899</v>
      </c>
      <c r="AF3873">
        <v>96.498108892215001</v>
      </c>
      <c r="AG3873">
        <v>-8.0597000000000002E-2</v>
      </c>
      <c r="AH3873">
        <v>123.979917850749</v>
      </c>
      <c r="AI3873">
        <v>90.029392960750101</v>
      </c>
      <c r="AJ3873">
        <v>52.105071642540103</v>
      </c>
      <c r="AK3873">
        <v>157.107961433941</v>
      </c>
      <c r="AL3873">
        <v>92.772326090859806</v>
      </c>
      <c r="AM3873">
        <v>75.366680264190805</v>
      </c>
      <c r="AN3873">
        <v>1.00000000162181</v>
      </c>
    </row>
    <row r="3874" spans="1:40" x14ac:dyDescent="0.25">
      <c r="A3874" t="str">
        <f>"20190305135311254"</f>
        <v>20190305135311254</v>
      </c>
      <c r="B3874" t="str">
        <f>"1551765191243787"</f>
        <v>1551765191243787</v>
      </c>
      <c r="C3874" t="s">
        <v>40</v>
      </c>
      <c r="D3874">
        <v>4.7413970000000001</v>
      </c>
      <c r="E3874">
        <v>0.64659509999999998</v>
      </c>
      <c r="F3874" t="s">
        <v>42</v>
      </c>
      <c r="G3874">
        <v>-228.21360000000001</v>
      </c>
      <c r="H3874" s="1">
        <v>-9.3980159999999997E-7</v>
      </c>
      <c r="I3874">
        <v>140.33459999999999</v>
      </c>
      <c r="J3874">
        <v>-198.5556</v>
      </c>
      <c r="K3874">
        <v>1.0956049999999999</v>
      </c>
      <c r="L3874">
        <v>146.46029999999999</v>
      </c>
      <c r="M3874">
        <v>-0.68277929999999998</v>
      </c>
      <c r="N3874">
        <v>-1.693354E-2</v>
      </c>
      <c r="O3874">
        <v>-0.73042859999999998</v>
      </c>
      <c r="P3874">
        <v>-0.8434874</v>
      </c>
      <c r="Q3874">
        <v>-5.5541159999999999E-2</v>
      </c>
      <c r="R3874">
        <v>-0.53426989999999996</v>
      </c>
      <c r="S3874">
        <v>-3.1509399999999999</v>
      </c>
      <c r="T3874">
        <v>-0.1157396</v>
      </c>
      <c r="U3874">
        <v>-0.66390990000000005</v>
      </c>
      <c r="V3874">
        <v>0.24989510000000001</v>
      </c>
      <c r="W3874">
        <v>-4.7602609999999997E-2</v>
      </c>
      <c r="X3874">
        <v>0.96710209999999996</v>
      </c>
      <c r="Y3874">
        <v>0.57349309999999998</v>
      </c>
      <c r="Z3874">
        <v>2.5259770000000001E-2</v>
      </c>
      <c r="AA3874">
        <v>0.81882080000000002</v>
      </c>
      <c r="AB3874">
        <v>25</v>
      </c>
      <c r="AC3874">
        <v>-29.658000000000001</v>
      </c>
      <c r="AD3874">
        <v>-1.0956059398016</v>
      </c>
      <c r="AE3874">
        <v>-6.1256999999999904</v>
      </c>
      <c r="AF3874">
        <v>17.460202407534499</v>
      </c>
      <c r="AG3874">
        <v>-1.0956059398016</v>
      </c>
      <c r="AH3874">
        <v>24.695475224711299</v>
      </c>
      <c r="AI3874">
        <v>92.074635651033205</v>
      </c>
      <c r="AJ3874">
        <v>54.7389136266953</v>
      </c>
      <c r="AK3874">
        <v>30.264261383052599</v>
      </c>
      <c r="AL3874">
        <v>92.728459704929705</v>
      </c>
      <c r="AM3874">
        <v>75.511912480567901</v>
      </c>
      <c r="AN3874">
        <v>1.0000000206536099</v>
      </c>
    </row>
    <row r="3875" spans="1:40" x14ac:dyDescent="0.25">
      <c r="A3875" t="str">
        <f>"20190305135311270"</f>
        <v>20190305135311270</v>
      </c>
      <c r="B3875" t="str">
        <f>"1551765191263308"</f>
        <v>1551765191263308</v>
      </c>
      <c r="C3875" t="s">
        <v>40</v>
      </c>
      <c r="D3875">
        <v>4.7179609999999998</v>
      </c>
      <c r="E3875">
        <v>0.64498089999999997</v>
      </c>
      <c r="F3875" t="s">
        <v>42</v>
      </c>
      <c r="G3875">
        <v>-227.49870000000001</v>
      </c>
      <c r="H3875" s="1">
        <v>-1.37526199999999E-6</v>
      </c>
      <c r="I3875">
        <v>140.8185</v>
      </c>
      <c r="J3875">
        <v>-198.6883</v>
      </c>
      <c r="K3875">
        <v>1.0955820000000001</v>
      </c>
      <c r="L3875">
        <v>146.34030000000001</v>
      </c>
      <c r="M3875">
        <v>-0.6934013</v>
      </c>
      <c r="N3875">
        <v>-1.697593E-2</v>
      </c>
      <c r="O3875">
        <v>-0.72035190000000004</v>
      </c>
      <c r="P3875">
        <v>-0.8500084</v>
      </c>
      <c r="Q3875">
        <v>-5.5530419999999997E-2</v>
      </c>
      <c r="R3875">
        <v>-0.52383449999999998</v>
      </c>
      <c r="S3875">
        <v>-3.1587830000000001</v>
      </c>
      <c r="T3875">
        <v>-0.119572</v>
      </c>
      <c r="U3875">
        <v>-0.61572269999999996</v>
      </c>
      <c r="V3875">
        <v>0.2476537</v>
      </c>
      <c r="W3875">
        <v>-4.7484270000000002E-2</v>
      </c>
      <c r="X3875">
        <v>0.96768430000000005</v>
      </c>
      <c r="Y3875">
        <v>0.57386749999999997</v>
      </c>
      <c r="Z3875">
        <v>2.637082E-2</v>
      </c>
      <c r="AA3875">
        <v>0.81852349999999996</v>
      </c>
      <c r="AB3875">
        <v>25</v>
      </c>
      <c r="AC3875">
        <v>-28.810400000000001</v>
      </c>
      <c r="AD3875">
        <v>-1.0955833752619999</v>
      </c>
      <c r="AE3875">
        <v>-5.5218000000000096</v>
      </c>
      <c r="AF3875">
        <v>16.9036609513104</v>
      </c>
      <c r="AG3875">
        <v>-1.0955833752619999</v>
      </c>
      <c r="AH3875">
        <v>23.9248840614584</v>
      </c>
      <c r="AI3875">
        <v>92.141845739649895</v>
      </c>
      <c r="AJ3875">
        <v>54.757627574562001</v>
      </c>
      <c r="AK3875">
        <v>29.314401475098101</v>
      </c>
      <c r="AL3875">
        <v>92.721671681549594</v>
      </c>
      <c r="AM3875">
        <v>75.644746674143605</v>
      </c>
      <c r="AN3875">
        <v>1.0000000077438</v>
      </c>
    </row>
    <row r="3876" spans="1:40" x14ac:dyDescent="0.25">
      <c r="A3876" t="str">
        <f>"20190305135311300"</f>
        <v>20190305135311300</v>
      </c>
      <c r="B3876" t="str">
        <f>"1551765191293563"</f>
        <v>1551765191293563</v>
      </c>
      <c r="C3876" t="s">
        <v>40</v>
      </c>
      <c r="D3876">
        <v>4.7092900000000002</v>
      </c>
      <c r="E3876">
        <v>0.64267929999999995</v>
      </c>
      <c r="F3876" t="s">
        <v>42</v>
      </c>
      <c r="G3876">
        <v>-223.38579999999999</v>
      </c>
      <c r="H3876" s="1">
        <v>-3.391406E-6</v>
      </c>
      <c r="I3876">
        <v>141.7647</v>
      </c>
      <c r="J3876">
        <v>-198.94239999999999</v>
      </c>
      <c r="K3876">
        <v>1.0955649999999999</v>
      </c>
      <c r="L3876">
        <v>146.1208</v>
      </c>
      <c r="M3876">
        <v>-0.71303289999999997</v>
      </c>
      <c r="N3876">
        <v>-1.7044529999999999E-2</v>
      </c>
      <c r="O3876">
        <v>-0.70092339999999997</v>
      </c>
      <c r="P3876">
        <v>-0.86204179999999997</v>
      </c>
      <c r="Q3876">
        <v>-5.4305329999999999E-2</v>
      </c>
      <c r="R3876">
        <v>-0.50391949999999996</v>
      </c>
      <c r="S3876">
        <v>-3.1594850000000001</v>
      </c>
      <c r="T3876">
        <v>-0.14015529999999901</v>
      </c>
      <c r="U3876">
        <v>-0.58534240000000004</v>
      </c>
      <c r="V3876">
        <v>0.24353230000000001</v>
      </c>
      <c r="W3876">
        <v>-4.6055369999999998E-2</v>
      </c>
      <c r="X3876">
        <v>0.96879870000000001</v>
      </c>
      <c r="Y3876">
        <v>0.55855949999999999</v>
      </c>
      <c r="Z3876">
        <v>3.1819790000000001E-2</v>
      </c>
      <c r="AA3876">
        <v>0.82885399999999998</v>
      </c>
      <c r="AB3876">
        <v>25</v>
      </c>
      <c r="AC3876">
        <v>-24.4434</v>
      </c>
      <c r="AD3876">
        <v>-1.0955683914059999</v>
      </c>
      <c r="AE3876">
        <v>-4.3560999999999899</v>
      </c>
      <c r="AF3876">
        <v>14.0016840753535</v>
      </c>
      <c r="AG3876">
        <v>-1.0955683914059999</v>
      </c>
      <c r="AH3876">
        <v>20.4454079545485</v>
      </c>
      <c r="AI3876">
        <v>92.531473231202398</v>
      </c>
      <c r="AJ3876">
        <v>55.595381096749897</v>
      </c>
      <c r="AK3876">
        <v>24.804478093162299</v>
      </c>
      <c r="AL3876">
        <v>92.639712068115102</v>
      </c>
      <c r="AM3876">
        <v>75.889603772068298</v>
      </c>
      <c r="AN3876">
        <v>0.99999999968540798</v>
      </c>
    </row>
    <row r="3877" spans="1:40" x14ac:dyDescent="0.25">
      <c r="A3877" t="str">
        <f>"20190305135311321"</f>
        <v>20190305135311321</v>
      </c>
      <c r="B3877" t="str">
        <f>"1551765191314059"</f>
        <v>1551765191314059</v>
      </c>
      <c r="C3877" t="s">
        <v>40</v>
      </c>
      <c r="D3877">
        <v>6.9201220000000001</v>
      </c>
      <c r="E3877">
        <v>0.64216059999999997</v>
      </c>
      <c r="F3877" t="s">
        <v>42</v>
      </c>
      <c r="G3877">
        <v>-221.76740000000001</v>
      </c>
      <c r="H3877" s="1">
        <v>-4.1553319999999999E-6</v>
      </c>
      <c r="I3877">
        <v>142.32669999999999</v>
      </c>
      <c r="J3877">
        <v>-199.13560000000001</v>
      </c>
      <c r="K3877">
        <v>1.0955619999999999</v>
      </c>
      <c r="L3877">
        <v>145.96190000000001</v>
      </c>
      <c r="M3877">
        <v>-0.72737229999999997</v>
      </c>
      <c r="N3877">
        <v>-1.7086839999999999E-2</v>
      </c>
      <c r="O3877">
        <v>-0.68603029999999998</v>
      </c>
      <c r="P3877">
        <v>-0.87087459999999906</v>
      </c>
      <c r="Q3877">
        <v>-5.4202109999999998E-2</v>
      </c>
      <c r="R3877">
        <v>-0.48850789999999999</v>
      </c>
      <c r="S3877">
        <v>-3.1631770000000001</v>
      </c>
      <c r="T3877">
        <v>-0.15182809999999999</v>
      </c>
      <c r="U3877">
        <v>-0.52580260000000001</v>
      </c>
      <c r="V3877">
        <v>0.24074300000000001</v>
      </c>
      <c r="W3877">
        <v>-4.5810440000000001E-2</v>
      </c>
      <c r="X3877">
        <v>0.96950720000000001</v>
      </c>
      <c r="Y3877">
        <v>0.55656439999999996</v>
      </c>
      <c r="Z3877">
        <v>3.4992870000000002E-2</v>
      </c>
      <c r="AA3877">
        <v>0.83006719999999901</v>
      </c>
      <c r="AB3877">
        <v>24</v>
      </c>
      <c r="AC3877">
        <v>-22.631799999999998</v>
      </c>
      <c r="AD3877">
        <v>-1.095566155332</v>
      </c>
      <c r="AE3877">
        <v>-3.6352000000000202</v>
      </c>
      <c r="AF3877">
        <v>12.8544726667647</v>
      </c>
      <c r="AG3877">
        <v>-1.095566155332</v>
      </c>
      <c r="AH3877">
        <v>18.915159346189899</v>
      </c>
      <c r="AI3877">
        <v>92.742646946762903</v>
      </c>
      <c r="AJ3877">
        <v>55.800531184668998</v>
      </c>
      <c r="AK3877">
        <v>22.895872681185701</v>
      </c>
      <c r="AL3877">
        <v>92.625663785292204</v>
      </c>
      <c r="AM3877">
        <v>76.054666901045096</v>
      </c>
      <c r="AN3877">
        <v>0.99999999965691599</v>
      </c>
    </row>
    <row r="3878" spans="1:40" x14ac:dyDescent="0.25">
      <c r="A3878" t="str">
        <f>"20190305135311344"</f>
        <v>20190305135311344</v>
      </c>
      <c r="B3878" t="str">
        <f>"1551765191333579"</f>
        <v>1551765191333579</v>
      </c>
      <c r="C3878" t="s">
        <v>40</v>
      </c>
      <c r="D3878">
        <v>4.7719860000000001</v>
      </c>
      <c r="E3878">
        <v>0.63173990000000002</v>
      </c>
      <c r="F3878" t="s">
        <v>42</v>
      </c>
      <c r="G3878">
        <v>-221.60830000000001</v>
      </c>
      <c r="H3878" s="1">
        <v>-4.2598500000000004E-6</v>
      </c>
      <c r="I3878">
        <v>142.61060000000001</v>
      </c>
      <c r="J3878">
        <v>-199.3312</v>
      </c>
      <c r="K3878">
        <v>1.0955680000000001</v>
      </c>
      <c r="L3878">
        <v>145.80779999999999</v>
      </c>
      <c r="M3878">
        <v>-0.74136979999999997</v>
      </c>
      <c r="N3878">
        <v>-1.7122020000000002E-2</v>
      </c>
      <c r="O3878">
        <v>-0.67087849999999905</v>
      </c>
      <c r="P3878">
        <v>-0.87973119999999905</v>
      </c>
      <c r="Q3878">
        <v>-5.5198829999999997E-2</v>
      </c>
      <c r="R3878">
        <v>-0.47225709999999999</v>
      </c>
      <c r="S3878">
        <v>-3.170029</v>
      </c>
      <c r="T3878">
        <v>-0.1545424</v>
      </c>
      <c r="U3878">
        <v>-0.4727325</v>
      </c>
      <c r="V3878">
        <v>0.2386683</v>
      </c>
      <c r="W3878">
        <v>-4.6693779999999997E-2</v>
      </c>
      <c r="X3878">
        <v>0.96997789999999995</v>
      </c>
      <c r="Y3878">
        <v>0.55324419999999996</v>
      </c>
      <c r="Z3878">
        <v>3.5465860000000002E-2</v>
      </c>
      <c r="AA3878">
        <v>0.8322638</v>
      </c>
      <c r="AB3878">
        <v>24</v>
      </c>
      <c r="AC3878">
        <v>-22.277100000000001</v>
      </c>
      <c r="AD3878">
        <v>-1.09557225985</v>
      </c>
      <c r="AE3878">
        <v>-3.1971999999999801</v>
      </c>
      <c r="AF3878">
        <v>12.5470278080545</v>
      </c>
      <c r="AG3878">
        <v>-1.09557225985</v>
      </c>
      <c r="AH3878">
        <v>18.6191115423577</v>
      </c>
      <c r="AI3878">
        <v>92.793581275879802</v>
      </c>
      <c r="AJ3878">
        <v>56.024798314324499</v>
      </c>
      <c r="AK3878">
        <v>22.478867854485099</v>
      </c>
      <c r="AL3878">
        <v>92.676329671993301</v>
      </c>
      <c r="AM3878">
        <v>76.1766674629677</v>
      </c>
      <c r="AN3878">
        <v>0.999999996501994</v>
      </c>
    </row>
    <row r="3879" spans="1:40" x14ac:dyDescent="0.25">
      <c r="A3879" t="str">
        <f>"20190305135311377"</f>
        <v>20190305135311377</v>
      </c>
      <c r="B3879" t="str">
        <f>"1551765191373595"</f>
        <v>1551765191373595</v>
      </c>
      <c r="C3879" t="s">
        <v>40</v>
      </c>
      <c r="D3879">
        <v>4.6522730000000001</v>
      </c>
      <c r="E3879">
        <v>0.67055489999999995</v>
      </c>
      <c r="F3879" t="s">
        <v>42</v>
      </c>
      <c r="G3879">
        <v>-252.678</v>
      </c>
      <c r="H3879" s="1">
        <v>-3.5267719999999999E-6</v>
      </c>
      <c r="I3879">
        <v>137.34219999999999</v>
      </c>
      <c r="J3879">
        <v>-199.6275</v>
      </c>
      <c r="K3879">
        <v>1.095585</v>
      </c>
      <c r="L3879">
        <v>145.5873</v>
      </c>
      <c r="M3879">
        <v>-0.76161639999999997</v>
      </c>
      <c r="N3879">
        <v>-1.7162179999999999E-2</v>
      </c>
      <c r="O3879">
        <v>-0.64780099999999996</v>
      </c>
      <c r="P3879">
        <v>-0.89277600000000001</v>
      </c>
      <c r="Q3879">
        <v>-5.6239669999999999E-2</v>
      </c>
      <c r="R3879">
        <v>-0.4469767</v>
      </c>
      <c r="S3879">
        <v>-3.1387179999999999</v>
      </c>
      <c r="T3879">
        <v>-6.4459089999999997E-2</v>
      </c>
      <c r="U3879">
        <v>-0.4980774</v>
      </c>
      <c r="V3879">
        <v>0.2364792</v>
      </c>
      <c r="W3879">
        <v>-4.760027E-2</v>
      </c>
      <c r="X3879">
        <v>0.9704699</v>
      </c>
      <c r="Y3879">
        <v>0.52033090000000004</v>
      </c>
      <c r="Z3879">
        <v>1.0025859999999999E-2</v>
      </c>
      <c r="AA3879">
        <v>0.8539059</v>
      </c>
      <c r="AB3879">
        <v>24</v>
      </c>
      <c r="AC3879">
        <v>-53.0505</v>
      </c>
      <c r="AD3879">
        <v>-1.095588526772</v>
      </c>
      <c r="AE3879">
        <v>-8.2451000000000008</v>
      </c>
      <c r="AF3879">
        <v>28.079004594065001</v>
      </c>
      <c r="AG3879">
        <v>-1.095588526772</v>
      </c>
      <c r="AH3879">
        <v>45.733003351660301</v>
      </c>
      <c r="AI3879">
        <v>91.169548420781794</v>
      </c>
      <c r="AJ3879">
        <v>58.4510389446571</v>
      </c>
      <c r="AK3879">
        <v>53.676236909609202</v>
      </c>
      <c r="AL3879">
        <v>92.728325503539807</v>
      </c>
      <c r="AM3879">
        <v>76.305342198858696</v>
      </c>
      <c r="AN3879">
        <v>1.0000000122713599</v>
      </c>
    </row>
    <row r="3880" spans="1:40" x14ac:dyDescent="0.25">
      <c r="A3880" t="str">
        <f>"20190305135311399"</f>
        <v>20190305135311399</v>
      </c>
      <c r="B3880" t="str">
        <f>"1551765191394092"</f>
        <v>1551765191394092</v>
      </c>
      <c r="C3880" t="s">
        <v>40</v>
      </c>
      <c r="D3880">
        <v>4.651446</v>
      </c>
      <c r="E3880">
        <v>0.669732199999999</v>
      </c>
      <c r="F3880" t="s">
        <v>42</v>
      </c>
      <c r="G3880">
        <v>-253.8965</v>
      </c>
      <c r="H3880" s="1">
        <v>-3.6175909999999999E-6</v>
      </c>
      <c r="I3880">
        <v>143.43799999999999</v>
      </c>
      <c r="J3880">
        <v>-199.83279999999999</v>
      </c>
      <c r="K3880">
        <v>1.0955999999999999</v>
      </c>
      <c r="L3880">
        <v>145.44229999999999</v>
      </c>
      <c r="M3880">
        <v>-0.77500530000000001</v>
      </c>
      <c r="N3880">
        <v>-1.7183130000000001E-2</v>
      </c>
      <c r="O3880">
        <v>-0.63172119999999998</v>
      </c>
      <c r="P3880">
        <v>-0.90109249999999996</v>
      </c>
      <c r="Q3880">
        <v>-5.7017499999999999E-2</v>
      </c>
      <c r="R3880">
        <v>-0.42986229999999997</v>
      </c>
      <c r="S3880">
        <v>-3.2908629999999999</v>
      </c>
      <c r="T3880">
        <v>-6.6436410000000001E-2</v>
      </c>
      <c r="U3880">
        <v>-0.13032530000000001</v>
      </c>
      <c r="V3880">
        <v>0.23463500000000001</v>
      </c>
      <c r="W3880">
        <v>-4.827497E-2</v>
      </c>
      <c r="X3880">
        <v>0.97088410000000003</v>
      </c>
      <c r="Y3880">
        <v>0.60044659999999905</v>
      </c>
      <c r="Z3880">
        <v>1.154849E-2</v>
      </c>
      <c r="AA3880">
        <v>0.79958149999999995</v>
      </c>
      <c r="AB3880">
        <v>24</v>
      </c>
      <c r="AC3880">
        <v>-54.063699999999997</v>
      </c>
      <c r="AD3880">
        <v>-1.095603617591</v>
      </c>
      <c r="AE3880">
        <v>-2.0043000000000002</v>
      </c>
      <c r="AF3880">
        <v>32.591287691424903</v>
      </c>
      <c r="AG3880">
        <v>-1.095603617591</v>
      </c>
      <c r="AH3880">
        <v>43.154485563290002</v>
      </c>
      <c r="AI3880">
        <v>91.160621861332203</v>
      </c>
      <c r="AJ3880">
        <v>52.939034901555097</v>
      </c>
      <c r="AK3880">
        <v>54.089758780237702</v>
      </c>
      <c r="AL3880">
        <v>92.767027506296799</v>
      </c>
      <c r="AM3880">
        <v>76.413748079032601</v>
      </c>
      <c r="AN3880">
        <v>0.99999999579315502</v>
      </c>
    </row>
    <row r="3881" spans="1:40" x14ac:dyDescent="0.25">
      <c r="A3881" t="str">
        <f>"20190305135311422"</f>
        <v>20190305135311422</v>
      </c>
      <c r="B3881" t="str">
        <f>"1551765191413611"</f>
        <v>1551765191413611</v>
      </c>
      <c r="C3881" t="s">
        <v>40</v>
      </c>
      <c r="D3881">
        <v>4.6942190000000004</v>
      </c>
      <c r="E3881">
        <v>0.66793619999999898</v>
      </c>
      <c r="F3881" t="s">
        <v>42</v>
      </c>
      <c r="G3881">
        <v>-254.50890000000001</v>
      </c>
      <c r="H3881" s="1">
        <v>-3.557115E-6</v>
      </c>
      <c r="I3881">
        <v>144.21350000000001</v>
      </c>
      <c r="J3881">
        <v>-200.0513</v>
      </c>
      <c r="K3881">
        <v>1.0956250000000001</v>
      </c>
      <c r="L3881">
        <v>145.29480000000001</v>
      </c>
      <c r="M3881">
        <v>-0.78869529999999999</v>
      </c>
      <c r="N3881">
        <v>-1.7200119999999999E-2</v>
      </c>
      <c r="O3881">
        <v>-0.61454379999999997</v>
      </c>
      <c r="P3881">
        <v>-0.90911529999999996</v>
      </c>
      <c r="Q3881">
        <v>-5.8654299999999999E-2</v>
      </c>
      <c r="R3881">
        <v>-0.4123945</v>
      </c>
      <c r="S3881">
        <v>-3.2898710000000002</v>
      </c>
      <c r="T3881">
        <v>-6.5922739999999994E-2</v>
      </c>
      <c r="U3881">
        <v>-7.3928830000000001E-2</v>
      </c>
      <c r="V3881">
        <v>0.23192950000000001</v>
      </c>
      <c r="W3881">
        <v>-4.9778080000000002E-2</v>
      </c>
      <c r="X3881">
        <v>0.97145809999999999</v>
      </c>
      <c r="Y3881">
        <v>0.59655930000000001</v>
      </c>
      <c r="Z3881">
        <v>1.14605E-2</v>
      </c>
      <c r="AA3881">
        <v>0.80248710000000001</v>
      </c>
      <c r="AB3881">
        <v>24</v>
      </c>
      <c r="AC3881">
        <v>-54.457599999999999</v>
      </c>
      <c r="AD3881">
        <v>-1.095628557115</v>
      </c>
      <c r="AE3881">
        <v>-1.0812999999999899</v>
      </c>
      <c r="AF3881">
        <v>32.605393751768901</v>
      </c>
      <c r="AG3881">
        <v>-1.095628557115</v>
      </c>
      <c r="AH3881">
        <v>43.603765412820998</v>
      </c>
      <c r="AI3881">
        <v>91.152813247442694</v>
      </c>
      <c r="AJ3881">
        <v>53.212125880377997</v>
      </c>
      <c r="AK3881">
        <v>54.457326980117003</v>
      </c>
      <c r="AL3881">
        <v>92.853253064086303</v>
      </c>
      <c r="AM3881">
        <v>76.5723465707201</v>
      </c>
      <c r="AN3881">
        <v>0.99999999513717297</v>
      </c>
    </row>
    <row r="3882" spans="1:40" x14ac:dyDescent="0.25">
      <c r="A3882" t="str">
        <f>"20190305135311443"</f>
        <v>20190305135311443</v>
      </c>
      <c r="B3882" t="str">
        <f>"1551765191434107"</f>
        <v>1551765191434107</v>
      </c>
      <c r="C3882" t="s">
        <v>40</v>
      </c>
      <c r="D3882">
        <v>4.6699129999999904</v>
      </c>
      <c r="E3882">
        <v>0.66530619999999996</v>
      </c>
      <c r="F3882" t="s">
        <v>42</v>
      </c>
      <c r="G3882">
        <v>-248.69990000000001</v>
      </c>
      <c r="H3882" s="1">
        <v>-1.959528E-6</v>
      </c>
      <c r="I3882">
        <v>144.95099999999999</v>
      </c>
      <c r="J3882">
        <v>-200.2552</v>
      </c>
      <c r="K3882">
        <v>1.0956549999999901</v>
      </c>
      <c r="L3882">
        <v>145.1635</v>
      </c>
      <c r="M3882">
        <v>-0.8009676</v>
      </c>
      <c r="N3882">
        <v>-1.721166E-2</v>
      </c>
      <c r="O3882">
        <v>-0.59846029999999995</v>
      </c>
      <c r="P3882">
        <v>-0.91596310000000003</v>
      </c>
      <c r="Q3882">
        <v>-5.7543490000000003E-2</v>
      </c>
      <c r="R3882">
        <v>-0.397115</v>
      </c>
      <c r="S3882">
        <v>-3.2846220000000002</v>
      </c>
      <c r="T3882">
        <v>-7.3973769999999994E-2</v>
      </c>
      <c r="U3882">
        <v>-2.3208619999999999E-2</v>
      </c>
      <c r="V3882">
        <v>0.22862650000000001</v>
      </c>
      <c r="W3882">
        <v>-4.8512020000000003E-2</v>
      </c>
      <c r="X3882">
        <v>0.97230470000000002</v>
      </c>
      <c r="Y3882">
        <v>0.59262959999999998</v>
      </c>
      <c r="Z3882">
        <v>1.362418E-2</v>
      </c>
      <c r="AA3882">
        <v>0.80535979999999996</v>
      </c>
      <c r="AB3882">
        <v>24</v>
      </c>
      <c r="AC3882">
        <v>-48.444699999999997</v>
      </c>
      <c r="AD3882">
        <v>-1.0956569595279999</v>
      </c>
      <c r="AE3882">
        <v>-0.21250000000000499</v>
      </c>
      <c r="AF3882">
        <v>28.811555981062799</v>
      </c>
      <c r="AG3882">
        <v>-1.0956569595279999</v>
      </c>
      <c r="AH3882">
        <v>38.9156686800087</v>
      </c>
      <c r="AI3882">
        <v>91.296267893567503</v>
      </c>
      <c r="AJ3882">
        <v>53.485279237999698</v>
      </c>
      <c r="AK3882">
        <v>48.432793549774601</v>
      </c>
      <c r="AL3882">
        <v>92.780625499420907</v>
      </c>
      <c r="AM3882">
        <v>76.767915959564405</v>
      </c>
      <c r="AN3882">
        <v>0.99999996111440903</v>
      </c>
    </row>
    <row r="3883" spans="1:40" x14ac:dyDescent="0.25">
      <c r="A3883" t="str">
        <f>"20190305135311466"</f>
        <v>20190305135311466</v>
      </c>
      <c r="B3883" t="str">
        <f>"1551765191463387"</f>
        <v>1551765191463387</v>
      </c>
      <c r="C3883" t="s">
        <v>40</v>
      </c>
      <c r="D3883">
        <v>4.7268990000000004</v>
      </c>
      <c r="E3883">
        <v>0.66159330000000005</v>
      </c>
      <c r="F3883" t="s">
        <v>42</v>
      </c>
      <c r="G3883">
        <v>-239.58330000000001</v>
      </c>
      <c r="H3883" s="1">
        <v>-1.6843689999999999E-6</v>
      </c>
      <c r="I3883">
        <v>145.34129999999999</v>
      </c>
      <c r="J3883">
        <v>-200.46010000000001</v>
      </c>
      <c r="K3883">
        <v>1.095699</v>
      </c>
      <c r="L3883">
        <v>145.03739999999999</v>
      </c>
      <c r="M3883">
        <v>-0.8128204</v>
      </c>
      <c r="N3883">
        <v>-1.7219620000000001E-2</v>
      </c>
      <c r="O3883">
        <v>-0.58225969999999905</v>
      </c>
      <c r="P3883">
        <v>-0.92248580000000002</v>
      </c>
      <c r="Q3883">
        <v>-5.6394329999999999E-2</v>
      </c>
      <c r="R3883">
        <v>-0.38188939999999999</v>
      </c>
      <c r="S3883">
        <v>-3.2759399999999999</v>
      </c>
      <c r="T3883">
        <v>-9.1265559999999996E-2</v>
      </c>
      <c r="U3883">
        <v>1.4816279999999999E-2</v>
      </c>
      <c r="V3883">
        <v>0.22529859999999999</v>
      </c>
      <c r="W3883">
        <v>-4.7209649999999999E-2</v>
      </c>
      <c r="X3883">
        <v>0.97314529999999999</v>
      </c>
      <c r="Y3883">
        <v>0.58565400000000001</v>
      </c>
      <c r="Z3883">
        <v>1.8047239999999999E-2</v>
      </c>
      <c r="AA3883">
        <v>0.81036030000000003</v>
      </c>
      <c r="AB3883">
        <v>24</v>
      </c>
      <c r="AC3883">
        <v>-39.123199999999997</v>
      </c>
      <c r="AD3883">
        <v>-1.095700684369</v>
      </c>
      <c r="AE3883">
        <v>0.30389999999999801</v>
      </c>
      <c r="AF3883">
        <v>23.012246127539399</v>
      </c>
      <c r="AG3883">
        <v>-1.095700684369</v>
      </c>
      <c r="AH3883">
        <v>31.6030910438541</v>
      </c>
      <c r="AI3883">
        <v>91.605439345446996</v>
      </c>
      <c r="AJ3883">
        <v>53.939225408280699</v>
      </c>
      <c r="AK3883">
        <v>39.109070499697602</v>
      </c>
      <c r="AL3883">
        <v>92.705919489689705</v>
      </c>
      <c r="AM3883">
        <v>76.964772503757203</v>
      </c>
      <c r="AN3883">
        <v>0.99999999256358596</v>
      </c>
    </row>
    <row r="3884" spans="1:40" x14ac:dyDescent="0.25">
      <c r="A3884" t="str">
        <f>"20190305135311490"</f>
        <v>20190305135311490</v>
      </c>
      <c r="B3884" t="str">
        <f>"1551765191483415"</f>
        <v>1551765191483415</v>
      </c>
      <c r="C3884" t="s">
        <v>40</v>
      </c>
      <c r="D3884">
        <v>4.72316</v>
      </c>
      <c r="E3884">
        <v>0.64233509999999905</v>
      </c>
      <c r="F3884" t="s">
        <v>42</v>
      </c>
      <c r="G3884">
        <v>-232.19319999999999</v>
      </c>
      <c r="H3884" s="1">
        <v>-4.567957E-6</v>
      </c>
      <c r="I3884">
        <v>145.46950000000001</v>
      </c>
      <c r="J3884">
        <v>-200.6953</v>
      </c>
      <c r="K3884">
        <v>1.0957680000000001</v>
      </c>
      <c r="L3884">
        <v>144.9</v>
      </c>
      <c r="M3884">
        <v>-0.82585309999999901</v>
      </c>
      <c r="N3884">
        <v>-1.7224389999999999E-2</v>
      </c>
      <c r="O3884">
        <v>-0.56362219999999996</v>
      </c>
      <c r="P3884">
        <v>-0.92921739999999997</v>
      </c>
      <c r="Q3884">
        <v>-5.3661529999999999E-2</v>
      </c>
      <c r="R3884">
        <v>-0.36561660000000001</v>
      </c>
      <c r="S3884">
        <v>-3.263611</v>
      </c>
      <c r="T3884">
        <v>-0.11268830000000001</v>
      </c>
      <c r="U3884">
        <v>4.4448849999999998E-2</v>
      </c>
      <c r="V3884">
        <v>0.22046070000000001</v>
      </c>
      <c r="W3884">
        <v>-4.4264409999999997E-2</v>
      </c>
      <c r="X3884">
        <v>0.97439089999999995</v>
      </c>
      <c r="Y3884">
        <v>0.57435230000000004</v>
      </c>
      <c r="Z3884">
        <v>2.3247279999999999E-2</v>
      </c>
      <c r="AA3884">
        <v>0.81827810000000001</v>
      </c>
      <c r="AB3884">
        <v>24</v>
      </c>
      <c r="AC3884">
        <v>-31.497899999999898</v>
      </c>
      <c r="AD3884">
        <v>-1.0957725679570001</v>
      </c>
      <c r="AE3884">
        <v>0.569500000000005</v>
      </c>
      <c r="AF3884">
        <v>18.2039185836218</v>
      </c>
      <c r="AG3884">
        <v>-1.0957725679570001</v>
      </c>
      <c r="AH3884">
        <v>25.664416979661599</v>
      </c>
      <c r="AI3884">
        <v>91.994527931011106</v>
      </c>
      <c r="AJ3884">
        <v>54.651702860884299</v>
      </c>
      <c r="AK3884">
        <v>31.484054189792001</v>
      </c>
      <c r="AL3884">
        <v>92.536992954025493</v>
      </c>
      <c r="AM3884">
        <v>77.251199896637402</v>
      </c>
      <c r="AN3884">
        <v>0.99999994211997201</v>
      </c>
    </row>
    <row r="3885" spans="1:40" x14ac:dyDescent="0.25">
      <c r="A3885" t="str">
        <f>"20190305135311513"</f>
        <v>20190305135311513</v>
      </c>
      <c r="B3885" t="str">
        <f>"1551765191503910"</f>
        <v>1551765191503910</v>
      </c>
      <c r="C3885" t="s">
        <v>40</v>
      </c>
      <c r="D3885">
        <v>4.7369209999999997</v>
      </c>
      <c r="E3885">
        <v>0.64026859999999997</v>
      </c>
      <c r="F3885" t="s">
        <v>42</v>
      </c>
      <c r="G3885">
        <v>-217.596</v>
      </c>
      <c r="H3885" s="1">
        <v>-2.4807959999999999E-6</v>
      </c>
      <c r="I3885">
        <v>144.74250000000001</v>
      </c>
      <c r="J3885">
        <v>-200.9203</v>
      </c>
      <c r="K3885">
        <v>1.0958319999999999</v>
      </c>
      <c r="L3885">
        <v>144.77510000000001</v>
      </c>
      <c r="M3885">
        <v>-0.83777219999999997</v>
      </c>
      <c r="N3885">
        <v>-1.7225500000000001E-2</v>
      </c>
      <c r="O3885">
        <v>-0.54574829999999996</v>
      </c>
      <c r="P3885">
        <v>-0.93487260000000005</v>
      </c>
      <c r="Q3885">
        <v>-4.9613850000000001E-2</v>
      </c>
      <c r="R3885">
        <v>-0.35149960000000002</v>
      </c>
      <c r="S3885">
        <v>-3.2047729999999999</v>
      </c>
      <c r="T3885">
        <v>-0.20778389999999999</v>
      </c>
      <c r="U3885">
        <v>-2.9876710000000001E-2</v>
      </c>
      <c r="V3885">
        <v>0.21454989999999999</v>
      </c>
      <c r="W3885">
        <v>-3.996711E-2</v>
      </c>
      <c r="X3885">
        <v>0.97589499999999996</v>
      </c>
      <c r="Y3885">
        <v>0.53608159999999905</v>
      </c>
      <c r="Z3885">
        <v>4.5933210000000002E-2</v>
      </c>
      <c r="AA3885">
        <v>0.84291559999999899</v>
      </c>
      <c r="AB3885">
        <v>24</v>
      </c>
      <c r="AC3885">
        <v>-16.6756999999999</v>
      </c>
      <c r="AD3885">
        <v>-1.0958344807960001</v>
      </c>
      <c r="AE3885">
        <v>-3.26000000000021E-2</v>
      </c>
      <c r="AF3885">
        <v>9.0357494078500196</v>
      </c>
      <c r="AG3885">
        <v>-1.0958344807960001</v>
      </c>
      <c r="AH3885">
        <v>13.930148153204801</v>
      </c>
      <c r="AI3885">
        <v>93.7759368797105</v>
      </c>
      <c r="AJ3885">
        <v>57.030660849958203</v>
      </c>
      <c r="AK3885">
        <v>16.640151686237701</v>
      </c>
      <c r="AL3885">
        <v>92.290556717391496</v>
      </c>
      <c r="AM3885">
        <v>77.600813818060004</v>
      </c>
      <c r="AN3885">
        <v>1.00000004024838</v>
      </c>
    </row>
    <row r="3886" spans="1:40" x14ac:dyDescent="0.25">
      <c r="A3886" t="str">
        <f>"20190305135311534"</f>
        <v>20190305135311534</v>
      </c>
      <c r="B3886" t="str">
        <f>"1551765191523433"</f>
        <v>1551765191523433</v>
      </c>
      <c r="C3886" t="s">
        <v>40</v>
      </c>
      <c r="D3886">
        <v>4.7577179999999997</v>
      </c>
      <c r="E3886">
        <v>0.63860950000000005</v>
      </c>
      <c r="F3886" t="s">
        <v>42</v>
      </c>
      <c r="G3886">
        <v>-219.30009999999999</v>
      </c>
      <c r="H3886" s="1">
        <v>-1.688409E-6</v>
      </c>
      <c r="I3886">
        <v>144.79179999999999</v>
      </c>
      <c r="J3886">
        <v>-201.1292</v>
      </c>
      <c r="K3886">
        <v>1.095893</v>
      </c>
      <c r="L3886">
        <v>144.6645</v>
      </c>
      <c r="M3886">
        <v>-0.84836840000000002</v>
      </c>
      <c r="N3886">
        <v>-1.7222689999999999E-2</v>
      </c>
      <c r="O3886">
        <v>-0.52912630000000005</v>
      </c>
      <c r="P3886">
        <v>-0.94027870000000002</v>
      </c>
      <c r="Q3886">
        <v>-4.7136999999999998E-2</v>
      </c>
      <c r="R3886">
        <v>-0.337126599999999</v>
      </c>
      <c r="S3886">
        <v>-3.1999659999999999</v>
      </c>
      <c r="T3886">
        <v>-0.19078780000000001</v>
      </c>
      <c r="U3886">
        <v>2.9144290000000001E-3</v>
      </c>
      <c r="V3886">
        <v>0.210429</v>
      </c>
      <c r="W3886">
        <v>-3.7312430000000001E-2</v>
      </c>
      <c r="X3886">
        <v>0.97689680000000001</v>
      </c>
      <c r="Y3886">
        <v>0.52839150000000001</v>
      </c>
      <c r="Z3886">
        <v>4.1041649999999999E-2</v>
      </c>
      <c r="AA3886">
        <v>0.84800830000000005</v>
      </c>
      <c r="AB3886">
        <v>24</v>
      </c>
      <c r="AC3886">
        <v>-18.1708999999999</v>
      </c>
      <c r="AD3886">
        <v>-1.095894688409</v>
      </c>
      <c r="AE3886">
        <v>0.127299999999991</v>
      </c>
      <c r="AF3886">
        <v>9.6888995239696101</v>
      </c>
      <c r="AG3886">
        <v>-1.095894688409</v>
      </c>
      <c r="AH3886">
        <v>15.2949046767816</v>
      </c>
      <c r="AI3886">
        <v>93.463790081239495</v>
      </c>
      <c r="AJ3886">
        <v>57.646871192049701</v>
      </c>
      <c r="AK3886">
        <v>18.1386291716187</v>
      </c>
      <c r="AL3886">
        <v>92.138341195775098</v>
      </c>
      <c r="AM3886">
        <v>77.8439115989991</v>
      </c>
      <c r="AN3886">
        <v>0.99999996966187199</v>
      </c>
    </row>
    <row r="3887" spans="1:40" x14ac:dyDescent="0.25">
      <c r="A3887" t="str">
        <f>"20190305135311555"</f>
        <v>20190305135311555</v>
      </c>
      <c r="B3887" t="str">
        <f>"1551765191543926"</f>
        <v>1551765191543926</v>
      </c>
      <c r="C3887" t="s">
        <v>40</v>
      </c>
      <c r="D3887">
        <v>4.7672239999999997</v>
      </c>
      <c r="E3887">
        <v>0.63695459999999904</v>
      </c>
      <c r="F3887" t="s">
        <v>42</v>
      </c>
      <c r="G3887">
        <v>-219.5701</v>
      </c>
      <c r="H3887" s="1">
        <v>-1.5874649999999999E-6</v>
      </c>
      <c r="I3887">
        <v>144.8921</v>
      </c>
      <c r="J3887">
        <v>-201.34030000000001</v>
      </c>
      <c r="K3887">
        <v>1.0959620000000001</v>
      </c>
      <c r="L3887">
        <v>144.55799999999999</v>
      </c>
      <c r="M3887">
        <v>-0.85860910000000001</v>
      </c>
      <c r="N3887">
        <v>-1.721278E-2</v>
      </c>
      <c r="O3887">
        <v>-0.51234190000000002</v>
      </c>
      <c r="P3887">
        <v>-0.94572940000000005</v>
      </c>
      <c r="Q3887">
        <v>-4.9030650000000002E-2</v>
      </c>
      <c r="R3887">
        <v>-0.32123559999999901</v>
      </c>
      <c r="S3887">
        <v>-3.19516</v>
      </c>
      <c r="T3887">
        <v>-0.1898803</v>
      </c>
      <c r="U3887">
        <v>3.9443970000000002E-2</v>
      </c>
      <c r="V3887">
        <v>0.20757610000000001</v>
      </c>
      <c r="W3887">
        <v>-3.9078469999999997E-2</v>
      </c>
      <c r="X3887">
        <v>0.97743800000000003</v>
      </c>
      <c r="Y3887">
        <v>0.52142290000000002</v>
      </c>
      <c r="Z3887">
        <v>4.011704E-2</v>
      </c>
      <c r="AA3887">
        <v>0.85235479999999997</v>
      </c>
      <c r="AB3887">
        <v>24</v>
      </c>
      <c r="AC3887">
        <v>-18.229799999999901</v>
      </c>
      <c r="AD3887">
        <v>-1.095963587465</v>
      </c>
      <c r="AE3887">
        <v>0.334100000000006</v>
      </c>
      <c r="AF3887">
        <v>9.5935151258033997</v>
      </c>
      <c r="AG3887">
        <v>-1.095963587465</v>
      </c>
      <c r="AH3887">
        <v>15.4276499547102</v>
      </c>
      <c r="AI3887">
        <v>93.452265991728794</v>
      </c>
      <c r="AJ3887">
        <v>58.125037778831498</v>
      </c>
      <c r="AK3887">
        <v>18.2002486735521</v>
      </c>
      <c r="AL3887">
        <v>92.239601664717298</v>
      </c>
      <c r="AM3887">
        <v>78.010362584405101</v>
      </c>
      <c r="AN3887">
        <v>1.0000000039763699</v>
      </c>
    </row>
    <row r="3888" spans="1:40" x14ac:dyDescent="0.25">
      <c r="A3888" t="str">
        <f>"20190305135311578"</f>
        <v>20190305135311578</v>
      </c>
      <c r="B3888" t="str">
        <f>"1551765191574182"</f>
        <v>1551765191574182</v>
      </c>
      <c r="C3888" t="s">
        <v>40</v>
      </c>
      <c r="D3888">
        <v>4.798546</v>
      </c>
      <c r="E3888">
        <v>0.62683769999999905</v>
      </c>
      <c r="F3888" t="s">
        <v>42</v>
      </c>
      <c r="G3888">
        <v>-218.52420000000001</v>
      </c>
      <c r="H3888" s="1">
        <v>-2.1092469999999999E-6</v>
      </c>
      <c r="I3888">
        <v>144.99510000000001</v>
      </c>
      <c r="J3888">
        <v>-201.56870000000001</v>
      </c>
      <c r="K3888">
        <v>1.0960719999999999</v>
      </c>
      <c r="L3888">
        <v>144.4485</v>
      </c>
      <c r="M3888">
        <v>-0.86913999999999902</v>
      </c>
      <c r="N3888">
        <v>-1.7187239999999999E-2</v>
      </c>
      <c r="O3888">
        <v>-0.49426779999999998</v>
      </c>
      <c r="P3888">
        <v>-0.95116449999999997</v>
      </c>
      <c r="Q3888">
        <v>-5.2371729999999998E-2</v>
      </c>
      <c r="R3888">
        <v>-0.30420979999999997</v>
      </c>
      <c r="S3888">
        <v>-3.1891940000000001</v>
      </c>
      <c r="T3888">
        <v>-0.20340230000000001</v>
      </c>
      <c r="U3888">
        <v>8.1130980000000005E-2</v>
      </c>
      <c r="V3888">
        <v>0.20448630000000001</v>
      </c>
      <c r="W3888">
        <v>-4.2277729999999999E-2</v>
      </c>
      <c r="X3888">
        <v>0.97795600000000005</v>
      </c>
      <c r="Y3888">
        <v>0.51450940000000001</v>
      </c>
      <c r="Z3888">
        <v>4.247857E-2</v>
      </c>
      <c r="AA3888">
        <v>0.85643189999999902</v>
      </c>
      <c r="AB3888">
        <v>24</v>
      </c>
      <c r="AC3888">
        <v>-16.955500000000001</v>
      </c>
      <c r="AD3888">
        <v>-1.0960741092470001</v>
      </c>
      <c r="AE3888">
        <v>0.54660000000001197</v>
      </c>
      <c r="AF3888">
        <v>8.8201162760676208</v>
      </c>
      <c r="AG3888">
        <v>-1.0960741092470001</v>
      </c>
      <c r="AH3888">
        <v>14.4085219936189</v>
      </c>
      <c r="AI3888">
        <v>93.712165476615297</v>
      </c>
      <c r="AJ3888">
        <v>58.527290525167899</v>
      </c>
      <c r="AK3888">
        <v>16.929304049987199</v>
      </c>
      <c r="AL3888">
        <v>92.423057704355301</v>
      </c>
      <c r="AM3888">
        <v>78.189859340841494</v>
      </c>
      <c r="AN3888">
        <v>0.99999999563882103</v>
      </c>
    </row>
    <row r="3889" spans="1:40" x14ac:dyDescent="0.25">
      <c r="A3889" t="str">
        <f>"20190305135311602"</f>
        <v>20190305135311602</v>
      </c>
      <c r="B3889" t="str">
        <f>"1551765191593234"</f>
        <v>1551765191593234</v>
      </c>
      <c r="C3889" t="s">
        <v>40</v>
      </c>
      <c r="D3889">
        <v>4.8005990000000001</v>
      </c>
      <c r="E3889">
        <v>0.62439480000000003</v>
      </c>
      <c r="F3889" t="s">
        <v>42</v>
      </c>
      <c r="G3889">
        <v>-215.26499999999999</v>
      </c>
      <c r="H3889" s="1">
        <v>-3.5796890000000001E-6</v>
      </c>
      <c r="I3889">
        <v>144.7313</v>
      </c>
      <c r="J3889">
        <v>-201.80520000000001</v>
      </c>
      <c r="K3889">
        <v>1.0962479999999999</v>
      </c>
      <c r="L3889">
        <v>144.3408</v>
      </c>
      <c r="M3889">
        <v>-0.87941650000000005</v>
      </c>
      <c r="N3889">
        <v>-1.71364E-2</v>
      </c>
      <c r="O3889">
        <v>-0.47574509999999998</v>
      </c>
      <c r="P3889">
        <v>-0.9563836</v>
      </c>
      <c r="Q3889">
        <v>-5.592925E-2</v>
      </c>
      <c r="R3889">
        <v>-0.28670959999999901</v>
      </c>
      <c r="S3889">
        <v>-3.160965</v>
      </c>
      <c r="T3889">
        <v>-0.25296279999999999</v>
      </c>
      <c r="U3889">
        <v>6.5277099999999894E-2</v>
      </c>
      <c r="V3889">
        <v>0.20151939999999999</v>
      </c>
      <c r="W3889">
        <v>-4.5687440000000003E-2</v>
      </c>
      <c r="X3889">
        <v>0.97841840000000002</v>
      </c>
      <c r="Y3889">
        <v>0.49113980000000002</v>
      </c>
      <c r="Z3889">
        <v>5.2277299999999999E-2</v>
      </c>
      <c r="AA3889">
        <v>0.86951069999999997</v>
      </c>
      <c r="AB3889">
        <v>24</v>
      </c>
      <c r="AC3889">
        <v>-13.4597999999999</v>
      </c>
      <c r="AD3889">
        <v>-1.096251579689</v>
      </c>
      <c r="AE3889">
        <v>0.39050000000000201</v>
      </c>
      <c r="AF3889">
        <v>6.70340571307662</v>
      </c>
      <c r="AG3889">
        <v>-1.096251579689</v>
      </c>
      <c r="AH3889">
        <v>11.575975524229399</v>
      </c>
      <c r="AI3889">
        <v>94.685016238077395</v>
      </c>
      <c r="AJ3889">
        <v>59.925763749378604</v>
      </c>
      <c r="AK3889">
        <v>13.421647626786999</v>
      </c>
      <c r="AL3889">
        <v>92.6186090481186</v>
      </c>
      <c r="AM3889">
        <v>78.361853963116801</v>
      </c>
      <c r="AN3889">
        <v>0.99999998810433599</v>
      </c>
    </row>
    <row r="3890" spans="1:40" x14ac:dyDescent="0.25">
      <c r="A3890" t="str">
        <f>"20190305135311624"</f>
        <v>20190305135311624</v>
      </c>
      <c r="B3890" t="str">
        <f>"1551765191613731"</f>
        <v>1551765191613731</v>
      </c>
      <c r="C3890" t="s">
        <v>40</v>
      </c>
      <c r="D3890">
        <v>4.8079619999999998</v>
      </c>
      <c r="E3890">
        <v>0.61616029999999999</v>
      </c>
      <c r="F3890" t="s">
        <v>42</v>
      </c>
      <c r="G3890">
        <v>-214.44630000000001</v>
      </c>
      <c r="H3890" s="1">
        <v>-3.9171390000000002E-6</v>
      </c>
      <c r="I3890">
        <v>144.76499999999999</v>
      </c>
      <c r="J3890">
        <v>-202.03739999999999</v>
      </c>
      <c r="K3890">
        <v>1.0965199999999999</v>
      </c>
      <c r="L3890">
        <v>144.2405</v>
      </c>
      <c r="M3890">
        <v>-0.88885230000000004</v>
      </c>
      <c r="N3890">
        <v>-1.705545E-2</v>
      </c>
      <c r="O3890">
        <v>-0.45787640000000002</v>
      </c>
      <c r="P3890">
        <v>-0.96092820000000001</v>
      </c>
      <c r="Q3890">
        <v>-5.9802269999999998E-2</v>
      </c>
      <c r="R3890">
        <v>-0.27026090000000003</v>
      </c>
      <c r="S3890">
        <v>-3.152542</v>
      </c>
      <c r="T3890">
        <v>-0.27339180000000002</v>
      </c>
      <c r="U3890">
        <v>0.1057892</v>
      </c>
      <c r="V3890">
        <v>0.1983347</v>
      </c>
      <c r="W3890">
        <v>-4.939093E-2</v>
      </c>
      <c r="X3890">
        <v>0.97888909999999996</v>
      </c>
      <c r="Y3890">
        <v>0.48432740000000002</v>
      </c>
      <c r="Z3890">
        <v>5.561783E-2</v>
      </c>
      <c r="AA3890">
        <v>0.87311719999999904</v>
      </c>
      <c r="AB3890">
        <v>24</v>
      </c>
      <c r="AC3890">
        <v>-12.408899999999999</v>
      </c>
      <c r="AD3890">
        <v>-1.096523917139</v>
      </c>
      <c r="AE3890">
        <v>0.52449999999998898</v>
      </c>
      <c r="AF3890">
        <v>6.1012824481450103</v>
      </c>
      <c r="AG3890">
        <v>-1.096523917139</v>
      </c>
      <c r="AH3890">
        <v>10.7076304128533</v>
      </c>
      <c r="AI3890">
        <v>95.0845175362643</v>
      </c>
      <c r="AJ3890">
        <v>60.325208139116597</v>
      </c>
      <c r="AK3890">
        <v>12.3726052742</v>
      </c>
      <c r="AL3890">
        <v>92.831043687978493</v>
      </c>
      <c r="AM3890">
        <v>78.546238301818704</v>
      </c>
      <c r="AN3890">
        <v>0.99999999364458203</v>
      </c>
    </row>
    <row r="3891" spans="1:40" x14ac:dyDescent="0.25">
      <c r="A3891" t="str">
        <f>"20190305135311647"</f>
        <v>20190305135311647</v>
      </c>
      <c r="B3891" t="str">
        <f>"1551765191643987"</f>
        <v>1551765191643987</v>
      </c>
      <c r="C3891" t="s">
        <v>40</v>
      </c>
      <c r="D3891">
        <v>4.8298750000000004</v>
      </c>
      <c r="E3891">
        <v>0.61223649999999996</v>
      </c>
      <c r="F3891" t="s">
        <v>42</v>
      </c>
      <c r="G3891">
        <v>-214.2912</v>
      </c>
      <c r="H3891" s="1">
        <v>-3.9506870000000004E-6</v>
      </c>
      <c r="I3891">
        <v>144.6183</v>
      </c>
      <c r="J3891">
        <v>-202.25880000000001</v>
      </c>
      <c r="K3891">
        <v>1.0968990000000001</v>
      </c>
      <c r="L3891">
        <v>144.1497</v>
      </c>
      <c r="M3891">
        <v>-0.89719020000000005</v>
      </c>
      <c r="N3891">
        <v>-1.694267E-2</v>
      </c>
      <c r="O3891">
        <v>-0.44131949999999998</v>
      </c>
      <c r="P3891">
        <v>-0.96438170000000001</v>
      </c>
      <c r="Q3891">
        <v>-6.2533130000000006E-2</v>
      </c>
      <c r="R3891">
        <v>-0.25701760000000001</v>
      </c>
      <c r="S3891">
        <v>-3.1316989999999998</v>
      </c>
      <c r="T3891">
        <v>-0.28023789999999998</v>
      </c>
      <c r="U3891">
        <v>9.6557619999999997E-2</v>
      </c>
      <c r="V3891">
        <v>0.19354009999999999</v>
      </c>
      <c r="W3891">
        <v>-5.1878550000000002E-2</v>
      </c>
      <c r="X3891">
        <v>0.97971980000000003</v>
      </c>
      <c r="Y3891">
        <v>0.46556009999999998</v>
      </c>
      <c r="Z3891">
        <v>5.5486720000000003E-2</v>
      </c>
      <c r="AA3891">
        <v>0.88327520000000004</v>
      </c>
      <c r="AB3891">
        <v>24</v>
      </c>
      <c r="AC3891">
        <v>-12.0323999999999</v>
      </c>
      <c r="AD3891">
        <v>-1.0969029506870001</v>
      </c>
      <c r="AE3891">
        <v>0.46860000000000901</v>
      </c>
      <c r="AF3891">
        <v>5.6842105366454003</v>
      </c>
      <c r="AG3891">
        <v>-1.0969029506870001</v>
      </c>
      <c r="AH3891">
        <v>10.502914763058399</v>
      </c>
      <c r="AI3891">
        <v>95.247851651259793</v>
      </c>
      <c r="AJ3891">
        <v>61.5776085190206</v>
      </c>
      <c r="AK3891">
        <v>11.9926921092892</v>
      </c>
      <c r="AL3891">
        <v>92.973756840451699</v>
      </c>
      <c r="AM3891">
        <v>78.825306149724497</v>
      </c>
      <c r="AN3891">
        <v>1.0000000203850701</v>
      </c>
    </row>
    <row r="3892" spans="1:40" x14ac:dyDescent="0.25">
      <c r="A3892" t="str">
        <f>"20190305135311668"</f>
        <v>20190305135311668</v>
      </c>
      <c r="B3892" t="str">
        <f>"1551765191663508"</f>
        <v>1551765191663508</v>
      </c>
      <c r="C3892" t="s">
        <v>40</v>
      </c>
      <c r="D3892">
        <v>4.8347150000000001</v>
      </c>
      <c r="E3892">
        <v>0.60991580000000001</v>
      </c>
      <c r="F3892" t="s">
        <v>42</v>
      </c>
      <c r="G3892">
        <v>-214.49979999999999</v>
      </c>
      <c r="H3892" s="1">
        <v>-3.8634829999999997E-6</v>
      </c>
      <c r="I3892">
        <v>144.57839999999999</v>
      </c>
      <c r="J3892">
        <v>-202.47980000000001</v>
      </c>
      <c r="K3892">
        <v>1.0973919999999999</v>
      </c>
      <c r="L3892">
        <v>144.06309999999999</v>
      </c>
      <c r="M3892">
        <v>-0.90485570000000004</v>
      </c>
      <c r="N3892">
        <v>-1.679771E-2</v>
      </c>
      <c r="O3892">
        <v>-0.42538690000000001</v>
      </c>
      <c r="P3892">
        <v>-0.96714719999999998</v>
      </c>
      <c r="Q3892">
        <v>-6.4542589999999997E-2</v>
      </c>
      <c r="R3892">
        <v>-0.2458873</v>
      </c>
      <c r="S3892">
        <v>-3.1217959999999998</v>
      </c>
      <c r="T3892">
        <v>-0.27974100000000002</v>
      </c>
      <c r="U3892">
        <v>0.1093292</v>
      </c>
      <c r="V3892">
        <v>0.1874564</v>
      </c>
      <c r="W3892">
        <v>-5.3588770000000001E-2</v>
      </c>
      <c r="X3892">
        <v>0.98080999999999996</v>
      </c>
      <c r="Y3892">
        <v>0.45366899999999899</v>
      </c>
      <c r="Z3892">
        <v>5.3954549999999997E-2</v>
      </c>
      <c r="AA3892">
        <v>0.88953549999999904</v>
      </c>
      <c r="AB3892">
        <v>24</v>
      </c>
      <c r="AC3892">
        <v>-12.0199999999999</v>
      </c>
      <c r="AD3892">
        <v>-1.0973958634829999</v>
      </c>
      <c r="AE3892">
        <v>0.51529999999999598</v>
      </c>
      <c r="AF3892">
        <v>5.5341660201835898</v>
      </c>
      <c r="AG3892">
        <v>-1.0973958634829999</v>
      </c>
      <c r="AH3892">
        <v>10.5707196412515</v>
      </c>
      <c r="AI3892">
        <v>95.254858505172706</v>
      </c>
      <c r="AJ3892">
        <v>62.366265148206402</v>
      </c>
      <c r="AK3892">
        <v>11.9821277306698</v>
      </c>
      <c r="AL3892">
        <v>93.071881962835207</v>
      </c>
      <c r="AM3892">
        <v>79.179885221918795</v>
      </c>
      <c r="AN3892">
        <v>0.99999995713553502</v>
      </c>
    </row>
    <row r="3893" spans="1:40" x14ac:dyDescent="0.25">
      <c r="A3893" t="str">
        <f>"20190305135311692"</f>
        <v>20190305135311692</v>
      </c>
      <c r="B3893" t="str">
        <f>"1551765191683536"</f>
        <v>1551765191683536</v>
      </c>
      <c r="C3893" t="s">
        <v>40</v>
      </c>
      <c r="D3893">
        <v>4.8012990000000002</v>
      </c>
      <c r="E3893">
        <v>0.59804709999999905</v>
      </c>
      <c r="F3893" t="s">
        <v>42</v>
      </c>
      <c r="G3893">
        <v>-214.78039999999999</v>
      </c>
      <c r="H3893" s="1">
        <v>-3.7535920000000001E-6</v>
      </c>
      <c r="I3893">
        <v>144.56639999999999</v>
      </c>
      <c r="J3893">
        <v>-202.72810000000001</v>
      </c>
      <c r="K3893">
        <v>1.0979909999999999</v>
      </c>
      <c r="L3893">
        <v>143.97030000000001</v>
      </c>
      <c r="M3893">
        <v>-0.91276789999999997</v>
      </c>
      <c r="N3893">
        <v>-1.661926E-2</v>
      </c>
      <c r="O3893">
        <v>-0.40814050000000002</v>
      </c>
      <c r="P3893">
        <v>-0.96976799999999996</v>
      </c>
      <c r="Q3893">
        <v>-6.479174E-2</v>
      </c>
      <c r="R3893">
        <v>-0.23527100000000001</v>
      </c>
      <c r="S3893">
        <v>-3.1157680000000001</v>
      </c>
      <c r="T3893">
        <v>-0.27797159999999999</v>
      </c>
      <c r="U3893">
        <v>0.1274719</v>
      </c>
      <c r="V3893">
        <v>0.17966219999999999</v>
      </c>
      <c r="W3893">
        <v>-5.3486300000000001E-2</v>
      </c>
      <c r="X3893">
        <v>0.98227319999999996</v>
      </c>
      <c r="Y3893">
        <v>0.44209549999999997</v>
      </c>
      <c r="Z3893">
        <v>5.201952E-2</v>
      </c>
      <c r="AA3893">
        <v>0.89545830000000004</v>
      </c>
      <c r="AB3893">
        <v>24</v>
      </c>
      <c r="AC3893">
        <v>-12.052299999999899</v>
      </c>
      <c r="AD3893">
        <v>-1.0979947535920001</v>
      </c>
      <c r="AE3893">
        <v>0.59609999999997798</v>
      </c>
      <c r="AF3893">
        <v>5.4190207026463302</v>
      </c>
      <c r="AG3893">
        <v>-1.0979947535920001</v>
      </c>
      <c r="AH3893">
        <v>10.670797429562599</v>
      </c>
      <c r="AI3893">
        <v>95.241906184037006</v>
      </c>
      <c r="AJ3893">
        <v>63.076875998200997</v>
      </c>
      <c r="AK3893">
        <v>12.0182068395158</v>
      </c>
      <c r="AL3893">
        <v>93.066002407970302</v>
      </c>
      <c r="AM3893">
        <v>79.634914701222002</v>
      </c>
      <c r="AN3893">
        <v>0.99999996491738397</v>
      </c>
    </row>
    <row r="3894" spans="1:40" x14ac:dyDescent="0.25">
      <c r="A3894" t="str">
        <f>"20190305135311715"</f>
        <v>20190305135311715</v>
      </c>
      <c r="B3894" t="str">
        <f>"1551765191704031"</f>
        <v>1551765191704031</v>
      </c>
      <c r="C3894" t="s">
        <v>40</v>
      </c>
      <c r="D3894">
        <v>4.8056890000000001</v>
      </c>
      <c r="E3894">
        <v>0.59637249999999997</v>
      </c>
      <c r="F3894" t="s">
        <v>42</v>
      </c>
      <c r="G3894">
        <v>-216.1482</v>
      </c>
      <c r="H3894" s="1">
        <v>-3.0360050000000002E-6</v>
      </c>
      <c r="I3894">
        <v>144.2569</v>
      </c>
      <c r="J3894">
        <v>-202.96940000000001</v>
      </c>
      <c r="K3894">
        <v>1.09859</v>
      </c>
      <c r="L3894">
        <v>143.88409999999999</v>
      </c>
      <c r="M3894">
        <v>-0.91977229999999999</v>
      </c>
      <c r="N3894">
        <v>-1.6443780000000002E-2</v>
      </c>
      <c r="O3894">
        <v>-0.3921077</v>
      </c>
      <c r="P3894">
        <v>-0.97176019999999996</v>
      </c>
      <c r="Q3894">
        <v>-6.4978880000000003E-2</v>
      </c>
      <c r="R3894">
        <v>-0.2268473</v>
      </c>
      <c r="S3894">
        <v>-3.092651</v>
      </c>
      <c r="T3894">
        <v>-0.25303229999999999</v>
      </c>
      <c r="U3894">
        <v>6.6040039999999994E-2</v>
      </c>
      <c r="V3894">
        <v>0.17106789999999999</v>
      </c>
      <c r="W3894">
        <v>-5.3321760000000003E-2</v>
      </c>
      <c r="X3894">
        <v>0.98381529999999995</v>
      </c>
      <c r="Y3894">
        <v>0.4092925</v>
      </c>
      <c r="Z3894">
        <v>4.4908160000000003E-2</v>
      </c>
      <c r="AA3894">
        <v>0.91129740000000004</v>
      </c>
      <c r="AB3894">
        <v>24</v>
      </c>
      <c r="AC3894">
        <v>-13.178799999999899</v>
      </c>
      <c r="AD3894">
        <v>-1.098593036005</v>
      </c>
      <c r="AE3894">
        <v>0.37280000000001201</v>
      </c>
      <c r="AF3894">
        <v>5.4731429849761097</v>
      </c>
      <c r="AG3894">
        <v>-1.098593036005</v>
      </c>
      <c r="AH3894">
        <v>11.894349554740799</v>
      </c>
      <c r="AI3894">
        <v>94.796217990948904</v>
      </c>
      <c r="AJ3894">
        <v>65.290643588891299</v>
      </c>
      <c r="AK3894">
        <v>13.139168623741501</v>
      </c>
      <c r="AL3894">
        <v>93.056561409456606</v>
      </c>
      <c r="AM3894">
        <v>80.135912272656697</v>
      </c>
      <c r="AN3894">
        <v>0.99999999050699795</v>
      </c>
    </row>
    <row r="3895" spans="1:40" x14ac:dyDescent="0.25">
      <c r="A3895" t="str">
        <f>"20190305135311736"</f>
        <v>20190305135311736</v>
      </c>
      <c r="B3895" t="str">
        <f>"1551765191723552"</f>
        <v>1551765191723552</v>
      </c>
      <c r="C3895" t="s">
        <v>40</v>
      </c>
      <c r="D3895">
        <v>4.782807</v>
      </c>
      <c r="E3895">
        <v>0.59497339999999999</v>
      </c>
      <c r="F3895" t="s">
        <v>42</v>
      </c>
      <c r="G3895">
        <v>-215.82749999999999</v>
      </c>
      <c r="H3895" s="1">
        <v>-3.178094E-6</v>
      </c>
      <c r="I3895">
        <v>144.22120000000001</v>
      </c>
      <c r="J3895">
        <v>-203.18109999999999</v>
      </c>
      <c r="K3895">
        <v>1.0991420000000001</v>
      </c>
      <c r="L3895">
        <v>143.81139999999999</v>
      </c>
      <c r="M3895">
        <v>-0.92535400000000001</v>
      </c>
      <c r="N3895">
        <v>-1.627957E-2</v>
      </c>
      <c r="O3895">
        <v>-0.37875449999999999</v>
      </c>
      <c r="P3895">
        <v>-0.97289879999999995</v>
      </c>
      <c r="Q3895">
        <v>-6.5186599999999997E-2</v>
      </c>
      <c r="R3895">
        <v>-0.22185270000000001</v>
      </c>
      <c r="S3895">
        <v>-3.088425</v>
      </c>
      <c r="T3895">
        <v>-0.26387359999999999</v>
      </c>
      <c r="U3895">
        <v>8.0978389999999997E-2</v>
      </c>
      <c r="V3895">
        <v>0.161944</v>
      </c>
      <c r="W3895">
        <v>-5.3202920000000001E-2</v>
      </c>
      <c r="X3895">
        <v>0.98536469999999998</v>
      </c>
      <c r="Y3895">
        <v>0.40034989999999998</v>
      </c>
      <c r="Z3895">
        <v>4.5777810000000002E-2</v>
      </c>
      <c r="AA3895">
        <v>0.91521819999999998</v>
      </c>
      <c r="AB3895">
        <v>24</v>
      </c>
      <c r="AC3895">
        <v>-12.6464</v>
      </c>
      <c r="AD3895">
        <v>-1.099145178094</v>
      </c>
      <c r="AE3895">
        <v>0.40980000000001798</v>
      </c>
      <c r="AF3895">
        <v>5.1310567437519099</v>
      </c>
      <c r="AG3895">
        <v>-1.099145178094</v>
      </c>
      <c r="AH3895">
        <v>11.462218916922801</v>
      </c>
      <c r="AI3895">
        <v>95.001986353615806</v>
      </c>
      <c r="AJ3895">
        <v>65.884347186766803</v>
      </c>
      <c r="AK3895">
        <v>12.6062812093651</v>
      </c>
      <c r="AL3895">
        <v>93.049742668376993</v>
      </c>
      <c r="AM3895">
        <v>80.666912871040296</v>
      </c>
      <c r="AN3895">
        <v>1.0000000009193</v>
      </c>
    </row>
    <row r="3896" spans="1:40" x14ac:dyDescent="0.25">
      <c r="A3896" t="str">
        <f>"20190305135311757"</f>
        <v>20190305135311757</v>
      </c>
      <c r="B3896" t="str">
        <f>"1551765191753808"</f>
        <v>1551765191753808</v>
      </c>
      <c r="C3896" t="s">
        <v>40</v>
      </c>
      <c r="D3896">
        <v>4.7853430000000001</v>
      </c>
      <c r="E3896">
        <v>0.59343809999999997</v>
      </c>
      <c r="F3896" t="s">
        <v>42</v>
      </c>
      <c r="G3896">
        <v>-216.30690000000001</v>
      </c>
      <c r="H3896" s="1">
        <v>-2.9383700000000001E-6</v>
      </c>
      <c r="I3896">
        <v>144.172</v>
      </c>
      <c r="J3896">
        <v>-203.4068</v>
      </c>
      <c r="K3896">
        <v>1.0997520000000001</v>
      </c>
      <c r="L3896">
        <v>143.73679999999999</v>
      </c>
      <c r="M3896">
        <v>-0.93073030000000001</v>
      </c>
      <c r="N3896">
        <v>-1.6087919999999999E-2</v>
      </c>
      <c r="O3896">
        <v>-0.36535250000000002</v>
      </c>
      <c r="P3896">
        <v>-0.97404380000000002</v>
      </c>
      <c r="Q3896">
        <v>-6.4882720000000005E-2</v>
      </c>
      <c r="R3896">
        <v>-0.21686240000000001</v>
      </c>
      <c r="S3896">
        <v>-3.0856020000000002</v>
      </c>
      <c r="T3896">
        <v>-0.2583859</v>
      </c>
      <c r="U3896">
        <v>8.4777829999999998E-2</v>
      </c>
      <c r="V3896">
        <v>0.15286029999999901</v>
      </c>
      <c r="W3896">
        <v>-5.2602570000000001E-2</v>
      </c>
      <c r="X3896">
        <v>0.98684689999999997</v>
      </c>
      <c r="Y3896">
        <v>0.3884223</v>
      </c>
      <c r="Z3896">
        <v>4.3422570000000001E-2</v>
      </c>
      <c r="AA3896">
        <v>0.92045779999999999</v>
      </c>
      <c r="AB3896">
        <v>24</v>
      </c>
      <c r="AC3896">
        <v>-12.9001</v>
      </c>
      <c r="AD3896">
        <v>-1.09975493837</v>
      </c>
      <c r="AE3896">
        <v>0.43520000000000802</v>
      </c>
      <c r="AF3896">
        <v>5.0819071398814497</v>
      </c>
      <c r="AG3896">
        <v>-1.09975493837</v>
      </c>
      <c r="AH3896">
        <v>11.763645901719199</v>
      </c>
      <c r="AI3896">
        <v>94.905203445788501</v>
      </c>
      <c r="AJ3896">
        <v>66.635605816237899</v>
      </c>
      <c r="AK3896">
        <v>12.861516473724301</v>
      </c>
      <c r="AL3896">
        <v>93.015296754434303</v>
      </c>
      <c r="AM3896">
        <v>81.1949917995546</v>
      </c>
      <c r="AN3896">
        <v>1.0000000528631501</v>
      </c>
    </row>
    <row r="3897" spans="1:40" x14ac:dyDescent="0.25">
      <c r="A3897" t="str">
        <f>"20190305135311780"</f>
        <v>20190305135311780</v>
      </c>
      <c r="B3897" t="str">
        <f>"1551765191773330"</f>
        <v>1551765191773330</v>
      </c>
      <c r="C3897" t="s">
        <v>40</v>
      </c>
      <c r="D3897">
        <v>4.7963950000000004</v>
      </c>
      <c r="E3897">
        <v>0.59222369999999902</v>
      </c>
      <c r="F3897" t="s">
        <v>42</v>
      </c>
      <c r="G3897">
        <v>-217.03460000000001</v>
      </c>
      <c r="H3897" s="1">
        <v>-2.5807589999999998E-6</v>
      </c>
      <c r="I3897">
        <v>144.1208</v>
      </c>
      <c r="J3897">
        <v>-203.64869999999999</v>
      </c>
      <c r="K3897">
        <v>1.100433</v>
      </c>
      <c r="L3897">
        <v>143.65960000000001</v>
      </c>
      <c r="M3897">
        <v>-0.93588349999999998</v>
      </c>
      <c r="N3897">
        <v>-1.5871940000000001E-2</v>
      </c>
      <c r="O3897">
        <v>-0.35195189999999998</v>
      </c>
      <c r="P3897">
        <v>-0.97550029999999999</v>
      </c>
      <c r="Q3897">
        <v>-6.5099249999999997E-2</v>
      </c>
      <c r="R3897">
        <v>-0.21014530000000001</v>
      </c>
      <c r="S3897">
        <v>-3.0827179999999998</v>
      </c>
      <c r="T3897">
        <v>-0.24877389999999999</v>
      </c>
      <c r="U3897">
        <v>8.6868290000000001E-2</v>
      </c>
      <c r="V3897">
        <v>0.1455697</v>
      </c>
      <c r="W3897">
        <v>-5.2594170000000003E-2</v>
      </c>
      <c r="X3897">
        <v>0.98794910000000002</v>
      </c>
      <c r="Y3897">
        <v>0.3760617</v>
      </c>
      <c r="Z3897">
        <v>4.039036E-2</v>
      </c>
      <c r="AA3897">
        <v>0.92571389999999998</v>
      </c>
      <c r="AB3897">
        <v>24</v>
      </c>
      <c r="AC3897">
        <v>-13.385899999999999</v>
      </c>
      <c r="AD3897">
        <v>-1.1004355807590001</v>
      </c>
      <c r="AE3897">
        <v>0.46119999999999101</v>
      </c>
      <c r="AF3897">
        <v>5.1089835216584598</v>
      </c>
      <c r="AG3897">
        <v>-1.1004355807590001</v>
      </c>
      <c r="AH3897">
        <v>12.2839610299794</v>
      </c>
      <c r="AI3897">
        <v>94.728422658753104</v>
      </c>
      <c r="AJ3897">
        <v>67.417239423676193</v>
      </c>
      <c r="AK3897">
        <v>13.349470763967799</v>
      </c>
      <c r="AL3897">
        <v>93.014814798634205</v>
      </c>
      <c r="AM3897">
        <v>81.6180456359223</v>
      </c>
      <c r="AN3897">
        <v>1.00000005423344</v>
      </c>
    </row>
    <row r="3898" spans="1:40" x14ac:dyDescent="0.25">
      <c r="A3898" t="str">
        <f>"20190305135311803"</f>
        <v>20190305135311803</v>
      </c>
      <c r="B3898" t="str">
        <f>"1551765191793281"</f>
        <v>1551765191793281</v>
      </c>
      <c r="C3898" t="s">
        <v>40</v>
      </c>
      <c r="D3898">
        <v>4.7970009999999998</v>
      </c>
      <c r="E3898">
        <v>0.59144140000000001</v>
      </c>
      <c r="F3898" t="s">
        <v>42</v>
      </c>
      <c r="G3898">
        <v>-217.26650000000001</v>
      </c>
      <c r="H3898" s="1">
        <v>-2.463552E-6</v>
      </c>
      <c r="I3898">
        <v>144.09219999999999</v>
      </c>
      <c r="J3898">
        <v>-203.88059999999999</v>
      </c>
      <c r="K3898">
        <v>1.101092</v>
      </c>
      <c r="L3898">
        <v>143.58799999999999</v>
      </c>
      <c r="M3898">
        <v>-0.94028440000000002</v>
      </c>
      <c r="N3898">
        <v>-1.5664819999999999E-2</v>
      </c>
      <c r="O3898">
        <v>-0.34002919999999998</v>
      </c>
      <c r="P3898">
        <v>-0.97672749999999997</v>
      </c>
      <c r="Q3898">
        <v>-6.5942589999999995E-2</v>
      </c>
      <c r="R3898">
        <v>-0.20409530000000001</v>
      </c>
      <c r="S3898">
        <v>-3.079834</v>
      </c>
      <c r="T3898">
        <v>-0.24887690000000001</v>
      </c>
      <c r="U3898">
        <v>9.783936E-2</v>
      </c>
      <c r="V3898">
        <v>0.13918730000000001</v>
      </c>
      <c r="W3898">
        <v>-5.3255709999999998E-2</v>
      </c>
      <c r="X3898">
        <v>0.98883299999999996</v>
      </c>
      <c r="Y3898">
        <v>0.36764449999999999</v>
      </c>
      <c r="Z3898">
        <v>3.9360329999999999E-2</v>
      </c>
      <c r="AA3898">
        <v>0.92913310000000005</v>
      </c>
      <c r="AB3898">
        <v>24</v>
      </c>
      <c r="AC3898">
        <v>-13.385899999999999</v>
      </c>
      <c r="AD3898">
        <v>-1.1010944635519999</v>
      </c>
      <c r="AE3898">
        <v>0.50419999999999698</v>
      </c>
      <c r="AF3898">
        <v>4.9925714134673402</v>
      </c>
      <c r="AG3898">
        <v>-1.1010944635519999</v>
      </c>
      <c r="AH3898">
        <v>12.333300669533299</v>
      </c>
      <c r="AI3898">
        <v>94.730726621332494</v>
      </c>
      <c r="AJ3898">
        <v>67.961692869751403</v>
      </c>
      <c r="AK3898">
        <v>13.3509731383651</v>
      </c>
      <c r="AL3898">
        <v>93.052771644577007</v>
      </c>
      <c r="AM3898">
        <v>81.987733681959099</v>
      </c>
      <c r="AN3898">
        <v>0.999999988508947</v>
      </c>
    </row>
    <row r="3899" spans="1:40" x14ac:dyDescent="0.25">
      <c r="A3899" t="str">
        <f>"20190305135311824"</f>
        <v>20190305135311824</v>
      </c>
      <c r="B3899" t="str">
        <f>"1551765191813778"</f>
        <v>1551765191813778</v>
      </c>
      <c r="C3899" t="s">
        <v>40</v>
      </c>
      <c r="D3899">
        <v>4.7936839999999998</v>
      </c>
      <c r="E3899">
        <v>0.59082119999999905</v>
      </c>
      <c r="F3899" t="s">
        <v>42</v>
      </c>
      <c r="G3899">
        <v>-217.40780000000001</v>
      </c>
      <c r="H3899" s="1">
        <v>-2.3915299999999999E-6</v>
      </c>
      <c r="I3899">
        <v>144.07259999999999</v>
      </c>
      <c r="J3899">
        <v>-204.10910000000001</v>
      </c>
      <c r="K3899">
        <v>1.1017619999999999</v>
      </c>
      <c r="L3899">
        <v>143.5196</v>
      </c>
      <c r="M3899">
        <v>-0.94414240000000005</v>
      </c>
      <c r="N3899">
        <v>-1.5464820000000001E-2</v>
      </c>
      <c r="O3899">
        <v>-0.32917479999999999</v>
      </c>
      <c r="P3899">
        <v>-0.9782786</v>
      </c>
      <c r="Q3899">
        <v>-6.6291699999999995E-2</v>
      </c>
      <c r="R3899">
        <v>-0.19640969999999999</v>
      </c>
      <c r="S3899">
        <v>-3.0776370000000002</v>
      </c>
      <c r="T3899">
        <v>-0.25051620000000002</v>
      </c>
      <c r="U3899">
        <v>0.1102448</v>
      </c>
      <c r="V3899">
        <v>0.13564189999999901</v>
      </c>
      <c r="W3899">
        <v>-5.350017E-2</v>
      </c>
      <c r="X3899">
        <v>0.98931239999999998</v>
      </c>
      <c r="Y3899">
        <v>0.360705</v>
      </c>
      <c r="Z3899">
        <v>3.8696429999999997E-2</v>
      </c>
      <c r="AA3899">
        <v>0.93187679999999995</v>
      </c>
      <c r="AB3899">
        <v>24</v>
      </c>
      <c r="AC3899">
        <v>-13.298699999999901</v>
      </c>
      <c r="AD3899">
        <v>-1.1017643915299999</v>
      </c>
      <c r="AE3899">
        <v>0.55299999999999705</v>
      </c>
      <c r="AF3899">
        <v>4.8669458209591596</v>
      </c>
      <c r="AG3899">
        <v>-1.1017643915299999</v>
      </c>
      <c r="AH3899">
        <v>12.2910953790907</v>
      </c>
      <c r="AI3899">
        <v>94.764200872881204</v>
      </c>
      <c r="AJ3899">
        <v>68.397755803554801</v>
      </c>
      <c r="AK3899">
        <v>13.265446544180101</v>
      </c>
      <c r="AL3899">
        <v>93.066798104571305</v>
      </c>
      <c r="AM3899">
        <v>82.193010170646403</v>
      </c>
      <c r="AN3899">
        <v>1.0000000090096901</v>
      </c>
    </row>
    <row r="3900" spans="1:40" x14ac:dyDescent="0.25">
      <c r="A3900" t="str">
        <f>"20190305135311846"</f>
        <v>20190305135311846</v>
      </c>
      <c r="B3900" t="str">
        <f>"1551765191844035"</f>
        <v>1551765191844035</v>
      </c>
      <c r="C3900" t="s">
        <v>40</v>
      </c>
      <c r="D3900">
        <v>4.7829110000000004</v>
      </c>
      <c r="E3900">
        <v>0.58022229999999997</v>
      </c>
      <c r="F3900" t="s">
        <v>42</v>
      </c>
      <c r="G3900">
        <v>-217.4785</v>
      </c>
      <c r="H3900" s="1">
        <v>-2.3608100000000002E-6</v>
      </c>
      <c r="I3900">
        <v>144.08269999999999</v>
      </c>
      <c r="J3900">
        <v>-204.3288</v>
      </c>
      <c r="K3900">
        <v>1.1023860000000001</v>
      </c>
      <c r="L3900">
        <v>143.4556</v>
      </c>
      <c r="M3900">
        <v>-0.94743010000000005</v>
      </c>
      <c r="N3900">
        <v>-1.5276659999999999E-2</v>
      </c>
      <c r="O3900">
        <v>-0.3195984</v>
      </c>
      <c r="P3900">
        <v>-0.97874399999999995</v>
      </c>
      <c r="Q3900">
        <v>-6.7333210000000004E-2</v>
      </c>
      <c r="R3900">
        <v>-0.19371749999999999</v>
      </c>
      <c r="S3900">
        <v>-3.0754389999999998</v>
      </c>
      <c r="T3900">
        <v>-0.25344709999999998</v>
      </c>
      <c r="U3900">
        <v>0.12951660000000001</v>
      </c>
      <c r="V3900">
        <v>0.12838840000000001</v>
      </c>
      <c r="W3900">
        <v>-5.4382159999999999E-2</v>
      </c>
      <c r="X3900">
        <v>0.9902318</v>
      </c>
      <c r="Y3900">
        <v>0.35709809999999997</v>
      </c>
      <c r="Z3900">
        <v>3.8457650000000003E-2</v>
      </c>
      <c r="AA3900">
        <v>0.93327490000000002</v>
      </c>
      <c r="AB3900">
        <v>24</v>
      </c>
      <c r="AC3900">
        <v>-13.1496999999999</v>
      </c>
      <c r="AD3900">
        <v>-1.10238836081</v>
      </c>
      <c r="AE3900">
        <v>0.627099999999984</v>
      </c>
      <c r="AF3900">
        <v>4.7639103437225803</v>
      </c>
      <c r="AG3900">
        <v>-1.10238836081</v>
      </c>
      <c r="AH3900">
        <v>12.174063838540601</v>
      </c>
      <c r="AI3900">
        <v>94.820105955612604</v>
      </c>
      <c r="AJ3900">
        <v>68.628780892634893</v>
      </c>
      <c r="AK3900">
        <v>13.1193724013742</v>
      </c>
      <c r="AL3900">
        <v>93.117406089266098</v>
      </c>
      <c r="AM3900">
        <v>82.612533180561798</v>
      </c>
      <c r="AN3900">
        <v>1.0000000091560299</v>
      </c>
    </row>
    <row r="3901" spans="1:40" x14ac:dyDescent="0.25">
      <c r="A3901" t="str">
        <f>"20190305135311869"</f>
        <v>20190305135311869</v>
      </c>
      <c r="B3901" t="str">
        <f>"1551765191863554"</f>
        <v>1551765191863554</v>
      </c>
      <c r="C3901" t="s">
        <v>40</v>
      </c>
      <c r="D3901">
        <v>4.808738</v>
      </c>
      <c r="E3901">
        <v>0.57893450000000002</v>
      </c>
      <c r="F3901" t="s">
        <v>42</v>
      </c>
      <c r="G3901">
        <v>-218.27799999999999</v>
      </c>
      <c r="H3901" s="1">
        <v>-1.880231E-6</v>
      </c>
      <c r="I3901">
        <v>143.697</v>
      </c>
      <c r="J3901">
        <v>-204.57320000000001</v>
      </c>
      <c r="K3901">
        <v>1.1030549999999999</v>
      </c>
      <c r="L3901">
        <v>143.3862</v>
      </c>
      <c r="M3901">
        <v>-0.95065049999999995</v>
      </c>
      <c r="N3901">
        <v>-1.5075730000000001E-2</v>
      </c>
      <c r="O3901">
        <v>-0.30989749999999999</v>
      </c>
      <c r="P3901">
        <v>-0.97926460000000004</v>
      </c>
      <c r="Q3901">
        <v>-6.7132670000000005E-2</v>
      </c>
      <c r="R3901">
        <v>-0.19113939999999999</v>
      </c>
      <c r="S3901">
        <v>-3.0590060000000001</v>
      </c>
      <c r="T3901">
        <v>-0.2417494</v>
      </c>
      <c r="U3901">
        <v>5.2932739999999999E-2</v>
      </c>
      <c r="V3901">
        <v>0.12096899999999999</v>
      </c>
      <c r="W3901">
        <v>-5.4046009999999998E-2</v>
      </c>
      <c r="X3901">
        <v>0.99118390000000001</v>
      </c>
      <c r="Y3901">
        <v>0.3245248</v>
      </c>
      <c r="Z3901">
        <v>3.4689980000000002E-2</v>
      </c>
      <c r="AA3901">
        <v>0.94524090000000005</v>
      </c>
      <c r="AB3901">
        <v>24</v>
      </c>
      <c r="AC3901">
        <v>-13.704799999999899</v>
      </c>
      <c r="AD3901">
        <v>-1.1030568802309999</v>
      </c>
      <c r="AE3901">
        <v>0.31080000000000002</v>
      </c>
      <c r="AF3901">
        <v>4.5138352468961003</v>
      </c>
      <c r="AG3901">
        <v>-1.1030568802309999</v>
      </c>
      <c r="AH3901">
        <v>12.850423886440399</v>
      </c>
      <c r="AI3901">
        <v>94.630120396532604</v>
      </c>
      <c r="AJ3901">
        <v>70.645683317278298</v>
      </c>
      <c r="AK3901">
        <v>13.6647296782024</v>
      </c>
      <c r="AL3901">
        <v>93.098117784421504</v>
      </c>
      <c r="AM3901">
        <v>83.041750331101895</v>
      </c>
      <c r="AN3901">
        <v>0.999999996888565</v>
      </c>
    </row>
    <row r="3902" spans="1:40" x14ac:dyDescent="0.25">
      <c r="A3902" t="str">
        <f>"20190305135311893"</f>
        <v>20190305135311893</v>
      </c>
      <c r="B3902" t="str">
        <f>"1551765191883581"</f>
        <v>1551765191883581</v>
      </c>
      <c r="C3902" t="s">
        <v>40</v>
      </c>
      <c r="D3902">
        <v>4.8015420000000004</v>
      </c>
      <c r="E3902">
        <v>0.57757099999999995</v>
      </c>
      <c r="F3902" t="s">
        <v>42</v>
      </c>
      <c r="G3902">
        <v>-218.3586</v>
      </c>
      <c r="H3902" s="1">
        <v>-1.8208819999999999E-6</v>
      </c>
      <c r="I3902">
        <v>143.61709999999999</v>
      </c>
      <c r="J3902">
        <v>-204.81620000000001</v>
      </c>
      <c r="K3902">
        <v>1.1036349999999999</v>
      </c>
      <c r="L3902">
        <v>143.31890000000001</v>
      </c>
      <c r="M3902">
        <v>-0.95351649999999999</v>
      </c>
      <c r="N3902">
        <v>-1.4891969999999999E-2</v>
      </c>
      <c r="O3902">
        <v>-0.3009732</v>
      </c>
      <c r="P3902">
        <v>-0.97988030000000004</v>
      </c>
      <c r="Q3902">
        <v>-6.4402609999999999E-2</v>
      </c>
      <c r="R3902">
        <v>-0.18890979999999999</v>
      </c>
      <c r="S3902">
        <v>-3.0567630000000001</v>
      </c>
      <c r="T3902">
        <v>-0.2445908</v>
      </c>
      <c r="U3902">
        <v>5.1177979999999998E-2</v>
      </c>
      <c r="V3902">
        <v>0.11409999999999999</v>
      </c>
      <c r="W3902">
        <v>-5.1225809999999997E-2</v>
      </c>
      <c r="X3902">
        <v>0.99214769999999997</v>
      </c>
      <c r="Y3902">
        <v>0.31512119999999999</v>
      </c>
      <c r="Z3902">
        <v>3.4182949999999997E-2</v>
      </c>
      <c r="AA3902">
        <v>0.94843560000000005</v>
      </c>
      <c r="AB3902">
        <v>24</v>
      </c>
      <c r="AC3902">
        <v>-13.542399999999899</v>
      </c>
      <c r="AD3902">
        <v>-1.103636820882</v>
      </c>
      <c r="AE3902">
        <v>0.29819999999997998</v>
      </c>
      <c r="AF3902">
        <v>4.3319644183377903</v>
      </c>
      <c r="AG3902">
        <v>-1.103636820882</v>
      </c>
      <c r="AH3902">
        <v>12.740000791566001</v>
      </c>
      <c r="AI3902">
        <v>94.6886775937095</v>
      </c>
      <c r="AJ3902">
        <v>71.220498797161198</v>
      </c>
      <c r="AK3902">
        <v>13.501538805753</v>
      </c>
      <c r="AL3902">
        <v>92.936307927631404</v>
      </c>
      <c r="AM3902">
        <v>83.439631786617397</v>
      </c>
      <c r="AN3902">
        <v>0.99999997611272196</v>
      </c>
    </row>
    <row r="3903" spans="1:40" x14ac:dyDescent="0.25">
      <c r="A3903" t="str">
        <f>"20190305135311916"</f>
        <v>20190305135311916</v>
      </c>
      <c r="B3903" t="str">
        <f>"1551765191913837"</f>
        <v>1551765191913837</v>
      </c>
      <c r="C3903" t="s">
        <v>40</v>
      </c>
      <c r="D3903">
        <v>4.8262330000000002</v>
      </c>
      <c r="E3903">
        <v>0.57601579999999997</v>
      </c>
      <c r="F3903" t="s">
        <v>42</v>
      </c>
      <c r="G3903">
        <v>-219.00810000000001</v>
      </c>
      <c r="H3903" s="1">
        <v>-1.4931749999999999E-6</v>
      </c>
      <c r="I3903">
        <v>143.5394</v>
      </c>
      <c r="J3903">
        <v>-205.0592</v>
      </c>
      <c r="K3903">
        <v>1.1041099999999999</v>
      </c>
      <c r="L3903">
        <v>143.25319999999999</v>
      </c>
      <c r="M3903">
        <v>-0.95608879999999996</v>
      </c>
      <c r="N3903">
        <v>-1.4724559999999999E-2</v>
      </c>
      <c r="O3903">
        <v>-0.2927073</v>
      </c>
      <c r="P3903">
        <v>-0.98075140000000005</v>
      </c>
      <c r="Q3903">
        <v>-6.0502899999999998E-2</v>
      </c>
      <c r="R3903">
        <v>-0.18565129999999999</v>
      </c>
      <c r="S3903">
        <v>-3.0551300000000001</v>
      </c>
      <c r="T3903">
        <v>-0.23758219999999999</v>
      </c>
      <c r="U3903">
        <v>4.7454830000000003E-2</v>
      </c>
      <c r="V3903">
        <v>0.1089893</v>
      </c>
      <c r="W3903">
        <v>-4.728711E-2</v>
      </c>
      <c r="X3903">
        <v>0.99291750000000001</v>
      </c>
      <c r="Y3903">
        <v>0.30589690000000003</v>
      </c>
      <c r="Z3903">
        <v>3.2266080000000003E-2</v>
      </c>
      <c r="AA3903">
        <v>0.95151770000000002</v>
      </c>
      <c r="AB3903">
        <v>24</v>
      </c>
      <c r="AC3903">
        <v>-13.9489</v>
      </c>
      <c r="AD3903">
        <v>-1.104111493175</v>
      </c>
      <c r="AE3903">
        <v>0.286200000000008</v>
      </c>
      <c r="AF3903">
        <v>4.3299322960806599</v>
      </c>
      <c r="AG3903">
        <v>-1.104111493175</v>
      </c>
      <c r="AH3903">
        <v>13.1715601869171</v>
      </c>
      <c r="AI3903">
        <v>94.553025588485198</v>
      </c>
      <c r="AJ3903">
        <v>71.802576600292397</v>
      </c>
      <c r="AK3903">
        <v>13.908895485824299</v>
      </c>
      <c r="AL3903">
        <v>92.7103626983005</v>
      </c>
      <c r="AM3903">
        <v>83.7359078505268</v>
      </c>
      <c r="AN3903">
        <v>0.99999995004644404</v>
      </c>
    </row>
    <row r="3904" spans="1:40" x14ac:dyDescent="0.25">
      <c r="A3904" t="str">
        <f>"20190305135311937"</f>
        <v>20190305135311937</v>
      </c>
      <c r="B3904" t="str">
        <f>"1551765191933359"</f>
        <v>1551765191933359</v>
      </c>
      <c r="C3904" t="s">
        <v>40</v>
      </c>
      <c r="D3904">
        <v>4.7885619999999998</v>
      </c>
      <c r="E3904">
        <v>0.57481729999999998</v>
      </c>
      <c r="F3904" t="s">
        <v>42</v>
      </c>
      <c r="G3904">
        <v>-219.94059999999999</v>
      </c>
      <c r="H3904" s="1">
        <v>-1.0347739999999999E-6</v>
      </c>
      <c r="I3904">
        <v>143.47309999999999</v>
      </c>
      <c r="J3904">
        <v>-205.2741</v>
      </c>
      <c r="K3904">
        <v>1.104501</v>
      </c>
      <c r="L3904">
        <v>143.19630000000001</v>
      </c>
      <c r="M3904">
        <v>-0.95813979999999999</v>
      </c>
      <c r="N3904">
        <v>-1.458597E-2</v>
      </c>
      <c r="O3904">
        <v>-0.285929299999999</v>
      </c>
      <c r="P3904">
        <v>-0.98139620000000005</v>
      </c>
      <c r="Q3904">
        <v>-5.8395259999999997E-2</v>
      </c>
      <c r="R3904">
        <v>-0.18289759999999999</v>
      </c>
      <c r="S3904">
        <v>-3.0534520000000001</v>
      </c>
      <c r="T3904">
        <v>-0.226548</v>
      </c>
      <c r="U3904">
        <v>4.5120239999999999E-2</v>
      </c>
      <c r="V3904">
        <v>0.1048491</v>
      </c>
      <c r="W3904">
        <v>-4.5161779999999999E-2</v>
      </c>
      <c r="X3904">
        <v>0.99346210000000001</v>
      </c>
      <c r="Y3904">
        <v>0.29861579999999999</v>
      </c>
      <c r="Z3904">
        <v>3.0004369999999999E-2</v>
      </c>
      <c r="AA3904">
        <v>0.95390160000000002</v>
      </c>
      <c r="AB3904">
        <v>24</v>
      </c>
      <c r="AC3904">
        <v>-14.6664999999999</v>
      </c>
      <c r="AD3904">
        <v>-1.104502034774</v>
      </c>
      <c r="AE3904">
        <v>0.27679999999998001</v>
      </c>
      <c r="AF3904">
        <v>4.4341309442633001</v>
      </c>
      <c r="AG3904">
        <v>-1.104502034774</v>
      </c>
      <c r="AH3904">
        <v>13.896116946953599</v>
      </c>
      <c r="AI3904">
        <v>94.330245510519404</v>
      </c>
      <c r="AJ3904">
        <v>72.302565850889494</v>
      </c>
      <c r="AK3904">
        <v>14.6281751486337</v>
      </c>
      <c r="AL3904">
        <v>92.588459971970195</v>
      </c>
      <c r="AM3904">
        <v>83.975357205022206</v>
      </c>
      <c r="AN3904">
        <v>0.99999993213999105</v>
      </c>
    </row>
    <row r="3905" spans="1:40" x14ac:dyDescent="0.25">
      <c r="A3905" t="str">
        <f>"20190305135311959"</f>
        <v>20190305135311959</v>
      </c>
      <c r="B3905" t="str">
        <f>"1551765191953854"</f>
        <v>1551765191953854</v>
      </c>
      <c r="C3905" t="s">
        <v>40</v>
      </c>
      <c r="D3905">
        <v>4.7834629999999896</v>
      </c>
      <c r="E3905">
        <v>0.57376070000000001</v>
      </c>
      <c r="F3905" t="s">
        <v>42</v>
      </c>
      <c r="G3905">
        <v>-220.21600000000001</v>
      </c>
      <c r="H3905" s="1">
        <v>-4.876108E-6</v>
      </c>
      <c r="I3905">
        <v>143.41370000000001</v>
      </c>
      <c r="J3905">
        <v>-205.5068</v>
      </c>
      <c r="K3905">
        <v>1.104916</v>
      </c>
      <c r="L3905">
        <v>143.13589999999999</v>
      </c>
      <c r="M3905">
        <v>-0.9601499</v>
      </c>
      <c r="N3905">
        <v>-1.4444469999999999E-2</v>
      </c>
      <c r="O3905">
        <v>-0.27911209999999997</v>
      </c>
      <c r="P3905">
        <v>-0.98185230000000001</v>
      </c>
      <c r="Q3905">
        <v>-5.7508160000000003E-2</v>
      </c>
      <c r="R3905">
        <v>-0.18071780000000001</v>
      </c>
      <c r="S3905">
        <v>-3.0517120000000002</v>
      </c>
      <c r="T3905">
        <v>-0.22558310000000001</v>
      </c>
      <c r="U3905">
        <v>4.4403079999999998E-2</v>
      </c>
      <c r="V3905">
        <v>0.1000617</v>
      </c>
      <c r="W3905">
        <v>-4.425519E-2</v>
      </c>
      <c r="X3905">
        <v>0.99399660000000001</v>
      </c>
      <c r="Y3905">
        <v>0.29165479999999999</v>
      </c>
      <c r="Z3905">
        <v>2.9212470000000001E-2</v>
      </c>
      <c r="AA3905">
        <v>0.95607750000000002</v>
      </c>
      <c r="AB3905">
        <v>24</v>
      </c>
      <c r="AC3905">
        <v>-14.7091999999999</v>
      </c>
      <c r="AD3905">
        <v>-1.104920876108</v>
      </c>
      <c r="AE3905">
        <v>0.27780000000001298</v>
      </c>
      <c r="AF3905">
        <v>4.3481749061677997</v>
      </c>
      <c r="AG3905">
        <v>-1.104920876108</v>
      </c>
      <c r="AH3905">
        <v>13.968175151721001</v>
      </c>
      <c r="AI3905">
        <v>94.319230371354706</v>
      </c>
      <c r="AJ3905">
        <v>72.709076024597906</v>
      </c>
      <c r="AK3905">
        <v>14.670971073049101</v>
      </c>
      <c r="AL3905">
        <v>92.536463886715893</v>
      </c>
      <c r="AM3905">
        <v>84.251625998239305</v>
      </c>
      <c r="AN3905">
        <v>1.00000005323019</v>
      </c>
    </row>
    <row r="3906" spans="1:40" x14ac:dyDescent="0.25">
      <c r="A3906" t="str">
        <f>"20190305135311981"</f>
        <v>20190305135311981</v>
      </c>
      <c r="B3906" t="str">
        <f>"1551765191973372"</f>
        <v>1551765191973372</v>
      </c>
      <c r="C3906" t="s">
        <v>40</v>
      </c>
      <c r="D3906">
        <v>4.7756970000000001</v>
      </c>
      <c r="E3906">
        <v>0.57295549999999995</v>
      </c>
      <c r="F3906" t="s">
        <v>42</v>
      </c>
      <c r="G3906">
        <v>-220.2946</v>
      </c>
      <c r="H3906" s="1">
        <v>-4.8373799999999999E-6</v>
      </c>
      <c r="I3906">
        <v>143.34610000000001</v>
      </c>
      <c r="J3906">
        <v>-205.7397</v>
      </c>
      <c r="K3906">
        <v>1.1053360000000001</v>
      </c>
      <c r="L3906">
        <v>143.07660000000001</v>
      </c>
      <c r="M3906">
        <v>-0.96197140000000003</v>
      </c>
      <c r="N3906">
        <v>-1.431407E-2</v>
      </c>
      <c r="O3906">
        <v>-0.27277489999999999</v>
      </c>
      <c r="P3906">
        <v>-0.98208580000000001</v>
      </c>
      <c r="Q3906">
        <v>-5.7357360000000003E-2</v>
      </c>
      <c r="R3906">
        <v>-0.1794926</v>
      </c>
      <c r="S3906">
        <v>-3.0500790000000002</v>
      </c>
      <c r="T3906">
        <v>-0.2278982</v>
      </c>
      <c r="U3906">
        <v>4.3350220000000002E-2</v>
      </c>
      <c r="V3906">
        <v>9.4794349999999999E-2</v>
      </c>
      <c r="W3906">
        <v>-4.4078470000000002E-2</v>
      </c>
      <c r="X3906">
        <v>0.99452050000000003</v>
      </c>
      <c r="Y3906">
        <v>0.285020099999999</v>
      </c>
      <c r="Z3906">
        <v>2.8905239999999999E-2</v>
      </c>
      <c r="AA3906">
        <v>0.95808559999999998</v>
      </c>
      <c r="AB3906">
        <v>24</v>
      </c>
      <c r="AC3906">
        <v>-14.5549</v>
      </c>
      <c r="AD3906">
        <v>-1.10534083738</v>
      </c>
      <c r="AE3906">
        <v>0.26949999999999302</v>
      </c>
      <c r="AF3906">
        <v>4.20564900926147</v>
      </c>
      <c r="AG3906">
        <v>-1.10534083738</v>
      </c>
      <c r="AH3906">
        <v>13.8494647755212</v>
      </c>
      <c r="AI3906">
        <v>94.367065529466799</v>
      </c>
      <c r="AJ3906">
        <v>73.108105868315405</v>
      </c>
      <c r="AK3906">
        <v>14.5160923296969</v>
      </c>
      <c r="AL3906">
        <v>92.526328941201598</v>
      </c>
      <c r="AM3906">
        <v>84.5552083117732</v>
      </c>
      <c r="AN3906">
        <v>0.99999995261485497</v>
      </c>
    </row>
    <row r="3907" spans="1:40" x14ac:dyDescent="0.25">
      <c r="A3907" t="str">
        <f>"20190305135312004"</f>
        <v>20190305135312004</v>
      </c>
      <c r="B3907" t="str">
        <f>"1551765191993402"</f>
        <v>1551765191993402</v>
      </c>
      <c r="C3907" t="s">
        <v>40</v>
      </c>
      <c r="D3907">
        <v>4.7724149999999996</v>
      </c>
      <c r="E3907">
        <v>0.57224350000000002</v>
      </c>
      <c r="F3907" t="s">
        <v>42</v>
      </c>
      <c r="G3907">
        <v>-220.5104</v>
      </c>
      <c r="H3907" s="1">
        <v>-4.7514349999999999E-6</v>
      </c>
      <c r="I3907">
        <v>143.2756</v>
      </c>
      <c r="J3907">
        <v>-205.97210000000001</v>
      </c>
      <c r="K3907">
        <v>1.1057410000000001</v>
      </c>
      <c r="L3907">
        <v>143.01840000000001</v>
      </c>
      <c r="M3907">
        <v>-0.96361920000000001</v>
      </c>
      <c r="N3907">
        <v>-1.4196200000000001E-2</v>
      </c>
      <c r="O3907">
        <v>-0.26690160000000002</v>
      </c>
      <c r="P3907">
        <v>-0.9826646</v>
      </c>
      <c r="Q3907">
        <v>-5.4448000000000003E-2</v>
      </c>
      <c r="R3907">
        <v>-0.1772174</v>
      </c>
      <c r="S3907">
        <v>-3.0489199999999999</v>
      </c>
      <c r="T3907">
        <v>-0.22816130000000001</v>
      </c>
      <c r="U3907">
        <v>4.1076660000000001E-2</v>
      </c>
      <c r="V3907">
        <v>9.1143219999999997E-2</v>
      </c>
      <c r="W3907">
        <v>-4.115796E-2</v>
      </c>
      <c r="X3907">
        <v>0.99498690000000001</v>
      </c>
      <c r="Y3907">
        <v>0.2784855</v>
      </c>
      <c r="Z3907">
        <v>2.8336030000000002E-2</v>
      </c>
      <c r="AA3907">
        <v>0.9600223</v>
      </c>
      <c r="AB3907">
        <v>24</v>
      </c>
      <c r="AC3907">
        <v>-14.5382999999999</v>
      </c>
      <c r="AD3907">
        <v>-1.105745751435</v>
      </c>
      <c r="AE3907">
        <v>0.257199999999983</v>
      </c>
      <c r="AF3907">
        <v>4.1048166753217696</v>
      </c>
      <c r="AG3907">
        <v>-1.105745751435</v>
      </c>
      <c r="AH3907">
        <v>13.861980412609901</v>
      </c>
      <c r="AI3907">
        <v>94.373769139392905</v>
      </c>
      <c r="AJ3907">
        <v>73.504898146326695</v>
      </c>
      <c r="AK3907">
        <v>14.499196342018299</v>
      </c>
      <c r="AL3907">
        <v>92.358843698145407</v>
      </c>
      <c r="AM3907">
        <v>84.766173653438102</v>
      </c>
      <c r="AN3907">
        <v>0.99999999769746994</v>
      </c>
    </row>
    <row r="3908" spans="1:40" x14ac:dyDescent="0.25">
      <c r="A3908" t="str">
        <f>"20190305135312024"</f>
        <v>20190305135312024</v>
      </c>
      <c r="B3908" t="str">
        <f>"1551765192013896"</f>
        <v>1551765192013896</v>
      </c>
      <c r="C3908" t="s">
        <v>40</v>
      </c>
      <c r="D3908">
        <v>4.7762379999999904</v>
      </c>
      <c r="E3908">
        <v>0.57136019999999998</v>
      </c>
      <c r="F3908" t="s">
        <v>42</v>
      </c>
      <c r="G3908">
        <v>-221.1788</v>
      </c>
      <c r="H3908" s="1">
        <v>-4.5161379999999996E-6</v>
      </c>
      <c r="I3908">
        <v>143.23150000000001</v>
      </c>
      <c r="J3908">
        <v>-206.18889999999999</v>
      </c>
      <c r="K3908">
        <v>1.106106</v>
      </c>
      <c r="L3908">
        <v>142.9648</v>
      </c>
      <c r="M3908">
        <v>-0.96500810000000004</v>
      </c>
      <c r="N3908">
        <v>-1.409621E-2</v>
      </c>
      <c r="O3908">
        <v>-0.2618414</v>
      </c>
      <c r="P3908">
        <v>-0.98336330000000005</v>
      </c>
      <c r="Q3908">
        <v>-5.0668009999999999E-2</v>
      </c>
      <c r="R3908">
        <v>-0.17444089999999901</v>
      </c>
      <c r="S3908">
        <v>-3.04834</v>
      </c>
      <c r="T3908">
        <v>-0.2216572</v>
      </c>
      <c r="U3908">
        <v>4.2739869999999999E-2</v>
      </c>
      <c r="V3908">
        <v>8.8850540000000006E-2</v>
      </c>
      <c r="W3908">
        <v>-3.7378420000000002E-2</v>
      </c>
      <c r="X3908">
        <v>0.99534339999999999</v>
      </c>
      <c r="Y3908">
        <v>0.27407199999999998</v>
      </c>
      <c r="Z3908">
        <v>2.7020820000000001E-2</v>
      </c>
      <c r="AA3908">
        <v>0.96132949999999995</v>
      </c>
      <c r="AB3908">
        <v>24</v>
      </c>
      <c r="AC3908">
        <v>-14.9899</v>
      </c>
      <c r="AD3908">
        <v>-1.106110516138</v>
      </c>
      <c r="AE3908">
        <v>0.26670000000001398</v>
      </c>
      <c r="AF3908">
        <v>4.1601143707305797</v>
      </c>
      <c r="AG3908">
        <v>-1.106110516138</v>
      </c>
      <c r="AH3908">
        <v>14.3190276784795</v>
      </c>
      <c r="AI3908">
        <v>94.242448379565204</v>
      </c>
      <c r="AJ3908">
        <v>73.799807135890205</v>
      </c>
      <c r="AK3908">
        <v>14.95207630092</v>
      </c>
      <c r="AL3908">
        <v>92.142124666585602</v>
      </c>
      <c r="AM3908">
        <v>84.8989430228483</v>
      </c>
      <c r="AN3908">
        <v>1.0000000243317699</v>
      </c>
    </row>
    <row r="3909" spans="1:40" x14ac:dyDescent="0.25">
      <c r="A3909" t="str">
        <f>"20190305135312049"</f>
        <v>20190305135312049</v>
      </c>
      <c r="B3909" t="str">
        <f>"1551765192044152"</f>
        <v>1551765192044152</v>
      </c>
      <c r="C3909" t="s">
        <v>40</v>
      </c>
      <c r="D3909">
        <v>4.7222359999999997</v>
      </c>
      <c r="E3909">
        <v>0.57038580000000005</v>
      </c>
      <c r="F3909" t="s">
        <v>42</v>
      </c>
      <c r="G3909">
        <v>-221.85910000000001</v>
      </c>
      <c r="H3909" s="1">
        <v>-4.277896E-6</v>
      </c>
      <c r="I3909">
        <v>143.1935</v>
      </c>
      <c r="J3909">
        <v>-206.4265</v>
      </c>
      <c r="K3909">
        <v>1.10644599999999</v>
      </c>
      <c r="L3909">
        <v>142.90700000000001</v>
      </c>
      <c r="M3909">
        <v>-0.96636359999999999</v>
      </c>
      <c r="N3909">
        <v>-1.3996049999999999E-2</v>
      </c>
      <c r="O3909">
        <v>-0.25679930000000001</v>
      </c>
      <c r="P3909">
        <v>-0.98406020000000005</v>
      </c>
      <c r="Q3909">
        <v>-4.8371200000000003E-2</v>
      </c>
      <c r="R3909">
        <v>-0.1711309</v>
      </c>
      <c r="S3909">
        <v>-3.047577</v>
      </c>
      <c r="T3909">
        <v>-0.21512000000000001</v>
      </c>
      <c r="U3909">
        <v>4.4479369999999997E-2</v>
      </c>
      <c r="V3909">
        <v>8.7080270000000001E-2</v>
      </c>
      <c r="W3909">
        <v>-3.5091310000000001E-2</v>
      </c>
      <c r="X3909">
        <v>0.99558310000000005</v>
      </c>
      <c r="Y3909">
        <v>0.2696981</v>
      </c>
      <c r="Z3909">
        <v>2.573427E-2</v>
      </c>
      <c r="AA3909">
        <v>0.96260100000000004</v>
      </c>
      <c r="AB3909">
        <v>24</v>
      </c>
      <c r="AC3909">
        <v>-15.432600000000001</v>
      </c>
      <c r="AD3909">
        <v>-1.1064502778959999</v>
      </c>
      <c r="AE3909">
        <v>0.28649999999998899</v>
      </c>
      <c r="AF3909">
        <v>4.21868091801523</v>
      </c>
      <c r="AG3909">
        <v>-1.1064502778959999</v>
      </c>
      <c r="AH3909">
        <v>14.7655083064337</v>
      </c>
      <c r="AI3909">
        <v>94.121133305414503</v>
      </c>
      <c r="AJ3909">
        <v>74.054732320621198</v>
      </c>
      <c r="AK3909">
        <v>15.3961597956388</v>
      </c>
      <c r="AL3909">
        <v>92.010996745315396</v>
      </c>
      <c r="AM3909">
        <v>85.001254476709207</v>
      </c>
      <c r="AN3909">
        <v>1.00000004123319</v>
      </c>
    </row>
    <row r="3910" spans="1:40" x14ac:dyDescent="0.25">
      <c r="A3910" t="str">
        <f>"20190305135312070"</f>
        <v>20190305135312070</v>
      </c>
      <c r="B3910" t="str">
        <f>"1551765192063672"</f>
        <v>1551765192063672</v>
      </c>
      <c r="C3910" t="s">
        <v>40</v>
      </c>
      <c r="D3910">
        <v>4.64405</v>
      </c>
      <c r="E3910">
        <v>0.55226299999999995</v>
      </c>
      <c r="F3910" t="s">
        <v>42</v>
      </c>
      <c r="G3910">
        <v>-222.3492</v>
      </c>
      <c r="H3910" s="1">
        <v>-4.1040790000000003E-6</v>
      </c>
      <c r="I3910">
        <v>143.15389999999999</v>
      </c>
      <c r="J3910">
        <v>-206.6568</v>
      </c>
      <c r="K3910">
        <v>1.1067400000000001</v>
      </c>
      <c r="L3910">
        <v>142.85149999999999</v>
      </c>
      <c r="M3910">
        <v>-0.96753469999999997</v>
      </c>
      <c r="N3910">
        <v>-1.3907620000000001E-2</v>
      </c>
      <c r="O3910">
        <v>-0.2523551</v>
      </c>
      <c r="P3910">
        <v>-0.98438729999999997</v>
      </c>
      <c r="Q3910">
        <v>-4.9355160000000002E-2</v>
      </c>
      <c r="R3910">
        <v>-0.16895460000000001</v>
      </c>
      <c r="S3910">
        <v>-3.0463870000000002</v>
      </c>
      <c r="T3910">
        <v>-0.21168909999999999</v>
      </c>
      <c r="U3910">
        <v>4.7256470000000002E-2</v>
      </c>
      <c r="V3910">
        <v>8.4712499999999996E-2</v>
      </c>
      <c r="W3910">
        <v>-3.608219E-2</v>
      </c>
      <c r="X3910">
        <v>0.99575190000000002</v>
      </c>
      <c r="Y3910">
        <v>0.26620870000000002</v>
      </c>
      <c r="Z3910">
        <v>2.4936170000000001E-2</v>
      </c>
      <c r="AA3910">
        <v>0.96359280000000003</v>
      </c>
      <c r="AB3910">
        <v>24</v>
      </c>
      <c r="AC3910">
        <v>-15.6923999999999</v>
      </c>
      <c r="AD3910">
        <v>-1.106744104079</v>
      </c>
      <c r="AE3910">
        <v>0.302400000000005</v>
      </c>
      <c r="AF3910">
        <v>4.2320085071142097</v>
      </c>
      <c r="AG3910">
        <v>-1.106744104079</v>
      </c>
      <c r="AH3910">
        <v>15.0333413929191</v>
      </c>
      <c r="AI3910">
        <v>94.053484585490494</v>
      </c>
      <c r="AJ3910">
        <v>74.277655054647695</v>
      </c>
      <c r="AK3910">
        <v>15.6568238143072</v>
      </c>
      <c r="AL3910">
        <v>92.067806078378595</v>
      </c>
      <c r="AM3910">
        <v>85.137333182355505</v>
      </c>
      <c r="AN3910">
        <v>0.99999998922252797</v>
      </c>
    </row>
    <row r="3911" spans="1:40" x14ac:dyDescent="0.25">
      <c r="A3911" t="str">
        <f>"20190305135312093"</f>
        <v>20190305135312093</v>
      </c>
      <c r="B3911" t="str">
        <f>"1551765192083702"</f>
        <v>1551765192083702</v>
      </c>
      <c r="C3911" t="s">
        <v>40</v>
      </c>
      <c r="D3911">
        <v>4.7568760000000001</v>
      </c>
      <c r="E3911">
        <v>0.54641450000000003</v>
      </c>
      <c r="F3911" t="s">
        <v>42</v>
      </c>
      <c r="G3911">
        <v>-235.8434</v>
      </c>
      <c r="H3911" s="1">
        <v>-2.375288E-6</v>
      </c>
      <c r="I3911">
        <v>141.90809999999999</v>
      </c>
      <c r="J3911">
        <v>-206.8955</v>
      </c>
      <c r="K3911">
        <v>1.1069770000000001</v>
      </c>
      <c r="L3911">
        <v>142.79480000000001</v>
      </c>
      <c r="M3911">
        <v>-0.96863140000000003</v>
      </c>
      <c r="N3911">
        <v>-1.3825830000000001E-2</v>
      </c>
      <c r="O3911">
        <v>-0.24811739999999999</v>
      </c>
      <c r="P3911">
        <v>-0.98471350000000002</v>
      </c>
      <c r="Q3911">
        <v>-5.150648E-2</v>
      </c>
      <c r="R3911">
        <v>-0.1663936</v>
      </c>
      <c r="S3911">
        <v>-3.0250699999999999</v>
      </c>
      <c r="T3911">
        <v>-0.1147093</v>
      </c>
      <c r="U3911">
        <v>-9.7778320000000002E-2</v>
      </c>
      <c r="V3911">
        <v>8.2925319999999997E-2</v>
      </c>
      <c r="W3911">
        <v>-3.8251680000000003E-2</v>
      </c>
      <c r="X3911">
        <v>0.99582139999999997</v>
      </c>
      <c r="Y3911">
        <v>0.2164364</v>
      </c>
      <c r="Z3911">
        <v>1.14574E-2</v>
      </c>
      <c r="AA3911">
        <v>0.97622949999999997</v>
      </c>
      <c r="AB3911">
        <v>24</v>
      </c>
      <c r="AC3911">
        <v>-28.947900000000001</v>
      </c>
      <c r="AD3911">
        <v>-1.1069793752879999</v>
      </c>
      <c r="AE3911">
        <v>-0.88670000000001803</v>
      </c>
      <c r="AF3911">
        <v>6.314970201095</v>
      </c>
      <c r="AG3911">
        <v>-1.1069793752879999</v>
      </c>
      <c r="AH3911">
        <v>28.2213191812342</v>
      </c>
      <c r="AI3911">
        <v>92.1921158315768</v>
      </c>
      <c r="AJ3911">
        <v>77.386933305210704</v>
      </c>
      <c r="AK3911">
        <v>28.9404061531128</v>
      </c>
      <c r="AL3911">
        <v>92.192194578745898</v>
      </c>
      <c r="AM3911">
        <v>85.239775071838594</v>
      </c>
      <c r="AN3911">
        <v>1.00000003020894</v>
      </c>
    </row>
    <row r="3912" spans="1:40" x14ac:dyDescent="0.25">
      <c r="A3912" t="str">
        <f>"20190305135312116"</f>
        <v>20190305135312116</v>
      </c>
      <c r="B3912" t="str">
        <f>"1551765192113955"</f>
        <v>1551765192113955</v>
      </c>
      <c r="C3912" t="s">
        <v>40</v>
      </c>
      <c r="D3912">
        <v>4.5534030000000003</v>
      </c>
      <c r="E3912">
        <v>0.54292580000000001</v>
      </c>
      <c r="F3912" t="s">
        <v>42</v>
      </c>
      <c r="G3912">
        <v>-237.1114</v>
      </c>
      <c r="H3912" s="1">
        <v>-1.702408E-6</v>
      </c>
      <c r="I3912">
        <v>141.42359999999999</v>
      </c>
      <c r="J3912">
        <v>-207.1328</v>
      </c>
      <c r="K3912">
        <v>1.107164</v>
      </c>
      <c r="L3912">
        <v>142.739</v>
      </c>
      <c r="M3912">
        <v>-0.96961419999999998</v>
      </c>
      <c r="N3912">
        <v>-1.375348E-2</v>
      </c>
      <c r="O3912">
        <v>-0.24425279999999999</v>
      </c>
      <c r="P3912">
        <v>-0.98521210000000004</v>
      </c>
      <c r="Q3912">
        <v>-5.2664019999999999E-2</v>
      </c>
      <c r="R3912">
        <v>-0.16304489999999999</v>
      </c>
      <c r="S3912">
        <v>-3.0176699999999999</v>
      </c>
      <c r="T3912">
        <v>-0.11055420000000001</v>
      </c>
      <c r="U3912">
        <v>-0.13693239999999901</v>
      </c>
      <c r="V3912">
        <v>8.2337350000000004E-2</v>
      </c>
      <c r="W3912">
        <v>-3.9435579999999998E-2</v>
      </c>
      <c r="X3912">
        <v>0.99582400000000004</v>
      </c>
      <c r="Y3912">
        <v>0.1998238</v>
      </c>
      <c r="Z3912">
        <v>1.0504879999999999E-2</v>
      </c>
      <c r="AA3912">
        <v>0.97977550000000002</v>
      </c>
      <c r="AB3912">
        <v>24</v>
      </c>
      <c r="AC3912">
        <v>-29.9786</v>
      </c>
      <c r="AD3912">
        <v>-1.1071657024079999</v>
      </c>
      <c r="AE3912">
        <v>-1.3154000000000099</v>
      </c>
      <c r="AF3912">
        <v>6.0392760826907299</v>
      </c>
      <c r="AG3912">
        <v>-1.1071657024079999</v>
      </c>
      <c r="AH3912">
        <v>29.3517843567307</v>
      </c>
      <c r="AI3912">
        <v>92.115921585443701</v>
      </c>
      <c r="AJ3912">
        <v>78.373366823475095</v>
      </c>
      <c r="AK3912">
        <v>29.987095831700099</v>
      </c>
      <c r="AL3912">
        <v>92.260078305304404</v>
      </c>
      <c r="AM3912">
        <v>85.273385579571396</v>
      </c>
      <c r="AN3912">
        <v>1.0000000215754701</v>
      </c>
    </row>
    <row r="3913" spans="1:40" x14ac:dyDescent="0.25">
      <c r="A3913" t="str">
        <f>"20190305135312138"</f>
        <v>20190305135312138</v>
      </c>
      <c r="B3913" t="str">
        <f>"1551765192133475"</f>
        <v>1551765192133475</v>
      </c>
      <c r="C3913" t="s">
        <v>40</v>
      </c>
      <c r="D3913">
        <v>4.5469520000000001</v>
      </c>
      <c r="E3913">
        <v>0.54227599999999998</v>
      </c>
      <c r="F3913" t="s">
        <v>42</v>
      </c>
      <c r="G3913">
        <v>-236.6541</v>
      </c>
      <c r="H3913" s="1">
        <v>-1.8462819999999999E-6</v>
      </c>
      <c r="I3913">
        <v>141.22710000000001</v>
      </c>
      <c r="J3913">
        <v>-207.34989999999999</v>
      </c>
      <c r="K3913">
        <v>1.107332</v>
      </c>
      <c r="L3913">
        <v>142.6885</v>
      </c>
      <c r="M3913">
        <v>-0.9704216</v>
      </c>
      <c r="N3913">
        <v>-1.369341E-2</v>
      </c>
      <c r="O3913">
        <v>-0.24102779999999999</v>
      </c>
      <c r="P3913">
        <v>-0.98557059999999996</v>
      </c>
      <c r="Q3913">
        <v>-5.317537E-2</v>
      </c>
      <c r="R3913">
        <v>-0.16069539999999999</v>
      </c>
      <c r="S3913">
        <v>-3.0134430000000001</v>
      </c>
      <c r="T3913">
        <v>-0.11301600000000001</v>
      </c>
      <c r="U3913">
        <v>-0.154327399999999</v>
      </c>
      <c r="V3913">
        <v>8.1409309999999999E-2</v>
      </c>
      <c r="W3913">
        <v>-3.9964300000000001E-2</v>
      </c>
      <c r="X3913">
        <v>0.99587919999999996</v>
      </c>
      <c r="Y3913">
        <v>0.1908502</v>
      </c>
      <c r="Z3913">
        <v>1.0504869999999999E-2</v>
      </c>
      <c r="AA3913">
        <v>0.98156299999999996</v>
      </c>
      <c r="AB3913">
        <v>24</v>
      </c>
      <c r="AC3913">
        <v>-29.304200000000002</v>
      </c>
      <c r="AD3913">
        <v>-1.1073338462819999</v>
      </c>
      <c r="AE3913">
        <v>-1.46139999999999</v>
      </c>
      <c r="AF3913">
        <v>5.6374523287765399</v>
      </c>
      <c r="AG3913">
        <v>-1.1073338462819999</v>
      </c>
      <c r="AH3913">
        <v>28.7514140869716</v>
      </c>
      <c r="AI3913">
        <v>92.164429540050904</v>
      </c>
      <c r="AJ3913">
        <v>78.906430212832603</v>
      </c>
      <c r="AK3913">
        <v>29.3198033589392</v>
      </c>
      <c r="AL3913">
        <v>92.290395677440401</v>
      </c>
      <c r="AM3913">
        <v>85.3266807237395</v>
      </c>
      <c r="AN3913">
        <v>1.0000000010109</v>
      </c>
    </row>
    <row r="3914" spans="1:40" x14ac:dyDescent="0.25">
      <c r="A3914" t="str">
        <f>"20190305135312159"</f>
        <v>20190305135312159</v>
      </c>
      <c r="B3914" t="str">
        <f>"1551765192153971"</f>
        <v>1551765192153971</v>
      </c>
      <c r="C3914" t="s">
        <v>40</v>
      </c>
      <c r="D3914">
        <v>4.5232449999999904</v>
      </c>
      <c r="E3914">
        <v>0.54205579999999998</v>
      </c>
      <c r="F3914" t="s">
        <v>42</v>
      </c>
      <c r="G3914">
        <v>-237.14340000000001</v>
      </c>
      <c r="H3914" s="1">
        <v>-1.6237100000000001E-6</v>
      </c>
      <c r="I3914">
        <v>141.17949999999999</v>
      </c>
      <c r="J3914">
        <v>-207.57980000000001</v>
      </c>
      <c r="K3914">
        <v>1.107524</v>
      </c>
      <c r="L3914">
        <v>142.63550000000001</v>
      </c>
      <c r="M3914">
        <v>-0.97118819999999995</v>
      </c>
      <c r="N3914">
        <v>-1.363527E-2</v>
      </c>
      <c r="O3914">
        <v>-0.23792340000000001</v>
      </c>
      <c r="P3914">
        <v>-0.98567689999999997</v>
      </c>
      <c r="Q3914">
        <v>-5.4907860000000003E-2</v>
      </c>
      <c r="R3914">
        <v>-0.1594566</v>
      </c>
      <c r="S3914">
        <v>-3.0130159999999999</v>
      </c>
      <c r="T3914">
        <v>-0.1119844</v>
      </c>
      <c r="U3914">
        <v>-0.15260309999999999</v>
      </c>
      <c r="V3914">
        <v>7.9466300000000004E-2</v>
      </c>
      <c r="W3914">
        <v>-4.1704060000000001E-2</v>
      </c>
      <c r="X3914">
        <v>0.99596479999999998</v>
      </c>
      <c r="Y3914">
        <v>0.1882713</v>
      </c>
      <c r="Z3914">
        <v>1.0266839999999999E-2</v>
      </c>
      <c r="AA3914">
        <v>0.98206340000000003</v>
      </c>
      <c r="AB3914">
        <v>24</v>
      </c>
      <c r="AC3914">
        <v>-29.563600000000001</v>
      </c>
      <c r="AD3914">
        <v>-1.10752562371</v>
      </c>
      <c r="AE3914">
        <v>-1.45600000000001</v>
      </c>
      <c r="AF3914">
        <v>5.6124870323618898</v>
      </c>
      <c r="AG3914">
        <v>-1.10752562371</v>
      </c>
      <c r="AH3914">
        <v>29.0203081751892</v>
      </c>
      <c r="AI3914">
        <v>92.145840907832607</v>
      </c>
      <c r="AJ3914">
        <v>79.054209754815304</v>
      </c>
      <c r="AK3914">
        <v>29.578791562174398</v>
      </c>
      <c r="AL3914">
        <v>92.390159802205403</v>
      </c>
      <c r="AM3914">
        <v>85.438133510656698</v>
      </c>
      <c r="AN3914">
        <v>1.0000000021476001</v>
      </c>
    </row>
    <row r="3915" spans="1:40" x14ac:dyDescent="0.25">
      <c r="A3915" t="str">
        <f>"20190305135312182"</f>
        <v>20190305135312182</v>
      </c>
      <c r="B3915" t="str">
        <f>"1551765192173494"</f>
        <v>1551765192173494</v>
      </c>
      <c r="C3915" t="s">
        <v>40</v>
      </c>
      <c r="D3915">
        <v>4.5350330000000003</v>
      </c>
      <c r="E3915">
        <v>0.54169429999999996</v>
      </c>
      <c r="F3915" t="s">
        <v>42</v>
      </c>
      <c r="G3915">
        <v>-236.346</v>
      </c>
      <c r="H3915" s="1">
        <v>-1.9705769999999998E-6</v>
      </c>
      <c r="I3915">
        <v>141.19739999999999</v>
      </c>
      <c r="J3915">
        <v>-207.8192</v>
      </c>
      <c r="K3915">
        <v>1.107742</v>
      </c>
      <c r="L3915">
        <v>142.58070000000001</v>
      </c>
      <c r="M3915">
        <v>-0.97190180000000004</v>
      </c>
      <c r="N3915">
        <v>-1.358117E-2</v>
      </c>
      <c r="O3915">
        <v>-0.23499439999999999</v>
      </c>
      <c r="P3915">
        <v>-0.98563719999999999</v>
      </c>
      <c r="Q3915">
        <v>-5.6640959999999997E-2</v>
      </c>
      <c r="R3915">
        <v>-0.15909619999999999</v>
      </c>
      <c r="S3915">
        <v>-3.012772</v>
      </c>
      <c r="T3915">
        <v>-0.1159945</v>
      </c>
      <c r="U3915">
        <v>-0.15060419999999999</v>
      </c>
      <c r="V3915">
        <v>7.6820990000000006E-2</v>
      </c>
      <c r="W3915">
        <v>-4.3435969999999997E-2</v>
      </c>
      <c r="X3915">
        <v>0.99609829999999999</v>
      </c>
      <c r="Y3915">
        <v>0.1859402</v>
      </c>
      <c r="Z3915">
        <v>1.058485E-2</v>
      </c>
      <c r="AA3915">
        <v>0.98250409999999999</v>
      </c>
      <c r="AB3915">
        <v>24</v>
      </c>
      <c r="AC3915">
        <v>-28.526799999999898</v>
      </c>
      <c r="AD3915">
        <v>-1.107743970577</v>
      </c>
      <c r="AE3915">
        <v>-1.38330000000001</v>
      </c>
      <c r="AF3915">
        <v>5.3516501821023299</v>
      </c>
      <c r="AG3915">
        <v>-1.107743970577</v>
      </c>
      <c r="AH3915">
        <v>28.010765983088799</v>
      </c>
      <c r="AI3915">
        <v>92.224505700036701</v>
      </c>
      <c r="AJ3915">
        <v>79.183598117161694</v>
      </c>
      <c r="AK3915">
        <v>28.538925476186201</v>
      </c>
      <c r="AL3915">
        <v>92.489481025169098</v>
      </c>
      <c r="AM3915">
        <v>85.589970303435607</v>
      </c>
      <c r="AN3915">
        <v>0.999999985628655</v>
      </c>
    </row>
    <row r="3916" spans="1:40" x14ac:dyDescent="0.25">
      <c r="A3916" t="str">
        <f>"20190305135312206"</f>
        <v>20190305135312206</v>
      </c>
      <c r="B3916" t="str">
        <f>"1551765192193520"</f>
        <v>1551765192193520</v>
      </c>
      <c r="C3916" t="s">
        <v>40</v>
      </c>
      <c r="D3916">
        <v>4.5646360000000001</v>
      </c>
      <c r="E3916">
        <v>0.5415797</v>
      </c>
      <c r="F3916" t="s">
        <v>42</v>
      </c>
      <c r="G3916">
        <v>-235.61340000000001</v>
      </c>
      <c r="H3916" s="1">
        <v>-2.2784000000000001E-6</v>
      </c>
      <c r="I3916">
        <v>141.17310000000001</v>
      </c>
      <c r="J3916">
        <v>-208.04759999999999</v>
      </c>
      <c r="K3916">
        <v>1.107936</v>
      </c>
      <c r="L3916">
        <v>142.52869999999999</v>
      </c>
      <c r="M3916">
        <v>-0.97251390000000004</v>
      </c>
      <c r="N3916">
        <v>-1.353597E-2</v>
      </c>
      <c r="O3916">
        <v>-0.23245170000000001</v>
      </c>
      <c r="P3916">
        <v>-0.98576319999999995</v>
      </c>
      <c r="Q3916">
        <v>-5.641844E-2</v>
      </c>
      <c r="R3916">
        <v>-0.15839249999999999</v>
      </c>
      <c r="S3916">
        <v>-3.0122070000000001</v>
      </c>
      <c r="T3916">
        <v>-0.1200526</v>
      </c>
      <c r="U3916">
        <v>-0.15254210000000001</v>
      </c>
      <c r="V3916">
        <v>7.4951439999999994E-2</v>
      </c>
      <c r="W3916">
        <v>-4.3213920000000003E-2</v>
      </c>
      <c r="X3916">
        <v>0.99625039999999998</v>
      </c>
      <c r="Y3916">
        <v>0.1827144</v>
      </c>
      <c r="Z3916">
        <v>1.088217E-2</v>
      </c>
      <c r="AA3916">
        <v>0.98310580000000003</v>
      </c>
      <c r="AB3916">
        <v>23</v>
      </c>
      <c r="AC3916">
        <v>-27.565799999999999</v>
      </c>
      <c r="AD3916">
        <v>-1.1079382784</v>
      </c>
      <c r="AE3916">
        <v>-1.3555999999999799</v>
      </c>
      <c r="AF3916">
        <v>5.0816534864610903</v>
      </c>
      <c r="AG3916">
        <v>-1.1079382784</v>
      </c>
      <c r="AH3916">
        <v>27.082072414887101</v>
      </c>
      <c r="AI3916">
        <v>92.302547126320803</v>
      </c>
      <c r="AJ3916">
        <v>79.372650260485898</v>
      </c>
      <c r="AK3916">
        <v>27.576971836486901</v>
      </c>
      <c r="AL3916">
        <v>92.476746478550396</v>
      </c>
      <c r="AM3916">
        <v>85.697541140093307</v>
      </c>
      <c r="AN3916">
        <v>1.00000001037</v>
      </c>
    </row>
    <row r="3917" spans="1:40" x14ac:dyDescent="0.25">
      <c r="A3917" t="str">
        <f>"20190305135312228"</f>
        <v>20190305135312228</v>
      </c>
      <c r="B3917" t="str">
        <f>"1551765192223774"</f>
        <v>1551765192223774</v>
      </c>
      <c r="C3917" t="s">
        <v>40</v>
      </c>
      <c r="D3917">
        <v>4.5602679999999998</v>
      </c>
      <c r="E3917">
        <v>0.54134090000000001</v>
      </c>
      <c r="F3917" t="s">
        <v>42</v>
      </c>
      <c r="G3917">
        <v>-236.0181</v>
      </c>
      <c r="H3917" s="1">
        <v>-2.0918029999999999E-6</v>
      </c>
      <c r="I3917">
        <v>141.12430000000001</v>
      </c>
      <c r="J3917">
        <v>-208.27869999999999</v>
      </c>
      <c r="K3917">
        <v>1.108077</v>
      </c>
      <c r="L3917">
        <v>142.47649999999999</v>
      </c>
      <c r="M3917">
        <v>-0.97307849999999996</v>
      </c>
      <c r="N3917">
        <v>-1.349645E-2</v>
      </c>
      <c r="O3917">
        <v>-0.23007900000000001</v>
      </c>
      <c r="P3917">
        <v>-0.98605310000000002</v>
      </c>
      <c r="Q3917">
        <v>-5.4904830000000002E-2</v>
      </c>
      <c r="R3917">
        <v>-0.15711420000000001</v>
      </c>
      <c r="S3917">
        <v>-3.012222</v>
      </c>
      <c r="T3917">
        <v>-0.1193173</v>
      </c>
      <c r="U3917">
        <v>-0.15124509999999999</v>
      </c>
      <c r="V3917">
        <v>7.3852550000000003E-2</v>
      </c>
      <c r="W3917">
        <v>-4.1709250000000003E-2</v>
      </c>
      <c r="X3917">
        <v>0.99639659999999997</v>
      </c>
      <c r="Y3917">
        <v>0.18074460000000001</v>
      </c>
      <c r="Z3917">
        <v>1.069838E-2</v>
      </c>
      <c r="AA3917">
        <v>0.98347189999999995</v>
      </c>
      <c r="AB3917">
        <v>23</v>
      </c>
      <c r="AC3917">
        <v>-27.7394</v>
      </c>
      <c r="AD3917">
        <v>-1.1080790918029999</v>
      </c>
      <c r="AE3917">
        <v>-1.3521999999999801</v>
      </c>
      <c r="AF3917">
        <v>5.0588642661825904</v>
      </c>
      <c r="AG3917">
        <v>-1.1080790918029999</v>
      </c>
      <c r="AH3917">
        <v>27.2628102434632</v>
      </c>
      <c r="AI3917">
        <v>92.288446320703301</v>
      </c>
      <c r="AJ3917">
        <v>79.487807447879902</v>
      </c>
      <c r="AK3917">
        <v>27.750329174776201</v>
      </c>
      <c r="AL3917">
        <v>92.390457377382006</v>
      </c>
      <c r="AM3917">
        <v>85.761009138125601</v>
      </c>
      <c r="AN3917">
        <v>1.00000002258431</v>
      </c>
    </row>
    <row r="3918" spans="1:40" x14ac:dyDescent="0.25">
      <c r="A3918" t="str">
        <f>"20190305135312249"</f>
        <v>20190305135312249</v>
      </c>
      <c r="B3918" t="str">
        <f>"1551765192244269"</f>
        <v>1551765192244269</v>
      </c>
      <c r="C3918" t="s">
        <v>40</v>
      </c>
      <c r="D3918">
        <v>4.5481109999999996</v>
      </c>
      <c r="E3918">
        <v>0.54139559999999998</v>
      </c>
      <c r="F3918" t="s">
        <v>42</v>
      </c>
      <c r="G3918">
        <v>-237.67259999999999</v>
      </c>
      <c r="H3918" s="1">
        <v>-1.3542239999999999E-6</v>
      </c>
      <c r="I3918">
        <v>141.01990000000001</v>
      </c>
      <c r="J3918">
        <v>-208.4948</v>
      </c>
      <c r="K3918">
        <v>1.1081529999999999</v>
      </c>
      <c r="L3918">
        <v>142.4281</v>
      </c>
      <c r="M3918">
        <v>-0.97357539999999998</v>
      </c>
      <c r="N3918">
        <v>-1.346406E-2</v>
      </c>
      <c r="O3918">
        <v>-0.22796939999999999</v>
      </c>
      <c r="P3918">
        <v>-0.98626040000000004</v>
      </c>
      <c r="Q3918">
        <v>-5.3149479999999999E-2</v>
      </c>
      <c r="R3918">
        <v>-0.15641620000000001</v>
      </c>
      <c r="S3918">
        <v>-3.0123289999999998</v>
      </c>
      <c r="T3918">
        <v>-0.1135573</v>
      </c>
      <c r="U3918">
        <v>-0.14927670000000001</v>
      </c>
      <c r="V3918">
        <v>7.2433339999999999E-2</v>
      </c>
      <c r="W3918">
        <v>-3.9967299999999997E-2</v>
      </c>
      <c r="X3918">
        <v>0.99657209999999996</v>
      </c>
      <c r="Y3918">
        <v>0.17928369999999999</v>
      </c>
      <c r="Z3918">
        <v>1.000876E-2</v>
      </c>
      <c r="AA3918">
        <v>0.98374649999999997</v>
      </c>
      <c r="AB3918">
        <v>23</v>
      </c>
      <c r="AC3918">
        <v>-29.177799999999898</v>
      </c>
      <c r="AD3918">
        <v>-1.108154354224</v>
      </c>
      <c r="AE3918">
        <v>-1.4081999999999899</v>
      </c>
      <c r="AF3918">
        <v>5.27354530844039</v>
      </c>
      <c r="AG3918">
        <v>-1.108154354224</v>
      </c>
      <c r="AH3918">
        <v>28.6891275443806</v>
      </c>
      <c r="AI3918">
        <v>92.175609133911195</v>
      </c>
      <c r="AJ3918">
        <v>79.584341395092295</v>
      </c>
      <c r="AK3918">
        <v>29.190826049474801</v>
      </c>
      <c r="AL3918">
        <v>92.290567791266398</v>
      </c>
      <c r="AM3918">
        <v>85.842910172527397</v>
      </c>
      <c r="AN3918">
        <v>0.99999996215562703</v>
      </c>
    </row>
    <row r="3919" spans="1:40" x14ac:dyDescent="0.25">
      <c r="A3919" t="str">
        <f>"20190305135312271"</f>
        <v>20190305135312271</v>
      </c>
      <c r="B3919" t="str">
        <f>"1551765192263789"</f>
        <v>1551765192263789</v>
      </c>
      <c r="C3919" t="s">
        <v>40</v>
      </c>
      <c r="D3919">
        <v>4.5771569999999997</v>
      </c>
      <c r="E3919">
        <v>0.54131399999999996</v>
      </c>
      <c r="F3919" t="s">
        <v>42</v>
      </c>
      <c r="G3919">
        <v>-239.1951</v>
      </c>
      <c r="H3919" s="1">
        <v>-6.7797949999999997E-7</v>
      </c>
      <c r="I3919">
        <v>140.93299999999999</v>
      </c>
      <c r="J3919">
        <v>-208.72669999999999</v>
      </c>
      <c r="K3919">
        <v>1.1081749999999999</v>
      </c>
      <c r="L3919">
        <v>142.3766</v>
      </c>
      <c r="M3919">
        <v>-0.97408930000000005</v>
      </c>
      <c r="N3919">
        <v>-1.343431E-2</v>
      </c>
      <c r="O3919">
        <v>-0.2257652</v>
      </c>
      <c r="P3919">
        <v>-0.98630759999999995</v>
      </c>
      <c r="Q3919">
        <v>-5.2058640000000003E-2</v>
      </c>
      <c r="R3919">
        <v>-0.15648589999999901</v>
      </c>
      <c r="S3919">
        <v>-3.0126650000000001</v>
      </c>
      <c r="T3919">
        <v>-0.10874499999999999</v>
      </c>
      <c r="U3919">
        <v>-0.14671329999999999</v>
      </c>
      <c r="V3919">
        <v>7.0125660000000006E-2</v>
      </c>
      <c r="W3919">
        <v>-3.8894409999999997E-2</v>
      </c>
      <c r="X3919">
        <v>0.99677959999999999</v>
      </c>
      <c r="Y3919">
        <v>0.17791960000000001</v>
      </c>
      <c r="Z3919">
        <v>9.4271540000000001E-3</v>
      </c>
      <c r="AA3919">
        <v>0.98399979999999998</v>
      </c>
      <c r="AB3919">
        <v>23</v>
      </c>
      <c r="AC3919">
        <v>-30.468399999999999</v>
      </c>
      <c r="AD3919">
        <v>-1.1081756779795</v>
      </c>
      <c r="AE3919">
        <v>-1.4436</v>
      </c>
      <c r="AF3919">
        <v>5.4657876560054399</v>
      </c>
      <c r="AG3919">
        <v>-1.1081756779795</v>
      </c>
      <c r="AH3919">
        <v>29.9680044775445</v>
      </c>
      <c r="AI3919">
        <v>92.083416279266203</v>
      </c>
      <c r="AJ3919">
        <v>79.663584251707206</v>
      </c>
      <c r="AK3919">
        <v>30.4825225399725</v>
      </c>
      <c r="AL3919">
        <v>92.229047839700101</v>
      </c>
      <c r="AM3919">
        <v>85.975745105770599</v>
      </c>
      <c r="AN3919">
        <v>0.99999997714792099</v>
      </c>
    </row>
    <row r="3920" spans="1:40" x14ac:dyDescent="0.25">
      <c r="A3920" t="str">
        <f>"20190305135312295"</f>
        <v>20190305135312295</v>
      </c>
      <c r="B3920" t="str">
        <f>"1551765192283312"</f>
        <v>1551765192283312</v>
      </c>
      <c r="C3920" t="s">
        <v>40</v>
      </c>
      <c r="D3920">
        <v>4.5545059999999999</v>
      </c>
      <c r="E3920">
        <v>0.54109609999999997</v>
      </c>
      <c r="F3920" t="s">
        <v>42</v>
      </c>
      <c r="G3920">
        <v>-240.63130000000001</v>
      </c>
      <c r="H3920" s="1">
        <v>-4.2735050000000002E-6</v>
      </c>
      <c r="I3920">
        <v>140.81319999999999</v>
      </c>
      <c r="J3920">
        <v>-208.95869999999999</v>
      </c>
      <c r="K3920">
        <v>1.108136</v>
      </c>
      <c r="L3920">
        <v>142.32560000000001</v>
      </c>
      <c r="M3920">
        <v>-0.97460349999999996</v>
      </c>
      <c r="N3920">
        <v>-1.340938E-2</v>
      </c>
      <c r="O3920">
        <v>-0.2235366</v>
      </c>
      <c r="P3920">
        <v>-0.98641670000000004</v>
      </c>
      <c r="Q3920">
        <v>-5.1188150000000002E-2</v>
      </c>
      <c r="R3920">
        <v>-0.15608429999999901</v>
      </c>
      <c r="S3920">
        <v>-3.0127109999999999</v>
      </c>
      <c r="T3920">
        <v>-0.10464420000000001</v>
      </c>
      <c r="U3920">
        <v>-0.14762879999999901</v>
      </c>
      <c r="V3920">
        <v>6.8261329999999995E-2</v>
      </c>
      <c r="W3920">
        <v>-3.8047570000000003E-2</v>
      </c>
      <c r="X3920">
        <v>0.99694170000000004</v>
      </c>
      <c r="Y3920">
        <v>0.17538979999999901</v>
      </c>
      <c r="Z3920">
        <v>8.8989489999999997E-3</v>
      </c>
      <c r="AA3920">
        <v>0.98445890000000003</v>
      </c>
      <c r="AB3920">
        <v>23</v>
      </c>
      <c r="AC3920">
        <v>-31.672599999999999</v>
      </c>
      <c r="AD3920">
        <v>-1.1081402735050001</v>
      </c>
      <c r="AE3920">
        <v>-1.51240000000001</v>
      </c>
      <c r="AF3920">
        <v>5.5996588970961803</v>
      </c>
      <c r="AG3920">
        <v>-1.1081402735050001</v>
      </c>
      <c r="AH3920">
        <v>31.1710331396866</v>
      </c>
      <c r="AI3920">
        <v>92.003973790119403</v>
      </c>
      <c r="AJ3920">
        <v>79.815838409531807</v>
      </c>
      <c r="AK3920">
        <v>31.689390363732699</v>
      </c>
      <c r="AL3920">
        <v>92.180491505834198</v>
      </c>
      <c r="AM3920">
        <v>86.0830295194054</v>
      </c>
      <c r="AN3920">
        <v>0.99999998997758199</v>
      </c>
    </row>
    <row r="3921" spans="1:40" x14ac:dyDescent="0.25">
      <c r="A3921" t="str">
        <f>"20190305135312317"</f>
        <v>20190305135312317</v>
      </c>
      <c r="B3921" t="str">
        <f>"1551765192313566"</f>
        <v>1551765192313566</v>
      </c>
      <c r="C3921" t="s">
        <v>40</v>
      </c>
      <c r="D3921">
        <v>4.5491400000000004</v>
      </c>
      <c r="E3921">
        <v>0.5409929</v>
      </c>
      <c r="F3921" t="s">
        <v>42</v>
      </c>
      <c r="G3921">
        <v>-241.99619999999999</v>
      </c>
      <c r="H3921" s="1">
        <v>-3.7041280000000002E-6</v>
      </c>
      <c r="I3921">
        <v>140.6994</v>
      </c>
      <c r="J3921">
        <v>-209.19810000000001</v>
      </c>
      <c r="K3921">
        <v>1.108052</v>
      </c>
      <c r="L3921">
        <v>142.27369999999999</v>
      </c>
      <c r="M3921">
        <v>-0.97515560000000001</v>
      </c>
      <c r="N3921">
        <v>-1.338865E-2</v>
      </c>
      <c r="O3921">
        <v>-0.22111610000000001</v>
      </c>
      <c r="P3921">
        <v>-0.98654960000000003</v>
      </c>
      <c r="Q3921">
        <v>-4.9873510000000003E-2</v>
      </c>
      <c r="R3921">
        <v>-0.1556681</v>
      </c>
      <c r="S3921">
        <v>-3.0126040000000001</v>
      </c>
      <c r="T3921">
        <v>-0.1010486</v>
      </c>
      <c r="U3921">
        <v>-0.1482849</v>
      </c>
      <c r="V3921">
        <v>6.6218990000000005E-2</v>
      </c>
      <c r="W3921">
        <v>-3.67585E-2</v>
      </c>
      <c r="X3921">
        <v>0.99712780000000001</v>
      </c>
      <c r="Y3921">
        <v>0.1727457</v>
      </c>
      <c r="Z3921">
        <v>8.4249100000000007E-3</v>
      </c>
      <c r="AA3921">
        <v>0.98493050000000004</v>
      </c>
      <c r="AB3921">
        <v>23</v>
      </c>
      <c r="AC3921">
        <v>-32.798099999999899</v>
      </c>
      <c r="AD3921">
        <v>-1.1080557041279999</v>
      </c>
      <c r="AE3921">
        <v>-1.57429999999999</v>
      </c>
      <c r="AF3921">
        <v>5.7110095033536297</v>
      </c>
      <c r="AG3921">
        <v>-1.1080557041279999</v>
      </c>
      <c r="AH3921">
        <v>32.297473085607699</v>
      </c>
      <c r="AI3921">
        <v>91.934928579367096</v>
      </c>
      <c r="AJ3921">
        <v>79.972313191979694</v>
      </c>
      <c r="AK3921">
        <v>32.817223903103098</v>
      </c>
      <c r="AL3921">
        <v>92.106581499640896</v>
      </c>
      <c r="AM3921">
        <v>86.2005815471218</v>
      </c>
      <c r="AN3921">
        <v>0.99999999574585496</v>
      </c>
    </row>
    <row r="3922" spans="1:40" x14ac:dyDescent="0.25">
      <c r="A3922" t="str">
        <f>"20190305135312336"</f>
        <v>20190305135312336</v>
      </c>
      <c r="B3922" t="str">
        <f>"1551765192334062"</f>
        <v>1551765192334062</v>
      </c>
      <c r="C3922" t="s">
        <v>40</v>
      </c>
      <c r="D3922">
        <v>4.5574309999999896</v>
      </c>
      <c r="E3922">
        <v>0.54089969999999998</v>
      </c>
      <c r="F3922" t="s">
        <v>42</v>
      </c>
      <c r="G3922">
        <v>-244.3546</v>
      </c>
      <c r="H3922" s="1">
        <v>-2.6515279999999999E-6</v>
      </c>
      <c r="I3922">
        <v>140.54589999999999</v>
      </c>
      <c r="J3922">
        <v>-209.39689999999999</v>
      </c>
      <c r="K3922">
        <v>1.1079460000000001</v>
      </c>
      <c r="L3922">
        <v>142.2312</v>
      </c>
      <c r="M3922">
        <v>-0.97564499999999998</v>
      </c>
      <c r="N3922">
        <v>-1.337558E-2</v>
      </c>
      <c r="O3922">
        <v>-0.2189477</v>
      </c>
      <c r="P3922">
        <v>-0.98649260000000005</v>
      </c>
      <c r="Q3922">
        <v>-4.8408519999999997E-2</v>
      </c>
      <c r="R3922">
        <v>-0.15649089999999999</v>
      </c>
      <c r="S3922">
        <v>-3.0127410000000001</v>
      </c>
      <c r="T3922">
        <v>-9.4954849999999993E-2</v>
      </c>
      <c r="U3922">
        <v>-0.14805599999999999</v>
      </c>
      <c r="V3922">
        <v>6.3184270000000001E-2</v>
      </c>
      <c r="W3922">
        <v>-3.530875E-2</v>
      </c>
      <c r="X3922">
        <v>0.99737710000000002</v>
      </c>
      <c r="Y3922">
        <v>0.17065610000000001</v>
      </c>
      <c r="Z3922">
        <v>7.7243729999999997E-3</v>
      </c>
      <c r="AA3922">
        <v>0.98530039999999997</v>
      </c>
      <c r="AB3922">
        <v>23</v>
      </c>
      <c r="AC3922">
        <v>-34.957700000000003</v>
      </c>
      <c r="AD3922">
        <v>-1.1079486515279999</v>
      </c>
      <c r="AE3922">
        <v>-1.68530000000001</v>
      </c>
      <c r="AF3922">
        <v>6.0041733871131902</v>
      </c>
      <c r="AG3922">
        <v>-1.1079486515279999</v>
      </c>
      <c r="AH3922">
        <v>34.443860303961898</v>
      </c>
      <c r="AI3922">
        <v>91.815035095842205</v>
      </c>
      <c r="AJ3922">
        <v>80.111691956620405</v>
      </c>
      <c r="AK3922">
        <v>34.980811324435898</v>
      </c>
      <c r="AL3922">
        <v>92.023462908123406</v>
      </c>
      <c r="AM3922">
        <v>86.375131646551495</v>
      </c>
      <c r="AN3922">
        <v>1.0000000197032</v>
      </c>
    </row>
    <row r="3923" spans="1:40" x14ac:dyDescent="0.25">
      <c r="A3923" t="str">
        <f>"20190305135312374"</f>
        <v>20190305135312374</v>
      </c>
      <c r="B3923" t="str">
        <f>"1551765192364318"</f>
        <v>1551765192364318</v>
      </c>
      <c r="C3923" t="s">
        <v>40</v>
      </c>
      <c r="D3923">
        <v>4.5323510000000002</v>
      </c>
      <c r="E3923">
        <v>0.54069480000000003</v>
      </c>
      <c r="F3923" t="s">
        <v>42</v>
      </c>
      <c r="G3923">
        <v>-246.20339999999999</v>
      </c>
      <c r="H3923" s="1">
        <v>-1.8148969999999999E-6</v>
      </c>
      <c r="I3923">
        <v>140.38239999999999</v>
      </c>
      <c r="J3923">
        <v>-209.77090000000001</v>
      </c>
      <c r="K3923">
        <v>1.107669</v>
      </c>
      <c r="L3923">
        <v>142.15289999999999</v>
      </c>
      <c r="M3923">
        <v>-0.97666350000000002</v>
      </c>
      <c r="N3923">
        <v>-1.334048E-2</v>
      </c>
      <c r="O3923">
        <v>-0.2143603</v>
      </c>
      <c r="P3923">
        <v>-0.98673310000000003</v>
      </c>
      <c r="Q3923">
        <v>-5.0418159999999997E-2</v>
      </c>
      <c r="R3923">
        <v>-0.1543244</v>
      </c>
      <c r="S3923">
        <v>-3.0126189999999999</v>
      </c>
      <c r="T3923">
        <v>-9.0685840000000004E-2</v>
      </c>
      <c r="U3923">
        <v>-0.15132139999999999</v>
      </c>
      <c r="V3923">
        <v>6.0634670000000002E-2</v>
      </c>
      <c r="W3923">
        <v>-3.7382949999999998E-2</v>
      </c>
      <c r="X3923">
        <v>0.99745980000000001</v>
      </c>
      <c r="Y3923">
        <v>0.16497400000000001</v>
      </c>
      <c r="Z3923">
        <v>7.1047019999999897E-3</v>
      </c>
      <c r="AA3923">
        <v>0.98627229999999999</v>
      </c>
      <c r="AB3923">
        <v>23</v>
      </c>
      <c r="AC3923">
        <v>-36.432499999999898</v>
      </c>
      <c r="AD3923">
        <v>-1.107670814897</v>
      </c>
      <c r="AE3923">
        <v>-1.77049999999999</v>
      </c>
      <c r="AF3923">
        <v>6.0754376609637903</v>
      </c>
      <c r="AG3923">
        <v>-1.107670814897</v>
      </c>
      <c r="AH3923">
        <v>35.931884235040698</v>
      </c>
      <c r="AI3923">
        <v>91.741000018361305</v>
      </c>
      <c r="AJ3923">
        <v>80.403078221069293</v>
      </c>
      <c r="AK3923">
        <v>36.4587188761042</v>
      </c>
      <c r="AL3923">
        <v>92.142384342142293</v>
      </c>
      <c r="AM3923">
        <v>86.521322626332406</v>
      </c>
      <c r="AN3923">
        <v>1.00000005038637</v>
      </c>
    </row>
    <row r="3924" spans="1:40" x14ac:dyDescent="0.25">
      <c r="A3924" t="str">
        <f>"20190305135312394"</f>
        <v>20190305135312394</v>
      </c>
      <c r="B3924" t="str">
        <f>"1551765192383841"</f>
        <v>1551765192383841</v>
      </c>
      <c r="C3924" t="s">
        <v>40</v>
      </c>
      <c r="D3924">
        <v>4.5521219999999998</v>
      </c>
      <c r="E3924">
        <v>0.54057619999999995</v>
      </c>
      <c r="F3924" t="s">
        <v>42</v>
      </c>
      <c r="G3924">
        <v>-244.26990000000001</v>
      </c>
      <c r="H3924" s="1">
        <v>-2.6697329999999999E-6</v>
      </c>
      <c r="I3924">
        <v>140.4778</v>
      </c>
      <c r="J3924">
        <v>-209.98480000000001</v>
      </c>
      <c r="K3924">
        <v>1.1074740000000001</v>
      </c>
      <c r="L3924">
        <v>142.10939999999999</v>
      </c>
      <c r="M3924">
        <v>-0.9773039</v>
      </c>
      <c r="N3924">
        <v>-1.3300050000000001E-2</v>
      </c>
      <c r="O3924">
        <v>-0.21142459999999999</v>
      </c>
      <c r="P3924">
        <v>-0.98683160000000003</v>
      </c>
      <c r="Q3924">
        <v>-5.2301439999999998E-2</v>
      </c>
      <c r="R3924">
        <v>-0.15306339999999999</v>
      </c>
      <c r="S3924">
        <v>-3.012527</v>
      </c>
      <c r="T3924">
        <v>-9.6724270000000001E-2</v>
      </c>
      <c r="U3924">
        <v>-0.14627079999999901</v>
      </c>
      <c r="V3924">
        <v>5.8866729999999999E-2</v>
      </c>
      <c r="W3924">
        <v>-3.9323820000000002E-2</v>
      </c>
      <c r="X3924">
        <v>0.99749100000000002</v>
      </c>
      <c r="Y3924">
        <v>0.1636396</v>
      </c>
      <c r="Z3924">
        <v>7.6194879999999998E-3</v>
      </c>
      <c r="AA3924">
        <v>0.9864908</v>
      </c>
      <c r="AB3924">
        <v>23</v>
      </c>
      <c r="AC3924">
        <v>-34.2851</v>
      </c>
      <c r="AD3924">
        <v>-1.1074766697329901</v>
      </c>
      <c r="AE3924">
        <v>-1.6315999999999899</v>
      </c>
      <c r="AF3924">
        <v>5.6487634889938203</v>
      </c>
      <c r="AG3924">
        <v>-1.1074766697329901</v>
      </c>
      <c r="AH3924">
        <v>33.8197056130413</v>
      </c>
      <c r="AI3924">
        <v>91.849956476242497</v>
      </c>
      <c r="AJ3924">
        <v>80.517658094676804</v>
      </c>
      <c r="AK3924">
        <v>34.306085776161801</v>
      </c>
      <c r="AL3924">
        <v>92.253670063530507</v>
      </c>
      <c r="AM3924">
        <v>86.622618358206296</v>
      </c>
      <c r="AN3924">
        <v>0.99999997490064196</v>
      </c>
    </row>
    <row r="3925" spans="1:40" x14ac:dyDescent="0.25">
      <c r="A3925" t="str">
        <f>"20190305135312416"</f>
        <v>20190305135312416</v>
      </c>
      <c r="B3925" t="str">
        <f>"1551765192403361"</f>
        <v>1551765192403361</v>
      </c>
      <c r="C3925" t="s">
        <v>40</v>
      </c>
      <c r="D3925">
        <v>4.5736689999999998</v>
      </c>
      <c r="E3925">
        <v>0.54052990000000001</v>
      </c>
      <c r="F3925" t="s">
        <v>42</v>
      </c>
      <c r="G3925">
        <v>-242.3587</v>
      </c>
      <c r="H3925" s="1">
        <v>-3.5137470000000002E-6</v>
      </c>
      <c r="I3925">
        <v>140.5685</v>
      </c>
      <c r="J3925">
        <v>-210.2039</v>
      </c>
      <c r="K3925">
        <v>1.107281</v>
      </c>
      <c r="L3925">
        <v>142.06569999999999</v>
      </c>
      <c r="M3925">
        <v>-0.97799840000000005</v>
      </c>
      <c r="N3925">
        <v>-1.3215319999999999E-2</v>
      </c>
      <c r="O3925">
        <v>-0.20819409999999999</v>
      </c>
      <c r="P3925">
        <v>-0.98717900000000003</v>
      </c>
      <c r="Q3925">
        <v>-5.25155E-2</v>
      </c>
      <c r="R3925">
        <v>-0.15073259999999999</v>
      </c>
      <c r="S3925">
        <v>-3.0123289999999998</v>
      </c>
      <c r="T3925">
        <v>-0.1030486</v>
      </c>
      <c r="U3925">
        <v>-0.14337159999999999</v>
      </c>
      <c r="V3925">
        <v>5.7905640000000001E-2</v>
      </c>
      <c r="W3925">
        <v>-3.9641889999999999E-2</v>
      </c>
      <c r="X3925">
        <v>0.9975347</v>
      </c>
      <c r="Y3925">
        <v>0.16130340000000001</v>
      </c>
      <c r="Z3925">
        <v>8.1232690000000007E-3</v>
      </c>
      <c r="AA3925">
        <v>0.98687139999999995</v>
      </c>
      <c r="AB3925">
        <v>23</v>
      </c>
      <c r="AC3925">
        <v>-32.154799999999902</v>
      </c>
      <c r="AD3925">
        <v>-1.107284513747</v>
      </c>
      <c r="AE3925">
        <v>-1.4971999999999901</v>
      </c>
      <c r="AF3925">
        <v>5.2244544584757797</v>
      </c>
      <c r="AG3925">
        <v>-1.107284513747</v>
      </c>
      <c r="AH3925">
        <v>31.724281457862698</v>
      </c>
      <c r="AI3925">
        <v>91.972457903082201</v>
      </c>
      <c r="AJ3925">
        <v>80.648289074546</v>
      </c>
      <c r="AK3925">
        <v>32.170654910970697</v>
      </c>
      <c r="AL3925">
        <v>92.271908273883099</v>
      </c>
      <c r="AM3925">
        <v>86.677779991335498</v>
      </c>
      <c r="AN3925">
        <v>1.0000000101453299</v>
      </c>
    </row>
    <row r="3926" spans="1:40" x14ac:dyDescent="0.25">
      <c r="A3926" t="str">
        <f>"20190305135312438"</f>
        <v>20190305135312438</v>
      </c>
      <c r="B3926" t="str">
        <f>"1551765192433614"</f>
        <v>1551765192433614</v>
      </c>
      <c r="C3926" t="s">
        <v>40</v>
      </c>
      <c r="D3926">
        <v>4.5686879999999999</v>
      </c>
      <c r="E3926">
        <v>0.54028149999999997</v>
      </c>
      <c r="F3926" t="s">
        <v>42</v>
      </c>
      <c r="G3926">
        <v>-242.12819999999999</v>
      </c>
      <c r="H3926" s="1">
        <v>-3.6261209999999998E-6</v>
      </c>
      <c r="I3926">
        <v>140.619</v>
      </c>
      <c r="J3926">
        <v>-210.43459999999999</v>
      </c>
      <c r="K3926">
        <v>1.107062</v>
      </c>
      <c r="L3926">
        <v>142.02070000000001</v>
      </c>
      <c r="M3926">
        <v>-0.97877009999999998</v>
      </c>
      <c r="N3926">
        <v>-1.3040940000000001E-2</v>
      </c>
      <c r="O3926">
        <v>-0.20454549999999999</v>
      </c>
      <c r="P3926">
        <v>-0.98769680000000004</v>
      </c>
      <c r="Q3926">
        <v>-5.1518510000000003E-2</v>
      </c>
      <c r="R3926">
        <v>-0.1476509</v>
      </c>
      <c r="S3926">
        <v>-3.0125730000000002</v>
      </c>
      <c r="T3926">
        <v>-0.10449020000000001</v>
      </c>
      <c r="U3926">
        <v>-0.13650509999999999</v>
      </c>
      <c r="V3926">
        <v>5.729708E-2</v>
      </c>
      <c r="W3926">
        <v>-3.8839169999999999E-2</v>
      </c>
      <c r="X3926">
        <v>0.99760139999999997</v>
      </c>
      <c r="Y3926">
        <v>0.15986719999999999</v>
      </c>
      <c r="Z3926">
        <v>8.1733429999999996E-3</v>
      </c>
      <c r="AA3926">
        <v>0.98710469999999895</v>
      </c>
      <c r="AB3926">
        <v>23</v>
      </c>
      <c r="AC3926">
        <v>-31.6936</v>
      </c>
      <c r="AD3926">
        <v>-1.1070656261209999</v>
      </c>
      <c r="AE3926">
        <v>-1.4016999999999999</v>
      </c>
      <c r="AF3926">
        <v>5.1050596332503497</v>
      </c>
      <c r="AG3926">
        <v>-1.1070656261209999</v>
      </c>
      <c r="AH3926">
        <v>31.272043289504499</v>
      </c>
      <c r="AI3926">
        <v>92.0010227080693</v>
      </c>
      <c r="AJ3926">
        <v>80.728433451699303</v>
      </c>
      <c r="AK3926">
        <v>31.7053295150866</v>
      </c>
      <c r="AL3926">
        <v>92.225880387955996</v>
      </c>
      <c r="AM3926">
        <v>86.712837234365594</v>
      </c>
      <c r="AN3926">
        <v>0.999999994892387</v>
      </c>
    </row>
    <row r="3927" spans="1:40" x14ac:dyDescent="0.25">
      <c r="A3927" t="str">
        <f>"20190305135312461"</f>
        <v>20190305135312461</v>
      </c>
      <c r="B3927" t="str">
        <f>"1551765192454111"</f>
        <v>1551765192454111</v>
      </c>
      <c r="C3927" t="s">
        <v>40</v>
      </c>
      <c r="D3927">
        <v>4.54765</v>
      </c>
      <c r="E3927">
        <v>0.54007430000000001</v>
      </c>
      <c r="F3927" t="s">
        <v>42</v>
      </c>
      <c r="G3927">
        <v>-242.53729999999999</v>
      </c>
      <c r="H3927" s="1">
        <v>-3.4585360000000002E-6</v>
      </c>
      <c r="I3927">
        <v>140.64879999999999</v>
      </c>
      <c r="J3927">
        <v>-210.6824</v>
      </c>
      <c r="K3927">
        <v>1.106835</v>
      </c>
      <c r="L3927">
        <v>141.9736</v>
      </c>
      <c r="M3927">
        <v>-0.97963199999999995</v>
      </c>
      <c r="N3927">
        <v>-1.279345E-2</v>
      </c>
      <c r="O3927">
        <v>-0.20039409999999999</v>
      </c>
      <c r="P3927">
        <v>-0.9883805</v>
      </c>
      <c r="Q3927">
        <v>-5.0661339999999999E-2</v>
      </c>
      <c r="R3927">
        <v>-0.1433101</v>
      </c>
      <c r="S3927">
        <v>-3.0126949999999999</v>
      </c>
      <c r="T3927">
        <v>-0.1038932</v>
      </c>
      <c r="U3927">
        <v>-0.1287384</v>
      </c>
      <c r="V3927">
        <v>5.7446919999999999E-2</v>
      </c>
      <c r="W3927">
        <v>-3.8252790000000002E-2</v>
      </c>
      <c r="X3927">
        <v>0.99761549999999999</v>
      </c>
      <c r="Y3927">
        <v>0.15822700000000001</v>
      </c>
      <c r="Z3927">
        <v>8.0238189999999997E-3</v>
      </c>
      <c r="AA3927">
        <v>0.98737019999999998</v>
      </c>
      <c r="AB3927">
        <v>23</v>
      </c>
      <c r="AC3927">
        <v>-31.854899999999901</v>
      </c>
      <c r="AD3927">
        <v>-1.106838458536</v>
      </c>
      <c r="AE3927">
        <v>-1.32480000000001</v>
      </c>
      <c r="AF3927">
        <v>5.0800104492976104</v>
      </c>
      <c r="AG3927">
        <v>-1.106838458536</v>
      </c>
      <c r="AH3927">
        <v>31.436244727007502</v>
      </c>
      <c r="AI3927">
        <v>91.990690176744494</v>
      </c>
      <c r="AJ3927">
        <v>80.820514461622395</v>
      </c>
      <c r="AK3927">
        <v>31.863287339422101</v>
      </c>
      <c r="AL3927">
        <v>92.192258168825802</v>
      </c>
      <c r="AM3927">
        <v>86.7043062402158</v>
      </c>
      <c r="AN3927">
        <v>1.0000000552002499</v>
      </c>
    </row>
    <row r="3928" spans="1:40" x14ac:dyDescent="0.25">
      <c r="A3928" t="str">
        <f>"20190305135312484"</f>
        <v>20190305135312484</v>
      </c>
      <c r="B3928" t="str">
        <f>"1551765192473633"</f>
        <v>1551765192473633</v>
      </c>
      <c r="C3928" t="s">
        <v>40</v>
      </c>
      <c r="D3928">
        <v>4.5557509999999999</v>
      </c>
      <c r="E3928">
        <v>0.53995130000000002</v>
      </c>
      <c r="F3928" t="s">
        <v>42</v>
      </c>
      <c r="G3928">
        <v>-243.1825</v>
      </c>
      <c r="H3928" s="1">
        <v>-3.1982589999999999E-6</v>
      </c>
      <c r="I3928">
        <v>140.71090000000001</v>
      </c>
      <c r="J3928">
        <v>-210.9093</v>
      </c>
      <c r="K3928">
        <v>1.1066530000000001</v>
      </c>
      <c r="L3928">
        <v>141.93170000000001</v>
      </c>
      <c r="M3928">
        <v>-0.98043860000000005</v>
      </c>
      <c r="N3928">
        <v>-1.254335E-2</v>
      </c>
      <c r="O3928">
        <v>-0.1964245</v>
      </c>
      <c r="P3928">
        <v>-0.9888593</v>
      </c>
      <c r="Q3928">
        <v>-5.1516300000000001E-2</v>
      </c>
      <c r="R3928">
        <v>-0.139655</v>
      </c>
      <c r="S3928">
        <v>-3.0130159999999999</v>
      </c>
      <c r="T3928">
        <v>-0.10261290000000001</v>
      </c>
      <c r="U3928">
        <v>-0.1170654</v>
      </c>
      <c r="V3928">
        <v>5.7066869999999999E-2</v>
      </c>
      <c r="W3928">
        <v>-3.9372049999999999E-2</v>
      </c>
      <c r="X3928">
        <v>0.99759370000000003</v>
      </c>
      <c r="Y3928">
        <v>0.15805539999999901</v>
      </c>
      <c r="Z3928">
        <v>7.8505139999999994E-3</v>
      </c>
      <c r="AA3928">
        <v>0.98739900000000003</v>
      </c>
      <c r="AB3928">
        <v>23</v>
      </c>
      <c r="AC3928">
        <v>-32.273200000000003</v>
      </c>
      <c r="AD3928">
        <v>-1.106656198259</v>
      </c>
      <c r="AE3928">
        <v>-1.2207999999999899</v>
      </c>
      <c r="AF3928">
        <v>5.1367016959669796</v>
      </c>
      <c r="AG3928">
        <v>-1.106656198259</v>
      </c>
      <c r="AH3928">
        <v>31.8468054569251</v>
      </c>
      <c r="AI3928">
        <v>91.964817285132696</v>
      </c>
      <c r="AJ3928">
        <v>80.837442236389506</v>
      </c>
      <c r="AK3928">
        <v>32.2773823298255</v>
      </c>
      <c r="AL3928">
        <v>92.256435550887105</v>
      </c>
      <c r="AM3928">
        <v>86.725990495787102</v>
      </c>
      <c r="AN3928">
        <v>0.99999998812624402</v>
      </c>
    </row>
    <row r="3929" spans="1:40" x14ac:dyDescent="0.25">
      <c r="A3929" t="str">
        <f>"20190305135312507"</f>
        <v>20190305135312507</v>
      </c>
      <c r="B3929" t="str">
        <f>"1551765192503886"</f>
        <v>1551765192503886</v>
      </c>
      <c r="C3929" t="s">
        <v>40</v>
      </c>
      <c r="D3929">
        <v>4.5851280000000001</v>
      </c>
      <c r="E3929">
        <v>0.53974960000000005</v>
      </c>
      <c r="F3929" t="s">
        <v>42</v>
      </c>
      <c r="G3929">
        <v>-242.4632</v>
      </c>
      <c r="H3929" s="1">
        <v>-3.534009E-6</v>
      </c>
      <c r="I3929">
        <v>140.81299999999999</v>
      </c>
      <c r="J3929">
        <v>-211.14320000000001</v>
      </c>
      <c r="K3929">
        <v>1.106508</v>
      </c>
      <c r="L3929">
        <v>141.8897</v>
      </c>
      <c r="M3929">
        <v>-0.98127629999999999</v>
      </c>
      <c r="N3929">
        <v>-1.2277450000000001E-2</v>
      </c>
      <c r="O3929">
        <v>-0.19221369999999999</v>
      </c>
      <c r="P3929">
        <v>-0.98931959999999997</v>
      </c>
      <c r="Q3929">
        <v>-5.4226669999999998E-2</v>
      </c>
      <c r="R3929">
        <v>-0.135301</v>
      </c>
      <c r="S3929">
        <v>-3.0131990000000002</v>
      </c>
      <c r="T3929">
        <v>-0.105679</v>
      </c>
      <c r="U3929">
        <v>-0.1068268</v>
      </c>
      <c r="V3929">
        <v>5.7119000000000003E-2</v>
      </c>
      <c r="W3929">
        <v>-4.2361780000000002E-2</v>
      </c>
      <c r="X3929">
        <v>0.99746820000000003</v>
      </c>
      <c r="Y3929">
        <v>0.1571591</v>
      </c>
      <c r="Z3929">
        <v>8.0475449999999997E-3</v>
      </c>
      <c r="AA3929">
        <v>0.98754050000000004</v>
      </c>
      <c r="AB3929">
        <v>23</v>
      </c>
      <c r="AC3929">
        <v>-31.32</v>
      </c>
      <c r="AD3929">
        <v>-1.1065115340089999</v>
      </c>
      <c r="AE3929">
        <v>-1.07670000000001</v>
      </c>
      <c r="AF3929">
        <v>4.9577862027679096</v>
      </c>
      <c r="AG3929">
        <v>-1.1065115340089999</v>
      </c>
      <c r="AH3929">
        <v>30.9043342412856</v>
      </c>
      <c r="AI3929">
        <v>92.024699668168907</v>
      </c>
      <c r="AJ3929">
        <v>80.886056988789505</v>
      </c>
      <c r="AK3929">
        <v>31.319033936319801</v>
      </c>
      <c r="AL3929">
        <v>92.427877830847606</v>
      </c>
      <c r="AM3929">
        <v>86.722594828885093</v>
      </c>
      <c r="AN3929">
        <v>0.99999995528850305</v>
      </c>
    </row>
    <row r="3930" spans="1:40" x14ac:dyDescent="0.25">
      <c r="A3930" t="str">
        <f>"20190305135312529"</f>
        <v>20190305135312529</v>
      </c>
      <c r="B3930" t="str">
        <f>"1551765192523406"</f>
        <v>1551765192523406</v>
      </c>
      <c r="C3930" t="s">
        <v>40</v>
      </c>
      <c r="D3930">
        <v>4.5945519999999904</v>
      </c>
      <c r="E3930">
        <v>0.53958499999999998</v>
      </c>
      <c r="F3930" t="s">
        <v>42</v>
      </c>
      <c r="G3930">
        <v>-240.37479999999999</v>
      </c>
      <c r="H3930" s="1">
        <v>-4.3881719999999998E-6</v>
      </c>
      <c r="I3930">
        <v>140.9676</v>
      </c>
      <c r="J3930">
        <v>-211.37629999999999</v>
      </c>
      <c r="K3930">
        <v>1.1063989999999999</v>
      </c>
      <c r="L3930">
        <v>141.84899999999999</v>
      </c>
      <c r="M3930">
        <v>-0.98210500000000001</v>
      </c>
      <c r="N3930">
        <v>-1.2015939999999999E-2</v>
      </c>
      <c r="O3930">
        <v>-0.1879508</v>
      </c>
      <c r="P3930">
        <v>-0.98973350000000004</v>
      </c>
      <c r="Q3930">
        <v>-5.6754979999999997E-2</v>
      </c>
      <c r="R3930">
        <v>-0.1311725</v>
      </c>
      <c r="S3930">
        <v>-3.0131380000000001</v>
      </c>
      <c r="T3930">
        <v>-0.1140573</v>
      </c>
      <c r="U3930">
        <v>-9.5047000000000006E-2</v>
      </c>
      <c r="V3930">
        <v>5.6897440000000001E-2</v>
      </c>
      <c r="W3930">
        <v>-4.5157929999999999E-2</v>
      </c>
      <c r="X3930">
        <v>0.99735819999999997</v>
      </c>
      <c r="Y3930">
        <v>0.1566958</v>
      </c>
      <c r="Z3930">
        <v>8.7098809999999992E-3</v>
      </c>
      <c r="AA3930">
        <v>0.9876085</v>
      </c>
      <c r="AB3930">
        <v>23</v>
      </c>
      <c r="AC3930">
        <v>-28.9985</v>
      </c>
      <c r="AD3930">
        <v>-1.1064033881719999</v>
      </c>
      <c r="AE3930">
        <v>-0.88139999999998497</v>
      </c>
      <c r="AF3930">
        <v>4.5783360731488996</v>
      </c>
      <c r="AG3930">
        <v>-1.1064033881719999</v>
      </c>
      <c r="AH3930">
        <v>28.605694900933099</v>
      </c>
      <c r="AI3930">
        <v>92.187158337760494</v>
      </c>
      <c r="AJ3930">
        <v>80.906940357466695</v>
      </c>
      <c r="AK3930">
        <v>28.990879090178101</v>
      </c>
      <c r="AL3930">
        <v>92.588239064492399</v>
      </c>
      <c r="AM3930">
        <v>86.734920775924607</v>
      </c>
      <c r="AN3930">
        <v>0.99999996821383796</v>
      </c>
    </row>
    <row r="3931" spans="1:40" x14ac:dyDescent="0.25">
      <c r="A3931" t="str">
        <f>"20190305135312550"</f>
        <v>20190305135312550</v>
      </c>
      <c r="B3931" t="str">
        <f>"1551765192543902"</f>
        <v>1551765192543902</v>
      </c>
      <c r="C3931" t="s">
        <v>40</v>
      </c>
      <c r="D3931">
        <v>4.6302750000000001</v>
      </c>
      <c r="E3931">
        <v>0.53943249999999998</v>
      </c>
      <c r="F3931" t="s">
        <v>42</v>
      </c>
      <c r="G3931">
        <v>-238.6455</v>
      </c>
      <c r="H3931" s="1">
        <v>-9.5568929999999995E-7</v>
      </c>
      <c r="I3931">
        <v>141.09059999999999</v>
      </c>
      <c r="J3931">
        <v>-211.6037</v>
      </c>
      <c r="K3931">
        <v>1.1063339999999999</v>
      </c>
      <c r="L3931">
        <v>141.81030000000001</v>
      </c>
      <c r="M3931">
        <v>-0.98289839999999995</v>
      </c>
      <c r="N3931">
        <v>-1.177452E-2</v>
      </c>
      <c r="O3931">
        <v>-0.18377209999999999</v>
      </c>
      <c r="P3931">
        <v>-0.99021890000000001</v>
      </c>
      <c r="Q3931">
        <v>-5.8286030000000003E-2</v>
      </c>
      <c r="R3931">
        <v>-0.1267655</v>
      </c>
      <c r="S3931">
        <v>-3.012985</v>
      </c>
      <c r="T3931">
        <v>-0.12224649999999999</v>
      </c>
      <c r="U3931">
        <v>-8.3786009999999994E-2</v>
      </c>
      <c r="V3931">
        <v>5.7063959999999997E-2</v>
      </c>
      <c r="W3931">
        <v>-4.69351E-2</v>
      </c>
      <c r="X3931">
        <v>0.99726669999999995</v>
      </c>
      <c r="Y3931">
        <v>0.15614990000000001</v>
      </c>
      <c r="Z3931">
        <v>9.3272570000000003E-3</v>
      </c>
      <c r="AA3931">
        <v>0.98768929999999999</v>
      </c>
      <c r="AB3931">
        <v>23</v>
      </c>
      <c r="AC3931">
        <v>-27.041799999999899</v>
      </c>
      <c r="AD3931">
        <v>-1.1063349556892901</v>
      </c>
      <c r="AE3931">
        <v>-0.71970000000001699</v>
      </c>
      <c r="AF3931">
        <v>4.25531420758354</v>
      </c>
      <c r="AG3931">
        <v>-1.1063349556892901</v>
      </c>
      <c r="AH3931">
        <v>26.668846812244499</v>
      </c>
      <c r="AI3931">
        <v>92.345864609908006</v>
      </c>
      <c r="AJ3931">
        <v>80.934236478796294</v>
      </c>
      <c r="AK3931">
        <v>27.028856178802801</v>
      </c>
      <c r="AL3931">
        <v>92.690171361948899</v>
      </c>
      <c r="AM3931">
        <v>86.7250859389531</v>
      </c>
      <c r="AN3931">
        <v>1.00000003503589</v>
      </c>
    </row>
    <row r="3932" spans="1:40" x14ac:dyDescent="0.25">
      <c r="A3932" t="str">
        <f>"20190305135312574"</f>
        <v>20190305135312574</v>
      </c>
      <c r="B3932" t="str">
        <f>"1551765192563422"</f>
        <v>1551765192563422</v>
      </c>
      <c r="C3932" t="s">
        <v>40</v>
      </c>
      <c r="D3932">
        <v>4.6258339999999896</v>
      </c>
      <c r="E3932">
        <v>0.53932979999999997</v>
      </c>
      <c r="F3932" t="s">
        <v>42</v>
      </c>
      <c r="G3932">
        <v>-237.7893</v>
      </c>
      <c r="H3932" s="1">
        <v>-1.349055E-6</v>
      </c>
      <c r="I3932">
        <v>141.18860000000001</v>
      </c>
      <c r="J3932">
        <v>-211.84440000000001</v>
      </c>
      <c r="K3932">
        <v>1.106304</v>
      </c>
      <c r="L3932">
        <v>141.7704</v>
      </c>
      <c r="M3932">
        <v>-0.9837167</v>
      </c>
      <c r="N3932">
        <v>-1.15382E-2</v>
      </c>
      <c r="O3932">
        <v>-0.17935499999999999</v>
      </c>
      <c r="P3932">
        <v>-0.99071989999999999</v>
      </c>
      <c r="Q3932">
        <v>-5.834334E-2</v>
      </c>
      <c r="R3932">
        <v>-0.1227618</v>
      </c>
      <c r="S3932">
        <v>-3.0129700000000001</v>
      </c>
      <c r="T3932">
        <v>-0.1272972</v>
      </c>
      <c r="U3932">
        <v>-7.1533200000000005E-2</v>
      </c>
      <c r="V3932">
        <v>5.6612089999999997E-2</v>
      </c>
      <c r="W3932">
        <v>-4.7225429999999999E-2</v>
      </c>
      <c r="X3932">
        <v>0.99727869999999996</v>
      </c>
      <c r="Y3932">
        <v>0.15570690000000001</v>
      </c>
      <c r="Z3932">
        <v>9.6464770000000005E-3</v>
      </c>
      <c r="AA3932">
        <v>0.98775619999999997</v>
      </c>
      <c r="AB3932">
        <v>23</v>
      </c>
      <c r="AC3932">
        <v>-25.944899999999901</v>
      </c>
      <c r="AD3932">
        <v>-1.1063053490549899</v>
      </c>
      <c r="AE3932">
        <v>-0.58179999999998699</v>
      </c>
      <c r="AF3932">
        <v>4.0738895667651596</v>
      </c>
      <c r="AG3932">
        <v>-1.1063053490549899</v>
      </c>
      <c r="AH3932">
        <v>25.5819972739619</v>
      </c>
      <c r="AI3932">
        <v>92.445463447958502</v>
      </c>
      <c r="AJ3932">
        <v>80.951722204404206</v>
      </c>
      <c r="AK3932">
        <v>25.9279592766677</v>
      </c>
      <c r="AL3932">
        <v>92.706824639771497</v>
      </c>
      <c r="AM3932">
        <v>86.751002096661793</v>
      </c>
      <c r="AN3932">
        <v>0.99999998772327103</v>
      </c>
    </row>
    <row r="3933" spans="1:40" x14ac:dyDescent="0.25">
      <c r="A3933" t="str">
        <f>"20190305135312594"</f>
        <v>20190305135312594</v>
      </c>
      <c r="B3933" t="str">
        <f>"1551765192583921"</f>
        <v>1551765192583921</v>
      </c>
      <c r="C3933" t="s">
        <v>40</v>
      </c>
      <c r="D3933">
        <v>4.5982539999999998</v>
      </c>
      <c r="E3933">
        <v>0.53385199999999999</v>
      </c>
      <c r="F3933" t="s">
        <v>42</v>
      </c>
      <c r="G3933">
        <v>-237.8991</v>
      </c>
      <c r="H3933" s="1">
        <v>-1.318364E-6</v>
      </c>
      <c r="I3933">
        <v>141.25020000000001</v>
      </c>
      <c r="J3933">
        <v>-212.06389999999999</v>
      </c>
      <c r="K3933">
        <v>1.1062890000000001</v>
      </c>
      <c r="L3933">
        <v>141.73500000000001</v>
      </c>
      <c r="M3933">
        <v>-0.98444069999999995</v>
      </c>
      <c r="N3933">
        <v>-1.134085E-2</v>
      </c>
      <c r="O3933">
        <v>-0.17535120000000001</v>
      </c>
      <c r="P3933">
        <v>-0.99119109999999999</v>
      </c>
      <c r="Q3933">
        <v>-5.6772910000000003E-2</v>
      </c>
      <c r="R3933">
        <v>-0.1196552</v>
      </c>
      <c r="S3933">
        <v>-3.0131230000000002</v>
      </c>
      <c r="T3933">
        <v>-0.1279402</v>
      </c>
      <c r="U3933">
        <v>-6.0150149999999999E-2</v>
      </c>
      <c r="V3933">
        <v>5.5707010000000001E-2</v>
      </c>
      <c r="W3933">
        <v>-4.584353E-2</v>
      </c>
      <c r="X3933">
        <v>0.99739409999999895</v>
      </c>
      <c r="Y3933">
        <v>0.15541749999999999</v>
      </c>
      <c r="Z3933">
        <v>9.5923789999999998E-3</v>
      </c>
      <c r="AA3933">
        <v>0.98780230000000002</v>
      </c>
      <c r="AB3933">
        <v>24</v>
      </c>
      <c r="AC3933">
        <v>-25.8352</v>
      </c>
      <c r="AD3933">
        <v>-1.1062903183639901</v>
      </c>
      <c r="AE3933">
        <v>-0.484800000000007</v>
      </c>
      <c r="AF3933">
        <v>4.0458208524621897</v>
      </c>
      <c r="AG3933">
        <v>-1.1062903183639901</v>
      </c>
      <c r="AH3933">
        <v>25.473179637734301</v>
      </c>
      <c r="AI3933">
        <v>92.456024430143103</v>
      </c>
      <c r="AJ3933">
        <v>80.975282638313502</v>
      </c>
      <c r="AK3933">
        <v>25.816185339724498</v>
      </c>
      <c r="AL3933">
        <v>92.627561839102796</v>
      </c>
      <c r="AM3933">
        <v>86.803205637245696</v>
      </c>
      <c r="AN3933">
        <v>0.99999994546040305</v>
      </c>
    </row>
    <row r="3934" spans="1:40" x14ac:dyDescent="0.25">
      <c r="A3934" t="str">
        <f>"20190305135312617"</f>
        <v>20190305135312617</v>
      </c>
      <c r="B3934" t="str">
        <f>"1551765192614174"</f>
        <v>1551765192614174</v>
      </c>
      <c r="C3934" t="s">
        <v>40</v>
      </c>
      <c r="D3934">
        <v>4.6637909999999998</v>
      </c>
      <c r="E3934">
        <v>0.53345940000000003</v>
      </c>
      <c r="F3934" t="s">
        <v>42</v>
      </c>
      <c r="G3934">
        <v>-237.41579999999999</v>
      </c>
      <c r="H3934" s="1">
        <v>-1.4450689999999999E-6</v>
      </c>
      <c r="I3934">
        <v>140.94730000000001</v>
      </c>
      <c r="J3934">
        <v>-212.29040000000001</v>
      </c>
      <c r="K3934">
        <v>1.10629</v>
      </c>
      <c r="L3934">
        <v>141.6994</v>
      </c>
      <c r="M3934">
        <v>-0.98516440000000005</v>
      </c>
      <c r="N3934">
        <v>-1.115652E-2</v>
      </c>
      <c r="O3934">
        <v>-0.1712506</v>
      </c>
      <c r="P3934">
        <v>-0.99156429999999995</v>
      </c>
      <c r="Q3934">
        <v>-5.5465800000000003E-2</v>
      </c>
      <c r="R3934">
        <v>-0.1171503</v>
      </c>
      <c r="S3934">
        <v>-3.0078580000000001</v>
      </c>
      <c r="T3934">
        <v>-0.13125510000000001</v>
      </c>
      <c r="U3934">
        <v>-9.3444819999999998E-2</v>
      </c>
      <c r="V3934">
        <v>5.4095820000000003E-2</v>
      </c>
      <c r="W3934">
        <v>-4.4706650000000001E-2</v>
      </c>
      <c r="X3934">
        <v>0.99753449999999999</v>
      </c>
      <c r="Y3934">
        <v>0.1403295</v>
      </c>
      <c r="Z3934">
        <v>9.3600530000000001E-3</v>
      </c>
      <c r="AA3934">
        <v>0.99006059999999996</v>
      </c>
      <c r="AB3934">
        <v>24</v>
      </c>
      <c r="AC3934">
        <v>-25.1253999999999</v>
      </c>
      <c r="AD3934">
        <v>-1.106291445069</v>
      </c>
      <c r="AE3934">
        <v>-0.752099999999984</v>
      </c>
      <c r="AF3934">
        <v>3.5551329261709799</v>
      </c>
      <c r="AG3934">
        <v>-1.106291445069</v>
      </c>
      <c r="AH3934">
        <v>24.834889600785601</v>
      </c>
      <c r="AI3934">
        <v>92.524898156336803</v>
      </c>
      <c r="AJ3934">
        <v>81.853412653666297</v>
      </c>
      <c r="AK3934">
        <v>25.112438996787802</v>
      </c>
      <c r="AL3934">
        <v>92.562356246949093</v>
      </c>
      <c r="AM3934">
        <v>86.895917701833895</v>
      </c>
      <c r="AN3934">
        <v>1.00000006049297</v>
      </c>
    </row>
    <row r="3935" spans="1:40" x14ac:dyDescent="0.25">
      <c r="A3935" t="str">
        <f>"20190305135312641"</f>
        <v>20190305135312641</v>
      </c>
      <c r="B3935" t="str">
        <f>"1551765192633695"</f>
        <v>1551765192633695</v>
      </c>
      <c r="C3935" t="s">
        <v>40</v>
      </c>
      <c r="D3935">
        <v>4.6703539999999997</v>
      </c>
      <c r="E3935">
        <v>0.5327383</v>
      </c>
      <c r="F3935" t="s">
        <v>42</v>
      </c>
      <c r="G3935">
        <v>-238.3415</v>
      </c>
      <c r="H3935" s="1">
        <v>-1.0429579999999999E-6</v>
      </c>
      <c r="I3935">
        <v>140.92840000000001</v>
      </c>
      <c r="J3935">
        <v>-212.54249999999999</v>
      </c>
      <c r="K3935">
        <v>1.1062909999999999</v>
      </c>
      <c r="L3935">
        <v>141.66079999999999</v>
      </c>
      <c r="M3935">
        <v>-0.98594340000000003</v>
      </c>
      <c r="N3935">
        <v>-1.0974050000000001E-2</v>
      </c>
      <c r="O3935">
        <v>-0.16671900000000001</v>
      </c>
      <c r="P3935">
        <v>-0.99201139999999999</v>
      </c>
      <c r="Q3935">
        <v>-5.426574E-2</v>
      </c>
      <c r="R3935">
        <v>-0.1138792</v>
      </c>
      <c r="S3935">
        <v>-3.0078740000000002</v>
      </c>
      <c r="T3935">
        <v>-0.12773309999999999</v>
      </c>
      <c r="U3935">
        <v>-8.9004520000000004E-2</v>
      </c>
      <c r="V3935">
        <v>5.281831E-2</v>
      </c>
      <c r="W3935">
        <v>-4.3677630000000002E-2</v>
      </c>
      <c r="X3935">
        <v>0.99764850000000005</v>
      </c>
      <c r="Y3935">
        <v>0.13725599999999999</v>
      </c>
      <c r="Z3935">
        <v>8.8758640000000007E-3</v>
      </c>
      <c r="AA3935">
        <v>0.99049589999999998</v>
      </c>
      <c r="AB3935">
        <v>24</v>
      </c>
      <c r="AC3935">
        <v>-25.798999999999999</v>
      </c>
      <c r="AD3935">
        <v>-1.1062920429580001</v>
      </c>
      <c r="AE3935">
        <v>-0.73239999999998395</v>
      </c>
      <c r="AF3935">
        <v>3.5727297564052001</v>
      </c>
      <c r="AG3935">
        <v>-1.1062920429580001</v>
      </c>
      <c r="AH3935">
        <v>25.513121686047601</v>
      </c>
      <c r="AI3935">
        <v>92.458923833724597</v>
      </c>
      <c r="AJ3935">
        <v>82.028423338375504</v>
      </c>
      <c r="AK3935">
        <v>25.785803422885401</v>
      </c>
      <c r="AL3935">
        <v>92.503340191993601</v>
      </c>
      <c r="AM3935">
        <v>86.969430106733398</v>
      </c>
      <c r="AN3935">
        <v>1.0000000193929599</v>
      </c>
    </row>
    <row r="3936" spans="1:40" x14ac:dyDescent="0.25">
      <c r="A3936" t="str">
        <f>"20190305135312663"</f>
        <v>20190305135312663</v>
      </c>
      <c r="B3936" t="str">
        <f>"1551765192654190"</f>
        <v>1551765192654190</v>
      </c>
      <c r="C3936" t="s">
        <v>40</v>
      </c>
      <c r="D3936">
        <v>4.6651759999999998</v>
      </c>
      <c r="E3936">
        <v>0.53191449999999996</v>
      </c>
      <c r="F3936" t="s">
        <v>42</v>
      </c>
      <c r="G3936">
        <v>-239.20750000000001</v>
      </c>
      <c r="H3936" s="1">
        <v>-6.6663399999999999E-7</v>
      </c>
      <c r="I3936">
        <v>140.91040000000001</v>
      </c>
      <c r="J3936">
        <v>-212.7886</v>
      </c>
      <c r="K3936">
        <v>1.1062989999999999</v>
      </c>
      <c r="L3936">
        <v>141.62430000000001</v>
      </c>
      <c r="M3936">
        <v>-0.98667870000000002</v>
      </c>
      <c r="N3936">
        <v>-1.081767E-2</v>
      </c>
      <c r="O3936">
        <v>-0.16232160000000001</v>
      </c>
      <c r="P3936">
        <v>-0.99234860000000003</v>
      </c>
      <c r="Q3936">
        <v>-5.3456629999999998E-2</v>
      </c>
      <c r="R3936">
        <v>-0.1112977</v>
      </c>
      <c r="S3936">
        <v>-3.0076139999999998</v>
      </c>
      <c r="T3936">
        <v>-0.1247815</v>
      </c>
      <c r="U3936">
        <v>-8.4640499999999994E-2</v>
      </c>
      <c r="V3936">
        <v>5.0978929999999999E-2</v>
      </c>
      <c r="W3936">
        <v>-4.3010039999999999E-2</v>
      </c>
      <c r="X3936">
        <v>0.99777320000000003</v>
      </c>
      <c r="Y3936">
        <v>0.13428860000000001</v>
      </c>
      <c r="Z3936">
        <v>8.4528729999999996E-3</v>
      </c>
      <c r="AA3936">
        <v>0.99090619999999996</v>
      </c>
      <c r="AB3936">
        <v>24</v>
      </c>
      <c r="AC3936">
        <v>-26.418900000000001</v>
      </c>
      <c r="AD3936">
        <v>-1.1062996666339999</v>
      </c>
      <c r="AE3936">
        <v>-0.71389999999999498</v>
      </c>
      <c r="AF3936">
        <v>3.57790815690558</v>
      </c>
      <c r="AG3936">
        <v>-1.1062996666339999</v>
      </c>
      <c r="AH3936">
        <v>26.138575410929999</v>
      </c>
      <c r="AI3936">
        <v>92.401198970754095</v>
      </c>
      <c r="AJ3936">
        <v>82.205661630737794</v>
      </c>
      <c r="AK3936">
        <v>26.4055003786053</v>
      </c>
      <c r="AL3936">
        <v>92.465054079086599</v>
      </c>
      <c r="AM3936">
        <v>87.075147046411004</v>
      </c>
      <c r="AN3936">
        <v>1.0000000367414901</v>
      </c>
    </row>
    <row r="3937" spans="1:40" x14ac:dyDescent="0.25">
      <c r="A3937" t="str">
        <f>"20190305135312687"</f>
        <v>20190305135312687</v>
      </c>
      <c r="B3937" t="str">
        <f>"1551765192683469"</f>
        <v>1551765192683469</v>
      </c>
      <c r="C3937" t="s">
        <v>40</v>
      </c>
      <c r="D3937">
        <v>4.6821199999999896</v>
      </c>
      <c r="E3937">
        <v>0.52506039999999998</v>
      </c>
      <c r="F3937" t="s">
        <v>42</v>
      </c>
      <c r="G3937">
        <v>-239.50460000000001</v>
      </c>
      <c r="H3937" s="1">
        <v>-5.3259879999999998E-7</v>
      </c>
      <c r="I3937">
        <v>140.88570000000001</v>
      </c>
      <c r="J3937">
        <v>-213.02699999999999</v>
      </c>
      <c r="K3937">
        <v>1.1063069999999999</v>
      </c>
      <c r="L3937">
        <v>141.59</v>
      </c>
      <c r="M3937">
        <v>-0.9873691</v>
      </c>
      <c r="N3937">
        <v>-1.068563E-2</v>
      </c>
      <c r="O3937">
        <v>-0.15807579999999999</v>
      </c>
      <c r="P3937">
        <v>-0.992672</v>
      </c>
      <c r="Q3937">
        <v>-5.1038920000000002E-2</v>
      </c>
      <c r="R3937">
        <v>-0.1095325</v>
      </c>
      <c r="S3937">
        <v>-3.0070950000000001</v>
      </c>
      <c r="T3937">
        <v>-0.1245226</v>
      </c>
      <c r="U3937">
        <v>-8.3129880000000003E-2</v>
      </c>
      <c r="V3937">
        <v>4.849817E-2</v>
      </c>
      <c r="W3937">
        <v>-4.0704480000000001E-2</v>
      </c>
      <c r="X3937">
        <v>0.99799349999999998</v>
      </c>
      <c r="Y3937">
        <v>0.130524</v>
      </c>
      <c r="Z3937">
        <v>8.2216319999999996E-3</v>
      </c>
      <c r="AA3937">
        <v>0.99141100000000004</v>
      </c>
      <c r="AB3937">
        <v>24</v>
      </c>
      <c r="AC3937">
        <v>-26.477599999999899</v>
      </c>
      <c r="AD3937">
        <v>-1.1063075325988001</v>
      </c>
      <c r="AE3937">
        <v>-0.70429999999998905</v>
      </c>
      <c r="AF3937">
        <v>3.48418483304064</v>
      </c>
      <c r="AG3937">
        <v>-1.1063075325988001</v>
      </c>
      <c r="AH3937">
        <v>26.210271923917901</v>
      </c>
      <c r="AI3937">
        <v>92.395907515353798</v>
      </c>
      <c r="AJ3937">
        <v>82.427948795820896</v>
      </c>
      <c r="AK3937">
        <v>26.463972011646199</v>
      </c>
      <c r="AL3937">
        <v>92.332839464518599</v>
      </c>
      <c r="AM3937">
        <v>87.217861458559895</v>
      </c>
      <c r="AN3937">
        <v>0.999999976613834</v>
      </c>
    </row>
    <row r="3938" spans="1:40" x14ac:dyDescent="0.25">
      <c r="A3938" t="str">
        <f>"20190305135312708"</f>
        <v>20190305135312708</v>
      </c>
      <c r="B3938" t="str">
        <f>"1551765192703966"</f>
        <v>1551765192703966</v>
      </c>
      <c r="C3938" t="s">
        <v>40</v>
      </c>
      <c r="D3938">
        <v>4.6811129999999999</v>
      </c>
      <c r="E3938">
        <v>0.52524359999999903</v>
      </c>
      <c r="F3938" t="s">
        <v>42</v>
      </c>
      <c r="G3938">
        <v>-237.01</v>
      </c>
      <c r="H3938" s="1">
        <v>-1.5123779999999999E-6</v>
      </c>
      <c r="I3938">
        <v>140.54589999999999</v>
      </c>
      <c r="J3938">
        <v>-213.25839999999999</v>
      </c>
      <c r="K3938">
        <v>1.1063179999999999</v>
      </c>
      <c r="L3938">
        <v>141.55779999999999</v>
      </c>
      <c r="M3938">
        <v>-0.98802009999999996</v>
      </c>
      <c r="N3938">
        <v>-1.0574190000000001E-2</v>
      </c>
      <c r="O3938">
        <v>-0.15396209999999999</v>
      </c>
      <c r="P3938">
        <v>-0.99298399999999998</v>
      </c>
      <c r="Q3938">
        <v>-4.6353949999999998E-2</v>
      </c>
      <c r="R3938">
        <v>-0.1087844</v>
      </c>
      <c r="S3938">
        <v>-3.000626</v>
      </c>
      <c r="T3938">
        <v>-0.13841589999999901</v>
      </c>
      <c r="U3938">
        <v>-0.13063050000000001</v>
      </c>
      <c r="V3938">
        <v>4.5161229999999997E-2</v>
      </c>
      <c r="W3938">
        <v>-3.6104270000000001E-2</v>
      </c>
      <c r="X3938">
        <v>0.99832710000000002</v>
      </c>
      <c r="Y3938">
        <v>0.1106106</v>
      </c>
      <c r="Z3938">
        <v>8.5690009999999997E-3</v>
      </c>
      <c r="AA3938">
        <v>0.99382689999999996</v>
      </c>
      <c r="AB3938">
        <v>24</v>
      </c>
      <c r="AC3938">
        <v>-23.7516</v>
      </c>
      <c r="AD3938">
        <v>-1.1063195123780001</v>
      </c>
      <c r="AE3938">
        <v>-1.01189999999999</v>
      </c>
      <c r="AF3938">
        <v>2.6514752602297902</v>
      </c>
      <c r="AG3938">
        <v>-1.1063195123780001</v>
      </c>
      <c r="AH3938">
        <v>23.5731238145483</v>
      </c>
      <c r="AI3938">
        <v>92.670185889781095</v>
      </c>
      <c r="AJ3938">
        <v>83.582416167178295</v>
      </c>
      <c r="AK3938">
        <v>23.747556301546101</v>
      </c>
      <c r="AL3938">
        <v>92.069071916254202</v>
      </c>
      <c r="AM3938">
        <v>87.409881984417297</v>
      </c>
      <c r="AN3938">
        <v>1.00000002680087</v>
      </c>
    </row>
    <row r="3939" spans="1:40" x14ac:dyDescent="0.25">
      <c r="A3939" t="str">
        <f>"20190305135312865"</f>
        <v>20190305135312865</v>
      </c>
      <c r="B3939" t="str">
        <f>"1551765192854270"</f>
        <v>1551765192854270</v>
      </c>
      <c r="C3939" t="s">
        <v>40</v>
      </c>
      <c r="D3939">
        <v>4.6698620000000002</v>
      </c>
      <c r="E3939">
        <v>0.53439720000000002</v>
      </c>
      <c r="F3939" t="s">
        <v>42</v>
      </c>
      <c r="G3939">
        <v>-239.17150000000001</v>
      </c>
      <c r="H3939" s="1">
        <v>-5.6359129999999998E-7</v>
      </c>
      <c r="I3939">
        <v>140.46510000000001</v>
      </c>
      <c r="J3939">
        <v>-214.93260000000001</v>
      </c>
      <c r="K3939">
        <v>1.106412</v>
      </c>
      <c r="L3939">
        <v>141.3526</v>
      </c>
      <c r="M3939">
        <v>-0.99215220000000004</v>
      </c>
      <c r="N3939">
        <v>-9.881585E-3</v>
      </c>
      <c r="O3939">
        <v>-0.1246454</v>
      </c>
      <c r="P3939">
        <v>-0.99433579999999999</v>
      </c>
      <c r="Q3939">
        <v>-2.2908129999999999E-2</v>
      </c>
      <c r="R3939">
        <v>-0.1037873</v>
      </c>
      <c r="S3939">
        <v>-3.0013730000000001</v>
      </c>
      <c r="T3939">
        <v>-0.128139</v>
      </c>
      <c r="U3939">
        <v>-0.12655640000000001</v>
      </c>
      <c r="V3939">
        <v>2.088276E-2</v>
      </c>
      <c r="W3939">
        <v>-1.316575E-2</v>
      </c>
      <c r="X3939">
        <v>0.99969520000000001</v>
      </c>
      <c r="Y3939">
        <v>8.2581989999999994E-2</v>
      </c>
      <c r="Z3939">
        <v>6.2386119999999897E-3</v>
      </c>
      <c r="AA3939">
        <v>0.99656469999999997</v>
      </c>
      <c r="AB3939">
        <v>24</v>
      </c>
      <c r="AC3939">
        <v>-24.238900000000001</v>
      </c>
      <c r="AD3939">
        <v>-1.1064125635913</v>
      </c>
      <c r="AE3939">
        <v>-0.88749999999998797</v>
      </c>
      <c r="AF3939">
        <v>2.1363913514844</v>
      </c>
      <c r="AG3939">
        <v>-1.1064125635913</v>
      </c>
      <c r="AH3939">
        <v>24.110310747591399</v>
      </c>
      <c r="AI3939">
        <v>92.617197106340996</v>
      </c>
      <c r="AJ3939">
        <v>84.936301321242993</v>
      </c>
      <c r="AK3939">
        <v>24.2300516118516</v>
      </c>
      <c r="AL3939">
        <v>90.754363733730898</v>
      </c>
      <c r="AM3939">
        <v>88.803315224644393</v>
      </c>
      <c r="AN3939">
        <v>0.99999995977065903</v>
      </c>
    </row>
    <row r="3940" spans="1:40" x14ac:dyDescent="0.25">
      <c r="A3940" t="str">
        <f>"20190305135312885"</f>
        <v>20190305135312885</v>
      </c>
      <c r="B3940" t="str">
        <f>"1551765192873795"</f>
        <v>1551765192873795</v>
      </c>
      <c r="C3940" t="s">
        <v>40</v>
      </c>
      <c r="D3940">
        <v>4.6880759999999997</v>
      </c>
      <c r="E3940">
        <v>0.53221669999999999</v>
      </c>
      <c r="F3940" t="s">
        <v>42</v>
      </c>
      <c r="G3940">
        <v>-277.96359999999999</v>
      </c>
      <c r="H3940" s="1">
        <v>-1.1001690000000001E-6</v>
      </c>
      <c r="I3940">
        <v>140.53399999999999</v>
      </c>
      <c r="J3940">
        <v>-215.1618</v>
      </c>
      <c r="K3940">
        <v>1.1064499999999999</v>
      </c>
      <c r="L3940">
        <v>141.328</v>
      </c>
      <c r="M3940">
        <v>-0.99262090000000003</v>
      </c>
      <c r="N3940">
        <v>-9.7903839999999992E-3</v>
      </c>
      <c r="O3940">
        <v>-0.120864</v>
      </c>
      <c r="P3940">
        <v>-0.99436760000000002</v>
      </c>
      <c r="Q3940">
        <v>-2.3449000000000001E-2</v>
      </c>
      <c r="R3940">
        <v>-0.10336140000000001</v>
      </c>
      <c r="S3940">
        <v>-3.0117799999999999</v>
      </c>
      <c r="T3940">
        <v>-5.2867289999999997E-2</v>
      </c>
      <c r="U3940">
        <v>-3.9108280000000002E-2</v>
      </c>
      <c r="V3940">
        <v>1.7498329999999999E-2</v>
      </c>
      <c r="W3940">
        <v>-1.3772980000000001E-2</v>
      </c>
      <c r="X3940">
        <v>0.99975199999999997</v>
      </c>
      <c r="Y3940">
        <v>0.1079413</v>
      </c>
      <c r="Z3940">
        <v>2.4071169999999999E-3</v>
      </c>
      <c r="AA3940">
        <v>0.99415430000000005</v>
      </c>
      <c r="AB3940">
        <v>24</v>
      </c>
      <c r="AC3940">
        <v>-62.801799999999901</v>
      </c>
      <c r="AD3940">
        <v>-1.1064511001689901</v>
      </c>
      <c r="AE3940">
        <v>-0.79400000000001103</v>
      </c>
      <c r="AF3940">
        <v>6.8005505332508598</v>
      </c>
      <c r="AG3940">
        <v>-1.1064511001689901</v>
      </c>
      <c r="AH3940">
        <v>62.4179597788957</v>
      </c>
      <c r="AI3940">
        <v>91.009573335264406</v>
      </c>
      <c r="AJ3940">
        <v>83.782046351901698</v>
      </c>
      <c r="AK3940">
        <v>62.797081337847203</v>
      </c>
      <c r="AL3940">
        <v>90.789158597067996</v>
      </c>
      <c r="AM3940">
        <v>88.997273225414702</v>
      </c>
      <c r="AN3940">
        <v>0.99999997401743401</v>
      </c>
    </row>
    <row r="3941" spans="1:40" x14ac:dyDescent="0.25">
      <c r="A3941" t="str">
        <f>"20190305135312908"</f>
        <v>20190305135312908</v>
      </c>
      <c r="B3941" t="str">
        <f>"1551765192904049"</f>
        <v>1551765192904049</v>
      </c>
      <c r="C3941" t="s">
        <v>40</v>
      </c>
      <c r="D3941">
        <v>4.7268809999999997</v>
      </c>
      <c r="E3941">
        <v>0.52853319999999904</v>
      </c>
      <c r="F3941" t="s">
        <v>42</v>
      </c>
      <c r="G3941">
        <v>-253.56610000000001</v>
      </c>
      <c r="H3941" s="1">
        <v>-3.0172690000000001E-6</v>
      </c>
      <c r="I3941">
        <v>140.64920000000001</v>
      </c>
      <c r="J3941">
        <v>-215.41399999999999</v>
      </c>
      <c r="K3941">
        <v>1.1064909999999999</v>
      </c>
      <c r="L3941">
        <v>141.30199999999999</v>
      </c>
      <c r="M3941">
        <v>-0.99310540000000003</v>
      </c>
      <c r="N3941">
        <v>-9.6948120000000006E-3</v>
      </c>
      <c r="O3941">
        <v>-0.1168235</v>
      </c>
      <c r="P3941">
        <v>-0.99437770000000003</v>
      </c>
      <c r="Q3941">
        <v>-2.4499079999999999E-2</v>
      </c>
      <c r="R3941">
        <v>-0.103019899999999</v>
      </c>
      <c r="S3941">
        <v>-3.0094150000000002</v>
      </c>
      <c r="T3941">
        <v>-8.6703299999999997E-2</v>
      </c>
      <c r="U3941">
        <v>-5.3192139999999999E-2</v>
      </c>
      <c r="V3941">
        <v>1.3765980000000001E-2</v>
      </c>
      <c r="W3941">
        <v>-1.489234E-2</v>
      </c>
      <c r="X3941">
        <v>0.99979439999999997</v>
      </c>
      <c r="Y3941">
        <v>9.9183250000000001E-2</v>
      </c>
      <c r="Z3941">
        <v>4.1328780000000004E-3</v>
      </c>
      <c r="AA3941">
        <v>0.99506059999999996</v>
      </c>
      <c r="AB3941">
        <v>24</v>
      </c>
      <c r="AC3941">
        <v>-38.152099999999898</v>
      </c>
      <c r="AD3941">
        <v>-1.1064940172690001</v>
      </c>
      <c r="AE3941">
        <v>-0.65280000000001304</v>
      </c>
      <c r="AF3941">
        <v>3.80574137614235</v>
      </c>
      <c r="AG3941">
        <v>-1.1064940172690001</v>
      </c>
      <c r="AH3941">
        <v>37.935203200856201</v>
      </c>
      <c r="AI3941">
        <v>91.662389688112398</v>
      </c>
      <c r="AJ3941">
        <v>84.271132017041396</v>
      </c>
      <c r="AK3941">
        <v>38.141678493776098</v>
      </c>
      <c r="AL3941">
        <v>90.853299718238702</v>
      </c>
      <c r="AM3941">
        <v>89.211155095636798</v>
      </c>
      <c r="AN3941">
        <v>1.0000000631336901</v>
      </c>
    </row>
    <row r="3942" spans="1:40" x14ac:dyDescent="0.25">
      <c r="A3942" t="str">
        <f>"20190305135312932"</f>
        <v>20190305135312932</v>
      </c>
      <c r="B3942" t="str">
        <f>"1551765192923567"</f>
        <v>1551765192923567</v>
      </c>
      <c r="C3942" t="s">
        <v>40</v>
      </c>
      <c r="D3942">
        <v>4.7273209999999999</v>
      </c>
      <c r="E3942">
        <v>0.52782340000000005</v>
      </c>
      <c r="F3942" t="s">
        <v>42</v>
      </c>
      <c r="G3942">
        <v>-247.31450000000001</v>
      </c>
      <c r="H3942" s="1">
        <v>-1.355255E-6</v>
      </c>
      <c r="I3942">
        <v>140.44630000000001</v>
      </c>
      <c r="J3942">
        <v>-215.66560000000001</v>
      </c>
      <c r="K3942">
        <v>1.1065259999999999</v>
      </c>
      <c r="L3942">
        <v>141.27690000000001</v>
      </c>
      <c r="M3942">
        <v>-0.99356060000000002</v>
      </c>
      <c r="N3942">
        <v>-9.6086509999999993E-3</v>
      </c>
      <c r="O3942">
        <v>-0.11289349999999999</v>
      </c>
      <c r="P3942">
        <v>-0.99437699999999996</v>
      </c>
      <c r="Q3942">
        <v>-2.624075E-2</v>
      </c>
      <c r="R3942">
        <v>-0.1025949</v>
      </c>
      <c r="S3942">
        <v>-3.0060419999999999</v>
      </c>
      <c r="T3942">
        <v>-0.104266899999999</v>
      </c>
      <c r="U3942">
        <v>-8.0627439999999995E-2</v>
      </c>
      <c r="V3942">
        <v>1.0224169999999999E-2</v>
      </c>
      <c r="W3942">
        <v>-1.6696780000000001E-2</v>
      </c>
      <c r="X3942">
        <v>0.99980829999999998</v>
      </c>
      <c r="Y3942">
        <v>8.6116159999999997E-2</v>
      </c>
      <c r="Z3942">
        <v>4.7264189999999999E-3</v>
      </c>
      <c r="AA3942">
        <v>0.99627390000000005</v>
      </c>
      <c r="AB3942">
        <v>24</v>
      </c>
      <c r="AC3942">
        <v>-31.648900000000001</v>
      </c>
      <c r="AD3942">
        <v>-1.1065273552549999</v>
      </c>
      <c r="AE3942">
        <v>-0.830600000000004</v>
      </c>
      <c r="AF3942">
        <v>2.7444781066752202</v>
      </c>
      <c r="AG3942">
        <v>-1.1065273552549999</v>
      </c>
      <c r="AH3942">
        <v>31.501845685512698</v>
      </c>
      <c r="AI3942">
        <v>92.004147434315001</v>
      </c>
      <c r="AJ3942">
        <v>85.020895732765496</v>
      </c>
      <c r="AK3942">
        <v>31.640525350565898</v>
      </c>
      <c r="AL3942">
        <v>90.956699503359403</v>
      </c>
      <c r="AM3942">
        <v>89.414106312703098</v>
      </c>
      <c r="AN3942">
        <v>0.999999976431723</v>
      </c>
    </row>
    <row r="3943" spans="1:40" x14ac:dyDescent="0.25">
      <c r="A3943" t="str">
        <f>"20190305135312953"</f>
        <v>20190305135312953</v>
      </c>
      <c r="B3943" t="str">
        <f>"1551765192944062"</f>
        <v>1551765192944062</v>
      </c>
      <c r="C3943" t="s">
        <v>40</v>
      </c>
      <c r="D3943">
        <v>4.737724</v>
      </c>
      <c r="E3943">
        <v>0.52725649999999902</v>
      </c>
      <c r="F3943" t="s">
        <v>42</v>
      </c>
      <c r="G3943">
        <v>-246.0421</v>
      </c>
      <c r="H3943" s="1">
        <v>-1.8936340000000001E-6</v>
      </c>
      <c r="I3943">
        <v>140.41820000000001</v>
      </c>
      <c r="J3943">
        <v>-215.90209999999999</v>
      </c>
      <c r="K3943">
        <v>1.106549</v>
      </c>
      <c r="L3943">
        <v>141.25409999999999</v>
      </c>
      <c r="M3943">
        <v>-0.99396459999999998</v>
      </c>
      <c r="N3943">
        <v>-9.533906E-3</v>
      </c>
      <c r="O3943">
        <v>-0.10928649999999999</v>
      </c>
      <c r="P3943">
        <v>-0.99431579999999997</v>
      </c>
      <c r="Q3943">
        <v>-2.864566E-2</v>
      </c>
      <c r="R3943">
        <v>-0.1025455</v>
      </c>
      <c r="S3943">
        <v>-3.0053100000000001</v>
      </c>
      <c r="T3943">
        <v>-0.10947469999999999</v>
      </c>
      <c r="U3943">
        <v>-8.4945679999999996E-2</v>
      </c>
      <c r="V3943">
        <v>6.6253780000000003E-3</v>
      </c>
      <c r="W3943">
        <v>-1.9154210000000001E-2</v>
      </c>
      <c r="X3943">
        <v>0.99979459999999998</v>
      </c>
      <c r="Y3943">
        <v>8.1056279999999994E-2</v>
      </c>
      <c r="Z3943">
        <v>4.790084E-3</v>
      </c>
      <c r="AA3943">
        <v>0.99669799999999997</v>
      </c>
      <c r="AB3943">
        <v>24</v>
      </c>
      <c r="AC3943">
        <v>-30.14</v>
      </c>
      <c r="AD3943">
        <v>-1.1065508936340001</v>
      </c>
      <c r="AE3943">
        <v>-0.83589999999997999</v>
      </c>
      <c r="AF3943">
        <v>2.4598389154250202</v>
      </c>
      <c r="AG3943">
        <v>-1.1065508936340001</v>
      </c>
      <c r="AH3943">
        <v>30.010390703835402</v>
      </c>
      <c r="AI3943">
        <v>92.1046164947834</v>
      </c>
      <c r="AJ3943">
        <v>85.314155489720406</v>
      </c>
      <c r="AK3943">
        <v>30.131359288404099</v>
      </c>
      <c r="AL3943">
        <v>91.0975224985701</v>
      </c>
      <c r="AM3943">
        <v>89.620321373418804</v>
      </c>
      <c r="AN3943">
        <v>1.0000000107917599</v>
      </c>
    </row>
    <row r="3944" spans="1:40" x14ac:dyDescent="0.25">
      <c r="A3944" t="str">
        <f>"20190305135312975"</f>
        <v>20190305135312975</v>
      </c>
      <c r="B3944" t="str">
        <f>"1551765192963586"</f>
        <v>1551765192963586</v>
      </c>
      <c r="C3944" t="s">
        <v>40</v>
      </c>
      <c r="D3944">
        <v>4.7382549999999997</v>
      </c>
      <c r="E3944">
        <v>0.5273331</v>
      </c>
      <c r="F3944" t="s">
        <v>42</v>
      </c>
      <c r="G3944">
        <v>-243.7937</v>
      </c>
      <c r="H3944" s="1">
        <v>-2.8602499999999998E-6</v>
      </c>
      <c r="I3944">
        <v>140.42590000000001</v>
      </c>
      <c r="J3944">
        <v>-216.1396</v>
      </c>
      <c r="K3944">
        <v>1.10656</v>
      </c>
      <c r="L3944">
        <v>141.232</v>
      </c>
      <c r="M3944">
        <v>-0.99434739999999999</v>
      </c>
      <c r="N3944">
        <v>-9.4611230000000001E-3</v>
      </c>
      <c r="O3944">
        <v>-0.10575329999999999</v>
      </c>
      <c r="P3944">
        <v>-0.99424239999999997</v>
      </c>
      <c r="Q3944">
        <v>-3.2032089999999999E-2</v>
      </c>
      <c r="R3944">
        <v>-0.1022547</v>
      </c>
      <c r="S3944">
        <v>-3.0045009999999999</v>
      </c>
      <c r="T3944">
        <v>-0.1191989</v>
      </c>
      <c r="U3944">
        <v>-8.9202879999999998E-2</v>
      </c>
      <c r="V3944">
        <v>3.3362359999999998E-3</v>
      </c>
      <c r="W3944">
        <v>-2.259429E-2</v>
      </c>
      <c r="X3944">
        <v>0.99973920000000005</v>
      </c>
      <c r="Y3944">
        <v>7.6079270000000004E-2</v>
      </c>
      <c r="Z3944">
        <v>5.0520349999999999E-3</v>
      </c>
      <c r="AA3944">
        <v>0.997089</v>
      </c>
      <c r="AB3944">
        <v>24</v>
      </c>
      <c r="AC3944">
        <v>-27.6541</v>
      </c>
      <c r="AD3944">
        <v>-1.1065628602499999</v>
      </c>
      <c r="AE3944">
        <v>-0.80609999999998605</v>
      </c>
      <c r="AF3944">
        <v>2.11967284904516</v>
      </c>
      <c r="AG3944">
        <v>-1.1065628602499999</v>
      </c>
      <c r="AH3944">
        <v>27.540205746357898</v>
      </c>
      <c r="AI3944">
        <v>92.294123624305797</v>
      </c>
      <c r="AJ3944">
        <v>85.598822149333998</v>
      </c>
      <c r="AK3944">
        <v>27.643813537614299</v>
      </c>
      <c r="AL3944">
        <v>91.2946675640666</v>
      </c>
      <c r="AM3944">
        <v>89.808798601985899</v>
      </c>
      <c r="AN3944">
        <v>1.0000000502139399</v>
      </c>
    </row>
    <row r="3945" spans="1:40" x14ac:dyDescent="0.25">
      <c r="A3945" t="str">
        <f>"20190305135312997"</f>
        <v>20190305135312997</v>
      </c>
      <c r="B3945" t="str">
        <f>"1551765192993838"</f>
        <v>1551765192993838</v>
      </c>
      <c r="C3945" t="s">
        <v>40</v>
      </c>
      <c r="D3945">
        <v>4.748024</v>
      </c>
      <c r="E3945">
        <v>0.52750589999999997</v>
      </c>
      <c r="F3945" t="s">
        <v>42</v>
      </c>
      <c r="G3945">
        <v>-242.50729999999999</v>
      </c>
      <c r="H3945" s="1">
        <v>-3.4216110000000001E-6</v>
      </c>
      <c r="I3945">
        <v>140.46180000000001</v>
      </c>
      <c r="J3945">
        <v>-216.3818</v>
      </c>
      <c r="K3945">
        <v>1.1065799999999999</v>
      </c>
      <c r="L3945">
        <v>141.21029999999999</v>
      </c>
      <c r="M3945">
        <v>-0.9947163</v>
      </c>
      <c r="N3945">
        <v>-9.3897589999999993E-3</v>
      </c>
      <c r="O3945">
        <v>-0.1022315</v>
      </c>
      <c r="P3945">
        <v>-0.99420759999999997</v>
      </c>
      <c r="Q3945">
        <v>-3.4316649999999997E-2</v>
      </c>
      <c r="R3945">
        <v>-0.1018521</v>
      </c>
      <c r="S3945">
        <v>-3.0042879999999998</v>
      </c>
      <c r="T3945">
        <v>-0.12607989999999999</v>
      </c>
      <c r="U3945">
        <v>-8.7753300000000006E-2</v>
      </c>
      <c r="V3945">
        <v>1.8246779999999999E-4</v>
      </c>
      <c r="W3945">
        <v>-2.4932369999999999E-2</v>
      </c>
      <c r="X3945">
        <v>0.9996891</v>
      </c>
      <c r="Y3945">
        <v>7.3016150000000002E-2</v>
      </c>
      <c r="Z3945">
        <v>5.1934360000000001E-3</v>
      </c>
      <c r="AA3945">
        <v>0.99731729999999996</v>
      </c>
      <c r="AB3945">
        <v>24</v>
      </c>
      <c r="AC3945">
        <v>-26.125499999999899</v>
      </c>
      <c r="AD3945">
        <v>-1.106583421611</v>
      </c>
      <c r="AE3945">
        <v>-0.74849999999997796</v>
      </c>
      <c r="AF3945">
        <v>1.9229418006775301</v>
      </c>
      <c r="AG3945">
        <v>-1.106583421611</v>
      </c>
      <c r="AH3945">
        <v>26.018489832037599</v>
      </c>
      <c r="AI3945">
        <v>92.428743198657997</v>
      </c>
      <c r="AJ3945">
        <v>85.773140453117406</v>
      </c>
      <c r="AK3945">
        <v>26.112909550213299</v>
      </c>
      <c r="AL3945">
        <v>91.428667649356697</v>
      </c>
      <c r="AM3945">
        <v>89.989542113922198</v>
      </c>
      <c r="AN3945">
        <v>0.99999997651356198</v>
      </c>
    </row>
    <row r="3946" spans="1:40" x14ac:dyDescent="0.25">
      <c r="A3946" t="str">
        <f>"20190305135313020"</f>
        <v>20190305135313020</v>
      </c>
      <c r="B3946" t="str">
        <f>"1551765193013359"</f>
        <v>1551765193013359</v>
      </c>
      <c r="C3946" t="s">
        <v>40</v>
      </c>
      <c r="D3946">
        <v>4.7587590000000004</v>
      </c>
      <c r="E3946">
        <v>0.52723069999999905</v>
      </c>
      <c r="F3946" t="s">
        <v>42</v>
      </c>
      <c r="G3946">
        <v>-242.82480000000001</v>
      </c>
      <c r="H3946" s="1">
        <v>-3.2839649999999999E-6</v>
      </c>
      <c r="I3946">
        <v>140.4564</v>
      </c>
      <c r="J3946">
        <v>-216.6284</v>
      </c>
      <c r="K3946">
        <v>1.1066020000000001</v>
      </c>
      <c r="L3946">
        <v>141.18889999999999</v>
      </c>
      <c r="M3946">
        <v>-0.9950715</v>
      </c>
      <c r="N3946">
        <v>-9.3209980000000005E-3</v>
      </c>
      <c r="O3946">
        <v>-9.8719849999999998E-2</v>
      </c>
      <c r="P3946">
        <v>-0.99424820000000003</v>
      </c>
      <c r="Q3946">
        <v>-3.6163859999999999E-2</v>
      </c>
      <c r="R3946">
        <v>-0.1008106</v>
      </c>
      <c r="S3946">
        <v>-3.0043790000000001</v>
      </c>
      <c r="T3946">
        <v>-0.1257268</v>
      </c>
      <c r="U3946">
        <v>-8.5647580000000001E-2</v>
      </c>
      <c r="V3946">
        <v>-2.3130799999999999E-3</v>
      </c>
      <c r="W3946">
        <v>-2.6834799999999999E-2</v>
      </c>
      <c r="X3946">
        <v>0.9996372</v>
      </c>
      <c r="Y3946">
        <v>7.0200360000000003E-2</v>
      </c>
      <c r="Z3946">
        <v>4.9962679999999999E-3</v>
      </c>
      <c r="AA3946">
        <v>0.99752039999999997</v>
      </c>
      <c r="AB3946">
        <v>24</v>
      </c>
      <c r="AC3946">
        <v>-26.196400000000001</v>
      </c>
      <c r="AD3946">
        <v>-1.106605283965</v>
      </c>
      <c r="AE3946">
        <v>-0.73249999999998705</v>
      </c>
      <c r="AF3946">
        <v>1.8539899413371701</v>
      </c>
      <c r="AG3946">
        <v>-1.106605283965</v>
      </c>
      <c r="AH3946">
        <v>26.0942145865002</v>
      </c>
      <c r="AI3946">
        <v>92.422249528666399</v>
      </c>
      <c r="AJ3946">
        <v>85.935972990214296</v>
      </c>
      <c r="AK3946">
        <v>26.183389559860299</v>
      </c>
      <c r="AL3946">
        <v>91.537705382561896</v>
      </c>
      <c r="AM3946">
        <v>90.132577584293202</v>
      </c>
      <c r="AN3946">
        <v>0.99999999422698305</v>
      </c>
    </row>
    <row r="3947" spans="1:40" x14ac:dyDescent="0.25">
      <c r="A3947" t="str">
        <f>"20190305135313042"</f>
        <v>20190305135313042</v>
      </c>
      <c r="B3947" t="str">
        <f>"1551765193033858"</f>
        <v>1551765193033858</v>
      </c>
      <c r="C3947" t="s">
        <v>40</v>
      </c>
      <c r="D3947">
        <v>4.755414</v>
      </c>
      <c r="E3947">
        <v>0.5270475</v>
      </c>
      <c r="F3947" t="s">
        <v>42</v>
      </c>
      <c r="G3947">
        <v>-242.1713</v>
      </c>
      <c r="H3947" s="1">
        <v>-3.5676529999999999E-6</v>
      </c>
      <c r="I3947">
        <v>140.46879999999999</v>
      </c>
      <c r="J3947">
        <v>-216.88310000000001</v>
      </c>
      <c r="K3947">
        <v>1.106627</v>
      </c>
      <c r="L3947">
        <v>141.1677</v>
      </c>
      <c r="M3947">
        <v>-0.99541880000000005</v>
      </c>
      <c r="N3947">
        <v>-9.2569239999999997E-3</v>
      </c>
      <c r="O3947">
        <v>-9.5162269999999993E-2</v>
      </c>
      <c r="P3947">
        <v>-0.99437030000000004</v>
      </c>
      <c r="Q3947">
        <v>-3.7805310000000002E-2</v>
      </c>
      <c r="R3947">
        <v>-9.8989519999999998E-2</v>
      </c>
      <c r="S3947">
        <v>-3.0040439999999999</v>
      </c>
      <c r="T3947">
        <v>-0.1301455</v>
      </c>
      <c r="U3947">
        <v>-8.4686280000000003E-2</v>
      </c>
      <c r="V3947">
        <v>-4.0674860000000004E-3</v>
      </c>
      <c r="W3947">
        <v>-2.8531359999999999E-2</v>
      </c>
      <c r="X3947">
        <v>0.99958460000000005</v>
      </c>
      <c r="Y3947">
        <v>6.6945889999999994E-2</v>
      </c>
      <c r="Z3947">
        <v>4.991512E-3</v>
      </c>
      <c r="AA3947">
        <v>0.99774410000000002</v>
      </c>
      <c r="AB3947">
        <v>25</v>
      </c>
      <c r="AC3947">
        <v>-25.2881999999999</v>
      </c>
      <c r="AD3947">
        <v>-1.1066305676529999</v>
      </c>
      <c r="AE3947">
        <v>-0.69890000000000896</v>
      </c>
      <c r="AF3947">
        <v>1.7075899603517299</v>
      </c>
      <c r="AG3947">
        <v>-1.1066305676529999</v>
      </c>
      <c r="AH3947">
        <v>25.1917329059549</v>
      </c>
      <c r="AI3947">
        <v>92.509539181162296</v>
      </c>
      <c r="AJ3947">
        <v>86.122209333538905</v>
      </c>
      <c r="AK3947">
        <v>25.273778931749199</v>
      </c>
      <c r="AL3947">
        <v>91.634948417824901</v>
      </c>
      <c r="AM3947">
        <v>90.233145343322306</v>
      </c>
      <c r="AN3947">
        <v>0.99999997775148397</v>
      </c>
    </row>
    <row r="3948" spans="1:40" x14ac:dyDescent="0.25">
      <c r="A3948" t="str">
        <f>"20190305135313065"</f>
        <v>20190305135313065</v>
      </c>
      <c r="B3948" t="str">
        <f>"1551765193053378"</f>
        <v>1551765193053378</v>
      </c>
      <c r="C3948" t="s">
        <v>40</v>
      </c>
      <c r="D3948">
        <v>4.7617229999999999</v>
      </c>
      <c r="E3948">
        <v>0.52705559999999996</v>
      </c>
      <c r="F3948" t="s">
        <v>42</v>
      </c>
      <c r="G3948">
        <v>-241.73159999999999</v>
      </c>
      <c r="H3948" s="1">
        <v>-3.7646849999999999E-6</v>
      </c>
      <c r="I3948">
        <v>140.50040000000001</v>
      </c>
      <c r="J3948">
        <v>-217.1293</v>
      </c>
      <c r="K3948">
        <v>1.106643</v>
      </c>
      <c r="L3948">
        <v>141.14789999999999</v>
      </c>
      <c r="M3948">
        <v>-0.99573610000000001</v>
      </c>
      <c r="N3948">
        <v>-9.1968250000000005E-3</v>
      </c>
      <c r="O3948">
        <v>-9.1788869999999995E-2</v>
      </c>
      <c r="P3948">
        <v>-0.99452430000000003</v>
      </c>
      <c r="Q3948">
        <v>-3.9615350000000001E-2</v>
      </c>
      <c r="R3948">
        <v>-9.6707959999999996E-2</v>
      </c>
      <c r="S3948">
        <v>-3.00386</v>
      </c>
      <c r="T3948">
        <v>-0.13377729999999999</v>
      </c>
      <c r="U3948">
        <v>-8.0657960000000001E-2</v>
      </c>
      <c r="V3948">
        <v>-5.174906E-3</v>
      </c>
      <c r="W3948">
        <v>-3.0396449999999998E-2</v>
      </c>
      <c r="X3948">
        <v>0.99952450000000004</v>
      </c>
      <c r="Y3948">
        <v>6.489673E-2</v>
      </c>
      <c r="Z3948">
        <v>4.9774099999999998E-3</v>
      </c>
      <c r="AA3948">
        <v>0.99787959999999998</v>
      </c>
      <c r="AB3948">
        <v>25</v>
      </c>
      <c r="AC3948">
        <v>-24.6022999999999</v>
      </c>
      <c r="AD3948">
        <v>-1.106646764685</v>
      </c>
      <c r="AE3948">
        <v>-0.64749999999997898</v>
      </c>
      <c r="AF3948">
        <v>1.6102904100448601</v>
      </c>
      <c r="AG3948">
        <v>-1.106646764685</v>
      </c>
      <c r="AH3948">
        <v>24.508314115927899</v>
      </c>
      <c r="AI3948">
        <v>92.579818640478607</v>
      </c>
      <c r="AJ3948">
        <v>86.240850325035893</v>
      </c>
      <c r="AK3948">
        <v>24.586076609972999</v>
      </c>
      <c r="AL3948">
        <v>91.741856640766002</v>
      </c>
      <c r="AM3948">
        <v>90.296638675666202</v>
      </c>
      <c r="AN3948">
        <v>0.99999997496248005</v>
      </c>
    </row>
    <row r="3949" spans="1:40" x14ac:dyDescent="0.25">
      <c r="A3949" t="str">
        <f>"20190305135313086"</f>
        <v>20190305135313086</v>
      </c>
      <c r="B3949" t="str">
        <f>"1551765193083630"</f>
        <v>1551765193083630</v>
      </c>
      <c r="C3949" t="s">
        <v>40</v>
      </c>
      <c r="D3949">
        <v>4.833869</v>
      </c>
      <c r="E3949">
        <v>0.55937150000000002</v>
      </c>
      <c r="F3949" t="s">
        <v>42</v>
      </c>
      <c r="G3949">
        <v>-241.27969999999999</v>
      </c>
      <c r="H3949" s="1">
        <v>-3.9727629999999999E-6</v>
      </c>
      <c r="I3949">
        <v>140.5539</v>
      </c>
      <c r="J3949">
        <v>-217.3604</v>
      </c>
      <c r="K3949">
        <v>1.106646</v>
      </c>
      <c r="L3949">
        <v>141.1301</v>
      </c>
      <c r="M3949">
        <v>-0.99601770000000001</v>
      </c>
      <c r="N3949">
        <v>-9.1423519999999994E-3</v>
      </c>
      <c r="O3949">
        <v>-8.8686769999999998E-2</v>
      </c>
      <c r="P3949">
        <v>-0.99467689999999997</v>
      </c>
      <c r="Q3949">
        <v>-4.1793719999999999E-2</v>
      </c>
      <c r="R3949">
        <v>-9.4189090000000003E-2</v>
      </c>
      <c r="S3949">
        <v>-3.0038450000000001</v>
      </c>
      <c r="T3949">
        <v>-0.13764560000000001</v>
      </c>
      <c r="U3949">
        <v>-7.388306E-2</v>
      </c>
      <c r="V3949">
        <v>-5.774553E-3</v>
      </c>
      <c r="W3949">
        <v>-3.2627249999999997E-2</v>
      </c>
      <c r="X3949">
        <v>0.99945090000000003</v>
      </c>
      <c r="Y3949">
        <v>6.4031959999999999E-2</v>
      </c>
      <c r="Z3949">
        <v>5.0036809999999899E-3</v>
      </c>
      <c r="AA3949">
        <v>0.99793529999999997</v>
      </c>
      <c r="AB3949">
        <v>25</v>
      </c>
      <c r="AC3949">
        <v>-23.9193</v>
      </c>
      <c r="AD3949">
        <v>-1.1066499727629999</v>
      </c>
      <c r="AE3949">
        <v>-0.57620000000000005</v>
      </c>
      <c r="AF3949">
        <v>1.54418112234404</v>
      </c>
      <c r="AG3949">
        <v>-1.1066499727629999</v>
      </c>
      <c r="AH3949">
        <v>23.825173928922801</v>
      </c>
      <c r="AI3949">
        <v>92.653846700309799</v>
      </c>
      <c r="AJ3949">
        <v>86.291675090994005</v>
      </c>
      <c r="AK3949">
        <v>23.900796686391899</v>
      </c>
      <c r="AL3949">
        <v>91.869735570722497</v>
      </c>
      <c r="AM3949">
        <v>90.331035605625104</v>
      </c>
      <c r="AN3949">
        <v>0.99999999220786095</v>
      </c>
    </row>
    <row r="3950" spans="1:40" x14ac:dyDescent="0.25">
      <c r="A3950" t="str">
        <f>"20190305135313109"</f>
        <v>20190305135313109</v>
      </c>
      <c r="B3950" t="str">
        <f>"1551765193104127"</f>
        <v>1551765193104127</v>
      </c>
      <c r="C3950" t="s">
        <v>40</v>
      </c>
      <c r="D3950">
        <v>4.6929639999999999</v>
      </c>
      <c r="E3950">
        <v>0.56149450000000001</v>
      </c>
      <c r="F3950" t="s">
        <v>42</v>
      </c>
      <c r="G3950">
        <v>-247.8013</v>
      </c>
      <c r="H3950" s="1">
        <v>-1.8328240000000001E-6</v>
      </c>
      <c r="I3950">
        <v>143.02600000000001</v>
      </c>
      <c r="J3950">
        <v>-217.62270000000001</v>
      </c>
      <c r="K3950">
        <v>1.10667</v>
      </c>
      <c r="L3950">
        <v>141.11070000000001</v>
      </c>
      <c r="M3950">
        <v>-0.99631879999999995</v>
      </c>
      <c r="N3950">
        <v>-9.0875499999999998E-3</v>
      </c>
      <c r="O3950">
        <v>-8.5243529999999998E-2</v>
      </c>
      <c r="P3950">
        <v>-0.99482800000000005</v>
      </c>
      <c r="Q3950">
        <v>-4.3886679999999997E-2</v>
      </c>
      <c r="R3950">
        <v>-9.1605549999999994E-2</v>
      </c>
      <c r="S3950">
        <v>-3.0292970000000001</v>
      </c>
      <c r="T3950">
        <v>-0.11012710000000001</v>
      </c>
      <c r="U3950">
        <v>0.18867490000000001</v>
      </c>
      <c r="V3950">
        <v>-6.6490619999999999E-3</v>
      </c>
      <c r="W3950">
        <v>-3.4771730000000001E-2</v>
      </c>
      <c r="X3950">
        <v>0.99937310000000001</v>
      </c>
      <c r="Y3950">
        <v>0.14686640000000001</v>
      </c>
      <c r="Z3950">
        <v>5.6546249999999999E-3</v>
      </c>
      <c r="AA3950">
        <v>0.98914020000000002</v>
      </c>
      <c r="AB3950">
        <v>25</v>
      </c>
      <c r="AC3950">
        <v>-30.1785999999999</v>
      </c>
      <c r="AD3950">
        <v>-1.1066718328239999</v>
      </c>
      <c r="AE3950">
        <v>1.9153</v>
      </c>
      <c r="AF3950">
        <v>4.4749708399468204</v>
      </c>
      <c r="AG3950">
        <v>-1.1066718328239999</v>
      </c>
      <c r="AH3950">
        <v>29.865471286422601</v>
      </c>
      <c r="AI3950">
        <v>92.098729665472803</v>
      </c>
      <c r="AJ3950">
        <v>81.478334127511104</v>
      </c>
      <c r="AK3950">
        <v>30.219140651647798</v>
      </c>
      <c r="AL3950">
        <v>91.992675184710706</v>
      </c>
      <c r="AM3950">
        <v>90.381196541405501</v>
      </c>
      <c r="AN3950">
        <v>0.99999993811813903</v>
      </c>
    </row>
    <row r="3951" spans="1:40" x14ac:dyDescent="0.25">
      <c r="A3951" t="str">
        <f>"20190305135313133"</f>
        <v>20190305135313133</v>
      </c>
      <c r="B3951" t="str">
        <f>"1551765193123648"</f>
        <v>1551765193123648</v>
      </c>
      <c r="C3951" t="s">
        <v>40</v>
      </c>
      <c r="D3951">
        <v>4.6823689999999996</v>
      </c>
      <c r="E3951">
        <v>0.56219049999999904</v>
      </c>
      <c r="F3951" t="s">
        <v>42</v>
      </c>
      <c r="G3951">
        <v>-247.74279999999999</v>
      </c>
      <c r="H3951" s="1">
        <v>-1.911851E-6</v>
      </c>
      <c r="I3951">
        <v>143.2287</v>
      </c>
      <c r="J3951">
        <v>-217.88829999999999</v>
      </c>
      <c r="K3951">
        <v>1.106687</v>
      </c>
      <c r="L3951">
        <v>141.09190000000001</v>
      </c>
      <c r="M3951">
        <v>-0.99660599999999999</v>
      </c>
      <c r="N3951">
        <v>-9.0385980000000001E-3</v>
      </c>
      <c r="O3951">
        <v>-8.1822919999999993E-2</v>
      </c>
      <c r="P3951">
        <v>-0.9950175</v>
      </c>
      <c r="Q3951">
        <v>-4.5482790000000002E-2</v>
      </c>
      <c r="R3951">
        <v>-8.8724059999999993E-2</v>
      </c>
      <c r="S3951">
        <v>-3.030319</v>
      </c>
      <c r="T3951">
        <v>-0.11133999999999999</v>
      </c>
      <c r="U3951">
        <v>0.213089</v>
      </c>
      <c r="V3951">
        <v>-7.1971350000000003E-3</v>
      </c>
      <c r="W3951">
        <v>-3.6415089999999997E-2</v>
      </c>
      <c r="X3951">
        <v>0.9993109</v>
      </c>
      <c r="Y3951">
        <v>0.15137719999999999</v>
      </c>
      <c r="Z3951">
        <v>5.7245430000000003E-3</v>
      </c>
      <c r="AA3951">
        <v>0.98845950000000005</v>
      </c>
      <c r="AB3951">
        <v>25</v>
      </c>
      <c r="AC3951">
        <v>-29.854500000000002</v>
      </c>
      <c r="AD3951">
        <v>-1.1066889118509999</v>
      </c>
      <c r="AE3951">
        <v>2.1367999999999898</v>
      </c>
      <c r="AF3951">
        <v>4.5662736514599302</v>
      </c>
      <c r="AG3951">
        <v>-1.1066889118509999</v>
      </c>
      <c r="AH3951">
        <v>29.539155757118799</v>
      </c>
      <c r="AI3951">
        <v>92.120429426936795</v>
      </c>
      <c r="AJ3951">
        <v>81.2125579641705</v>
      </c>
      <c r="AK3951">
        <v>29.910488766500499</v>
      </c>
      <c r="AL3951">
        <v>92.086892226450004</v>
      </c>
      <c r="AM3951">
        <v>90.412642682551905</v>
      </c>
      <c r="AN3951">
        <v>1.0000000661953601</v>
      </c>
    </row>
    <row r="3952" spans="1:40" x14ac:dyDescent="0.25">
      <c r="A3952" t="str">
        <f>"20190305135313155"</f>
        <v>20190305135313155</v>
      </c>
      <c r="B3952" t="str">
        <f>"1551765193153903"</f>
        <v>1551765193153903</v>
      </c>
      <c r="C3952" t="s">
        <v>40</v>
      </c>
      <c r="D3952">
        <v>4.7144459999999997</v>
      </c>
      <c r="E3952">
        <v>0.56370509999999996</v>
      </c>
      <c r="F3952" t="s">
        <v>42</v>
      </c>
      <c r="G3952">
        <v>-248.79849999999999</v>
      </c>
      <c r="H3952" s="1">
        <v>-1.5061779999999999E-6</v>
      </c>
      <c r="I3952">
        <v>143.40629999999999</v>
      </c>
      <c r="J3952">
        <v>-218.13919999999999</v>
      </c>
      <c r="K3952">
        <v>1.106706</v>
      </c>
      <c r="L3952">
        <v>141.07490000000001</v>
      </c>
      <c r="M3952">
        <v>-0.99686129999999995</v>
      </c>
      <c r="N3952">
        <v>-8.9969249999999994E-3</v>
      </c>
      <c r="O3952">
        <v>-7.8655989999999995E-2</v>
      </c>
      <c r="P3952">
        <v>-0.99522359999999999</v>
      </c>
      <c r="Q3952">
        <v>-4.6311039999999998E-2</v>
      </c>
      <c r="R3952">
        <v>-8.5936879999999993E-2</v>
      </c>
      <c r="S3952">
        <v>-3.0303339999999999</v>
      </c>
      <c r="T3952">
        <v>-0.1084961</v>
      </c>
      <c r="U3952">
        <v>0.22689819999999999</v>
      </c>
      <c r="V3952">
        <v>-7.5776209999999997E-3</v>
      </c>
      <c r="W3952">
        <v>-3.7283910000000003E-2</v>
      </c>
      <c r="X3952">
        <v>0.99927600000000005</v>
      </c>
      <c r="Y3952">
        <v>0.15272479999999999</v>
      </c>
      <c r="Z3952">
        <v>5.5222659999999996E-3</v>
      </c>
      <c r="AA3952">
        <v>0.98825339999999995</v>
      </c>
      <c r="AB3952">
        <v>25</v>
      </c>
      <c r="AC3952">
        <v>-30.659300000000002</v>
      </c>
      <c r="AD3952">
        <v>-1.1067075061780001</v>
      </c>
      <c r="AE3952">
        <v>2.3313999999999702</v>
      </c>
      <c r="AF3952">
        <v>4.7296840186742299</v>
      </c>
      <c r="AG3952">
        <v>-1.1067075061780001</v>
      </c>
      <c r="AH3952">
        <v>30.3416107104518</v>
      </c>
      <c r="AI3952">
        <v>92.064027955369497</v>
      </c>
      <c r="AJ3952">
        <v>81.139974021424393</v>
      </c>
      <c r="AK3952">
        <v>30.7279685779151</v>
      </c>
      <c r="AL3952">
        <v>92.136705880594107</v>
      </c>
      <c r="AM3952">
        <v>90.434471937993195</v>
      </c>
      <c r="AN3952">
        <v>1.00000001723045</v>
      </c>
    </row>
    <row r="3953" spans="1:40" x14ac:dyDescent="0.25">
      <c r="A3953" t="str">
        <f>"20190305135313176"</f>
        <v>20190305135313176</v>
      </c>
      <c r="B3953" t="str">
        <f>"1551765193173423"</f>
        <v>1551765193173423</v>
      </c>
      <c r="C3953" t="s">
        <v>40</v>
      </c>
      <c r="D3953">
        <v>4.734089</v>
      </c>
      <c r="E3953">
        <v>0.56415099999999996</v>
      </c>
      <c r="F3953" t="s">
        <v>42</v>
      </c>
      <c r="G3953">
        <v>-258.30290000000002</v>
      </c>
      <c r="H3953" s="1">
        <v>-1.9646970000000001E-6</v>
      </c>
      <c r="I3953">
        <v>144.3304</v>
      </c>
      <c r="J3953">
        <v>-218.3663</v>
      </c>
      <c r="K3953">
        <v>1.106725</v>
      </c>
      <c r="L3953">
        <v>141.06010000000001</v>
      </c>
      <c r="M3953">
        <v>-0.99707849999999998</v>
      </c>
      <c r="N3953">
        <v>-8.9627279999999997E-3</v>
      </c>
      <c r="O3953">
        <v>-7.5855389999999995E-2</v>
      </c>
      <c r="P3953">
        <v>-0.99549120000000002</v>
      </c>
      <c r="Q3953">
        <v>-4.6204830000000002E-2</v>
      </c>
      <c r="R3953">
        <v>-8.2839999999999997E-2</v>
      </c>
      <c r="S3953">
        <v>-3.0317080000000001</v>
      </c>
      <c r="T3953">
        <v>-8.3538650000000006E-2</v>
      </c>
      <c r="U3953">
        <v>0.24574280000000001</v>
      </c>
      <c r="V3953">
        <v>-7.2722100000000003E-3</v>
      </c>
      <c r="W3953">
        <v>-3.7213910000000003E-2</v>
      </c>
      <c r="X3953">
        <v>0.99928090000000003</v>
      </c>
      <c r="Y3953">
        <v>0.156079</v>
      </c>
      <c r="Z3953">
        <v>4.2550549999999998E-3</v>
      </c>
      <c r="AA3953">
        <v>0.98773540000000004</v>
      </c>
      <c r="AB3953">
        <v>25</v>
      </c>
      <c r="AC3953">
        <v>-39.936599999999999</v>
      </c>
      <c r="AD3953">
        <v>-1.1067269646969999</v>
      </c>
      <c r="AE3953">
        <v>3.27029999999999</v>
      </c>
      <c r="AF3953">
        <v>6.2856101968701097</v>
      </c>
      <c r="AG3953">
        <v>-1.1067269646969999</v>
      </c>
      <c r="AH3953">
        <v>39.5432813156145</v>
      </c>
      <c r="AI3953">
        <v>91.583293455155896</v>
      </c>
      <c r="AJ3953">
        <v>80.968100964258596</v>
      </c>
      <c r="AK3953">
        <v>40.055022622977098</v>
      </c>
      <c r="AL3953">
        <v>92.132692345170099</v>
      </c>
      <c r="AM3953">
        <v>90.4169594207617</v>
      </c>
      <c r="AN3953">
        <v>1.0000000386202901</v>
      </c>
    </row>
    <row r="3954" spans="1:40" x14ac:dyDescent="0.25">
      <c r="A3954" t="str">
        <f>"20190305135313198"</f>
        <v>20190305135313198</v>
      </c>
      <c r="B3954" t="str">
        <f>"1551765193193918"</f>
        <v>1551765193193918</v>
      </c>
      <c r="C3954" t="s">
        <v>40</v>
      </c>
      <c r="D3954">
        <v>4.7434529999999997</v>
      </c>
      <c r="E3954">
        <v>0.56458869999999906</v>
      </c>
      <c r="F3954" t="s">
        <v>42</v>
      </c>
      <c r="G3954">
        <v>-265.32859999999999</v>
      </c>
      <c r="H3954" s="1">
        <v>-3.4276500000000001E-6</v>
      </c>
      <c r="I3954">
        <v>145.05619999999999</v>
      </c>
      <c r="J3954">
        <v>-218.61680000000001</v>
      </c>
      <c r="K3954">
        <v>1.1067640000000001</v>
      </c>
      <c r="L3954">
        <v>141.0444</v>
      </c>
      <c r="M3954">
        <v>-0.9973033</v>
      </c>
      <c r="N3954">
        <v>-8.9285830000000004E-3</v>
      </c>
      <c r="O3954">
        <v>-7.2846709999999995E-2</v>
      </c>
      <c r="P3954">
        <v>-0.99573529999999999</v>
      </c>
      <c r="Q3954">
        <v>-4.5721049999999999E-2</v>
      </c>
      <c r="R3954">
        <v>-8.0132170000000003E-2</v>
      </c>
      <c r="S3954">
        <v>-3.0317379999999998</v>
      </c>
      <c r="T3954">
        <v>-7.1447010000000005E-2</v>
      </c>
      <c r="U3954">
        <v>0.2579803</v>
      </c>
      <c r="V3954">
        <v>-7.5620440000000004E-3</v>
      </c>
      <c r="W3954">
        <v>-3.6763360000000002E-2</v>
      </c>
      <c r="X3954">
        <v>0.99929539999999994</v>
      </c>
      <c r="Y3954">
        <v>0.1570812</v>
      </c>
      <c r="Z3954">
        <v>3.6144459999999999E-3</v>
      </c>
      <c r="AA3954">
        <v>0.98757899999999998</v>
      </c>
      <c r="AB3954">
        <v>25</v>
      </c>
      <c r="AC3954">
        <v>-46.711799999999897</v>
      </c>
      <c r="AD3954">
        <v>-1.1067674276499999</v>
      </c>
      <c r="AE3954">
        <v>4.0117999999999903</v>
      </c>
      <c r="AF3954">
        <v>7.39995279525548</v>
      </c>
      <c r="AG3954">
        <v>-1.1067674276499999</v>
      </c>
      <c r="AH3954">
        <v>46.269640966591602</v>
      </c>
      <c r="AI3954">
        <v>91.353062294848996</v>
      </c>
      <c r="AJ3954">
        <v>80.913574412317203</v>
      </c>
      <c r="AK3954">
        <v>46.870714851474197</v>
      </c>
      <c r="AL3954">
        <v>92.106860109513903</v>
      </c>
      <c r="AM3954">
        <v>90.4335704292115</v>
      </c>
      <c r="AN3954">
        <v>1.0000000128045501</v>
      </c>
    </row>
    <row r="3955" spans="1:40" x14ac:dyDescent="0.25">
      <c r="A3955" t="str">
        <f>"20190305135313220"</f>
        <v>20190305135313220</v>
      </c>
      <c r="B3955" t="str">
        <f>"1551765193213439"</f>
        <v>1551765193213439</v>
      </c>
      <c r="C3955" t="s">
        <v>40</v>
      </c>
      <c r="D3955">
        <v>4.745044</v>
      </c>
      <c r="E3955">
        <v>0.56473459999999998</v>
      </c>
      <c r="F3955" t="s">
        <v>42</v>
      </c>
      <c r="G3955">
        <v>-274.63600000000002</v>
      </c>
      <c r="H3955" s="1">
        <v>-3.8337290000000004E-6</v>
      </c>
      <c r="I3955">
        <v>146.01669999999999</v>
      </c>
      <c r="J3955">
        <v>-218.86779999999999</v>
      </c>
      <c r="K3955">
        <v>1.1068129999999901</v>
      </c>
      <c r="L3955">
        <v>141.02930000000001</v>
      </c>
      <c r="M3955">
        <v>-0.99751259999999997</v>
      </c>
      <c r="N3955">
        <v>-8.8976899999999998E-3</v>
      </c>
      <c r="O3955">
        <v>-6.9924520000000004E-2</v>
      </c>
      <c r="P3955">
        <v>-0.99595730000000005</v>
      </c>
      <c r="Q3955">
        <v>-4.4972140000000001E-2</v>
      </c>
      <c r="R3955">
        <v>-7.7760159999999995E-2</v>
      </c>
      <c r="S3955">
        <v>-3.0317379999999998</v>
      </c>
      <c r="T3955">
        <v>-5.9897899999999997E-2</v>
      </c>
      <c r="U3955">
        <v>0.26910400000000001</v>
      </c>
      <c r="V3955">
        <v>-8.0987960000000001E-3</v>
      </c>
      <c r="W3955">
        <v>-3.6043480000000003E-2</v>
      </c>
      <c r="X3955">
        <v>0.99931740000000002</v>
      </c>
      <c r="Y3955">
        <v>0.1578032</v>
      </c>
      <c r="Z3955">
        <v>3.0172290000000002E-3</v>
      </c>
      <c r="AA3955">
        <v>0.98746599999999995</v>
      </c>
      <c r="AB3955">
        <v>25</v>
      </c>
      <c r="AC3955">
        <v>-55.768199999999901</v>
      </c>
      <c r="AD3955">
        <v>-1.1068168337290001</v>
      </c>
      <c r="AE3955">
        <v>4.9873999999999796</v>
      </c>
      <c r="AF3955">
        <v>8.8714436236174699</v>
      </c>
      <c r="AG3955">
        <v>-1.1068168337290001</v>
      </c>
      <c r="AH3955">
        <v>55.261334822825702</v>
      </c>
      <c r="AI3955">
        <v>91.132908986131397</v>
      </c>
      <c r="AJ3955">
        <v>80.879771529552499</v>
      </c>
      <c r="AK3955">
        <v>55.979841745675799</v>
      </c>
      <c r="AL3955">
        <v>92.065586704295896</v>
      </c>
      <c r="AM3955">
        <v>90.464333625355806</v>
      </c>
      <c r="AN3955">
        <v>0.99999999444496002</v>
      </c>
    </row>
    <row r="3956" spans="1:40" x14ac:dyDescent="0.25">
      <c r="A3956" t="str">
        <f>"20190305135313244"</f>
        <v>20190305135313244</v>
      </c>
      <c r="B3956" t="str">
        <f>"1551765193233938"</f>
        <v>1551765193233938</v>
      </c>
      <c r="C3956" t="s">
        <v>40</v>
      </c>
      <c r="D3956">
        <v>4.7602479999999998</v>
      </c>
      <c r="E3956">
        <v>0.56472489999999997</v>
      </c>
      <c r="F3956" t="s">
        <v>78</v>
      </c>
      <c r="G3956">
        <v>-285.20179999999999</v>
      </c>
      <c r="H3956" s="1">
        <v>-8.3864190000000002E-6</v>
      </c>
      <c r="I3956">
        <v>147.09</v>
      </c>
      <c r="J3956">
        <v>-219.13290000000001</v>
      </c>
      <c r="K3956">
        <v>1.1068629999999999</v>
      </c>
      <c r="L3956">
        <v>141.01410000000001</v>
      </c>
      <c r="M3956">
        <v>-0.99771699999999996</v>
      </c>
      <c r="N3956">
        <v>-8.8687019999999991E-3</v>
      </c>
      <c r="O3956">
        <v>-6.6949709999999996E-2</v>
      </c>
      <c r="P3956">
        <v>-0.9961392</v>
      </c>
      <c r="Q3956">
        <v>-4.4332759999999999E-2</v>
      </c>
      <c r="R3956">
        <v>-7.5773640000000003E-2</v>
      </c>
      <c r="S3956">
        <v>-3.0315400000000001</v>
      </c>
      <c r="T3956">
        <v>-5.0583000000000003E-2</v>
      </c>
      <c r="U3956">
        <v>0.27697749999999999</v>
      </c>
      <c r="V3956">
        <v>-9.0744099999999998E-3</v>
      </c>
      <c r="W3956">
        <v>-3.542965E-2</v>
      </c>
      <c r="X3956">
        <v>0.99933099999999997</v>
      </c>
      <c r="Y3956">
        <v>0.15742139999999999</v>
      </c>
      <c r="Z3956">
        <v>2.532641E-3</v>
      </c>
      <c r="AA3956">
        <v>0.98752830000000003</v>
      </c>
      <c r="AB3956">
        <v>25</v>
      </c>
      <c r="AC3956">
        <v>-66.0688999999999</v>
      </c>
      <c r="AD3956">
        <v>-1.1068713864189901</v>
      </c>
      <c r="AE3956">
        <v>6.0758999999999901</v>
      </c>
      <c r="AF3956">
        <v>10.4828165496269</v>
      </c>
      <c r="AG3956">
        <v>-1.1068713864189901</v>
      </c>
      <c r="AH3956">
        <v>65.495628550723396</v>
      </c>
      <c r="AI3956">
        <v>90.956036617361207</v>
      </c>
      <c r="AJ3956">
        <v>80.906724087565905</v>
      </c>
      <c r="AK3956">
        <v>66.338465209360507</v>
      </c>
      <c r="AL3956">
        <v>92.030394291234799</v>
      </c>
      <c r="AM3956">
        <v>90.520259158470196</v>
      </c>
      <c r="AN3956">
        <v>1.0000000262884801</v>
      </c>
    </row>
    <row r="3957" spans="1:40" x14ac:dyDescent="0.25">
      <c r="A3957" t="str">
        <f>"20190305135313265"</f>
        <v>20190305135313265</v>
      </c>
      <c r="B3957" t="str">
        <f>"1551765193253458"</f>
        <v>1551765193253458</v>
      </c>
      <c r="C3957" t="s">
        <v>40</v>
      </c>
      <c r="D3957">
        <v>4.7533200000000004</v>
      </c>
      <c r="E3957">
        <v>0.56451130000000005</v>
      </c>
      <c r="F3957" t="s">
        <v>78</v>
      </c>
      <c r="G3957">
        <v>-293.19439999999997</v>
      </c>
      <c r="H3957" s="1">
        <v>-1.0885930000000001E-5</v>
      </c>
      <c r="I3957">
        <v>147.9222</v>
      </c>
      <c r="J3957">
        <v>-219.37039999999999</v>
      </c>
      <c r="K3957">
        <v>1.1069199999999999</v>
      </c>
      <c r="L3957">
        <v>141.001</v>
      </c>
      <c r="M3957">
        <v>-0.99788529999999998</v>
      </c>
      <c r="N3957">
        <v>-8.8455770000000003E-3</v>
      </c>
      <c r="O3957">
        <v>-6.4394770000000004E-2</v>
      </c>
      <c r="P3957">
        <v>-0.9962356</v>
      </c>
      <c r="Q3957">
        <v>-4.4731519999999997E-2</v>
      </c>
      <c r="R3957">
        <v>-7.4256929999999999E-2</v>
      </c>
      <c r="S3957">
        <v>-3.0311279999999998</v>
      </c>
      <c r="T3957">
        <v>-4.5301199999999903E-2</v>
      </c>
      <c r="U3957">
        <v>0.28273009999999998</v>
      </c>
      <c r="V3957">
        <v>-1.010878E-2</v>
      </c>
      <c r="W3957">
        <v>-3.5848560000000002E-2</v>
      </c>
      <c r="X3957">
        <v>0.99930609999999997</v>
      </c>
      <c r="Y3957">
        <v>0.15676970000000001</v>
      </c>
      <c r="Z3957">
        <v>2.2560639999999999E-3</v>
      </c>
      <c r="AA3957">
        <v>0.98763259999999997</v>
      </c>
      <c r="AB3957">
        <v>25</v>
      </c>
      <c r="AC3957">
        <v>-73.823999999999899</v>
      </c>
      <c r="AD3957">
        <v>-1.10693088593</v>
      </c>
      <c r="AE3957">
        <v>6.92119999999999</v>
      </c>
      <c r="AF3957">
        <v>11.6583011840089</v>
      </c>
      <c r="AG3957">
        <v>-1.10693088593</v>
      </c>
      <c r="AH3957">
        <v>73.208744190569902</v>
      </c>
      <c r="AI3957">
        <v>90.855479836395105</v>
      </c>
      <c r="AJ3957">
        <v>80.951773226301</v>
      </c>
      <c r="AK3957">
        <v>74.139473348841605</v>
      </c>
      <c r="AL3957">
        <v>92.054411389360595</v>
      </c>
      <c r="AM3957">
        <v>90.5795728407642</v>
      </c>
      <c r="AN3957">
        <v>0.99999999409218598</v>
      </c>
    </row>
    <row r="3958" spans="1:40" x14ac:dyDescent="0.25">
      <c r="A3958" t="str">
        <f>"20190305135313287"</f>
        <v>20190305135313287</v>
      </c>
      <c r="B3958" t="str">
        <f>"1551765193283710"</f>
        <v>1551765193283710</v>
      </c>
      <c r="C3958" t="s">
        <v>40</v>
      </c>
      <c r="D3958">
        <v>4.7449320000000004</v>
      </c>
      <c r="E3958">
        <v>0.56422169999999905</v>
      </c>
      <c r="F3958" t="s">
        <v>78</v>
      </c>
      <c r="G3958">
        <v>-295.33659999999998</v>
      </c>
      <c r="H3958" s="1">
        <v>-1.07406E-5</v>
      </c>
      <c r="I3958">
        <v>148.1575</v>
      </c>
      <c r="J3958">
        <v>-219.6215</v>
      </c>
      <c r="K3958">
        <v>1.1069850000000001</v>
      </c>
      <c r="L3958">
        <v>140.98769999999999</v>
      </c>
      <c r="M3958">
        <v>-0.99804859999999895</v>
      </c>
      <c r="N3958">
        <v>-8.8236169999999902E-3</v>
      </c>
      <c r="O3958">
        <v>-6.1815200000000001E-2</v>
      </c>
      <c r="P3958">
        <v>-0.99628830000000002</v>
      </c>
      <c r="Q3958">
        <v>-4.5173400000000002E-2</v>
      </c>
      <c r="R3958">
        <v>-7.3273469999999993E-2</v>
      </c>
      <c r="S3958">
        <v>-3.03064</v>
      </c>
      <c r="T3958">
        <v>-4.4160489999999997E-2</v>
      </c>
      <c r="U3958">
        <v>0.28550720000000002</v>
      </c>
      <c r="V3958">
        <v>-1.170153E-2</v>
      </c>
      <c r="W3958">
        <v>-3.6307609999999997E-2</v>
      </c>
      <c r="X3958">
        <v>0.99927220000000005</v>
      </c>
      <c r="Y3958">
        <v>0.15513009999999999</v>
      </c>
      <c r="Z3958">
        <v>2.1684830000000001E-3</v>
      </c>
      <c r="AA3958">
        <v>0.98789170000000004</v>
      </c>
      <c r="AB3958">
        <v>25</v>
      </c>
      <c r="AC3958">
        <v>-75.715099999999893</v>
      </c>
      <c r="AD3958">
        <v>-1.1069957405999999</v>
      </c>
      <c r="AE3958">
        <v>7.1698000000000004</v>
      </c>
      <c r="AF3958">
        <v>11.8341066082781</v>
      </c>
      <c r="AG3958">
        <v>-1.1069957405999999</v>
      </c>
      <c r="AH3958">
        <v>75.111159093313901</v>
      </c>
      <c r="AI3958">
        <v>90.8340823138644</v>
      </c>
      <c r="AJ3958">
        <v>81.046390246236498</v>
      </c>
      <c r="AK3958">
        <v>76.0457608228553</v>
      </c>
      <c r="AL3958">
        <v>92.0807300371916</v>
      </c>
      <c r="AM3958">
        <v>90.670905925551693</v>
      </c>
      <c r="AN3958">
        <v>1.0000000490205401</v>
      </c>
    </row>
    <row r="3959" spans="1:40" x14ac:dyDescent="0.25">
      <c r="A3959" t="str">
        <f>"20190305135313311"</f>
        <v>20190305135313311</v>
      </c>
      <c r="B3959" t="str">
        <f>"1551765193304207"</f>
        <v>1551765193304207</v>
      </c>
      <c r="C3959" t="s">
        <v>40</v>
      </c>
      <c r="D3959">
        <v>4.740621</v>
      </c>
      <c r="E3959">
        <v>0.56417969999999995</v>
      </c>
      <c r="F3959" t="s">
        <v>78</v>
      </c>
      <c r="G3959">
        <v>-291.20389999999998</v>
      </c>
      <c r="H3959" s="1">
        <v>-1.103349E-5</v>
      </c>
      <c r="I3959">
        <v>147.74940000000001</v>
      </c>
      <c r="J3959">
        <v>-219.88849999999999</v>
      </c>
      <c r="K3959">
        <v>1.107043</v>
      </c>
      <c r="L3959">
        <v>140.97409999999999</v>
      </c>
      <c r="M3959">
        <v>-0.99820819999999999</v>
      </c>
      <c r="N3959">
        <v>-8.8030609999999992E-3</v>
      </c>
      <c r="O3959">
        <v>-5.9188539999999998E-2</v>
      </c>
      <c r="P3959">
        <v>-0.9962818</v>
      </c>
      <c r="Q3959">
        <v>-4.581669E-2</v>
      </c>
      <c r="R3959">
        <v>-7.2963970000000003E-2</v>
      </c>
      <c r="S3959">
        <v>-3.030106</v>
      </c>
      <c r="T3959">
        <v>-4.6859499999999998E-2</v>
      </c>
      <c r="U3959">
        <v>0.28622439999999999</v>
      </c>
      <c r="V3959">
        <v>-1.4018330000000001E-2</v>
      </c>
      <c r="W3959">
        <v>-3.6964320000000002E-2</v>
      </c>
      <c r="X3959">
        <v>0.9992183</v>
      </c>
      <c r="Y3959">
        <v>0.15277539999999901</v>
      </c>
      <c r="Z3959">
        <v>2.2463650000000002E-3</v>
      </c>
      <c r="AA3959">
        <v>0.98825839999999998</v>
      </c>
      <c r="AB3959">
        <v>25</v>
      </c>
      <c r="AC3959">
        <v>-71.315399999999897</v>
      </c>
      <c r="AD3959">
        <v>-1.1070540334899901</v>
      </c>
      <c r="AE3959">
        <v>6.7753000000000103</v>
      </c>
      <c r="AF3959">
        <v>10.982015210199</v>
      </c>
      <c r="AG3959">
        <v>-1.1070540334899901</v>
      </c>
      <c r="AH3959">
        <v>70.772424359309099</v>
      </c>
      <c r="AI3959">
        <v>90.885576517187005</v>
      </c>
      <c r="AJ3959">
        <v>81.179551439643802</v>
      </c>
      <c r="AK3959">
        <v>71.627971326879305</v>
      </c>
      <c r="AL3959">
        <v>92.118382037207397</v>
      </c>
      <c r="AM3959">
        <v>90.803766760514407</v>
      </c>
      <c r="AN3959">
        <v>1.00000004279196</v>
      </c>
    </row>
    <row r="3960" spans="1:40" x14ac:dyDescent="0.25">
      <c r="A3960" t="str">
        <f>"20190305135313334"</f>
        <v>20190305135313334</v>
      </c>
      <c r="B3960" t="str">
        <f>"1551765193323726"</f>
        <v>1551765193323726</v>
      </c>
      <c r="C3960" t="s">
        <v>40</v>
      </c>
      <c r="D3960">
        <v>4.7293430000000001</v>
      </c>
      <c r="E3960">
        <v>0.56407149999999995</v>
      </c>
      <c r="F3960" t="s">
        <v>78</v>
      </c>
      <c r="G3960">
        <v>-285.96089999999998</v>
      </c>
      <c r="H3960" s="1">
        <v>-8.9042280000000002E-6</v>
      </c>
      <c r="I3960">
        <v>147.22980000000001</v>
      </c>
      <c r="J3960">
        <v>-220.1506</v>
      </c>
      <c r="K3960">
        <v>1.107086</v>
      </c>
      <c r="L3960">
        <v>140.9614</v>
      </c>
      <c r="M3960">
        <v>-0.99835309999999999</v>
      </c>
      <c r="N3960">
        <v>-8.7855699999999995E-3</v>
      </c>
      <c r="O3960">
        <v>-5.6694359999999999E-2</v>
      </c>
      <c r="P3960">
        <v>-0.99624559999999995</v>
      </c>
      <c r="Q3960">
        <v>-4.6734989999999997E-2</v>
      </c>
      <c r="R3960">
        <v>-7.2875599999999999E-2</v>
      </c>
      <c r="S3960">
        <v>-3.0298769999999999</v>
      </c>
      <c r="T3960">
        <v>-5.0765989999999997E-2</v>
      </c>
      <c r="U3960">
        <v>0.28686519999999999</v>
      </c>
      <c r="V3960">
        <v>-1.6426719999999999E-2</v>
      </c>
      <c r="W3960">
        <v>-3.7892780000000001E-2</v>
      </c>
      <c r="X3960">
        <v>0.9991468</v>
      </c>
      <c r="Y3960">
        <v>0.15051610000000001</v>
      </c>
      <c r="Z3960">
        <v>2.3719499999999998E-3</v>
      </c>
      <c r="AA3960">
        <v>0.9886047</v>
      </c>
      <c r="AB3960">
        <v>25</v>
      </c>
      <c r="AC3960">
        <v>-65.810299999999899</v>
      </c>
      <c r="AD3960">
        <v>-1.1070949042280001</v>
      </c>
      <c r="AE3960">
        <v>6.2684000000000104</v>
      </c>
      <c r="AF3960">
        <v>9.98673239759888</v>
      </c>
      <c r="AG3960">
        <v>-1.1070949042280001</v>
      </c>
      <c r="AH3960">
        <v>65.330722583234305</v>
      </c>
      <c r="AI3960">
        <v>90.9596958099971</v>
      </c>
      <c r="AJ3960">
        <v>81.308803575137304</v>
      </c>
      <c r="AK3960">
        <v>66.0988940630305</v>
      </c>
      <c r="AL3960">
        <v>92.171616239831707</v>
      </c>
      <c r="AM3960">
        <v>90.941900570660593</v>
      </c>
      <c r="AN3960">
        <v>1.00000001392816</v>
      </c>
    </row>
    <row r="3961" spans="1:40" x14ac:dyDescent="0.25">
      <c r="A3961" t="str">
        <f>"20190305135313354"</f>
        <v>20190305135313354</v>
      </c>
      <c r="B3961" t="str">
        <f>"1551765193344222"</f>
        <v>1551765193344222</v>
      </c>
      <c r="C3961" t="s">
        <v>40</v>
      </c>
      <c r="D3961">
        <v>4.7050689999999999</v>
      </c>
      <c r="E3961">
        <v>0.56390879999999999</v>
      </c>
      <c r="F3961" t="s">
        <v>78</v>
      </c>
      <c r="G3961">
        <v>-282.53590000000003</v>
      </c>
      <c r="H3961" s="1">
        <v>-7.0854090000000004E-6</v>
      </c>
      <c r="I3961">
        <v>146.8579</v>
      </c>
      <c r="J3961">
        <v>-220.3887</v>
      </c>
      <c r="K3961">
        <v>1.107119</v>
      </c>
      <c r="L3961">
        <v>140.9503</v>
      </c>
      <c r="M3961">
        <v>-0.99847640000000004</v>
      </c>
      <c r="N3961">
        <v>-8.7718180000000007E-3</v>
      </c>
      <c r="O3961">
        <v>-5.447925E-2</v>
      </c>
      <c r="P3961">
        <v>-0.99629219999999996</v>
      </c>
      <c r="Q3961">
        <v>-4.6001689999999998E-2</v>
      </c>
      <c r="R3961">
        <v>-7.270575E-2</v>
      </c>
      <c r="S3961">
        <v>-3.0297390000000002</v>
      </c>
      <c r="T3961">
        <v>-5.3765889999999997E-2</v>
      </c>
      <c r="U3961">
        <v>0.2863617</v>
      </c>
      <c r="V3961">
        <v>-1.846536E-2</v>
      </c>
      <c r="W3961">
        <v>-3.7166280000000003E-2</v>
      </c>
      <c r="X3961">
        <v>0.99913850000000004</v>
      </c>
      <c r="Y3961">
        <v>0.1481606</v>
      </c>
      <c r="Z3961">
        <v>2.451108E-3</v>
      </c>
      <c r="AA3961">
        <v>0.98896030000000001</v>
      </c>
      <c r="AB3961">
        <v>25</v>
      </c>
      <c r="AC3961">
        <v>-62.147199999999998</v>
      </c>
      <c r="AD3961">
        <v>-1.1071260854089999</v>
      </c>
      <c r="AE3961">
        <v>5.9076000000000004</v>
      </c>
      <c r="AF3961">
        <v>9.2817697069336091</v>
      </c>
      <c r="AG3961">
        <v>-1.1071260854089999</v>
      </c>
      <c r="AH3961">
        <v>61.713634283051903</v>
      </c>
      <c r="AI3961">
        <v>91.016332525170199</v>
      </c>
      <c r="AJ3961">
        <v>81.446786201718695</v>
      </c>
      <c r="AK3961">
        <v>62.417542674186002</v>
      </c>
      <c r="AL3961">
        <v>92.129961493435403</v>
      </c>
      <c r="AM3961">
        <v>91.058778903311605</v>
      </c>
      <c r="AN3961">
        <v>1.0000000220356</v>
      </c>
    </row>
    <row r="3962" spans="1:40" x14ac:dyDescent="0.25">
      <c r="A3962" t="str">
        <f>"20190305135313376"</f>
        <v>20190305135313376</v>
      </c>
      <c r="B3962" t="str">
        <f>"1551765193373503"</f>
        <v>1551765193373503</v>
      </c>
      <c r="C3962" t="s">
        <v>40</v>
      </c>
      <c r="D3962">
        <v>4.6498489999999997</v>
      </c>
      <c r="E3962">
        <v>0.56366159999999998</v>
      </c>
      <c r="F3962" t="s">
        <v>78</v>
      </c>
      <c r="G3962">
        <v>-281.30110000000002</v>
      </c>
      <c r="H3962" s="1">
        <v>-6.4854510000000001E-6</v>
      </c>
      <c r="I3962">
        <v>146.6961</v>
      </c>
      <c r="J3962">
        <v>-220.6362</v>
      </c>
      <c r="K3962">
        <v>1.1071439999999999</v>
      </c>
      <c r="L3962">
        <v>140.9393</v>
      </c>
      <c r="M3962">
        <v>-0.99859790000000004</v>
      </c>
      <c r="N3962">
        <v>-8.7593849999999997E-3</v>
      </c>
      <c r="O3962">
        <v>-5.2207780000000002E-2</v>
      </c>
      <c r="P3962">
        <v>-0.99638260000000001</v>
      </c>
      <c r="Q3962">
        <v>-4.3663059999999997E-2</v>
      </c>
      <c r="R3962">
        <v>-7.2907050000000001E-2</v>
      </c>
      <c r="S3962">
        <v>-3.0294650000000001</v>
      </c>
      <c r="T3962">
        <v>-5.5062649999999998E-2</v>
      </c>
      <c r="U3962">
        <v>0.28576659999999998</v>
      </c>
      <c r="V3962">
        <v>-2.0923520000000001E-2</v>
      </c>
      <c r="W3962">
        <v>-3.4830529999999998E-2</v>
      </c>
      <c r="X3962">
        <v>0.99917420000000001</v>
      </c>
      <c r="Y3962">
        <v>0.14572539999999901</v>
      </c>
      <c r="Z3962">
        <v>2.4518589999999998E-3</v>
      </c>
      <c r="AA3962">
        <v>0.98932209999999998</v>
      </c>
      <c r="AB3962">
        <v>25</v>
      </c>
      <c r="AC3962">
        <v>-60.664900000000003</v>
      </c>
      <c r="AD3962">
        <v>-1.1071504854509999</v>
      </c>
      <c r="AE3962">
        <v>5.7567999999999904</v>
      </c>
      <c r="AF3962">
        <v>8.9133072824074908</v>
      </c>
      <c r="AG3962">
        <v>-1.1071504854509999</v>
      </c>
      <c r="AH3962">
        <v>60.2617079122478</v>
      </c>
      <c r="AI3962">
        <v>91.041215563852703</v>
      </c>
      <c r="AJ3962">
        <v>81.586385078826495</v>
      </c>
      <c r="AK3962">
        <v>60.927385217233102</v>
      </c>
      <c r="AL3962">
        <v>91.996046053776098</v>
      </c>
      <c r="AM3962">
        <v>91.199644865432305</v>
      </c>
      <c r="AN3962">
        <v>1.00000002072745</v>
      </c>
    </row>
    <row r="3963" spans="1:40" x14ac:dyDescent="0.25">
      <c r="A3963" t="str">
        <f>"20190305135313411"</f>
        <v>20190305135313411</v>
      </c>
      <c r="B3963" t="str">
        <f>"1551765193403759"</f>
        <v>1551765193403759</v>
      </c>
      <c r="C3963" t="s">
        <v>40</v>
      </c>
      <c r="D3963">
        <v>4.6162210000000004</v>
      </c>
      <c r="E3963">
        <v>0.563407199999999</v>
      </c>
      <c r="F3963" t="s">
        <v>78</v>
      </c>
      <c r="G3963">
        <v>-287.69970000000001</v>
      </c>
      <c r="H3963" s="1">
        <v>-9.8278880000000001E-6</v>
      </c>
      <c r="I3963">
        <v>147.2131</v>
      </c>
      <c r="J3963">
        <v>-221.03749999999999</v>
      </c>
      <c r="K3963">
        <v>1.1071500000000001</v>
      </c>
      <c r="L3963">
        <v>140.92269999999999</v>
      </c>
      <c r="M3963">
        <v>-0.99878279999999997</v>
      </c>
      <c r="N3963">
        <v>-8.7426159999999999E-3</v>
      </c>
      <c r="O3963">
        <v>-4.8546369999999998E-2</v>
      </c>
      <c r="P3963">
        <v>-0.99658720000000001</v>
      </c>
      <c r="Q3963">
        <v>-4.1771669999999997E-2</v>
      </c>
      <c r="R3963">
        <v>-7.1200169999999993E-2</v>
      </c>
      <c r="S3963">
        <v>-3.0294340000000002</v>
      </c>
      <c r="T3963">
        <v>-5.001307E-2</v>
      </c>
      <c r="U3963">
        <v>0.28340149999999997</v>
      </c>
      <c r="V3963">
        <v>-2.2863100000000001E-2</v>
      </c>
      <c r="W3963">
        <v>-3.2947659999999997E-2</v>
      </c>
      <c r="X3963">
        <v>0.99919550000000001</v>
      </c>
      <c r="Y3963">
        <v>0.1413392</v>
      </c>
      <c r="Z3963">
        <v>2.159822E-3</v>
      </c>
      <c r="AA3963">
        <v>0.98995889999999997</v>
      </c>
      <c r="AB3963">
        <v>26</v>
      </c>
      <c r="AC3963">
        <v>-66.662199999999999</v>
      </c>
      <c r="AD3963">
        <v>-1.1071598278879999</v>
      </c>
      <c r="AE3963">
        <v>6.2904</v>
      </c>
      <c r="AF3963">
        <v>9.5167117473687792</v>
      </c>
      <c r="AG3963">
        <v>-1.1071598278879999</v>
      </c>
      <c r="AH3963">
        <v>66.260090837663995</v>
      </c>
      <c r="AI3963">
        <v>90.947561618217705</v>
      </c>
      <c r="AJ3963">
        <v>81.8266972374159</v>
      </c>
      <c r="AK3963">
        <v>66.949184036719103</v>
      </c>
      <c r="AL3963">
        <v>91.888103651077998</v>
      </c>
      <c r="AM3963">
        <v>91.310785119443807</v>
      </c>
      <c r="AN3963">
        <v>0.99999995843066702</v>
      </c>
    </row>
    <row r="3964" spans="1:40" x14ac:dyDescent="0.25">
      <c r="A3964" t="str">
        <f>"20190305135313433"</f>
        <v>20190305135313433</v>
      </c>
      <c r="B3964" t="str">
        <f>"1551765193424255"</f>
        <v>1551765193424255</v>
      </c>
      <c r="C3964" t="s">
        <v>40</v>
      </c>
      <c r="D3964">
        <v>4.5875909999999998</v>
      </c>
      <c r="E3964">
        <v>0.56324629999999998</v>
      </c>
      <c r="F3964" t="s">
        <v>78</v>
      </c>
      <c r="G3964">
        <v>-290.28410000000002</v>
      </c>
      <c r="H3964" s="1">
        <v>-1.105026E-5</v>
      </c>
      <c r="I3964">
        <v>147.48169999999999</v>
      </c>
      <c r="J3964">
        <v>-221.29169999999999</v>
      </c>
      <c r="K3964">
        <v>1.1071329999999999</v>
      </c>
      <c r="L3964">
        <v>140.91290000000001</v>
      </c>
      <c r="M3964">
        <v>-0.99889349999999999</v>
      </c>
      <c r="N3964">
        <v>-8.7339340000000005E-3</v>
      </c>
      <c r="O3964">
        <v>-4.6213499999999998E-2</v>
      </c>
      <c r="P3964">
        <v>-0.99663690000000005</v>
      </c>
      <c r="Q3964">
        <v>-4.2156510000000001E-2</v>
      </c>
      <c r="R3964">
        <v>-7.0269499999999999E-2</v>
      </c>
      <c r="S3964">
        <v>-3.0287480000000002</v>
      </c>
      <c r="T3964">
        <v>-4.8425669999999997E-2</v>
      </c>
      <c r="U3964">
        <v>0.28688049999999998</v>
      </c>
      <c r="V3964">
        <v>-2.426735E-2</v>
      </c>
      <c r="W3964">
        <v>-3.3335289999999997E-2</v>
      </c>
      <c r="X3964">
        <v>0.99914959999999997</v>
      </c>
      <c r="Y3964">
        <v>0.140177</v>
      </c>
      <c r="Z3964">
        <v>2.0664300000000002E-3</v>
      </c>
      <c r="AA3964">
        <v>0.99012429999999996</v>
      </c>
      <c r="AB3964">
        <v>26</v>
      </c>
      <c r="AC3964">
        <v>-68.992400000000004</v>
      </c>
      <c r="AD3964">
        <v>-1.1071440502599901</v>
      </c>
      <c r="AE3964">
        <v>6.56879999999998</v>
      </c>
      <c r="AF3964">
        <v>9.7477951761065196</v>
      </c>
      <c r="AG3964">
        <v>-1.1071440502599901</v>
      </c>
      <c r="AH3964">
        <v>68.597596770223205</v>
      </c>
      <c r="AI3964">
        <v>90.915460880926702</v>
      </c>
      <c r="AJ3964">
        <v>81.912352838492893</v>
      </c>
      <c r="AK3964">
        <v>69.295566679214701</v>
      </c>
      <c r="AL3964">
        <v>91.910325276844503</v>
      </c>
      <c r="AM3964">
        <v>91.391326610248299</v>
      </c>
      <c r="AN3964">
        <v>1.00000003450778</v>
      </c>
    </row>
    <row r="3965" spans="1:40" x14ac:dyDescent="0.25">
      <c r="A3965" t="str">
        <f>"20190305135313454"</f>
        <v>20190305135313454</v>
      </c>
      <c r="B3965" t="str">
        <f>"1551765193443778"</f>
        <v>1551765193443778</v>
      </c>
      <c r="C3965" t="s">
        <v>40</v>
      </c>
      <c r="D3965">
        <v>4.5947040000000001</v>
      </c>
      <c r="E3965">
        <v>0.56316169999999899</v>
      </c>
      <c r="F3965" t="s">
        <v>78</v>
      </c>
      <c r="G3965">
        <v>-285.88350000000003</v>
      </c>
      <c r="H3965" s="1">
        <v>-8.8038209999999994E-6</v>
      </c>
      <c r="I3965">
        <v>147.0684</v>
      </c>
      <c r="J3965">
        <v>-221.53909999999999</v>
      </c>
      <c r="K3965">
        <v>1.1071120000000001</v>
      </c>
      <c r="L3965">
        <v>140.904</v>
      </c>
      <c r="M3965">
        <v>-0.99899689999999997</v>
      </c>
      <c r="N3965">
        <v>-8.7265369999999995E-3</v>
      </c>
      <c r="O3965">
        <v>-4.3922820000000001E-2</v>
      </c>
      <c r="P3965">
        <v>-0.99667720000000004</v>
      </c>
      <c r="Q3965">
        <v>-4.2964620000000002E-2</v>
      </c>
      <c r="R3965">
        <v>-6.9201139999999994E-2</v>
      </c>
      <c r="S3965">
        <v>-3.0282749999999998</v>
      </c>
      <c r="T3965">
        <v>-5.1906470000000003E-2</v>
      </c>
      <c r="U3965">
        <v>0.2885895</v>
      </c>
      <c r="V3965">
        <v>-2.5492979999999998E-2</v>
      </c>
      <c r="W3965">
        <v>-3.4145429999999997E-2</v>
      </c>
      <c r="X3965">
        <v>0.99909170000000003</v>
      </c>
      <c r="Y3965">
        <v>0.13847129999999999</v>
      </c>
      <c r="Z3965">
        <v>2.1586090000000001E-3</v>
      </c>
      <c r="AA3965">
        <v>0.99036409999999997</v>
      </c>
      <c r="AB3965">
        <v>26</v>
      </c>
      <c r="AC3965">
        <v>-64.344399999999993</v>
      </c>
      <c r="AD3965">
        <v>-1.1071208038210001</v>
      </c>
      <c r="AE3965">
        <v>6.1643999999999997</v>
      </c>
      <c r="AF3965">
        <v>8.9821103348032505</v>
      </c>
      <c r="AG3965">
        <v>-1.1071208038210001</v>
      </c>
      <c r="AH3965">
        <v>63.992757230885204</v>
      </c>
      <c r="AI3965">
        <v>90.981539642657793</v>
      </c>
      <c r="AJ3965">
        <v>82.010084304590507</v>
      </c>
      <c r="AK3965">
        <v>64.629536595521401</v>
      </c>
      <c r="AL3965">
        <v>91.956769363790698</v>
      </c>
      <c r="AM3965">
        <v>91.461650907447606</v>
      </c>
      <c r="AN3965">
        <v>1.0000000137140199</v>
      </c>
    </row>
    <row r="3966" spans="1:40" x14ac:dyDescent="0.25">
      <c r="A3966" t="str">
        <f>"20190305135313477"</f>
        <v>20190305135313477</v>
      </c>
      <c r="B3966" t="str">
        <f>"1551765193474031"</f>
        <v>1551765193474031</v>
      </c>
      <c r="C3966" t="s">
        <v>40</v>
      </c>
      <c r="D3966">
        <v>4.5851009999999999</v>
      </c>
      <c r="E3966">
        <v>0.53399410000000003</v>
      </c>
      <c r="F3966" t="s">
        <v>78</v>
      </c>
      <c r="G3966">
        <v>-280.8014</v>
      </c>
      <c r="H3966" s="1">
        <v>-6.2341960000000003E-6</v>
      </c>
      <c r="I3966">
        <v>146.6044</v>
      </c>
      <c r="J3966">
        <v>-221.80109999999999</v>
      </c>
      <c r="K3966">
        <v>1.1070799999999901</v>
      </c>
      <c r="L3966">
        <v>140.89510000000001</v>
      </c>
      <c r="M3966">
        <v>-0.99910169999999998</v>
      </c>
      <c r="N3966">
        <v>-8.7199440000000003E-3</v>
      </c>
      <c r="O3966">
        <v>-4.1469150000000003E-2</v>
      </c>
      <c r="P3966">
        <v>-0.99674220000000002</v>
      </c>
      <c r="Q3966">
        <v>-4.3083950000000003E-2</v>
      </c>
      <c r="R3966">
        <v>-6.8180470000000007E-2</v>
      </c>
      <c r="S3966">
        <v>-3.0277859999999999</v>
      </c>
      <c r="T3966">
        <v>-5.6564089999999997E-2</v>
      </c>
      <c r="U3966">
        <v>0.29124450000000002</v>
      </c>
      <c r="V3966">
        <v>-2.6925859999999999E-2</v>
      </c>
      <c r="W3966">
        <v>-3.4264530000000001E-2</v>
      </c>
      <c r="X3966">
        <v>0.99904999999999999</v>
      </c>
      <c r="Y3966">
        <v>0.13690959999999999</v>
      </c>
      <c r="Z3966">
        <v>2.2865950000000002E-3</v>
      </c>
      <c r="AA3966">
        <v>0.99058089999999999</v>
      </c>
      <c r="AB3966">
        <v>26</v>
      </c>
      <c r="AC3966">
        <v>-59.000300000000003</v>
      </c>
      <c r="AD3966">
        <v>-1.1070862341959999</v>
      </c>
      <c r="AE3966">
        <v>5.7092999999999803</v>
      </c>
      <c r="AF3966">
        <v>8.1483314597039698</v>
      </c>
      <c r="AG3966">
        <v>-1.1070862341959999</v>
      </c>
      <c r="AH3966">
        <v>58.692301055125398</v>
      </c>
      <c r="AI3966">
        <v>91.070352721537404</v>
      </c>
      <c r="AJ3966">
        <v>82.096071600308207</v>
      </c>
      <c r="AK3966">
        <v>59.2655646109326</v>
      </c>
      <c r="AL3966">
        <v>91.963597350296297</v>
      </c>
      <c r="AM3966">
        <v>91.543831401540302</v>
      </c>
      <c r="AN3966">
        <v>0.99999998122642997</v>
      </c>
    </row>
    <row r="3967" spans="1:40" x14ac:dyDescent="0.25">
      <c r="A3967" t="str">
        <f>"20190305135313500"</f>
        <v>20190305135313500</v>
      </c>
      <c r="B3967" t="str">
        <f>"1551765193493551"</f>
        <v>1551765193493551</v>
      </c>
      <c r="C3967" t="s">
        <v>40</v>
      </c>
      <c r="D3967">
        <v>4.5179919999999996</v>
      </c>
      <c r="E3967">
        <v>0.53124629999999995</v>
      </c>
      <c r="F3967" t="s">
        <v>42</v>
      </c>
      <c r="G3967">
        <v>-246.76750000000001</v>
      </c>
      <c r="H3967" s="1">
        <v>-1.856364E-6</v>
      </c>
      <c r="I3967">
        <v>141.4478</v>
      </c>
      <c r="J3967">
        <v>-222.06049999999999</v>
      </c>
      <c r="K3967">
        <v>1.1070500000000001</v>
      </c>
      <c r="L3967">
        <v>140.887</v>
      </c>
      <c r="M3967">
        <v>-0.99920059999999999</v>
      </c>
      <c r="N3967">
        <v>-8.7144459999999903E-3</v>
      </c>
      <c r="O3967">
        <v>-3.9015599999999998E-2</v>
      </c>
      <c r="P3967">
        <v>-0.99681529999999996</v>
      </c>
      <c r="Q3967">
        <v>-4.3193280000000001E-2</v>
      </c>
      <c r="R3967">
        <v>-6.7034510000000005E-2</v>
      </c>
      <c r="S3967">
        <v>-3.0086059999999999</v>
      </c>
      <c r="T3967">
        <v>-0.13341020000000001</v>
      </c>
      <c r="U3967">
        <v>6.6604609999999995E-2</v>
      </c>
      <c r="V3967">
        <v>-2.8232449999999999E-2</v>
      </c>
      <c r="W3967">
        <v>-3.437279E-2</v>
      </c>
      <c r="X3967">
        <v>0.99901019999999896</v>
      </c>
      <c r="Y3967">
        <v>6.1026810000000001E-2</v>
      </c>
      <c r="Z3967">
        <v>3.0073249999999999E-3</v>
      </c>
      <c r="AA3967">
        <v>0.99813160000000001</v>
      </c>
      <c r="AB3967">
        <v>26</v>
      </c>
      <c r="AC3967">
        <v>-24.707000000000001</v>
      </c>
      <c r="AD3967">
        <v>-1.1070518563639999</v>
      </c>
      <c r="AE3967">
        <v>0.56079999999999997</v>
      </c>
      <c r="AF3967">
        <v>1.52131525868928</v>
      </c>
      <c r="AG3967">
        <v>-1.1070518563639999</v>
      </c>
      <c r="AH3967">
        <v>24.616908336562499</v>
      </c>
      <c r="AI3967">
        <v>92.570028478451604</v>
      </c>
      <c r="AJ3967">
        <v>86.463640783132504</v>
      </c>
      <c r="AK3967">
        <v>24.6887047043728</v>
      </c>
      <c r="AL3967">
        <v>91.969803869984901</v>
      </c>
      <c r="AM3967">
        <v>91.618772064211896</v>
      </c>
      <c r="AN3967">
        <v>0.99999996981471195</v>
      </c>
    </row>
    <row r="3968" spans="1:40" x14ac:dyDescent="0.25">
      <c r="A3968" t="str">
        <f>"20190305135313523"</f>
        <v>20190305135313523</v>
      </c>
      <c r="B3968" t="str">
        <f>"1551765193514046"</f>
        <v>1551765193514046</v>
      </c>
      <c r="C3968" t="s">
        <v>40</v>
      </c>
      <c r="D3968">
        <v>4.5151700000000003</v>
      </c>
      <c r="E3968">
        <v>0.53094390000000002</v>
      </c>
      <c r="F3968" t="s">
        <v>42</v>
      </c>
      <c r="G3968">
        <v>-248.26130000000001</v>
      </c>
      <c r="H3968" s="1">
        <v>-1.176957E-6</v>
      </c>
      <c r="I3968">
        <v>141.30279999999999</v>
      </c>
      <c r="J3968">
        <v>-222.33349999999999</v>
      </c>
      <c r="K3968">
        <v>1.1070169999999999</v>
      </c>
      <c r="L3968">
        <v>140.8792</v>
      </c>
      <c r="M3968">
        <v>-0.99929869999999998</v>
      </c>
      <c r="N3968">
        <v>-8.7093080000000007E-3</v>
      </c>
      <c r="O3968">
        <v>-3.641614E-2</v>
      </c>
      <c r="P3968">
        <v>-0.99689329999999998</v>
      </c>
      <c r="Q3968">
        <v>-4.4000039999999997E-2</v>
      </c>
      <c r="R3968">
        <v>-6.5328720000000007E-2</v>
      </c>
      <c r="S3968">
        <v>-3.0073089999999998</v>
      </c>
      <c r="T3968">
        <v>-0.12706689999999901</v>
      </c>
      <c r="U3968">
        <v>4.7729489999999999E-2</v>
      </c>
      <c r="V3968">
        <v>-2.9127670000000001E-2</v>
      </c>
      <c r="W3968">
        <v>-3.517986E-2</v>
      </c>
      <c r="X3968">
        <v>0.99895639999999997</v>
      </c>
      <c r="Y3968">
        <v>5.2194949999999997E-2</v>
      </c>
      <c r="Z3968">
        <v>2.5502480000000002E-3</v>
      </c>
      <c r="AA3968">
        <v>0.99863369999999996</v>
      </c>
      <c r="AB3968">
        <v>26</v>
      </c>
      <c r="AC3968">
        <v>-25.927800000000001</v>
      </c>
      <c r="AD3968">
        <v>-1.107018176957</v>
      </c>
      <c r="AE3968">
        <v>0.42359999999999298</v>
      </c>
      <c r="AF3968">
        <v>1.3650574861573701</v>
      </c>
      <c r="AG3968">
        <v>-1.107018176957</v>
      </c>
      <c r="AH3968">
        <v>25.8480671116398</v>
      </c>
      <c r="AI3968">
        <v>92.448950186582096</v>
      </c>
      <c r="AJ3968">
        <v>86.976971500860998</v>
      </c>
      <c r="AK3968">
        <v>25.9077487364777</v>
      </c>
      <c r="AL3968">
        <v>92.016073571874102</v>
      </c>
      <c r="AM3968">
        <v>91.670162819851598</v>
      </c>
      <c r="AN3968">
        <v>0.99999996640510302</v>
      </c>
    </row>
    <row r="3969" spans="1:40" x14ac:dyDescent="0.25">
      <c r="A3969" t="str">
        <f>"20190305135313546"</f>
        <v>20190305135313546</v>
      </c>
      <c r="B3969" t="str">
        <f>"1551765193533566"</f>
        <v>1551765193533566</v>
      </c>
      <c r="C3969" t="s">
        <v>40</v>
      </c>
      <c r="D3969">
        <v>4.5172980000000003</v>
      </c>
      <c r="E3969">
        <v>0.53130619999999995</v>
      </c>
      <c r="F3969" t="s">
        <v>42</v>
      </c>
      <c r="G3969">
        <v>-248.452</v>
      </c>
      <c r="H3969" s="1">
        <v>-1.0988909999999999E-6</v>
      </c>
      <c r="I3969">
        <v>141.3167</v>
      </c>
      <c r="J3969">
        <v>-222.59729999999999</v>
      </c>
      <c r="K3969">
        <v>1.1069850000000001</v>
      </c>
      <c r="L3969">
        <v>140.87219999999999</v>
      </c>
      <c r="M3969">
        <v>-0.99938769999999999</v>
      </c>
      <c r="N3969">
        <v>-8.7050670000000004E-3</v>
      </c>
      <c r="O3969">
        <v>-3.389122E-2</v>
      </c>
      <c r="P3969">
        <v>-0.99695129999999998</v>
      </c>
      <c r="Q3969">
        <v>-4.4614300000000003E-2</v>
      </c>
      <c r="R3969">
        <v>-6.4016920000000005E-2</v>
      </c>
      <c r="S3969">
        <v>-3.0070190000000001</v>
      </c>
      <c r="T3969">
        <v>-0.12745109999999901</v>
      </c>
      <c r="U3969">
        <v>5.0384520000000002E-2</v>
      </c>
      <c r="V3969">
        <v>-3.0342129999999998E-2</v>
      </c>
      <c r="W3969">
        <v>-3.5792400000000002E-2</v>
      </c>
      <c r="X3969">
        <v>0.99889850000000002</v>
      </c>
      <c r="Y3969">
        <v>5.0557489999999997E-2</v>
      </c>
      <c r="Z3969">
        <v>2.4317499999999999E-3</v>
      </c>
      <c r="AA3969">
        <v>0.9987182</v>
      </c>
      <c r="AB3969">
        <v>26</v>
      </c>
      <c r="AC3969">
        <v>-25.854700000000001</v>
      </c>
      <c r="AD3969">
        <v>-1.1069860988910001</v>
      </c>
      <c r="AE3969">
        <v>0.444500000000005</v>
      </c>
      <c r="AF3969">
        <v>1.31810946284589</v>
      </c>
      <c r="AG3969">
        <v>-1.1069860988910001</v>
      </c>
      <c r="AH3969">
        <v>25.777539916781901</v>
      </c>
      <c r="AI3969">
        <v>92.455784404730394</v>
      </c>
      <c r="AJ3969">
        <v>87.072785448171501</v>
      </c>
      <c r="AK3969">
        <v>25.834945228129801</v>
      </c>
      <c r="AL3969">
        <v>92.051191627048695</v>
      </c>
      <c r="AM3969">
        <v>91.739858056311903</v>
      </c>
      <c r="AN3969">
        <v>0.99999997702647303</v>
      </c>
    </row>
    <row r="3970" spans="1:40" x14ac:dyDescent="0.25">
      <c r="A3970" t="str">
        <f>"20190305135313566"</f>
        <v>20190305135313566</v>
      </c>
      <c r="B3970" t="str">
        <f>"1551765193554063"</f>
        <v>1551765193554063</v>
      </c>
      <c r="C3970" t="s">
        <v>40</v>
      </c>
      <c r="D3970">
        <v>4.4715099999999897</v>
      </c>
      <c r="E3970">
        <v>0.5313715</v>
      </c>
      <c r="F3970" t="s">
        <v>42</v>
      </c>
      <c r="G3970">
        <v>-249.04820000000001</v>
      </c>
      <c r="H3970" s="1">
        <v>-8.5822299999999999E-7</v>
      </c>
      <c r="I3970">
        <v>141.37360000000001</v>
      </c>
      <c r="J3970">
        <v>-222.83609999999999</v>
      </c>
      <c r="K3970">
        <v>1.1069719999999901</v>
      </c>
      <c r="L3970">
        <v>140.86660000000001</v>
      </c>
      <c r="M3970">
        <v>-0.99946270000000004</v>
      </c>
      <c r="N3970">
        <v>-8.7015540000000002E-3</v>
      </c>
      <c r="O3970">
        <v>-3.159961E-2</v>
      </c>
      <c r="P3970">
        <v>-0.99694709999999997</v>
      </c>
      <c r="Q3970">
        <v>-4.5356809999999997E-2</v>
      </c>
      <c r="R3970">
        <v>-6.3556959999999996E-2</v>
      </c>
      <c r="S3970">
        <v>-3.0072169999999998</v>
      </c>
      <c r="T3970">
        <v>-0.12585399999999999</v>
      </c>
      <c r="U3970">
        <v>5.7006840000000003E-2</v>
      </c>
      <c r="V3970">
        <v>-3.2176440000000001E-2</v>
      </c>
      <c r="W3970">
        <v>-3.6530340000000001E-2</v>
      </c>
      <c r="X3970">
        <v>0.99881439999999999</v>
      </c>
      <c r="Y3970">
        <v>5.0468230000000003E-2</v>
      </c>
      <c r="Z3970">
        <v>2.3220599999999999E-3</v>
      </c>
      <c r="AA3970">
        <v>0.99872300000000003</v>
      </c>
      <c r="AB3970">
        <v>26</v>
      </c>
      <c r="AC3970">
        <v>-26.2121</v>
      </c>
      <c r="AD3970">
        <v>-1.1069728582229901</v>
      </c>
      <c r="AE3970">
        <v>0.507000000000005</v>
      </c>
      <c r="AF3970">
        <v>1.3326943540976099</v>
      </c>
      <c r="AG3970">
        <v>-1.1069728582229901</v>
      </c>
      <c r="AH3970">
        <v>26.1363907560944</v>
      </c>
      <c r="AI3970">
        <v>92.422095899921302</v>
      </c>
      <c r="AJ3970">
        <v>87.081016678016397</v>
      </c>
      <c r="AK3970">
        <v>26.193747057371201</v>
      </c>
      <c r="AL3970">
        <v>92.093500105280498</v>
      </c>
      <c r="AM3970">
        <v>91.845124445013596</v>
      </c>
      <c r="AN3970">
        <v>0.99999999733947398</v>
      </c>
    </row>
    <row r="3971" spans="1:40" x14ac:dyDescent="0.25">
      <c r="A3971" t="str">
        <f>"20190305135313589"</f>
        <v>20190305135313589</v>
      </c>
      <c r="B3971" t="str">
        <f>"1551765193584319"</f>
        <v>1551765193584319</v>
      </c>
      <c r="C3971" t="s">
        <v>40</v>
      </c>
      <c r="D3971">
        <v>4.4699619999999998</v>
      </c>
      <c r="E3971">
        <v>0.53121600000000002</v>
      </c>
      <c r="F3971" t="s">
        <v>42</v>
      </c>
      <c r="G3971">
        <v>-249.11789999999999</v>
      </c>
      <c r="H3971" s="1">
        <v>-8.3036620000000002E-7</v>
      </c>
      <c r="I3971">
        <v>141.38130000000001</v>
      </c>
      <c r="J3971">
        <v>-223.0984</v>
      </c>
      <c r="K3971">
        <v>1.1069610000000001</v>
      </c>
      <c r="L3971">
        <v>140.86099999999999</v>
      </c>
      <c r="M3971">
        <v>-0.99953930000000002</v>
      </c>
      <c r="N3971">
        <v>-8.6983140000000004E-3</v>
      </c>
      <c r="O3971">
        <v>-2.9080439999999999E-2</v>
      </c>
      <c r="P3971">
        <v>-0.9969633</v>
      </c>
      <c r="Q3971">
        <v>-4.5669250000000002E-2</v>
      </c>
      <c r="R3971">
        <v>-6.3075469999999995E-2</v>
      </c>
      <c r="S3971">
        <v>-3.0071720000000002</v>
      </c>
      <c r="T3971">
        <v>-0.126660199999999</v>
      </c>
      <c r="U3971">
        <v>5.8898930000000002E-2</v>
      </c>
      <c r="V3971">
        <v>-3.4213479999999998E-2</v>
      </c>
      <c r="W3971">
        <v>-3.683703E-2</v>
      </c>
      <c r="X3971">
        <v>0.99873540000000005</v>
      </c>
      <c r="Y3971">
        <v>4.8581890000000003E-2</v>
      </c>
      <c r="Z3971">
        <v>2.2052930000000001E-3</v>
      </c>
      <c r="AA3971">
        <v>0.99881679999999995</v>
      </c>
      <c r="AB3971">
        <v>26</v>
      </c>
      <c r="AC3971">
        <v>-26.019499999999901</v>
      </c>
      <c r="AD3971">
        <v>-1.1069618303661899</v>
      </c>
      <c r="AE3971">
        <v>0.52030000000001997</v>
      </c>
      <c r="AF3971">
        <v>1.2744612218484801</v>
      </c>
      <c r="AG3971">
        <v>-1.1069618303661899</v>
      </c>
      <c r="AH3971">
        <v>25.946420694133501</v>
      </c>
      <c r="AI3971">
        <v>92.440011616888</v>
      </c>
      <c r="AJ3971">
        <v>87.187950914643295</v>
      </c>
      <c r="AK3971">
        <v>26.0012761751581</v>
      </c>
      <c r="AL3971">
        <v>92.111084053443506</v>
      </c>
      <c r="AM3971">
        <v>91.962002876871694</v>
      </c>
      <c r="AN3971">
        <v>0.99999996410304504</v>
      </c>
    </row>
    <row r="3972" spans="1:40" x14ac:dyDescent="0.25">
      <c r="A3972" t="str">
        <f>"20190305135313612"</f>
        <v>20190305135313612</v>
      </c>
      <c r="B3972" t="str">
        <f>"1551765193603839"</f>
        <v>1551765193603839</v>
      </c>
      <c r="C3972" t="s">
        <v>40</v>
      </c>
      <c r="D3972">
        <v>4.4793580000000004</v>
      </c>
      <c r="E3972">
        <v>0.53130669999999902</v>
      </c>
      <c r="F3972" t="s">
        <v>42</v>
      </c>
      <c r="G3972">
        <v>-248.64699999999999</v>
      </c>
      <c r="H3972" s="1">
        <v>-1.027834E-6</v>
      </c>
      <c r="I3972">
        <v>141.36410000000001</v>
      </c>
      <c r="J3972">
        <v>-223.37899999999999</v>
      </c>
      <c r="K3972">
        <v>1.1069560000000001</v>
      </c>
      <c r="L3972">
        <v>140.85589999999999</v>
      </c>
      <c r="M3972">
        <v>-0.99961409999999995</v>
      </c>
      <c r="N3972">
        <v>-8.69523E-3</v>
      </c>
      <c r="O3972">
        <v>-2.638712E-2</v>
      </c>
      <c r="P3972">
        <v>-0.99701450000000003</v>
      </c>
      <c r="Q3972">
        <v>-4.573808E-2</v>
      </c>
      <c r="R3972">
        <v>-6.2213150000000002E-2</v>
      </c>
      <c r="S3972">
        <v>-3.0069270000000001</v>
      </c>
      <c r="T3972">
        <v>-0.1302835</v>
      </c>
      <c r="U3972">
        <v>5.9219359999999999E-2</v>
      </c>
      <c r="V3972">
        <v>-3.60416E-2</v>
      </c>
      <c r="W3972">
        <v>-3.690073E-2</v>
      </c>
      <c r="X3972">
        <v>0.99866880000000002</v>
      </c>
      <c r="Y3972">
        <v>4.599901E-2</v>
      </c>
      <c r="Z3972">
        <v>2.1093549999999998E-3</v>
      </c>
      <c r="AA3972">
        <v>0.99893929999999997</v>
      </c>
      <c r="AB3972">
        <v>26</v>
      </c>
      <c r="AC3972">
        <v>-25.268000000000001</v>
      </c>
      <c r="AD3972">
        <v>-1.106957027834</v>
      </c>
      <c r="AE3972">
        <v>0.50820000000001597</v>
      </c>
      <c r="AF3972">
        <v>1.17254846467359</v>
      </c>
      <c r="AG3972">
        <v>-1.106957027834</v>
      </c>
      <c r="AH3972">
        <v>25.1974512174693</v>
      </c>
      <c r="AI3972">
        <v>92.512745556164901</v>
      </c>
      <c r="AJ3972">
        <v>87.335696874210896</v>
      </c>
      <c r="AK3972">
        <v>25.248995457645901</v>
      </c>
      <c r="AL3972">
        <v>92.114736167086093</v>
      </c>
      <c r="AM3972">
        <v>92.066887165148898</v>
      </c>
      <c r="AN3972">
        <v>1.00000001644926</v>
      </c>
    </row>
    <row r="3973" spans="1:40" x14ac:dyDescent="0.25">
      <c r="A3973" t="str">
        <f>"20190305135313636"</f>
        <v>20190305135313636</v>
      </c>
      <c r="B3973" t="str">
        <f>"1551765193623359"</f>
        <v>1551765193623359</v>
      </c>
      <c r="C3973" t="s">
        <v>40</v>
      </c>
      <c r="D3973">
        <v>4.5104280000000001</v>
      </c>
      <c r="E3973">
        <v>0.53112749999999997</v>
      </c>
      <c r="F3973" t="s">
        <v>42</v>
      </c>
      <c r="G3973">
        <v>-249.1722</v>
      </c>
      <c r="H3973" s="1">
        <v>-8.0988630000000003E-7</v>
      </c>
      <c r="I3973">
        <v>141.39179999999999</v>
      </c>
      <c r="J3973">
        <v>-223.6516</v>
      </c>
      <c r="K3973">
        <v>1.1069549999999999</v>
      </c>
      <c r="L3973">
        <v>140.85149999999999</v>
      </c>
      <c r="M3973">
        <v>-0.9996796</v>
      </c>
      <c r="N3973">
        <v>-8.6926460000000001E-3</v>
      </c>
      <c r="O3973">
        <v>-2.3772359999999999E-2</v>
      </c>
      <c r="P3973">
        <v>-0.99706910000000004</v>
      </c>
      <c r="Q3973">
        <v>-4.5598050000000001E-2</v>
      </c>
      <c r="R3973">
        <v>-6.1433769999999999E-2</v>
      </c>
      <c r="S3973">
        <v>-3.006958</v>
      </c>
      <c r="T3973">
        <v>-0.12904869999999999</v>
      </c>
      <c r="U3973">
        <v>6.2484739999999997E-2</v>
      </c>
      <c r="V3973">
        <v>-3.7872259999999998E-2</v>
      </c>
      <c r="W3973">
        <v>-3.6755059999999999E-2</v>
      </c>
      <c r="X3973">
        <v>0.99860640000000001</v>
      </c>
      <c r="Y3973">
        <v>4.4474689999999997E-2</v>
      </c>
      <c r="Z3973">
        <v>1.9603350000000001E-3</v>
      </c>
      <c r="AA3973">
        <v>0.99900860000000002</v>
      </c>
      <c r="AB3973">
        <v>26</v>
      </c>
      <c r="AC3973">
        <v>-25.520600000000002</v>
      </c>
      <c r="AD3973">
        <v>-1.1069558098862999</v>
      </c>
      <c r="AE3973">
        <v>0.540300000000002</v>
      </c>
      <c r="AF3973">
        <v>1.1447024477668499</v>
      </c>
      <c r="AG3973">
        <v>-1.1069558098862999</v>
      </c>
      <c r="AH3973">
        <v>25.4526776219009</v>
      </c>
      <c r="AI3973">
        <v>92.487755150846894</v>
      </c>
      <c r="AJ3973">
        <v>87.424928949512804</v>
      </c>
      <c r="AK3973">
        <v>25.502440922064299</v>
      </c>
      <c r="AL3973">
        <v>92.106384276103796</v>
      </c>
      <c r="AM3973">
        <v>92.171907983939093</v>
      </c>
      <c r="AN3973">
        <v>0.99999999231703496</v>
      </c>
    </row>
    <row r="3974" spans="1:40" x14ac:dyDescent="0.25">
      <c r="A3974" t="str">
        <f>"20190305135313656"</f>
        <v>20190305135313656</v>
      </c>
      <c r="B3974" t="str">
        <f>"1551765193653615"</f>
        <v>1551765193653615</v>
      </c>
      <c r="C3974" t="s">
        <v>40</v>
      </c>
      <c r="D3974">
        <v>4.6025710000000002</v>
      </c>
      <c r="E3974">
        <v>0.53133199999999903</v>
      </c>
      <c r="F3974" t="s">
        <v>42</v>
      </c>
      <c r="G3974">
        <v>-248.87870000000001</v>
      </c>
      <c r="H3974" s="1">
        <v>-9.3421560000000004E-7</v>
      </c>
      <c r="I3974">
        <v>141.386</v>
      </c>
      <c r="J3974">
        <v>-223.8964</v>
      </c>
      <c r="K3974">
        <v>1.1069629999999999</v>
      </c>
      <c r="L3974">
        <v>140.84819999999999</v>
      </c>
      <c r="M3974">
        <v>-0.99973270000000003</v>
      </c>
      <c r="N3974">
        <v>-8.6906489999999999E-3</v>
      </c>
      <c r="O3974">
        <v>-2.142869E-2</v>
      </c>
      <c r="P3974">
        <v>-0.99716629999999995</v>
      </c>
      <c r="Q3974">
        <v>-4.4137139999999998E-2</v>
      </c>
      <c r="R3974">
        <v>-6.0922909999999997E-2</v>
      </c>
      <c r="S3974">
        <v>-3.006729</v>
      </c>
      <c r="T3974">
        <v>-0.13193429999999901</v>
      </c>
      <c r="U3974">
        <v>6.3705440000000002E-2</v>
      </c>
      <c r="V3974">
        <v>-3.9694239999999999E-2</v>
      </c>
      <c r="W3974">
        <v>-3.5287560000000003E-2</v>
      </c>
      <c r="X3974">
        <v>0.99858860000000005</v>
      </c>
      <c r="Y3974">
        <v>4.2540410000000001E-2</v>
      </c>
      <c r="Z3974">
        <v>1.871344E-3</v>
      </c>
      <c r="AA3974">
        <v>0.99909300000000001</v>
      </c>
      <c r="AB3974">
        <v>26</v>
      </c>
      <c r="AC3974">
        <v>-24.982299999999999</v>
      </c>
      <c r="AD3974">
        <v>-1.1069639342155999</v>
      </c>
      <c r="AE3974">
        <v>0.53780000000000405</v>
      </c>
      <c r="AF3974">
        <v>1.0709329666366301</v>
      </c>
      <c r="AG3974">
        <v>-1.1069639342155999</v>
      </c>
      <c r="AH3974">
        <v>24.916141390515101</v>
      </c>
      <c r="AI3974">
        <v>92.541496754096201</v>
      </c>
      <c r="AJ3974">
        <v>87.538856664572606</v>
      </c>
      <c r="AK3974">
        <v>24.963701014930098</v>
      </c>
      <c r="AL3974">
        <v>92.022248056322098</v>
      </c>
      <c r="AM3974">
        <v>92.276328494749507</v>
      </c>
      <c r="AN3974">
        <v>1.00000001831494</v>
      </c>
    </row>
    <row r="3975" spans="1:40" x14ac:dyDescent="0.25">
      <c r="A3975" t="str">
        <f>"20190305135313680"</f>
        <v>20190305135313680</v>
      </c>
      <c r="B3975" t="str">
        <f>"1551765193674111"</f>
        <v>1551765193674111</v>
      </c>
      <c r="C3975" t="s">
        <v>40</v>
      </c>
      <c r="D3975">
        <v>4.5367959999999998</v>
      </c>
      <c r="E3975">
        <v>0.56165769999999904</v>
      </c>
      <c r="F3975" t="s">
        <v>42</v>
      </c>
      <c r="G3975">
        <v>-250.07300000000001</v>
      </c>
      <c r="H3975" s="1">
        <v>-4.5728560000000004E-6</v>
      </c>
      <c r="I3975">
        <v>141.4297</v>
      </c>
      <c r="J3975">
        <v>-224.17410000000001</v>
      </c>
      <c r="K3975">
        <v>1.1069789999999999</v>
      </c>
      <c r="L3975">
        <v>140.8451</v>
      </c>
      <c r="M3975">
        <v>-0.99978610000000001</v>
      </c>
      <c r="N3975">
        <v>-8.6887240000000001E-3</v>
      </c>
      <c r="O3975">
        <v>-1.8774010000000001E-2</v>
      </c>
      <c r="P3975">
        <v>-0.9971797</v>
      </c>
      <c r="Q3975">
        <v>-4.2644040000000001E-2</v>
      </c>
      <c r="R3975">
        <v>-6.1761829999999997E-2</v>
      </c>
      <c r="S3975">
        <v>-3.0069889999999999</v>
      </c>
      <c r="T3975">
        <v>-0.1271613</v>
      </c>
      <c r="U3975">
        <v>6.6802979999999998E-2</v>
      </c>
      <c r="V3975">
        <v>-4.3177470000000003E-2</v>
      </c>
      <c r="W3975">
        <v>-3.3781070000000003E-2</v>
      </c>
      <c r="X3975">
        <v>0.9984961</v>
      </c>
      <c r="Y3975">
        <v>4.0921930000000002E-2</v>
      </c>
      <c r="Z3975">
        <v>1.6731070000000001E-3</v>
      </c>
      <c r="AA3975">
        <v>0.99916090000000002</v>
      </c>
      <c r="AB3975">
        <v>26</v>
      </c>
      <c r="AC3975">
        <v>-25.898899999999902</v>
      </c>
      <c r="AD3975">
        <v>-1.106983572856</v>
      </c>
      <c r="AE3975">
        <v>0.58459999999999401</v>
      </c>
      <c r="AF3975">
        <v>1.0687898708400301</v>
      </c>
      <c r="AG3975">
        <v>-1.106983572856</v>
      </c>
      <c r="AH3975">
        <v>25.836182724812801</v>
      </c>
      <c r="AI3975">
        <v>92.451314748575797</v>
      </c>
      <c r="AJ3975">
        <v>87.631141821363997</v>
      </c>
      <c r="AK3975">
        <v>25.881964033057901</v>
      </c>
      <c r="AL3975">
        <v>91.935881130472396</v>
      </c>
      <c r="AM3975">
        <v>92.476070305706699</v>
      </c>
      <c r="AN3975">
        <v>0.99999995816057696</v>
      </c>
    </row>
    <row r="3976" spans="1:40" x14ac:dyDescent="0.25">
      <c r="A3976" t="str">
        <f>"20190305135313701"</f>
        <v>20190305135313701</v>
      </c>
      <c r="B3976" t="str">
        <f>"1551765193694054"</f>
        <v>1551765193694054</v>
      </c>
      <c r="C3976" t="s">
        <v>40</v>
      </c>
      <c r="D3976">
        <v>4.5366879999999998</v>
      </c>
      <c r="E3976">
        <v>0.56489119999999904</v>
      </c>
      <c r="F3976" t="s">
        <v>42</v>
      </c>
      <c r="G3976">
        <v>-253.54640000000001</v>
      </c>
      <c r="H3976" s="1">
        <v>-3.8137520000000002E-6</v>
      </c>
      <c r="I3976">
        <v>143.81379999999999</v>
      </c>
      <c r="J3976">
        <v>-224.43440000000001</v>
      </c>
      <c r="K3976">
        <v>1.1069819999999999</v>
      </c>
      <c r="L3976">
        <v>140.84289999999999</v>
      </c>
      <c r="M3976">
        <v>-0.99982979999999999</v>
      </c>
      <c r="N3976">
        <v>-8.6871109999999904E-3</v>
      </c>
      <c r="O3976">
        <v>-1.6288730000000001E-2</v>
      </c>
      <c r="P3976">
        <v>-0.99714480000000005</v>
      </c>
      <c r="Q3976">
        <v>-4.1800120000000003E-2</v>
      </c>
      <c r="R3976">
        <v>-6.2890249999999995E-2</v>
      </c>
      <c r="S3976">
        <v>-3.0225219999999999</v>
      </c>
      <c r="T3976">
        <v>-0.11391279999999999</v>
      </c>
      <c r="U3976">
        <v>0.3054962</v>
      </c>
      <c r="V3976">
        <v>-4.6784649999999997E-2</v>
      </c>
      <c r="W3976">
        <v>-3.2923309999999997E-2</v>
      </c>
      <c r="X3976">
        <v>0.99836230000000004</v>
      </c>
      <c r="Y3976">
        <v>0.1166465</v>
      </c>
      <c r="Z3976">
        <v>3.171044E-3</v>
      </c>
      <c r="AA3976">
        <v>0.99316839999999995</v>
      </c>
      <c r="AB3976">
        <v>26</v>
      </c>
      <c r="AC3976">
        <v>-29.111999999999899</v>
      </c>
      <c r="AD3976">
        <v>-1.1069858137519999</v>
      </c>
      <c r="AE3976">
        <v>2.9708999999999999</v>
      </c>
      <c r="AF3976">
        <v>3.4397987611550498</v>
      </c>
      <c r="AG3976">
        <v>-1.1069858137519999</v>
      </c>
      <c r="AH3976">
        <v>29.018218257122001</v>
      </c>
      <c r="AI3976">
        <v>92.169483256474294</v>
      </c>
      <c r="AJ3976">
        <v>83.239745687405005</v>
      </c>
      <c r="AK3976">
        <v>29.242342996536099</v>
      </c>
      <c r="AL3976">
        <v>91.886707634825996</v>
      </c>
      <c r="AM3976">
        <v>92.682997353578102</v>
      </c>
      <c r="AN3976">
        <v>1.0000000149391299</v>
      </c>
    </row>
    <row r="3977" spans="1:40" x14ac:dyDescent="0.25">
      <c r="A3977" t="str">
        <f>"20190305135313726"</f>
        <v>20190305135313726</v>
      </c>
      <c r="B3977" t="str">
        <f>"1551765193713573"</f>
        <v>1551765193713573</v>
      </c>
      <c r="C3977" t="s">
        <v>40</v>
      </c>
      <c r="D3977">
        <v>4.5625080000000002</v>
      </c>
      <c r="E3977">
        <v>0.56549839999999996</v>
      </c>
      <c r="F3977" t="s">
        <v>42</v>
      </c>
      <c r="G3977">
        <v>-251.18690000000001</v>
      </c>
      <c r="H3977" s="1">
        <v>-4.605655E-6</v>
      </c>
      <c r="I3977">
        <v>143.75149999999999</v>
      </c>
      <c r="J3977">
        <v>-224.71440000000001</v>
      </c>
      <c r="K3977">
        <v>1.1069789999999999</v>
      </c>
      <c r="L3977">
        <v>140.84119999999999</v>
      </c>
      <c r="M3977">
        <v>-0.99986929999999996</v>
      </c>
      <c r="N3977">
        <v>-8.6855619999999904E-3</v>
      </c>
      <c r="O3977">
        <v>-1.3625129999999999E-2</v>
      </c>
      <c r="P3977">
        <v>-0.99711719999999904</v>
      </c>
      <c r="Q3977">
        <v>-4.1496579999999998E-2</v>
      </c>
      <c r="R3977">
        <v>-6.3523360000000001E-2</v>
      </c>
      <c r="S3977">
        <v>-3.0240629999999999</v>
      </c>
      <c r="T3977">
        <v>-0.1251323</v>
      </c>
      <c r="U3977">
        <v>0.32879639999999999</v>
      </c>
      <c r="V3977">
        <v>-5.0075410000000001E-2</v>
      </c>
      <c r="W3977">
        <v>-3.2607690000000002E-2</v>
      </c>
      <c r="X3977">
        <v>0.99821300000000002</v>
      </c>
      <c r="Y3977">
        <v>0.1214937</v>
      </c>
      <c r="Z3977">
        <v>3.4786909999999999E-3</v>
      </c>
      <c r="AA3977">
        <v>0.99258610000000003</v>
      </c>
      <c r="AB3977">
        <v>26</v>
      </c>
      <c r="AC3977">
        <v>-26.4725</v>
      </c>
      <c r="AD3977">
        <v>-1.106983605655</v>
      </c>
      <c r="AE3977">
        <v>2.9102999999999999</v>
      </c>
      <c r="AF3977">
        <v>3.2650935518753501</v>
      </c>
      <c r="AG3977">
        <v>-1.106983605655</v>
      </c>
      <c r="AH3977">
        <v>26.384802026266499</v>
      </c>
      <c r="AI3977">
        <v>92.384289804954406</v>
      </c>
      <c r="AJ3977">
        <v>82.9455673130619</v>
      </c>
      <c r="AK3977">
        <v>26.609096688368901</v>
      </c>
      <c r="AL3977">
        <v>91.868614252661203</v>
      </c>
      <c r="AM3977">
        <v>92.871838517154302</v>
      </c>
      <c r="AN3977">
        <v>1.0000000007514001</v>
      </c>
    </row>
    <row r="3978" spans="1:40" x14ac:dyDescent="0.25">
      <c r="A3978" t="str">
        <f>"20190305135313746"</f>
        <v>20190305135313746</v>
      </c>
      <c r="B3978" t="str">
        <f>"1551765193743829"</f>
        <v>1551765193743829</v>
      </c>
      <c r="C3978" t="s">
        <v>40</v>
      </c>
      <c r="D3978">
        <v>5.3496540000000001</v>
      </c>
      <c r="E3978">
        <v>0.56587849999999995</v>
      </c>
      <c r="F3978" t="s">
        <v>42</v>
      </c>
      <c r="G3978">
        <v>-249.9188</v>
      </c>
      <c r="H3978" s="1">
        <v>-1.079737E-6</v>
      </c>
      <c r="I3978">
        <v>143.60980000000001</v>
      </c>
      <c r="J3978">
        <v>-224.9649</v>
      </c>
      <c r="K3978">
        <v>1.106981</v>
      </c>
      <c r="L3978">
        <v>140.84039999999999</v>
      </c>
      <c r="M3978">
        <v>-0.99989899999999998</v>
      </c>
      <c r="N3978">
        <v>-8.6840949999999993E-3</v>
      </c>
      <c r="O3978">
        <v>-1.125875E-2</v>
      </c>
      <c r="P3978">
        <v>-0.99702550000000001</v>
      </c>
      <c r="Q3978">
        <v>-4.2117380000000003E-2</v>
      </c>
      <c r="R3978">
        <v>-6.4551090000000005E-2</v>
      </c>
      <c r="S3978">
        <v>-3.0243069999999999</v>
      </c>
      <c r="T3978">
        <v>-0.132827799999999</v>
      </c>
      <c r="U3978">
        <v>0.33221440000000002</v>
      </c>
      <c r="V3978">
        <v>-5.3467819999999999E-2</v>
      </c>
      <c r="W3978">
        <v>-3.3216990000000002E-2</v>
      </c>
      <c r="X3978">
        <v>0.99801700000000004</v>
      </c>
      <c r="Y3978">
        <v>0.1202319</v>
      </c>
      <c r="Z3978">
        <v>3.5504529999999999E-3</v>
      </c>
      <c r="AA3978">
        <v>0.9927395</v>
      </c>
      <c r="AB3978">
        <v>27</v>
      </c>
      <c r="AC3978">
        <v>-24.953900000000001</v>
      </c>
      <c r="AD3978">
        <v>-1.106982079737</v>
      </c>
      <c r="AE3978">
        <v>2.7694000000000099</v>
      </c>
      <c r="AF3978">
        <v>3.0442668066375602</v>
      </c>
      <c r="AG3978">
        <v>-1.106982079737</v>
      </c>
      <c r="AH3978">
        <v>24.8727853386353</v>
      </c>
      <c r="AI3978">
        <v>92.529459612972701</v>
      </c>
      <c r="AJ3978">
        <v>83.022075414873299</v>
      </c>
      <c r="AK3978">
        <v>25.082831184232099</v>
      </c>
      <c r="AL3978">
        <v>91.903543392960302</v>
      </c>
      <c r="AM3978">
        <v>93.066635688328802</v>
      </c>
      <c r="AN3978">
        <v>1.0000000542445999</v>
      </c>
    </row>
    <row r="3979" spans="1:40" x14ac:dyDescent="0.25">
      <c r="A3979" t="str">
        <f>"20190305135313767"</f>
        <v>20190305135313767</v>
      </c>
      <c r="B3979" t="str">
        <f>"1551765193764325"</f>
        <v>1551765193764325</v>
      </c>
      <c r="C3979" t="s">
        <v>40</v>
      </c>
      <c r="D3979">
        <v>4.587866</v>
      </c>
      <c r="E3979">
        <v>0.56615479999999996</v>
      </c>
      <c r="F3979" t="s">
        <v>42</v>
      </c>
      <c r="G3979">
        <v>-248.40629999999999</v>
      </c>
      <c r="H3979" s="1">
        <v>-1.677467E-6</v>
      </c>
      <c r="I3979">
        <v>143.41759999999999</v>
      </c>
      <c r="J3979">
        <v>-225.21600000000001</v>
      </c>
      <c r="K3979">
        <v>1.1069789999999999</v>
      </c>
      <c r="L3979">
        <v>140.84010000000001</v>
      </c>
      <c r="M3979">
        <v>-0.9999228</v>
      </c>
      <c r="N3979">
        <v>-8.6827569999999993E-3</v>
      </c>
      <c r="O3979">
        <v>-8.9004879999999998E-3</v>
      </c>
      <c r="P3979">
        <v>-0.99692650000000005</v>
      </c>
      <c r="Q3979">
        <v>-4.2675949999999997E-2</v>
      </c>
      <c r="R3979">
        <v>-6.5701780000000001E-2</v>
      </c>
      <c r="S3979">
        <v>-3.0244140000000002</v>
      </c>
      <c r="T3979">
        <v>-0.14282329999999999</v>
      </c>
      <c r="U3979">
        <v>0.33251950000000002</v>
      </c>
      <c r="V3979">
        <v>-5.6974230000000001E-2</v>
      </c>
      <c r="W3979">
        <v>-3.3764049999999997E-2</v>
      </c>
      <c r="X3979">
        <v>0.99780460000000004</v>
      </c>
      <c r="Y3979">
        <v>0.1179692</v>
      </c>
      <c r="Z3979">
        <v>3.6314469999999999E-3</v>
      </c>
      <c r="AA3979">
        <v>0.99301059999999997</v>
      </c>
      <c r="AB3979">
        <v>27</v>
      </c>
      <c r="AC3979">
        <v>-23.190300000000001</v>
      </c>
      <c r="AD3979">
        <v>-1.1069806774669999</v>
      </c>
      <c r="AE3979">
        <v>2.5774999999999801</v>
      </c>
      <c r="AF3979">
        <v>2.7775589373708298</v>
      </c>
      <c r="AG3979">
        <v>-1.1069806774669999</v>
      </c>
      <c r="AH3979">
        <v>23.114413769064299</v>
      </c>
      <c r="AI3979">
        <v>92.722323101643994</v>
      </c>
      <c r="AJ3979">
        <v>83.147869521351893</v>
      </c>
      <c r="AK3979">
        <v>23.3070024618861</v>
      </c>
      <c r="AL3979">
        <v>91.934905227945706</v>
      </c>
      <c r="AM3979">
        <v>93.268016757083004</v>
      </c>
      <c r="AN3979">
        <v>1.0000000468688199</v>
      </c>
    </row>
    <row r="3980" spans="1:40" x14ac:dyDescent="0.25">
      <c r="A3980" t="str">
        <f>"20190305135313791"</f>
        <v>20190305135313791</v>
      </c>
      <c r="B3980" t="str">
        <f>"1551765193783846"</f>
        <v>1551765193783846</v>
      </c>
      <c r="C3980" t="s">
        <v>40</v>
      </c>
      <c r="D3980">
        <v>4.51912</v>
      </c>
      <c r="E3980">
        <v>0.56643269999999901</v>
      </c>
      <c r="F3980" t="s">
        <v>42</v>
      </c>
      <c r="G3980">
        <v>-247.7851</v>
      </c>
      <c r="H3980" s="1">
        <v>-1.9162290000000001E-6</v>
      </c>
      <c r="I3980">
        <v>143.3134</v>
      </c>
      <c r="J3980">
        <v>-225.49799999999999</v>
      </c>
      <c r="K3980">
        <v>1.1069869999999999</v>
      </c>
      <c r="L3980">
        <v>140.84049999999999</v>
      </c>
      <c r="M3980">
        <v>-0.99994269999999996</v>
      </c>
      <c r="N3980">
        <v>-8.6814030000000007E-3</v>
      </c>
      <c r="O3980">
        <v>-6.2786839999999997E-3</v>
      </c>
      <c r="P3980">
        <v>-0.99678339999999999</v>
      </c>
      <c r="Q3980">
        <v>-4.3236780000000002E-2</v>
      </c>
      <c r="R3980">
        <v>-6.7481879999999994E-2</v>
      </c>
      <c r="S3980">
        <v>-3.02475</v>
      </c>
      <c r="T3980">
        <v>-0.14836009999999999</v>
      </c>
      <c r="U3980">
        <v>0.3314819</v>
      </c>
      <c r="V3980">
        <v>-6.1371679999999998E-2</v>
      </c>
      <c r="W3980">
        <v>-3.4310899999999998E-2</v>
      </c>
      <c r="X3980">
        <v>0.99752510000000005</v>
      </c>
      <c r="Y3980">
        <v>0.1150109</v>
      </c>
      <c r="Z3980">
        <v>3.5641240000000001E-3</v>
      </c>
      <c r="AA3980">
        <v>0.99335779999999996</v>
      </c>
      <c r="AB3980">
        <v>27</v>
      </c>
      <c r="AC3980">
        <v>-22.287099999999999</v>
      </c>
      <c r="AD3980">
        <v>-1.1069889162289901</v>
      </c>
      <c r="AE3980">
        <v>2.4729000000000099</v>
      </c>
      <c r="AF3980">
        <v>2.6064381380780999</v>
      </c>
      <c r="AG3980">
        <v>-1.1069889162289901</v>
      </c>
      <c r="AH3980">
        <v>22.216989498741398</v>
      </c>
      <c r="AI3980">
        <v>92.833076190812406</v>
      </c>
      <c r="AJ3980">
        <v>83.308797427776994</v>
      </c>
      <c r="AK3980">
        <v>22.396731159154999</v>
      </c>
      <c r="AL3980">
        <v>91.966255636490999</v>
      </c>
      <c r="AM3980">
        <v>93.520624812675393</v>
      </c>
      <c r="AN3980">
        <v>1.00000002304742</v>
      </c>
    </row>
    <row r="3981" spans="1:40" x14ac:dyDescent="0.25">
      <c r="A3981" t="str">
        <f>"20190305135313813"</f>
        <v>20190305135313813</v>
      </c>
      <c r="B3981" t="str">
        <f>"1551765193803874"</f>
        <v>1551765193803874</v>
      </c>
      <c r="C3981" t="s">
        <v>40</v>
      </c>
      <c r="D3981">
        <v>4.583456</v>
      </c>
      <c r="E3981">
        <v>0.56662360000000001</v>
      </c>
      <c r="F3981" t="s">
        <v>42</v>
      </c>
      <c r="G3981">
        <v>-247.6711</v>
      </c>
      <c r="H3981" s="1">
        <v>-1.9472889999999999E-6</v>
      </c>
      <c r="I3981">
        <v>143.24639999999999</v>
      </c>
      <c r="J3981">
        <v>-225.7687</v>
      </c>
      <c r="K3981">
        <v>1.1069910000000001</v>
      </c>
      <c r="L3981">
        <v>140.8415</v>
      </c>
      <c r="M3981">
        <v>-0.99995520000000004</v>
      </c>
      <c r="N3981">
        <v>-8.6800330000000002E-3</v>
      </c>
      <c r="O3981">
        <v>-3.794586E-3</v>
      </c>
      <c r="P3981">
        <v>-0.99654450000000006</v>
      </c>
      <c r="Q3981">
        <v>-4.4233769999999999E-2</v>
      </c>
      <c r="R3981">
        <v>-7.0304800000000001E-2</v>
      </c>
      <c r="S3981">
        <v>-3.02536</v>
      </c>
      <c r="T3981">
        <v>-0.1510408</v>
      </c>
      <c r="U3981">
        <v>0.3282776</v>
      </c>
      <c r="V3981">
        <v>-6.6675899999999996E-2</v>
      </c>
      <c r="W3981">
        <v>-3.5291650000000001E-2</v>
      </c>
      <c r="X3981">
        <v>0.99715039999999999</v>
      </c>
      <c r="Y3981">
        <v>0.1114826</v>
      </c>
      <c r="Z3981">
        <v>3.4145949999999999E-3</v>
      </c>
      <c r="AA3981">
        <v>0.99376050000000005</v>
      </c>
      <c r="AB3981">
        <v>27</v>
      </c>
      <c r="AC3981">
        <v>-21.9024</v>
      </c>
      <c r="AD3981">
        <v>-1.1069929472890001</v>
      </c>
      <c r="AE3981">
        <v>2.4048999999999898</v>
      </c>
      <c r="AF3981">
        <v>2.4817322803296098</v>
      </c>
      <c r="AG3981">
        <v>-1.1069929472890001</v>
      </c>
      <c r="AH3981">
        <v>21.837995695629701</v>
      </c>
      <c r="AI3981">
        <v>92.883377019876505</v>
      </c>
      <c r="AJ3981">
        <v>83.516558856983593</v>
      </c>
      <c r="AK3981">
        <v>22.006419165755201</v>
      </c>
      <c r="AL3981">
        <v>92.022482481622703</v>
      </c>
      <c r="AM3981">
        <v>93.825470354294396</v>
      </c>
      <c r="AN3981">
        <v>1.0000000482103399</v>
      </c>
    </row>
    <row r="3982" spans="1:40" x14ac:dyDescent="0.25">
      <c r="A3982" t="str">
        <f>"20190305135313835"</f>
        <v>20190305135313835</v>
      </c>
      <c r="B3982" t="str">
        <f>"1551765193823395"</f>
        <v>1551765193823395</v>
      </c>
      <c r="C3982" t="s">
        <v>40</v>
      </c>
      <c r="D3982">
        <v>4.7224979999999999</v>
      </c>
      <c r="E3982">
        <v>0.56331540000000002</v>
      </c>
      <c r="F3982" t="s">
        <v>42</v>
      </c>
      <c r="G3982">
        <v>-247.62119999999999</v>
      </c>
      <c r="H3982" s="1">
        <v>-1.9459010000000001E-6</v>
      </c>
      <c r="I3982">
        <v>143.16059999999999</v>
      </c>
      <c r="J3982">
        <v>-226.02459999999999</v>
      </c>
      <c r="K3982">
        <v>1.1070059999999999</v>
      </c>
      <c r="L3982">
        <v>140.84299999999999</v>
      </c>
      <c r="M3982">
        <v>-0.99996130000000005</v>
      </c>
      <c r="N3982">
        <v>-8.678692E-3</v>
      </c>
      <c r="O3982">
        <v>-1.480257E-3</v>
      </c>
      <c r="P3982">
        <v>-0.99622540000000004</v>
      </c>
      <c r="Q3982">
        <v>-4.5008100000000002E-2</v>
      </c>
      <c r="R3982">
        <v>-7.4225319999999997E-2</v>
      </c>
      <c r="S3982">
        <v>-3.0262600000000002</v>
      </c>
      <c r="T3982">
        <v>-0.15330289999999999</v>
      </c>
      <c r="U3982">
        <v>0.32118229999999998</v>
      </c>
      <c r="V3982">
        <v>-7.2905629999999999E-2</v>
      </c>
      <c r="W3982">
        <v>-3.60474E-2</v>
      </c>
      <c r="X3982">
        <v>0.9966872</v>
      </c>
      <c r="Y3982">
        <v>0.10685070000000001</v>
      </c>
      <c r="Z3982">
        <v>3.2243440000000001E-3</v>
      </c>
      <c r="AA3982">
        <v>0.99426979999999998</v>
      </c>
      <c r="AB3982">
        <v>27</v>
      </c>
      <c r="AC3982">
        <v>-21.596599999999899</v>
      </c>
      <c r="AD3982">
        <v>-1.1070079459009901</v>
      </c>
      <c r="AE3982">
        <v>2.3175999999999899</v>
      </c>
      <c r="AF3982">
        <v>2.3434799591912099</v>
      </c>
      <c r="AG3982">
        <v>-1.1070079459009901</v>
      </c>
      <c r="AH3982">
        <v>21.537202379835499</v>
      </c>
      <c r="AI3982">
        <v>92.9251668798628</v>
      </c>
      <c r="AJ3982">
        <v>83.7900324195423</v>
      </c>
      <c r="AK3982">
        <v>21.692589777650099</v>
      </c>
      <c r="AL3982">
        <v>92.065811417060004</v>
      </c>
      <c r="AM3982">
        <v>94.183618037520901</v>
      </c>
      <c r="AN3982">
        <v>1.0000000102881399</v>
      </c>
    </row>
    <row r="3983" spans="1:40" x14ac:dyDescent="0.25">
      <c r="A3983" t="str">
        <f>"20190305135313857"</f>
        <v>20190305135313857</v>
      </c>
      <c r="B3983" t="str">
        <f>"1551765193853647"</f>
        <v>1551765193853647</v>
      </c>
      <c r="C3983" t="s">
        <v>40</v>
      </c>
      <c r="D3983">
        <v>4.3620760000000001</v>
      </c>
      <c r="E3983">
        <v>0.44954179999999999</v>
      </c>
      <c r="F3983" t="s">
        <v>42</v>
      </c>
      <c r="G3983">
        <v>-249.0205</v>
      </c>
      <c r="H3983" s="1">
        <v>-1.299943E-6</v>
      </c>
      <c r="I3983">
        <v>142.98910000000001</v>
      </c>
      <c r="J3983">
        <v>-226.2902</v>
      </c>
      <c r="K3983">
        <v>1.107032</v>
      </c>
      <c r="L3983">
        <v>140.8451</v>
      </c>
      <c r="M3983">
        <v>-0.99996200000000002</v>
      </c>
      <c r="N3983">
        <v>-8.6772849999999999E-3</v>
      </c>
      <c r="O3983">
        <v>8.7862819999999996E-4</v>
      </c>
      <c r="P3983">
        <v>-0.99581090000000005</v>
      </c>
      <c r="Q3983">
        <v>-4.6122009999999998E-2</v>
      </c>
      <c r="R3983">
        <v>-7.8953969999999998E-2</v>
      </c>
      <c r="S3983">
        <v>-3.0258180000000001</v>
      </c>
      <c r="T3983">
        <v>-0.14566099999999901</v>
      </c>
      <c r="U3983">
        <v>0.28239439999999999</v>
      </c>
      <c r="V3983">
        <v>-7.9986600000000005E-2</v>
      </c>
      <c r="W3983">
        <v>-3.7141720000000003E-2</v>
      </c>
      <c r="X3983">
        <v>0.99610370000000004</v>
      </c>
      <c r="Y3983">
        <v>9.192554E-2</v>
      </c>
      <c r="Z3983">
        <v>2.5719509999999998E-3</v>
      </c>
      <c r="AA3983">
        <v>0.99576260000000005</v>
      </c>
      <c r="AB3983">
        <v>27</v>
      </c>
      <c r="AC3983">
        <v>-22.7303</v>
      </c>
      <c r="AD3983">
        <v>-1.1070332999429999</v>
      </c>
      <c r="AE3983">
        <v>2.1440000000000001</v>
      </c>
      <c r="AF3983">
        <v>2.1190449307088501</v>
      </c>
      <c r="AG3983">
        <v>-1.1070332999429999</v>
      </c>
      <c r="AH3983">
        <v>22.678855659916199</v>
      </c>
      <c r="AI3983">
        <v>92.782486107955094</v>
      </c>
      <c r="AJ3983">
        <v>84.661951067416396</v>
      </c>
      <c r="AK3983">
        <v>22.8045251691163</v>
      </c>
      <c r="AL3983">
        <v>92.128553442671901</v>
      </c>
      <c r="AM3983">
        <v>94.590970152572098</v>
      </c>
      <c r="AN3983">
        <v>0.99999997234890303</v>
      </c>
    </row>
    <row r="3984" spans="1:40" x14ac:dyDescent="0.25">
      <c r="A3984" t="str">
        <f>"20190305135313879"</f>
        <v>20190305135313879</v>
      </c>
      <c r="B3984" t="str">
        <f>"1551765193874143"</f>
        <v>1551765193874143</v>
      </c>
      <c r="C3984" t="s">
        <v>40</v>
      </c>
      <c r="D3984">
        <v>4.3751600000000002</v>
      </c>
      <c r="E3984">
        <v>0.43201089999999998</v>
      </c>
      <c r="F3984" t="s">
        <v>42</v>
      </c>
      <c r="G3984">
        <v>-274.46449999999999</v>
      </c>
      <c r="H3984" s="1">
        <v>-4.3286419999999901E-6</v>
      </c>
      <c r="I3984">
        <v>130.375</v>
      </c>
      <c r="J3984">
        <v>-226.56229999999999</v>
      </c>
      <c r="K3984">
        <v>1.107062</v>
      </c>
      <c r="L3984">
        <v>140.84790000000001</v>
      </c>
      <c r="M3984">
        <v>-0.99995710000000004</v>
      </c>
      <c r="N3984">
        <v>-8.6758089999999996E-3</v>
      </c>
      <c r="O3984">
        <v>3.2463090000000002E-3</v>
      </c>
      <c r="P3984">
        <v>-0.99530370000000001</v>
      </c>
      <c r="Q3984">
        <v>-4.7126929999999997E-2</v>
      </c>
      <c r="R3984">
        <v>-8.4555870000000005E-2</v>
      </c>
      <c r="S3984">
        <v>-2.9584959999999998</v>
      </c>
      <c r="T3984">
        <v>-6.7985770000000001E-2</v>
      </c>
      <c r="U3984">
        <v>-0.64299010000000001</v>
      </c>
      <c r="V3984">
        <v>-8.7946579999999996E-2</v>
      </c>
      <c r="W3984">
        <v>-3.8126189999999997E-2</v>
      </c>
      <c r="X3984">
        <v>0.99539529999999998</v>
      </c>
      <c r="Y3984">
        <v>-0.2154741</v>
      </c>
      <c r="Z3984">
        <v>-3.4384760000000002E-3</v>
      </c>
      <c r="AA3984">
        <v>0.97650349999999997</v>
      </c>
      <c r="AB3984">
        <v>27</v>
      </c>
      <c r="AC3984">
        <v>-47.902199999999901</v>
      </c>
      <c r="AD3984">
        <v>-1.1070663286419999</v>
      </c>
      <c r="AE3984">
        <v>-10.472899999999999</v>
      </c>
      <c r="AF3984">
        <v>-10.622940950090801</v>
      </c>
      <c r="AG3984">
        <v>-1.1070663286419999</v>
      </c>
      <c r="AH3984">
        <v>47.843559713742103</v>
      </c>
      <c r="AI3984">
        <v>91.294044472961005</v>
      </c>
      <c r="AJ3984">
        <v>102.51858069056701</v>
      </c>
      <c r="AK3984">
        <v>49.021206394452697</v>
      </c>
      <c r="AL3984">
        <v>92.184999337378798</v>
      </c>
      <c r="AM3984">
        <v>95.049166885049701</v>
      </c>
      <c r="AN3984">
        <v>1.0000000052798499</v>
      </c>
    </row>
    <row r="3985" spans="1:40" x14ac:dyDescent="0.25">
      <c r="A3985" t="str">
        <f>"20190305135313903"</f>
        <v>20190305135313903</v>
      </c>
      <c r="B3985" t="str">
        <f>"1551765193894170"</f>
        <v>1551765193894170</v>
      </c>
      <c r="C3985" t="s">
        <v>40</v>
      </c>
      <c r="D3985">
        <v>4.3047899999999997</v>
      </c>
      <c r="E3985">
        <v>0.4267666</v>
      </c>
      <c r="F3985" t="s">
        <v>78</v>
      </c>
      <c r="G3985">
        <v>-301.06229999999999</v>
      </c>
      <c r="H3985" s="1">
        <v>-8.2277419999999904E-7</v>
      </c>
      <c r="I3985">
        <v>120.58110000000001</v>
      </c>
      <c r="J3985">
        <v>-226.85159999999999</v>
      </c>
      <c r="K3985">
        <v>1.1070960000000001</v>
      </c>
      <c r="L3985">
        <v>140.85149999999999</v>
      </c>
      <c r="M3985">
        <v>-0.99994620000000001</v>
      </c>
      <c r="N3985">
        <v>-8.6742319999999901E-3</v>
      </c>
      <c r="O3985">
        <v>5.7071800000000001E-3</v>
      </c>
      <c r="P3985">
        <v>-0.99508839999999998</v>
      </c>
      <c r="Q3985">
        <v>-4.7008250000000001E-2</v>
      </c>
      <c r="R3985">
        <v>-8.711882E-2</v>
      </c>
      <c r="S3985">
        <v>-2.9440309999999998</v>
      </c>
      <c r="T3985">
        <v>-4.3748019999999999E-2</v>
      </c>
      <c r="U3985">
        <v>-0.80088809999999999</v>
      </c>
      <c r="V3985">
        <v>-9.2952889999999996E-2</v>
      </c>
      <c r="W3985">
        <v>-3.7999119999999997E-2</v>
      </c>
      <c r="X3985">
        <v>0.99494510000000003</v>
      </c>
      <c r="Y3985">
        <v>-0.26795639999999998</v>
      </c>
      <c r="Z3985">
        <v>-3.172982E-3</v>
      </c>
      <c r="AA3985">
        <v>0.9634258</v>
      </c>
      <c r="AB3985">
        <v>27</v>
      </c>
      <c r="AC3985">
        <v>-74.210700000000003</v>
      </c>
      <c r="AD3985">
        <v>-1.1070968227742</v>
      </c>
      <c r="AE3985">
        <v>-20.270399999999899</v>
      </c>
      <c r="AF3985">
        <v>-20.689334725600599</v>
      </c>
      <c r="AG3985">
        <v>-1.1070968227742</v>
      </c>
      <c r="AH3985">
        <v>74.078458230579599</v>
      </c>
      <c r="AI3985">
        <v>90.824662797467596</v>
      </c>
      <c r="AJ3985">
        <v>105.604489778573</v>
      </c>
      <c r="AK3985">
        <v>76.921337797666197</v>
      </c>
      <c r="AL3985">
        <v>92.177713576371204</v>
      </c>
      <c r="AM3985">
        <v>95.337373816584005</v>
      </c>
      <c r="AN3985">
        <v>0.99999996244706701</v>
      </c>
    </row>
    <row r="3986" spans="1:40" x14ac:dyDescent="0.25">
      <c r="A3986" t="str">
        <f>"20190305135313926"</f>
        <v>20190305135313926</v>
      </c>
      <c r="B3986" t="str">
        <f>"1551765193913689"</f>
        <v>1551765193913689</v>
      </c>
      <c r="C3986" t="s">
        <v>40</v>
      </c>
      <c r="D3986">
        <v>4.301558</v>
      </c>
      <c r="E3986">
        <v>0.42470380000000002</v>
      </c>
      <c r="F3986" t="s">
        <v>42</v>
      </c>
      <c r="G3986">
        <v>-306.77690000000001</v>
      </c>
      <c r="H3986" s="1">
        <v>-4.8537239999999996E-6</v>
      </c>
      <c r="I3986">
        <v>117.71720000000001</v>
      </c>
      <c r="J3986">
        <v>-227.11920000000001</v>
      </c>
      <c r="K3986">
        <v>1.1071340000000001</v>
      </c>
      <c r="L3986">
        <v>140.8554</v>
      </c>
      <c r="M3986">
        <v>-0.99993100000000001</v>
      </c>
      <c r="N3986">
        <v>-8.6727160000000005E-3</v>
      </c>
      <c r="O3986">
        <v>7.9270669999999994E-3</v>
      </c>
      <c r="P3986">
        <v>-0.99455850000000001</v>
      </c>
      <c r="Q3986">
        <v>-4.6294370000000001E-2</v>
      </c>
      <c r="R3986">
        <v>-9.3328510000000003E-2</v>
      </c>
      <c r="S3986">
        <v>-2.938431</v>
      </c>
      <c r="T3986">
        <v>-4.0702219999999997E-2</v>
      </c>
      <c r="U3986">
        <v>-0.85052490000000003</v>
      </c>
      <c r="V3986">
        <v>-0.10136050000000001</v>
      </c>
      <c r="W3986">
        <v>-3.7266939999999998E-2</v>
      </c>
      <c r="X3986">
        <v>0.99415149999999997</v>
      </c>
      <c r="Y3986">
        <v>-0.28559959999999901</v>
      </c>
      <c r="Z3986">
        <v>-3.241907E-3</v>
      </c>
      <c r="AA3986">
        <v>0.95834359999999996</v>
      </c>
      <c r="AB3986">
        <v>27</v>
      </c>
      <c r="AC3986">
        <v>-79.657700000000006</v>
      </c>
      <c r="AD3986">
        <v>-1.1071388537239999</v>
      </c>
      <c r="AE3986">
        <v>-23.138200000000001</v>
      </c>
      <c r="AF3986">
        <v>-23.7647150763177</v>
      </c>
      <c r="AG3986">
        <v>-1.1071388537239999</v>
      </c>
      <c r="AH3986">
        <v>79.457617179944506</v>
      </c>
      <c r="AI3986">
        <v>90.764819888728496</v>
      </c>
      <c r="AJ3986">
        <v>106.65122366886</v>
      </c>
      <c r="AK3986">
        <v>82.942753553367098</v>
      </c>
      <c r="AL3986">
        <v>92.135732952441202</v>
      </c>
      <c r="AM3986">
        <v>95.821577491802401</v>
      </c>
      <c r="AN3986">
        <v>0.99999999036473097</v>
      </c>
    </row>
    <row r="3987" spans="1:40" x14ac:dyDescent="0.25">
      <c r="A3987" t="str">
        <f>"20190305135313948"</f>
        <v>20190305135313948</v>
      </c>
      <c r="B3987" t="str">
        <f>"1551765193943945"</f>
        <v>1551765193943945</v>
      </c>
      <c r="C3987" t="s">
        <v>40</v>
      </c>
      <c r="D3987">
        <v>4.2785529999999996</v>
      </c>
      <c r="E3987">
        <v>0.42445040000000001</v>
      </c>
      <c r="F3987" t="s">
        <v>76</v>
      </c>
      <c r="G3987">
        <v>-325.32749999999999</v>
      </c>
      <c r="H3987">
        <v>3.013704E-2</v>
      </c>
      <c r="I3987">
        <v>111.1845</v>
      </c>
      <c r="J3987">
        <v>-227.39400000000001</v>
      </c>
      <c r="K3987">
        <v>1.10717</v>
      </c>
      <c r="L3987">
        <v>140.86000000000001</v>
      </c>
      <c r="M3987">
        <v>-0.99991110000000005</v>
      </c>
      <c r="N3987">
        <v>-8.6712769999999998E-3</v>
      </c>
      <c r="O3987">
        <v>1.014145E-2</v>
      </c>
      <c r="P3987">
        <v>-0.9939907</v>
      </c>
      <c r="Q3987">
        <v>-4.6188159999999999E-2</v>
      </c>
      <c r="R3987">
        <v>-9.9245639999999996E-2</v>
      </c>
      <c r="S3987">
        <v>-2.9317929999999999</v>
      </c>
      <c r="T3987">
        <v>-3.2150980000000003E-2</v>
      </c>
      <c r="U3987">
        <v>-0.88575740000000003</v>
      </c>
      <c r="V3987">
        <v>-0.1094685</v>
      </c>
      <c r="W3987">
        <v>-3.7146110000000003E-2</v>
      </c>
      <c r="X3987">
        <v>0.99329590000000001</v>
      </c>
      <c r="Y3987">
        <v>-0.29887329999999901</v>
      </c>
      <c r="Z3987">
        <v>-2.9499700000000001E-3</v>
      </c>
      <c r="AA3987">
        <v>0.95428820000000003</v>
      </c>
      <c r="AB3987">
        <v>27</v>
      </c>
      <c r="AC3987">
        <v>-97.933499999999896</v>
      </c>
      <c r="AD3987">
        <v>-1.0770329599999999</v>
      </c>
      <c r="AE3987">
        <v>-29.6755</v>
      </c>
      <c r="AF3987">
        <v>-30.663801904741899</v>
      </c>
      <c r="AG3987">
        <v>-1.0770329599999999</v>
      </c>
      <c r="AH3987">
        <v>97.616685872321895</v>
      </c>
      <c r="AI3987">
        <v>90.603082953400801</v>
      </c>
      <c r="AJ3987">
        <v>107.43878644642101</v>
      </c>
      <c r="AK3987">
        <v>102.32519781532601</v>
      </c>
      <c r="AL3987">
        <v>92.128805159497503</v>
      </c>
      <c r="AM3987">
        <v>96.289035964509594</v>
      </c>
      <c r="AN3987">
        <v>0.99999996546859504</v>
      </c>
    </row>
    <row r="3988" spans="1:40" x14ac:dyDescent="0.25">
      <c r="A3988" t="str">
        <f>"20190305135313969"</f>
        <v>20190305135313969</v>
      </c>
      <c r="B3988" t="str">
        <f>"1551765193963466"</f>
        <v>1551765193963466</v>
      </c>
      <c r="C3988" t="s">
        <v>40</v>
      </c>
      <c r="D3988">
        <v>4.3311960000000003</v>
      </c>
      <c r="E3988">
        <v>0.42469089999999998</v>
      </c>
      <c r="F3988" t="s">
        <v>76</v>
      </c>
      <c r="G3988">
        <v>-324.82589999999999</v>
      </c>
      <c r="H3988">
        <v>0.1517915</v>
      </c>
      <c r="I3988">
        <v>110.711</v>
      </c>
      <c r="J3988">
        <v>-227.6542</v>
      </c>
      <c r="K3988">
        <v>1.107205</v>
      </c>
      <c r="L3988">
        <v>140.8648</v>
      </c>
      <c r="M3988">
        <v>-0.99988809999999995</v>
      </c>
      <c r="N3988">
        <v>-8.6699120000000001E-3</v>
      </c>
      <c r="O3988">
        <v>1.219404E-2</v>
      </c>
      <c r="P3988">
        <v>-0.99336460000000004</v>
      </c>
      <c r="Q3988">
        <v>-4.6378460000000003E-2</v>
      </c>
      <c r="R3988">
        <v>-0.10524210000000001</v>
      </c>
      <c r="S3988">
        <v>-2.9263919999999999</v>
      </c>
      <c r="T3988">
        <v>-2.8694629999999999E-2</v>
      </c>
      <c r="U3988">
        <v>-0.90553280000000003</v>
      </c>
      <c r="V3988">
        <v>-0.11749329999999999</v>
      </c>
      <c r="W3988">
        <v>-3.7322519999999998E-2</v>
      </c>
      <c r="X3988">
        <v>0.99237209999999998</v>
      </c>
      <c r="Y3988">
        <v>-0.307208799999999</v>
      </c>
      <c r="Z3988">
        <v>-2.8475879999999999E-3</v>
      </c>
      <c r="AA3988">
        <v>0.95163790000000004</v>
      </c>
      <c r="AB3988">
        <v>27</v>
      </c>
      <c r="AC3988">
        <v>-97.171700000000001</v>
      </c>
      <c r="AD3988">
        <v>-0.95541350000000003</v>
      </c>
      <c r="AE3988">
        <v>-30.1538</v>
      </c>
      <c r="AF3988">
        <v>-31.333754937196701</v>
      </c>
      <c r="AG3988">
        <v>-0.95541350000000003</v>
      </c>
      <c r="AH3988">
        <v>96.788229389758399</v>
      </c>
      <c r="AI3988">
        <v>90.538066535987497</v>
      </c>
      <c r="AJ3988">
        <v>107.938591701034</v>
      </c>
      <c r="AK3988">
        <v>101.738283658732</v>
      </c>
      <c r="AL3988">
        <v>92.1389196151829</v>
      </c>
      <c r="AM3988">
        <v>96.7521819792711</v>
      </c>
      <c r="AN3988">
        <v>1.0000000154512201</v>
      </c>
    </row>
    <row r="3989" spans="1:40" x14ac:dyDescent="0.25">
      <c r="A3989" t="str">
        <f>"20190305135313991"</f>
        <v>20190305135313991</v>
      </c>
      <c r="B3989" t="str">
        <f>"1551765193983962"</f>
        <v>1551765193983962</v>
      </c>
      <c r="C3989" t="s">
        <v>40</v>
      </c>
      <c r="D3989">
        <v>4.3010840000000004</v>
      </c>
      <c r="E3989">
        <v>0.42503980000000002</v>
      </c>
      <c r="F3989" t="s">
        <v>76</v>
      </c>
      <c r="G3989">
        <v>-324.435</v>
      </c>
      <c r="H3989">
        <v>0.11085</v>
      </c>
      <c r="I3989">
        <v>110.3419</v>
      </c>
      <c r="J3989">
        <v>-227.9341</v>
      </c>
      <c r="K3989">
        <v>1.1072310000000001</v>
      </c>
      <c r="L3989">
        <v>140.87049999999999</v>
      </c>
      <c r="M3989">
        <v>-0.99985939999999995</v>
      </c>
      <c r="N3989">
        <v>-8.6687840000000006E-3</v>
      </c>
      <c r="O3989">
        <v>1.4354509999999999E-2</v>
      </c>
      <c r="P3989">
        <v>-0.99278489999999997</v>
      </c>
      <c r="Q3989">
        <v>-4.6294200000000001E-2</v>
      </c>
      <c r="R3989">
        <v>-0.1106121</v>
      </c>
      <c r="S3989">
        <v>-2.9210210000000001</v>
      </c>
      <c r="T3989">
        <v>-3.0071380000000002E-2</v>
      </c>
      <c r="U3989">
        <v>-0.92123409999999994</v>
      </c>
      <c r="V3989">
        <v>-0.1249943</v>
      </c>
      <c r="W3989">
        <v>-3.7226780000000001E-2</v>
      </c>
      <c r="X3989">
        <v>0.99145879999999997</v>
      </c>
      <c r="Y3989">
        <v>-0.3144072</v>
      </c>
      <c r="Z3989">
        <v>-2.9980649999999998E-3</v>
      </c>
      <c r="AA3989">
        <v>0.94928349999999995</v>
      </c>
      <c r="AB3989">
        <v>27</v>
      </c>
      <c r="AC3989">
        <v>-96.500900000000001</v>
      </c>
      <c r="AD3989">
        <v>-0.99638099999999996</v>
      </c>
      <c r="AE3989">
        <v>-30.528600000000001</v>
      </c>
      <c r="AF3989">
        <v>-31.907637401298199</v>
      </c>
      <c r="AG3989">
        <v>-0.99638099999999996</v>
      </c>
      <c r="AH3989">
        <v>96.043409626230002</v>
      </c>
      <c r="AI3989">
        <v>90.564069288487502</v>
      </c>
      <c r="AJ3989">
        <v>108.37757078913</v>
      </c>
      <c r="AK3989">
        <v>101.209814900837</v>
      </c>
      <c r="AL3989">
        <v>92.133430377955193</v>
      </c>
      <c r="AM3989">
        <v>97.185433638455393</v>
      </c>
      <c r="AN3989">
        <v>0.99999998013954805</v>
      </c>
    </row>
    <row r="3990" spans="1:40" x14ac:dyDescent="0.25">
      <c r="A3990" t="str">
        <f>"20190305135314015"</f>
        <v>20190305135314015</v>
      </c>
      <c r="B3990" t="str">
        <f>"1551765194003485"</f>
        <v>1551765194003485</v>
      </c>
      <c r="C3990" t="s">
        <v>40</v>
      </c>
      <c r="D3990">
        <v>4.3164179999999996</v>
      </c>
      <c r="E3990">
        <v>0.42556939999999999</v>
      </c>
      <c r="F3990" t="s">
        <v>76</v>
      </c>
      <c r="G3990">
        <v>-324.13490000000002</v>
      </c>
      <c r="H3990">
        <v>4.7280629999999997E-2</v>
      </c>
      <c r="I3990">
        <v>110.0586</v>
      </c>
      <c r="J3990">
        <v>-228.20779999999999</v>
      </c>
      <c r="K3990">
        <v>1.107273</v>
      </c>
      <c r="L3990">
        <v>140.8767</v>
      </c>
      <c r="M3990">
        <v>-0.99982780000000004</v>
      </c>
      <c r="N3990">
        <v>-8.6676800000000005E-3</v>
      </c>
      <c r="O3990">
        <v>1.641927E-2</v>
      </c>
      <c r="P3990">
        <v>-0.99245939999999999</v>
      </c>
      <c r="Q3990">
        <v>-4.3870590000000001E-2</v>
      </c>
      <c r="R3990">
        <v>-0.1144559</v>
      </c>
      <c r="S3990">
        <v>-2.916245</v>
      </c>
      <c r="T3990">
        <v>-3.2131079999999999E-2</v>
      </c>
      <c r="U3990">
        <v>-0.93403630000000004</v>
      </c>
      <c r="V3990">
        <v>-0.13086719999999999</v>
      </c>
      <c r="W3990">
        <v>-3.4795819999999998E-2</v>
      </c>
      <c r="X3990">
        <v>0.99078909999999998</v>
      </c>
      <c r="Y3990">
        <v>-0.32058730000000002</v>
      </c>
      <c r="Z3990">
        <v>-3.1841759999999999E-3</v>
      </c>
      <c r="AA3990">
        <v>0.94721359999999999</v>
      </c>
      <c r="AB3990">
        <v>27</v>
      </c>
      <c r="AC3990">
        <v>-95.927099999999996</v>
      </c>
      <c r="AD3990">
        <v>-1.05999237</v>
      </c>
      <c r="AE3990">
        <v>-30.818100000000001</v>
      </c>
      <c r="AF3990">
        <v>-32.385472712800102</v>
      </c>
      <c r="AG3990">
        <v>-1.05999237</v>
      </c>
      <c r="AH3990">
        <v>95.397579448090994</v>
      </c>
      <c r="AI3990">
        <v>90.602818620198306</v>
      </c>
      <c r="AJ3990">
        <v>108.751269922245</v>
      </c>
      <c r="AK3990">
        <v>100.750387548688</v>
      </c>
      <c r="AL3990">
        <v>91.994056138661904</v>
      </c>
      <c r="AM3990">
        <v>97.524290040200299</v>
      </c>
      <c r="AN3990">
        <v>1.00000000690206</v>
      </c>
    </row>
    <row r="3991" spans="1:40" x14ac:dyDescent="0.25">
      <c r="A3991" t="str">
        <f>"20190305135314035"</f>
        <v>20190305135314035</v>
      </c>
      <c r="B3991" t="str">
        <f>"1551765194023987"</f>
        <v>1551765194023987</v>
      </c>
      <c r="C3991" t="s">
        <v>40</v>
      </c>
      <c r="D3991">
        <v>4.336519</v>
      </c>
      <c r="E3991">
        <v>0.42627029999999999</v>
      </c>
      <c r="F3991" t="s">
        <v>76</v>
      </c>
      <c r="G3991">
        <v>-323.99799999999999</v>
      </c>
      <c r="H3991">
        <v>0.24652669999999999</v>
      </c>
      <c r="I3991">
        <v>109.9294</v>
      </c>
      <c r="J3991">
        <v>-228.46520000000001</v>
      </c>
      <c r="K3991">
        <v>1.1073189999999999</v>
      </c>
      <c r="L3991">
        <v>140.88299999999899</v>
      </c>
      <c r="M3991">
        <v>-0.99979470000000004</v>
      </c>
      <c r="N3991">
        <v>-8.6665839999999997E-3</v>
      </c>
      <c r="O3991">
        <v>1.8319350000000002E-2</v>
      </c>
      <c r="P3991">
        <v>-0.99238859999999995</v>
      </c>
      <c r="Q3991">
        <v>-3.921227E-2</v>
      </c>
      <c r="R3991">
        <v>-0.1167362</v>
      </c>
      <c r="S3991">
        <v>-2.9131010000000002</v>
      </c>
      <c r="T3991">
        <v>-2.6175980000000001E-2</v>
      </c>
      <c r="U3991">
        <v>-0.94114690000000001</v>
      </c>
      <c r="V3991">
        <v>-0.13500860000000001</v>
      </c>
      <c r="W3991">
        <v>-3.013439E-2</v>
      </c>
      <c r="X3991">
        <v>0.99038610000000005</v>
      </c>
      <c r="Y3991">
        <v>-0.32478459999999998</v>
      </c>
      <c r="Z3991">
        <v>-2.871261E-3</v>
      </c>
      <c r="AA3991">
        <v>0.9457837</v>
      </c>
      <c r="AB3991">
        <v>27</v>
      </c>
      <c r="AC3991">
        <v>-95.532799999999895</v>
      </c>
      <c r="AD3991">
        <v>-0.86079229999999995</v>
      </c>
      <c r="AE3991">
        <v>-30.953599999999899</v>
      </c>
      <c r="AF3991">
        <v>-32.696167246345603</v>
      </c>
      <c r="AG3991">
        <v>-0.86079229999999995</v>
      </c>
      <c r="AH3991">
        <v>94.942720167167707</v>
      </c>
      <c r="AI3991">
        <v>90.491147627285898</v>
      </c>
      <c r="AJ3991">
        <v>109.002571820307</v>
      </c>
      <c r="AK3991">
        <v>100.41862590538599</v>
      </c>
      <c r="AL3991">
        <v>91.726834757149007</v>
      </c>
      <c r="AM3991">
        <v>97.762664146712694</v>
      </c>
      <c r="AN3991">
        <v>1.0000000153039199</v>
      </c>
    </row>
    <row r="3992" spans="1:40" x14ac:dyDescent="0.25">
      <c r="A3992" t="str">
        <f>"20190305135314058"</f>
        <v>20190305135314058</v>
      </c>
      <c r="B3992" t="str">
        <f>"1551765194054235"</f>
        <v>1551765194054235</v>
      </c>
      <c r="C3992" t="s">
        <v>40</v>
      </c>
      <c r="D3992">
        <v>4.323175</v>
      </c>
      <c r="E3992">
        <v>0.42724079999999898</v>
      </c>
      <c r="F3992" t="s">
        <v>76</v>
      </c>
      <c r="G3992">
        <v>-324.02789999999999</v>
      </c>
      <c r="H3992">
        <v>0.69443730000000004</v>
      </c>
      <c r="I3992">
        <v>109.9577</v>
      </c>
      <c r="J3992">
        <v>-228.73509999999999</v>
      </c>
      <c r="K3992">
        <v>1.107362</v>
      </c>
      <c r="L3992">
        <v>140.88999999999999</v>
      </c>
      <c r="M3992">
        <v>-0.99975709999999995</v>
      </c>
      <c r="N3992">
        <v>-8.6653640000000001E-3</v>
      </c>
      <c r="O3992">
        <v>2.0268520000000002E-2</v>
      </c>
      <c r="P3992">
        <v>-0.99240079999999997</v>
      </c>
      <c r="Q3992">
        <v>-3.6379229999999999E-2</v>
      </c>
      <c r="R3992">
        <v>-0.1175475</v>
      </c>
      <c r="S3992">
        <v>-2.9116970000000002</v>
      </c>
      <c r="T3992">
        <v>-1.2579679999999999E-2</v>
      </c>
      <c r="U3992">
        <v>-0.94226069999999995</v>
      </c>
      <c r="V3992">
        <v>-0.137738</v>
      </c>
      <c r="W3992">
        <v>-2.7303919999999999E-2</v>
      </c>
      <c r="X3992">
        <v>0.99009230000000004</v>
      </c>
      <c r="Y3992">
        <v>-0.3271037</v>
      </c>
      <c r="Z3992">
        <v>-2.0558999999999998E-3</v>
      </c>
      <c r="AA3992">
        <v>0.9449862</v>
      </c>
      <c r="AB3992">
        <v>27</v>
      </c>
      <c r="AC3992">
        <v>-95.2928</v>
      </c>
      <c r="AD3992">
        <v>-0.41292469999999998</v>
      </c>
      <c r="AE3992">
        <v>-30.932299999999898</v>
      </c>
      <c r="AF3992">
        <v>-32.8569034254092</v>
      </c>
      <c r="AG3992">
        <v>-0.41292469999999998</v>
      </c>
      <c r="AH3992">
        <v>94.6446396131157</v>
      </c>
      <c r="AI3992">
        <v>90.236148447244005</v>
      </c>
      <c r="AJ3992">
        <v>109.144993898577</v>
      </c>
      <c r="AK3992">
        <v>100.18659799100401</v>
      </c>
      <c r="AL3992">
        <v>91.564593804917095</v>
      </c>
      <c r="AM3992">
        <v>97.919946696828305</v>
      </c>
      <c r="AN3992">
        <v>1.00000001160532</v>
      </c>
    </row>
    <row r="3993" spans="1:40" x14ac:dyDescent="0.25">
      <c r="A3993" t="str">
        <f>"20190305135314081"</f>
        <v>20190305135314081</v>
      </c>
      <c r="B3993" t="str">
        <f>"1551765194073754"</f>
        <v>1551765194073754</v>
      </c>
      <c r="C3993" t="s">
        <v>40</v>
      </c>
      <c r="D3993">
        <v>4.363194</v>
      </c>
      <c r="E3993">
        <v>0.42800199999999999</v>
      </c>
      <c r="F3993" t="s">
        <v>76</v>
      </c>
      <c r="G3993">
        <v>-324.24209999999999</v>
      </c>
      <c r="H3993">
        <v>0.97756869999999996</v>
      </c>
      <c r="I3993">
        <v>110.16</v>
      </c>
      <c r="J3993">
        <v>-229.02690000000001</v>
      </c>
      <c r="K3993">
        <v>1.107397</v>
      </c>
      <c r="L3993">
        <v>140.8982</v>
      </c>
      <c r="M3993">
        <v>-0.99971319999999997</v>
      </c>
      <c r="N3993">
        <v>-8.6642509999999996E-3</v>
      </c>
      <c r="O3993">
        <v>2.2327699999999999E-2</v>
      </c>
      <c r="P3993">
        <v>-0.99256529999999998</v>
      </c>
      <c r="Q3993">
        <v>-3.5252099999999897E-2</v>
      </c>
      <c r="R3993">
        <v>-0.11649760000000001</v>
      </c>
      <c r="S3993">
        <v>-2.9118499999999998</v>
      </c>
      <c r="T3993">
        <v>-3.9567949999999999E-3</v>
      </c>
      <c r="U3993">
        <v>-0.93690490000000004</v>
      </c>
      <c r="V3993">
        <v>-0.1387246</v>
      </c>
      <c r="W3993">
        <v>-2.6185420000000001E-2</v>
      </c>
      <c r="X3993">
        <v>0.9899848</v>
      </c>
      <c r="Y3993">
        <v>-0.32746769999999997</v>
      </c>
      <c r="Z3993">
        <v>-1.511692E-3</v>
      </c>
      <c r="AA3993">
        <v>0.94486119999999996</v>
      </c>
      <c r="AB3993">
        <v>27</v>
      </c>
      <c r="AC3993">
        <v>-95.215199999999896</v>
      </c>
      <c r="AD3993">
        <v>-0.12982830000000001</v>
      </c>
      <c r="AE3993">
        <v>-30.738199999999999</v>
      </c>
      <c r="AF3993">
        <v>-32.856497389113201</v>
      </c>
      <c r="AG3993">
        <v>-0.12982830000000001</v>
      </c>
      <c r="AH3993">
        <v>94.504963461764007</v>
      </c>
      <c r="AI3993">
        <v>90.074346190715403</v>
      </c>
      <c r="AJ3993">
        <v>109.171006311677</v>
      </c>
      <c r="AK3993">
        <v>100.05375752553</v>
      </c>
      <c r="AL3993">
        <v>91.500485487284905</v>
      </c>
      <c r="AM3993">
        <v>97.976803711730597</v>
      </c>
      <c r="AN3993">
        <v>1.0000000475483799</v>
      </c>
    </row>
    <row r="3994" spans="1:40" x14ac:dyDescent="0.25">
      <c r="A3994" t="str">
        <f>"20190305135314103"</f>
        <v>20190305135314103</v>
      </c>
      <c r="B3994" t="str">
        <f>"1551765194093780"</f>
        <v>1551765194093780</v>
      </c>
      <c r="C3994" t="s">
        <v>40</v>
      </c>
      <c r="D3994">
        <v>4.3914609999999996</v>
      </c>
      <c r="E3994">
        <v>0.4287376</v>
      </c>
      <c r="F3994" t="s">
        <v>76</v>
      </c>
      <c r="G3994">
        <v>-324.57389999999998</v>
      </c>
      <c r="H3994">
        <v>1.0165519999999999</v>
      </c>
      <c r="I3994">
        <v>110.47329999999999</v>
      </c>
      <c r="J3994">
        <v>-229.3047</v>
      </c>
      <c r="K3994">
        <v>1.1074310000000001</v>
      </c>
      <c r="L3994">
        <v>140.90639999999999</v>
      </c>
      <c r="M3994">
        <v>-0.99966869999999997</v>
      </c>
      <c r="N3994">
        <v>-8.6634299999999997E-3</v>
      </c>
      <c r="O3994">
        <v>2.4240859999999999E-2</v>
      </c>
      <c r="P3994">
        <v>-0.99280389999999996</v>
      </c>
      <c r="Q3994">
        <v>-3.3907109999999997E-2</v>
      </c>
      <c r="R3994">
        <v>-0.1148526</v>
      </c>
      <c r="S3994">
        <v>-2.9134829999999998</v>
      </c>
      <c r="T3994">
        <v>-2.769709E-3</v>
      </c>
      <c r="U3994">
        <v>-0.92773439999999996</v>
      </c>
      <c r="V3994">
        <v>-0.13897290000000001</v>
      </c>
      <c r="W3994">
        <v>-2.4850259999999999E-2</v>
      </c>
      <c r="X3994">
        <v>0.98998430000000004</v>
      </c>
      <c r="Y3994">
        <v>-0.32642409999999999</v>
      </c>
      <c r="Z3994">
        <v>-1.4173040000000001E-3</v>
      </c>
      <c r="AA3994">
        <v>0.94522240000000002</v>
      </c>
      <c r="AB3994">
        <v>27</v>
      </c>
      <c r="AC3994">
        <v>-95.269199999999898</v>
      </c>
      <c r="AD3994">
        <v>-9.0878999999999904E-2</v>
      </c>
      <c r="AE3994">
        <v>-30.4331</v>
      </c>
      <c r="AF3994">
        <v>-32.733623247908596</v>
      </c>
      <c r="AG3994">
        <v>-9.0878999999999904E-2</v>
      </c>
      <c r="AH3994">
        <v>94.503372613622304</v>
      </c>
      <c r="AI3994">
        <v>90.052063628367804</v>
      </c>
      <c r="AJ3994">
        <v>109.104816080888</v>
      </c>
      <c r="AK3994">
        <v>100.011928214977</v>
      </c>
      <c r="AL3994">
        <v>91.423961660631207</v>
      </c>
      <c r="AM3994">
        <v>97.990900932185497</v>
      </c>
      <c r="AN3994">
        <v>0.99999995830148203</v>
      </c>
    </row>
    <row r="3995" spans="1:40" x14ac:dyDescent="0.25">
      <c r="A3995" t="str">
        <f>"20190305135314126"</f>
        <v>20190305135314126</v>
      </c>
      <c r="B3995" t="str">
        <f>"1551765194114277"</f>
        <v>1551765194114277</v>
      </c>
      <c r="C3995" t="s">
        <v>40</v>
      </c>
      <c r="D3995">
        <v>4.375407</v>
      </c>
      <c r="E3995">
        <v>0.42913499999999999</v>
      </c>
      <c r="F3995" t="s">
        <v>76</v>
      </c>
      <c r="G3995">
        <v>-324.94819999999999</v>
      </c>
      <c r="H3995">
        <v>1.068559</v>
      </c>
      <c r="I3995">
        <v>110.8267</v>
      </c>
      <c r="J3995">
        <v>-229.57679999999999</v>
      </c>
      <c r="K3995">
        <v>1.107459</v>
      </c>
      <c r="L3995">
        <v>140.91499999999999</v>
      </c>
      <c r="M3995">
        <v>-0.99962280000000003</v>
      </c>
      <c r="N3995">
        <v>-8.6626450000000001E-3</v>
      </c>
      <c r="O3995">
        <v>2.6063820000000001E-2</v>
      </c>
      <c r="P3995">
        <v>-0.99307889999999999</v>
      </c>
      <c r="Q3995">
        <v>-3.355441E-2</v>
      </c>
      <c r="R3995">
        <v>-0.1125535</v>
      </c>
      <c r="S3995">
        <v>-2.9156339999999998</v>
      </c>
      <c r="T3995">
        <v>-1.1845829999999999E-3</v>
      </c>
      <c r="U3995">
        <v>-0.91696169999999999</v>
      </c>
      <c r="V3995">
        <v>-0.13848360000000001</v>
      </c>
      <c r="W3995">
        <v>-2.4509510000000002E-2</v>
      </c>
      <c r="X3995">
        <v>0.99006139999999998</v>
      </c>
      <c r="Y3995">
        <v>-0.32477159999999999</v>
      </c>
      <c r="Z3995">
        <v>-1.2944009999999999E-3</v>
      </c>
      <c r="AA3995">
        <v>0.94579159999999995</v>
      </c>
      <c r="AB3995">
        <v>28</v>
      </c>
      <c r="AC3995">
        <v>-95.371399999999994</v>
      </c>
      <c r="AD3995">
        <v>-3.88999999999999E-2</v>
      </c>
      <c r="AE3995">
        <v>-30.088299999999901</v>
      </c>
      <c r="AF3995">
        <v>-32.563908880297198</v>
      </c>
      <c r="AG3995">
        <v>-3.88999999999999E-2</v>
      </c>
      <c r="AH3995">
        <v>94.554738362846606</v>
      </c>
      <c r="AI3995">
        <v>90.022286935312394</v>
      </c>
      <c r="AJ3995">
        <v>109.00330527096899</v>
      </c>
      <c r="AK3995">
        <v>100.005040981146</v>
      </c>
      <c r="AL3995">
        <v>91.404432116177404</v>
      </c>
      <c r="AM3995">
        <v>97.962515689703693</v>
      </c>
      <c r="AN3995">
        <v>0.99999999965968001</v>
      </c>
    </row>
    <row r="3996" spans="1:40" x14ac:dyDescent="0.25">
      <c r="A3996" t="str">
        <f>"20190305135314148"</f>
        <v>20190305135314148</v>
      </c>
      <c r="B3996" t="str">
        <f>"1551765194143556"</f>
        <v>1551765194143556</v>
      </c>
      <c r="C3996" t="s">
        <v>40</v>
      </c>
      <c r="D3996">
        <v>4.4080209999999997</v>
      </c>
      <c r="E3996">
        <v>0.44825369999999998</v>
      </c>
      <c r="F3996" t="s">
        <v>76</v>
      </c>
      <c r="G3996">
        <v>-325.30419999999998</v>
      </c>
      <c r="H3996">
        <v>1.0525519999999999</v>
      </c>
      <c r="I3996">
        <v>111.16289999999999</v>
      </c>
      <c r="J3996">
        <v>-229.8588</v>
      </c>
      <c r="K3996">
        <v>1.1074870000000001</v>
      </c>
      <c r="L3996">
        <v>140.92439999999999</v>
      </c>
      <c r="M3996">
        <v>-0.99957339999999995</v>
      </c>
      <c r="N3996">
        <v>-8.6617610000000005E-3</v>
      </c>
      <c r="O3996">
        <v>2.7893669999999999E-2</v>
      </c>
      <c r="P3996">
        <v>-0.99339750000000004</v>
      </c>
      <c r="Q3996">
        <v>-3.405822E-2</v>
      </c>
      <c r="R3996">
        <v>-0.1095512</v>
      </c>
      <c r="S3996">
        <v>-2.9180760000000001</v>
      </c>
      <c r="T3996">
        <v>-1.6733410000000001E-3</v>
      </c>
      <c r="U3996">
        <v>-0.90693659999999998</v>
      </c>
      <c r="V3996">
        <v>-0.13730290000000001</v>
      </c>
      <c r="W3996">
        <v>-2.5028160000000001E-2</v>
      </c>
      <c r="X3996">
        <v>0.99021289999999995</v>
      </c>
      <c r="Y3996">
        <v>-0.32331569999999998</v>
      </c>
      <c r="Z3996">
        <v>-1.302945E-3</v>
      </c>
      <c r="AA3996">
        <v>0.94629030000000003</v>
      </c>
      <c r="AB3996">
        <v>28</v>
      </c>
      <c r="AC3996">
        <v>-95.445399999999907</v>
      </c>
      <c r="AD3996">
        <v>-5.4934999999999901E-2</v>
      </c>
      <c r="AE3996">
        <v>-29.761500000000002</v>
      </c>
      <c r="AF3996">
        <v>-32.412331305352801</v>
      </c>
      <c r="AG3996">
        <v>-5.4934999999999901E-2</v>
      </c>
      <c r="AH3996">
        <v>94.578041886350704</v>
      </c>
      <c r="AI3996">
        <v>90.031482414948997</v>
      </c>
      <c r="AJ3996">
        <v>108.916824023044</v>
      </c>
      <c r="AK3996">
        <v>99.977838772192399</v>
      </c>
      <c r="AL3996">
        <v>91.434157632577296</v>
      </c>
      <c r="AM3996">
        <v>97.894294948774899</v>
      </c>
      <c r="AN3996">
        <v>1.0000000412339001</v>
      </c>
    </row>
    <row r="3997" spans="1:40" x14ac:dyDescent="0.25">
      <c r="A3997" t="str">
        <f>"20190305135314170"</f>
        <v>20190305135314170</v>
      </c>
      <c r="B3997" t="str">
        <f>"1551765194164052"</f>
        <v>1551765194164052</v>
      </c>
      <c r="C3997" t="s">
        <v>40</v>
      </c>
      <c r="D3997">
        <v>4.4137089999999999</v>
      </c>
      <c r="E3997">
        <v>0.4513723</v>
      </c>
      <c r="F3997" t="s">
        <v>42</v>
      </c>
      <c r="G3997">
        <v>-269.9085</v>
      </c>
      <c r="H3997" s="1">
        <v>-2.3593879999999999E-6</v>
      </c>
      <c r="I3997">
        <v>130.8134</v>
      </c>
      <c r="J3997">
        <v>-230.13390000000001</v>
      </c>
      <c r="K3997">
        <v>1.1075120000000001</v>
      </c>
      <c r="L3997">
        <v>140.93389999999999</v>
      </c>
      <c r="M3997">
        <v>-0.99952339999999995</v>
      </c>
      <c r="N3997">
        <v>-8.6610019999999992E-3</v>
      </c>
      <c r="O3997">
        <v>2.9632470000000001E-2</v>
      </c>
      <c r="P3997">
        <v>-0.99375100000000005</v>
      </c>
      <c r="Q3997">
        <v>-3.46804E-2</v>
      </c>
      <c r="R3997">
        <v>-0.1060952</v>
      </c>
      <c r="S3997">
        <v>-2.935425</v>
      </c>
      <c r="T3997">
        <v>-8.1173060000000005E-2</v>
      </c>
      <c r="U3997">
        <v>-0.7410736</v>
      </c>
      <c r="V3997">
        <v>-0.1355809</v>
      </c>
      <c r="W3997">
        <v>-2.566502E-2</v>
      </c>
      <c r="X3997">
        <v>0.99043380000000003</v>
      </c>
      <c r="Y3997">
        <v>-0.2732675</v>
      </c>
      <c r="Z3997">
        <v>-5.4760850000000003E-3</v>
      </c>
      <c r="AA3997">
        <v>0.96192250000000001</v>
      </c>
      <c r="AB3997">
        <v>28</v>
      </c>
      <c r="AC3997">
        <v>-39.7745999999999</v>
      </c>
      <c r="AD3997">
        <v>-1.1075143593879999</v>
      </c>
      <c r="AE3997">
        <v>-10.1204999999999</v>
      </c>
      <c r="AF3997">
        <v>-11.2865004755391</v>
      </c>
      <c r="AG3997">
        <v>-1.1075143593879999</v>
      </c>
      <c r="AH3997">
        <v>39.428514215814303</v>
      </c>
      <c r="AI3997">
        <v>91.546872050779001</v>
      </c>
      <c r="AJ3997">
        <v>105.9738880809</v>
      </c>
      <c r="AK3997">
        <v>41.027057100251099</v>
      </c>
      <c r="AL3997">
        <v>91.470658819818993</v>
      </c>
      <c r="AM3997">
        <v>97.794795471210705</v>
      </c>
      <c r="AN3997">
        <v>0.99999999293942499</v>
      </c>
    </row>
    <row r="3998" spans="1:40" x14ac:dyDescent="0.25">
      <c r="A3998" t="str">
        <f>"20190305135314192"</f>
        <v>20190305135314192</v>
      </c>
      <c r="B3998" t="str">
        <f>"1551765194183576"</f>
        <v>1551765194183576</v>
      </c>
      <c r="C3998" t="s">
        <v>40</v>
      </c>
      <c r="D3998">
        <v>4.3774100000000002</v>
      </c>
      <c r="E3998">
        <v>0.4522699</v>
      </c>
      <c r="F3998" t="s">
        <v>42</v>
      </c>
      <c r="G3998">
        <v>-269.93040000000002</v>
      </c>
      <c r="H3998" s="1">
        <v>-2.2021110000000002E-6</v>
      </c>
      <c r="I3998">
        <v>131.37649999999999</v>
      </c>
      <c r="J3998">
        <v>-230.41200000000001</v>
      </c>
      <c r="K3998">
        <v>1.107542</v>
      </c>
      <c r="L3998">
        <v>140.94409999999999</v>
      </c>
      <c r="M3998">
        <v>-0.99947129999999995</v>
      </c>
      <c r="N3998">
        <v>-8.660348E-3</v>
      </c>
      <c r="O3998">
        <v>3.133901E-2</v>
      </c>
      <c r="P3998">
        <v>-0.99410560000000003</v>
      </c>
      <c r="Q3998">
        <v>-3.4554679999999997E-2</v>
      </c>
      <c r="R3998">
        <v>-0.1027619</v>
      </c>
      <c r="S3998">
        <v>-2.9406129999999999</v>
      </c>
      <c r="T3998">
        <v>-8.1835749999999999E-2</v>
      </c>
      <c r="U3998">
        <v>-0.70620729999999998</v>
      </c>
      <c r="V3998">
        <v>-0.1339484</v>
      </c>
      <c r="W3998">
        <v>-2.5553510000000002E-2</v>
      </c>
      <c r="X3998">
        <v>0.99065879999999995</v>
      </c>
      <c r="Y3998">
        <v>-0.26374209999999998</v>
      </c>
      <c r="Z3998">
        <v>-5.369253E-3</v>
      </c>
      <c r="AA3998">
        <v>0.9645783</v>
      </c>
      <c r="AB3998">
        <v>28</v>
      </c>
      <c r="AC3998">
        <v>-39.5184</v>
      </c>
      <c r="AD3998">
        <v>-1.107544202111</v>
      </c>
      <c r="AE3998">
        <v>-9.5676000000000005</v>
      </c>
      <c r="AF3998">
        <v>-10.7934057656131</v>
      </c>
      <c r="AG3998">
        <v>-1.107544202111</v>
      </c>
      <c r="AH3998">
        <v>39.170074287613097</v>
      </c>
      <c r="AI3998">
        <v>91.561456693436199</v>
      </c>
      <c r="AJ3998">
        <v>105.40566901159799</v>
      </c>
      <c r="AK3998">
        <v>40.645036374420101</v>
      </c>
      <c r="AL3998">
        <v>91.464267650873296</v>
      </c>
      <c r="AM3998">
        <v>97.700345054214196</v>
      </c>
      <c r="AN3998">
        <v>1.0000000068766599</v>
      </c>
    </row>
    <row r="3999" spans="1:40" x14ac:dyDescent="0.25">
      <c r="A3999" t="str">
        <f>"20190305135314215"</f>
        <v>20190305135314215</v>
      </c>
      <c r="B3999" t="str">
        <f>"1551765194203529"</f>
        <v>1551765194203529</v>
      </c>
      <c r="C3999" t="s">
        <v>40</v>
      </c>
      <c r="D3999">
        <v>4.3755670000000002</v>
      </c>
      <c r="E3999">
        <v>0.45129819999999998</v>
      </c>
      <c r="F3999" t="s">
        <v>42</v>
      </c>
      <c r="G3999">
        <v>-269.57679999999999</v>
      </c>
      <c r="H3999" s="1">
        <v>-2.2162239999999999E-6</v>
      </c>
      <c r="I3999">
        <v>131.7757</v>
      </c>
      <c r="J3999">
        <v>-230.68860000000001</v>
      </c>
      <c r="K3999">
        <v>1.1075729999999999</v>
      </c>
      <c r="L3999">
        <v>140.9545</v>
      </c>
      <c r="M3999">
        <v>-0.99941880000000005</v>
      </c>
      <c r="N3999">
        <v>-8.6597210000000004E-3</v>
      </c>
      <c r="O3999">
        <v>3.2975070000000002E-2</v>
      </c>
      <c r="P3999">
        <v>-0.99438070000000001</v>
      </c>
      <c r="Q3999">
        <v>-3.4854419999999997E-2</v>
      </c>
      <c r="R3999">
        <v>-9.9962640000000005E-2</v>
      </c>
      <c r="S3999">
        <v>-2.9436650000000002</v>
      </c>
      <c r="T3999">
        <v>-8.3244200000000004E-2</v>
      </c>
      <c r="U3999">
        <v>-0.6891022</v>
      </c>
      <c r="V3999">
        <v>-0.13277900000000001</v>
      </c>
      <c r="W3999">
        <v>-2.5867660000000001E-2</v>
      </c>
      <c r="X3999">
        <v>0.99080809999999997</v>
      </c>
      <c r="Y3999">
        <v>-0.25978259999999997</v>
      </c>
      <c r="Z3999">
        <v>-5.4028169999999999E-3</v>
      </c>
      <c r="AA3999">
        <v>0.96565199999999995</v>
      </c>
      <c r="AB3999">
        <v>28</v>
      </c>
      <c r="AC3999">
        <v>-38.888199999999898</v>
      </c>
      <c r="AD3999">
        <v>-1.107575216224</v>
      </c>
      <c r="AE3999">
        <v>-9.1787999999999901</v>
      </c>
      <c r="AF3999">
        <v>-10.448169003316099</v>
      </c>
      <c r="AG3999">
        <v>-1.107575216224</v>
      </c>
      <c r="AH3999">
        <v>38.534758494729999</v>
      </c>
      <c r="AI3999">
        <v>91.589014372831002</v>
      </c>
      <c r="AJ3999">
        <v>105.17023533605099</v>
      </c>
      <c r="AK3999">
        <v>39.941439265862897</v>
      </c>
      <c r="AL3999">
        <v>91.4822730157411</v>
      </c>
      <c r="AM3999">
        <v>97.632778738895297</v>
      </c>
      <c r="AN3999">
        <v>1.00000004485024</v>
      </c>
    </row>
    <row r="4000" spans="1:40" x14ac:dyDescent="0.25">
      <c r="A4000" t="str">
        <f>"20190305135314235"</f>
        <v>20190305135314235</v>
      </c>
      <c r="B4000" t="str">
        <f>"1551765194224021"</f>
        <v>1551765194224021</v>
      </c>
      <c r="C4000" t="s">
        <v>40</v>
      </c>
      <c r="D4000">
        <v>4.3555999999999999</v>
      </c>
      <c r="E4000">
        <v>0.45065300000000003</v>
      </c>
      <c r="F4000" t="s">
        <v>42</v>
      </c>
      <c r="G4000">
        <v>-270.24919999999997</v>
      </c>
      <c r="H4000" s="1">
        <v>-5.5690280000000003E-6</v>
      </c>
      <c r="I4000">
        <v>131.703</v>
      </c>
      <c r="J4000">
        <v>-230.9436</v>
      </c>
      <c r="K4000">
        <v>1.1076079999999999</v>
      </c>
      <c r="L4000">
        <v>140.96449999999999</v>
      </c>
      <c r="M4000">
        <v>-0.99936990000000003</v>
      </c>
      <c r="N4000">
        <v>-8.6590409999999993E-3</v>
      </c>
      <c r="O4000">
        <v>3.4423339999999997E-2</v>
      </c>
      <c r="P4000">
        <v>-0.99457720000000005</v>
      </c>
      <c r="Q4000">
        <v>-3.5112690000000002E-2</v>
      </c>
      <c r="R4000">
        <v>-9.7895369999999995E-2</v>
      </c>
      <c r="S4000">
        <v>-2.9448240000000001</v>
      </c>
      <c r="T4000">
        <v>-8.2446459999999999E-2</v>
      </c>
      <c r="U4000">
        <v>-0.68865969999999999</v>
      </c>
      <c r="V4000">
        <v>-0.13215399999999999</v>
      </c>
      <c r="W4000">
        <v>-2.6140380000000001E-2</v>
      </c>
      <c r="X4000">
        <v>0.99088449999999995</v>
      </c>
      <c r="Y4000">
        <v>-0.26096140000000001</v>
      </c>
      <c r="Z4000">
        <v>-5.4066829999999998E-3</v>
      </c>
      <c r="AA4000">
        <v>0.96533409999999997</v>
      </c>
      <c r="AB4000">
        <v>28</v>
      </c>
      <c r="AC4000">
        <v>-39.305599999999899</v>
      </c>
      <c r="AD4000">
        <v>-1.107613569028</v>
      </c>
      <c r="AE4000">
        <v>-9.2614999999999803</v>
      </c>
      <c r="AF4000">
        <v>-10.6011159416929</v>
      </c>
      <c r="AG4000">
        <v>-1.107613569028</v>
      </c>
      <c r="AH4000">
        <v>38.934188894019499</v>
      </c>
      <c r="AI4000">
        <v>91.572319096277297</v>
      </c>
      <c r="AJ4000">
        <v>105.23142086203001</v>
      </c>
      <c r="AK4000">
        <v>40.366837030695201</v>
      </c>
      <c r="AL4000">
        <v>91.497904004514297</v>
      </c>
      <c r="AM4000">
        <v>97.596692409212807</v>
      </c>
      <c r="AN4000">
        <v>1.00000004576139</v>
      </c>
    </row>
    <row r="4001" spans="1:40" x14ac:dyDescent="0.25">
      <c r="A4001" t="str">
        <f>"20190305135314260"</f>
        <v>20190305135314260</v>
      </c>
      <c r="B4001" t="str">
        <f>"1551765194254278"</f>
        <v>1551765194254278</v>
      </c>
      <c r="C4001" t="s">
        <v>40</v>
      </c>
      <c r="D4001">
        <v>4.3528710000000004</v>
      </c>
      <c r="E4001">
        <v>0.45002350000000002</v>
      </c>
      <c r="F4001" t="s">
        <v>42</v>
      </c>
      <c r="G4001">
        <v>-271.89929999999998</v>
      </c>
      <c r="H4001" s="1">
        <v>-4.9292659999999999E-6</v>
      </c>
      <c r="I4001">
        <v>131.39850000000001</v>
      </c>
      <c r="J4001">
        <v>-231.24979999999999</v>
      </c>
      <c r="K4001">
        <v>1.107667</v>
      </c>
      <c r="L4001">
        <v>140.9768</v>
      </c>
      <c r="M4001">
        <v>-0.99931150000000002</v>
      </c>
      <c r="N4001">
        <v>-8.6581009999999996E-3</v>
      </c>
      <c r="O4001">
        <v>3.6077970000000001E-2</v>
      </c>
      <c r="P4001">
        <v>-0.99475219999999998</v>
      </c>
      <c r="Q4001">
        <v>-3.5013290000000002E-2</v>
      </c>
      <c r="R4001">
        <v>-9.6137479999999997E-2</v>
      </c>
      <c r="S4001">
        <v>-2.9458310000000001</v>
      </c>
      <c r="T4001">
        <v>-7.9667689999999999E-2</v>
      </c>
      <c r="U4001">
        <v>-0.68804929999999997</v>
      </c>
      <c r="V4001">
        <v>-0.1320394</v>
      </c>
      <c r="W4001">
        <v>-2.606E-2</v>
      </c>
      <c r="X4001">
        <v>0.99090180000000005</v>
      </c>
      <c r="Y4001">
        <v>-0.26230379999999998</v>
      </c>
      <c r="Z4001">
        <v>-5.3055869999999996E-3</v>
      </c>
      <c r="AA4001">
        <v>0.96497080000000002</v>
      </c>
      <c r="AB4001">
        <v>28</v>
      </c>
      <c r="AC4001">
        <v>-40.649499999999897</v>
      </c>
      <c r="AD4001">
        <v>-1.107671929266</v>
      </c>
      <c r="AE4001">
        <v>-9.5782999999999792</v>
      </c>
      <c r="AF4001">
        <v>-11.0309103257144</v>
      </c>
      <c r="AG4001">
        <v>-1.107671929266</v>
      </c>
      <c r="AH4001">
        <v>40.249141745231597</v>
      </c>
      <c r="AI4001">
        <v>91.520366701260599</v>
      </c>
      <c r="AJ4001">
        <v>105.32647309214499</v>
      </c>
      <c r="AK4001">
        <v>41.748069787052202</v>
      </c>
      <c r="AL4001">
        <v>91.493297140556507</v>
      </c>
      <c r="AM4001">
        <v>97.590050648301997</v>
      </c>
      <c r="AN4001">
        <v>0.99999995199779801</v>
      </c>
    </row>
    <row r="4002" spans="1:40" x14ac:dyDescent="0.25">
      <c r="A4002" t="str">
        <f>"20190305135314281"</f>
        <v>20190305135314281</v>
      </c>
      <c r="B4002" t="str">
        <f>"1551765194273798"</f>
        <v>1551765194273798</v>
      </c>
      <c r="C4002" t="s">
        <v>40</v>
      </c>
      <c r="D4002">
        <v>4.3563429999999999</v>
      </c>
      <c r="E4002">
        <v>0.44921830000000001</v>
      </c>
      <c r="F4002" t="s">
        <v>42</v>
      </c>
      <c r="G4002">
        <v>-273.82409999999999</v>
      </c>
      <c r="H4002" s="1">
        <v>-4.3704739999999996E-6</v>
      </c>
      <c r="I4002">
        <v>131.0368</v>
      </c>
      <c r="J4002">
        <v>-231.52670000000001</v>
      </c>
      <c r="K4002">
        <v>1.1077239999999999</v>
      </c>
      <c r="L4002">
        <v>140.98840000000001</v>
      </c>
      <c r="M4002">
        <v>-0.99925949999999997</v>
      </c>
      <c r="N4002">
        <v>-8.6571229999999992E-3</v>
      </c>
      <c r="O4002">
        <v>3.74892E-2</v>
      </c>
      <c r="P4002">
        <v>-0.99485659999999998</v>
      </c>
      <c r="Q4002">
        <v>-3.5029369999999997E-2</v>
      </c>
      <c r="R4002">
        <v>-9.5045069999999995E-2</v>
      </c>
      <c r="S4002">
        <v>-2.946625</v>
      </c>
      <c r="T4002">
        <v>-7.6663369999999995E-2</v>
      </c>
      <c r="U4002">
        <v>-0.68795779999999995</v>
      </c>
      <c r="V4002">
        <v>-0.1323464</v>
      </c>
      <c r="W4002">
        <v>-2.609494E-2</v>
      </c>
      <c r="X4002">
        <v>0.99085999999999996</v>
      </c>
      <c r="Y4002">
        <v>-0.26358819999999999</v>
      </c>
      <c r="Z4002">
        <v>-5.1824799999999997E-3</v>
      </c>
      <c r="AA4002">
        <v>0.96462139999999996</v>
      </c>
      <c r="AB4002">
        <v>28</v>
      </c>
      <c r="AC4002">
        <v>-42.297399999999897</v>
      </c>
      <c r="AD4002">
        <v>-1.107728370474</v>
      </c>
      <c r="AE4002">
        <v>-9.9516000000000098</v>
      </c>
      <c r="AF4002">
        <v>-11.5228703810775</v>
      </c>
      <c r="AG4002">
        <v>-1.107728370474</v>
      </c>
      <c r="AH4002">
        <v>41.867363345619601</v>
      </c>
      <c r="AI4002">
        <v>91.461271403859399</v>
      </c>
      <c r="AJ4002">
        <v>105.388140707293</v>
      </c>
      <c r="AK4002">
        <v>43.438228756200402</v>
      </c>
      <c r="AL4002">
        <v>91.495299623232995</v>
      </c>
      <c r="AM4002">
        <v>97.607808723364997</v>
      </c>
      <c r="AN4002">
        <v>1.0000000275432801</v>
      </c>
    </row>
    <row r="4003" spans="1:40" x14ac:dyDescent="0.25">
      <c r="A4003" t="str">
        <f>"20190305135314304"</f>
        <v>20190305135314304</v>
      </c>
      <c r="B4003" t="str">
        <f>"1551765194293827"</f>
        <v>1551765194293827</v>
      </c>
      <c r="C4003" t="s">
        <v>40</v>
      </c>
      <c r="D4003">
        <v>4.3563839999999896</v>
      </c>
      <c r="E4003">
        <v>0.44859739999999998</v>
      </c>
      <c r="F4003" t="s">
        <v>42</v>
      </c>
      <c r="G4003">
        <v>-276.8974</v>
      </c>
      <c r="H4003" s="1">
        <v>-3.5093859999999998E-6</v>
      </c>
      <c r="I4003">
        <v>130.3425</v>
      </c>
      <c r="J4003">
        <v>-231.81450000000001</v>
      </c>
      <c r="K4003">
        <v>1.1077859999999999</v>
      </c>
      <c r="L4003">
        <v>141.00069999999999</v>
      </c>
      <c r="M4003">
        <v>-0.99920699999999996</v>
      </c>
      <c r="N4003">
        <v>-8.6561550000000004E-3</v>
      </c>
      <c r="O4003">
        <v>3.8865810000000001E-2</v>
      </c>
      <c r="P4003">
        <v>-0.99492749999999996</v>
      </c>
      <c r="Q4003">
        <v>-3.5163960000000001E-2</v>
      </c>
      <c r="R4003">
        <v>-9.4246720000000006E-2</v>
      </c>
      <c r="S4003">
        <v>-2.9468990000000002</v>
      </c>
      <c r="T4003">
        <v>-7.1948769999999995E-2</v>
      </c>
      <c r="U4003">
        <v>-0.69146730000000001</v>
      </c>
      <c r="V4003">
        <v>-0.13291329999999901</v>
      </c>
      <c r="W4003">
        <v>-2.6250249999999999E-2</v>
      </c>
      <c r="X4003">
        <v>0.99077999999999999</v>
      </c>
      <c r="Y4003">
        <v>-0.26599729999999999</v>
      </c>
      <c r="Z4003">
        <v>-4.9754999999999999E-3</v>
      </c>
      <c r="AA4003">
        <v>0.96396090000000001</v>
      </c>
      <c r="AB4003">
        <v>28</v>
      </c>
      <c r="AC4003">
        <v>-45.082900000000002</v>
      </c>
      <c r="AD4003">
        <v>-1.107789509386</v>
      </c>
      <c r="AE4003">
        <v>-10.6581999999999</v>
      </c>
      <c r="AF4003">
        <v>-12.3953073703154</v>
      </c>
      <c r="AG4003">
        <v>-1.107789509386</v>
      </c>
      <c r="AH4003">
        <v>44.609070415275603</v>
      </c>
      <c r="AI4003">
        <v>91.370641423665504</v>
      </c>
      <c r="AJ4003">
        <v>105.52875993479699</v>
      </c>
      <c r="AK4003">
        <v>46.312417403075798</v>
      </c>
      <c r="AL4003">
        <v>91.504201299240606</v>
      </c>
      <c r="AM4003">
        <v>97.640621933659403</v>
      </c>
      <c r="AN4003">
        <v>1.00000001467097</v>
      </c>
    </row>
    <row r="4004" spans="1:40" x14ac:dyDescent="0.25">
      <c r="A4004" t="str">
        <f>"20190305135314326"</f>
        <v>20190305135314326</v>
      </c>
      <c r="B4004" t="str">
        <f>"1551765194314323"</f>
        <v>1551765194314323</v>
      </c>
      <c r="C4004" t="s">
        <v>40</v>
      </c>
      <c r="D4004">
        <v>4.3469309999999997</v>
      </c>
      <c r="E4004">
        <v>0.4478318</v>
      </c>
      <c r="F4004" t="s">
        <v>42</v>
      </c>
      <c r="G4004">
        <v>-279.7004</v>
      </c>
      <c r="H4004" s="1">
        <v>-2.7211789999999999E-6</v>
      </c>
      <c r="I4004">
        <v>129.71979999999999</v>
      </c>
      <c r="J4004">
        <v>-232.07390000000001</v>
      </c>
      <c r="K4004">
        <v>1.1078399999999999</v>
      </c>
      <c r="L4004">
        <v>141.012</v>
      </c>
      <c r="M4004">
        <v>-0.99916139999999998</v>
      </c>
      <c r="N4004">
        <v>-8.6553740000000004E-3</v>
      </c>
      <c r="O4004">
        <v>4.0020130000000001E-2</v>
      </c>
      <c r="P4004">
        <v>-0.99494130000000003</v>
      </c>
      <c r="Q4004">
        <v>-3.4976309999999997E-2</v>
      </c>
      <c r="R4004">
        <v>-9.4173129999999994E-2</v>
      </c>
      <c r="S4004">
        <v>-2.9471129999999999</v>
      </c>
      <c r="T4004">
        <v>-6.8178420000000003E-2</v>
      </c>
      <c r="U4004">
        <v>-0.69427490000000003</v>
      </c>
      <c r="V4004">
        <v>-0.13398009999999999</v>
      </c>
      <c r="W4004">
        <v>-2.6080820000000001E-2</v>
      </c>
      <c r="X4004">
        <v>0.99064079999999999</v>
      </c>
      <c r="Y4004">
        <v>-0.26797399999999999</v>
      </c>
      <c r="Z4004">
        <v>-4.8057339999999999E-3</v>
      </c>
      <c r="AA4004">
        <v>0.96341410000000005</v>
      </c>
      <c r="AB4004">
        <v>28</v>
      </c>
      <c r="AC4004">
        <v>-47.626499999999901</v>
      </c>
      <c r="AD4004">
        <v>-1.1078427211789901</v>
      </c>
      <c r="AE4004">
        <v>-11.292199999999999</v>
      </c>
      <c r="AF4004">
        <v>-13.1824898298037</v>
      </c>
      <c r="AG4004">
        <v>-1.1078427211789901</v>
      </c>
      <c r="AH4004">
        <v>47.112275458546598</v>
      </c>
      <c r="AI4004">
        <v>91.297250689900395</v>
      </c>
      <c r="AJ4004">
        <v>105.63215574047901</v>
      </c>
      <c r="AK4004">
        <v>48.934362696266099</v>
      </c>
      <c r="AL4004">
        <v>91.494490319520494</v>
      </c>
      <c r="AM4004">
        <v>97.702283800707406</v>
      </c>
      <c r="AN4004">
        <v>1.0000000354962599</v>
      </c>
    </row>
    <row r="4005" spans="1:40" x14ac:dyDescent="0.25">
      <c r="A4005" t="str">
        <f>"20190305135314351"</f>
        <v>20190305135314351</v>
      </c>
      <c r="B4005" t="str">
        <f>"1551765194343599"</f>
        <v>1551765194343599</v>
      </c>
      <c r="C4005" t="s">
        <v>40</v>
      </c>
      <c r="D4005">
        <v>4.4257960000000001</v>
      </c>
      <c r="E4005">
        <v>0.44726870000000002</v>
      </c>
      <c r="F4005" t="s">
        <v>78</v>
      </c>
      <c r="G4005">
        <v>-280.07089999999999</v>
      </c>
      <c r="H4005">
        <v>6.2874920000000001E-2</v>
      </c>
      <c r="I4005">
        <v>129.60339999999999</v>
      </c>
      <c r="J4005">
        <v>-232.38480000000001</v>
      </c>
      <c r="K4005">
        <v>1.107909</v>
      </c>
      <c r="L4005">
        <v>141.02590000000001</v>
      </c>
      <c r="M4005">
        <v>-0.99910949999999998</v>
      </c>
      <c r="N4005">
        <v>-8.6545100000000007E-3</v>
      </c>
      <c r="O4005">
        <v>4.1298109999999999E-2</v>
      </c>
      <c r="P4005">
        <v>-0.99495120000000004</v>
      </c>
      <c r="Q4005">
        <v>-3.4819860000000001E-2</v>
      </c>
      <c r="R4005">
        <v>-9.4126920000000003E-2</v>
      </c>
      <c r="S4005">
        <v>-2.9466860000000001</v>
      </c>
      <c r="T4005">
        <v>-6.4153669999999996E-2</v>
      </c>
      <c r="U4005">
        <v>-0.7004089</v>
      </c>
      <c r="V4005">
        <v>-0.13519639999999999</v>
      </c>
      <c r="W4005">
        <v>-2.5945570000000001E-2</v>
      </c>
      <c r="X4005">
        <v>0.99047909999999995</v>
      </c>
      <c r="Y4005">
        <v>-0.2711442</v>
      </c>
      <c r="Z4005">
        <v>-4.6357869999999997E-3</v>
      </c>
      <c r="AA4005">
        <v>0.96252760000000004</v>
      </c>
      <c r="AB4005">
        <v>28</v>
      </c>
      <c r="AC4005">
        <v>-47.686099999999897</v>
      </c>
      <c r="AD4005">
        <v>-1.04503408</v>
      </c>
      <c r="AE4005">
        <v>-11.422499999999999</v>
      </c>
      <c r="AF4005">
        <v>-13.376098293207299</v>
      </c>
      <c r="AG4005">
        <v>-1.04503408</v>
      </c>
      <c r="AH4005">
        <v>47.152252635948003</v>
      </c>
      <c r="AI4005">
        <v>91.2214557547358</v>
      </c>
      <c r="AJ4005">
        <v>105.837519477744</v>
      </c>
      <c r="AK4005">
        <v>49.023943440141203</v>
      </c>
      <c r="AL4005">
        <v>91.4867384306839</v>
      </c>
      <c r="AM4005">
        <v>97.772609315241596</v>
      </c>
      <c r="AN4005">
        <v>1.00000004335619</v>
      </c>
    </row>
    <row r="4006" spans="1:40" x14ac:dyDescent="0.25">
      <c r="A4006" t="str">
        <f>"20190305135314374"</f>
        <v>20190305135314374</v>
      </c>
      <c r="B4006" t="str">
        <f>"1551765194364096"</f>
        <v>1551765194364096</v>
      </c>
      <c r="C4006" t="s">
        <v>40</v>
      </c>
      <c r="D4006">
        <v>4.762823</v>
      </c>
      <c r="E4006">
        <v>0.46449099999999999</v>
      </c>
      <c r="F4006" t="s">
        <v>78</v>
      </c>
      <c r="G4006">
        <v>-280.52510000000001</v>
      </c>
      <c r="H4006">
        <v>7.9988219999999999E-2</v>
      </c>
      <c r="I4006">
        <v>129.51060000000001</v>
      </c>
      <c r="J4006">
        <v>-232.69820000000001</v>
      </c>
      <c r="K4006">
        <v>1.1079639999999999</v>
      </c>
      <c r="L4006">
        <v>141.0402</v>
      </c>
      <c r="M4006">
        <v>-0.99905900000000003</v>
      </c>
      <c r="N4006">
        <v>-8.653885E-3</v>
      </c>
      <c r="O4006">
        <v>4.2504760000000003E-2</v>
      </c>
      <c r="P4006">
        <v>-0.99500440000000001</v>
      </c>
      <c r="Q4006">
        <v>-3.4544989999999998E-2</v>
      </c>
      <c r="R4006">
        <v>-9.3667860000000006E-2</v>
      </c>
      <c r="S4006">
        <v>-2.9463349999999999</v>
      </c>
      <c r="T4006">
        <v>-6.2911990000000001E-2</v>
      </c>
      <c r="U4006">
        <v>-0.70477290000000004</v>
      </c>
      <c r="V4006">
        <v>-0.13593169999999999</v>
      </c>
      <c r="W4006">
        <v>-2.5688949999999999E-2</v>
      </c>
      <c r="X4006">
        <v>0.99038510000000002</v>
      </c>
      <c r="Y4006">
        <v>-0.273682599999999</v>
      </c>
      <c r="Z4006">
        <v>-4.6153239999999996E-3</v>
      </c>
      <c r="AA4006">
        <v>0.96180900000000003</v>
      </c>
      <c r="AB4006">
        <v>28</v>
      </c>
      <c r="AC4006">
        <v>-47.826900000000002</v>
      </c>
      <c r="AD4006">
        <v>-1.02797578</v>
      </c>
      <c r="AE4006">
        <v>-11.529599999999901</v>
      </c>
      <c r="AF4006">
        <v>-13.546211763590801</v>
      </c>
      <c r="AG4006">
        <v>-1.02797578</v>
      </c>
      <c r="AH4006">
        <v>47.2729531713249</v>
      </c>
      <c r="AI4006">
        <v>91.197548989785204</v>
      </c>
      <c r="AJ4006">
        <v>105.989819902948</v>
      </c>
      <c r="AK4006">
        <v>49.186265246373303</v>
      </c>
      <c r="AL4006">
        <v>91.472030352943506</v>
      </c>
      <c r="AM4006">
        <v>97.815094251917401</v>
      </c>
      <c r="AN4006">
        <v>0.99999999775950099</v>
      </c>
    </row>
    <row r="4007" spans="1:40" x14ac:dyDescent="0.25">
      <c r="A4007" t="str">
        <f>"20190305135314393"</f>
        <v>20190305135314393</v>
      </c>
      <c r="B4007" t="str">
        <f>"1551765194383619"</f>
        <v>1551765194383619</v>
      </c>
      <c r="C4007" t="s">
        <v>40</v>
      </c>
      <c r="D4007">
        <v>4.4290979999999998</v>
      </c>
      <c r="E4007">
        <v>0.47203260000000002</v>
      </c>
      <c r="F4007" t="s">
        <v>42</v>
      </c>
      <c r="G4007">
        <v>-268.1395</v>
      </c>
      <c r="H4007" s="1">
        <v>-2.0390179999999999E-6</v>
      </c>
      <c r="I4007">
        <v>134.2799</v>
      </c>
      <c r="J4007">
        <v>-232.9402</v>
      </c>
      <c r="K4007">
        <v>1.107999</v>
      </c>
      <c r="L4007">
        <v>141.0515</v>
      </c>
      <c r="M4007">
        <v>-0.9990211</v>
      </c>
      <c r="N4007">
        <v>-8.6534779999999992E-3</v>
      </c>
      <c r="O4007">
        <v>4.3384029999999997E-2</v>
      </c>
      <c r="P4007">
        <v>-0.99507440000000003</v>
      </c>
      <c r="Q4007">
        <v>-3.4582670000000003E-2</v>
      </c>
      <c r="R4007">
        <v>-9.2904860000000006E-2</v>
      </c>
      <c r="S4007">
        <v>-2.9587249999999998</v>
      </c>
      <c r="T4007">
        <v>-9.2495679999999997E-2</v>
      </c>
      <c r="U4007">
        <v>-0.56436160000000002</v>
      </c>
      <c r="V4007">
        <v>-0.136042</v>
      </c>
      <c r="W4007">
        <v>-2.573928E-2</v>
      </c>
      <c r="X4007">
        <v>0.99036869999999999</v>
      </c>
      <c r="Y4007">
        <v>-0.22965759999999999</v>
      </c>
      <c r="Z4007">
        <v>-5.5329150000000002E-3</v>
      </c>
      <c r="AA4007">
        <v>0.9732558</v>
      </c>
      <c r="AB4007">
        <v>28</v>
      </c>
      <c r="AC4007">
        <v>-35.199299999999901</v>
      </c>
      <c r="AD4007">
        <v>-1.108001039018</v>
      </c>
      <c r="AE4007">
        <v>-6.7716000000000003</v>
      </c>
      <c r="AF4007">
        <v>-8.2844525870149202</v>
      </c>
      <c r="AG4007">
        <v>-1.108001039018</v>
      </c>
      <c r="AH4007">
        <v>34.8390774044951</v>
      </c>
      <c r="AI4007">
        <v>91.772203630253401</v>
      </c>
      <c r="AJ4007">
        <v>103.37605242863199</v>
      </c>
      <c r="AK4007">
        <v>35.827658803853801</v>
      </c>
      <c r="AL4007">
        <v>91.474914927610897</v>
      </c>
      <c r="AM4007">
        <v>97.821485166698196</v>
      </c>
      <c r="AN4007">
        <v>1.0000000491193</v>
      </c>
    </row>
    <row r="4008" spans="1:40" x14ac:dyDescent="0.25">
      <c r="A4008" t="str">
        <f>"20190305135314415"</f>
        <v>20190305135314415</v>
      </c>
      <c r="B4008" t="str">
        <f>"1551765194403645"</f>
        <v>1551765194403645</v>
      </c>
      <c r="C4008" t="s">
        <v>40</v>
      </c>
      <c r="D4008">
        <v>4.4673910000000001</v>
      </c>
      <c r="E4008">
        <v>0.47764010000000001</v>
      </c>
      <c r="F4008" t="s">
        <v>42</v>
      </c>
      <c r="G4008">
        <v>-266.36219999999997</v>
      </c>
      <c r="H4008" s="1">
        <v>-2.346787E-6</v>
      </c>
      <c r="I4008">
        <v>135.3963</v>
      </c>
      <c r="J4008">
        <v>-233.2141</v>
      </c>
      <c r="K4008">
        <v>1.108031</v>
      </c>
      <c r="L4008">
        <v>141.06440000000001</v>
      </c>
      <c r="M4008">
        <v>-0.99897979999999997</v>
      </c>
      <c r="N4008">
        <v>-8.6531209999999997E-3</v>
      </c>
      <c r="O4008">
        <v>4.432461E-2</v>
      </c>
      <c r="P4008">
        <v>-0.99512829999999997</v>
      </c>
      <c r="Q4008">
        <v>-3.4812379999999997E-2</v>
      </c>
      <c r="R4008">
        <v>-9.2237E-2</v>
      </c>
      <c r="S4008">
        <v>-2.9645999999999999</v>
      </c>
      <c r="T4008">
        <v>-9.8281859999999999E-2</v>
      </c>
      <c r="U4008">
        <v>-0.50161739999999999</v>
      </c>
      <c r="V4008">
        <v>-0.1363075</v>
      </c>
      <c r="W4008">
        <v>-2.5982180000000001E-2</v>
      </c>
      <c r="X4008">
        <v>0.99032580000000003</v>
      </c>
      <c r="Y4008">
        <v>-0.21021679999999901</v>
      </c>
      <c r="Z4008">
        <v>-5.4544490000000001E-3</v>
      </c>
      <c r="AA4008">
        <v>0.97763960000000005</v>
      </c>
      <c r="AB4008">
        <v>28</v>
      </c>
      <c r="AC4008">
        <v>-33.1480999999999</v>
      </c>
      <c r="AD4008">
        <v>-1.1080333467870001</v>
      </c>
      <c r="AE4008">
        <v>-5.6681000000000097</v>
      </c>
      <c r="AF4008">
        <v>-7.1241263516201201</v>
      </c>
      <c r="AG4008">
        <v>-1.1080333467870001</v>
      </c>
      <c r="AH4008">
        <v>32.828634328743803</v>
      </c>
      <c r="AI4008">
        <v>91.889176636993696</v>
      </c>
      <c r="AJ4008">
        <v>102.243884853381</v>
      </c>
      <c r="AK4008">
        <v>33.611012273685198</v>
      </c>
      <c r="AL4008">
        <v>91.488836802229599</v>
      </c>
      <c r="AM4008">
        <v>97.836895379941595</v>
      </c>
      <c r="AN4008">
        <v>0.99999999918972104</v>
      </c>
    </row>
    <row r="4009" spans="1:40" x14ac:dyDescent="0.25">
      <c r="A4009" t="str">
        <f>"20190305135314449"</f>
        <v>20190305135314449</v>
      </c>
      <c r="B4009" t="str">
        <f>"1551765194444634"</f>
        <v>1551765194444634</v>
      </c>
      <c r="C4009" t="s">
        <v>40</v>
      </c>
      <c r="D4009">
        <v>4.4232820000000004</v>
      </c>
      <c r="E4009">
        <v>0.52954480000000004</v>
      </c>
      <c r="F4009" t="s">
        <v>42</v>
      </c>
      <c r="G4009">
        <v>-266.70940000000002</v>
      </c>
      <c r="H4009" s="1">
        <v>-2.0865440000000002E-6</v>
      </c>
      <c r="I4009">
        <v>135.93049999999999</v>
      </c>
      <c r="J4009">
        <v>-233.6386</v>
      </c>
      <c r="K4009">
        <v>1.10809</v>
      </c>
      <c r="L4009">
        <v>141.0849</v>
      </c>
      <c r="M4009">
        <v>-0.99891850000000004</v>
      </c>
      <c r="N4009">
        <v>-8.6525349999999994E-3</v>
      </c>
      <c r="O4009">
        <v>4.5684929999999999E-2</v>
      </c>
      <c r="P4009">
        <v>-0.99527699999999997</v>
      </c>
      <c r="Q4009">
        <v>-3.4711980000000003E-2</v>
      </c>
      <c r="R4009">
        <v>-9.0659240000000002E-2</v>
      </c>
      <c r="S4009">
        <v>-2.9690859999999999</v>
      </c>
      <c r="T4009">
        <v>-9.8218440000000004E-2</v>
      </c>
      <c r="U4009">
        <v>-0.45507809999999999</v>
      </c>
      <c r="V4009">
        <v>-0.13608199999999901</v>
      </c>
      <c r="W4009">
        <v>-2.5901850000000001E-2</v>
      </c>
      <c r="X4009">
        <v>0.99035890000000004</v>
      </c>
      <c r="Y4009">
        <v>-0.19635759999999999</v>
      </c>
      <c r="Z4009">
        <v>-5.1931310000000001E-3</v>
      </c>
      <c r="AA4009">
        <v>0.98051860000000002</v>
      </c>
      <c r="AB4009">
        <v>28</v>
      </c>
      <c r="AC4009">
        <v>-33.070799999999998</v>
      </c>
      <c r="AD4009">
        <v>-1.108092086544</v>
      </c>
      <c r="AE4009">
        <v>-5.1544000000000096</v>
      </c>
      <c r="AF4009">
        <v>-6.6526197707071599</v>
      </c>
      <c r="AG4009">
        <v>-1.108092086544</v>
      </c>
      <c r="AH4009">
        <v>32.764868344599002</v>
      </c>
      <c r="AI4009">
        <v>91.898272971564495</v>
      </c>
      <c r="AJ4009">
        <v>101.47738280784399</v>
      </c>
      <c r="AK4009">
        <v>33.4517834431106</v>
      </c>
      <c r="AL4009">
        <v>91.484232705756995</v>
      </c>
      <c r="AM4009">
        <v>97.823832877124403</v>
      </c>
      <c r="AN4009">
        <v>0.999999983683316</v>
      </c>
    </row>
    <row r="4010" spans="1:40" x14ac:dyDescent="0.25">
      <c r="A4010" t="str">
        <f>"20190305135314471"</f>
        <v>20190305135314471</v>
      </c>
      <c r="B4010" t="str">
        <f>"1551765194464155"</f>
        <v>1551765194464155</v>
      </c>
      <c r="C4010" t="s">
        <v>40</v>
      </c>
      <c r="D4010">
        <v>4.4427750000000001</v>
      </c>
      <c r="E4010">
        <v>0.52893380000000001</v>
      </c>
      <c r="F4010" t="s">
        <v>42</v>
      </c>
      <c r="G4010">
        <v>-258.47140000000002</v>
      </c>
      <c r="H4010" s="1">
        <v>-9.5234210000000001E-7</v>
      </c>
      <c r="I4010">
        <v>140.79730000000001</v>
      </c>
      <c r="J4010">
        <v>-233.93459999999999</v>
      </c>
      <c r="K4010">
        <v>1.1081299999999901</v>
      </c>
      <c r="L4010">
        <v>141.0994</v>
      </c>
      <c r="M4010">
        <v>-0.99887749999999997</v>
      </c>
      <c r="N4010">
        <v>-8.6523940000000008E-3</v>
      </c>
      <c r="O4010">
        <v>4.6573429999999999E-2</v>
      </c>
      <c r="P4010">
        <v>-0.99533459999999996</v>
      </c>
      <c r="Q4010">
        <v>-3.4738249999999998E-2</v>
      </c>
      <c r="R4010">
        <v>-9.0015250000000005E-2</v>
      </c>
      <c r="S4010">
        <v>-3.0063930000000001</v>
      </c>
      <c r="T4010">
        <v>-0.13415189999999999</v>
      </c>
      <c r="U4010">
        <v>-3.4805299999999997E-2</v>
      </c>
      <c r="V4010">
        <v>-0.136319</v>
      </c>
      <c r="W4010">
        <v>-2.5940350000000001E-2</v>
      </c>
      <c r="X4010">
        <v>0.99032529999999996</v>
      </c>
      <c r="Y4010">
        <v>-5.803676E-2</v>
      </c>
      <c r="Z4010">
        <v>-3.2192129999999998E-3</v>
      </c>
      <c r="AA4010">
        <v>0.99830929999999996</v>
      </c>
      <c r="AB4010">
        <v>29</v>
      </c>
      <c r="AC4010">
        <v>-24.536799999999999</v>
      </c>
      <c r="AD4010">
        <v>-1.1081309523420999</v>
      </c>
      <c r="AE4010">
        <v>-0.30209999999999498</v>
      </c>
      <c r="AF4010">
        <v>-1.44163782609446</v>
      </c>
      <c r="AG4010">
        <v>-1.1081309523420999</v>
      </c>
      <c r="AH4010">
        <v>24.446248847800401</v>
      </c>
      <c r="AI4010">
        <v>92.590904905307397</v>
      </c>
      <c r="AJ4010">
        <v>93.374923137296094</v>
      </c>
      <c r="AK4010">
        <v>24.5137789122311</v>
      </c>
      <c r="AL4010">
        <v>91.486439331796603</v>
      </c>
      <c r="AM4010">
        <v>97.837552254719199</v>
      </c>
      <c r="AN4010">
        <v>0.99999998566960602</v>
      </c>
    </row>
    <row r="4011" spans="1:40" x14ac:dyDescent="0.25">
      <c r="A4011" t="str">
        <f>"20190305135314493"</f>
        <v>20190305135314493</v>
      </c>
      <c r="B4011" t="str">
        <f>"1551765194483678"</f>
        <v>1551765194483678</v>
      </c>
      <c r="C4011" t="s">
        <v>40</v>
      </c>
      <c r="D4011">
        <v>4.4476589999999998</v>
      </c>
      <c r="E4011">
        <v>0.52816229999999997</v>
      </c>
      <c r="F4011" t="s">
        <v>42</v>
      </c>
      <c r="G4011">
        <v>-258.77550000000002</v>
      </c>
      <c r="H4011" s="1">
        <v>-8.1933339999999996E-7</v>
      </c>
      <c r="I4011">
        <v>140.7878</v>
      </c>
      <c r="J4011">
        <v>-234.22210000000001</v>
      </c>
      <c r="K4011">
        <v>1.1081589999999999</v>
      </c>
      <c r="L4011">
        <v>141.11369999999999</v>
      </c>
      <c r="M4011">
        <v>-0.99883849999999996</v>
      </c>
      <c r="N4011">
        <v>-8.6524440000000005E-3</v>
      </c>
      <c r="O4011">
        <v>4.7403090000000002E-2</v>
      </c>
      <c r="P4011">
        <v>-0.99540470000000003</v>
      </c>
      <c r="Q4011">
        <v>-3.4470649999999999E-2</v>
      </c>
      <c r="R4011">
        <v>-8.9339390000000005E-2</v>
      </c>
      <c r="S4011">
        <v>-3.0059969999999998</v>
      </c>
      <c r="T4011">
        <v>-0.13409479999999999</v>
      </c>
      <c r="U4011">
        <v>-3.7704469999999997E-2</v>
      </c>
      <c r="V4011">
        <v>-0.1364677</v>
      </c>
      <c r="W4011">
        <v>-2.5682279999999998E-2</v>
      </c>
      <c r="X4011">
        <v>0.99031159999999996</v>
      </c>
      <c r="Y4011">
        <v>-5.9827470000000001E-2</v>
      </c>
      <c r="Z4011">
        <v>-3.2956779999999998E-3</v>
      </c>
      <c r="AA4011">
        <v>0.99820330000000002</v>
      </c>
      <c r="AB4011">
        <v>29</v>
      </c>
      <c r="AC4011">
        <v>-24.5534</v>
      </c>
      <c r="AD4011">
        <v>-1.1081598193333999</v>
      </c>
      <c r="AE4011">
        <v>-0.32589999999998998</v>
      </c>
      <c r="AF4011">
        <v>-1.48645674169072</v>
      </c>
      <c r="AG4011">
        <v>-1.1081598193333999</v>
      </c>
      <c r="AH4011">
        <v>24.460530553639099</v>
      </c>
      <c r="AI4011">
        <v>92.589184243099197</v>
      </c>
      <c r="AJ4011">
        <v>93.477565188733394</v>
      </c>
      <c r="AK4011">
        <v>24.530697641844899</v>
      </c>
      <c r="AL4011">
        <v>91.471648003448493</v>
      </c>
      <c r="AM4011">
        <v>97.8461024100055</v>
      </c>
      <c r="AN4011">
        <v>1.0000000388719199</v>
      </c>
    </row>
    <row r="4012" spans="1:40" x14ac:dyDescent="0.25">
      <c r="A4012" t="str">
        <f>"20190305135314515"</f>
        <v>20190305135314515</v>
      </c>
      <c r="B4012" t="str">
        <f>"1551765194503701"</f>
        <v>1551765194503701</v>
      </c>
      <c r="C4012" t="s">
        <v>40</v>
      </c>
      <c r="D4012">
        <v>4.4187760000000003</v>
      </c>
      <c r="E4012">
        <v>0.52745940000000002</v>
      </c>
      <c r="F4012" t="s">
        <v>42</v>
      </c>
      <c r="G4012">
        <v>-258.6035</v>
      </c>
      <c r="H4012" s="1">
        <v>-8.8993350000000002E-7</v>
      </c>
      <c r="I4012">
        <v>140.7757</v>
      </c>
      <c r="J4012">
        <v>-234.49170000000001</v>
      </c>
      <c r="K4012">
        <v>1.1081829999999999</v>
      </c>
      <c r="L4012">
        <v>141.12729999999999</v>
      </c>
      <c r="M4012">
        <v>-0.99880279999999999</v>
      </c>
      <c r="N4012">
        <v>-8.6526050000000007E-3</v>
      </c>
      <c r="O4012">
        <v>4.8149419999999998E-2</v>
      </c>
      <c r="P4012">
        <v>-0.99548409999999998</v>
      </c>
      <c r="Q4012">
        <v>-3.4035849999999999E-2</v>
      </c>
      <c r="R4012">
        <v>-8.8621169999999999E-2</v>
      </c>
      <c r="S4012">
        <v>-3.0053709999999998</v>
      </c>
      <c r="T4012">
        <v>-0.13659749999999901</v>
      </c>
      <c r="U4012">
        <v>-4.1656489999999997E-2</v>
      </c>
      <c r="V4012">
        <v>-0.13649139999999901</v>
      </c>
      <c r="W4012">
        <v>-2.5255050000000001E-2</v>
      </c>
      <c r="X4012">
        <v>0.99031930000000001</v>
      </c>
      <c r="Y4012">
        <v>-6.188126E-2</v>
      </c>
      <c r="Z4012">
        <v>-3.4436340000000001E-3</v>
      </c>
      <c r="AA4012">
        <v>0.99807760000000001</v>
      </c>
      <c r="AB4012">
        <v>29</v>
      </c>
      <c r="AC4012">
        <v>-24.111799999999899</v>
      </c>
      <c r="AD4012">
        <v>-1.1081838899334999</v>
      </c>
      <c r="AE4012">
        <v>-0.35159999999998998</v>
      </c>
      <c r="AF4012">
        <v>-1.50901777079208</v>
      </c>
      <c r="AG4012">
        <v>-1.1081838899334999</v>
      </c>
      <c r="AH4012">
        <v>24.016182105359398</v>
      </c>
      <c r="AI4012">
        <v>92.636745062144499</v>
      </c>
      <c r="AJ4012">
        <v>93.595360623949205</v>
      </c>
      <c r="AK4012">
        <v>24.089047492258</v>
      </c>
      <c r="AL4012">
        <v>91.447161615824299</v>
      </c>
      <c r="AM4012">
        <v>97.847387791278095</v>
      </c>
      <c r="AN4012">
        <v>1.00000001788847</v>
      </c>
    </row>
    <row r="4013" spans="1:40" x14ac:dyDescent="0.25">
      <c r="A4013" t="str">
        <f>"20190305135314538"</f>
        <v>20190305135314538</v>
      </c>
      <c r="B4013" t="str">
        <f>"1551765194533957"</f>
        <v>1551765194533957</v>
      </c>
      <c r="C4013" t="s">
        <v>40</v>
      </c>
      <c r="D4013">
        <v>4.4694059999999904</v>
      </c>
      <c r="E4013">
        <v>0.52664049999999996</v>
      </c>
      <c r="F4013" t="s">
        <v>42</v>
      </c>
      <c r="G4013">
        <v>-258.38569999999999</v>
      </c>
      <c r="H4013" s="1">
        <v>-9.8189140000000001E-7</v>
      </c>
      <c r="I4013">
        <v>140.77019999999999</v>
      </c>
      <c r="J4013">
        <v>-234.79249999999999</v>
      </c>
      <c r="K4013">
        <v>1.1082160000000001</v>
      </c>
      <c r="L4013">
        <v>141.14269999999999</v>
      </c>
      <c r="M4013">
        <v>-0.99876419999999999</v>
      </c>
      <c r="N4013">
        <v>-8.6528300000000002E-3</v>
      </c>
      <c r="O4013">
        <v>4.8942279999999998E-2</v>
      </c>
      <c r="P4013">
        <v>-0.99557759999999995</v>
      </c>
      <c r="Q4013">
        <v>-3.3042790000000002E-2</v>
      </c>
      <c r="R4013">
        <v>-8.7940699999999997E-2</v>
      </c>
      <c r="S4013">
        <v>-3.0048520000000001</v>
      </c>
      <c r="T4013">
        <v>-0.13936309999999999</v>
      </c>
      <c r="U4013">
        <v>-4.4906620000000001E-2</v>
      </c>
      <c r="V4013">
        <v>-0.13659949999999901</v>
      </c>
      <c r="W4013">
        <v>-2.4270179999999999E-2</v>
      </c>
      <c r="X4013">
        <v>0.99032900000000001</v>
      </c>
      <c r="Y4013">
        <v>-6.3747659999999998E-2</v>
      </c>
      <c r="Z4013">
        <v>-3.5981199999999998E-3</v>
      </c>
      <c r="AA4013">
        <v>0.99795959999999995</v>
      </c>
      <c r="AB4013">
        <v>29</v>
      </c>
      <c r="AC4013">
        <v>-23.5932</v>
      </c>
      <c r="AD4013">
        <v>-1.1082169818913901</v>
      </c>
      <c r="AE4013">
        <v>-0.372500000000002</v>
      </c>
      <c r="AF4013">
        <v>-1.5234412933658099</v>
      </c>
      <c r="AG4013">
        <v>-1.1082169818913901</v>
      </c>
      <c r="AH4013">
        <v>23.494867155942298</v>
      </c>
      <c r="AI4013">
        <v>92.694901836360202</v>
      </c>
      <c r="AJ4013">
        <v>93.709947949740197</v>
      </c>
      <c r="AK4013">
        <v>23.570273671059901</v>
      </c>
      <c r="AL4013">
        <v>91.390715441040498</v>
      </c>
      <c r="AM4013">
        <v>97.853449366523293</v>
      </c>
      <c r="AN4013">
        <v>0.999999996639241</v>
      </c>
    </row>
    <row r="4014" spans="1:40" x14ac:dyDescent="0.25">
      <c r="A4014" t="str">
        <f>"20190305135314562"</f>
        <v>20190305135314562</v>
      </c>
      <c r="B4014" t="str">
        <f>"1551765194554454"</f>
        <v>1551765194554454</v>
      </c>
      <c r="C4014" t="s">
        <v>40</v>
      </c>
      <c r="D4014">
        <v>4.464099</v>
      </c>
      <c r="E4014">
        <v>0.52616350000000001</v>
      </c>
      <c r="F4014" t="s">
        <v>42</v>
      </c>
      <c r="G4014">
        <v>-258.39999999999998</v>
      </c>
      <c r="H4014" s="1">
        <v>-9.7218560000000005E-7</v>
      </c>
      <c r="I4014">
        <v>140.7568</v>
      </c>
      <c r="J4014">
        <v>-235.0926</v>
      </c>
      <c r="K4014">
        <v>1.1082449999999999</v>
      </c>
      <c r="L4014">
        <v>141.15819999999999</v>
      </c>
      <c r="M4014">
        <v>-0.99872749999999999</v>
      </c>
      <c r="N4014">
        <v>-8.6531000000000004E-3</v>
      </c>
      <c r="O4014">
        <v>4.9685140000000003E-2</v>
      </c>
      <c r="P4014">
        <v>-0.99566069999999995</v>
      </c>
      <c r="Q4014">
        <v>-3.2420400000000002E-2</v>
      </c>
      <c r="R4014">
        <v>-8.7229050000000002E-2</v>
      </c>
      <c r="S4014">
        <v>-3.004318</v>
      </c>
      <c r="T4014">
        <v>-0.14103309999999999</v>
      </c>
      <c r="U4014">
        <v>-4.9102779999999999E-2</v>
      </c>
      <c r="V4014">
        <v>-0.13662659999999999</v>
      </c>
      <c r="W4014">
        <v>-2.3657629999999999E-2</v>
      </c>
      <c r="X4014">
        <v>0.99034009999999995</v>
      </c>
      <c r="Y4014">
        <v>-6.5879779999999999E-2</v>
      </c>
      <c r="Z4014">
        <v>-3.7312629999999999E-3</v>
      </c>
      <c r="AA4014">
        <v>0.99782059999999995</v>
      </c>
      <c r="AB4014">
        <v>29</v>
      </c>
      <c r="AC4014">
        <v>-23.307399999999902</v>
      </c>
      <c r="AD4014">
        <v>-1.1082459721855999</v>
      </c>
      <c r="AE4014">
        <v>-0.40139999999999498</v>
      </c>
      <c r="AF4014">
        <v>-1.5554632013868399</v>
      </c>
      <c r="AG4014">
        <v>-1.1082459721855999</v>
      </c>
      <c r="AH4014">
        <v>23.206215456625198</v>
      </c>
      <c r="AI4014">
        <v>92.728052423417196</v>
      </c>
      <c r="AJ4014">
        <v>93.8346782143864</v>
      </c>
      <c r="AK4014">
        <v>23.284675448136401</v>
      </c>
      <c r="AL4014">
        <v>91.355608807396194</v>
      </c>
      <c r="AM4014">
        <v>97.854901024619707</v>
      </c>
      <c r="AN4014">
        <v>1.0000000124763899</v>
      </c>
    </row>
    <row r="4015" spans="1:40" x14ac:dyDescent="0.25">
      <c r="A4015" t="str">
        <f>"20190305135314583"</f>
        <v>20190305135314583</v>
      </c>
      <c r="B4015" t="str">
        <f>"1551765194573973"</f>
        <v>1551765194573973</v>
      </c>
      <c r="C4015" t="s">
        <v>40</v>
      </c>
      <c r="D4015">
        <v>4.496874</v>
      </c>
      <c r="E4015">
        <v>0.52574690000000002</v>
      </c>
      <c r="F4015" t="s">
        <v>42</v>
      </c>
      <c r="G4015">
        <v>-258.73340000000002</v>
      </c>
      <c r="H4015" s="1">
        <v>-8.3000430000000003E-7</v>
      </c>
      <c r="I4015">
        <v>140.75989999999999</v>
      </c>
      <c r="J4015">
        <v>-235.3818</v>
      </c>
      <c r="K4015">
        <v>1.108279</v>
      </c>
      <c r="L4015">
        <v>141.17339999999999</v>
      </c>
      <c r="M4015">
        <v>-0.99869450000000004</v>
      </c>
      <c r="N4015">
        <v>-8.6534530000000002E-3</v>
      </c>
      <c r="O4015">
        <v>5.0344180000000002E-2</v>
      </c>
      <c r="P4015">
        <v>-0.99577579999999999</v>
      </c>
      <c r="Q4015">
        <v>-3.1625710000000001E-2</v>
      </c>
      <c r="R4015">
        <v>-8.6200509999999994E-2</v>
      </c>
      <c r="S4015">
        <v>-3.0040740000000001</v>
      </c>
      <c r="T4015">
        <v>-0.1408269</v>
      </c>
      <c r="U4015">
        <v>-5.0613400000000003E-2</v>
      </c>
      <c r="V4015">
        <v>-0.13625499999999999</v>
      </c>
      <c r="W4015">
        <v>-2.2875389999999999E-2</v>
      </c>
      <c r="X4015">
        <v>0.99040969999999995</v>
      </c>
      <c r="Y4015">
        <v>-6.7039500000000002E-2</v>
      </c>
      <c r="Z4015">
        <v>-3.7832450000000002E-3</v>
      </c>
      <c r="AA4015">
        <v>0.99774309999999999</v>
      </c>
      <c r="AB4015">
        <v>29</v>
      </c>
      <c r="AC4015">
        <v>-23.351600000000001</v>
      </c>
      <c r="AD4015">
        <v>-1.1082798300043</v>
      </c>
      <c r="AE4015">
        <v>-0.41349999999999898</v>
      </c>
      <c r="AF4015">
        <v>-1.5850674615111799</v>
      </c>
      <c r="AG4015">
        <v>-1.1082798300043</v>
      </c>
      <c r="AH4015">
        <v>23.2488165352575</v>
      </c>
      <c r="AI4015">
        <v>92.722933625677598</v>
      </c>
      <c r="AJ4015">
        <v>93.9002996554416</v>
      </c>
      <c r="AK4015">
        <v>23.329127573254802</v>
      </c>
      <c r="AL4015">
        <v>91.310777582735497</v>
      </c>
      <c r="AM4015">
        <v>97.833259027144194</v>
      </c>
      <c r="AN4015">
        <v>1.00000004117337</v>
      </c>
    </row>
    <row r="4016" spans="1:40" x14ac:dyDescent="0.25">
      <c r="A4016" t="str">
        <f>"20190305135314605"</f>
        <v>20190305135314605</v>
      </c>
      <c r="B4016" t="str">
        <f>"1551765194594474"</f>
        <v>1551765194594474</v>
      </c>
      <c r="C4016" t="s">
        <v>40</v>
      </c>
      <c r="D4016">
        <v>4.4830750000000004</v>
      </c>
      <c r="E4016">
        <v>0.52535859999999901</v>
      </c>
      <c r="F4016" t="s">
        <v>42</v>
      </c>
      <c r="G4016">
        <v>-259.27300000000002</v>
      </c>
      <c r="H4016" s="1">
        <v>-6.0124059999999996E-7</v>
      </c>
      <c r="I4016">
        <v>140.77019999999999</v>
      </c>
      <c r="J4016">
        <v>-235.6534</v>
      </c>
      <c r="K4016">
        <v>1.1083190000000001</v>
      </c>
      <c r="L4016">
        <v>141.18770000000001</v>
      </c>
      <c r="M4016">
        <v>-0.99866670000000002</v>
      </c>
      <c r="N4016">
        <v>-8.653829E-3</v>
      </c>
      <c r="O4016">
        <v>5.0891850000000002E-2</v>
      </c>
      <c r="P4016">
        <v>-0.99592519999999995</v>
      </c>
      <c r="Q4016">
        <v>-3.0850909999999999E-2</v>
      </c>
      <c r="R4016">
        <v>-8.474284E-2</v>
      </c>
      <c r="S4016">
        <v>-3.0039060000000002</v>
      </c>
      <c r="T4016">
        <v>-0.1393471</v>
      </c>
      <c r="U4016">
        <v>-5.0674440000000001E-2</v>
      </c>
      <c r="V4016">
        <v>-0.1353463</v>
      </c>
      <c r="W4016">
        <v>-2.2116589999999998E-2</v>
      </c>
      <c r="X4016">
        <v>0.99055150000000003</v>
      </c>
      <c r="Y4016">
        <v>-6.7609310000000006E-2</v>
      </c>
      <c r="Z4016">
        <v>-3.7785150000000001E-3</v>
      </c>
      <c r="AA4016">
        <v>0.9977047</v>
      </c>
      <c r="AB4016">
        <v>29</v>
      </c>
      <c r="AC4016">
        <v>-23.619599999999899</v>
      </c>
      <c r="AD4016">
        <v>-1.1083196012406</v>
      </c>
      <c r="AE4016">
        <v>-0.41750000000001802</v>
      </c>
      <c r="AF4016">
        <v>-1.6154931352284401</v>
      </c>
      <c r="AG4016">
        <v>-1.1083196012406</v>
      </c>
      <c r="AH4016">
        <v>23.515980426315998</v>
      </c>
      <c r="AI4016">
        <v>92.692045660772393</v>
      </c>
      <c r="AJ4016">
        <v>93.929912253359504</v>
      </c>
      <c r="AK4016">
        <v>23.597447442877002</v>
      </c>
      <c r="AL4016">
        <v>91.267290568565997</v>
      </c>
      <c r="AM4016">
        <v>97.780559977527503</v>
      </c>
      <c r="AN4016">
        <v>1.0000000193145799</v>
      </c>
    </row>
    <row r="4017" spans="1:40" x14ac:dyDescent="0.25">
      <c r="A4017" t="str">
        <f>"20190305135314627"</f>
        <v>20190305135314627</v>
      </c>
      <c r="B4017" t="str">
        <f>"1551765194623749"</f>
        <v>1551765194623749</v>
      </c>
      <c r="C4017" t="s">
        <v>40</v>
      </c>
      <c r="D4017">
        <v>4.4643490000000003</v>
      </c>
      <c r="E4017">
        <v>0.52485950000000003</v>
      </c>
      <c r="F4017" t="s">
        <v>42</v>
      </c>
      <c r="G4017">
        <v>-259.90089999999998</v>
      </c>
      <c r="H4017" s="1">
        <v>-3.3702279999999998E-7</v>
      </c>
      <c r="I4017">
        <v>140.7895</v>
      </c>
      <c r="J4017">
        <v>-235.94300000000001</v>
      </c>
      <c r="K4017">
        <v>1.108395</v>
      </c>
      <c r="L4017">
        <v>141.203</v>
      </c>
      <c r="M4017">
        <v>-0.99864229999999998</v>
      </c>
      <c r="N4017">
        <v>-8.6543079999999994E-3</v>
      </c>
      <c r="O4017">
        <v>5.1368900000000002E-2</v>
      </c>
      <c r="P4017">
        <v>-0.99604859999999995</v>
      </c>
      <c r="Q4017">
        <v>-3.0080340000000001E-2</v>
      </c>
      <c r="R4017">
        <v>-8.3561759999999999E-2</v>
      </c>
      <c r="S4017">
        <v>-3.0038149999999999</v>
      </c>
      <c r="T4017">
        <v>-0.13730029999999999</v>
      </c>
      <c r="U4017">
        <v>-4.9316409999999998E-2</v>
      </c>
      <c r="V4017">
        <v>-0.13464129999999999</v>
      </c>
      <c r="W4017">
        <v>-2.1368970000000001E-2</v>
      </c>
      <c r="X4017">
        <v>0.99066390000000004</v>
      </c>
      <c r="Y4017">
        <v>-6.7638749999999997E-2</v>
      </c>
      <c r="Z4017">
        <v>-3.739455E-3</v>
      </c>
      <c r="AA4017">
        <v>0.99770289999999995</v>
      </c>
      <c r="AB4017">
        <v>29</v>
      </c>
      <c r="AC4017">
        <v>-23.957899999999899</v>
      </c>
      <c r="AD4017">
        <v>-1.1083953370227999</v>
      </c>
      <c r="AE4017">
        <v>-0.41349999999999898</v>
      </c>
      <c r="AF4017">
        <v>-1.64018145539921</v>
      </c>
      <c r="AG4017">
        <v>-1.1083953370227999</v>
      </c>
      <c r="AH4017">
        <v>23.853983794436498</v>
      </c>
      <c r="AI4017">
        <v>92.654125095883899</v>
      </c>
      <c r="AJ4017">
        <v>93.933422378495607</v>
      </c>
      <c r="AK4017">
        <v>23.935982918923699</v>
      </c>
      <c r="AL4017">
        <v>91.224445068925604</v>
      </c>
      <c r="AM4017">
        <v>97.739657127127302</v>
      </c>
      <c r="AN4017">
        <v>0.99999993765387796</v>
      </c>
    </row>
    <row r="4018" spans="1:40" x14ac:dyDescent="0.25">
      <c r="A4018" t="str">
        <f>"20190305135314651"</f>
        <v>20190305135314651</v>
      </c>
      <c r="B4018" t="str">
        <f>"1551765194644246"</f>
        <v>1551765194644246</v>
      </c>
      <c r="C4018" t="s">
        <v>40</v>
      </c>
      <c r="D4018">
        <v>4.4891589999999999</v>
      </c>
      <c r="E4018">
        <v>0.5245609</v>
      </c>
      <c r="F4018" t="s">
        <v>42</v>
      </c>
      <c r="G4018">
        <v>-260.37450000000001</v>
      </c>
      <c r="H4018" s="1">
        <v>-4.3582960000000002E-6</v>
      </c>
      <c r="I4018">
        <v>140.79859999999999</v>
      </c>
      <c r="J4018">
        <v>-236.24549999999999</v>
      </c>
      <c r="K4018">
        <v>1.1084860000000001</v>
      </c>
      <c r="L4018">
        <v>141.21899999999999</v>
      </c>
      <c r="M4018">
        <v>-0.99862329999999999</v>
      </c>
      <c r="N4018">
        <v>-8.6549859999999999E-3</v>
      </c>
      <c r="O4018">
        <v>5.1737100000000001E-2</v>
      </c>
      <c r="P4018">
        <v>-0.99622790000000006</v>
      </c>
      <c r="Q4018">
        <v>-2.853785E-2</v>
      </c>
      <c r="R4018">
        <v>-8.1949220000000003E-2</v>
      </c>
      <c r="S4018">
        <v>-3.0036160000000001</v>
      </c>
      <c r="T4018">
        <v>-0.13626679999999999</v>
      </c>
      <c r="U4018">
        <v>-4.9713130000000001E-2</v>
      </c>
      <c r="V4018">
        <v>-0.13339980000000001</v>
      </c>
      <c r="W4018">
        <v>-1.985485E-2</v>
      </c>
      <c r="X4018">
        <v>0.99086339999999995</v>
      </c>
      <c r="Y4018">
        <v>-6.8140359999999997E-2</v>
      </c>
      <c r="Z4018">
        <v>-3.7374729999999998E-3</v>
      </c>
      <c r="AA4018">
        <v>0.99766869999999996</v>
      </c>
      <c r="AB4018">
        <v>29</v>
      </c>
      <c r="AC4018">
        <v>-24.129000000000001</v>
      </c>
      <c r="AD4018">
        <v>-1.108490358296</v>
      </c>
      <c r="AE4018">
        <v>-0.4204</v>
      </c>
      <c r="AF4018">
        <v>-1.66473573859319</v>
      </c>
      <c r="AG4018">
        <v>-1.108490358296</v>
      </c>
      <c r="AH4018">
        <v>24.0242437130177</v>
      </c>
      <c r="AI4018">
        <v>92.635470830754997</v>
      </c>
      <c r="AJ4018">
        <v>93.963916902618806</v>
      </c>
      <c r="AK4018">
        <v>24.107351201163802</v>
      </c>
      <c r="AL4018">
        <v>91.137673864719204</v>
      </c>
      <c r="AM4018">
        <v>97.667618830152804</v>
      </c>
      <c r="AN4018">
        <v>0.99999999958406105</v>
      </c>
    </row>
    <row r="4019" spans="1:40" x14ac:dyDescent="0.25">
      <c r="A4019" t="str">
        <f>"20190305135314674"</f>
        <v>20190305135314674</v>
      </c>
      <c r="B4019" t="str">
        <f>"1551765194663765"</f>
        <v>1551765194663765</v>
      </c>
      <c r="C4019" t="s">
        <v>40</v>
      </c>
      <c r="D4019">
        <v>4.506513</v>
      </c>
      <c r="E4019">
        <v>0.52426980000000001</v>
      </c>
      <c r="F4019" t="s">
        <v>42</v>
      </c>
      <c r="G4019">
        <v>-261.56270000000001</v>
      </c>
      <c r="H4019" s="1">
        <v>-3.922305E-6</v>
      </c>
      <c r="I4019">
        <v>140.82050000000001</v>
      </c>
      <c r="J4019">
        <v>-236.5461</v>
      </c>
      <c r="K4019">
        <v>1.1085849999999999</v>
      </c>
      <c r="L4019">
        <v>141.23490000000001</v>
      </c>
      <c r="M4019">
        <v>-0.99861029999999995</v>
      </c>
      <c r="N4019">
        <v>-8.6558E-3</v>
      </c>
      <c r="O4019">
        <v>5.1987579999999999E-2</v>
      </c>
      <c r="P4019">
        <v>-0.99632810000000005</v>
      </c>
      <c r="Q4019">
        <v>-2.7543350000000001E-2</v>
      </c>
      <c r="R4019">
        <v>-8.1067089999999994E-2</v>
      </c>
      <c r="S4019">
        <v>-3.003708</v>
      </c>
      <c r="T4019">
        <v>-0.13151450000000001</v>
      </c>
      <c r="U4019">
        <v>-4.7271729999999998E-2</v>
      </c>
      <c r="V4019">
        <v>-0.1327672</v>
      </c>
      <c r="W4019">
        <v>-1.888811E-2</v>
      </c>
      <c r="X4019">
        <v>0.9909673</v>
      </c>
      <c r="Y4019">
        <v>-6.758807E-2</v>
      </c>
      <c r="Z4019">
        <v>-3.5960979999999998E-3</v>
      </c>
      <c r="AA4019">
        <v>0.9977068</v>
      </c>
      <c r="AB4019">
        <v>29</v>
      </c>
      <c r="AC4019">
        <v>-25.0166</v>
      </c>
      <c r="AD4019">
        <v>-1.1085889223049901</v>
      </c>
      <c r="AE4019">
        <v>-0.41439999999999999</v>
      </c>
      <c r="AF4019">
        <v>-1.71108148798894</v>
      </c>
      <c r="AG4019">
        <v>-1.1085889223049901</v>
      </c>
      <c r="AH4019">
        <v>24.912315900281701</v>
      </c>
      <c r="AI4019">
        <v>92.541979254049707</v>
      </c>
      <c r="AJ4019">
        <v>93.929141640085206</v>
      </c>
      <c r="AK4019">
        <v>24.995604669073799</v>
      </c>
      <c r="AL4019">
        <v>91.082273301415398</v>
      </c>
      <c r="AM4019">
        <v>97.630896755958602</v>
      </c>
      <c r="AN4019">
        <v>1.0000000398822499</v>
      </c>
    </row>
    <row r="4020" spans="1:40" x14ac:dyDescent="0.25">
      <c r="A4020" t="str">
        <f>"20190305135314694"</f>
        <v>20190305135314694</v>
      </c>
      <c r="B4020" t="str">
        <f>"1551765194684262"</f>
        <v>1551765194684262</v>
      </c>
      <c r="C4020" t="s">
        <v>40</v>
      </c>
      <c r="D4020">
        <v>4.4882090000000003</v>
      </c>
      <c r="E4020">
        <v>0.52395820000000004</v>
      </c>
      <c r="F4020" t="s">
        <v>42</v>
      </c>
      <c r="G4020">
        <v>-262.53559999999999</v>
      </c>
      <c r="H4020" s="1">
        <v>-3.5071159999999999E-6</v>
      </c>
      <c r="I4020">
        <v>140.82859999999999</v>
      </c>
      <c r="J4020">
        <v>-236.81880000000001</v>
      </c>
      <c r="K4020">
        <v>1.1086609999999999</v>
      </c>
      <c r="L4020">
        <v>141.24930000000001</v>
      </c>
      <c r="M4020">
        <v>-0.99860360000000004</v>
      </c>
      <c r="N4020">
        <v>-8.6565610000000001E-3</v>
      </c>
      <c r="O4020">
        <v>5.2115679999999998E-2</v>
      </c>
      <c r="P4020">
        <v>-0.99639820000000001</v>
      </c>
      <c r="Q4020">
        <v>-2.649688E-2</v>
      </c>
      <c r="R4020">
        <v>-8.0554429999999996E-2</v>
      </c>
      <c r="S4020">
        <v>-3.0036930000000002</v>
      </c>
      <c r="T4020">
        <v>-0.1281235</v>
      </c>
      <c r="U4020">
        <v>-4.695129E-2</v>
      </c>
      <c r="V4020">
        <v>-0.13238220000000001</v>
      </c>
      <c r="W4020">
        <v>-1.78649E-2</v>
      </c>
      <c r="X4020">
        <v>0.99103770000000002</v>
      </c>
      <c r="Y4020">
        <v>-6.7615259999999996E-2</v>
      </c>
      <c r="Z4020">
        <v>-3.5044429999999999E-3</v>
      </c>
      <c r="AA4020">
        <v>0.99770530000000002</v>
      </c>
      <c r="AB4020">
        <v>29</v>
      </c>
      <c r="AC4020">
        <v>-25.7167999999999</v>
      </c>
      <c r="AD4020">
        <v>-1.108664507116</v>
      </c>
      <c r="AE4020">
        <v>-0.42070000000001001</v>
      </c>
      <c r="AF4020">
        <v>-1.7571620593391599</v>
      </c>
      <c r="AG4020">
        <v>-1.108664507116</v>
      </c>
      <c r="AH4020">
        <v>25.612335555267201</v>
      </c>
      <c r="AI4020">
        <v>92.472772518705497</v>
      </c>
      <c r="AJ4020">
        <v>93.924689235855297</v>
      </c>
      <c r="AK4020">
        <v>25.696468397188799</v>
      </c>
      <c r="AL4020">
        <v>91.0236378648666</v>
      </c>
      <c r="AM4020">
        <v>97.608494027529403</v>
      </c>
      <c r="AN4020">
        <v>0.99999996217506903</v>
      </c>
    </row>
    <row r="4021" spans="1:40" x14ac:dyDescent="0.25">
      <c r="A4021" t="str">
        <f>"20190305135314717"</f>
        <v>20190305135314717</v>
      </c>
      <c r="B4021" t="str">
        <f>"1551765194713541"</f>
        <v>1551765194713541</v>
      </c>
      <c r="C4021" t="s">
        <v>40</v>
      </c>
      <c r="D4021">
        <v>4.4637760000000002</v>
      </c>
      <c r="E4021">
        <v>0.52357330000000002</v>
      </c>
      <c r="F4021" t="s">
        <v>42</v>
      </c>
      <c r="G4021">
        <v>-263.50170000000003</v>
      </c>
      <c r="H4021" s="1">
        <v>-3.0915169999999998E-6</v>
      </c>
      <c r="I4021">
        <v>140.82429999999999</v>
      </c>
      <c r="J4021">
        <v>-237.11109999999999</v>
      </c>
      <c r="K4021">
        <v>1.108741</v>
      </c>
      <c r="L4021">
        <v>141.2646</v>
      </c>
      <c r="M4021">
        <v>-0.99860190000000004</v>
      </c>
      <c r="N4021">
        <v>-8.6575539999999996E-3</v>
      </c>
      <c r="O4021">
        <v>5.214589E-2</v>
      </c>
      <c r="P4021">
        <v>-0.99640169999999995</v>
      </c>
      <c r="Q4021">
        <v>-2.5482540000000001E-2</v>
      </c>
      <c r="R4021">
        <v>-8.0834619999999996E-2</v>
      </c>
      <c r="S4021">
        <v>-3.0036619999999998</v>
      </c>
      <c r="T4021">
        <v>-0.1248012</v>
      </c>
      <c r="U4021">
        <v>-4.7836299999999998E-2</v>
      </c>
      <c r="V4021">
        <v>-0.13268829999999901</v>
      </c>
      <c r="W4021">
        <v>-1.6874299999999998E-2</v>
      </c>
      <c r="X4021">
        <v>0.99101419999999996</v>
      </c>
      <c r="Y4021">
        <v>-6.7944539999999998E-2</v>
      </c>
      <c r="Z4021">
        <v>-3.418805E-3</v>
      </c>
      <c r="AA4021">
        <v>0.99768319999999999</v>
      </c>
      <c r="AB4021">
        <v>29</v>
      </c>
      <c r="AC4021">
        <v>-26.390599999999999</v>
      </c>
      <c r="AD4021">
        <v>-1.1087440915169999</v>
      </c>
      <c r="AE4021">
        <v>-0.44030000000000702</v>
      </c>
      <c r="AF4021">
        <v>-1.8127151911333701</v>
      </c>
      <c r="AG4021">
        <v>-1.1087440915169999</v>
      </c>
      <c r="AH4021">
        <v>26.2853488008334</v>
      </c>
      <c r="AI4021">
        <v>92.409648913853005</v>
      </c>
      <c r="AJ4021">
        <v>93.945039824638002</v>
      </c>
      <c r="AK4021">
        <v>26.371098031862701</v>
      </c>
      <c r="AL4021">
        <v>90.966872026189904</v>
      </c>
      <c r="AM4021">
        <v>97.626058632725304</v>
      </c>
      <c r="AN4021">
        <v>1.0000000357795</v>
      </c>
    </row>
    <row r="4022" spans="1:40" x14ac:dyDescent="0.25">
      <c r="A4022" t="str">
        <f>"20190305135314739"</f>
        <v>20190305135314739</v>
      </c>
      <c r="B4022" t="str">
        <f>"1551765194734038"</f>
        <v>1551765194734038</v>
      </c>
      <c r="C4022" t="s">
        <v>40</v>
      </c>
      <c r="D4022">
        <v>4.4738300000000004</v>
      </c>
      <c r="E4022">
        <v>0.52327520000000005</v>
      </c>
      <c r="F4022" t="s">
        <v>42</v>
      </c>
      <c r="G4022">
        <v>-264.399</v>
      </c>
      <c r="H4022" s="1">
        <v>-2.6986619999999999E-6</v>
      </c>
      <c r="I4022">
        <v>140.7946</v>
      </c>
      <c r="J4022">
        <v>-237.3997</v>
      </c>
      <c r="K4022">
        <v>1.1088260000000001</v>
      </c>
      <c r="L4022">
        <v>141.27969999999999</v>
      </c>
      <c r="M4022">
        <v>-0.99860649999999995</v>
      </c>
      <c r="N4022">
        <v>-8.6587160000000003E-3</v>
      </c>
      <c r="O4022">
        <v>5.2059420000000002E-2</v>
      </c>
      <c r="P4022">
        <v>-0.99645090000000003</v>
      </c>
      <c r="Q4022">
        <v>-2.3214060000000002E-2</v>
      </c>
      <c r="R4022">
        <v>-8.0913639999999995E-2</v>
      </c>
      <c r="S4022">
        <v>-3.0035249999999998</v>
      </c>
      <c r="T4022">
        <v>-0.1220374</v>
      </c>
      <c r="U4022">
        <v>-5.1727290000000002E-2</v>
      </c>
      <c r="V4022">
        <v>-0.13268070000000001</v>
      </c>
      <c r="W4022">
        <v>-1.4629669999999999E-2</v>
      </c>
      <c r="X4022">
        <v>0.99105080000000001</v>
      </c>
      <c r="Y4022">
        <v>-6.9154160000000006E-2</v>
      </c>
      <c r="Z4022">
        <v>-3.3668410000000002E-3</v>
      </c>
      <c r="AA4022">
        <v>0.9976003</v>
      </c>
      <c r="AB4022">
        <v>29</v>
      </c>
      <c r="AC4022">
        <v>-26.999300000000002</v>
      </c>
      <c r="AD4022">
        <v>-1.108828698662</v>
      </c>
      <c r="AE4022">
        <v>-0.48509999999998799</v>
      </c>
      <c r="AF4022">
        <v>-1.88688119871199</v>
      </c>
      <c r="AG4022">
        <v>-1.108828698662</v>
      </c>
      <c r="AH4022">
        <v>26.892088147165399</v>
      </c>
      <c r="AI4022">
        <v>92.3553280994186</v>
      </c>
      <c r="AJ4022">
        <v>94.013575945843002</v>
      </c>
      <c r="AK4022">
        <v>26.980997510394999</v>
      </c>
      <c r="AL4022">
        <v>90.838248298608704</v>
      </c>
      <c r="AM4022">
        <v>97.625348669826096</v>
      </c>
      <c r="AN4022">
        <v>0.99999994178871698</v>
      </c>
    </row>
    <row r="4023" spans="1:40" x14ac:dyDescent="0.25">
      <c r="A4023" t="str">
        <f>"20190305135314763"</f>
        <v>20190305135314763</v>
      </c>
      <c r="B4023" t="str">
        <f>"1551765194753558"</f>
        <v>1551765194753558</v>
      </c>
      <c r="C4023" t="s">
        <v>40</v>
      </c>
      <c r="D4023">
        <v>4.492375</v>
      </c>
      <c r="E4023">
        <v>0.52301169999999997</v>
      </c>
      <c r="F4023" t="s">
        <v>42</v>
      </c>
      <c r="G4023">
        <v>-266.17899999999997</v>
      </c>
      <c r="H4023" s="1">
        <v>-1.92533E-6</v>
      </c>
      <c r="I4023">
        <v>140.75810000000001</v>
      </c>
      <c r="J4023">
        <v>-237.7149</v>
      </c>
      <c r="K4023">
        <v>1.108932</v>
      </c>
      <c r="L4023">
        <v>141.29599999999999</v>
      </c>
      <c r="M4023">
        <v>-0.99861820000000001</v>
      </c>
      <c r="N4023">
        <v>-8.6601739999999996E-3</v>
      </c>
      <c r="O4023">
        <v>5.1832679999999999E-2</v>
      </c>
      <c r="P4023">
        <v>-0.99645910000000004</v>
      </c>
      <c r="Q4023">
        <v>-2.1263190000000001E-2</v>
      </c>
      <c r="R4023">
        <v>-8.1346180000000004E-2</v>
      </c>
      <c r="S4023">
        <v>-3.003571</v>
      </c>
      <c r="T4023">
        <v>-0.1157234</v>
      </c>
      <c r="U4023">
        <v>-5.4428099999999903E-2</v>
      </c>
      <c r="V4023">
        <v>-0.13288510000000001</v>
      </c>
      <c r="W4023">
        <v>-1.270832E-2</v>
      </c>
      <c r="X4023">
        <v>0.99104999999999999</v>
      </c>
      <c r="Y4023">
        <v>-6.983338E-2</v>
      </c>
      <c r="Z4023">
        <v>-3.1941130000000002E-3</v>
      </c>
      <c r="AA4023">
        <v>0.99755349999999998</v>
      </c>
      <c r="AB4023">
        <v>29</v>
      </c>
      <c r="AC4023">
        <v>-28.464099999999998</v>
      </c>
      <c r="AD4023">
        <v>-1.1089339253299999</v>
      </c>
      <c r="AE4023">
        <v>-0.53789999999997895</v>
      </c>
      <c r="AF4023">
        <v>-2.00955382976607</v>
      </c>
      <c r="AG4023">
        <v>-1.1089339253299999</v>
      </c>
      <c r="AH4023">
        <v>28.3549314215267</v>
      </c>
      <c r="AI4023">
        <v>92.234043293268101</v>
      </c>
      <c r="AJ4023">
        <v>94.053854290362494</v>
      </c>
      <c r="AK4023">
        <v>28.447674368302199</v>
      </c>
      <c r="AL4023">
        <v>90.728152681660006</v>
      </c>
      <c r="AM4023">
        <v>97.636963383686407</v>
      </c>
      <c r="AN4023">
        <v>1.0000000268496101</v>
      </c>
    </row>
    <row r="4024" spans="1:40" x14ac:dyDescent="0.25">
      <c r="A4024" t="str">
        <f>"20190305135314783"</f>
        <v>20190305135314783</v>
      </c>
      <c r="B4024" t="str">
        <f>"1551765194774054"</f>
        <v>1551765194774054</v>
      </c>
      <c r="C4024" t="s">
        <v>40</v>
      </c>
      <c r="D4024">
        <v>4.4644370000000002</v>
      </c>
      <c r="E4024">
        <v>0.52271849999999997</v>
      </c>
      <c r="F4024" t="s">
        <v>42</v>
      </c>
      <c r="G4024">
        <v>-267.61439999999999</v>
      </c>
      <c r="H4024" s="1">
        <v>-1.2996020000000001E-6</v>
      </c>
      <c r="I4024">
        <v>140.72069999999999</v>
      </c>
      <c r="J4024">
        <v>-237.99</v>
      </c>
      <c r="K4024">
        <v>1.1090390000000001</v>
      </c>
      <c r="L4024">
        <v>141.31</v>
      </c>
      <c r="M4024">
        <v>-0.99863480000000004</v>
      </c>
      <c r="N4024">
        <v>-8.6617259999999998E-3</v>
      </c>
      <c r="O4024">
        <v>5.1512830000000003E-2</v>
      </c>
      <c r="P4024">
        <v>-0.99643800000000005</v>
      </c>
      <c r="Q4024">
        <v>-1.9330050000000001E-2</v>
      </c>
      <c r="R4024">
        <v>-8.2084539999999998E-2</v>
      </c>
      <c r="S4024">
        <v>-3.003555</v>
      </c>
      <c r="T4024">
        <v>-0.111398</v>
      </c>
      <c r="U4024">
        <v>-5.7785030000000001E-2</v>
      </c>
      <c r="V4024">
        <v>-0.133302</v>
      </c>
      <c r="W4024">
        <v>-1.080442E-2</v>
      </c>
      <c r="X4024">
        <v>0.99101660000000003</v>
      </c>
      <c r="Y4024">
        <v>-7.0634340000000004E-2</v>
      </c>
      <c r="Z4024">
        <v>-3.0785489999999999E-3</v>
      </c>
      <c r="AA4024">
        <v>0.99749750000000004</v>
      </c>
      <c r="AB4024">
        <v>29</v>
      </c>
      <c r="AC4024">
        <v>-29.624399999999898</v>
      </c>
      <c r="AD4024">
        <v>-1.1090402996019999</v>
      </c>
      <c r="AE4024">
        <v>-0.58930000000000804</v>
      </c>
      <c r="AF4024">
        <v>-2.1116531029201502</v>
      </c>
      <c r="AG4024">
        <v>-1.1090402996019999</v>
      </c>
      <c r="AH4024">
        <v>29.513361211580701</v>
      </c>
      <c r="AI4024">
        <v>92.146541226778396</v>
      </c>
      <c r="AJ4024">
        <v>94.092484876482104</v>
      </c>
      <c r="AK4024">
        <v>29.6095852591429</v>
      </c>
      <c r="AL4024">
        <v>90.619059692232895</v>
      </c>
      <c r="AM4024">
        <v>97.6608938369382</v>
      </c>
      <c r="AN4024">
        <v>1.0000000300855401</v>
      </c>
    </row>
    <row r="4025" spans="1:40" x14ac:dyDescent="0.25">
      <c r="A4025" t="str">
        <f>"20190305135314805"</f>
        <v>20190305135314805</v>
      </c>
      <c r="B4025" t="str">
        <f>"1551765194793574"</f>
        <v>1551765194793574</v>
      </c>
      <c r="C4025" t="s">
        <v>40</v>
      </c>
      <c r="D4025">
        <v>4.4616800000000003</v>
      </c>
      <c r="E4025">
        <v>0.52258709999999997</v>
      </c>
      <c r="F4025" t="s">
        <v>42</v>
      </c>
      <c r="G4025">
        <v>-269.17829999999998</v>
      </c>
      <c r="H4025" s="1">
        <v>-6.1330540000000002E-7</v>
      </c>
      <c r="I4025">
        <v>140.66290000000001</v>
      </c>
      <c r="J4025">
        <v>-238.26840000000001</v>
      </c>
      <c r="K4025">
        <v>1.109145</v>
      </c>
      <c r="L4025">
        <v>141.32399999999899</v>
      </c>
      <c r="M4025">
        <v>-0.99865740000000003</v>
      </c>
      <c r="N4025">
        <v>-8.6635069999999904E-3</v>
      </c>
      <c r="O4025">
        <v>5.1074439999999999E-2</v>
      </c>
      <c r="P4025">
        <v>-0.99634060000000002</v>
      </c>
      <c r="Q4025">
        <v>-1.8175920000000002E-2</v>
      </c>
      <c r="R4025">
        <v>-8.3519700000000002E-2</v>
      </c>
      <c r="S4025">
        <v>-3.0035099999999999</v>
      </c>
      <c r="T4025">
        <v>-0.1068032</v>
      </c>
      <c r="U4025">
        <v>-6.231689E-2</v>
      </c>
      <c r="V4025">
        <v>-0.13429349999999901</v>
      </c>
      <c r="W4025">
        <v>-9.6830059999999992E-3</v>
      </c>
      <c r="X4025">
        <v>0.99089430000000001</v>
      </c>
      <c r="Y4025">
        <v>-7.1707049999999994E-2</v>
      </c>
      <c r="Z4025">
        <v>-2.957805E-3</v>
      </c>
      <c r="AA4025">
        <v>0.99742129999999996</v>
      </c>
      <c r="AB4025">
        <v>29</v>
      </c>
      <c r="AC4025">
        <v>-30.909899999999901</v>
      </c>
      <c r="AD4025">
        <v>-1.1091456133053901</v>
      </c>
      <c r="AE4025">
        <v>-0.66109999999997604</v>
      </c>
      <c r="AF4025">
        <v>-2.2361240559894302</v>
      </c>
      <c r="AG4025">
        <v>-1.1091456133053901</v>
      </c>
      <c r="AH4025">
        <v>30.7961532366485</v>
      </c>
      <c r="AI4025">
        <v>92.057245788222602</v>
      </c>
      <c r="AJ4025">
        <v>94.152986802174695</v>
      </c>
      <c r="AK4025">
        <v>30.897144025952102</v>
      </c>
      <c r="AL4025">
        <v>90.554804041686396</v>
      </c>
      <c r="AM4025">
        <v>97.718132381595694</v>
      </c>
      <c r="AN4025">
        <v>1.0000000092599599</v>
      </c>
    </row>
    <row r="4026" spans="1:40" x14ac:dyDescent="0.25">
      <c r="A4026" t="str">
        <f>"20190305135314829"</f>
        <v>20190305135314829</v>
      </c>
      <c r="B4026" t="str">
        <f>"1551765194823830"</f>
        <v>1551765194823830</v>
      </c>
      <c r="C4026" t="s">
        <v>40</v>
      </c>
      <c r="D4026">
        <v>4.5003270000000004</v>
      </c>
      <c r="E4026">
        <v>0.51777810000000002</v>
      </c>
      <c r="F4026" t="s">
        <v>42</v>
      </c>
      <c r="G4026">
        <v>-270.38909999999998</v>
      </c>
      <c r="H4026" s="1">
        <v>-4.3183949999999997E-6</v>
      </c>
      <c r="I4026">
        <v>140.60149999999999</v>
      </c>
      <c r="J4026">
        <v>-238.57210000000001</v>
      </c>
      <c r="K4026">
        <v>1.1092630000000001</v>
      </c>
      <c r="L4026">
        <v>141.339</v>
      </c>
      <c r="M4026">
        <v>-0.99868880000000004</v>
      </c>
      <c r="N4026">
        <v>-8.6657139999999997E-3</v>
      </c>
      <c r="O4026">
        <v>5.0458059999999999E-2</v>
      </c>
      <c r="P4026">
        <v>-0.99625070000000004</v>
      </c>
      <c r="Q4026">
        <v>-1.7991989999999999E-2</v>
      </c>
      <c r="R4026">
        <v>-8.4625519999999996E-2</v>
      </c>
      <c r="S4026">
        <v>-3.0034640000000001</v>
      </c>
      <c r="T4026">
        <v>-0.1037117</v>
      </c>
      <c r="U4026">
        <v>-6.7550659999999998E-2</v>
      </c>
      <c r="V4026">
        <v>-0.13477939999999999</v>
      </c>
      <c r="W4026">
        <v>-9.5337830000000005E-3</v>
      </c>
      <c r="X4026">
        <v>0.99082979999999998</v>
      </c>
      <c r="Y4026">
        <v>-7.2832620000000001E-2</v>
      </c>
      <c r="Z4026">
        <v>-2.876801E-3</v>
      </c>
      <c r="AA4026">
        <v>0.99734</v>
      </c>
      <c r="AB4026">
        <v>29</v>
      </c>
      <c r="AC4026">
        <v>-31.816999999999901</v>
      </c>
      <c r="AD4026">
        <v>-1.1092673183949999</v>
      </c>
      <c r="AE4026">
        <v>-0.73750000000001104</v>
      </c>
      <c r="AF4026">
        <v>-2.3392027532876098</v>
      </c>
      <c r="AG4026">
        <v>-1.1092673183949999</v>
      </c>
      <c r="AH4026">
        <v>31.700742183937901</v>
      </c>
      <c r="AI4026">
        <v>91.998637639999203</v>
      </c>
      <c r="AJ4026">
        <v>94.220216000727504</v>
      </c>
      <c r="AK4026">
        <v>31.806279230949698</v>
      </c>
      <c r="AL4026">
        <v>90.546253784281902</v>
      </c>
      <c r="AM4026">
        <v>97.746217782957601</v>
      </c>
      <c r="AN4026">
        <v>1.0000000361253401</v>
      </c>
    </row>
    <row r="4027" spans="1:40" x14ac:dyDescent="0.25">
      <c r="A4027" t="str">
        <f>"20190305135314852"</f>
        <v>20190305135314852</v>
      </c>
      <c r="B4027" t="str">
        <f>"1551765194844326"</f>
        <v>1551765194844326</v>
      </c>
      <c r="C4027" t="s">
        <v>40</v>
      </c>
      <c r="D4027">
        <v>4.5183419999999996</v>
      </c>
      <c r="E4027">
        <v>0.5175746</v>
      </c>
      <c r="F4027" t="s">
        <v>42</v>
      </c>
      <c r="G4027">
        <v>-262.87419999999997</v>
      </c>
      <c r="H4027" s="1">
        <v>-3.2667840000000002E-6</v>
      </c>
      <c r="I4027">
        <v>140.47130000000001</v>
      </c>
      <c r="J4027">
        <v>-238.8845</v>
      </c>
      <c r="K4027">
        <v>1.109369</v>
      </c>
      <c r="L4027">
        <v>141.35409999999999</v>
      </c>
      <c r="M4027">
        <v>-0.99872709999999998</v>
      </c>
      <c r="N4027">
        <v>-8.6679949999999995E-3</v>
      </c>
      <c r="O4027">
        <v>4.9691260000000001E-2</v>
      </c>
      <c r="P4027">
        <v>-0.99617429999999996</v>
      </c>
      <c r="Q4027">
        <v>-1.622972E-2</v>
      </c>
      <c r="R4027">
        <v>-8.5871100000000006E-2</v>
      </c>
      <c r="S4027">
        <v>-2.9997250000000002</v>
      </c>
      <c r="T4027">
        <v>-0.13692219999999999</v>
      </c>
      <c r="U4027">
        <v>-0.1071014</v>
      </c>
      <c r="V4027">
        <v>-0.13525860000000001</v>
      </c>
      <c r="W4027">
        <v>-7.8046469999999996E-3</v>
      </c>
      <c r="X4027">
        <v>0.99077959999999998</v>
      </c>
      <c r="Y4027">
        <v>-8.5159079999999998E-2</v>
      </c>
      <c r="Z4027">
        <v>-4.1469469999999998E-3</v>
      </c>
      <c r="AA4027">
        <v>0.99635879999999999</v>
      </c>
      <c r="AB4027">
        <v>30</v>
      </c>
      <c r="AC4027">
        <v>-23.9896999999999</v>
      </c>
      <c r="AD4027">
        <v>-1.109372266784</v>
      </c>
      <c r="AE4027">
        <v>-0.88279999999997405</v>
      </c>
      <c r="AF4027">
        <v>-2.0694130194653599</v>
      </c>
      <c r="AG4027">
        <v>-1.109372266784</v>
      </c>
      <c r="AH4027">
        <v>23.865226177112099</v>
      </c>
      <c r="AI4027">
        <v>92.651536175555705</v>
      </c>
      <c r="AJ4027">
        <v>94.955862980506694</v>
      </c>
      <c r="AK4027">
        <v>23.9804544901918</v>
      </c>
      <c r="AL4027">
        <v>90.447177869717905</v>
      </c>
      <c r="AM4027">
        <v>97.773811895530798</v>
      </c>
      <c r="AN4027">
        <v>1.0000000085824501</v>
      </c>
    </row>
    <row r="4028" spans="1:40" x14ac:dyDescent="0.25">
      <c r="A4028" t="str">
        <f>"20190305135314874"</f>
        <v>20190305135314874</v>
      </c>
      <c r="B4028" t="str">
        <f>"1551765194863846"</f>
        <v>1551765194863846</v>
      </c>
      <c r="C4028" t="s">
        <v>40</v>
      </c>
      <c r="D4028">
        <v>4.5286929999999996</v>
      </c>
      <c r="E4028">
        <v>0.51712740000000001</v>
      </c>
      <c r="F4028" t="s">
        <v>42</v>
      </c>
      <c r="G4028">
        <v>-263.54579999999999</v>
      </c>
      <c r="H4028" s="1">
        <v>-2.9677899999999999E-6</v>
      </c>
      <c r="I4028">
        <v>140.43049999999999</v>
      </c>
      <c r="J4028">
        <v>-239.1798</v>
      </c>
      <c r="K4028">
        <v>1.1094539999999999</v>
      </c>
      <c r="L4028">
        <v>141.36799999999999</v>
      </c>
      <c r="M4028">
        <v>-0.99876770000000004</v>
      </c>
      <c r="N4028">
        <v>-8.67029699999999E-3</v>
      </c>
      <c r="O4028">
        <v>4.886621E-2</v>
      </c>
      <c r="P4028">
        <v>-0.99610960000000004</v>
      </c>
      <c r="Q4028">
        <v>-1.4662100000000001E-2</v>
      </c>
      <c r="R4028">
        <v>-8.6895029999999998E-2</v>
      </c>
      <c r="S4028">
        <v>-2.9996489999999998</v>
      </c>
      <c r="T4028">
        <v>-0.13493740000000001</v>
      </c>
      <c r="U4028">
        <v>-0.112335199999999</v>
      </c>
      <c r="V4028">
        <v>-0.13546040000000001</v>
      </c>
      <c r="W4028">
        <v>-6.262961E-3</v>
      </c>
      <c r="X4028">
        <v>0.9907629</v>
      </c>
      <c r="Y4028">
        <v>-8.6076429999999995E-2</v>
      </c>
      <c r="Z4028">
        <v>-4.0806920000000003E-3</v>
      </c>
      <c r="AA4028">
        <v>0.99628019999999995</v>
      </c>
      <c r="AB4028">
        <v>30</v>
      </c>
      <c r="AC4028">
        <v>-24.3659999999999</v>
      </c>
      <c r="AD4028">
        <v>-1.1094569677899999</v>
      </c>
      <c r="AE4028">
        <v>-0.9375</v>
      </c>
      <c r="AF4028">
        <v>-2.1227043461934398</v>
      </c>
      <c r="AG4028">
        <v>-1.1094569677899999</v>
      </c>
      <c r="AH4028">
        <v>24.240891536613901</v>
      </c>
      <c r="AI4028">
        <v>92.610508499666807</v>
      </c>
      <c r="AJ4028">
        <v>95.004459378316497</v>
      </c>
      <c r="AK4028">
        <v>24.358932468287801</v>
      </c>
      <c r="AL4028">
        <v>90.3588436020665</v>
      </c>
      <c r="AM4028">
        <v>97.785397576506796</v>
      </c>
      <c r="AN4028">
        <v>0.99999993433252599</v>
      </c>
    </row>
    <row r="4029" spans="1:40" x14ac:dyDescent="0.25">
      <c r="A4029" t="str">
        <f>"20190305135314895"</f>
        <v>20190305135314895</v>
      </c>
      <c r="B4029" t="str">
        <f>"1551765194884342"</f>
        <v>1551765194884342</v>
      </c>
      <c r="C4029" t="s">
        <v>40</v>
      </c>
      <c r="D4029">
        <v>4.4862089999999997</v>
      </c>
      <c r="E4029">
        <v>0.51717029999999997</v>
      </c>
      <c r="F4029" t="s">
        <v>42</v>
      </c>
      <c r="G4029">
        <v>-264.03859999999997</v>
      </c>
      <c r="H4029" s="1">
        <v>-2.7438279999999998E-6</v>
      </c>
      <c r="I4029">
        <v>140.38329999999999</v>
      </c>
      <c r="J4029">
        <v>-239.45529999999999</v>
      </c>
      <c r="K4029">
        <v>1.1095219999999999</v>
      </c>
      <c r="L4029">
        <v>141.38059999999999</v>
      </c>
      <c r="M4029">
        <v>-0.99880939999999996</v>
      </c>
      <c r="N4029">
        <v>-8.6726019999999997E-3</v>
      </c>
      <c r="O4029">
        <v>4.8007920000000003E-2</v>
      </c>
      <c r="P4029">
        <v>-0.99604870000000001</v>
      </c>
      <c r="Q4029">
        <v>-1.3721229999999999E-2</v>
      </c>
      <c r="R4029">
        <v>-8.7743329999999994E-2</v>
      </c>
      <c r="S4029">
        <v>-2.9993590000000001</v>
      </c>
      <c r="T4029">
        <v>-0.13386289999999901</v>
      </c>
      <c r="U4029">
        <v>-0.1188049</v>
      </c>
      <c r="V4029">
        <v>-0.13545399999999999</v>
      </c>
      <c r="W4029">
        <v>-5.3433079999999997E-3</v>
      </c>
      <c r="X4029">
        <v>0.99076920000000002</v>
      </c>
      <c r="Y4029">
        <v>-8.7370799999999998E-2</v>
      </c>
      <c r="Z4029">
        <v>-4.0517649999999997E-3</v>
      </c>
      <c r="AA4029">
        <v>0.99616760000000004</v>
      </c>
      <c r="AB4029">
        <v>30</v>
      </c>
      <c r="AC4029">
        <v>-24.583299999999898</v>
      </c>
      <c r="AD4029">
        <v>-1.10952474382799</v>
      </c>
      <c r="AE4029">
        <v>-0.99729999999999497</v>
      </c>
      <c r="AF4029">
        <v>-2.17197029404756</v>
      </c>
      <c r="AG4029">
        <v>-1.10952474382799</v>
      </c>
      <c r="AH4029">
        <v>24.457334098277599</v>
      </c>
      <c r="AI4029">
        <v>92.587315159049098</v>
      </c>
      <c r="AJ4029">
        <v>95.074924420284503</v>
      </c>
      <c r="AK4029">
        <v>24.578642991633298</v>
      </c>
      <c r="AL4029">
        <v>90.306150462325405</v>
      </c>
      <c r="AM4029">
        <v>97.784985360442107</v>
      </c>
      <c r="AN4029">
        <v>0.99999997236251104</v>
      </c>
    </row>
    <row r="4030" spans="1:40" x14ac:dyDescent="0.25">
      <c r="A4030" t="str">
        <f>"20190305135314918"</f>
        <v>20190305135314918</v>
      </c>
      <c r="B4030" t="str">
        <f>"1551765194913622"</f>
        <v>1551765194913622</v>
      </c>
      <c r="C4030" t="s">
        <v>40</v>
      </c>
      <c r="D4030">
        <v>4.5104379999999997</v>
      </c>
      <c r="E4030">
        <v>0.51729919999999996</v>
      </c>
      <c r="F4030" t="s">
        <v>42</v>
      </c>
      <c r="G4030">
        <v>-264.50799999999998</v>
      </c>
      <c r="H4030" s="1">
        <v>-2.5387919999999999E-6</v>
      </c>
      <c r="I4030">
        <v>140.36940000000001</v>
      </c>
      <c r="J4030">
        <v>-239.76169999999999</v>
      </c>
      <c r="K4030">
        <v>1.1096010000000001</v>
      </c>
      <c r="L4030">
        <v>141.39439999999999</v>
      </c>
      <c r="M4030">
        <v>-0.99885970000000002</v>
      </c>
      <c r="N4030">
        <v>-8.6754980000000002E-3</v>
      </c>
      <c r="O4030">
        <v>4.6948280000000002E-2</v>
      </c>
      <c r="P4030">
        <v>-0.99596419999999997</v>
      </c>
      <c r="Q4030">
        <v>-1.444324E-2</v>
      </c>
      <c r="R4030">
        <v>-8.858241E-2</v>
      </c>
      <c r="S4030">
        <v>-2.9994049999999999</v>
      </c>
      <c r="T4030">
        <v>-0.1328368</v>
      </c>
      <c r="U4030">
        <v>-0.1210632</v>
      </c>
      <c r="V4030">
        <v>-0.13523470000000001</v>
      </c>
      <c r="W4030">
        <v>-6.0886079999999997E-3</v>
      </c>
      <c r="X4030">
        <v>0.99079490000000003</v>
      </c>
      <c r="Y4030">
        <v>-8.7065290000000004E-2</v>
      </c>
      <c r="Z4030">
        <v>-3.9745739999999998E-3</v>
      </c>
      <c r="AA4030">
        <v>0.99619469999999999</v>
      </c>
      <c r="AB4030">
        <v>30</v>
      </c>
      <c r="AC4030">
        <v>-24.746299999999898</v>
      </c>
      <c r="AD4030">
        <v>-1.109603538792</v>
      </c>
      <c r="AE4030">
        <v>-1.0249999999999699</v>
      </c>
      <c r="AF4030">
        <v>-2.1813313860969701</v>
      </c>
      <c r="AG4030">
        <v>-1.109603538792</v>
      </c>
      <c r="AH4030">
        <v>24.621469002286599</v>
      </c>
      <c r="AI4030">
        <v>92.570320584372695</v>
      </c>
      <c r="AJ4030">
        <v>95.062883150300806</v>
      </c>
      <c r="AK4030">
        <v>24.7428002146045</v>
      </c>
      <c r="AL4030">
        <v>90.348853691857897</v>
      </c>
      <c r="AM4030">
        <v>97.772336509155593</v>
      </c>
      <c r="AN4030">
        <v>1.00000001454873</v>
      </c>
    </row>
    <row r="4031" spans="1:40" x14ac:dyDescent="0.25">
      <c r="A4031" t="str">
        <f>"20190305135314940"</f>
        <v>20190305135314940</v>
      </c>
      <c r="B4031" t="str">
        <f>"1551765194934118"</f>
        <v>1551765194934118</v>
      </c>
      <c r="C4031" t="s">
        <v>40</v>
      </c>
      <c r="D4031">
        <v>4.5197479999999999</v>
      </c>
      <c r="E4031">
        <v>0.5173854</v>
      </c>
      <c r="F4031" t="s">
        <v>42</v>
      </c>
      <c r="G4031">
        <v>-264.5213</v>
      </c>
      <c r="H4031" s="1">
        <v>-2.5365409999999998E-6</v>
      </c>
      <c r="I4031">
        <v>140.38249999999999</v>
      </c>
      <c r="J4031">
        <v>-240.0635</v>
      </c>
      <c r="K4031">
        <v>1.109672</v>
      </c>
      <c r="L4031">
        <v>141.4075</v>
      </c>
      <c r="M4031">
        <v>-0.99891300000000005</v>
      </c>
      <c r="N4031">
        <v>-8.6786620000000002E-3</v>
      </c>
      <c r="O4031">
        <v>4.5798060000000002E-2</v>
      </c>
      <c r="P4031">
        <v>-0.99586569999999996</v>
      </c>
      <c r="Q4031">
        <v>-1.6043180000000001E-2</v>
      </c>
      <c r="R4031">
        <v>-8.9411409999999997E-2</v>
      </c>
      <c r="S4031">
        <v>-2.9993129999999999</v>
      </c>
      <c r="T4031">
        <v>-0.134414899999999</v>
      </c>
      <c r="U4031">
        <v>-0.1225739</v>
      </c>
      <c r="V4031">
        <v>-0.1349129</v>
      </c>
      <c r="W4031">
        <v>-7.7131859999999899E-3</v>
      </c>
      <c r="X4031">
        <v>0.99082740000000002</v>
      </c>
      <c r="Y4031">
        <v>-8.6418700000000001E-2</v>
      </c>
      <c r="Z4031">
        <v>-3.9633949999999998E-3</v>
      </c>
      <c r="AA4031">
        <v>0.996251</v>
      </c>
      <c r="AB4031">
        <v>30</v>
      </c>
      <c r="AC4031">
        <v>-24.457799999999899</v>
      </c>
      <c r="AD4031">
        <v>-1.1096745365409999</v>
      </c>
      <c r="AE4031">
        <v>-1.0249999999999999</v>
      </c>
      <c r="AF4031">
        <v>-2.1396895183433502</v>
      </c>
      <c r="AG4031">
        <v>-1.1096745365409999</v>
      </c>
      <c r="AH4031">
        <v>24.335183373929599</v>
      </c>
      <c r="AI4031">
        <v>92.600835573159401</v>
      </c>
      <c r="AJ4031">
        <v>95.024852662270803</v>
      </c>
      <c r="AK4031">
        <v>24.454259315193699</v>
      </c>
      <c r="AL4031">
        <v>90.441937404106994</v>
      </c>
      <c r="AM4031">
        <v>97.753815731648501</v>
      </c>
      <c r="AN4031">
        <v>0.99999996020771897</v>
      </c>
    </row>
    <row r="4032" spans="1:40" x14ac:dyDescent="0.25">
      <c r="A4032" t="str">
        <f>"20190305135314964"</f>
        <v>20190305135314964</v>
      </c>
      <c r="B4032" t="str">
        <f>"1551765194953638"</f>
        <v>1551765194953638</v>
      </c>
      <c r="C4032" t="s">
        <v>40</v>
      </c>
      <c r="D4032">
        <v>4.5346830000000002</v>
      </c>
      <c r="E4032">
        <v>0.51747259999999995</v>
      </c>
      <c r="F4032" t="s">
        <v>42</v>
      </c>
      <c r="G4032">
        <v>-263.99299999999999</v>
      </c>
      <c r="H4032" s="1">
        <v>-2.7721979999999998E-6</v>
      </c>
      <c r="I4032">
        <v>140.4162</v>
      </c>
      <c r="J4032">
        <v>-240.38059999999999</v>
      </c>
      <c r="K4032">
        <v>1.1097549999999901</v>
      </c>
      <c r="L4032">
        <v>141.42070000000001</v>
      </c>
      <c r="M4032">
        <v>-0.99897279999999999</v>
      </c>
      <c r="N4032">
        <v>-8.6824469999999994E-3</v>
      </c>
      <c r="O4032">
        <v>4.4473579999999999E-2</v>
      </c>
      <c r="P4032">
        <v>-0.99576529999999996</v>
      </c>
      <c r="Q4032">
        <v>-1.798025E-2</v>
      </c>
      <c r="R4032">
        <v>-9.0157399999999999E-2</v>
      </c>
      <c r="S4032">
        <v>-2.9990540000000001</v>
      </c>
      <c r="T4032">
        <v>-0.139074799999999</v>
      </c>
      <c r="U4032">
        <v>-0.12422179999999999</v>
      </c>
      <c r="V4032">
        <v>-0.1343337</v>
      </c>
      <c r="W4032">
        <v>-9.677738E-3</v>
      </c>
      <c r="X4032">
        <v>0.99088889999999996</v>
      </c>
      <c r="Y4032">
        <v>-8.5640380000000002E-2</v>
      </c>
      <c r="Z4032">
        <v>-4.0304909999999998E-3</v>
      </c>
      <c r="AA4032">
        <v>0.99631800000000004</v>
      </c>
      <c r="AB4032">
        <v>30</v>
      </c>
      <c r="AC4032">
        <v>-23.612400000000001</v>
      </c>
      <c r="AD4032">
        <v>-1.1097577721980001</v>
      </c>
      <c r="AE4032">
        <v>-1.0044999999999999</v>
      </c>
      <c r="AF4032">
        <v>-2.04915540642236</v>
      </c>
      <c r="AG4032">
        <v>-1.1097577721980001</v>
      </c>
      <c r="AH4032">
        <v>23.4925608240762</v>
      </c>
      <c r="AI4032">
        <v>92.694351788795402</v>
      </c>
      <c r="AJ4032">
        <v>94.9850482392998</v>
      </c>
      <c r="AK4032">
        <v>23.607859163116501</v>
      </c>
      <c r="AL4032">
        <v>90.554502194712498</v>
      </c>
      <c r="AM4032">
        <v>97.720456466647704</v>
      </c>
      <c r="AN4032">
        <v>1.0000000068558399</v>
      </c>
    </row>
    <row r="4033" spans="1:40" x14ac:dyDescent="0.25">
      <c r="A4033" t="str">
        <f>"20190305135314984"</f>
        <v>20190305135314984</v>
      </c>
      <c r="B4033" t="str">
        <f>"1551765194974134"</f>
        <v>1551765194974134</v>
      </c>
      <c r="C4033" t="s">
        <v>40</v>
      </c>
      <c r="D4033">
        <v>4.552041</v>
      </c>
      <c r="E4033">
        <v>0.51763700000000001</v>
      </c>
      <c r="F4033" t="s">
        <v>42</v>
      </c>
      <c r="G4033">
        <v>-263.27199999999999</v>
      </c>
      <c r="H4033" s="1">
        <v>-3.0933009999999999E-6</v>
      </c>
      <c r="I4033">
        <v>140.4606</v>
      </c>
      <c r="J4033">
        <v>-240.65780000000001</v>
      </c>
      <c r="K4033">
        <v>1.109829</v>
      </c>
      <c r="L4033">
        <v>141.43190000000001</v>
      </c>
      <c r="M4033">
        <v>-0.99902860000000004</v>
      </c>
      <c r="N4033">
        <v>-8.6859910000000005E-3</v>
      </c>
      <c r="O4033">
        <v>4.3204489999999998E-2</v>
      </c>
      <c r="P4033">
        <v>-0.99570239999999999</v>
      </c>
      <c r="Q4033">
        <v>-2.1037279999999998E-2</v>
      </c>
      <c r="R4033">
        <v>-9.0191759999999996E-2</v>
      </c>
      <c r="S4033">
        <v>-2.998764</v>
      </c>
      <c r="T4033">
        <v>-0.14537809999999901</v>
      </c>
      <c r="U4033">
        <v>-0.12576289999999901</v>
      </c>
      <c r="V4033">
        <v>-0.13309670000000001</v>
      </c>
      <c r="W4033">
        <v>-1.275776E-2</v>
      </c>
      <c r="X4033">
        <v>0.99102089999999998</v>
      </c>
      <c r="Y4033">
        <v>-8.4878930000000005E-2</v>
      </c>
      <c r="Z4033">
        <v>-4.1418059999999996E-3</v>
      </c>
      <c r="AA4033">
        <v>0.99638269999999995</v>
      </c>
      <c r="AB4033">
        <v>30</v>
      </c>
      <c r="AC4033">
        <v>-22.614199999999901</v>
      </c>
      <c r="AD4033">
        <v>-1.109832093301</v>
      </c>
      <c r="AE4033">
        <v>-0.97130000000001304</v>
      </c>
      <c r="AF4033">
        <v>-1.94279404881547</v>
      </c>
      <c r="AG4033">
        <v>-1.109832093301</v>
      </c>
      <c r="AH4033">
        <v>22.497031298407901</v>
      </c>
      <c r="AI4033">
        <v>92.813791784427707</v>
      </c>
      <c r="AJ4033">
        <v>94.935691982752203</v>
      </c>
      <c r="AK4033">
        <v>22.608020550967701</v>
      </c>
      <c r="AL4033">
        <v>90.730985664832303</v>
      </c>
      <c r="AM4033">
        <v>97.6492022075889</v>
      </c>
      <c r="AN4033">
        <v>0.99999995811395703</v>
      </c>
    </row>
    <row r="4034" spans="1:40" x14ac:dyDescent="0.25">
      <c r="A4034" t="str">
        <f>"20190305135315007"</f>
        <v>20190305135315007</v>
      </c>
      <c r="B4034" t="str">
        <f>"1551765195004390"</f>
        <v>1551765195004390</v>
      </c>
      <c r="C4034" t="s">
        <v>40</v>
      </c>
      <c r="D4034">
        <v>4.5407400000000004</v>
      </c>
      <c r="E4034">
        <v>0.5177273</v>
      </c>
      <c r="F4034" t="s">
        <v>42</v>
      </c>
      <c r="G4034">
        <v>-262.53339999999997</v>
      </c>
      <c r="H4034" s="1">
        <v>-3.4264529999999999E-6</v>
      </c>
      <c r="I4034">
        <v>140.52189999999999</v>
      </c>
      <c r="J4034">
        <v>-240.95529999999999</v>
      </c>
      <c r="K4034">
        <v>1.109912</v>
      </c>
      <c r="L4034">
        <v>141.44329999999999</v>
      </c>
      <c r="M4034">
        <v>-0.99909170000000003</v>
      </c>
      <c r="N4034">
        <v>-8.6901189999999996E-3</v>
      </c>
      <c r="O4034">
        <v>4.1718270000000002E-2</v>
      </c>
      <c r="P4034">
        <v>-0.99562580000000001</v>
      </c>
      <c r="Q4034">
        <v>-2.478085E-2</v>
      </c>
      <c r="R4034">
        <v>-9.0087760000000003E-2</v>
      </c>
      <c r="S4034">
        <v>-2.9984440000000001</v>
      </c>
      <c r="T4034">
        <v>-0.15212329999999999</v>
      </c>
      <c r="U4034">
        <v>-0.1247253</v>
      </c>
      <c r="V4034">
        <v>-0.13150200000000001</v>
      </c>
      <c r="W4034">
        <v>-1.6525419999999999E-2</v>
      </c>
      <c r="X4034">
        <v>0.99117820000000001</v>
      </c>
      <c r="Y4034">
        <v>-8.3046610000000007E-2</v>
      </c>
      <c r="Z4034">
        <v>-4.2177309999999997E-3</v>
      </c>
      <c r="AA4034">
        <v>0.99653670000000005</v>
      </c>
      <c r="AB4034">
        <v>30</v>
      </c>
      <c r="AC4034">
        <v>-21.5780999999999</v>
      </c>
      <c r="AD4034">
        <v>-1.109915426453</v>
      </c>
      <c r="AE4034">
        <v>-0.92140000000000499</v>
      </c>
      <c r="AF4034">
        <v>-1.81603662090874</v>
      </c>
      <c r="AG4034">
        <v>-1.109915426453</v>
      </c>
      <c r="AH4034">
        <v>21.464186220306601</v>
      </c>
      <c r="AI4034">
        <v>92.949614694457495</v>
      </c>
      <c r="AJ4034">
        <v>94.836149439856896</v>
      </c>
      <c r="AK4034">
        <v>21.569450418644401</v>
      </c>
      <c r="AL4034">
        <v>90.946879878722797</v>
      </c>
      <c r="AM4034">
        <v>97.557433455997696</v>
      </c>
      <c r="AN4034">
        <v>1.0000000448327</v>
      </c>
    </row>
    <row r="4035" spans="1:40" x14ac:dyDescent="0.25">
      <c r="A4035" t="str">
        <f>"20190305135315030"</f>
        <v>20190305135315030</v>
      </c>
      <c r="B4035" t="str">
        <f>"1551765195023910"</f>
        <v>1551765195023910</v>
      </c>
      <c r="C4035" t="s">
        <v>40</v>
      </c>
      <c r="D4035">
        <v>4.4934620000000001</v>
      </c>
      <c r="E4035">
        <v>0.51765059999999996</v>
      </c>
      <c r="F4035" t="s">
        <v>42</v>
      </c>
      <c r="G4035">
        <v>-261.67579999999998</v>
      </c>
      <c r="H4035" s="1">
        <v>-3.811437E-6</v>
      </c>
      <c r="I4035">
        <v>140.58609999999999</v>
      </c>
      <c r="J4035">
        <v>-241.27090000000001</v>
      </c>
      <c r="K4035">
        <v>1.1099950000000001</v>
      </c>
      <c r="L4035">
        <v>141.4547</v>
      </c>
      <c r="M4035">
        <v>-0.99916170000000004</v>
      </c>
      <c r="N4035">
        <v>-8.6947250000000004E-3</v>
      </c>
      <c r="O4035">
        <v>4.0006229999999997E-2</v>
      </c>
      <c r="P4035">
        <v>-0.99555499999999997</v>
      </c>
      <c r="Q4035">
        <v>-2.8452000000000002E-2</v>
      </c>
      <c r="R4035">
        <v>-8.9783680000000005E-2</v>
      </c>
      <c r="S4035">
        <v>-2.997986</v>
      </c>
      <c r="T4035">
        <v>-0.1605906</v>
      </c>
      <c r="U4035">
        <v>-0.1240082</v>
      </c>
      <c r="V4035">
        <v>-0.12948229999999999</v>
      </c>
      <c r="W4035">
        <v>-2.0219129999999998E-2</v>
      </c>
      <c r="X4035">
        <v>0.99137560000000002</v>
      </c>
      <c r="Y4035">
        <v>-8.1093810000000002E-2</v>
      </c>
      <c r="Z4035">
        <v>-4.3155119999999996E-3</v>
      </c>
      <c r="AA4035">
        <v>0.9966971</v>
      </c>
      <c r="AB4035">
        <v>30</v>
      </c>
      <c r="AC4035">
        <v>-20.404899999999898</v>
      </c>
      <c r="AD4035">
        <v>-1.1099988114370001</v>
      </c>
      <c r="AE4035">
        <v>-0.86860000000001403</v>
      </c>
      <c r="AF4035">
        <v>-1.6792980613622801</v>
      </c>
      <c r="AG4035">
        <v>-1.1099988114370001</v>
      </c>
      <c r="AH4035">
        <v>20.293867269507899</v>
      </c>
      <c r="AI4035">
        <v>93.120102857387096</v>
      </c>
      <c r="AJ4035">
        <v>94.730393499825198</v>
      </c>
      <c r="AK4035">
        <v>20.393459443966101</v>
      </c>
      <c r="AL4035">
        <v>91.158549727505701</v>
      </c>
      <c r="AM4035">
        <v>97.4412070202942</v>
      </c>
      <c r="AN4035">
        <v>1.0000000297533</v>
      </c>
    </row>
    <row r="4036" spans="1:40" x14ac:dyDescent="0.25">
      <c r="A4036" t="str">
        <f>"20190305135315054"</f>
        <v>20190305135315054</v>
      </c>
      <c r="B4036" t="str">
        <f>"1551765195044409"</f>
        <v>1551765195044409</v>
      </c>
      <c r="C4036" t="s">
        <v>40</v>
      </c>
      <c r="D4036">
        <v>4.5283350000000002</v>
      </c>
      <c r="E4036">
        <v>0.51771239999999996</v>
      </c>
      <c r="F4036" t="s">
        <v>42</v>
      </c>
      <c r="G4036">
        <v>-260.59930000000003</v>
      </c>
      <c r="H4036" s="1">
        <v>-4.2567339999999999E-6</v>
      </c>
      <c r="I4036">
        <v>140.65729999999999</v>
      </c>
      <c r="J4036">
        <v>-241.5838</v>
      </c>
      <c r="K4036">
        <v>1.110063</v>
      </c>
      <c r="L4036">
        <v>141.46549999999999</v>
      </c>
      <c r="M4036">
        <v>-0.99923220000000001</v>
      </c>
      <c r="N4036">
        <v>-8.6990460000000002E-3</v>
      </c>
      <c r="O4036">
        <v>3.8199520000000001E-2</v>
      </c>
      <c r="P4036">
        <v>-0.99556199999999995</v>
      </c>
      <c r="Q4036">
        <v>-3.1524280000000002E-2</v>
      </c>
      <c r="R4036">
        <v>-8.8671079999999999E-2</v>
      </c>
      <c r="S4036">
        <v>-2.9973139999999998</v>
      </c>
      <c r="T4036">
        <v>-0.1721308</v>
      </c>
      <c r="U4036">
        <v>-0.12365719999999999</v>
      </c>
      <c r="V4036">
        <v>-0.1265636</v>
      </c>
      <c r="W4036">
        <v>-2.330517E-2</v>
      </c>
      <c r="X4036">
        <v>0.99168469999999997</v>
      </c>
      <c r="Y4036">
        <v>-7.9164070000000003E-2</v>
      </c>
      <c r="Z4036">
        <v>-4.4742039999999999E-3</v>
      </c>
      <c r="AA4036">
        <v>0.99685159999999995</v>
      </c>
      <c r="AB4036">
        <v>30</v>
      </c>
      <c r="AC4036">
        <v>-19.015499999999999</v>
      </c>
      <c r="AD4036">
        <v>-1.110067256734</v>
      </c>
      <c r="AE4036">
        <v>-0.80819999999999903</v>
      </c>
      <c r="AF4036">
        <v>-1.5288199566890199</v>
      </c>
      <c r="AG4036">
        <v>-1.110067256734</v>
      </c>
      <c r="AH4036">
        <v>18.906431628613401</v>
      </c>
      <c r="AI4036">
        <v>93.349284494032204</v>
      </c>
      <c r="AJ4036">
        <v>94.623017102476794</v>
      </c>
      <c r="AK4036">
        <v>19.000597272240601</v>
      </c>
      <c r="AL4036">
        <v>91.335408770720804</v>
      </c>
      <c r="AM4036">
        <v>97.273046657655897</v>
      </c>
      <c r="AN4036">
        <v>1.0000000100038799</v>
      </c>
    </row>
    <row r="4037" spans="1:40" x14ac:dyDescent="0.25">
      <c r="A4037" t="str">
        <f>"20190305135315074"</f>
        <v>20190305135315074</v>
      </c>
      <c r="B4037" t="str">
        <f>"1551765195063929"</f>
        <v>1551765195063929</v>
      </c>
      <c r="C4037" t="s">
        <v>40</v>
      </c>
      <c r="D4037">
        <v>4.4983259999999996</v>
      </c>
      <c r="E4037">
        <v>0.51769350000000003</v>
      </c>
      <c r="F4037" t="s">
        <v>42</v>
      </c>
      <c r="G4037">
        <v>-259.94569999999999</v>
      </c>
      <c r="H4037" s="1">
        <v>-3.0205300000000001E-7</v>
      </c>
      <c r="I4037">
        <v>140.7304</v>
      </c>
      <c r="J4037">
        <v>-241.86609999999999</v>
      </c>
      <c r="K4037">
        <v>1.1101299999999901</v>
      </c>
      <c r="L4037">
        <v>141.47460000000001</v>
      </c>
      <c r="M4037">
        <v>-0.99929670000000004</v>
      </c>
      <c r="N4037">
        <v>-8.7028850000000005E-3</v>
      </c>
      <c r="O4037">
        <v>3.6475809999999997E-2</v>
      </c>
      <c r="P4037">
        <v>-0.99565760000000003</v>
      </c>
      <c r="Q4037">
        <v>-3.2186390000000002E-2</v>
      </c>
      <c r="R4037">
        <v>-8.7350449999999996E-2</v>
      </c>
      <c r="S4037">
        <v>-2.9969480000000002</v>
      </c>
      <c r="T4037">
        <v>-0.1811798</v>
      </c>
      <c r="U4037">
        <v>-0.1199646</v>
      </c>
      <c r="V4037">
        <v>-0.12353</v>
      </c>
      <c r="W4037">
        <v>-2.3974269999999999E-2</v>
      </c>
      <c r="X4037">
        <v>0.99205120000000002</v>
      </c>
      <c r="Y4037">
        <v>-7.6210520000000004E-2</v>
      </c>
      <c r="Z4037">
        <v>-4.517943E-3</v>
      </c>
      <c r="AA4037">
        <v>0.99708149999999995</v>
      </c>
      <c r="AB4037">
        <v>30</v>
      </c>
      <c r="AC4037">
        <v>-18.079599999999999</v>
      </c>
      <c r="AD4037">
        <v>-1.11013030205299</v>
      </c>
      <c r="AE4037">
        <v>-0.74420000000000597</v>
      </c>
      <c r="AF4037">
        <v>-1.3979360600255</v>
      </c>
      <c r="AG4037">
        <v>-1.11013030205299</v>
      </c>
      <c r="AH4037">
        <v>17.9727741921409</v>
      </c>
      <c r="AI4037">
        <v>93.523900491653293</v>
      </c>
      <c r="AJ4037">
        <v>94.447554767579106</v>
      </c>
      <c r="AK4037">
        <v>18.0612077856699</v>
      </c>
      <c r="AL4037">
        <v>91.373756100476797</v>
      </c>
      <c r="AM4037">
        <v>97.097923632399898</v>
      </c>
      <c r="AN4037">
        <v>1.0000000049717299</v>
      </c>
    </row>
    <row r="4038" spans="1:40" x14ac:dyDescent="0.25">
      <c r="A4038" t="str">
        <f>"20190305135315096"</f>
        <v>20190305135315096</v>
      </c>
      <c r="B4038" t="str">
        <f>"1551765195084426"</f>
        <v>1551765195084426</v>
      </c>
      <c r="C4038" t="s">
        <v>40</v>
      </c>
      <c r="D4038">
        <v>4.5187540000000004</v>
      </c>
      <c r="E4038">
        <v>0.51765050000000001</v>
      </c>
      <c r="F4038" t="s">
        <v>42</v>
      </c>
      <c r="G4038">
        <v>-260.13690000000003</v>
      </c>
      <c r="H4038" s="1">
        <v>-4.4332880000000001E-6</v>
      </c>
      <c r="I4038">
        <v>140.7655</v>
      </c>
      <c r="J4038">
        <v>-242.15129999999999</v>
      </c>
      <c r="K4038">
        <v>1.110206</v>
      </c>
      <c r="L4038">
        <v>141.48320000000001</v>
      </c>
      <c r="M4038">
        <v>-0.99936179999999997</v>
      </c>
      <c r="N4038">
        <v>-8.7070859999999993E-3</v>
      </c>
      <c r="O4038">
        <v>3.4640919999999999E-2</v>
      </c>
      <c r="P4038">
        <v>-0.99573069999999997</v>
      </c>
      <c r="Q4038">
        <v>-3.085355E-2</v>
      </c>
      <c r="R4038">
        <v>-8.6995790000000003E-2</v>
      </c>
      <c r="S4038">
        <v>-2.9969939999999999</v>
      </c>
      <c r="T4038">
        <v>-0.18209719999999999</v>
      </c>
      <c r="U4038">
        <v>-0.1163025</v>
      </c>
      <c r="V4038">
        <v>-0.1213569</v>
      </c>
      <c r="W4038">
        <v>-2.2650420000000001E-2</v>
      </c>
      <c r="X4038">
        <v>0.99235050000000002</v>
      </c>
      <c r="Y4038">
        <v>-7.3169159999999997E-2</v>
      </c>
      <c r="Z4038">
        <v>-4.3398220000000001E-3</v>
      </c>
      <c r="AA4038">
        <v>0.99731009999999998</v>
      </c>
      <c r="AB4038">
        <v>30</v>
      </c>
      <c r="AC4038">
        <v>-17.985600000000002</v>
      </c>
      <c r="AD4038">
        <v>-1.1102104332879901</v>
      </c>
      <c r="AE4038">
        <v>-0.717700000000007</v>
      </c>
      <c r="AF4038">
        <v>-1.33525099090457</v>
      </c>
      <c r="AG4038">
        <v>-1.1102104332879901</v>
      </c>
      <c r="AH4038">
        <v>17.881914523288899</v>
      </c>
      <c r="AI4038">
        <v>93.542848167620406</v>
      </c>
      <c r="AJ4038">
        <v>94.270377891838606</v>
      </c>
      <c r="AK4038">
        <v>17.966032657019799</v>
      </c>
      <c r="AL4038">
        <v>91.297884429679897</v>
      </c>
      <c r="AM4038">
        <v>96.972217035722096</v>
      </c>
      <c r="AN4038">
        <v>1.0000000267770099</v>
      </c>
    </row>
    <row r="4039" spans="1:40" x14ac:dyDescent="0.25">
      <c r="A4039" t="str">
        <f>"20190305135315110"</f>
        <v>20190305135315110</v>
      </c>
      <c r="B4039" t="str">
        <f>"1551765195103943"</f>
        <v>1551765195103943</v>
      </c>
      <c r="C4039" t="s">
        <v>40</v>
      </c>
      <c r="D4039">
        <v>4.4994990000000001</v>
      </c>
      <c r="E4039">
        <v>0.51770470000000002</v>
      </c>
      <c r="F4039" t="s">
        <v>42</v>
      </c>
      <c r="G4039">
        <v>-260.96420000000001</v>
      </c>
      <c r="H4039" s="1">
        <v>-4.1502550000000001E-6</v>
      </c>
      <c r="I4039">
        <v>140.7569</v>
      </c>
      <c r="J4039">
        <v>-242.34620000000001</v>
      </c>
      <c r="K4039">
        <v>1.110263</v>
      </c>
      <c r="L4039">
        <v>141.4888</v>
      </c>
      <c r="M4039">
        <v>-0.99940629999999997</v>
      </c>
      <c r="N4039">
        <v>-8.7101519999999901E-3</v>
      </c>
      <c r="O4039">
        <v>3.3337440000000003E-2</v>
      </c>
      <c r="P4039">
        <v>-0.995703</v>
      </c>
      <c r="Q4039">
        <v>-3.0303299999999998E-2</v>
      </c>
      <c r="R4039">
        <v>-8.7508119999999995E-2</v>
      </c>
      <c r="S4039">
        <v>-2.9972690000000002</v>
      </c>
      <c r="T4039">
        <v>-0.1768796</v>
      </c>
      <c r="U4039">
        <v>-0.1157074</v>
      </c>
      <c r="V4039">
        <v>-0.12057329999999999</v>
      </c>
      <c r="W4039">
        <v>-2.2109400000000001E-2</v>
      </c>
      <c r="X4039">
        <v>0.99245819999999996</v>
      </c>
      <c r="Y4039">
        <v>-7.1682919999999997E-2</v>
      </c>
      <c r="Z4039">
        <v>-4.1000430000000003E-3</v>
      </c>
      <c r="AA4039">
        <v>0.9974191</v>
      </c>
      <c r="AB4039">
        <v>30</v>
      </c>
      <c r="AC4039">
        <v>-18.617999999999899</v>
      </c>
      <c r="AD4039">
        <v>-1.1102671502549999</v>
      </c>
      <c r="AE4039">
        <v>-0.731899999999996</v>
      </c>
      <c r="AF4039">
        <v>-1.34740879316953</v>
      </c>
      <c r="AG4039">
        <v>-1.1102671502549999</v>
      </c>
      <c r="AH4039">
        <v>18.517499125806001</v>
      </c>
      <c r="AI4039">
        <v>93.422190920870406</v>
      </c>
      <c r="AJ4039">
        <v>94.161740110234405</v>
      </c>
      <c r="AK4039">
        <v>18.599623046585499</v>
      </c>
      <c r="AL4039">
        <v>91.266878519803996</v>
      </c>
      <c r="AM4039">
        <v>96.926891930722803</v>
      </c>
      <c r="AN4039">
        <v>1.0000000124942401</v>
      </c>
    </row>
    <row r="4040" spans="1:40" x14ac:dyDescent="0.25">
      <c r="A4040" t="str">
        <f>"20190305135315131"</f>
        <v>20190305135315131</v>
      </c>
      <c r="B4040" t="str">
        <f>"1551765195124438"</f>
        <v>1551765195124438</v>
      </c>
      <c r="C4040" t="s">
        <v>40</v>
      </c>
      <c r="D4040">
        <v>4.5333889999999997</v>
      </c>
      <c r="E4040">
        <v>0.51774940000000003</v>
      </c>
      <c r="F4040" t="s">
        <v>42</v>
      </c>
      <c r="G4040">
        <v>-261.57600000000002</v>
      </c>
      <c r="H4040" s="1">
        <v>-3.8948810000000003E-6</v>
      </c>
      <c r="I4040">
        <v>140.7389</v>
      </c>
      <c r="J4040">
        <v>-242.62360000000001</v>
      </c>
      <c r="K4040">
        <v>1.110341</v>
      </c>
      <c r="L4040">
        <v>141.49619999999999</v>
      </c>
      <c r="M4040">
        <v>-0.99946869999999999</v>
      </c>
      <c r="N4040">
        <v>-8.7146900000000006E-3</v>
      </c>
      <c r="O4040">
        <v>3.1409579999999999E-2</v>
      </c>
      <c r="P4040">
        <v>-0.99572620000000001</v>
      </c>
      <c r="Q4040">
        <v>-2.9331340000000001E-2</v>
      </c>
      <c r="R4040">
        <v>-8.7575910000000007E-2</v>
      </c>
      <c r="S4040">
        <v>-2.9974210000000001</v>
      </c>
      <c r="T4040">
        <v>-0.17306150000000001</v>
      </c>
      <c r="U4040">
        <v>-0.11688229999999999</v>
      </c>
      <c r="V4040">
        <v>-0.1187271</v>
      </c>
      <c r="W4040">
        <v>-2.11469E-2</v>
      </c>
      <c r="X4040">
        <v>0.99270170000000002</v>
      </c>
      <c r="Y4040">
        <v>-7.016037E-2</v>
      </c>
      <c r="Z4040">
        <v>-3.8670150000000001E-3</v>
      </c>
      <c r="AA4040">
        <v>0.99752830000000003</v>
      </c>
      <c r="AB4040">
        <v>30</v>
      </c>
      <c r="AC4040">
        <v>-18.952399999999901</v>
      </c>
      <c r="AD4040">
        <v>-1.110344894881</v>
      </c>
      <c r="AE4040">
        <v>-0.75729999999998598</v>
      </c>
      <c r="AF4040">
        <v>-1.3476177138888099</v>
      </c>
      <c r="AG4040">
        <v>-1.110344894881</v>
      </c>
      <c r="AH4040">
        <v>18.854648785722599</v>
      </c>
      <c r="AI4040">
        <v>93.361683769947703</v>
      </c>
      <c r="AJ4040">
        <v>94.088208077017399</v>
      </c>
      <c r="AK4040">
        <v>18.935329944876202</v>
      </c>
      <c r="AL4040">
        <v>91.211718454516202</v>
      </c>
      <c r="AM4040">
        <v>96.820178044709706</v>
      </c>
      <c r="AN4040">
        <v>0.999999990418455</v>
      </c>
    </row>
    <row r="4041" spans="1:40" x14ac:dyDescent="0.25">
      <c r="A4041" t="str">
        <f>"20190305135315154"</f>
        <v>20190305135315154</v>
      </c>
      <c r="B4041" t="str">
        <f>"1551765195143958"</f>
        <v>1551765195143958</v>
      </c>
      <c r="C4041" t="s">
        <v>40</v>
      </c>
      <c r="D4041">
        <v>4.4691900000000002</v>
      </c>
      <c r="E4041">
        <v>0.51860509999999904</v>
      </c>
      <c r="F4041" t="s">
        <v>42</v>
      </c>
      <c r="G4041">
        <v>-262.29020000000003</v>
      </c>
      <c r="H4041" s="1">
        <v>-3.5860559999999999E-6</v>
      </c>
      <c r="I4041">
        <v>140.72970000000001</v>
      </c>
      <c r="J4041">
        <v>-242.9487</v>
      </c>
      <c r="K4041">
        <v>1.1104259999999999</v>
      </c>
      <c r="L4041">
        <v>141.50399999999999</v>
      </c>
      <c r="M4041">
        <v>-0.99953990000000004</v>
      </c>
      <c r="N4041">
        <v>-8.7200639999999996E-3</v>
      </c>
      <c r="O4041">
        <v>2.9050070000000001E-2</v>
      </c>
      <c r="P4041">
        <v>-0.99561920000000004</v>
      </c>
      <c r="Q4041">
        <v>-2.9691019999999999E-2</v>
      </c>
      <c r="R4041">
        <v>-8.8662939999999996E-2</v>
      </c>
      <c r="S4041">
        <v>-2.99762</v>
      </c>
      <c r="T4041">
        <v>-0.1692408</v>
      </c>
      <c r="U4041">
        <v>-0.1168213</v>
      </c>
      <c r="V4041">
        <v>-0.1174608</v>
      </c>
      <c r="W4041">
        <v>-2.1521809999999999E-2</v>
      </c>
      <c r="X4041">
        <v>0.99284430000000001</v>
      </c>
      <c r="Y4041">
        <v>-6.7796930000000005E-2</v>
      </c>
      <c r="Z4041">
        <v>-3.5927989999999998E-3</v>
      </c>
      <c r="AA4041">
        <v>0.99769260000000004</v>
      </c>
      <c r="AB4041">
        <v>30</v>
      </c>
      <c r="AC4041">
        <v>-19.3415</v>
      </c>
      <c r="AD4041">
        <v>-1.1104295860559901</v>
      </c>
      <c r="AE4041">
        <v>-0.774299999999982</v>
      </c>
      <c r="AF4041">
        <v>-1.3314847934593701</v>
      </c>
      <c r="AG4041">
        <v>-1.1104295860559901</v>
      </c>
      <c r="AH4041">
        <v>19.247501744221999</v>
      </c>
      <c r="AI4041">
        <v>93.294001308043093</v>
      </c>
      <c r="AJ4041">
        <v>93.957246846643898</v>
      </c>
      <c r="AK4041">
        <v>19.3254295945687</v>
      </c>
      <c r="AL4041">
        <v>91.2332040742684</v>
      </c>
      <c r="AM4041">
        <v>96.747150611432204</v>
      </c>
      <c r="AN4041">
        <v>1.0000000159424001</v>
      </c>
    </row>
    <row r="4042" spans="1:40" x14ac:dyDescent="0.25">
      <c r="A4042" t="str">
        <f>"20190305135315176"</f>
        <v>20190305135315176</v>
      </c>
      <c r="B4042" t="str">
        <f>"1551765195164454"</f>
        <v>1551765195164454</v>
      </c>
      <c r="C4042" t="s">
        <v>40</v>
      </c>
      <c r="D4042">
        <v>4.4439449999999896</v>
      </c>
      <c r="E4042">
        <v>0.54307260000000002</v>
      </c>
      <c r="F4042" t="s">
        <v>42</v>
      </c>
      <c r="G4042">
        <v>-262.63560000000001</v>
      </c>
      <c r="H4042" s="1">
        <v>-3.4456789999999999E-6</v>
      </c>
      <c r="I4042">
        <v>140.75899999999999</v>
      </c>
      <c r="J4042">
        <v>-243.24029999999999</v>
      </c>
      <c r="K4042">
        <v>1.1105039999999999</v>
      </c>
      <c r="L4042">
        <v>141.5103</v>
      </c>
      <c r="M4042">
        <v>-0.99960150000000003</v>
      </c>
      <c r="N4042">
        <v>-8.7248869999999902E-3</v>
      </c>
      <c r="O4042">
        <v>2.6848960000000002E-2</v>
      </c>
      <c r="P4042">
        <v>-0.9954731</v>
      </c>
      <c r="Q4042">
        <v>-3.0210710000000002E-2</v>
      </c>
      <c r="R4042">
        <v>-9.0115849999999997E-2</v>
      </c>
      <c r="S4042">
        <v>-2.9980929999999999</v>
      </c>
      <c r="T4042">
        <v>-0.16910620000000001</v>
      </c>
      <c r="U4042">
        <v>-0.1134491</v>
      </c>
      <c r="V4042">
        <v>-0.1167171</v>
      </c>
      <c r="W4042">
        <v>-2.2056180000000002E-2</v>
      </c>
      <c r="X4042">
        <v>0.99292029999999998</v>
      </c>
      <c r="Y4042">
        <v>-6.4481810000000001E-2</v>
      </c>
      <c r="Z4042">
        <v>-3.3768140000000001E-3</v>
      </c>
      <c r="AA4042">
        <v>0.99791319999999994</v>
      </c>
      <c r="AB4042">
        <v>30</v>
      </c>
      <c r="AC4042">
        <v>-19.395299999999999</v>
      </c>
      <c r="AD4042">
        <v>-1.1105074456790001</v>
      </c>
      <c r="AE4042">
        <v>-0.75130000000001396</v>
      </c>
      <c r="AF4042">
        <v>-1.2676430537679999</v>
      </c>
      <c r="AG4042">
        <v>-1.1105074456790001</v>
      </c>
      <c r="AH4042">
        <v>19.3049423510782</v>
      </c>
      <c r="AI4042">
        <v>93.285224237820401</v>
      </c>
      <c r="AJ4042">
        <v>93.756886484724404</v>
      </c>
      <c r="AK4042">
        <v>19.378362801772699</v>
      </c>
      <c r="AL4042">
        <v>91.263828460771904</v>
      </c>
      <c r="AM4042">
        <v>96.7043128278426</v>
      </c>
      <c r="AN4042">
        <v>1.0000000393303401</v>
      </c>
    </row>
    <row r="4043" spans="1:40" x14ac:dyDescent="0.25">
      <c r="A4043" t="str">
        <f>"20190305135315196"</f>
        <v>20190305135315196</v>
      </c>
      <c r="B4043" t="str">
        <f>"1551765195183974"</f>
        <v>1551765195183974</v>
      </c>
      <c r="C4043" t="s">
        <v>40</v>
      </c>
      <c r="D4043">
        <v>4.4596710000000002</v>
      </c>
      <c r="E4043">
        <v>0.54300819999999905</v>
      </c>
      <c r="F4043" t="s">
        <v>42</v>
      </c>
      <c r="G4043">
        <v>-263.37369999999999</v>
      </c>
      <c r="H4043" s="1">
        <v>-3.4647449999999998E-6</v>
      </c>
      <c r="I4043">
        <v>142.0206</v>
      </c>
      <c r="J4043">
        <v>-243.52170000000001</v>
      </c>
      <c r="K4043">
        <v>1.1105769999999999</v>
      </c>
      <c r="L4043">
        <v>141.51570000000001</v>
      </c>
      <c r="M4043">
        <v>-0.99965809999999999</v>
      </c>
      <c r="N4043">
        <v>-8.7296890000000005E-3</v>
      </c>
      <c r="O4043">
        <v>2.4644449999999998E-2</v>
      </c>
      <c r="P4043">
        <v>-0.99531959999999997</v>
      </c>
      <c r="Q4043">
        <v>-3.060336E-2</v>
      </c>
      <c r="R4043">
        <v>-9.1663460000000002E-2</v>
      </c>
      <c r="S4043">
        <v>-3.015533</v>
      </c>
      <c r="T4043">
        <v>-0.16632939999999999</v>
      </c>
      <c r="U4043">
        <v>7.6446529999999999E-2</v>
      </c>
      <c r="V4043">
        <v>-0.116065</v>
      </c>
      <c r="W4043">
        <v>-2.2462409999999999E-2</v>
      </c>
      <c r="X4043">
        <v>0.99298759999999997</v>
      </c>
      <c r="Y4043">
        <v>7.2284009999999904E-4</v>
      </c>
      <c r="Z4043">
        <v>-1.1197889999999999E-3</v>
      </c>
      <c r="AA4043">
        <v>0.99999910000000003</v>
      </c>
      <c r="AB4043">
        <v>31</v>
      </c>
      <c r="AC4043">
        <v>-19.851999999999901</v>
      </c>
      <c r="AD4043">
        <v>-1.1105804647449999</v>
      </c>
      <c r="AE4043">
        <v>0.50489999999999202</v>
      </c>
      <c r="AF4043">
        <v>1.5438060349122E-2</v>
      </c>
      <c r="AG4043">
        <v>-1.1105804647449999</v>
      </c>
      <c r="AH4043">
        <v>19.796498081630599</v>
      </c>
      <c r="AI4043">
        <v>93.210917711501693</v>
      </c>
      <c r="AJ4043">
        <v>89.955318586200605</v>
      </c>
      <c r="AK4043">
        <v>19.827631315877898</v>
      </c>
      <c r="AL4043">
        <v>91.287109531988307</v>
      </c>
      <c r="AM4043">
        <v>96.666746088175898</v>
      </c>
      <c r="AN4043">
        <v>1.00000000892088</v>
      </c>
    </row>
    <row r="4044" spans="1:40" x14ac:dyDescent="0.25">
      <c r="A4044" t="str">
        <f>"20190305135315220"</f>
        <v>20190305135315220</v>
      </c>
      <c r="B4044" t="str">
        <f>"1551765195214230"</f>
        <v>1551765195214230</v>
      </c>
      <c r="C4044" t="s">
        <v>40</v>
      </c>
      <c r="D4044">
        <v>4.4379790000000003</v>
      </c>
      <c r="E4044">
        <v>0.54245469999999996</v>
      </c>
      <c r="F4044" t="s">
        <v>42</v>
      </c>
      <c r="G4044">
        <v>-263.17079999999999</v>
      </c>
      <c r="H4044" s="1">
        <v>-3.5410219999999998E-6</v>
      </c>
      <c r="I4044">
        <v>141.9802</v>
      </c>
      <c r="J4044">
        <v>-243.8443</v>
      </c>
      <c r="K4044">
        <v>1.1106689999999999</v>
      </c>
      <c r="L4044">
        <v>141.52109999999999</v>
      </c>
      <c r="M4044">
        <v>-0.99971940000000004</v>
      </c>
      <c r="N4044">
        <v>-8.7353969999999902E-3</v>
      </c>
      <c r="O4044">
        <v>2.2021039999999999E-2</v>
      </c>
      <c r="P4044">
        <v>-0.99512970000000001</v>
      </c>
      <c r="Q4044">
        <v>-3.0171900000000001E-2</v>
      </c>
      <c r="R4044">
        <v>-9.3844819999999995E-2</v>
      </c>
      <c r="S4044">
        <v>-3.0154420000000002</v>
      </c>
      <c r="T4044">
        <v>-0.1704348</v>
      </c>
      <c r="U4044">
        <v>7.1289060000000001E-2</v>
      </c>
      <c r="V4044">
        <v>-0.11563279999999999</v>
      </c>
      <c r="W4044">
        <v>-2.2047150000000001E-2</v>
      </c>
      <c r="X4044">
        <v>0.99304729999999997</v>
      </c>
      <c r="Y4044">
        <v>1.635355E-3</v>
      </c>
      <c r="Z4044">
        <v>-9.9776550000000002E-4</v>
      </c>
      <c r="AA4044">
        <v>0.99999819999999995</v>
      </c>
      <c r="AB4044">
        <v>31</v>
      </c>
      <c r="AC4044">
        <v>-19.3264999999999</v>
      </c>
      <c r="AD4044">
        <v>-1.110672541022</v>
      </c>
      <c r="AE4044">
        <v>0.459100000000006</v>
      </c>
      <c r="AF4044">
        <v>3.32729909557384E-2</v>
      </c>
      <c r="AG4044">
        <v>-1.110672541022</v>
      </c>
      <c r="AH4044">
        <v>19.268322267833401</v>
      </c>
      <c r="AI4044">
        <v>93.299011341574499</v>
      </c>
      <c r="AJ4044">
        <v>89.901060402035398</v>
      </c>
      <c r="AK4044">
        <v>19.300335323573801</v>
      </c>
      <c r="AL4044">
        <v>91.263311028208307</v>
      </c>
      <c r="AM4044">
        <v>96.641747111410893</v>
      </c>
      <c r="AN4044">
        <v>0.99999998064812601</v>
      </c>
    </row>
    <row r="4045" spans="1:40" x14ac:dyDescent="0.25">
      <c r="A4045" t="str">
        <f>"20190305135315241"</f>
        <v>20190305135315241</v>
      </c>
      <c r="B4045" t="str">
        <f>"1551765195233754"</f>
        <v>1551765195233754</v>
      </c>
      <c r="C4045" t="s">
        <v>40</v>
      </c>
      <c r="D4045">
        <v>4.4365399999999999</v>
      </c>
      <c r="E4045">
        <v>0.54211200000000004</v>
      </c>
      <c r="F4045" t="s">
        <v>42</v>
      </c>
      <c r="G4045">
        <v>-263.88909999999998</v>
      </c>
      <c r="H4045" s="1">
        <v>-3.217165E-6</v>
      </c>
      <c r="I4045">
        <v>141.9212</v>
      </c>
      <c r="J4045">
        <v>-244.14019999999999</v>
      </c>
      <c r="K4045">
        <v>1.110735</v>
      </c>
      <c r="L4045">
        <v>141.52520000000001</v>
      </c>
      <c r="M4045">
        <v>-0.99977090000000002</v>
      </c>
      <c r="N4045">
        <v>-8.7406269999999904E-3</v>
      </c>
      <c r="O4045">
        <v>1.9535609999999998E-2</v>
      </c>
      <c r="P4045">
        <v>-0.99492979999999998</v>
      </c>
      <c r="Q4045">
        <v>-2.9302970000000001E-2</v>
      </c>
      <c r="R4045">
        <v>-9.6208420000000003E-2</v>
      </c>
      <c r="S4045">
        <v>-3.0152890000000001</v>
      </c>
      <c r="T4045">
        <v>-0.16707610000000001</v>
      </c>
      <c r="U4045">
        <v>6.019592E-2</v>
      </c>
      <c r="V4045">
        <v>-0.11552460000000001</v>
      </c>
      <c r="W4045">
        <v>-2.119323E-2</v>
      </c>
      <c r="X4045">
        <v>0.99307849999999998</v>
      </c>
      <c r="Y4045">
        <v>4.4376860000000003E-4</v>
      </c>
      <c r="Z4045">
        <v>-8.965485E-4</v>
      </c>
      <c r="AA4045">
        <v>0.99999950000000004</v>
      </c>
      <c r="AB4045">
        <v>31</v>
      </c>
      <c r="AC4045">
        <v>-19.7488999999999</v>
      </c>
      <c r="AD4045">
        <v>-1.110738217165</v>
      </c>
      <c r="AE4045">
        <v>0.39599999999998597</v>
      </c>
      <c r="AF4045">
        <v>1.0071009931772699E-2</v>
      </c>
      <c r="AG4045">
        <v>-1.110738217165</v>
      </c>
      <c r="AH4045">
        <v>19.690605403257901</v>
      </c>
      <c r="AI4045">
        <v>93.228607181014894</v>
      </c>
      <c r="AJ4045">
        <v>89.9706953492596</v>
      </c>
      <c r="AK4045">
        <v>19.7219112146648</v>
      </c>
      <c r="AL4045">
        <v>91.214373555437405</v>
      </c>
      <c r="AM4045">
        <v>96.635381125202599</v>
      </c>
      <c r="AN4045">
        <v>0.99999999668262096</v>
      </c>
    </row>
    <row r="4046" spans="1:40" x14ac:dyDescent="0.25">
      <c r="A4046" t="str">
        <f>"20190305135315264"</f>
        <v>20190305135315264</v>
      </c>
      <c r="B4046" t="str">
        <f>"1551765195254246"</f>
        <v>1551765195254246</v>
      </c>
      <c r="C4046" t="s">
        <v>40</v>
      </c>
      <c r="D4046">
        <v>4.4350559999999897</v>
      </c>
      <c r="E4046">
        <v>0.54201350000000004</v>
      </c>
      <c r="F4046" t="s">
        <v>42</v>
      </c>
      <c r="G4046">
        <v>-264.4984</v>
      </c>
      <c r="H4046" s="1">
        <v>-2.9406770000000001E-6</v>
      </c>
      <c r="I4046">
        <v>141.86439999999999</v>
      </c>
      <c r="J4046">
        <v>-244.44710000000001</v>
      </c>
      <c r="K4046">
        <v>1.1107990000000001</v>
      </c>
      <c r="L4046">
        <v>141.52860000000001</v>
      </c>
      <c r="M4046">
        <v>-0.99981909999999896</v>
      </c>
      <c r="N4046">
        <v>-8.7457899999999998E-3</v>
      </c>
      <c r="O4046">
        <v>1.6893760000000001E-2</v>
      </c>
      <c r="P4046">
        <v>-0.99472579999999999</v>
      </c>
      <c r="Q4046">
        <v>-2.8850190000000001E-2</v>
      </c>
      <c r="R4046">
        <v>-9.8431190000000002E-2</v>
      </c>
      <c r="S4046">
        <v>-3.01532</v>
      </c>
      <c r="T4046">
        <v>-0.16451550000000001</v>
      </c>
      <c r="U4046">
        <v>5.0247189999999997E-2</v>
      </c>
      <c r="V4046">
        <v>-0.1151184</v>
      </c>
      <c r="W4046">
        <v>-2.0751809999999999E-2</v>
      </c>
      <c r="X4046">
        <v>0.99313499999999999</v>
      </c>
      <c r="Y4046">
        <v>-2.147014E-4</v>
      </c>
      <c r="Z4046">
        <v>-7.8003929999999897E-4</v>
      </c>
      <c r="AA4046">
        <v>0.99999970000000005</v>
      </c>
      <c r="AB4046">
        <v>31</v>
      </c>
      <c r="AC4046">
        <v>-20.051300000000001</v>
      </c>
      <c r="AD4046">
        <v>-1.11080194067699</v>
      </c>
      <c r="AE4046">
        <v>0.33579999999997701</v>
      </c>
      <c r="AF4046">
        <v>-2.9935263933261701E-3</v>
      </c>
      <c r="AG4046">
        <v>-1.11080194067699</v>
      </c>
      <c r="AH4046">
        <v>19.992772021760398</v>
      </c>
      <c r="AI4046">
        <v>93.180094025684795</v>
      </c>
      <c r="AJ4046">
        <v>90.008578921758797</v>
      </c>
      <c r="AK4046">
        <v>20.0236066438266</v>
      </c>
      <c r="AL4046">
        <v>91.1890764771303</v>
      </c>
      <c r="AM4046">
        <v>96.611884353124196</v>
      </c>
      <c r="AN4046">
        <v>1.00000000593091</v>
      </c>
    </row>
    <row r="4047" spans="1:40" x14ac:dyDescent="0.25">
      <c r="A4047" t="str">
        <f>"20190305135315286"</f>
        <v>20190305135315286</v>
      </c>
      <c r="B4047" t="str">
        <f>"1551765195273766"</f>
        <v>1551765195273766</v>
      </c>
      <c r="C4047" t="s">
        <v>40</v>
      </c>
      <c r="D4047">
        <v>4.4335360000000001</v>
      </c>
      <c r="E4047">
        <v>0.54190950000000004</v>
      </c>
      <c r="F4047" t="s">
        <v>42</v>
      </c>
      <c r="G4047">
        <v>-264.7629</v>
      </c>
      <c r="H4047" s="1">
        <v>-2.814511E-6</v>
      </c>
      <c r="I4047">
        <v>141.8167</v>
      </c>
      <c r="J4047">
        <v>-244.74420000000001</v>
      </c>
      <c r="K4047">
        <v>1.1108499999999999</v>
      </c>
      <c r="L4047">
        <v>141.53110000000001</v>
      </c>
      <c r="M4047">
        <v>-0.99985950000000001</v>
      </c>
      <c r="N4047">
        <v>-8.7504139999999998E-3</v>
      </c>
      <c r="O4047">
        <v>1.429394E-2</v>
      </c>
      <c r="P4047">
        <v>-0.99459960000000003</v>
      </c>
      <c r="Q4047">
        <v>-2.8181609999999999E-2</v>
      </c>
      <c r="R4047">
        <v>-9.9886450000000002E-2</v>
      </c>
      <c r="S4047">
        <v>-3.0153500000000002</v>
      </c>
      <c r="T4047">
        <v>-0.1648703</v>
      </c>
      <c r="U4047">
        <v>4.2770389999999998E-2</v>
      </c>
      <c r="V4047">
        <v>-0.11399049999999999</v>
      </c>
      <c r="W4047">
        <v>-2.0086039999999999E-2</v>
      </c>
      <c r="X4047">
        <v>0.99327880000000002</v>
      </c>
      <c r="Y4047" s="1">
        <v>-9.6481040000000003E-5</v>
      </c>
      <c r="Z4047">
        <v>-6.5894339999999997E-4</v>
      </c>
      <c r="AA4047">
        <v>0.99999979999999999</v>
      </c>
      <c r="AB4047">
        <v>31</v>
      </c>
      <c r="AC4047">
        <v>-20.0186999999999</v>
      </c>
      <c r="AD4047">
        <v>-1.1108528145109999</v>
      </c>
      <c r="AE4047">
        <v>0.28559999999998797</v>
      </c>
      <c r="AF4047">
        <v>-5.8444667422446995E-4</v>
      </c>
      <c r="AG4047">
        <v>-1.1108528145109999</v>
      </c>
      <c r="AH4047">
        <v>19.9592905451828</v>
      </c>
      <c r="AI4047">
        <v>93.185563243097803</v>
      </c>
      <c r="AJ4047">
        <v>90.001677731365106</v>
      </c>
      <c r="AK4047">
        <v>19.990179423509598</v>
      </c>
      <c r="AL4047">
        <v>91.150922684585694</v>
      </c>
      <c r="AM4047">
        <v>96.546728426109198</v>
      </c>
      <c r="AN4047">
        <v>1.00000002881128</v>
      </c>
    </row>
    <row r="4048" spans="1:40" x14ac:dyDescent="0.25">
      <c r="A4048" t="str">
        <f>"20190305135315299"</f>
        <v>20190305135315299</v>
      </c>
      <c r="B4048" t="str">
        <f>"1551765195294262"</f>
        <v>1551765195294262</v>
      </c>
      <c r="C4048" t="s">
        <v>40</v>
      </c>
      <c r="D4048">
        <v>4.4443380000000001</v>
      </c>
      <c r="E4048">
        <v>0.54181179999999995</v>
      </c>
      <c r="F4048" t="s">
        <v>42</v>
      </c>
      <c r="G4048">
        <v>-265.29149999999998</v>
      </c>
      <c r="H4048" s="1">
        <v>-2.5796269999999999E-6</v>
      </c>
      <c r="I4048">
        <v>141.78620000000001</v>
      </c>
      <c r="J4048">
        <v>-244.9331</v>
      </c>
      <c r="K4048">
        <v>1.1108750000000001</v>
      </c>
      <c r="L4048">
        <v>141.53210000000001</v>
      </c>
      <c r="M4048">
        <v>-0.99988200000000005</v>
      </c>
      <c r="N4048">
        <v>-8.753116E-3</v>
      </c>
      <c r="O4048">
        <v>1.262257E-2</v>
      </c>
      <c r="P4048">
        <v>-0.99450989999999995</v>
      </c>
      <c r="Q4048">
        <v>-2.7946439999999999E-2</v>
      </c>
      <c r="R4048">
        <v>-0.10084360000000001</v>
      </c>
      <c r="S4048">
        <v>-3.0154109999999998</v>
      </c>
      <c r="T4048">
        <v>-0.16302249999999999</v>
      </c>
      <c r="U4048">
        <v>3.746033E-2</v>
      </c>
      <c r="V4048">
        <v>-0.1132862</v>
      </c>
      <c r="W4048">
        <v>-1.9850489999999998E-2</v>
      </c>
      <c r="X4048">
        <v>0.99336409999999997</v>
      </c>
      <c r="Y4048">
        <v>-1.8780739999999999E-4</v>
      </c>
      <c r="Z4048">
        <v>-5.7733839999999997E-4</v>
      </c>
      <c r="AA4048">
        <v>0.99999979999999999</v>
      </c>
      <c r="AB4048">
        <v>31</v>
      </c>
      <c r="AC4048">
        <v>-20.3583999999999</v>
      </c>
      <c r="AD4048">
        <v>-1.1108775796269901</v>
      </c>
      <c r="AE4048">
        <v>0.254099999999994</v>
      </c>
      <c r="AF4048">
        <v>-2.8968005024793599E-3</v>
      </c>
      <c r="AG4048">
        <v>-1.1108775796269901</v>
      </c>
      <c r="AH4048">
        <v>20.2995539029036</v>
      </c>
      <c r="AI4048">
        <v>93.132343371020497</v>
      </c>
      <c r="AJ4048">
        <v>90.008176260549803</v>
      </c>
      <c r="AK4048">
        <v>20.329927349729001</v>
      </c>
      <c r="AL4048">
        <v>91.137423982520502</v>
      </c>
      <c r="AM4048">
        <v>96.5060729101737</v>
      </c>
      <c r="AN4048">
        <v>1.00000002011624</v>
      </c>
    </row>
    <row r="4049" spans="1:40" x14ac:dyDescent="0.25">
      <c r="A4049" t="str">
        <f>"20190305135315320"</f>
        <v>20190305135315320</v>
      </c>
      <c r="B4049" t="str">
        <f>"1551765195313782"</f>
        <v>1551765195313782</v>
      </c>
      <c r="C4049" t="s">
        <v>40</v>
      </c>
      <c r="D4049">
        <v>4.4432739999999997</v>
      </c>
      <c r="E4049">
        <v>0.54216299999999995</v>
      </c>
      <c r="F4049" t="s">
        <v>42</v>
      </c>
      <c r="G4049">
        <v>-265.70460000000003</v>
      </c>
      <c r="H4049" s="1">
        <v>-2.3964649999999999E-6</v>
      </c>
      <c r="I4049">
        <v>141.7638</v>
      </c>
      <c r="J4049">
        <v>-245.23140000000001</v>
      </c>
      <c r="K4049">
        <v>1.1109</v>
      </c>
      <c r="L4049">
        <v>141.5333</v>
      </c>
      <c r="M4049">
        <v>-0.99991189999999996</v>
      </c>
      <c r="N4049">
        <v>-8.7571639999999996E-3</v>
      </c>
      <c r="O4049">
        <v>9.9735169999999995E-3</v>
      </c>
      <c r="P4049">
        <v>-0.99440139999999999</v>
      </c>
      <c r="Q4049">
        <v>-2.7655880000000001E-2</v>
      </c>
      <c r="R4049">
        <v>-0.1019878</v>
      </c>
      <c r="S4049">
        <v>-3.0154570000000001</v>
      </c>
      <c r="T4049">
        <v>-0.16126969999999999</v>
      </c>
      <c r="U4049">
        <v>3.3645630000000003E-2</v>
      </c>
      <c r="V4049">
        <v>-0.11179749999999999</v>
      </c>
      <c r="W4049">
        <v>-1.9554849999999999E-2</v>
      </c>
      <c r="X4049">
        <v>0.99353860000000005</v>
      </c>
      <c r="Y4049">
        <v>1.1911770000000001E-3</v>
      </c>
      <c r="Z4049">
        <v>-4.0864429999999999E-4</v>
      </c>
      <c r="AA4049">
        <v>0.99999919999999998</v>
      </c>
      <c r="AB4049">
        <v>31</v>
      </c>
      <c r="AC4049">
        <v>-20.473199999999999</v>
      </c>
      <c r="AD4049">
        <v>-1.110902396465</v>
      </c>
      <c r="AE4049">
        <v>0.23050000000000601</v>
      </c>
      <c r="AF4049">
        <v>2.6213722282605899E-2</v>
      </c>
      <c r="AG4049">
        <v>-1.110902396465</v>
      </c>
      <c r="AH4049">
        <v>20.4143824234413</v>
      </c>
      <c r="AI4049">
        <v>93.114826010364197</v>
      </c>
      <c r="AJ4049">
        <v>89.926427613852198</v>
      </c>
      <c r="AK4049">
        <v>20.444603224915301</v>
      </c>
      <c r="AL4049">
        <v>91.120481779519196</v>
      </c>
      <c r="AM4049">
        <v>96.420176676318604</v>
      </c>
      <c r="AN4049">
        <v>1.0000000114273599</v>
      </c>
    </row>
    <row r="4050" spans="1:40" x14ac:dyDescent="0.25">
      <c r="A4050" t="str">
        <f>"20190305135315344"</f>
        <v>20190305135315344</v>
      </c>
      <c r="B4050" t="str">
        <f>"1551765195334278"</f>
        <v>1551765195334278</v>
      </c>
      <c r="C4050" t="s">
        <v>40</v>
      </c>
      <c r="D4050">
        <v>4.2287470000000003</v>
      </c>
      <c r="E4050">
        <v>0.54227199999999998</v>
      </c>
      <c r="F4050" t="s">
        <v>42</v>
      </c>
      <c r="G4050">
        <v>-266.72840000000002</v>
      </c>
      <c r="H4050" s="1">
        <v>-1.9577610000000001E-6</v>
      </c>
      <c r="I4050">
        <v>141.76580000000001</v>
      </c>
      <c r="J4050">
        <v>-245.54169999999999</v>
      </c>
      <c r="K4050">
        <v>1.1109209999999901</v>
      </c>
      <c r="L4050">
        <v>141.53370000000001</v>
      </c>
      <c r="M4050">
        <v>-0.99993569999999998</v>
      </c>
      <c r="N4050">
        <v>-8.7612969999999995E-3</v>
      </c>
      <c r="O4050">
        <v>7.2078910000000001E-3</v>
      </c>
      <c r="P4050">
        <v>-0.99424650000000003</v>
      </c>
      <c r="Q4050">
        <v>-2.7512700000000001E-2</v>
      </c>
      <c r="R4050">
        <v>-0.103523</v>
      </c>
      <c r="S4050">
        <v>-3.0158999999999998</v>
      </c>
      <c r="T4050">
        <v>-0.15585270000000001</v>
      </c>
      <c r="U4050">
        <v>3.2623289999999999E-2</v>
      </c>
      <c r="V4050">
        <v>-0.1105835</v>
      </c>
      <c r="W4050">
        <v>-1.9405970000000002E-2</v>
      </c>
      <c r="X4050">
        <v>0.99367740000000004</v>
      </c>
      <c r="Y4050">
        <v>3.6094389999999999E-3</v>
      </c>
      <c r="Z4050">
        <v>-2.0007870000000001E-4</v>
      </c>
      <c r="AA4050">
        <v>0.99999340000000003</v>
      </c>
      <c r="AB4050">
        <v>31</v>
      </c>
      <c r="AC4050">
        <v>-21.186699999999998</v>
      </c>
      <c r="AD4050">
        <v>-1.11092295776099</v>
      </c>
      <c r="AE4050">
        <v>0.232100000000002</v>
      </c>
      <c r="AF4050">
        <v>7.9159078062630006E-2</v>
      </c>
      <c r="AG4050">
        <v>-1.11092295776099</v>
      </c>
      <c r="AH4050">
        <v>21.129735036068801</v>
      </c>
      <c r="AI4050">
        <v>93.009607019399695</v>
      </c>
      <c r="AJ4050">
        <v>89.785351787088899</v>
      </c>
      <c r="AK4050">
        <v>21.1590670558083</v>
      </c>
      <c r="AL4050">
        <v>91.111949934609896</v>
      </c>
      <c r="AM4050">
        <v>96.350153362029104</v>
      </c>
      <c r="AN4050">
        <v>1.00000003870732</v>
      </c>
    </row>
    <row r="4051" spans="1:40" x14ac:dyDescent="0.25">
      <c r="A4051" t="str">
        <f>"20190305135315432"</f>
        <v>20190305135315432</v>
      </c>
      <c r="B4051" t="str">
        <f>"1551765195424070"</f>
        <v>1551765195424070</v>
      </c>
      <c r="C4051" t="s">
        <v>40</v>
      </c>
      <c r="D4051">
        <v>4.2014360000000002</v>
      </c>
      <c r="E4051">
        <v>0.54227199999999998</v>
      </c>
      <c r="F4051" t="s">
        <v>42</v>
      </c>
      <c r="G4051">
        <v>-267.15910000000002</v>
      </c>
      <c r="H4051" s="1">
        <v>-1.7661309999999999E-6</v>
      </c>
      <c r="I4051">
        <v>141.73990000000001</v>
      </c>
      <c r="J4051">
        <v>-246.77889999999999</v>
      </c>
      <c r="K4051">
        <v>1.110919</v>
      </c>
      <c r="L4051">
        <v>141.52670000000001</v>
      </c>
      <c r="M4051">
        <v>-0.99995480000000003</v>
      </c>
      <c r="N4051">
        <v>-8.7755409999999996E-3</v>
      </c>
      <c r="O4051">
        <v>-3.6846969999999998E-3</v>
      </c>
      <c r="P4051">
        <v>-0.99369430000000003</v>
      </c>
      <c r="Q4051">
        <v>-2.6994839999999999E-2</v>
      </c>
      <c r="R4051">
        <v>-0.10882699999999999</v>
      </c>
      <c r="S4051">
        <v>-3.0160520000000002</v>
      </c>
      <c r="T4051">
        <v>-0.15499649999999901</v>
      </c>
      <c r="U4051">
        <v>2.8778080000000001E-2</v>
      </c>
      <c r="V4051">
        <v>-0.1050634</v>
      </c>
      <c r="W4051">
        <v>-1.8843800000000001E-2</v>
      </c>
      <c r="X4051">
        <v>0.99428700000000003</v>
      </c>
      <c r="Y4051">
        <v>1.320207E-2</v>
      </c>
      <c r="Z4051">
        <v>5.5388659999999995E-4</v>
      </c>
      <c r="AA4051">
        <v>0.99991269999999999</v>
      </c>
      <c r="AB4051">
        <v>31</v>
      </c>
      <c r="AC4051">
        <v>-20.380199999999999</v>
      </c>
      <c r="AD4051">
        <v>-1.1109207661310001</v>
      </c>
      <c r="AE4051">
        <v>0.2132</v>
      </c>
      <c r="AF4051">
        <v>0.28744230961946499</v>
      </c>
      <c r="AG4051">
        <v>-1.1109207661310001</v>
      </c>
      <c r="AH4051">
        <v>20.318908676398301</v>
      </c>
      <c r="AI4051">
        <v>93.129174563623295</v>
      </c>
      <c r="AJ4051">
        <v>89.189516870433195</v>
      </c>
      <c r="AK4051">
        <v>20.351285409767002</v>
      </c>
      <c r="AL4051">
        <v>91.079734092269206</v>
      </c>
      <c r="AM4051">
        <v>96.031894177027795</v>
      </c>
      <c r="AN4051">
        <v>1.00000002259349</v>
      </c>
    </row>
    <row r="4052" spans="1:40" x14ac:dyDescent="0.25">
      <c r="A4052" t="str">
        <f>"20190305135315454"</f>
        <v>20190305135315454</v>
      </c>
      <c r="B4052" t="str">
        <f>"1551765195443593"</f>
        <v>1551765195443593</v>
      </c>
      <c r="C4052" t="s">
        <v>40</v>
      </c>
      <c r="D4052">
        <v>4.2737049999999996</v>
      </c>
      <c r="E4052">
        <v>0.59715399999999996</v>
      </c>
      <c r="F4052" t="s">
        <v>42</v>
      </c>
      <c r="G4052">
        <v>-268.59589999999997</v>
      </c>
      <c r="H4052" s="1">
        <v>-1.1173770000000001E-6</v>
      </c>
      <c r="I4052">
        <v>141.6182</v>
      </c>
      <c r="J4052">
        <v>-247.08179999999999</v>
      </c>
      <c r="K4052">
        <v>1.1108899999999999</v>
      </c>
      <c r="L4052">
        <v>141.523</v>
      </c>
      <c r="M4052">
        <v>-0.99994190000000005</v>
      </c>
      <c r="N4052">
        <v>-8.7780240000000006E-3</v>
      </c>
      <c r="O4052">
        <v>-6.2576669999999997E-3</v>
      </c>
      <c r="P4052">
        <v>-0.99356109999999997</v>
      </c>
      <c r="Q4052">
        <v>-2.7631800000000001E-2</v>
      </c>
      <c r="R4052">
        <v>-0.109876</v>
      </c>
      <c r="S4052">
        <v>-3.016251</v>
      </c>
      <c r="T4052">
        <v>-0.15358810000000001</v>
      </c>
      <c r="U4052">
        <v>1.266479E-2</v>
      </c>
      <c r="V4052">
        <v>-0.1035529</v>
      </c>
      <c r="W4052">
        <v>-1.9463169999999998E-2</v>
      </c>
      <c r="X4052">
        <v>0.99443349999999997</v>
      </c>
      <c r="Y4052">
        <v>1.043518E-2</v>
      </c>
      <c r="Z4052">
        <v>5.7487550000000004E-4</v>
      </c>
      <c r="AA4052">
        <v>0.99994539999999998</v>
      </c>
      <c r="AB4052">
        <v>31</v>
      </c>
      <c r="AC4052">
        <v>-21.5140999999999</v>
      </c>
      <c r="AD4052">
        <v>-1.110891117377</v>
      </c>
      <c r="AE4052">
        <v>9.5200000000005502E-2</v>
      </c>
      <c r="AF4052">
        <v>0.22922025499370399</v>
      </c>
      <c r="AG4052">
        <v>-1.110891117377</v>
      </c>
      <c r="AH4052">
        <v>21.455877926630901</v>
      </c>
      <c r="AI4052">
        <v>92.963708432581996</v>
      </c>
      <c r="AJ4052">
        <v>89.387913483801</v>
      </c>
      <c r="AK4052">
        <v>21.485839955711601</v>
      </c>
      <c r="AL4052">
        <v>91.1152279131109</v>
      </c>
      <c r="AM4052">
        <v>95.944929507635806</v>
      </c>
      <c r="AN4052">
        <v>1.00000000200355</v>
      </c>
    </row>
    <row r="4053" spans="1:40" x14ac:dyDescent="0.25">
      <c r="A4053" t="str">
        <f>"20190305135315487"</f>
        <v>20190305135315487</v>
      </c>
      <c r="B4053" t="str">
        <f>"1551765195483606"</f>
        <v>1551765195483606</v>
      </c>
      <c r="C4053" t="s">
        <v>40</v>
      </c>
      <c r="D4053">
        <v>4.3157569999999996</v>
      </c>
      <c r="E4053">
        <v>0.59265299999999999</v>
      </c>
      <c r="F4053" t="s">
        <v>41</v>
      </c>
      <c r="G4053">
        <v>-247.9477</v>
      </c>
      <c r="H4053">
        <v>1.003204</v>
      </c>
      <c r="I4053">
        <v>141.6523</v>
      </c>
      <c r="J4053">
        <v>-247.53870000000001</v>
      </c>
      <c r="K4053">
        <v>1.110825</v>
      </c>
      <c r="L4053">
        <v>141.51609999999999</v>
      </c>
      <c r="M4053">
        <v>-0.99991149999999995</v>
      </c>
      <c r="N4053">
        <v>-8.7807890000000006E-3</v>
      </c>
      <c r="O4053">
        <v>-1.000229E-2</v>
      </c>
      <c r="P4053">
        <v>-0.99319669999999904</v>
      </c>
      <c r="Q4053">
        <v>-2.7929430000000002E-2</v>
      </c>
      <c r="R4053">
        <v>-0.1130507</v>
      </c>
      <c r="S4053">
        <v>-3.0593569999999999</v>
      </c>
      <c r="T4053">
        <v>-0.38060389999999999</v>
      </c>
      <c r="U4053">
        <v>0.4564819</v>
      </c>
      <c r="V4053">
        <v>-0.103008</v>
      </c>
      <c r="W4053">
        <v>-1.973805E-2</v>
      </c>
      <c r="X4053">
        <v>0.9944847</v>
      </c>
      <c r="Y4053">
        <v>0.156132299999999</v>
      </c>
      <c r="Z4053">
        <v>1.1460039999999999E-2</v>
      </c>
      <c r="AA4053">
        <v>0.98766960000000004</v>
      </c>
      <c r="AB4053">
        <v>31</v>
      </c>
      <c r="AC4053">
        <v>-0.40899999999999098</v>
      </c>
      <c r="AD4053">
        <v>-0.107620999999999</v>
      </c>
      <c r="AE4053">
        <v>0.13620000000000199</v>
      </c>
      <c r="AF4053">
        <v>0.13205378960318401</v>
      </c>
      <c r="AG4053">
        <v>-0.107620999999999</v>
      </c>
      <c r="AH4053">
        <v>0.38370224011896198</v>
      </c>
      <c r="AI4053">
        <v>104.85365444989399</v>
      </c>
      <c r="AJ4053">
        <v>71.008742708783402</v>
      </c>
      <c r="AK4053">
        <v>0.41981888006838303</v>
      </c>
      <c r="AL4053">
        <v>91.130980373125894</v>
      </c>
      <c r="AM4053">
        <v>95.913566998977899</v>
      </c>
      <c r="AN4053">
        <v>1.00000002860794</v>
      </c>
    </row>
    <row r="4054" spans="1:40" x14ac:dyDescent="0.25">
      <c r="A4054" t="str">
        <f>"20190305135315510"</f>
        <v>20190305135315510</v>
      </c>
      <c r="B4054" t="str">
        <f>"1551765195503634"</f>
        <v>1551765195503634</v>
      </c>
      <c r="C4054" t="s">
        <v>40</v>
      </c>
      <c r="D4054">
        <v>4.4054219999999997</v>
      </c>
      <c r="E4054">
        <v>0.58933740000000001</v>
      </c>
      <c r="F4054" t="s">
        <v>41</v>
      </c>
      <c r="G4054">
        <v>-248.4941</v>
      </c>
      <c r="H4054">
        <v>0.97125030000000001</v>
      </c>
      <c r="I4054">
        <v>141.64609999999999</v>
      </c>
      <c r="J4054">
        <v>-247.8682</v>
      </c>
      <c r="K4054">
        <v>1.11076</v>
      </c>
      <c r="L4054">
        <v>141.5102</v>
      </c>
      <c r="M4054">
        <v>-0.99988279999999996</v>
      </c>
      <c r="N4054">
        <v>-8.7821319999999998E-3</v>
      </c>
      <c r="O4054">
        <v>-1.255004E-2</v>
      </c>
      <c r="P4054">
        <v>-0.99295650000000002</v>
      </c>
      <c r="Q4054">
        <v>-2.6976440000000001E-2</v>
      </c>
      <c r="R4054">
        <v>-0.115368899999999</v>
      </c>
      <c r="S4054">
        <v>-3.0551910000000002</v>
      </c>
      <c r="T4054">
        <v>-0.44662770000000002</v>
      </c>
      <c r="U4054">
        <v>0.4145508</v>
      </c>
      <c r="V4054">
        <v>-0.1028041</v>
      </c>
      <c r="W4054">
        <v>-1.8763410000000001E-2</v>
      </c>
      <c r="X4054">
        <v>0.99452470000000004</v>
      </c>
      <c r="Y4054">
        <v>0.14515639999999999</v>
      </c>
      <c r="Z4054">
        <v>1.285825E-2</v>
      </c>
      <c r="AA4054">
        <v>0.98932520000000002</v>
      </c>
      <c r="AB4054">
        <v>31</v>
      </c>
      <c r="AC4054">
        <v>-0.62590000000000101</v>
      </c>
      <c r="AD4054">
        <v>-0.13950969999999899</v>
      </c>
      <c r="AE4054">
        <v>0.135899999999992</v>
      </c>
      <c r="AF4054">
        <v>0.13723359170213101</v>
      </c>
      <c r="AG4054">
        <v>-0.13950969999999899</v>
      </c>
      <c r="AH4054">
        <v>0.59587373261842902</v>
      </c>
      <c r="AI4054">
        <v>102.852253477457</v>
      </c>
      <c r="AJ4054">
        <v>77.030557949904093</v>
      </c>
      <c r="AK4054">
        <v>0.62718539548539898</v>
      </c>
      <c r="AL4054">
        <v>91.075127225932803</v>
      </c>
      <c r="AM4054">
        <v>95.901708349172594</v>
      </c>
      <c r="AN4054">
        <v>1.0000000637208599</v>
      </c>
    </row>
    <row r="4055" spans="1:40" x14ac:dyDescent="0.25">
      <c r="A4055" t="str">
        <f>"20190305135315532"</f>
        <v>20190305135315532</v>
      </c>
      <c r="B4055" t="str">
        <f>"1551765195524130"</f>
        <v>1551765195524130</v>
      </c>
      <c r="C4055" t="s">
        <v>40</v>
      </c>
      <c r="D4055">
        <v>4.3988709999999998</v>
      </c>
      <c r="E4055">
        <v>0.58644059999999998</v>
      </c>
      <c r="F4055" t="s">
        <v>41</v>
      </c>
      <c r="G4055">
        <v>-248.7773</v>
      </c>
      <c r="H4055">
        <v>0.97633809999999999</v>
      </c>
      <c r="I4055">
        <v>141.6241</v>
      </c>
      <c r="J4055">
        <v>-248.1807</v>
      </c>
      <c r="K4055">
        <v>1.11069</v>
      </c>
      <c r="L4055">
        <v>141.50399999999999</v>
      </c>
      <c r="M4055">
        <v>-0.99985119999999905</v>
      </c>
      <c r="N4055">
        <v>-8.7832450000000003E-3</v>
      </c>
      <c r="O4055">
        <v>-1.4855520000000001E-2</v>
      </c>
      <c r="P4055">
        <v>-0.99275530000000001</v>
      </c>
      <c r="Q4055">
        <v>-2.6191099999999998E-2</v>
      </c>
      <c r="R4055">
        <v>-0.1172658</v>
      </c>
      <c r="S4055">
        <v>-3.053391</v>
      </c>
      <c r="T4055">
        <v>-0.45162000000000002</v>
      </c>
      <c r="U4055">
        <v>0.38175959999999998</v>
      </c>
      <c r="V4055">
        <v>-0.1024182</v>
      </c>
      <c r="W4055">
        <v>-1.795486E-2</v>
      </c>
      <c r="X4055">
        <v>0.9945794</v>
      </c>
      <c r="Y4055">
        <v>0.1370905</v>
      </c>
      <c r="Z4055">
        <v>1.2701E-2</v>
      </c>
      <c r="AA4055">
        <v>0.9904771</v>
      </c>
      <c r="AB4055">
        <v>31</v>
      </c>
      <c r="AC4055">
        <v>-0.59659999999999502</v>
      </c>
      <c r="AD4055">
        <v>-0.134351899999999</v>
      </c>
      <c r="AE4055">
        <v>0.12010000000000701</v>
      </c>
      <c r="AF4055">
        <v>0.122957188212758</v>
      </c>
      <c r="AG4055">
        <v>-0.134351899999999</v>
      </c>
      <c r="AH4055">
        <v>0.56711006727513302</v>
      </c>
      <c r="AI4055">
        <v>103.035825322791</v>
      </c>
      <c r="AJ4055">
        <v>77.766835149547902</v>
      </c>
      <c r="AK4055">
        <v>0.59563640887004499</v>
      </c>
      <c r="AL4055">
        <v>91.028792956845706</v>
      </c>
      <c r="AM4055">
        <v>95.879389247883296</v>
      </c>
      <c r="AN4055">
        <v>1.0000000237966</v>
      </c>
    </row>
    <row r="4056" spans="1:40" x14ac:dyDescent="0.25">
      <c r="A4056" t="str">
        <f>"20190305135315556"</f>
        <v>20190305135315556</v>
      </c>
      <c r="B4056" t="str">
        <f>"1551765195543650"</f>
        <v>1551765195543650</v>
      </c>
      <c r="C4056" t="s">
        <v>40</v>
      </c>
      <c r="D4056">
        <v>4.3802699999999897</v>
      </c>
      <c r="E4056">
        <v>0.58494349999999995</v>
      </c>
      <c r="F4056" t="s">
        <v>41</v>
      </c>
      <c r="G4056">
        <v>-249.06</v>
      </c>
      <c r="H4056">
        <v>0.97884800000000005</v>
      </c>
      <c r="I4056">
        <v>141.60599999999999</v>
      </c>
      <c r="J4056">
        <v>-248.50540000000001</v>
      </c>
      <c r="K4056">
        <v>1.1105940000000001</v>
      </c>
      <c r="L4056">
        <v>141.49690000000001</v>
      </c>
      <c r="M4056">
        <v>-0.99981529999999996</v>
      </c>
      <c r="N4056">
        <v>-8.7840799999999997E-3</v>
      </c>
      <c r="O4056">
        <v>-1.7094149999999999E-2</v>
      </c>
      <c r="P4056">
        <v>-0.99271940000000003</v>
      </c>
      <c r="Q4056">
        <v>-2.4870550000000002E-2</v>
      </c>
      <c r="R4056">
        <v>-0.1178539</v>
      </c>
      <c r="S4056">
        <v>-3.0515590000000001</v>
      </c>
      <c r="T4056">
        <v>-0.45768629999999999</v>
      </c>
      <c r="U4056">
        <v>0.35340880000000002</v>
      </c>
      <c r="V4056">
        <v>-0.1007909</v>
      </c>
      <c r="W4056">
        <v>-1.659946E-2</v>
      </c>
      <c r="X4056">
        <v>0.99476920000000002</v>
      </c>
      <c r="Y4056">
        <v>0.1303156</v>
      </c>
      <c r="Z4056">
        <v>1.265699E-2</v>
      </c>
      <c r="AA4056">
        <v>0.99139180000000005</v>
      </c>
      <c r="AB4056">
        <v>32</v>
      </c>
      <c r="AC4056">
        <v>-0.55459999999999299</v>
      </c>
      <c r="AD4056">
        <v>-0.131746</v>
      </c>
      <c r="AE4056">
        <v>0.109099999999983</v>
      </c>
      <c r="AF4056">
        <v>0.112455336047305</v>
      </c>
      <c r="AG4056">
        <v>-0.131746</v>
      </c>
      <c r="AH4056">
        <v>0.52417632602312902</v>
      </c>
      <c r="AI4056">
        <v>103.80668611923799</v>
      </c>
      <c r="AJ4056">
        <v>77.891465614361493</v>
      </c>
      <c r="AK4056">
        <v>0.55205437402906099</v>
      </c>
      <c r="AL4056">
        <v>90.951122630883106</v>
      </c>
      <c r="AM4056">
        <v>95.785515358299605</v>
      </c>
      <c r="AN4056">
        <v>1.0000000544318599</v>
      </c>
    </row>
    <row r="4057" spans="1:40" x14ac:dyDescent="0.25">
      <c r="A4057" t="str">
        <f>"20190305135315579"</f>
        <v>20190305135315579</v>
      </c>
      <c r="B4057" t="str">
        <f>"1551765195573906"</f>
        <v>1551765195573906</v>
      </c>
      <c r="C4057" t="s">
        <v>40</v>
      </c>
      <c r="D4057">
        <v>4.4178839999999999</v>
      </c>
      <c r="E4057">
        <v>0.58221080000000003</v>
      </c>
      <c r="F4057" t="s">
        <v>41</v>
      </c>
      <c r="G4057">
        <v>-249.3451</v>
      </c>
      <c r="H4057">
        <v>0.98514829999999998</v>
      </c>
      <c r="I4057">
        <v>141.59049999999999</v>
      </c>
      <c r="J4057">
        <v>-248.8141</v>
      </c>
      <c r="K4057">
        <v>1.1104719999999999</v>
      </c>
      <c r="L4057">
        <v>141.4896</v>
      </c>
      <c r="M4057">
        <v>-0.9997798</v>
      </c>
      <c r="N4057">
        <v>-8.7842200000000006E-3</v>
      </c>
      <c r="O4057">
        <v>-1.905304E-2</v>
      </c>
      <c r="P4057">
        <v>-0.99264280000000005</v>
      </c>
      <c r="Q4057">
        <v>-2.420837E-2</v>
      </c>
      <c r="R4057">
        <v>-0.118634</v>
      </c>
      <c r="S4057">
        <v>-3.0509029999999999</v>
      </c>
      <c r="T4057">
        <v>-0.45583869999999999</v>
      </c>
      <c r="U4057">
        <v>0.33958440000000001</v>
      </c>
      <c r="V4057">
        <v>-9.9630769999999994E-2</v>
      </c>
      <c r="W4057">
        <v>-1.5903179999999999E-2</v>
      </c>
      <c r="X4057">
        <v>0.99489740000000004</v>
      </c>
      <c r="Y4057">
        <v>0.1278676</v>
      </c>
      <c r="Z4057">
        <v>1.269463E-2</v>
      </c>
      <c r="AA4057">
        <v>0.99170999999999998</v>
      </c>
      <c r="AB4057">
        <v>32</v>
      </c>
      <c r="AC4057">
        <v>-0.53100000000000502</v>
      </c>
      <c r="AD4057">
        <v>-0.12532369999999901</v>
      </c>
      <c r="AE4057">
        <v>0.10089999999999499</v>
      </c>
      <c r="AF4057">
        <v>0.105336189305706</v>
      </c>
      <c r="AG4057">
        <v>-0.12532369999999901</v>
      </c>
      <c r="AH4057">
        <v>0.50199309246820101</v>
      </c>
      <c r="AI4057">
        <v>103.73014000194399</v>
      </c>
      <c r="AJ4057">
        <v>78.149224434738997</v>
      </c>
      <c r="AK4057">
        <v>0.52801402201544301</v>
      </c>
      <c r="AL4057">
        <v>90.911223490040399</v>
      </c>
      <c r="AM4057">
        <v>95.718634476488106</v>
      </c>
      <c r="AN4057">
        <v>1.00000001899583</v>
      </c>
    </row>
    <row r="4058" spans="1:40" x14ac:dyDescent="0.25">
      <c r="A4058" t="str">
        <f>"20190305135315599"</f>
        <v>20190305135315599</v>
      </c>
      <c r="B4058" t="str">
        <f>"1551765195593426"</f>
        <v>1551765195593426</v>
      </c>
      <c r="C4058" t="s">
        <v>40</v>
      </c>
      <c r="D4058">
        <v>4.4190339999999999</v>
      </c>
      <c r="E4058">
        <v>0.58080759999999998</v>
      </c>
      <c r="F4058" t="s">
        <v>41</v>
      </c>
      <c r="G4058">
        <v>-249.62889999999999</v>
      </c>
      <c r="H4058">
        <v>0.9875216</v>
      </c>
      <c r="I4058">
        <v>141.57419999999999</v>
      </c>
      <c r="J4058">
        <v>-249.1267</v>
      </c>
      <c r="K4058">
        <v>1.1103419999999999</v>
      </c>
      <c r="L4058">
        <v>141.48179999999999</v>
      </c>
      <c r="M4058">
        <v>-0.99974390000000002</v>
      </c>
      <c r="N4058">
        <v>-8.7842500000000004E-3</v>
      </c>
      <c r="O4058">
        <v>-2.086008E-2</v>
      </c>
      <c r="P4058">
        <v>-0.9925718</v>
      </c>
      <c r="Q4058">
        <v>-2.485031E-2</v>
      </c>
      <c r="R4058">
        <v>-0.1190972</v>
      </c>
      <c r="S4058">
        <v>-3.0486909999999998</v>
      </c>
      <c r="T4058">
        <v>-0.46028279999999999</v>
      </c>
      <c r="U4058">
        <v>0.31524659999999999</v>
      </c>
      <c r="V4058">
        <v>-9.8299490000000003E-2</v>
      </c>
      <c r="W4058">
        <v>-1.650735E-2</v>
      </c>
      <c r="X4058">
        <v>0.99502000000000002</v>
      </c>
      <c r="Y4058">
        <v>0.1219267</v>
      </c>
      <c r="Z4058">
        <v>1.261077E-2</v>
      </c>
      <c r="AA4058">
        <v>0.99245899999999998</v>
      </c>
      <c r="AB4058">
        <v>32</v>
      </c>
      <c r="AC4058">
        <v>-0.50219999999998699</v>
      </c>
      <c r="AD4058">
        <v>-0.122820399999999</v>
      </c>
      <c r="AE4058">
        <v>9.2399999999997803E-2</v>
      </c>
      <c r="AF4058">
        <v>9.7231077933858906E-2</v>
      </c>
      <c r="AG4058">
        <v>-0.122820399999999</v>
      </c>
      <c r="AH4058">
        <v>0.47280952270652599</v>
      </c>
      <c r="AI4058">
        <v>104.275566760365</v>
      </c>
      <c r="AJ4058">
        <v>78.3793939075954</v>
      </c>
      <c r="AK4058">
        <v>0.49808390652008999</v>
      </c>
      <c r="AL4058">
        <v>90.945844406065802</v>
      </c>
      <c r="AM4058">
        <v>95.642026965007105</v>
      </c>
      <c r="AN4058">
        <v>1.0000000413691399</v>
      </c>
    </row>
    <row r="4059" spans="1:40" x14ac:dyDescent="0.25">
      <c r="A4059" t="str">
        <f>"20190305135315622"</f>
        <v>20190305135315622</v>
      </c>
      <c r="B4059" t="str">
        <f>"1551765195613922"</f>
        <v>1551765195613922</v>
      </c>
      <c r="C4059" t="s">
        <v>40</v>
      </c>
      <c r="D4059">
        <v>4.4444990000000004</v>
      </c>
      <c r="E4059">
        <v>0.57936750000000004</v>
      </c>
      <c r="F4059" t="s">
        <v>41</v>
      </c>
      <c r="G4059">
        <v>-249.9134</v>
      </c>
      <c r="H4059">
        <v>0.98997380000000001</v>
      </c>
      <c r="I4059">
        <v>141.56</v>
      </c>
      <c r="J4059">
        <v>-249.44970000000001</v>
      </c>
      <c r="K4059">
        <v>1.1101939999999999</v>
      </c>
      <c r="L4059">
        <v>141.47329999999999</v>
      </c>
      <c r="M4059">
        <v>-0.99970729999999997</v>
      </c>
      <c r="N4059">
        <v>-8.7846419999999901E-3</v>
      </c>
      <c r="O4059">
        <v>-2.2542409999999999E-2</v>
      </c>
      <c r="P4059">
        <v>-0.99242399999999997</v>
      </c>
      <c r="Q4059">
        <v>-2.592966E-2</v>
      </c>
      <c r="R4059">
        <v>-0.1200932</v>
      </c>
      <c r="S4059">
        <v>-3.0471189999999999</v>
      </c>
      <c r="T4059">
        <v>-0.46624490000000002</v>
      </c>
      <c r="U4059">
        <v>0.30290220000000001</v>
      </c>
      <c r="V4059">
        <v>-9.7626370000000004E-2</v>
      </c>
      <c r="W4059">
        <v>-1.754965E-2</v>
      </c>
      <c r="X4059">
        <v>0.99506839999999996</v>
      </c>
      <c r="Y4059">
        <v>0.1196349</v>
      </c>
      <c r="Z4059">
        <v>1.283311E-2</v>
      </c>
      <c r="AA4059">
        <v>0.99273500000000003</v>
      </c>
      <c r="AB4059">
        <v>32</v>
      </c>
      <c r="AC4059">
        <v>-0.46369999999998801</v>
      </c>
      <c r="AD4059">
        <v>-0.1202202</v>
      </c>
      <c r="AE4059">
        <v>8.6700000000007493E-2</v>
      </c>
      <c r="AF4059">
        <v>9.1207645872612E-2</v>
      </c>
      <c r="AG4059">
        <v>-0.1202202</v>
      </c>
      <c r="AH4059">
        <v>0.43347487473987401</v>
      </c>
      <c r="AI4059">
        <v>105.18420383774701</v>
      </c>
      <c r="AJ4059">
        <v>78.117698678716593</v>
      </c>
      <c r="AK4059">
        <v>0.45899041186544698</v>
      </c>
      <c r="AL4059">
        <v>91.005572489624697</v>
      </c>
      <c r="AM4059">
        <v>95.603368276052194</v>
      </c>
      <c r="AN4059">
        <v>1.00000000950652</v>
      </c>
    </row>
    <row r="4060" spans="1:40" x14ac:dyDescent="0.25">
      <c r="A4060" t="str">
        <f>"20190305135315644"</f>
        <v>20190305135315644</v>
      </c>
      <c r="B4060" t="str">
        <f>"1551765195634418"</f>
        <v>1551765195634418</v>
      </c>
      <c r="C4060" t="s">
        <v>40</v>
      </c>
      <c r="D4060">
        <v>4.4444400000000002</v>
      </c>
      <c r="E4060">
        <v>0.57819989999999999</v>
      </c>
      <c r="F4060" t="s">
        <v>41</v>
      </c>
      <c r="G4060">
        <v>-250.19909999999999</v>
      </c>
      <c r="H4060">
        <v>0.99407939999999995</v>
      </c>
      <c r="I4060">
        <v>141.5445</v>
      </c>
      <c r="J4060">
        <v>-249.76400000000001</v>
      </c>
      <c r="K4060">
        <v>1.110053</v>
      </c>
      <c r="L4060">
        <v>141.46469999999999</v>
      </c>
      <c r="M4060">
        <v>-0.99967329999999999</v>
      </c>
      <c r="N4060">
        <v>-8.7850759999999993E-3</v>
      </c>
      <c r="O4060">
        <v>-2.4002320000000001E-2</v>
      </c>
      <c r="P4060">
        <v>-0.99223899999999998</v>
      </c>
      <c r="Q4060">
        <v>-2.849204E-2</v>
      </c>
      <c r="R4060">
        <v>-0.12103659999999999</v>
      </c>
      <c r="S4060">
        <v>-3.0455019999999999</v>
      </c>
      <c r="T4060">
        <v>-0.47193380000000001</v>
      </c>
      <c r="U4060">
        <v>0.28849789999999997</v>
      </c>
      <c r="V4060">
        <v>-9.7118300000000005E-2</v>
      </c>
      <c r="W4060">
        <v>-2.0077580000000001E-2</v>
      </c>
      <c r="X4060">
        <v>0.99507029999999996</v>
      </c>
      <c r="Y4060">
        <v>0.1164652</v>
      </c>
      <c r="Z4060">
        <v>1.294732E-2</v>
      </c>
      <c r="AA4060">
        <v>0.99311039999999995</v>
      </c>
      <c r="AB4060">
        <v>32</v>
      </c>
      <c r="AC4060">
        <v>-0.43509999999997701</v>
      </c>
      <c r="AD4060">
        <v>-0.1159736</v>
      </c>
      <c r="AE4060">
        <v>7.9800000000005797E-2</v>
      </c>
      <c r="AF4060">
        <v>8.4418404491125296E-2</v>
      </c>
      <c r="AG4060">
        <v>-0.1159736</v>
      </c>
      <c r="AH4060">
        <v>0.40520763189446701</v>
      </c>
      <c r="AI4060">
        <v>105.65243891974301</v>
      </c>
      <c r="AJ4060">
        <v>78.231691032308802</v>
      </c>
      <c r="AK4060">
        <v>0.429848307963762</v>
      </c>
      <c r="AL4060">
        <v>91.150437911864103</v>
      </c>
      <c r="AM4060">
        <v>95.574380633847596</v>
      </c>
      <c r="AN4060">
        <v>0.99999998767781795</v>
      </c>
    </row>
    <row r="4061" spans="1:40" x14ac:dyDescent="0.25">
      <c r="A4061" t="str">
        <f>"20190305135315666"</f>
        <v>20190305135315666</v>
      </c>
      <c r="B4061" t="str">
        <f>"1551765195653939"</f>
        <v>1551765195653939</v>
      </c>
      <c r="C4061" t="s">
        <v>40</v>
      </c>
      <c r="D4061">
        <v>4.4415329999999997</v>
      </c>
      <c r="E4061">
        <v>0.57716489999999998</v>
      </c>
      <c r="F4061" t="s">
        <v>41</v>
      </c>
      <c r="G4061">
        <v>-250.4845</v>
      </c>
      <c r="H4061">
        <v>0.99607009999999996</v>
      </c>
      <c r="I4061">
        <v>141.53030000000001</v>
      </c>
      <c r="J4061">
        <v>-250.0779</v>
      </c>
      <c r="K4061">
        <v>1.109904</v>
      </c>
      <c r="L4061">
        <v>141.45580000000001</v>
      </c>
      <c r="M4061">
        <v>-0.99964149999999996</v>
      </c>
      <c r="N4061">
        <v>-8.7856069999999904E-3</v>
      </c>
      <c r="O4061">
        <v>-2.5290980000000001E-2</v>
      </c>
      <c r="P4061">
        <v>-0.9920447</v>
      </c>
      <c r="Q4061">
        <v>-3.0459119999999999E-2</v>
      </c>
      <c r="R4061">
        <v>-0.122146699999999</v>
      </c>
      <c r="S4061">
        <v>-3.043396</v>
      </c>
      <c r="T4061">
        <v>-0.48149809999999998</v>
      </c>
      <c r="U4061">
        <v>0.276626599999999</v>
      </c>
      <c r="V4061">
        <v>-9.69497E-2</v>
      </c>
      <c r="W4061">
        <v>-2.2013640000000001E-2</v>
      </c>
      <c r="X4061">
        <v>0.99504579999999998</v>
      </c>
      <c r="Y4061">
        <v>0.113916</v>
      </c>
      <c r="Z4061">
        <v>1.319123E-2</v>
      </c>
      <c r="AA4061">
        <v>0.99340280000000003</v>
      </c>
      <c r="AB4061">
        <v>32</v>
      </c>
      <c r="AC4061">
        <v>-0.40659999999999702</v>
      </c>
      <c r="AD4061">
        <v>-0.1138339</v>
      </c>
      <c r="AE4061">
        <v>7.4500000000000399E-2</v>
      </c>
      <c r="AF4061">
        <v>7.8785226944680903E-2</v>
      </c>
      <c r="AG4061">
        <v>-0.1138339</v>
      </c>
      <c r="AH4061">
        <v>0.37606678514789199</v>
      </c>
      <c r="AI4061">
        <v>106.502678669415</v>
      </c>
      <c r="AJ4061">
        <v>78.167773100687398</v>
      </c>
      <c r="AK4061">
        <v>0.40073868750771402</v>
      </c>
      <c r="AL4061">
        <v>91.261390563176903</v>
      </c>
      <c r="AM4061">
        <v>95.564900308035106</v>
      </c>
      <c r="AN4061">
        <v>0.99999999438688902</v>
      </c>
    </row>
    <row r="4062" spans="1:40" x14ac:dyDescent="0.25">
      <c r="A4062" t="str">
        <f>"20190305135315691"</f>
        <v>20190305135315691</v>
      </c>
      <c r="B4062" t="str">
        <f>"1551765195684195"</f>
        <v>1551765195684195</v>
      </c>
      <c r="C4062" t="s">
        <v>40</v>
      </c>
      <c r="D4062">
        <v>4.4370310000000002</v>
      </c>
      <c r="E4062">
        <v>0.57591409999999998</v>
      </c>
      <c r="F4062" t="s">
        <v>41</v>
      </c>
      <c r="G4062">
        <v>-251.0369</v>
      </c>
      <c r="H4062">
        <v>0.95588390000000001</v>
      </c>
      <c r="I4062">
        <v>141.5395</v>
      </c>
      <c r="J4062">
        <v>-250.41460000000001</v>
      </c>
      <c r="K4062">
        <v>1.1097699999999999</v>
      </c>
      <c r="L4062">
        <v>141.446</v>
      </c>
      <c r="M4062">
        <v>-0.99961</v>
      </c>
      <c r="N4062">
        <v>-8.7863750000000008E-3</v>
      </c>
      <c r="O4062">
        <v>-2.651338E-2</v>
      </c>
      <c r="P4062">
        <v>-0.99186280000000004</v>
      </c>
      <c r="Q4062">
        <v>-3.2919759999999999E-2</v>
      </c>
      <c r="R4062">
        <v>-0.1229823</v>
      </c>
      <c r="S4062">
        <v>-3.0417480000000001</v>
      </c>
      <c r="T4062">
        <v>-0.48851990000000001</v>
      </c>
      <c r="U4062">
        <v>0.26539610000000002</v>
      </c>
      <c r="V4062">
        <v>-9.6573690000000004E-2</v>
      </c>
      <c r="W4062">
        <v>-2.4444049999999998E-2</v>
      </c>
      <c r="X4062">
        <v>0.99502559999999995</v>
      </c>
      <c r="Y4062">
        <v>0.1115049</v>
      </c>
      <c r="Z4062">
        <v>1.336759E-2</v>
      </c>
      <c r="AA4062">
        <v>0.99367399999999995</v>
      </c>
      <c r="AB4062">
        <v>32</v>
      </c>
      <c r="AC4062">
        <v>-0.62229999999999497</v>
      </c>
      <c r="AD4062">
        <v>-0.1538861</v>
      </c>
      <c r="AE4062">
        <v>9.3500000000005898E-2</v>
      </c>
      <c r="AF4062">
        <v>0.103762028047091</v>
      </c>
      <c r="AG4062">
        <v>-0.1538861</v>
      </c>
      <c r="AH4062">
        <v>0.58464039199326001</v>
      </c>
      <c r="AI4062">
        <v>104.529387482258</v>
      </c>
      <c r="AJ4062">
        <v>79.935936694197494</v>
      </c>
      <c r="AK4062">
        <v>0.61339373830166199</v>
      </c>
      <c r="AL4062">
        <v>91.400680456302595</v>
      </c>
      <c r="AM4062">
        <v>95.543563915804896</v>
      </c>
      <c r="AN4062">
        <v>0.99999996691798798</v>
      </c>
    </row>
    <row r="4063" spans="1:40" x14ac:dyDescent="0.25">
      <c r="A4063" t="str">
        <f>"20190305135315711"</f>
        <v>20190305135315711</v>
      </c>
      <c r="B4063" t="str">
        <f>"1551765195703714"</f>
        <v>1551765195703714</v>
      </c>
      <c r="C4063" t="s">
        <v>40</v>
      </c>
      <c r="D4063">
        <v>4.416258</v>
      </c>
      <c r="E4063">
        <v>0.57527069999999902</v>
      </c>
      <c r="F4063" t="s">
        <v>41</v>
      </c>
      <c r="G4063">
        <v>-251.32490000000001</v>
      </c>
      <c r="H4063">
        <v>0.96080639999999995</v>
      </c>
      <c r="I4063">
        <v>141.52199999999999</v>
      </c>
      <c r="J4063">
        <v>-250.72800000000001</v>
      </c>
      <c r="K4063">
        <v>1.1096629999999901</v>
      </c>
      <c r="L4063">
        <v>141.4366</v>
      </c>
      <c r="M4063">
        <v>-0.99958190000000002</v>
      </c>
      <c r="N4063">
        <v>-8.7873269999999993E-3</v>
      </c>
      <c r="O4063">
        <v>-2.7550149999999999E-2</v>
      </c>
      <c r="P4063">
        <v>-0.99172190000000005</v>
      </c>
      <c r="Q4063">
        <v>-3.4861780000000002E-2</v>
      </c>
      <c r="R4063">
        <v>-0.12358230000000001</v>
      </c>
      <c r="S4063">
        <v>-3.0394739999999998</v>
      </c>
      <c r="T4063">
        <v>-0.49742199999999998</v>
      </c>
      <c r="U4063">
        <v>0.25308229999999998</v>
      </c>
      <c r="V4063">
        <v>-9.6145750000000002E-2</v>
      </c>
      <c r="W4063">
        <v>-2.6362389999999999E-2</v>
      </c>
      <c r="X4063">
        <v>0.99501810000000002</v>
      </c>
      <c r="Y4063">
        <v>0.10856300000000001</v>
      </c>
      <c r="Z4063">
        <v>1.3522889999999999E-2</v>
      </c>
      <c r="AA4063">
        <v>0.99399760000000004</v>
      </c>
      <c r="AB4063">
        <v>32</v>
      </c>
      <c r="AC4063">
        <v>-0.59690000000003296</v>
      </c>
      <c r="AD4063">
        <v>-0.14885659999999901</v>
      </c>
      <c r="AE4063">
        <v>8.5400000000021195E-2</v>
      </c>
      <c r="AF4063">
        <v>9.5964417786282202E-2</v>
      </c>
      <c r="AG4063">
        <v>-0.14885659999999901</v>
      </c>
      <c r="AH4063">
        <v>0.56018073224677101</v>
      </c>
      <c r="AI4063">
        <v>104.67689840489101</v>
      </c>
      <c r="AJ4063">
        <v>80.279035525549006</v>
      </c>
      <c r="AK4063">
        <v>0.58751162509787702</v>
      </c>
      <c r="AL4063">
        <v>91.510628694226099</v>
      </c>
      <c r="AM4063">
        <v>95.519192476041198</v>
      </c>
      <c r="AN4063">
        <v>1.00000000008859</v>
      </c>
    </row>
    <row r="4064" spans="1:40" x14ac:dyDescent="0.25">
      <c r="A4064" t="str">
        <f>"20190305135315733"</f>
        <v>20190305135315733</v>
      </c>
      <c r="B4064" t="str">
        <f>"1551765195724210"</f>
        <v>1551765195724210</v>
      </c>
      <c r="C4064" t="s">
        <v>40</v>
      </c>
      <c r="D4064">
        <v>4.406371</v>
      </c>
      <c r="E4064">
        <v>0.5747679</v>
      </c>
      <c r="F4064" t="s">
        <v>41</v>
      </c>
      <c r="G4064">
        <v>-251.61250000000001</v>
      </c>
      <c r="H4064">
        <v>0.96322289999999999</v>
      </c>
      <c r="I4064">
        <v>141.50829999999999</v>
      </c>
      <c r="J4064">
        <v>-251.04040000000001</v>
      </c>
      <c r="K4064">
        <v>1.10958</v>
      </c>
      <c r="L4064">
        <v>141.42689999999999</v>
      </c>
      <c r="M4064">
        <v>-0.99955519999999998</v>
      </c>
      <c r="N4064">
        <v>-8.7885319999999999E-3</v>
      </c>
      <c r="O4064">
        <v>-2.85054E-2</v>
      </c>
      <c r="P4064">
        <v>-0.99164410000000003</v>
      </c>
      <c r="Q4064">
        <v>-3.586404E-2</v>
      </c>
      <c r="R4064">
        <v>-0.12391969999999999</v>
      </c>
      <c r="S4064">
        <v>-3.0380250000000002</v>
      </c>
      <c r="T4064">
        <v>-0.50301689999999999</v>
      </c>
      <c r="U4064">
        <v>0.24610899999999999</v>
      </c>
      <c r="V4064">
        <v>-9.5536869999999996E-2</v>
      </c>
      <c r="W4064">
        <v>-2.7344230000000001E-2</v>
      </c>
      <c r="X4064">
        <v>0.99505030000000005</v>
      </c>
      <c r="Y4064">
        <v>0.10724980000000001</v>
      </c>
      <c r="Z4064">
        <v>1.3712810000000001E-2</v>
      </c>
      <c r="AA4064">
        <v>0.99413750000000001</v>
      </c>
      <c r="AB4064">
        <v>32</v>
      </c>
      <c r="AC4064">
        <v>-0.57210000000000505</v>
      </c>
      <c r="AD4064">
        <v>-0.14635709999999999</v>
      </c>
      <c r="AE4064">
        <v>8.1400000000002096E-2</v>
      </c>
      <c r="AF4064">
        <v>9.1787547417037499E-2</v>
      </c>
      <c r="AG4064">
        <v>-0.14635709999999999</v>
      </c>
      <c r="AH4064">
        <v>0.53521442707222699</v>
      </c>
      <c r="AI4064">
        <v>105.083957065066</v>
      </c>
      <c r="AJ4064">
        <v>80.268625356119699</v>
      </c>
      <c r="AK4064">
        <v>0.56240540318127896</v>
      </c>
      <c r="AL4064">
        <v>91.566904200267302</v>
      </c>
      <c r="AM4064">
        <v>95.4842774539608</v>
      </c>
      <c r="AN4064">
        <v>1.00000004998688</v>
      </c>
    </row>
    <row r="4065" spans="1:40" x14ac:dyDescent="0.25">
      <c r="A4065" t="str">
        <f>"20190305135315756"</f>
        <v>20190305135315756</v>
      </c>
      <c r="B4065" t="str">
        <f>"1551765195743734"</f>
        <v>1551765195743734</v>
      </c>
      <c r="C4065" t="s">
        <v>40</v>
      </c>
      <c r="D4065">
        <v>4.4007829999999997</v>
      </c>
      <c r="E4065">
        <v>0.57436599999999904</v>
      </c>
      <c r="F4065" t="s">
        <v>41</v>
      </c>
      <c r="G4065">
        <v>-251.90049999999999</v>
      </c>
      <c r="H4065">
        <v>0.96534219999999904</v>
      </c>
      <c r="I4065">
        <v>141.49529999999999</v>
      </c>
      <c r="J4065">
        <v>-251.3578</v>
      </c>
      <c r="K4065">
        <v>1.109507</v>
      </c>
      <c r="L4065">
        <v>141.4169</v>
      </c>
      <c r="M4065">
        <v>-0.99952859999999999</v>
      </c>
      <c r="N4065">
        <v>-8.7898690000000005E-3</v>
      </c>
      <c r="O4065">
        <v>-2.9414360000000001E-2</v>
      </c>
      <c r="P4065">
        <v>-0.99164949999999996</v>
      </c>
      <c r="Q4065">
        <v>-3.6296729999999999E-2</v>
      </c>
      <c r="R4065">
        <v>-0.12375029999999999</v>
      </c>
      <c r="S4065">
        <v>-3.0369869999999999</v>
      </c>
      <c r="T4065">
        <v>-0.50938509999999904</v>
      </c>
      <c r="U4065">
        <v>0.24095150000000001</v>
      </c>
      <c r="V4065">
        <v>-9.4466259999999996E-2</v>
      </c>
      <c r="W4065">
        <v>-2.7757919999999998E-2</v>
      </c>
      <c r="X4065">
        <v>0.99514100000000005</v>
      </c>
      <c r="Y4065">
        <v>0.1064552</v>
      </c>
      <c r="Z4065">
        <v>1.3960480000000001E-2</v>
      </c>
      <c r="AA4065">
        <v>0.99421950000000003</v>
      </c>
      <c r="AB4065">
        <v>32</v>
      </c>
      <c r="AC4065">
        <v>-0.54269999999999596</v>
      </c>
      <c r="AD4065">
        <v>-0.14416480000000001</v>
      </c>
      <c r="AE4065">
        <v>7.8399999999987799E-2</v>
      </c>
      <c r="AF4065">
        <v>8.8230989711418795E-2</v>
      </c>
      <c r="AG4065">
        <v>-0.14416480000000001</v>
      </c>
      <c r="AH4065">
        <v>0.50523513158212696</v>
      </c>
      <c r="AI4065">
        <v>105.700037626586</v>
      </c>
      <c r="AJ4065">
        <v>80.094129541634302</v>
      </c>
      <c r="AK4065">
        <v>0.53275767032423405</v>
      </c>
      <c r="AL4065">
        <v>91.590615981748101</v>
      </c>
      <c r="AM4065">
        <v>95.422696406456794</v>
      </c>
      <c r="AN4065">
        <v>0.99999999314105703</v>
      </c>
    </row>
    <row r="4066" spans="1:40" x14ac:dyDescent="0.25">
      <c r="A4066" t="str">
        <f>"20190305135315778"</f>
        <v>20190305135315778</v>
      </c>
      <c r="B4066" t="str">
        <f>"1551765195764226"</f>
        <v>1551765195764226</v>
      </c>
      <c r="C4066" t="s">
        <v>40</v>
      </c>
      <c r="D4066">
        <v>4.3915860000000002</v>
      </c>
      <c r="E4066">
        <v>0.57398579999999999</v>
      </c>
      <c r="F4066" t="s">
        <v>41</v>
      </c>
      <c r="G4066">
        <v>-252.18969999999999</v>
      </c>
      <c r="H4066">
        <v>0.96887760000000001</v>
      </c>
      <c r="I4066">
        <v>141.4821</v>
      </c>
      <c r="J4066">
        <v>-251.67789999999999</v>
      </c>
      <c r="K4066">
        <v>1.109451</v>
      </c>
      <c r="L4066">
        <v>141.4066</v>
      </c>
      <c r="M4066">
        <v>-0.99950260000000002</v>
      </c>
      <c r="N4066">
        <v>-8.7913309999999995E-3</v>
      </c>
      <c r="O4066">
        <v>-3.0288780000000001E-2</v>
      </c>
      <c r="P4066">
        <v>-0.99168940000000005</v>
      </c>
      <c r="Q4066">
        <v>-3.6941120000000001E-2</v>
      </c>
      <c r="R4066">
        <v>-0.12323629999999999</v>
      </c>
      <c r="S4066">
        <v>-3.0361790000000002</v>
      </c>
      <c r="T4066">
        <v>-0.51332319999999998</v>
      </c>
      <c r="U4066">
        <v>0.23814389999999999</v>
      </c>
      <c r="V4066">
        <v>-9.3083200000000005E-2</v>
      </c>
      <c r="W4066">
        <v>-2.8385259999999999E-2</v>
      </c>
      <c r="X4066">
        <v>0.99525359999999996</v>
      </c>
      <c r="Y4066">
        <v>0.1063914</v>
      </c>
      <c r="Z4066">
        <v>1.420282E-2</v>
      </c>
      <c r="AA4066">
        <v>0.99422290000000002</v>
      </c>
      <c r="AB4066">
        <v>32</v>
      </c>
      <c r="AC4066">
        <v>-0.51179999999999304</v>
      </c>
      <c r="AD4066">
        <v>-0.14057339999999899</v>
      </c>
      <c r="AE4066">
        <v>7.5500000000005202E-2</v>
      </c>
      <c r="AF4066">
        <v>8.4713053341715597E-2</v>
      </c>
      <c r="AG4066">
        <v>-0.14057339999999899</v>
      </c>
      <c r="AH4066">
        <v>0.47426165984767998</v>
      </c>
      <c r="AI4066">
        <v>106.266531735979</v>
      </c>
      <c r="AJ4066">
        <v>79.872580423791902</v>
      </c>
      <c r="AK4066">
        <v>0.50185785257930604</v>
      </c>
      <c r="AL4066">
        <v>91.626574130449598</v>
      </c>
      <c r="AM4066">
        <v>95.343165792486801</v>
      </c>
      <c r="AN4066">
        <v>0.99999996671023295</v>
      </c>
    </row>
    <row r="4067" spans="1:40" x14ac:dyDescent="0.25">
      <c r="A4067" t="str">
        <f>"20190305135315800"</f>
        <v>20190305135315800</v>
      </c>
      <c r="B4067" t="str">
        <f>"1551765195793506"</f>
        <v>1551765195793506</v>
      </c>
      <c r="C4067" t="s">
        <v>40</v>
      </c>
      <c r="D4067">
        <v>4.4193119999999997</v>
      </c>
      <c r="E4067">
        <v>0.57342559999999998</v>
      </c>
      <c r="F4067" t="s">
        <v>41</v>
      </c>
      <c r="G4067">
        <v>-252.47970000000001</v>
      </c>
      <c r="H4067">
        <v>0.97297330000000004</v>
      </c>
      <c r="I4067">
        <v>141.4693</v>
      </c>
      <c r="J4067">
        <v>-252.00210000000001</v>
      </c>
      <c r="K4067">
        <v>1.10941</v>
      </c>
      <c r="L4067">
        <v>141.39580000000001</v>
      </c>
      <c r="M4067">
        <v>-0.99947609999999998</v>
      </c>
      <c r="N4067">
        <v>-8.7931160000000001E-3</v>
      </c>
      <c r="O4067">
        <v>-3.1149280000000001E-2</v>
      </c>
      <c r="P4067">
        <v>-0.99173800000000001</v>
      </c>
      <c r="Q4067">
        <v>-3.7335760000000003E-2</v>
      </c>
      <c r="R4067">
        <v>-0.1227273</v>
      </c>
      <c r="S4067">
        <v>-3.0353240000000001</v>
      </c>
      <c r="T4067">
        <v>-0.51680870000000001</v>
      </c>
      <c r="U4067">
        <v>0.23690800000000001</v>
      </c>
      <c r="V4067">
        <v>-9.1718190000000005E-2</v>
      </c>
      <c r="W4067">
        <v>-2.8765209999999999E-2</v>
      </c>
      <c r="X4067">
        <v>0.99536939999999996</v>
      </c>
      <c r="Y4067">
        <v>0.1068216</v>
      </c>
      <c r="Z4067">
        <v>1.447672E-2</v>
      </c>
      <c r="AA4067">
        <v>0.99417279999999997</v>
      </c>
      <c r="AB4067">
        <v>32</v>
      </c>
      <c r="AC4067">
        <v>-0.47759999999999497</v>
      </c>
      <c r="AD4067">
        <v>-0.13643669999999899</v>
      </c>
      <c r="AE4067">
        <v>7.3499999999995597E-2</v>
      </c>
      <c r="AF4067">
        <v>8.1819166023465104E-2</v>
      </c>
      <c r="AG4067">
        <v>-0.13643669999999899</v>
      </c>
      <c r="AH4067">
        <v>0.44000166714718397</v>
      </c>
      <c r="AI4067">
        <v>106.954175271994</v>
      </c>
      <c r="AJ4067">
        <v>79.466053332280893</v>
      </c>
      <c r="AK4067">
        <v>0.46787906143357899</v>
      </c>
      <c r="AL4067">
        <v>91.648352578560505</v>
      </c>
      <c r="AM4067">
        <v>95.264645951380103</v>
      </c>
      <c r="AN4067">
        <v>0.99999995306978895</v>
      </c>
    </row>
    <row r="4068" spans="1:40" x14ac:dyDescent="0.25">
      <c r="A4068" t="str">
        <f>"20190305135315823"</f>
        <v>20190305135315823</v>
      </c>
      <c r="B4068" t="str">
        <f>"1551765195814002"</f>
        <v>1551765195814002</v>
      </c>
      <c r="C4068" t="s">
        <v>40</v>
      </c>
      <c r="D4068">
        <v>4.3879769999999896</v>
      </c>
      <c r="E4068">
        <v>0.57333800000000001</v>
      </c>
      <c r="F4068" t="s">
        <v>41</v>
      </c>
      <c r="G4068">
        <v>-252.7706</v>
      </c>
      <c r="H4068">
        <v>0.97799369999999997</v>
      </c>
      <c r="I4068">
        <v>141.45509999999999</v>
      </c>
      <c r="J4068">
        <v>-252.33680000000001</v>
      </c>
      <c r="K4068">
        <v>1.109386</v>
      </c>
      <c r="L4068">
        <v>141.3845</v>
      </c>
      <c r="M4068">
        <v>-0.99944849999999996</v>
      </c>
      <c r="N4068">
        <v>-8.7951499999999998E-3</v>
      </c>
      <c r="O4068">
        <v>-3.2023990000000002E-2</v>
      </c>
      <c r="P4068">
        <v>-0.99182040000000005</v>
      </c>
      <c r="Q4068">
        <v>-3.7259590000000002E-2</v>
      </c>
      <c r="R4068">
        <v>-0.1220816</v>
      </c>
      <c r="S4068">
        <v>-3.0344540000000002</v>
      </c>
      <c r="T4068">
        <v>-0.51895930000000001</v>
      </c>
      <c r="U4068">
        <v>0.23425289999999999</v>
      </c>
      <c r="V4068">
        <v>-9.0201400000000001E-2</v>
      </c>
      <c r="W4068">
        <v>-2.8676119999999999E-2</v>
      </c>
      <c r="X4068">
        <v>0.99551060000000002</v>
      </c>
      <c r="Y4068">
        <v>0.106819899999999</v>
      </c>
      <c r="Z4068">
        <v>1.468039E-2</v>
      </c>
      <c r="AA4068">
        <v>0.99417</v>
      </c>
      <c r="AB4068">
        <v>32</v>
      </c>
      <c r="AC4068">
        <v>-0.43379999999999003</v>
      </c>
      <c r="AD4068">
        <v>-0.13139229999999999</v>
      </c>
      <c r="AE4068">
        <v>7.0599999999984606E-2</v>
      </c>
      <c r="AF4068">
        <v>7.7527452267552199E-2</v>
      </c>
      <c r="AG4068">
        <v>-0.13139229999999999</v>
      </c>
      <c r="AH4068">
        <v>0.39593089230374701</v>
      </c>
      <c r="AI4068">
        <v>108.03897686096499</v>
      </c>
      <c r="AJ4068">
        <v>78.921057052743095</v>
      </c>
      <c r="AK4068">
        <v>0.42430615578238901</v>
      </c>
      <c r="AL4068">
        <v>91.643245940608395</v>
      </c>
      <c r="AM4068">
        <v>95.177328630649697</v>
      </c>
      <c r="AN4068">
        <v>0.99999998356628705</v>
      </c>
    </row>
    <row r="4069" spans="1:40" x14ac:dyDescent="0.25">
      <c r="A4069" t="str">
        <f>"20190305135315844"</f>
        <v>20190305135315844</v>
      </c>
      <c r="B4069" t="str">
        <f>"1551765195833526"</f>
        <v>1551765195833526</v>
      </c>
      <c r="C4069" t="s">
        <v>40</v>
      </c>
      <c r="D4069">
        <v>4.3935829999999996</v>
      </c>
      <c r="E4069">
        <v>0.57317810000000002</v>
      </c>
      <c r="F4069" t="s">
        <v>41</v>
      </c>
      <c r="G4069">
        <v>-253.06319999999999</v>
      </c>
      <c r="H4069">
        <v>0.9857013</v>
      </c>
      <c r="I4069">
        <v>141.44110000000001</v>
      </c>
      <c r="J4069">
        <v>-252.6336</v>
      </c>
      <c r="K4069">
        <v>1.1093660000000001</v>
      </c>
      <c r="L4069">
        <v>141.3742</v>
      </c>
      <c r="M4069">
        <v>-0.99942350000000002</v>
      </c>
      <c r="N4069">
        <v>-8.7971249999999994E-3</v>
      </c>
      <c r="O4069">
        <v>-3.2793610000000001E-2</v>
      </c>
      <c r="P4069">
        <v>-0.99190929999999999</v>
      </c>
      <c r="Q4069">
        <v>-3.6878500000000002E-2</v>
      </c>
      <c r="R4069">
        <v>-0.1214756</v>
      </c>
      <c r="S4069">
        <v>-3.0343019999999998</v>
      </c>
      <c r="T4069">
        <v>-0.51682019999999995</v>
      </c>
      <c r="U4069">
        <v>0.23538210000000001</v>
      </c>
      <c r="V4069">
        <v>-8.8828519999999994E-2</v>
      </c>
      <c r="W4069">
        <v>-2.828541E-2</v>
      </c>
      <c r="X4069">
        <v>0.99564520000000001</v>
      </c>
      <c r="Y4069">
        <v>0.1079463</v>
      </c>
      <c r="Z4069">
        <v>1.484544E-2</v>
      </c>
      <c r="AA4069">
        <v>0.99404590000000004</v>
      </c>
      <c r="AB4069">
        <v>32</v>
      </c>
      <c r="AC4069">
        <v>-0.42959999999999299</v>
      </c>
      <c r="AD4069">
        <v>-0.123664699999999</v>
      </c>
      <c r="AE4069">
        <v>6.6900000000003901E-2</v>
      </c>
      <c r="AF4069">
        <v>7.4893680910256305E-2</v>
      </c>
      <c r="AG4069">
        <v>-0.123664699999999</v>
      </c>
      <c r="AH4069">
        <v>0.39520246146104798</v>
      </c>
      <c r="AI4069">
        <v>107.08967425157201</v>
      </c>
      <c r="AJ4069">
        <v>79.269291288390093</v>
      </c>
      <c r="AK4069">
        <v>0.420817070722242</v>
      </c>
      <c r="AL4069">
        <v>91.620850847613795</v>
      </c>
      <c r="AM4069">
        <v>95.098261736430402</v>
      </c>
      <c r="AN4069">
        <v>0.99999996733364804</v>
      </c>
    </row>
    <row r="4070" spans="1:40" x14ac:dyDescent="0.25">
      <c r="A4070" t="str">
        <f>"20190305135315878"</f>
        <v>20190305135315878</v>
      </c>
      <c r="B4070" t="str">
        <f>"1551765195863782"</f>
        <v>1551765195863782</v>
      </c>
      <c r="C4070" t="s">
        <v>40</v>
      </c>
      <c r="D4070">
        <v>4.4213060000000004</v>
      </c>
      <c r="E4070">
        <v>0.57303190000000004</v>
      </c>
      <c r="F4070" t="s">
        <v>41</v>
      </c>
      <c r="G4070">
        <v>-253.35380000000001</v>
      </c>
      <c r="H4070">
        <v>0.98770590000000003</v>
      </c>
      <c r="I4070">
        <v>141.43029999999999</v>
      </c>
      <c r="J4070">
        <v>-253.12379999999999</v>
      </c>
      <c r="K4070">
        <v>1.109343</v>
      </c>
      <c r="L4070">
        <v>141.35669999999999</v>
      </c>
      <c r="M4070">
        <v>-0.99938119999999997</v>
      </c>
      <c r="N4070">
        <v>-8.800736E-3</v>
      </c>
      <c r="O4070">
        <v>-3.4059499999999999E-2</v>
      </c>
      <c r="P4070">
        <v>-0.99195929999999999</v>
      </c>
      <c r="Q4070">
        <v>-3.7166150000000002E-2</v>
      </c>
      <c r="R4070">
        <v>-0.12097819999999999</v>
      </c>
      <c r="S4070">
        <v>-3.0343170000000002</v>
      </c>
      <c r="T4070">
        <v>-0.5125885</v>
      </c>
      <c r="U4070">
        <v>0.23594670000000001</v>
      </c>
      <c r="V4070">
        <v>-8.7069199999999999E-2</v>
      </c>
      <c r="W4070">
        <v>-2.856121E-2</v>
      </c>
      <c r="X4070">
        <v>0.99579269999999998</v>
      </c>
      <c r="Y4070">
        <v>0.1093842</v>
      </c>
      <c r="Z4070">
        <v>1.50548E-2</v>
      </c>
      <c r="AA4070">
        <v>0.99388549999999998</v>
      </c>
      <c r="AB4070">
        <v>32</v>
      </c>
      <c r="AC4070">
        <v>-0.230000000000018</v>
      </c>
      <c r="AD4070">
        <v>-0.121637099999999</v>
      </c>
      <c r="AE4070">
        <v>7.3599999999999E-2</v>
      </c>
      <c r="AF4070">
        <v>6.4920352336289802E-2</v>
      </c>
      <c r="AG4070">
        <v>-0.121637099999999</v>
      </c>
      <c r="AH4070">
        <v>0.181349519535</v>
      </c>
      <c r="AI4070">
        <v>122.271951103224</v>
      </c>
      <c r="AJ4070">
        <v>70.303409933082094</v>
      </c>
      <c r="AK4070">
        <v>0.22781107189830199</v>
      </c>
      <c r="AL4070">
        <v>91.636659448033399</v>
      </c>
      <c r="AM4070">
        <v>94.997066577936394</v>
      </c>
      <c r="AN4070">
        <v>0.999999944839295</v>
      </c>
    </row>
    <row r="4071" spans="1:40" x14ac:dyDescent="0.25">
      <c r="A4071" t="str">
        <f>"20190305135315901"</f>
        <v>20190305135315901</v>
      </c>
      <c r="B4071" t="str">
        <f>"1551765195894034"</f>
        <v>1551765195894034</v>
      </c>
      <c r="C4071" t="s">
        <v>40</v>
      </c>
      <c r="D4071">
        <v>4.3809189999999996</v>
      </c>
      <c r="E4071">
        <v>0.55518559999999995</v>
      </c>
      <c r="F4071" t="s">
        <v>41</v>
      </c>
      <c r="G4071">
        <v>-253.928</v>
      </c>
      <c r="H4071">
        <v>0.97365749999999995</v>
      </c>
      <c r="I4071">
        <v>141.41929999999999</v>
      </c>
      <c r="J4071">
        <v>-253.46549999999999</v>
      </c>
      <c r="K4071">
        <v>1.109334</v>
      </c>
      <c r="L4071">
        <v>141.3442</v>
      </c>
      <c r="M4071">
        <v>-0.99935070000000004</v>
      </c>
      <c r="N4071">
        <v>-8.8033499999999997E-3</v>
      </c>
      <c r="O4071">
        <v>-3.4939030000000003E-2</v>
      </c>
      <c r="P4071">
        <v>-0.99194660000000001</v>
      </c>
      <c r="Q4071">
        <v>-3.7357960000000003E-2</v>
      </c>
      <c r="R4071">
        <v>-0.1210234</v>
      </c>
      <c r="S4071">
        <v>-3.0339659999999999</v>
      </c>
      <c r="T4071">
        <v>-0.51191120000000001</v>
      </c>
      <c r="U4071">
        <v>0.23634340000000001</v>
      </c>
      <c r="V4071">
        <v>-8.6239170000000004E-2</v>
      </c>
      <c r="W4071">
        <v>-2.8746560000000001E-2</v>
      </c>
      <c r="X4071">
        <v>0.99585959999999996</v>
      </c>
      <c r="Y4071">
        <v>0.1103759</v>
      </c>
      <c r="Z4071">
        <v>1.526394E-2</v>
      </c>
      <c r="AA4071">
        <v>0.99377269999999895</v>
      </c>
      <c r="AB4071">
        <v>32</v>
      </c>
      <c r="AC4071">
        <v>-0.46250000000000502</v>
      </c>
      <c r="AD4071">
        <v>-0.13567649999999901</v>
      </c>
      <c r="AE4071">
        <v>7.5099999999991895E-2</v>
      </c>
      <c r="AF4071">
        <v>8.4157764831707796E-2</v>
      </c>
      <c r="AG4071">
        <v>-0.13567649999999901</v>
      </c>
      <c r="AH4071">
        <v>0.42403948776888101</v>
      </c>
      <c r="AI4071">
        <v>107.423979879081</v>
      </c>
      <c r="AJ4071">
        <v>78.774558977344995</v>
      </c>
      <c r="AK4071">
        <v>0.45310057296478201</v>
      </c>
      <c r="AL4071">
        <v>91.647283573504794</v>
      </c>
      <c r="AM4071">
        <v>94.949336506226999</v>
      </c>
      <c r="AN4071">
        <v>0.99999995103313999</v>
      </c>
    </row>
    <row r="4072" spans="1:40" x14ac:dyDescent="0.25">
      <c r="A4072" t="str">
        <f>"20190305135315923"</f>
        <v>20190305135315923</v>
      </c>
      <c r="B4072" t="str">
        <f>"1551765195914530"</f>
        <v>1551765195914530</v>
      </c>
      <c r="C4072" t="s">
        <v>40</v>
      </c>
      <c r="D4072">
        <v>4.4626970000000004</v>
      </c>
      <c r="E4072">
        <v>0.55177189999999998</v>
      </c>
      <c r="F4072" t="s">
        <v>41</v>
      </c>
      <c r="G4072">
        <v>-254.2321</v>
      </c>
      <c r="H4072">
        <v>1.003511</v>
      </c>
      <c r="I4072">
        <v>141.3673</v>
      </c>
      <c r="J4072">
        <v>-253.78720000000001</v>
      </c>
      <c r="K4072">
        <v>1.109321</v>
      </c>
      <c r="L4072">
        <v>141.3321</v>
      </c>
      <c r="M4072">
        <v>-0.99932189999999999</v>
      </c>
      <c r="N4072">
        <v>-8.8059750000000006E-3</v>
      </c>
      <c r="O4072">
        <v>-3.575296E-2</v>
      </c>
      <c r="P4072">
        <v>-0.99194400000000005</v>
      </c>
      <c r="Q4072">
        <v>-3.7177290000000002E-2</v>
      </c>
      <c r="R4072">
        <v>-0.1210997</v>
      </c>
      <c r="S4072">
        <v>-3.0196529999999999</v>
      </c>
      <c r="T4072">
        <v>-0.41696480000000002</v>
      </c>
      <c r="U4072">
        <v>9.0103150000000007E-2</v>
      </c>
      <c r="V4072">
        <v>-8.550547E-2</v>
      </c>
      <c r="W4072">
        <v>-2.8558989999999999E-2</v>
      </c>
      <c r="X4072">
        <v>0.99592829999999999</v>
      </c>
      <c r="Y4072">
        <v>6.4595949999999999E-2</v>
      </c>
      <c r="Z4072">
        <v>9.3226809999999993E-3</v>
      </c>
      <c r="AA4072">
        <v>0.99786790000000003</v>
      </c>
      <c r="AB4072">
        <v>33</v>
      </c>
      <c r="AC4072">
        <v>-0.44489999999998903</v>
      </c>
      <c r="AD4072">
        <v>-0.105809999999999</v>
      </c>
      <c r="AE4072">
        <v>3.5200000000003201E-2</v>
      </c>
      <c r="AF4072">
        <v>4.8365922264756701E-2</v>
      </c>
      <c r="AG4072">
        <v>-0.105809999999999</v>
      </c>
      <c r="AH4072">
        <v>0.41976189897962202</v>
      </c>
      <c r="AI4072">
        <v>104.05860303518899</v>
      </c>
      <c r="AJ4072">
        <v>83.427234548959703</v>
      </c>
      <c r="AK4072">
        <v>0.435585893219121</v>
      </c>
      <c r="AL4072">
        <v>91.636532125519693</v>
      </c>
      <c r="AM4072">
        <v>94.907098506923703</v>
      </c>
      <c r="AN4072">
        <v>0.99999999002531503</v>
      </c>
    </row>
    <row r="4073" spans="1:40" x14ac:dyDescent="0.25">
      <c r="A4073" t="str">
        <f>"20190305135315944"</f>
        <v>20190305135315944</v>
      </c>
      <c r="B4073" t="str">
        <f>"1551765195934050"</f>
        <v>1551765195934050</v>
      </c>
      <c r="C4073" t="s">
        <v>40</v>
      </c>
      <c r="D4073">
        <v>4.4554099999999996</v>
      </c>
      <c r="E4073">
        <v>0.55065459999999899</v>
      </c>
      <c r="F4073" t="s">
        <v>41</v>
      </c>
      <c r="G4073">
        <v>-254.53630000000001</v>
      </c>
      <c r="H4073">
        <v>1.030195</v>
      </c>
      <c r="I4073">
        <v>141.3466</v>
      </c>
      <c r="J4073">
        <v>-254.0959</v>
      </c>
      <c r="K4073">
        <v>1.1093010000000001</v>
      </c>
      <c r="L4073">
        <v>141.3203</v>
      </c>
      <c r="M4073">
        <v>-0.99929480000000004</v>
      </c>
      <c r="N4073">
        <v>-8.808438E-3</v>
      </c>
      <c r="O4073">
        <v>-3.6503479999999998E-2</v>
      </c>
      <c r="P4073">
        <v>-0.99193249999999999</v>
      </c>
      <c r="Q4073">
        <v>-3.7219170000000003E-2</v>
      </c>
      <c r="R4073">
        <v>-0.1211821</v>
      </c>
      <c r="S4073">
        <v>-3.0194549999999998</v>
      </c>
      <c r="T4073">
        <v>-0.31898379999999998</v>
      </c>
      <c r="U4073">
        <v>5.7922359999999999E-2</v>
      </c>
      <c r="V4073">
        <v>-8.4841940000000005E-2</v>
      </c>
      <c r="W4073">
        <v>-2.8592550000000001E-2</v>
      </c>
      <c r="X4073">
        <v>0.99598410000000004</v>
      </c>
      <c r="Y4073">
        <v>5.5161710000000003E-2</v>
      </c>
      <c r="Z4073">
        <v>6.6733230000000001E-3</v>
      </c>
      <c r="AA4073">
        <v>0.99845510000000004</v>
      </c>
      <c r="AB4073">
        <v>33</v>
      </c>
      <c r="AC4073">
        <v>-0.44040000000001001</v>
      </c>
      <c r="AD4073">
        <v>-7.9106000000000107E-2</v>
      </c>
      <c r="AE4073">
        <v>2.6299999999992E-2</v>
      </c>
      <c r="AF4073">
        <v>4.1039803986762997E-2</v>
      </c>
      <c r="AG4073">
        <v>-7.9106000000000107E-2</v>
      </c>
      <c r="AH4073">
        <v>0.42546768590828599</v>
      </c>
      <c r="AI4073">
        <v>100.484996597975</v>
      </c>
      <c r="AJ4073">
        <v>84.490403260240001</v>
      </c>
      <c r="AK4073">
        <v>0.434700789623649</v>
      </c>
      <c r="AL4073">
        <v>91.638455727871701</v>
      </c>
      <c r="AM4073">
        <v>94.868931294866798</v>
      </c>
      <c r="AN4073">
        <v>1.0000000080756299</v>
      </c>
    </row>
    <row r="4074" spans="1:40" x14ac:dyDescent="0.25">
      <c r="A4074" t="str">
        <f>"20190305135315969"</f>
        <v>20190305135315969</v>
      </c>
      <c r="B4074" t="str">
        <f>"1551765195964307"</f>
        <v>1551765195964307</v>
      </c>
      <c r="C4074" t="s">
        <v>40</v>
      </c>
      <c r="D4074">
        <v>4.4663370000000002</v>
      </c>
      <c r="E4074">
        <v>0.55023520000000004</v>
      </c>
      <c r="F4074" t="s">
        <v>41</v>
      </c>
      <c r="G4074">
        <v>-254.83690000000001</v>
      </c>
      <c r="H4074">
        <v>1.046726</v>
      </c>
      <c r="I4074">
        <v>141.33170000000001</v>
      </c>
      <c r="J4074">
        <v>-254.43819999999999</v>
      </c>
      <c r="K4074">
        <v>1.109262</v>
      </c>
      <c r="L4074">
        <v>141.30709999999999</v>
      </c>
      <c r="M4074">
        <v>-0.99926610000000005</v>
      </c>
      <c r="N4074">
        <v>-8.811124E-3</v>
      </c>
      <c r="O4074">
        <v>-3.7277360000000002E-2</v>
      </c>
      <c r="P4074">
        <v>-0.99192119999999995</v>
      </c>
      <c r="Q4074">
        <v>-3.708127E-2</v>
      </c>
      <c r="R4074">
        <v>-0.12131409999999999</v>
      </c>
      <c r="S4074">
        <v>-3.0203859999999998</v>
      </c>
      <c r="T4074">
        <v>-0.25520470000000001</v>
      </c>
      <c r="U4074">
        <v>4.5410159999999998E-2</v>
      </c>
      <c r="V4074">
        <v>-8.4206370000000003E-2</v>
      </c>
      <c r="W4074">
        <v>-2.844232E-2</v>
      </c>
      <c r="X4074">
        <v>0.99604230000000005</v>
      </c>
      <c r="Y4074">
        <v>5.1985879999999998E-2</v>
      </c>
      <c r="Z4074">
        <v>5.2373690000000004E-3</v>
      </c>
      <c r="AA4074">
        <v>0.99863409999999997</v>
      </c>
      <c r="AB4074">
        <v>33</v>
      </c>
      <c r="AC4074">
        <v>-0.39870000000001898</v>
      </c>
      <c r="AD4074">
        <v>-6.2535999999999897E-2</v>
      </c>
      <c r="AE4074">
        <v>2.46000000000208E-2</v>
      </c>
      <c r="AF4074">
        <v>3.85023252408494E-2</v>
      </c>
      <c r="AG4074">
        <v>-6.2535999999999897E-2</v>
      </c>
      <c r="AH4074">
        <v>0.38799657497855899</v>
      </c>
      <c r="AI4074">
        <v>99.112002549092196</v>
      </c>
      <c r="AJ4074">
        <v>84.332882730731995</v>
      </c>
      <c r="AK4074">
        <v>0.39488545496136601</v>
      </c>
      <c r="AL4074">
        <v>91.629844741507597</v>
      </c>
      <c r="AM4074">
        <v>94.832349388569597</v>
      </c>
      <c r="AN4074">
        <v>0.99999997085242398</v>
      </c>
    </row>
    <row r="4075" spans="1:40" x14ac:dyDescent="0.25">
      <c r="A4075" t="str">
        <f>"20190305135315990"</f>
        <v>20190305135315990</v>
      </c>
      <c r="B4075" t="str">
        <f>"1551765195983826"</f>
        <v>1551765195983826</v>
      </c>
      <c r="C4075" t="s">
        <v>40</v>
      </c>
      <c r="D4075">
        <v>4.4941550000000001</v>
      </c>
      <c r="E4075">
        <v>0.55000599999999999</v>
      </c>
      <c r="F4075" t="s">
        <v>41</v>
      </c>
      <c r="G4075">
        <v>-255.41849999999999</v>
      </c>
      <c r="H4075">
        <v>1.039261</v>
      </c>
      <c r="I4075">
        <v>141.32</v>
      </c>
      <c r="J4075">
        <v>-254.76750000000001</v>
      </c>
      <c r="K4075">
        <v>1.1092089999999999</v>
      </c>
      <c r="L4075">
        <v>141.29409999999999</v>
      </c>
      <c r="M4075">
        <v>-0.99924080000000004</v>
      </c>
      <c r="N4075">
        <v>-8.8137760000000006E-3</v>
      </c>
      <c r="O4075">
        <v>-3.7951440000000003E-2</v>
      </c>
      <c r="P4075">
        <v>-0.99187309999999995</v>
      </c>
      <c r="Q4075">
        <v>-3.7097310000000001E-2</v>
      </c>
      <c r="R4075">
        <v>-0.1217041</v>
      </c>
      <c r="S4075">
        <v>-3.02121</v>
      </c>
      <c r="T4075">
        <v>-0.21581359999999999</v>
      </c>
      <c r="U4075">
        <v>3.9642330000000003E-2</v>
      </c>
      <c r="V4075">
        <v>-8.3929459999999997E-2</v>
      </c>
      <c r="W4075">
        <v>-2.844468E-2</v>
      </c>
      <c r="X4075">
        <v>0.9960656</v>
      </c>
      <c r="Y4075">
        <v>5.0840589999999998E-2</v>
      </c>
      <c r="Z4075">
        <v>4.4107790000000001E-3</v>
      </c>
      <c r="AA4075">
        <v>0.99869699999999995</v>
      </c>
      <c r="AB4075">
        <v>33</v>
      </c>
      <c r="AC4075">
        <v>-0.65099999999998204</v>
      </c>
      <c r="AD4075">
        <v>-6.9948000000000093E-2</v>
      </c>
      <c r="AE4075">
        <v>2.5900000000007101E-2</v>
      </c>
      <c r="AF4075">
        <v>5.0012213330542399E-2</v>
      </c>
      <c r="AG4075">
        <v>-6.9948000000000093E-2</v>
      </c>
      <c r="AH4075">
        <v>0.64214622119686604</v>
      </c>
      <c r="AI4075">
        <v>96.198008199140901</v>
      </c>
      <c r="AJ4075">
        <v>85.546628054114095</v>
      </c>
      <c r="AK4075">
        <v>0.64787785390738095</v>
      </c>
      <c r="AL4075">
        <v>91.629980020906103</v>
      </c>
      <c r="AM4075">
        <v>94.816421103736204</v>
      </c>
      <c r="AN4075">
        <v>0.99999996678977598</v>
      </c>
    </row>
    <row r="4076" spans="1:40" x14ac:dyDescent="0.25">
      <c r="A4076" t="str">
        <f>"20190305135316014"</f>
        <v>20190305135316014</v>
      </c>
      <c r="B4076" t="str">
        <f>"1551765196004322"</f>
        <v>1551765196004322</v>
      </c>
      <c r="C4076" t="s">
        <v>40</v>
      </c>
      <c r="D4076">
        <v>4.5037900000000004</v>
      </c>
      <c r="E4076">
        <v>0.54993199999999998</v>
      </c>
      <c r="F4076" t="s">
        <v>41</v>
      </c>
      <c r="G4076">
        <v>-255.71459999999999</v>
      </c>
      <c r="H4076">
        <v>1.0448470000000001</v>
      </c>
      <c r="I4076">
        <v>141.30539999999999</v>
      </c>
      <c r="J4076">
        <v>-255.1028</v>
      </c>
      <c r="K4076">
        <v>1.1091500000000001</v>
      </c>
      <c r="L4076">
        <v>141.2807</v>
      </c>
      <c r="M4076">
        <v>-0.99921700000000002</v>
      </c>
      <c r="N4076">
        <v>-8.8165750000000001E-3</v>
      </c>
      <c r="O4076">
        <v>-3.856801E-2</v>
      </c>
      <c r="P4076">
        <v>-0.99184079999999997</v>
      </c>
      <c r="Q4076">
        <v>-3.6796019999999999E-2</v>
      </c>
      <c r="R4076">
        <v>-0.1220547</v>
      </c>
      <c r="S4076">
        <v>-3.0213009999999998</v>
      </c>
      <c r="T4076">
        <v>-0.20530019999999999</v>
      </c>
      <c r="U4076">
        <v>3.6056520000000002E-2</v>
      </c>
      <c r="V4076">
        <v>-8.3670880000000003E-2</v>
      </c>
      <c r="W4076">
        <v>-2.81286E-2</v>
      </c>
      <c r="X4076">
        <v>0.99609639999999999</v>
      </c>
      <c r="Y4076">
        <v>5.0292770000000001E-2</v>
      </c>
      <c r="Z4076">
        <v>4.2062459999999899E-3</v>
      </c>
      <c r="AA4076">
        <v>0.99872570000000005</v>
      </c>
      <c r="AB4076">
        <v>33</v>
      </c>
      <c r="AC4076">
        <v>-0.61179999999998802</v>
      </c>
      <c r="AD4076">
        <v>-6.4303000000000193E-2</v>
      </c>
      <c r="AE4076">
        <v>2.4699999999995701E-2</v>
      </c>
      <c r="AF4076">
        <v>4.7751794151282202E-2</v>
      </c>
      <c r="AG4076">
        <v>-6.4303000000000193E-2</v>
      </c>
      <c r="AH4076">
        <v>0.60373352625689303</v>
      </c>
      <c r="AI4076">
        <v>96.060804164061906</v>
      </c>
      <c r="AJ4076">
        <v>85.477653381904005</v>
      </c>
      <c r="AK4076">
        <v>0.60902321826039496</v>
      </c>
      <c r="AL4076">
        <v>91.611862608753697</v>
      </c>
      <c r="AM4076">
        <v>94.801503803846799</v>
      </c>
      <c r="AN4076">
        <v>1.00000003619544</v>
      </c>
    </row>
    <row r="4077" spans="1:40" x14ac:dyDescent="0.25">
      <c r="A4077" t="str">
        <f>"20190305135316034"</f>
        <v>20190305135316034</v>
      </c>
      <c r="B4077" t="str">
        <f>"1551765196023842"</f>
        <v>1551765196023842</v>
      </c>
      <c r="C4077" t="s">
        <v>40</v>
      </c>
      <c r="D4077">
        <v>4.4924239999999998</v>
      </c>
      <c r="E4077">
        <v>0.54987980000000003</v>
      </c>
      <c r="F4077" t="s">
        <v>41</v>
      </c>
      <c r="G4077">
        <v>-256.01209999999998</v>
      </c>
      <c r="H4077">
        <v>1.049256</v>
      </c>
      <c r="I4077">
        <v>141.2912</v>
      </c>
      <c r="J4077">
        <v>-255.4162</v>
      </c>
      <c r="K4077">
        <v>1.1090949999999999</v>
      </c>
      <c r="L4077">
        <v>141.2681</v>
      </c>
      <c r="M4077">
        <v>-0.99919789999999997</v>
      </c>
      <c r="N4077">
        <v>-8.8192510000000002E-3</v>
      </c>
      <c r="O4077">
        <v>-3.9062609999999998E-2</v>
      </c>
      <c r="P4077">
        <v>-0.99188180000000004</v>
      </c>
      <c r="Q4077">
        <v>-3.6936179999999999E-2</v>
      </c>
      <c r="R4077">
        <v>-0.1216815</v>
      </c>
      <c r="S4077">
        <v>-3.0214840000000001</v>
      </c>
      <c r="T4077">
        <v>-0.19913719999999999</v>
      </c>
      <c r="U4077">
        <v>3.4164430000000003E-2</v>
      </c>
      <c r="V4077">
        <v>-8.2807539999999999E-2</v>
      </c>
      <c r="W4077">
        <v>-2.8252550000000001E-2</v>
      </c>
      <c r="X4077">
        <v>0.99616499999999997</v>
      </c>
      <c r="Y4077">
        <v>5.0172460000000002E-2</v>
      </c>
      <c r="Z4077">
        <v>4.1001010000000001E-3</v>
      </c>
      <c r="AA4077">
        <v>0.99873210000000001</v>
      </c>
      <c r="AB4077">
        <v>33</v>
      </c>
      <c r="AC4077">
        <v>-0.59589999999997101</v>
      </c>
      <c r="AD4077">
        <v>-5.9839000000000198E-2</v>
      </c>
      <c r="AE4077">
        <v>2.3099999999999399E-2</v>
      </c>
      <c r="AF4077">
        <v>4.5898546410079198E-2</v>
      </c>
      <c r="AG4077">
        <v>-5.9839000000000198E-2</v>
      </c>
      <c r="AH4077">
        <v>0.58861622123324997</v>
      </c>
      <c r="AI4077">
        <v>95.787325144797805</v>
      </c>
      <c r="AJ4077">
        <v>85.541267498405006</v>
      </c>
      <c r="AK4077">
        <v>0.59342770274269097</v>
      </c>
      <c r="AL4077">
        <v>91.618967300590597</v>
      </c>
      <c r="AM4077">
        <v>94.7518628377845</v>
      </c>
      <c r="AN4077">
        <v>1.0000000012436701</v>
      </c>
    </row>
    <row r="4078" spans="1:40" x14ac:dyDescent="0.25">
      <c r="A4078" t="str">
        <f>"20190305135316057"</f>
        <v>20190305135316057</v>
      </c>
      <c r="B4078" t="str">
        <f>"1551765196044339"</f>
        <v>1551765196044339</v>
      </c>
      <c r="C4078" t="s">
        <v>40</v>
      </c>
      <c r="D4078">
        <v>4.4819250000000004</v>
      </c>
      <c r="E4078">
        <v>0.54974480000000003</v>
      </c>
      <c r="F4078" t="s">
        <v>41</v>
      </c>
      <c r="G4078">
        <v>-256.30779999999999</v>
      </c>
      <c r="H4078">
        <v>1.0505450000000001</v>
      </c>
      <c r="I4078">
        <v>141.27850000000001</v>
      </c>
      <c r="J4078">
        <v>-255.7355</v>
      </c>
      <c r="K4078">
        <v>1.1090249999999999</v>
      </c>
      <c r="L4078">
        <v>141.2552</v>
      </c>
      <c r="M4078">
        <v>-0.99918200000000001</v>
      </c>
      <c r="N4078">
        <v>-8.8220820000000002E-3</v>
      </c>
      <c r="O4078">
        <v>-3.9464319999999997E-2</v>
      </c>
      <c r="P4078">
        <v>-0.99186269999999999</v>
      </c>
      <c r="Q4078">
        <v>-3.7028329999999998E-2</v>
      </c>
      <c r="R4078">
        <v>-0.1218095</v>
      </c>
      <c r="S4078">
        <v>-3.0214690000000002</v>
      </c>
      <c r="T4078">
        <v>-0.19843479999999999</v>
      </c>
      <c r="U4078">
        <v>3.489685E-2</v>
      </c>
      <c r="V4078">
        <v>-8.2540390000000005E-2</v>
      </c>
      <c r="W4078">
        <v>-2.8327189999999999E-2</v>
      </c>
      <c r="X4078">
        <v>0.99618510000000005</v>
      </c>
      <c r="Y4078">
        <v>5.081521E-2</v>
      </c>
      <c r="Z4078">
        <v>4.1319349999999998E-3</v>
      </c>
      <c r="AA4078">
        <v>0.99869949999999996</v>
      </c>
      <c r="AB4078">
        <v>33</v>
      </c>
      <c r="AC4078">
        <v>-0.57229999999998404</v>
      </c>
      <c r="AD4078">
        <v>-5.8479999999999803E-2</v>
      </c>
      <c r="AE4078">
        <v>2.3300000000006E-2</v>
      </c>
      <c r="AF4078">
        <v>4.5394945798152002E-2</v>
      </c>
      <c r="AG4078">
        <v>-5.8479999999999803E-2</v>
      </c>
      <c r="AH4078">
        <v>0.56504437125433404</v>
      </c>
      <c r="AI4078">
        <v>95.890019989983401</v>
      </c>
      <c r="AJ4078">
        <v>85.406795019943203</v>
      </c>
      <c r="AK4078">
        <v>0.56987345348789797</v>
      </c>
      <c r="AL4078">
        <v>91.623245491433394</v>
      </c>
      <c r="AM4078">
        <v>94.736507317365593</v>
      </c>
      <c r="AN4078">
        <v>1.0000000495683199</v>
      </c>
    </row>
    <row r="4079" spans="1:40" x14ac:dyDescent="0.25">
      <c r="A4079" t="str">
        <f>"20190305135316080"</f>
        <v>20190305135316080</v>
      </c>
      <c r="B4079" t="str">
        <f>"1551765196073619"</f>
        <v>1551765196073619</v>
      </c>
      <c r="C4079" t="s">
        <v>40</v>
      </c>
      <c r="D4079">
        <v>4.5287610000000003</v>
      </c>
      <c r="E4079">
        <v>0.5494791</v>
      </c>
      <c r="F4079" t="s">
        <v>41</v>
      </c>
      <c r="G4079">
        <v>-256.60430000000002</v>
      </c>
      <c r="H4079">
        <v>1.052135</v>
      </c>
      <c r="I4079">
        <v>141.26499999999999</v>
      </c>
      <c r="J4079">
        <v>-256.07499999999999</v>
      </c>
      <c r="K4079">
        <v>1.108932</v>
      </c>
      <c r="L4079">
        <v>141.2414</v>
      </c>
      <c r="M4079">
        <v>-0.99916990000000006</v>
      </c>
      <c r="N4079">
        <v>-8.8253059999999998E-3</v>
      </c>
      <c r="O4079">
        <v>-3.9767610000000002E-2</v>
      </c>
      <c r="P4079">
        <v>-0.9918747</v>
      </c>
      <c r="Q4079">
        <v>-3.6895530000000003E-2</v>
      </c>
      <c r="R4079">
        <v>-0.12175080000000001</v>
      </c>
      <c r="S4079">
        <v>-3.0213320000000001</v>
      </c>
      <c r="T4079">
        <v>-0.197907</v>
      </c>
      <c r="U4079">
        <v>3.3401489999999999E-2</v>
      </c>
      <c r="V4079">
        <v>-8.2185430000000004E-2</v>
      </c>
      <c r="W4079">
        <v>-2.8172659999999999E-2</v>
      </c>
      <c r="X4079">
        <v>0.99621879999999996</v>
      </c>
      <c r="Y4079">
        <v>5.0625620000000003E-2</v>
      </c>
      <c r="Z4079">
        <v>4.1309049999999998E-3</v>
      </c>
      <c r="AA4079">
        <v>0.99870910000000002</v>
      </c>
      <c r="AB4079">
        <v>33</v>
      </c>
      <c r="AC4079">
        <v>-0.52930000000003397</v>
      </c>
      <c r="AD4079">
        <v>-5.6796999999999903E-2</v>
      </c>
      <c r="AE4079">
        <v>2.35999999999876E-2</v>
      </c>
      <c r="AF4079">
        <v>4.41240863413229E-2</v>
      </c>
      <c r="AG4079">
        <v>-5.6796999999999903E-2</v>
      </c>
      <c r="AH4079">
        <v>0.52194468091948698</v>
      </c>
      <c r="AI4079">
        <v>96.188476660049503</v>
      </c>
      <c r="AJ4079">
        <v>85.167826842252495</v>
      </c>
      <c r="AK4079">
        <v>0.52687672575717504</v>
      </c>
      <c r="AL4079">
        <v>91.614388086788495</v>
      </c>
      <c r="AM4079">
        <v>94.7160715111347</v>
      </c>
      <c r="AN4079">
        <v>1.0000000205746</v>
      </c>
    </row>
    <row r="4080" spans="1:40" x14ac:dyDescent="0.25">
      <c r="A4080" t="str">
        <f>"20190305135316103"</f>
        <v>20190305135316103</v>
      </c>
      <c r="B4080" t="str">
        <f>"1551765196094115"</f>
        <v>1551765196094115</v>
      </c>
      <c r="C4080" t="s">
        <v>40</v>
      </c>
      <c r="D4080">
        <v>4.5240220000000004</v>
      </c>
      <c r="E4080">
        <v>0.5492958</v>
      </c>
      <c r="F4080" t="s">
        <v>41</v>
      </c>
      <c r="G4080">
        <v>-256.90440000000001</v>
      </c>
      <c r="H4080">
        <v>1.0547569999999999</v>
      </c>
      <c r="I4080">
        <v>141.25020000000001</v>
      </c>
      <c r="J4080">
        <v>-256.42770000000002</v>
      </c>
      <c r="K4080">
        <v>1.1088370000000001</v>
      </c>
      <c r="L4080">
        <v>141.22710000000001</v>
      </c>
      <c r="M4080">
        <v>-0.99916210000000005</v>
      </c>
      <c r="N4080">
        <v>-8.8287569999999996E-3</v>
      </c>
      <c r="O4080">
        <v>-3.9965819999999999E-2</v>
      </c>
      <c r="P4080">
        <v>-0.99191220000000002</v>
      </c>
      <c r="Q4080">
        <v>-3.6450780000000002E-2</v>
      </c>
      <c r="R4080">
        <v>-0.1215802</v>
      </c>
      <c r="S4080">
        <v>-3.0210569999999999</v>
      </c>
      <c r="T4080">
        <v>-0.19740779999999999</v>
      </c>
      <c r="U4080">
        <v>3.1524660000000003E-2</v>
      </c>
      <c r="V4080">
        <v>-8.1822629999999993E-2</v>
      </c>
      <c r="W4080">
        <v>-2.7704570000000001E-2</v>
      </c>
      <c r="X4080">
        <v>0.99626179999999998</v>
      </c>
      <c r="Y4080">
        <v>5.0205989999999999E-2</v>
      </c>
      <c r="Z4080">
        <v>4.116158E-3</v>
      </c>
      <c r="AA4080">
        <v>0.99873040000000002</v>
      </c>
      <c r="AB4080">
        <v>33</v>
      </c>
      <c r="AC4080">
        <v>-0.47669999999999302</v>
      </c>
      <c r="AD4080">
        <v>-5.40800000000001E-2</v>
      </c>
      <c r="AE4080">
        <v>2.3099999999999399E-2</v>
      </c>
      <c r="AF4080">
        <v>4.1599849245149603E-2</v>
      </c>
      <c r="AG4080">
        <v>-5.40800000000001E-2</v>
      </c>
      <c r="AH4080">
        <v>0.46936917108995901</v>
      </c>
      <c r="AI4080">
        <v>96.547110545903806</v>
      </c>
      <c r="AJ4080">
        <v>84.9351506615387</v>
      </c>
      <c r="AK4080">
        <v>0.47430223763639801</v>
      </c>
      <c r="AL4080">
        <v>91.587558017240596</v>
      </c>
      <c r="AM4080">
        <v>94.695144384459695</v>
      </c>
      <c r="AN4080">
        <v>1.0000000300591201</v>
      </c>
    </row>
    <row r="4081" spans="1:40" x14ac:dyDescent="0.25">
      <c r="A4081" t="str">
        <f>"20190305135316124"</f>
        <v>20190305135316124</v>
      </c>
      <c r="B4081" t="str">
        <f>"1551765196114141"</f>
        <v>1551765196114141</v>
      </c>
      <c r="C4081" t="s">
        <v>40</v>
      </c>
      <c r="D4081">
        <v>4.5203530000000001</v>
      </c>
      <c r="E4081">
        <v>0.54912380000000005</v>
      </c>
      <c r="F4081" t="s">
        <v>42</v>
      </c>
      <c r="G4081">
        <v>-273.45639999999997</v>
      </c>
      <c r="H4081" s="1">
        <v>-3.2640699999999998E-6</v>
      </c>
      <c r="I4081">
        <v>141.3997</v>
      </c>
      <c r="J4081">
        <v>-256.7475</v>
      </c>
      <c r="K4081">
        <v>1.1087590000000001</v>
      </c>
      <c r="L4081">
        <v>141.21420000000001</v>
      </c>
      <c r="M4081">
        <v>-0.99915889999999996</v>
      </c>
      <c r="N4081">
        <v>-8.8269260000000006E-3</v>
      </c>
      <c r="O4081">
        <v>-4.0047369999999999E-2</v>
      </c>
      <c r="P4081">
        <v>-0.99197259999999998</v>
      </c>
      <c r="Q4081">
        <v>-3.6412060000000003E-2</v>
      </c>
      <c r="R4081">
        <v>-0.121098</v>
      </c>
      <c r="S4081">
        <v>-3.0209959999999998</v>
      </c>
      <c r="T4081">
        <v>-0.19671569999999999</v>
      </c>
      <c r="U4081">
        <v>3.0624390000000001E-2</v>
      </c>
      <c r="V4081">
        <v>-8.1262639999999997E-2</v>
      </c>
      <c r="W4081">
        <v>-2.7650689999999999E-2</v>
      </c>
      <c r="X4081">
        <v>0.99630909999999995</v>
      </c>
      <c r="Y4081">
        <v>4.9991819999999999E-2</v>
      </c>
      <c r="Z4081">
        <v>4.0980790000000001E-3</v>
      </c>
      <c r="AA4081">
        <v>0.9987412</v>
      </c>
      <c r="AB4081">
        <v>33</v>
      </c>
      <c r="AC4081">
        <v>-16.7088999999999</v>
      </c>
      <c r="AD4081">
        <v>-1.1087622640699999</v>
      </c>
      <c r="AE4081">
        <v>0.18549999999999001</v>
      </c>
      <c r="AF4081">
        <v>0.85077887798706797</v>
      </c>
      <c r="AG4081">
        <v>-1.1087622640699999</v>
      </c>
      <c r="AH4081">
        <v>16.614913788247598</v>
      </c>
      <c r="AI4081">
        <v>93.812875255613605</v>
      </c>
      <c r="AJ4081">
        <v>87.068687683435499</v>
      </c>
      <c r="AK4081">
        <v>16.673588055615198</v>
      </c>
      <c r="AL4081">
        <v>91.584469785208498</v>
      </c>
      <c r="AM4081">
        <v>94.662932838109597</v>
      </c>
      <c r="AN4081">
        <v>1.00000000003002</v>
      </c>
    </row>
    <row r="4082" spans="1:40" x14ac:dyDescent="0.25">
      <c r="A4082" t="str">
        <f>"20190305135316145"</f>
        <v>20190305135316145</v>
      </c>
      <c r="B4082" t="str">
        <f>"1551765196133662"</f>
        <v>1551765196133662</v>
      </c>
      <c r="C4082" t="s">
        <v>40</v>
      </c>
      <c r="D4082">
        <v>4.5598859999999997</v>
      </c>
      <c r="E4082">
        <v>0.54894149999999997</v>
      </c>
      <c r="F4082" t="s">
        <v>42</v>
      </c>
      <c r="G4082">
        <v>-273.70370000000003</v>
      </c>
      <c r="H4082" s="1">
        <v>-3.154392E-6</v>
      </c>
      <c r="I4082">
        <v>141.38630000000001</v>
      </c>
      <c r="J4082">
        <v>-257.04349999999999</v>
      </c>
      <c r="K4082">
        <v>1.1086800000000001</v>
      </c>
      <c r="L4082">
        <v>141.20240000000001</v>
      </c>
      <c r="M4082">
        <v>-0.99915929999999997</v>
      </c>
      <c r="N4082">
        <v>-8.8129200000000001E-3</v>
      </c>
      <c r="O4082">
        <v>-4.0038299999999999E-2</v>
      </c>
      <c r="P4082">
        <v>-0.99207140000000005</v>
      </c>
      <c r="Q4082">
        <v>-3.6292430000000001E-2</v>
      </c>
      <c r="R4082">
        <v>-0.1203224</v>
      </c>
      <c r="S4082">
        <v>-3.0207820000000001</v>
      </c>
      <c r="T4082">
        <v>-0.1975286</v>
      </c>
      <c r="U4082">
        <v>3.067017E-2</v>
      </c>
      <c r="V4082">
        <v>-8.0497059999999995E-2</v>
      </c>
      <c r="W4082">
        <v>-2.753015E-2</v>
      </c>
      <c r="X4082">
        <v>0.9963746</v>
      </c>
      <c r="Y4082">
        <v>4.9997010000000001E-2</v>
      </c>
      <c r="Z4082">
        <v>4.115718E-3</v>
      </c>
      <c r="AA4082">
        <v>0.99874090000000004</v>
      </c>
      <c r="AB4082">
        <v>33</v>
      </c>
      <c r="AC4082">
        <v>-16.6602</v>
      </c>
      <c r="AD4082">
        <v>-1.1086831543919999</v>
      </c>
      <c r="AE4082">
        <v>0.18389999999999401</v>
      </c>
      <c r="AF4082">
        <v>0.84707371519922603</v>
      </c>
      <c r="AG4082">
        <v>-1.1086831543919999</v>
      </c>
      <c r="AH4082">
        <v>16.566122811493699</v>
      </c>
      <c r="AI4082">
        <v>93.823813901876605</v>
      </c>
      <c r="AJ4082">
        <v>87.072850583764804</v>
      </c>
      <c r="AK4082">
        <v>16.624774802123099</v>
      </c>
      <c r="AL4082">
        <v>91.577560698632396</v>
      </c>
      <c r="AM4082">
        <v>94.618891737000993</v>
      </c>
      <c r="AN4082">
        <v>1.0000000146764101</v>
      </c>
    </row>
    <row r="4083" spans="1:40" x14ac:dyDescent="0.25">
      <c r="A4083" t="str">
        <f>"20190305135316170"</f>
        <v>20190305135316170</v>
      </c>
      <c r="B4083" t="str">
        <f>"1551765196163918"</f>
        <v>1551765196163918</v>
      </c>
      <c r="C4083" t="s">
        <v>40</v>
      </c>
      <c r="D4083">
        <v>4.57111</v>
      </c>
      <c r="E4083">
        <v>0.54865929999999996</v>
      </c>
      <c r="F4083" t="s">
        <v>42</v>
      </c>
      <c r="G4083">
        <v>-273.91840000000002</v>
      </c>
      <c r="H4083" s="1">
        <v>-3.0603379999999999E-6</v>
      </c>
      <c r="I4083">
        <v>141.37889999999999</v>
      </c>
      <c r="J4083">
        <v>-257.4117</v>
      </c>
      <c r="K4083">
        <v>1.108579</v>
      </c>
      <c r="L4083">
        <v>141.18770000000001</v>
      </c>
      <c r="M4083">
        <v>-0.99916419999999995</v>
      </c>
      <c r="N4083">
        <v>-8.7675300000000008E-3</v>
      </c>
      <c r="O4083">
        <v>-3.9927560000000001E-2</v>
      </c>
      <c r="P4083">
        <v>-0.9921854</v>
      </c>
      <c r="Q4083">
        <v>-3.6685339999999997E-2</v>
      </c>
      <c r="R4083">
        <v>-0.1192579</v>
      </c>
      <c r="S4083">
        <v>-3.0205380000000002</v>
      </c>
      <c r="T4083">
        <v>-0.19844990000000001</v>
      </c>
      <c r="U4083">
        <v>3.1616209999999999E-2</v>
      </c>
      <c r="V4083">
        <v>-7.9545420000000006E-2</v>
      </c>
      <c r="W4083">
        <v>-2.7951960000000001E-2</v>
      </c>
      <c r="X4083">
        <v>0.99643930000000003</v>
      </c>
      <c r="Y4083">
        <v>5.0197760000000001E-2</v>
      </c>
      <c r="Z4083">
        <v>4.1376900000000003E-3</v>
      </c>
      <c r="AA4083">
        <v>0.99873069999999997</v>
      </c>
      <c r="AB4083">
        <v>33</v>
      </c>
      <c r="AC4083">
        <v>-16.506699999999999</v>
      </c>
      <c r="AD4083">
        <v>-1.1085820603380001</v>
      </c>
      <c r="AE4083">
        <v>0.19119999999998</v>
      </c>
      <c r="AF4083">
        <v>0.84632828170087704</v>
      </c>
      <c r="AG4083">
        <v>-1.1085820603380001</v>
      </c>
      <c r="AH4083">
        <v>16.411887459415301</v>
      </c>
      <c r="AI4083">
        <v>93.859204547841898</v>
      </c>
      <c r="AJ4083">
        <v>87.047985870912399</v>
      </c>
      <c r="AK4083">
        <v>16.471043553018198</v>
      </c>
      <c r="AL4083">
        <v>91.601737907843699</v>
      </c>
      <c r="AM4083">
        <v>94.564223971965802</v>
      </c>
      <c r="AN4083">
        <v>1.0000000322476501</v>
      </c>
    </row>
    <row r="4084" spans="1:40" x14ac:dyDescent="0.25">
      <c r="A4084" t="str">
        <f>"20190305135316192"</f>
        <v>20190305135316192</v>
      </c>
      <c r="B4084" t="str">
        <f>"1551765196184414"</f>
        <v>1551765196184414</v>
      </c>
      <c r="C4084" t="s">
        <v>40</v>
      </c>
      <c r="D4084">
        <v>4.5593859999999999</v>
      </c>
      <c r="E4084">
        <v>0.54849329999999996</v>
      </c>
      <c r="F4084" t="s">
        <v>41</v>
      </c>
      <c r="G4084">
        <v>-258.38010000000003</v>
      </c>
      <c r="H4084">
        <v>1.0443770000000001</v>
      </c>
      <c r="I4084">
        <v>141.19829999999999</v>
      </c>
      <c r="J4084">
        <v>-257.75889999999998</v>
      </c>
      <c r="K4084">
        <v>1.108492</v>
      </c>
      <c r="L4084">
        <v>141.17400000000001</v>
      </c>
      <c r="M4084">
        <v>-0.99917180000000005</v>
      </c>
      <c r="N4084">
        <v>-8.6979799999999993E-3</v>
      </c>
      <c r="O4084">
        <v>-3.9752900000000001E-2</v>
      </c>
      <c r="P4084">
        <v>-0.99230890000000005</v>
      </c>
      <c r="Q4084">
        <v>-3.7145749999999998E-2</v>
      </c>
      <c r="R4084">
        <v>-0.11808390000000001</v>
      </c>
      <c r="S4084">
        <v>-3.0201419999999999</v>
      </c>
      <c r="T4084">
        <v>-0.20029559999999999</v>
      </c>
      <c r="U4084">
        <v>3.2638550000000002E-2</v>
      </c>
      <c r="V4084">
        <v>-7.8545480000000001E-2</v>
      </c>
      <c r="W4084">
        <v>-2.8468719999999999E-2</v>
      </c>
      <c r="X4084">
        <v>0.9965039</v>
      </c>
      <c r="Y4084">
        <v>5.035883E-2</v>
      </c>
      <c r="Z4084">
        <v>4.1748829999999999E-3</v>
      </c>
      <c r="AA4084">
        <v>0.99872240000000001</v>
      </c>
      <c r="AB4084">
        <v>33</v>
      </c>
      <c r="AC4084">
        <v>-0.62120000000004405</v>
      </c>
      <c r="AD4084">
        <v>-6.4114999999999894E-2</v>
      </c>
      <c r="AE4084">
        <v>2.4299999999982402E-2</v>
      </c>
      <c r="AF4084">
        <v>4.8460777703703099E-2</v>
      </c>
      <c r="AG4084">
        <v>-6.4114999999999894E-2</v>
      </c>
      <c r="AH4084">
        <v>0.61322047445120098</v>
      </c>
      <c r="AI4084">
        <v>95.950430335292694</v>
      </c>
      <c r="AJ4084">
        <v>85.481495545075305</v>
      </c>
      <c r="AK4084">
        <v>0.61846465581050303</v>
      </c>
      <c r="AL4084">
        <v>91.631358010660193</v>
      </c>
      <c r="AM4084">
        <v>94.506795491119206</v>
      </c>
      <c r="AN4084">
        <v>0.999999941581037</v>
      </c>
    </row>
    <row r="4085" spans="1:40" x14ac:dyDescent="0.25">
      <c r="A4085" t="str">
        <f>"20190305135316214"</f>
        <v>20190305135316214</v>
      </c>
      <c r="B4085" t="str">
        <f>"1551765196203465"</f>
        <v>1551765196203465</v>
      </c>
      <c r="C4085" t="s">
        <v>40</v>
      </c>
      <c r="D4085">
        <v>4.6051650000000004</v>
      </c>
      <c r="E4085">
        <v>0.5483903</v>
      </c>
      <c r="F4085" t="s">
        <v>41</v>
      </c>
      <c r="G4085">
        <v>-258.68060000000003</v>
      </c>
      <c r="H4085">
        <v>1.046745</v>
      </c>
      <c r="I4085">
        <v>141.1848</v>
      </c>
      <c r="J4085">
        <v>-258.0795</v>
      </c>
      <c r="K4085">
        <v>1.1084179999999999</v>
      </c>
      <c r="L4085">
        <v>141.16130000000001</v>
      </c>
      <c r="M4085">
        <v>-0.99918050000000003</v>
      </c>
      <c r="N4085">
        <v>-8.6199309999999904E-3</v>
      </c>
      <c r="O4085">
        <v>-3.955111E-2</v>
      </c>
      <c r="P4085">
        <v>-0.99251630000000002</v>
      </c>
      <c r="Q4085">
        <v>-3.730427E-2</v>
      </c>
      <c r="R4085">
        <v>-0.1162763</v>
      </c>
      <c r="S4085">
        <v>-3.0198360000000002</v>
      </c>
      <c r="T4085">
        <v>-0.2023885</v>
      </c>
      <c r="U4085">
        <v>3.4851069999999998E-2</v>
      </c>
      <c r="V4085">
        <v>-7.6935950000000003E-2</v>
      </c>
      <c r="W4085">
        <v>-2.8695129999999999E-2</v>
      </c>
      <c r="X4085">
        <v>0.99662300000000004</v>
      </c>
      <c r="Y4085">
        <v>5.0884659999999998E-2</v>
      </c>
      <c r="Z4085">
        <v>4.2294109999999998E-3</v>
      </c>
      <c r="AA4085">
        <v>0.99869560000000002</v>
      </c>
      <c r="AB4085">
        <v>33</v>
      </c>
      <c r="AC4085">
        <v>-0.60110000000003005</v>
      </c>
      <c r="AD4085">
        <v>-6.1672999999999999E-2</v>
      </c>
      <c r="AE4085">
        <v>2.3499999999984301E-2</v>
      </c>
      <c r="AF4085">
        <v>4.6765127168515497E-2</v>
      </c>
      <c r="AG4085">
        <v>-6.1672999999999999E-2</v>
      </c>
      <c r="AH4085">
        <v>0.59346241727528204</v>
      </c>
      <c r="AI4085">
        <v>95.914713524269303</v>
      </c>
      <c r="AJ4085">
        <v>85.494375227963104</v>
      </c>
      <c r="AK4085">
        <v>0.59848824279705604</v>
      </c>
      <c r="AL4085">
        <v>91.644335591764602</v>
      </c>
      <c r="AM4085">
        <v>94.414287012828098</v>
      </c>
      <c r="AN4085">
        <v>0.99999997750855896</v>
      </c>
    </row>
    <row r="4086" spans="1:40" x14ac:dyDescent="0.25">
      <c r="A4086" t="str">
        <f>"20190305135316235"</f>
        <v>20190305135316235</v>
      </c>
      <c r="B4086" t="str">
        <f>"1551765196223962"</f>
        <v>1551765196223962</v>
      </c>
      <c r="C4086" t="s">
        <v>40</v>
      </c>
      <c r="D4086">
        <v>4.9283780000000004</v>
      </c>
      <c r="E4086">
        <v>0.57221390000000005</v>
      </c>
      <c r="F4086" t="s">
        <v>41</v>
      </c>
      <c r="G4086">
        <v>-258.98160000000001</v>
      </c>
      <c r="H4086">
        <v>1.047974</v>
      </c>
      <c r="I4086">
        <v>141.17339999999999</v>
      </c>
      <c r="J4086">
        <v>-258.39980000000003</v>
      </c>
      <c r="K4086">
        <v>1.1083590000000001</v>
      </c>
      <c r="L4086">
        <v>141.14879999999999</v>
      </c>
      <c r="M4086">
        <v>-0.99919029999999998</v>
      </c>
      <c r="N4086">
        <v>-8.5174910000000003E-3</v>
      </c>
      <c r="O4086">
        <v>-3.9322990000000002E-2</v>
      </c>
      <c r="P4086">
        <v>-0.99266710000000002</v>
      </c>
      <c r="Q4086">
        <v>-3.8493340000000001E-2</v>
      </c>
      <c r="R4086">
        <v>-0.11458840000000001</v>
      </c>
      <c r="S4086">
        <v>-3.0196230000000002</v>
      </c>
      <c r="T4086">
        <v>-0.20239509999999999</v>
      </c>
      <c r="U4086">
        <v>3.9459229999999998E-2</v>
      </c>
      <c r="V4086">
        <v>-7.5474079999999999E-2</v>
      </c>
      <c r="W4086">
        <v>-2.9979120000000001E-2</v>
      </c>
      <c r="X4086">
        <v>0.99669700000000006</v>
      </c>
      <c r="Y4086">
        <v>5.2178269999999999E-2</v>
      </c>
      <c r="Z4086">
        <v>4.2667800000000004E-3</v>
      </c>
      <c r="AA4086">
        <v>0.99862870000000004</v>
      </c>
      <c r="AB4086">
        <v>33</v>
      </c>
      <c r="AC4086">
        <v>-0.58179999999998699</v>
      </c>
      <c r="AD4086">
        <v>-6.0385000000000098E-2</v>
      </c>
      <c r="AE4086">
        <v>2.4599999999992399E-2</v>
      </c>
      <c r="AF4086">
        <v>4.6955002827519597E-2</v>
      </c>
      <c r="AG4086">
        <v>-6.0385000000000098E-2</v>
      </c>
      <c r="AH4086">
        <v>0.57420805995759405</v>
      </c>
      <c r="AI4086">
        <v>95.983460049415001</v>
      </c>
      <c r="AJ4086">
        <v>85.325125202566696</v>
      </c>
      <c r="AK4086">
        <v>0.57928060267524695</v>
      </c>
      <c r="AL4086">
        <v>91.717934451648105</v>
      </c>
      <c r="AM4086">
        <v>94.330412431157598</v>
      </c>
      <c r="AN4086">
        <v>0.99999999709841003</v>
      </c>
    </row>
    <row r="4087" spans="1:40" x14ac:dyDescent="0.25">
      <c r="A4087" t="str">
        <f>"20190305135316258"</f>
        <v>20190305135316258</v>
      </c>
      <c r="B4087" t="str">
        <f>"1551765196254218"</f>
        <v>1551765196254218</v>
      </c>
      <c r="C4087" t="s">
        <v>40</v>
      </c>
      <c r="D4087">
        <v>4.8242969999999996</v>
      </c>
      <c r="E4087">
        <v>0.61739900000000003</v>
      </c>
      <c r="F4087" t="s">
        <v>78</v>
      </c>
      <c r="G4087">
        <v>-282.98180000000002</v>
      </c>
      <c r="H4087" s="1">
        <v>-6.0370979999999997E-6</v>
      </c>
      <c r="I4087">
        <v>143.00729999999999</v>
      </c>
      <c r="J4087">
        <v>-258.73930000000001</v>
      </c>
      <c r="K4087">
        <v>1.108303</v>
      </c>
      <c r="L4087">
        <v>141.13570000000001</v>
      </c>
      <c r="M4087">
        <v>-0.99920149999999996</v>
      </c>
      <c r="N4087">
        <v>-8.3885360000000003E-3</v>
      </c>
      <c r="O4087">
        <v>-3.9064109999999999E-2</v>
      </c>
      <c r="P4087">
        <v>-0.9928998</v>
      </c>
      <c r="Q4087">
        <v>-3.7675720000000003E-2</v>
      </c>
      <c r="R4087">
        <v>-0.11282880000000001</v>
      </c>
      <c r="S4087">
        <v>-3.043396</v>
      </c>
      <c r="T4087">
        <v>-0.13722239999999999</v>
      </c>
      <c r="U4087">
        <v>0.23008729999999999</v>
      </c>
      <c r="V4087">
        <v>-7.3967030000000003E-2</v>
      </c>
      <c r="W4087">
        <v>-2.9283969999999999E-2</v>
      </c>
      <c r="X4087">
        <v>0.99683060000000001</v>
      </c>
      <c r="Y4087">
        <v>0.11412070000000001</v>
      </c>
      <c r="Z4087">
        <v>4.4786579999999999E-3</v>
      </c>
      <c r="AA4087">
        <v>0.99345680000000003</v>
      </c>
      <c r="AB4087">
        <v>34</v>
      </c>
      <c r="AC4087">
        <v>-24.2425</v>
      </c>
      <c r="AD4087">
        <v>-1.108309037098</v>
      </c>
      <c r="AE4087">
        <v>1.87159999999997</v>
      </c>
      <c r="AF4087">
        <v>2.8113750846652898</v>
      </c>
      <c r="AG4087">
        <v>-1.108309037098</v>
      </c>
      <c r="AH4087">
        <v>24.100804974585099</v>
      </c>
      <c r="AI4087">
        <v>92.615262690063602</v>
      </c>
      <c r="AJ4087">
        <v>83.346479103110099</v>
      </c>
      <c r="AK4087">
        <v>24.289524063088901</v>
      </c>
      <c r="AL4087">
        <v>91.678087856858795</v>
      </c>
      <c r="AM4087">
        <v>94.243696113327701</v>
      </c>
      <c r="AN4087">
        <v>0.99999995876116998</v>
      </c>
    </row>
    <row r="4088" spans="1:40" x14ac:dyDescent="0.25">
      <c r="A4088" t="str">
        <f>"20190305135316272"</f>
        <v>20190305135316272</v>
      </c>
      <c r="B4088" t="str">
        <f>"1551765196263979"</f>
        <v>1551765196263979</v>
      </c>
      <c r="C4088" t="s">
        <v>40</v>
      </c>
      <c r="D4088">
        <v>4.7930619999999999</v>
      </c>
      <c r="E4088">
        <v>0.61743789999999998</v>
      </c>
      <c r="F4088" t="s">
        <v>42</v>
      </c>
      <c r="G4088">
        <v>-270.86329999999998</v>
      </c>
      <c r="H4088" s="1">
        <v>-4.671864E-6</v>
      </c>
      <c r="I4088">
        <v>143.50380000000001</v>
      </c>
      <c r="J4088">
        <v>-258.9606</v>
      </c>
      <c r="K4088">
        <v>1.108271</v>
      </c>
      <c r="L4088">
        <v>141.12719999999999</v>
      </c>
      <c r="M4088">
        <v>-0.99920920000000002</v>
      </c>
      <c r="N4088">
        <v>-8.2964930000000003E-3</v>
      </c>
      <c r="O4088">
        <v>-3.8889809999999997E-2</v>
      </c>
      <c r="P4088">
        <v>-0.99303779999999997</v>
      </c>
      <c r="Q4088">
        <v>-3.7287069999999999E-2</v>
      </c>
      <c r="R4088">
        <v>-0.1117404</v>
      </c>
      <c r="S4088">
        <v>-3.0791019999999998</v>
      </c>
      <c r="T4088">
        <v>-0.28147670000000002</v>
      </c>
      <c r="U4088">
        <v>0.60147090000000003</v>
      </c>
      <c r="V4088">
        <v>-7.3048360000000007E-2</v>
      </c>
      <c r="W4088">
        <v>-2.8984059999999999E-2</v>
      </c>
      <c r="X4088">
        <v>0.99690719999999999</v>
      </c>
      <c r="Y4088">
        <v>0.22860549999999999</v>
      </c>
      <c r="Z4088">
        <v>1.448808E-2</v>
      </c>
      <c r="AA4088">
        <v>0.97341129999999998</v>
      </c>
      <c r="AB4088">
        <v>34</v>
      </c>
      <c r="AC4088">
        <v>-11.9026999999999</v>
      </c>
      <c r="AD4088">
        <v>-1.1082756718639999</v>
      </c>
      <c r="AE4088">
        <v>2.3766000000000198</v>
      </c>
      <c r="AF4088">
        <v>2.8142483086294598</v>
      </c>
      <c r="AG4088">
        <v>-1.1082756718639999</v>
      </c>
      <c r="AH4088">
        <v>11.703688946493999</v>
      </c>
      <c r="AI4088">
        <v>95.260403597461206</v>
      </c>
      <c r="AJ4088">
        <v>76.479444654049601</v>
      </c>
      <c r="AK4088">
        <v>12.0882010019587</v>
      </c>
      <c r="AL4088">
        <v>91.660896826633206</v>
      </c>
      <c r="AM4088">
        <v>94.190857536128107</v>
      </c>
      <c r="AN4088">
        <v>1.0000000520223</v>
      </c>
    </row>
    <row r="4089" spans="1:40" x14ac:dyDescent="0.25">
      <c r="A4089" t="str">
        <f>"20190305135316291"</f>
        <v>20190305135316291</v>
      </c>
      <c r="B4089" t="str">
        <f>"1551765196283498"</f>
        <v>1551765196283498</v>
      </c>
      <c r="C4089" t="s">
        <v>40</v>
      </c>
      <c r="D4089">
        <v>4.7311670000000001</v>
      </c>
      <c r="E4089">
        <v>0.61683679999999996</v>
      </c>
      <c r="F4089" t="s">
        <v>42</v>
      </c>
      <c r="G4089">
        <v>-271.72969999999998</v>
      </c>
      <c r="H4089" s="1">
        <v>-4.4001950000000003E-6</v>
      </c>
      <c r="I4089">
        <v>143.63460000000001</v>
      </c>
      <c r="J4089">
        <v>-259.24450000000002</v>
      </c>
      <c r="K4089">
        <v>1.1082320000000001</v>
      </c>
      <c r="L4089">
        <v>141.1163</v>
      </c>
      <c r="M4089">
        <v>-0.99921890000000002</v>
      </c>
      <c r="N4089">
        <v>-8.1730339999999992E-3</v>
      </c>
      <c r="O4089">
        <v>-3.8661389999999997E-2</v>
      </c>
      <c r="P4089">
        <v>-0.9933111</v>
      </c>
      <c r="Q4089">
        <v>-3.6692990000000002E-2</v>
      </c>
      <c r="R4089">
        <v>-0.1094837</v>
      </c>
      <c r="S4089">
        <v>-3.0790410000000001</v>
      </c>
      <c r="T4089">
        <v>-0.2672408</v>
      </c>
      <c r="U4089">
        <v>0.60462950000000004</v>
      </c>
      <c r="V4089">
        <v>-7.1011779999999997E-2</v>
      </c>
      <c r="W4089">
        <v>-2.8509759999999999E-2</v>
      </c>
      <c r="X4089">
        <v>0.99706799999999995</v>
      </c>
      <c r="Y4089">
        <v>0.2294554</v>
      </c>
      <c r="Z4089">
        <v>1.3801880000000001E-2</v>
      </c>
      <c r="AA4089">
        <v>0.97322129999999996</v>
      </c>
      <c r="AB4089">
        <v>34</v>
      </c>
      <c r="AC4089">
        <v>-12.485199999999899</v>
      </c>
      <c r="AD4089">
        <v>-1.10823640019499</v>
      </c>
      <c r="AE4089">
        <v>2.5183</v>
      </c>
      <c r="AF4089">
        <v>2.9765925755192799</v>
      </c>
      <c r="AG4089">
        <v>-1.10823640019499</v>
      </c>
      <c r="AH4089">
        <v>12.285487035998401</v>
      </c>
      <c r="AI4089">
        <v>95.010335152613493</v>
      </c>
      <c r="AJ4089">
        <v>76.380525792838597</v>
      </c>
      <c r="AK4089">
        <v>12.689424060651399</v>
      </c>
      <c r="AL4089">
        <v>91.6337102269067</v>
      </c>
      <c r="AM4089">
        <v>94.073761137877497</v>
      </c>
      <c r="AN4089">
        <v>1.0000000379690099</v>
      </c>
    </row>
    <row r="4090" spans="1:40" x14ac:dyDescent="0.25">
      <c r="A4090" t="str">
        <f>"20190305135316313"</f>
        <v>20190305135316313</v>
      </c>
      <c r="B4090" t="str">
        <f>"1551765196303994"</f>
        <v>1551765196303994</v>
      </c>
      <c r="C4090" t="s">
        <v>40</v>
      </c>
      <c r="D4090">
        <v>4.7357310000000004</v>
      </c>
      <c r="E4090">
        <v>0.61640830000000002</v>
      </c>
      <c r="F4090" t="s">
        <v>42</v>
      </c>
      <c r="G4090">
        <v>-272.72019999999998</v>
      </c>
      <c r="H4090" s="1">
        <v>-4.0871570000000003E-6</v>
      </c>
      <c r="I4090">
        <v>143.77000000000001</v>
      </c>
      <c r="J4090">
        <v>-259.58999999999997</v>
      </c>
      <c r="K4090">
        <v>1.1081909999999999</v>
      </c>
      <c r="L4090">
        <v>141.10310000000001</v>
      </c>
      <c r="M4090">
        <v>-0.99923119999999999</v>
      </c>
      <c r="N4090">
        <v>-8.0250600000000005E-3</v>
      </c>
      <c r="O4090">
        <v>-3.8377210000000002E-2</v>
      </c>
      <c r="P4090">
        <v>-0.99357660000000003</v>
      </c>
      <c r="Q4090">
        <v>-3.6586979999999998E-2</v>
      </c>
      <c r="R4090">
        <v>-0.1070845</v>
      </c>
      <c r="S4090">
        <v>-3.0776370000000002</v>
      </c>
      <c r="T4090">
        <v>-0.25310490000000002</v>
      </c>
      <c r="U4090">
        <v>0.60607909999999998</v>
      </c>
      <c r="V4090">
        <v>-6.888967E-2</v>
      </c>
      <c r="W4090">
        <v>-2.854806E-2</v>
      </c>
      <c r="X4090">
        <v>0.99721570000000004</v>
      </c>
      <c r="Y4090">
        <v>0.2298065</v>
      </c>
      <c r="Z4090">
        <v>1.309595E-2</v>
      </c>
      <c r="AA4090">
        <v>0.97314820000000002</v>
      </c>
      <c r="AB4090">
        <v>34</v>
      </c>
      <c r="AC4090">
        <v>-13.1302</v>
      </c>
      <c r="AD4090">
        <v>-1.1081950871570001</v>
      </c>
      <c r="AE4090">
        <v>2.6668999999999898</v>
      </c>
      <c r="AF4090">
        <v>3.14732037177974</v>
      </c>
      <c r="AG4090">
        <v>-1.1081950871570001</v>
      </c>
      <c r="AH4090">
        <v>12.9297202776416</v>
      </c>
      <c r="AI4090">
        <v>94.760461973497399</v>
      </c>
      <c r="AJ4090">
        <v>76.319266026638402</v>
      </c>
      <c r="AK4090">
        <v>13.353328736007199</v>
      </c>
      <c r="AL4090">
        <v>91.635905667584595</v>
      </c>
      <c r="AM4090">
        <v>93.951829412059496</v>
      </c>
      <c r="AN4090">
        <v>0.99999996534447999</v>
      </c>
    </row>
    <row r="4091" spans="1:40" x14ac:dyDescent="0.25">
      <c r="A4091" t="str">
        <f>"20190305135316336"</f>
        <v>20190305135316336</v>
      </c>
      <c r="B4091" t="str">
        <f>"1551765196324490"</f>
        <v>1551765196324490</v>
      </c>
      <c r="C4091" t="s">
        <v>40</v>
      </c>
      <c r="D4091">
        <v>4.7890620000000004</v>
      </c>
      <c r="E4091">
        <v>0.61640099999999998</v>
      </c>
      <c r="F4091" t="s">
        <v>42</v>
      </c>
      <c r="G4091">
        <v>-273.19119999999998</v>
      </c>
      <c r="H4091" s="1">
        <v>-3.9322799999999999E-6</v>
      </c>
      <c r="I4091">
        <v>143.8004</v>
      </c>
      <c r="J4091">
        <v>-259.91849999999999</v>
      </c>
      <c r="K4091">
        <v>1.1081559999999999</v>
      </c>
      <c r="L4091">
        <v>141.0907</v>
      </c>
      <c r="M4091">
        <v>-0.99924299999999999</v>
      </c>
      <c r="N4091">
        <v>-7.8902060000000003E-3</v>
      </c>
      <c r="O4091">
        <v>-3.8094870000000003E-2</v>
      </c>
      <c r="P4091">
        <v>-0.99378979999999995</v>
      </c>
      <c r="Q4091">
        <v>-3.6196109999999997E-2</v>
      </c>
      <c r="R4091">
        <v>-0.1052216</v>
      </c>
      <c r="S4091">
        <v>-3.0758969999999999</v>
      </c>
      <c r="T4091">
        <v>-0.2506179</v>
      </c>
      <c r="U4091">
        <v>0.610000599999999</v>
      </c>
      <c r="V4091">
        <v>-6.7302819999999999E-2</v>
      </c>
      <c r="W4091">
        <v>-2.828847E-2</v>
      </c>
      <c r="X4091">
        <v>0.99733150000000004</v>
      </c>
      <c r="Y4091">
        <v>0.23084460000000001</v>
      </c>
      <c r="Z4091">
        <v>1.299413E-2</v>
      </c>
      <c r="AA4091">
        <v>0.97290379999999999</v>
      </c>
      <c r="AB4091">
        <v>34</v>
      </c>
      <c r="AC4091">
        <v>-13.272699999999899</v>
      </c>
      <c r="AD4091">
        <v>-1.10815993227999</v>
      </c>
      <c r="AE4091">
        <v>2.70969999999999</v>
      </c>
      <c r="AF4091">
        <v>3.1920097445309099</v>
      </c>
      <c r="AG4091">
        <v>-1.10815993227999</v>
      </c>
      <c r="AH4091">
        <v>13.0723567743596</v>
      </c>
      <c r="AI4091">
        <v>94.707782715483802</v>
      </c>
      <c r="AJ4091">
        <v>76.278022915419896</v>
      </c>
      <c r="AK4091">
        <v>13.5019797170947</v>
      </c>
      <c r="AL4091">
        <v>91.621026167216897</v>
      </c>
      <c r="AM4091">
        <v>93.860631986907606</v>
      </c>
      <c r="AN4091">
        <v>1.0000000140035701</v>
      </c>
    </row>
    <row r="4092" spans="1:40" x14ac:dyDescent="0.25">
      <c r="A4092" t="str">
        <f>"20190305135316359"</f>
        <v>20190305135316359</v>
      </c>
      <c r="B4092" t="str">
        <f>"1551765196353770"</f>
        <v>1551765196353770</v>
      </c>
      <c r="C4092" t="s">
        <v>40</v>
      </c>
      <c r="D4092">
        <v>4.818581</v>
      </c>
      <c r="E4092">
        <v>0.6161297</v>
      </c>
      <c r="F4092" t="s">
        <v>42</v>
      </c>
      <c r="G4092">
        <v>-273.36869999999999</v>
      </c>
      <c r="H4092" s="1">
        <v>-3.869065E-6</v>
      </c>
      <c r="I4092">
        <v>143.78479999999999</v>
      </c>
      <c r="J4092">
        <v>-260.26080000000002</v>
      </c>
      <c r="K4092">
        <v>1.108123</v>
      </c>
      <c r="L4092">
        <v>141.078</v>
      </c>
      <c r="M4092">
        <v>-0.99925609999999998</v>
      </c>
      <c r="N4092">
        <v>-7.7596359999999899E-3</v>
      </c>
      <c r="O4092">
        <v>-3.7775080000000003E-2</v>
      </c>
      <c r="P4092">
        <v>-0.99397570000000002</v>
      </c>
      <c r="Q4092">
        <v>-3.6163969999999997E-2</v>
      </c>
      <c r="R4092">
        <v>-0.1034634</v>
      </c>
      <c r="S4092">
        <v>-3.0747680000000002</v>
      </c>
      <c r="T4092">
        <v>-0.25332840000000001</v>
      </c>
      <c r="U4092">
        <v>0.61587519999999996</v>
      </c>
      <c r="V4092">
        <v>-6.5859239999999999E-2</v>
      </c>
      <c r="W4092">
        <v>-2.838243E-2</v>
      </c>
      <c r="X4092">
        <v>0.99742520000000001</v>
      </c>
      <c r="Y4092">
        <v>0.23236570000000001</v>
      </c>
      <c r="Z4092">
        <v>1.3163920000000001E-2</v>
      </c>
      <c r="AA4092">
        <v>0.97253940000000005</v>
      </c>
      <c r="AB4092">
        <v>34</v>
      </c>
      <c r="AC4092">
        <v>-13.1078999999999</v>
      </c>
      <c r="AD4092">
        <v>-1.1081268690649999</v>
      </c>
      <c r="AE4092">
        <v>2.7067999999999799</v>
      </c>
      <c r="AF4092">
        <v>3.17824946847138</v>
      </c>
      <c r="AG4092">
        <v>-1.1081268690649999</v>
      </c>
      <c r="AH4092">
        <v>12.9078143295043</v>
      </c>
      <c r="AI4092">
        <v>94.765132856088798</v>
      </c>
      <c r="AJ4092">
        <v>76.167409407897907</v>
      </c>
      <c r="AK4092">
        <v>13.3394484746087</v>
      </c>
      <c r="AL4092">
        <v>91.626411838316201</v>
      </c>
      <c r="AM4092">
        <v>93.777713735518503</v>
      </c>
      <c r="AN4092">
        <v>1.00000001571056</v>
      </c>
    </row>
    <row r="4093" spans="1:40" x14ac:dyDescent="0.25">
      <c r="A4093" t="str">
        <f>"20190305135316382"</f>
        <v>20190305135316382</v>
      </c>
      <c r="B4093" t="str">
        <f>"1551765196374266"</f>
        <v>1551765196374266</v>
      </c>
      <c r="C4093" t="s">
        <v>40</v>
      </c>
      <c r="D4093">
        <v>4.7853320000000004</v>
      </c>
      <c r="E4093">
        <v>0.61540249999999996</v>
      </c>
      <c r="F4093" t="s">
        <v>42</v>
      </c>
      <c r="G4093">
        <v>-273.57530000000003</v>
      </c>
      <c r="H4093" s="1">
        <v>-3.7947249999999999E-6</v>
      </c>
      <c r="I4093">
        <v>143.762</v>
      </c>
      <c r="J4093">
        <v>-260.62060000000002</v>
      </c>
      <c r="K4093">
        <v>1.10807099999999</v>
      </c>
      <c r="L4093">
        <v>141.06469999999999</v>
      </c>
      <c r="M4093">
        <v>-0.99927160000000004</v>
      </c>
      <c r="N4093">
        <v>-7.6351500000000003E-3</v>
      </c>
      <c r="O4093">
        <v>-3.7388560000000001E-2</v>
      </c>
      <c r="P4093">
        <v>-0.99415209999999998</v>
      </c>
      <c r="Q4093">
        <v>-3.60481E-2</v>
      </c>
      <c r="R4093">
        <v>-0.10179489999999999</v>
      </c>
      <c r="S4093">
        <v>-3.0733640000000002</v>
      </c>
      <c r="T4093">
        <v>-0.25578620000000002</v>
      </c>
      <c r="U4093">
        <v>0.61956789999999995</v>
      </c>
      <c r="V4093">
        <v>-6.4574080000000006E-2</v>
      </c>
      <c r="W4093">
        <v>-2.83845E-2</v>
      </c>
      <c r="X4093">
        <v>0.99750919999999998</v>
      </c>
      <c r="Y4093">
        <v>0.23317889999999999</v>
      </c>
      <c r="Z4093">
        <v>1.3287240000000001E-2</v>
      </c>
      <c r="AA4093">
        <v>0.97234310000000002</v>
      </c>
      <c r="AB4093">
        <v>34</v>
      </c>
      <c r="AC4093">
        <v>-12.954700000000001</v>
      </c>
      <c r="AD4093">
        <v>-1.10807479472499</v>
      </c>
      <c r="AE4093">
        <v>2.69730000000001</v>
      </c>
      <c r="AF4093">
        <v>3.1576437072996901</v>
      </c>
      <c r="AG4093">
        <v>-1.10807479472499</v>
      </c>
      <c r="AH4093">
        <v>12.755347740355401</v>
      </c>
      <c r="AI4093">
        <v>94.820116225385505</v>
      </c>
      <c r="AJ4093">
        <v>76.095706992467797</v>
      </c>
      <c r="AK4093">
        <v>13.1870178399191</v>
      </c>
      <c r="AL4093">
        <v>91.626530436064698</v>
      </c>
      <c r="AM4093">
        <v>93.703892627069493</v>
      </c>
      <c r="AN4093">
        <v>1.00000004786636</v>
      </c>
    </row>
    <row r="4094" spans="1:40" x14ac:dyDescent="0.25">
      <c r="A4094" t="str">
        <f>"20190305135316404"</f>
        <v>20190305135316404</v>
      </c>
      <c r="B4094" t="str">
        <f>"1551765196393786"</f>
        <v>1551765196393786</v>
      </c>
      <c r="C4094" t="s">
        <v>40</v>
      </c>
      <c r="D4094">
        <v>4.8142820000000004</v>
      </c>
      <c r="E4094">
        <v>0.614985</v>
      </c>
      <c r="F4094" t="s">
        <v>42</v>
      </c>
      <c r="G4094">
        <v>-273.79340000000002</v>
      </c>
      <c r="H4094" s="1">
        <v>-3.712997E-6</v>
      </c>
      <c r="I4094">
        <v>143.71950000000001</v>
      </c>
      <c r="J4094">
        <v>-260.97309999999999</v>
      </c>
      <c r="K4094">
        <v>1.1080030000000001</v>
      </c>
      <c r="L4094">
        <v>141.05189999999999</v>
      </c>
      <c r="M4094">
        <v>-0.99928950000000005</v>
      </c>
      <c r="N4094">
        <v>-7.5266559999999996E-3</v>
      </c>
      <c r="O4094">
        <v>-3.6933309999999997E-2</v>
      </c>
      <c r="P4094">
        <v>-0.99435669999999998</v>
      </c>
      <c r="Q4094">
        <v>-3.5660770000000001E-2</v>
      </c>
      <c r="R4094">
        <v>-9.9917140000000002E-2</v>
      </c>
      <c r="S4094">
        <v>-3.0716860000000001</v>
      </c>
      <c r="T4094">
        <v>-0.25838670000000002</v>
      </c>
      <c r="U4094">
        <v>0.61907959999999995</v>
      </c>
      <c r="V4094">
        <v>-6.3148049999999997E-2</v>
      </c>
      <c r="W4094">
        <v>-2.8096739999999999E-2</v>
      </c>
      <c r="X4094">
        <v>0.99760859999999996</v>
      </c>
      <c r="Y4094">
        <v>0.2326743</v>
      </c>
      <c r="Z4094">
        <v>1.3356460000000001E-2</v>
      </c>
      <c r="AA4094">
        <v>0.97246299999999997</v>
      </c>
      <c r="AB4094">
        <v>34</v>
      </c>
      <c r="AC4094">
        <v>-12.8203</v>
      </c>
      <c r="AD4094">
        <v>-1.1080067129969999</v>
      </c>
      <c r="AE4094">
        <v>2.6676000000000202</v>
      </c>
      <c r="AF4094">
        <v>3.11697347066118</v>
      </c>
      <c r="AG4094">
        <v>-1.1080067129969999</v>
      </c>
      <c r="AH4094">
        <v>12.622655013806099</v>
      </c>
      <c r="AI4094">
        <v>94.870946094662401</v>
      </c>
      <c r="AJ4094">
        <v>76.129164722054796</v>
      </c>
      <c r="AK4094">
        <v>13.0489318371434</v>
      </c>
      <c r="AL4094">
        <v>91.610036484240496</v>
      </c>
      <c r="AM4094">
        <v>93.621957505620003</v>
      </c>
      <c r="AN4094">
        <v>1.0000000109056899</v>
      </c>
    </row>
    <row r="4095" spans="1:40" x14ac:dyDescent="0.25">
      <c r="A4095" t="str">
        <f>"20190305135316425"</f>
        <v>20190305135316425</v>
      </c>
      <c r="B4095" t="str">
        <f>"1551765196414282"</f>
        <v>1551765196414282</v>
      </c>
      <c r="C4095" t="s">
        <v>40</v>
      </c>
      <c r="D4095">
        <v>4.8125650000000002</v>
      </c>
      <c r="E4095">
        <v>0.6146625</v>
      </c>
      <c r="F4095" t="s">
        <v>42</v>
      </c>
      <c r="G4095">
        <v>-274.18979999999999</v>
      </c>
      <c r="H4095" s="1">
        <v>-3.5689249999999999E-6</v>
      </c>
      <c r="I4095">
        <v>143.72799999999901</v>
      </c>
      <c r="J4095">
        <v>-261.28809999999999</v>
      </c>
      <c r="K4095">
        <v>1.1079209999999999</v>
      </c>
      <c r="L4095">
        <v>141.04069999999999</v>
      </c>
      <c r="M4095">
        <v>-0.99930850000000004</v>
      </c>
      <c r="N4095">
        <v>-7.4410149999999996E-3</v>
      </c>
      <c r="O4095">
        <v>-3.6430369999999997E-2</v>
      </c>
      <c r="P4095">
        <v>-0.99454679999999995</v>
      </c>
      <c r="Q4095">
        <v>-3.5751779999999997E-2</v>
      </c>
      <c r="R4095">
        <v>-9.7972260000000005E-2</v>
      </c>
      <c r="S4095">
        <v>-3.0702509999999998</v>
      </c>
      <c r="T4095">
        <v>-0.2573915</v>
      </c>
      <c r="U4095">
        <v>0.62168880000000004</v>
      </c>
      <c r="V4095">
        <v>-6.1704429999999998E-2</v>
      </c>
      <c r="W4095">
        <v>-2.826302E-2</v>
      </c>
      <c r="X4095">
        <v>0.99769430000000003</v>
      </c>
      <c r="Y4095">
        <v>0.23307410000000001</v>
      </c>
      <c r="Z4095">
        <v>1.3285460000000001E-2</v>
      </c>
      <c r="AA4095">
        <v>0.97236820000000002</v>
      </c>
      <c r="AB4095">
        <v>34</v>
      </c>
      <c r="AC4095">
        <v>-12.9017</v>
      </c>
      <c r="AD4095">
        <v>-1.1079245689249999</v>
      </c>
      <c r="AE4095">
        <v>2.6872999999999898</v>
      </c>
      <c r="AF4095">
        <v>3.1333966629906498</v>
      </c>
      <c r="AG4095">
        <v>-1.1079245689249999</v>
      </c>
      <c r="AH4095">
        <v>12.705434257832399</v>
      </c>
      <c r="AI4095">
        <v>94.839359015053802</v>
      </c>
      <c r="AJ4095">
        <v>76.1462435090817</v>
      </c>
      <c r="AK4095">
        <v>13.132925461532601</v>
      </c>
      <c r="AL4095">
        <v>91.619567306566097</v>
      </c>
      <c r="AM4095">
        <v>93.539066053595107</v>
      </c>
      <c r="AN4095">
        <v>1.0000000756168099</v>
      </c>
    </row>
    <row r="4096" spans="1:40" x14ac:dyDescent="0.25">
      <c r="A4096" t="str">
        <f>"20190305135316447"</f>
        <v>20190305135316447</v>
      </c>
      <c r="B4096" t="str">
        <f>"1551765196444539"</f>
        <v>1551765196444539</v>
      </c>
      <c r="C4096" t="s">
        <v>40</v>
      </c>
      <c r="D4096">
        <v>4.7664489999999997</v>
      </c>
      <c r="E4096">
        <v>0.6146876</v>
      </c>
      <c r="F4096" t="s">
        <v>42</v>
      </c>
      <c r="G4096">
        <v>-274.35390000000001</v>
      </c>
      <c r="H4096" s="1">
        <v>-3.491769E-6</v>
      </c>
      <c r="I4096">
        <v>143.70259999999999</v>
      </c>
      <c r="J4096">
        <v>-261.63260000000002</v>
      </c>
      <c r="K4096">
        <v>1.107804</v>
      </c>
      <c r="L4096">
        <v>141.02869999999999</v>
      </c>
      <c r="M4096">
        <v>-0.99933369999999999</v>
      </c>
      <c r="N4096">
        <v>-7.359165E-3</v>
      </c>
      <c r="O4096">
        <v>-3.574799E-2</v>
      </c>
      <c r="P4096">
        <v>-0.99471229999999999</v>
      </c>
      <c r="Q4096">
        <v>-3.625018E-2</v>
      </c>
      <c r="R4096">
        <v>-9.6089679999999997E-2</v>
      </c>
      <c r="S4096">
        <v>-3.068695</v>
      </c>
      <c r="T4096">
        <v>-0.26021230000000001</v>
      </c>
      <c r="U4096">
        <v>0.62519840000000004</v>
      </c>
      <c r="V4096">
        <v>-6.0505980000000001E-2</v>
      </c>
      <c r="W4096">
        <v>-2.8829239999999999E-2</v>
      </c>
      <c r="X4096">
        <v>0.99775139999999995</v>
      </c>
      <c r="Y4096">
        <v>0.2335535</v>
      </c>
      <c r="Z4096">
        <v>1.339188E-2</v>
      </c>
      <c r="AA4096">
        <v>0.97225170000000005</v>
      </c>
      <c r="AB4096">
        <v>34</v>
      </c>
      <c r="AC4096">
        <v>-12.7212999999999</v>
      </c>
      <c r="AD4096">
        <v>-1.107807491769</v>
      </c>
      <c r="AE4096">
        <v>2.6739000000000002</v>
      </c>
      <c r="AF4096">
        <v>3.1044180409174502</v>
      </c>
      <c r="AG4096">
        <v>-1.107807491769</v>
      </c>
      <c r="AH4096">
        <v>12.526604118481901</v>
      </c>
      <c r="AI4096">
        <v>94.906221038554804</v>
      </c>
      <c r="AJ4096">
        <v>76.081050925269196</v>
      </c>
      <c r="AK4096">
        <v>12.9530096716076</v>
      </c>
      <c r="AL4096">
        <v>91.652022709326204</v>
      </c>
      <c r="AM4096">
        <v>93.470300324300993</v>
      </c>
      <c r="AN4096">
        <v>0.99999997744834801</v>
      </c>
    </row>
    <row r="4097" spans="1:40" x14ac:dyDescent="0.25">
      <c r="A4097" t="str">
        <f>"20190305135316470"</f>
        <v>20190305135316470</v>
      </c>
      <c r="B4097" t="str">
        <f>"1551765196464059"</f>
        <v>1551765196464059</v>
      </c>
      <c r="C4097" t="s">
        <v>40</v>
      </c>
      <c r="D4097">
        <v>4.7847249999999999</v>
      </c>
      <c r="E4097">
        <v>0.61445950000000005</v>
      </c>
      <c r="F4097" t="s">
        <v>42</v>
      </c>
      <c r="G4097">
        <v>-274.55849999999998</v>
      </c>
      <c r="H4097" s="1">
        <v>-3.4003599999999998E-6</v>
      </c>
      <c r="I4097">
        <v>143.68899999999999</v>
      </c>
      <c r="J4097">
        <v>-262.00099999999998</v>
      </c>
      <c r="K4097">
        <v>1.107672</v>
      </c>
      <c r="L4097">
        <v>141.0163</v>
      </c>
      <c r="M4097">
        <v>-0.99936579999999997</v>
      </c>
      <c r="N4097">
        <v>-7.2840500000000002E-3</v>
      </c>
      <c r="O4097">
        <v>-3.4857859999999997E-2</v>
      </c>
      <c r="P4097">
        <v>-0.9948593</v>
      </c>
      <c r="Q4097">
        <v>-3.6536279999999997E-2</v>
      </c>
      <c r="R4097">
        <v>-9.4448080000000004E-2</v>
      </c>
      <c r="S4097">
        <v>-3.0673520000000001</v>
      </c>
      <c r="T4097">
        <v>-0.26288630000000002</v>
      </c>
      <c r="U4097">
        <v>0.63130189999999997</v>
      </c>
      <c r="V4097">
        <v>-5.9757940000000002E-2</v>
      </c>
      <c r="W4097">
        <v>-2.917314E-2</v>
      </c>
      <c r="X4097">
        <v>0.99778650000000002</v>
      </c>
      <c r="Y4097">
        <v>0.2346065</v>
      </c>
      <c r="Z4097">
        <v>1.3499209999999999E-2</v>
      </c>
      <c r="AA4097">
        <v>0.97199669999999905</v>
      </c>
      <c r="AB4097">
        <v>35</v>
      </c>
      <c r="AC4097">
        <v>-12.557499999999999</v>
      </c>
      <c r="AD4097">
        <v>-1.10767540036</v>
      </c>
      <c r="AE4097">
        <v>2.6726999999999901</v>
      </c>
      <c r="AF4097">
        <v>3.0858452967397101</v>
      </c>
      <c r="AG4097">
        <v>-1.10767540036</v>
      </c>
      <c r="AH4097">
        <v>12.3646645599965</v>
      </c>
      <c r="AI4097">
        <v>94.967549222520404</v>
      </c>
      <c r="AJ4097">
        <v>75.986964428239403</v>
      </c>
      <c r="AK4097">
        <v>12.7919629326076</v>
      </c>
      <c r="AL4097">
        <v>91.671734996335502</v>
      </c>
      <c r="AM4097">
        <v>93.427379374771107</v>
      </c>
      <c r="AN4097">
        <v>0.99999999153637598</v>
      </c>
    </row>
    <row r="4098" spans="1:40" x14ac:dyDescent="0.25">
      <c r="A4098" t="str">
        <f>"20190305135316483"</f>
        <v>20190305135316483</v>
      </c>
      <c r="B4098" t="str">
        <f>"1551765196473818"</f>
        <v>1551765196473818</v>
      </c>
      <c r="C4098" t="s">
        <v>40</v>
      </c>
      <c r="D4098">
        <v>4.7803800000000001</v>
      </c>
      <c r="E4098">
        <v>0.61427410000000005</v>
      </c>
      <c r="F4098" t="s">
        <v>42</v>
      </c>
      <c r="G4098">
        <v>-274.74990000000003</v>
      </c>
      <c r="H4098" s="1">
        <v>-3.3093900000000002E-6</v>
      </c>
      <c r="I4098">
        <v>143.6557</v>
      </c>
      <c r="J4098">
        <v>-262.20620000000002</v>
      </c>
      <c r="K4098">
        <v>1.1075999999999999</v>
      </c>
      <c r="L4098">
        <v>141.00960000000001</v>
      </c>
      <c r="M4098">
        <v>-0.99938510000000003</v>
      </c>
      <c r="N4098">
        <v>-7.2462119999999897E-3</v>
      </c>
      <c r="O4098">
        <v>-3.4310500000000001E-2</v>
      </c>
      <c r="P4098">
        <v>-0.99494950000000004</v>
      </c>
      <c r="Q4098">
        <v>-3.6448099999999997E-2</v>
      </c>
      <c r="R4098">
        <v>-9.3527669999999993E-2</v>
      </c>
      <c r="S4098">
        <v>-3.065979</v>
      </c>
      <c r="T4098">
        <v>-0.26638519999999999</v>
      </c>
      <c r="U4098">
        <v>0.63475039999999905</v>
      </c>
      <c r="V4098">
        <v>-5.938645E-2</v>
      </c>
      <c r="W4098">
        <v>-2.911331E-2</v>
      </c>
      <c r="X4098">
        <v>0.99781039999999999</v>
      </c>
      <c r="Y4098">
        <v>0.23518169999999999</v>
      </c>
      <c r="Z4098">
        <v>1.365501E-2</v>
      </c>
      <c r="AA4098">
        <v>0.97185549999999998</v>
      </c>
      <c r="AB4098">
        <v>35</v>
      </c>
      <c r="AC4098">
        <v>-12.543699999999999</v>
      </c>
      <c r="AD4098">
        <v>-1.10760330939</v>
      </c>
      <c r="AE4098">
        <v>2.6460999999999899</v>
      </c>
      <c r="AF4098">
        <v>3.05215061088284</v>
      </c>
      <c r="AG4098">
        <v>-1.10760330939</v>
      </c>
      <c r="AH4098">
        <v>12.3533097986153</v>
      </c>
      <c r="AI4098">
        <v>94.9746617501863</v>
      </c>
      <c r="AJ4098">
        <v>76.121786420292807</v>
      </c>
      <c r="AK4098">
        <v>12.7728881394557</v>
      </c>
      <c r="AL4098">
        <v>91.668305577747404</v>
      </c>
      <c r="AM4098">
        <v>93.406041724788693</v>
      </c>
      <c r="AN4098">
        <v>0.99999996480545805</v>
      </c>
    </row>
    <row r="4099" spans="1:40" x14ac:dyDescent="0.25">
      <c r="A4099" t="str">
        <f>"20190305135316504"</f>
        <v>20190305135316504</v>
      </c>
      <c r="B4099" t="str">
        <f>"1551765196494314"</f>
        <v>1551765196494314</v>
      </c>
      <c r="C4099" t="s">
        <v>40</v>
      </c>
      <c r="D4099">
        <v>4.7622589999999896</v>
      </c>
      <c r="E4099">
        <v>0.61429040000000001</v>
      </c>
      <c r="F4099" t="s">
        <v>42</v>
      </c>
      <c r="G4099">
        <v>-274.95069999999998</v>
      </c>
      <c r="H4099" s="1">
        <v>-3.2229519999999998E-6</v>
      </c>
      <c r="I4099">
        <v>143.65450000000001</v>
      </c>
      <c r="J4099">
        <v>-262.50540000000001</v>
      </c>
      <c r="K4099">
        <v>1.107497</v>
      </c>
      <c r="L4099">
        <v>141.0001</v>
      </c>
      <c r="M4099">
        <v>-0.99941579999999997</v>
      </c>
      <c r="N4099">
        <v>-7.1976679999999999E-3</v>
      </c>
      <c r="O4099">
        <v>-3.3411280000000002E-2</v>
      </c>
      <c r="P4099">
        <v>-0.99505469999999896</v>
      </c>
      <c r="Q4099">
        <v>-3.6766479999999997E-2</v>
      </c>
      <c r="R4099">
        <v>-9.2275190000000007E-2</v>
      </c>
      <c r="S4099">
        <v>-3.065277</v>
      </c>
      <c r="T4099">
        <v>-0.26639770000000002</v>
      </c>
      <c r="U4099">
        <v>0.6361694</v>
      </c>
      <c r="V4099">
        <v>-5.9036119999999997E-2</v>
      </c>
      <c r="W4099">
        <v>-2.9466639999999999E-2</v>
      </c>
      <c r="X4099">
        <v>0.99782090000000001</v>
      </c>
      <c r="Y4099">
        <v>0.2347873</v>
      </c>
      <c r="Z4099">
        <v>1.356459E-2</v>
      </c>
      <c r="AA4099">
        <v>0.97195209999999999</v>
      </c>
      <c r="AB4099">
        <v>35</v>
      </c>
      <c r="AC4099">
        <v>-12.4452999999999</v>
      </c>
      <c r="AD4099">
        <v>-1.1075002229519999</v>
      </c>
      <c r="AE4099">
        <v>2.6543999999999999</v>
      </c>
      <c r="AF4099">
        <v>3.0456725051986799</v>
      </c>
      <c r="AG4099">
        <v>-1.1075002229519999</v>
      </c>
      <c r="AH4099">
        <v>12.256822179783899</v>
      </c>
      <c r="AI4099">
        <v>95.0115110178604</v>
      </c>
      <c r="AJ4099">
        <v>76.045323949538798</v>
      </c>
      <c r="AK4099">
        <v>12.6780269639879</v>
      </c>
      <c r="AL4099">
        <v>91.688558446241899</v>
      </c>
      <c r="AM4099">
        <v>93.385960289009603</v>
      </c>
      <c r="AN4099">
        <v>1.00000004740717</v>
      </c>
    </row>
    <row r="4100" spans="1:40" x14ac:dyDescent="0.25">
      <c r="A4100" t="str">
        <f>"20190305135316518"</f>
        <v>20190305135316518</v>
      </c>
      <c r="B4100" t="str">
        <f>"1551765196513835"</f>
        <v>1551765196513835</v>
      </c>
      <c r="C4100" t="s">
        <v>40</v>
      </c>
      <c r="D4100">
        <v>4.7568210000000004</v>
      </c>
      <c r="E4100">
        <v>0.61407080000000003</v>
      </c>
      <c r="F4100" t="s">
        <v>42</v>
      </c>
      <c r="G4100">
        <v>-275.08629999999999</v>
      </c>
      <c r="H4100" s="1">
        <v>-3.157927E-6</v>
      </c>
      <c r="I4100">
        <v>143.62880000000001</v>
      </c>
      <c r="J4100">
        <v>-262.72890000000001</v>
      </c>
      <c r="K4100">
        <v>1.1074120000000001</v>
      </c>
      <c r="L4100">
        <v>140.9933</v>
      </c>
      <c r="M4100">
        <v>-0.99944120000000003</v>
      </c>
      <c r="N4100">
        <v>-7.1661370000000004E-3</v>
      </c>
      <c r="O4100">
        <v>-3.2649459999999998E-2</v>
      </c>
      <c r="P4100">
        <v>-0.99517500000000003</v>
      </c>
      <c r="Q4100">
        <v>-3.7208020000000001E-2</v>
      </c>
      <c r="R4100">
        <v>-9.0787660000000006E-2</v>
      </c>
      <c r="S4100">
        <v>-3.0643310000000001</v>
      </c>
      <c r="T4100">
        <v>-0.26975300000000002</v>
      </c>
      <c r="U4100">
        <v>0.64028929999999995</v>
      </c>
      <c r="V4100">
        <v>-5.8312570000000001E-2</v>
      </c>
      <c r="W4100">
        <v>-2.9929669999999998E-2</v>
      </c>
      <c r="X4100">
        <v>0.9978496</v>
      </c>
      <c r="Y4100">
        <v>0.2353335</v>
      </c>
      <c r="Z4100">
        <v>1.369153E-2</v>
      </c>
      <c r="AA4100">
        <v>0.97181830000000002</v>
      </c>
      <c r="AB4100">
        <v>35</v>
      </c>
      <c r="AC4100">
        <v>-12.357399999999901</v>
      </c>
      <c r="AD4100">
        <v>-1.107415157927</v>
      </c>
      <c r="AE4100">
        <v>2.6355</v>
      </c>
      <c r="AF4100">
        <v>3.0144122820728501</v>
      </c>
      <c r="AG4100">
        <v>-1.107415157927</v>
      </c>
      <c r="AH4100">
        <v>12.1712674550475</v>
      </c>
      <c r="AI4100">
        <v>95.047135289595502</v>
      </c>
      <c r="AJ4100">
        <v>76.089673463026699</v>
      </c>
      <c r="AK4100">
        <v>12.5878036686555</v>
      </c>
      <c r="AL4100">
        <v>91.715099928270902</v>
      </c>
      <c r="AM4100">
        <v>93.344460580422293</v>
      </c>
      <c r="AN4100">
        <v>0.99999998259323597</v>
      </c>
    </row>
    <row r="4101" spans="1:40" x14ac:dyDescent="0.25">
      <c r="A4101" t="str">
        <f>"20190305135316548"</f>
        <v>20190305135316548</v>
      </c>
      <c r="B4101" t="str">
        <f>"1551765196544090"</f>
        <v>1551765196544090</v>
      </c>
      <c r="C4101" t="s">
        <v>40</v>
      </c>
      <c r="D4101">
        <v>4.7808820000000001</v>
      </c>
      <c r="E4101">
        <v>0.61367890000000003</v>
      </c>
      <c r="F4101" t="s">
        <v>42</v>
      </c>
      <c r="G4101">
        <v>-275.15339999999998</v>
      </c>
      <c r="H4101" s="1">
        <v>-3.1220619999999999E-6</v>
      </c>
      <c r="I4101">
        <v>143.60210000000001</v>
      </c>
      <c r="J4101">
        <v>-263.1934</v>
      </c>
      <c r="K4101">
        <v>1.1072329999999999</v>
      </c>
      <c r="L4101">
        <v>140.97970000000001</v>
      </c>
      <c r="M4101">
        <v>-0.9994982</v>
      </c>
      <c r="N4101">
        <v>-7.109476E-3</v>
      </c>
      <c r="O4101">
        <v>-3.0872719999999999E-2</v>
      </c>
      <c r="P4101">
        <v>-0.99536080000000005</v>
      </c>
      <c r="Q4101">
        <v>-3.724334E-2</v>
      </c>
      <c r="R4101">
        <v>-8.8713959999999994E-2</v>
      </c>
      <c r="S4101">
        <v>-3.0630190000000002</v>
      </c>
      <c r="T4101">
        <v>-0.27301350000000002</v>
      </c>
      <c r="U4101">
        <v>0.6431732</v>
      </c>
      <c r="V4101">
        <v>-5.8020780000000001E-2</v>
      </c>
      <c r="W4101">
        <v>-2.9996970000000001E-2</v>
      </c>
      <c r="X4101">
        <v>0.99786459999999999</v>
      </c>
      <c r="Y4101">
        <v>0.23455010000000001</v>
      </c>
      <c r="Z4101">
        <v>1.366702E-2</v>
      </c>
      <c r="AA4101">
        <v>0.97200799999999998</v>
      </c>
      <c r="AB4101">
        <v>35</v>
      </c>
      <c r="AC4101">
        <v>-11.9599999999999</v>
      </c>
      <c r="AD4101">
        <v>-1.107236122062</v>
      </c>
      <c r="AE4101">
        <v>2.6223999999999901</v>
      </c>
      <c r="AF4101">
        <v>2.9661410375351198</v>
      </c>
      <c r="AG4101">
        <v>-1.107236122062</v>
      </c>
      <c r="AH4101">
        <v>11.777028372711699</v>
      </c>
      <c r="AI4101">
        <v>95.209226331616705</v>
      </c>
      <c r="AJ4101">
        <v>75.863596768510504</v>
      </c>
      <c r="AK4101">
        <v>12.1951778083062</v>
      </c>
      <c r="AL4101">
        <v>91.718957645908702</v>
      </c>
      <c r="AM4101">
        <v>93.327713043476294</v>
      </c>
      <c r="AN4101">
        <v>0.999999994527074</v>
      </c>
    </row>
    <row r="4102" spans="1:40" x14ac:dyDescent="0.25">
      <c r="A4102" t="str">
        <f>"20190305135316570"</f>
        <v>20190305135316570</v>
      </c>
      <c r="B4102" t="str">
        <f>"1551765196563610"</f>
        <v>1551765196563610</v>
      </c>
      <c r="C4102" t="s">
        <v>40</v>
      </c>
      <c r="D4102">
        <v>4.752154</v>
      </c>
      <c r="E4102">
        <v>0.61357819999999996</v>
      </c>
      <c r="F4102" t="s">
        <v>42</v>
      </c>
      <c r="G4102">
        <v>-275.40570000000002</v>
      </c>
      <c r="H4102" s="1">
        <v>-3.002392E-6</v>
      </c>
      <c r="I4102">
        <v>143.5591</v>
      </c>
      <c r="J4102">
        <v>-263.55650000000003</v>
      </c>
      <c r="K4102">
        <v>1.107091</v>
      </c>
      <c r="L4102">
        <v>140.9699</v>
      </c>
      <c r="M4102">
        <v>-0.99954609999999999</v>
      </c>
      <c r="N4102">
        <v>-7.0745829999999997E-3</v>
      </c>
      <c r="O4102">
        <v>-2.9285619999999998E-2</v>
      </c>
      <c r="P4102">
        <v>-0.99547110000000005</v>
      </c>
      <c r="Q4102">
        <v>-3.7289719999999998E-2</v>
      </c>
      <c r="R4102">
        <v>-8.744731E-2</v>
      </c>
      <c r="S4102">
        <v>-3.0612180000000002</v>
      </c>
      <c r="T4102">
        <v>-0.27754770000000001</v>
      </c>
      <c r="U4102">
        <v>0.64659119999999903</v>
      </c>
      <c r="V4102">
        <v>-5.8345649999999999E-2</v>
      </c>
      <c r="W4102">
        <v>-3.0057259999999999E-2</v>
      </c>
      <c r="X4102">
        <v>0.99784390000000001</v>
      </c>
      <c r="Y4102">
        <v>0.2341328</v>
      </c>
      <c r="Z4102">
        <v>1.3734639999999999E-2</v>
      </c>
      <c r="AA4102">
        <v>0.97210759999999996</v>
      </c>
      <c r="AB4102">
        <v>35</v>
      </c>
      <c r="AC4102">
        <v>-11.8491999999999</v>
      </c>
      <c r="AD4102">
        <v>-1.107094002392</v>
      </c>
      <c r="AE4102">
        <v>2.5891999999999999</v>
      </c>
      <c r="AF4102">
        <v>2.9108568133882602</v>
      </c>
      <c r="AG4102">
        <v>-1.107094002392</v>
      </c>
      <c r="AH4102">
        <v>11.6710494076424</v>
      </c>
      <c r="AI4102">
        <v>95.258614201699999</v>
      </c>
      <c r="AJ4102">
        <v>75.995667630961904</v>
      </c>
      <c r="AK4102">
        <v>12.0794097038643</v>
      </c>
      <c r="AL4102">
        <v>91.722413469056406</v>
      </c>
      <c r="AM4102">
        <v>93.346372613148901</v>
      </c>
      <c r="AN4102">
        <v>1.0000000512599101</v>
      </c>
    </row>
    <row r="4103" spans="1:40" x14ac:dyDescent="0.25">
      <c r="A4103" t="str">
        <f>"20190305135316594"</f>
        <v>20190305135316594</v>
      </c>
      <c r="B4103" t="str">
        <f>"1551765196584106"</f>
        <v>1551765196584106</v>
      </c>
      <c r="C4103" t="s">
        <v>40</v>
      </c>
      <c r="D4103">
        <v>4.7339089999999997</v>
      </c>
      <c r="E4103">
        <v>0.61352320000000005</v>
      </c>
      <c r="F4103" t="s">
        <v>42</v>
      </c>
      <c r="G4103">
        <v>-275.70310000000001</v>
      </c>
      <c r="H4103" s="1">
        <v>-2.8721789999999998E-6</v>
      </c>
      <c r="I4103">
        <v>143.54929999999999</v>
      </c>
      <c r="J4103">
        <v>-263.92829999999998</v>
      </c>
      <c r="K4103">
        <v>1.1069580000000001</v>
      </c>
      <c r="L4103">
        <v>140.9605</v>
      </c>
      <c r="M4103">
        <v>-0.99959620000000005</v>
      </c>
      <c r="N4103">
        <v>-7.0444390000000004E-3</v>
      </c>
      <c r="O4103">
        <v>-2.7531400000000001E-2</v>
      </c>
      <c r="P4103">
        <v>-0.99562139999999999</v>
      </c>
      <c r="Q4103">
        <v>-3.7024399999999999E-2</v>
      </c>
      <c r="R4103">
        <v>-8.5833499999999993E-2</v>
      </c>
      <c r="S4103">
        <v>-3.0603030000000002</v>
      </c>
      <c r="T4103">
        <v>-0.27892979999999901</v>
      </c>
      <c r="U4103">
        <v>0.64990230000000004</v>
      </c>
      <c r="V4103">
        <v>-5.8487900000000002E-2</v>
      </c>
      <c r="W4103">
        <v>-2.9802619999999998E-2</v>
      </c>
      <c r="X4103">
        <v>0.99784309999999998</v>
      </c>
      <c r="Y4103">
        <v>0.23349059999999999</v>
      </c>
      <c r="Z4103">
        <v>1.3622459999999999E-2</v>
      </c>
      <c r="AA4103">
        <v>0.97226360000000001</v>
      </c>
      <c r="AB4103">
        <v>35</v>
      </c>
      <c r="AC4103">
        <v>-11.774800000000001</v>
      </c>
      <c r="AD4103">
        <v>-1.1069608721790001</v>
      </c>
      <c r="AE4103">
        <v>2.5887999999999902</v>
      </c>
      <c r="AF4103">
        <v>2.8876588230078402</v>
      </c>
      <c r="AG4103">
        <v>-1.1069608721790001</v>
      </c>
      <c r="AH4103">
        <v>11.6012563532011</v>
      </c>
      <c r="AI4103">
        <v>95.290054425776006</v>
      </c>
      <c r="AJ4103">
        <v>76.022596341365002</v>
      </c>
      <c r="AK4103">
        <v>12.006376839968</v>
      </c>
      <c r="AL4103">
        <v>91.707817320953794</v>
      </c>
      <c r="AM4103">
        <v>93.354515333716293</v>
      </c>
      <c r="AN4103">
        <v>0.99999994141144</v>
      </c>
    </row>
    <row r="4104" spans="1:40" x14ac:dyDescent="0.25">
      <c r="A4104" t="str">
        <f>"20190305135316614"</f>
        <v>20190305135316614</v>
      </c>
      <c r="B4104" t="str">
        <f>"1551765196603626"</f>
        <v>1551765196603626</v>
      </c>
      <c r="C4104" t="s">
        <v>40</v>
      </c>
      <c r="D4104">
        <v>4.7424140000000001</v>
      </c>
      <c r="E4104">
        <v>0.61354149999999996</v>
      </c>
      <c r="F4104" t="s">
        <v>42</v>
      </c>
      <c r="G4104">
        <v>-276.08839999999998</v>
      </c>
      <c r="H4104" s="1">
        <v>-2.710342E-6</v>
      </c>
      <c r="I4104">
        <v>143.56219999999999</v>
      </c>
      <c r="J4104">
        <v>-264.24630000000002</v>
      </c>
      <c r="K4104">
        <v>1.1068530000000001</v>
      </c>
      <c r="L4104">
        <v>140.95310000000001</v>
      </c>
      <c r="M4104">
        <v>-0.99963930000000001</v>
      </c>
      <c r="N4104">
        <v>-7.0228640000000002E-3</v>
      </c>
      <c r="O4104">
        <v>-2.5929109999999998E-2</v>
      </c>
      <c r="P4104">
        <v>-0.99577769999999999</v>
      </c>
      <c r="Q4104">
        <v>-3.6455769999999998E-2</v>
      </c>
      <c r="R4104">
        <v>-8.4250599999999995E-2</v>
      </c>
      <c r="S4104">
        <v>-3.0592649999999999</v>
      </c>
      <c r="T4104">
        <v>-0.27849410000000002</v>
      </c>
      <c r="U4104">
        <v>0.65455629999999998</v>
      </c>
      <c r="V4104">
        <v>-5.8506469999999998E-2</v>
      </c>
      <c r="W4104">
        <v>-2.9240229999999999E-2</v>
      </c>
      <c r="X4104">
        <v>0.99785869999999999</v>
      </c>
      <c r="Y4104">
        <v>0.23342309999999999</v>
      </c>
      <c r="Z4104">
        <v>1.346645E-2</v>
      </c>
      <c r="AA4104">
        <v>0.97228199999999998</v>
      </c>
      <c r="AB4104">
        <v>35</v>
      </c>
      <c r="AC4104">
        <v>-11.842099999999901</v>
      </c>
      <c r="AD4104">
        <v>-1.106855710342</v>
      </c>
      <c r="AE4104">
        <v>2.6090999999999802</v>
      </c>
      <c r="AF4104">
        <v>2.8911965157749</v>
      </c>
      <c r="AG4104">
        <v>-1.106855710342</v>
      </c>
      <c r="AH4104">
        <v>11.673206273177099</v>
      </c>
      <c r="AI4104">
        <v>95.258640260818893</v>
      </c>
      <c r="AJ4104">
        <v>76.089039039412995</v>
      </c>
      <c r="AK4104">
        <v>12.076750040987299</v>
      </c>
      <c r="AL4104">
        <v>91.675580610632494</v>
      </c>
      <c r="AM4104">
        <v>93.3555256247556</v>
      </c>
      <c r="AN4104">
        <v>0.99999999162400199</v>
      </c>
    </row>
    <row r="4105" spans="1:40" x14ac:dyDescent="0.25">
      <c r="A4105" t="str">
        <f>"20190305135316637"</f>
        <v>20190305135316637</v>
      </c>
      <c r="B4105" t="str">
        <f>"1551765196633882"</f>
        <v>1551765196633882</v>
      </c>
      <c r="C4105" t="s">
        <v>40</v>
      </c>
      <c r="D4105">
        <v>4.7362659999999996</v>
      </c>
      <c r="E4105">
        <v>0.61353649999999904</v>
      </c>
      <c r="F4105" t="s">
        <v>42</v>
      </c>
      <c r="G4105">
        <v>-276.41289999999998</v>
      </c>
      <c r="H4105" s="1">
        <v>-2.5749940000000002E-6</v>
      </c>
      <c r="I4105">
        <v>143.57679999999999</v>
      </c>
      <c r="J4105">
        <v>-264.60759999999999</v>
      </c>
      <c r="K4105">
        <v>1.1067359999999999</v>
      </c>
      <c r="L4105">
        <v>140.94540000000001</v>
      </c>
      <c r="M4105">
        <v>-0.99968729999999995</v>
      </c>
      <c r="N4105">
        <v>-7.0026990000000002E-3</v>
      </c>
      <c r="O4105">
        <v>-2.4006639999999999E-2</v>
      </c>
      <c r="P4105">
        <v>-0.99600679999999997</v>
      </c>
      <c r="Q4105">
        <v>-3.5565659999999999E-2</v>
      </c>
      <c r="R4105">
        <v>-8.1888879999999997E-2</v>
      </c>
      <c r="S4105">
        <v>-3.0583499999999999</v>
      </c>
      <c r="T4105">
        <v>-0.2782347</v>
      </c>
      <c r="U4105">
        <v>0.65953059999999997</v>
      </c>
      <c r="V4105">
        <v>-5.8063049999999998E-2</v>
      </c>
      <c r="W4105">
        <v>-2.8355740000000001E-2</v>
      </c>
      <c r="X4105">
        <v>0.99791010000000002</v>
      </c>
      <c r="Y4105">
        <v>0.23313449999999999</v>
      </c>
      <c r="Z4105">
        <v>1.3280999999999999E-2</v>
      </c>
      <c r="AA4105">
        <v>0.97235380000000005</v>
      </c>
      <c r="AB4105">
        <v>35</v>
      </c>
      <c r="AC4105">
        <v>-11.8052999999999</v>
      </c>
      <c r="AD4105">
        <v>-1.106738574994</v>
      </c>
      <c r="AE4105">
        <v>2.6313999999999802</v>
      </c>
      <c r="AF4105">
        <v>2.8898575527097399</v>
      </c>
      <c r="AG4105">
        <v>-1.106738574994</v>
      </c>
      <c r="AH4105">
        <v>11.641253547347199</v>
      </c>
      <c r="AI4105">
        <v>95.271746295561897</v>
      </c>
      <c r="AJ4105">
        <v>76.058552603819706</v>
      </c>
      <c r="AK4105">
        <v>12.045535733289601</v>
      </c>
      <c r="AL4105">
        <v>91.624882077868193</v>
      </c>
      <c r="AM4105">
        <v>93.3299804383919</v>
      </c>
      <c r="AN4105">
        <v>0.99999996672412905</v>
      </c>
    </row>
    <row r="4106" spans="1:40" x14ac:dyDescent="0.25">
      <c r="A4106" t="str">
        <f>"20190305135316661"</f>
        <v>20190305135316661</v>
      </c>
      <c r="B4106" t="str">
        <f>"1551765196654379"</f>
        <v>1551765196654379</v>
      </c>
      <c r="C4106" t="s">
        <v>40</v>
      </c>
      <c r="D4106">
        <v>4.6909039999999997</v>
      </c>
      <c r="E4106">
        <v>0.61350780000000005</v>
      </c>
      <c r="F4106" t="s">
        <v>42</v>
      </c>
      <c r="G4106">
        <v>-276.86149999999998</v>
      </c>
      <c r="H4106" s="1">
        <v>-2.3933999999999998E-6</v>
      </c>
      <c r="I4106">
        <v>143.61760000000001</v>
      </c>
      <c r="J4106">
        <v>-264.9776</v>
      </c>
      <c r="K4106">
        <v>1.1066279999999999</v>
      </c>
      <c r="L4106">
        <v>140.9383</v>
      </c>
      <c r="M4106">
        <v>-0.99973460000000003</v>
      </c>
      <c r="N4106">
        <v>-6.985944E-3</v>
      </c>
      <c r="O4106">
        <v>-2.1953609999999998E-2</v>
      </c>
      <c r="P4106">
        <v>-0.996197</v>
      </c>
      <c r="Q4106">
        <v>-3.5466600000000001E-2</v>
      </c>
      <c r="R4106">
        <v>-7.9586100000000007E-2</v>
      </c>
      <c r="S4106">
        <v>-3.0569760000000001</v>
      </c>
      <c r="T4106">
        <v>-0.2760975</v>
      </c>
      <c r="U4106">
        <v>0.66664119999999905</v>
      </c>
      <c r="V4106">
        <v>-5.7811960000000003E-2</v>
      </c>
      <c r="W4106">
        <v>-2.8260130000000001E-2</v>
      </c>
      <c r="X4106">
        <v>0.99792740000000002</v>
      </c>
      <c r="Y4106">
        <v>0.23340959999999999</v>
      </c>
      <c r="Z4106">
        <v>1.3029799999999999E-2</v>
      </c>
      <c r="AA4106">
        <v>0.97229120000000002</v>
      </c>
      <c r="AB4106">
        <v>35</v>
      </c>
      <c r="AC4106">
        <v>-11.883899999999899</v>
      </c>
      <c r="AD4106">
        <v>-1.1066303933999999</v>
      </c>
      <c r="AE4106">
        <v>2.6793000000000098</v>
      </c>
      <c r="AF4106">
        <v>2.9154966809267502</v>
      </c>
      <c r="AG4106">
        <v>-1.1066303933999999</v>
      </c>
      <c r="AH4106">
        <v>11.7254565637363</v>
      </c>
      <c r="AI4106">
        <v>95.2330990793008</v>
      </c>
      <c r="AJ4106">
        <v>76.036754272178896</v>
      </c>
      <c r="AK4106">
        <v>12.1330574610095</v>
      </c>
      <c r="AL4106">
        <v>91.619401815887898</v>
      </c>
      <c r="AM4106">
        <v>93.315554993488107</v>
      </c>
      <c r="AN4106">
        <v>0.99999997666870899</v>
      </c>
    </row>
    <row r="4107" spans="1:40" x14ac:dyDescent="0.25">
      <c r="A4107" t="str">
        <f>"20190305135316684"</f>
        <v>20190305135316684</v>
      </c>
      <c r="B4107" t="str">
        <f>"1551765196673898"</f>
        <v>1551765196673898</v>
      </c>
      <c r="C4107" t="s">
        <v>40</v>
      </c>
      <c r="D4107">
        <v>4.6799569999999999</v>
      </c>
      <c r="E4107">
        <v>0.61358029999999997</v>
      </c>
      <c r="F4107" t="s">
        <v>42</v>
      </c>
      <c r="G4107">
        <v>-277.24130000000002</v>
      </c>
      <c r="H4107" s="1">
        <v>-2.2368130000000001E-6</v>
      </c>
      <c r="I4107">
        <v>143.6414</v>
      </c>
      <c r="J4107">
        <v>-265.35250000000002</v>
      </c>
      <c r="K4107">
        <v>1.1065290000000001</v>
      </c>
      <c r="L4107">
        <v>140.93190000000001</v>
      </c>
      <c r="M4107">
        <v>-0.99977939999999998</v>
      </c>
      <c r="N4107">
        <v>-6.9719869999999998E-3</v>
      </c>
      <c r="O4107">
        <v>-1.9815309999999999E-2</v>
      </c>
      <c r="P4107">
        <v>-0.99633380000000005</v>
      </c>
      <c r="Q4107">
        <v>-3.6140499999999999E-2</v>
      </c>
      <c r="R4107">
        <v>-7.7545409999999995E-2</v>
      </c>
      <c r="S4107">
        <v>-3.05545</v>
      </c>
      <c r="T4107">
        <v>-0.27571240000000002</v>
      </c>
      <c r="U4107">
        <v>0.6734772</v>
      </c>
      <c r="V4107">
        <v>-5.7911249999999997E-2</v>
      </c>
      <c r="W4107">
        <v>-2.8935869999999999E-2</v>
      </c>
      <c r="X4107">
        <v>0.99790230000000002</v>
      </c>
      <c r="Y4107">
        <v>0.23351630000000001</v>
      </c>
      <c r="Z4107">
        <v>1.284396E-2</v>
      </c>
      <c r="AA4107">
        <v>0.97226800000000002</v>
      </c>
      <c r="AB4107">
        <v>35</v>
      </c>
      <c r="AC4107">
        <v>-11.8888</v>
      </c>
      <c r="AD4107">
        <v>-1.106531236813</v>
      </c>
      <c r="AE4107">
        <v>2.70949999999999</v>
      </c>
      <c r="AF4107">
        <v>2.9205037878766298</v>
      </c>
      <c r="AG4107">
        <v>-1.106531236813</v>
      </c>
      <c r="AH4107">
        <v>11.7361284361317</v>
      </c>
      <c r="AI4107">
        <v>95.227656808377105</v>
      </c>
      <c r="AJ4107">
        <v>76.025933620560707</v>
      </c>
      <c r="AK4107">
        <v>12.14456522163</v>
      </c>
      <c r="AL4107">
        <v>91.658134672714098</v>
      </c>
      <c r="AM4107">
        <v>93.3213199570569</v>
      </c>
      <c r="AN4107">
        <v>0.99999999889725399</v>
      </c>
    </row>
    <row r="4108" spans="1:40" x14ac:dyDescent="0.25">
      <c r="A4108" t="str">
        <f>"20190305135316705"</f>
        <v>20190305135316705</v>
      </c>
      <c r="B4108" t="str">
        <f>"1551765196694394"</f>
        <v>1551765196694394</v>
      </c>
      <c r="C4108" t="s">
        <v>40</v>
      </c>
      <c r="D4108">
        <v>4.6872860000000003</v>
      </c>
      <c r="E4108">
        <v>0.61360380000000003</v>
      </c>
      <c r="F4108" t="s">
        <v>42</v>
      </c>
      <c r="G4108">
        <v>-277.5453</v>
      </c>
      <c r="H4108" s="1">
        <v>-2.1081059999999999E-6</v>
      </c>
      <c r="I4108">
        <v>143.64779999999999</v>
      </c>
      <c r="J4108">
        <v>-265.68360000000001</v>
      </c>
      <c r="K4108">
        <v>1.1064590000000001</v>
      </c>
      <c r="L4108">
        <v>140.92699999999999</v>
      </c>
      <c r="M4108">
        <v>-0.99981580000000003</v>
      </c>
      <c r="N4108">
        <v>-6.9623829999999999E-3</v>
      </c>
      <c r="O4108">
        <v>-1.7895620000000001E-2</v>
      </c>
      <c r="P4108">
        <v>-0.99649920000000003</v>
      </c>
      <c r="Q4108">
        <v>-3.6724680000000003E-2</v>
      </c>
      <c r="R4108">
        <v>-7.5106469999999995E-2</v>
      </c>
      <c r="S4108">
        <v>-3.0538940000000001</v>
      </c>
      <c r="T4108">
        <v>-0.27715099999999998</v>
      </c>
      <c r="U4108">
        <v>0.68025210000000003</v>
      </c>
      <c r="V4108">
        <v>-5.7392539999999999E-2</v>
      </c>
      <c r="W4108">
        <v>-2.9523480000000001E-2</v>
      </c>
      <c r="X4108">
        <v>0.997915</v>
      </c>
      <c r="Y4108">
        <v>0.23380419999999999</v>
      </c>
      <c r="Z4108">
        <v>1.276476E-2</v>
      </c>
      <c r="AA4108">
        <v>0.97219990000000001</v>
      </c>
      <c r="AB4108">
        <v>36</v>
      </c>
      <c r="AC4108">
        <v>-11.8616999999999</v>
      </c>
      <c r="AD4108">
        <v>-1.1064611081060001</v>
      </c>
      <c r="AE4108">
        <v>2.7207999999999601</v>
      </c>
      <c r="AF4108">
        <v>2.9085986036096698</v>
      </c>
      <c r="AG4108">
        <v>-1.1064611081060001</v>
      </c>
      <c r="AH4108">
        <v>11.714275488163199</v>
      </c>
      <c r="AI4108">
        <v>95.237697854414193</v>
      </c>
      <c r="AJ4108">
        <v>76.055724381526204</v>
      </c>
      <c r="AK4108">
        <v>12.120579698729401</v>
      </c>
      <c r="AL4108">
        <v>91.6918167317735</v>
      </c>
      <c r="AM4108">
        <v>93.291594865233904</v>
      </c>
      <c r="AN4108">
        <v>0.99999994337197895</v>
      </c>
    </row>
    <row r="4109" spans="1:40" x14ac:dyDescent="0.25">
      <c r="A4109" t="str">
        <f>"20190305135316726"</f>
        <v>20190305135316726</v>
      </c>
      <c r="B4109" t="str">
        <f>"1551765196723674"</f>
        <v>1551765196723674</v>
      </c>
      <c r="C4109" t="s">
        <v>40</v>
      </c>
      <c r="D4109">
        <v>4.659554</v>
      </c>
      <c r="E4109">
        <v>0.6135311</v>
      </c>
      <c r="F4109" t="s">
        <v>42</v>
      </c>
      <c r="G4109">
        <v>-277.86989999999997</v>
      </c>
      <c r="H4109" s="1">
        <v>-1.9758199999999999E-6</v>
      </c>
      <c r="I4109">
        <v>143.67400000000001</v>
      </c>
      <c r="J4109">
        <v>-266.02760000000001</v>
      </c>
      <c r="K4109">
        <v>1.1063989999999999</v>
      </c>
      <c r="L4109">
        <v>140.92250000000001</v>
      </c>
      <c r="M4109">
        <v>-0.99984969999999995</v>
      </c>
      <c r="N4109">
        <v>-6.9543850000000004E-3</v>
      </c>
      <c r="O4109">
        <v>-1.588705E-2</v>
      </c>
      <c r="P4109">
        <v>-0.99657890000000005</v>
      </c>
      <c r="Q4109">
        <v>-3.7617739999999997E-2</v>
      </c>
      <c r="R4109">
        <v>-7.3591199999999996E-2</v>
      </c>
      <c r="S4109">
        <v>-3.052216</v>
      </c>
      <c r="T4109">
        <v>-0.27712799999999999</v>
      </c>
      <c r="U4109">
        <v>0.68804929999999997</v>
      </c>
      <c r="V4109">
        <v>-5.7888250000000002E-2</v>
      </c>
      <c r="W4109">
        <v>-3.041599E-2</v>
      </c>
      <c r="X4109">
        <v>0.99785959999999996</v>
      </c>
      <c r="Y4109">
        <v>0.23433409999999999</v>
      </c>
      <c r="Z4109">
        <v>1.2625809999999999E-2</v>
      </c>
      <c r="AA4109">
        <v>0.9720742</v>
      </c>
      <c r="AB4109">
        <v>36</v>
      </c>
      <c r="AC4109">
        <v>-11.8422999999999</v>
      </c>
      <c r="AD4109">
        <v>-1.10640097582</v>
      </c>
      <c r="AE4109">
        <v>2.7514999999999898</v>
      </c>
      <c r="AF4109">
        <v>2.9151540721373599</v>
      </c>
      <c r="AG4109">
        <v>-1.10640097582</v>
      </c>
      <c r="AH4109">
        <v>11.700193719098399</v>
      </c>
      <c r="AI4109">
        <v>95.242633928841897</v>
      </c>
      <c r="AJ4109">
        <v>76.009368055449698</v>
      </c>
      <c r="AK4109">
        <v>12.1085415904651</v>
      </c>
      <c r="AL4109">
        <v>91.742976706608303</v>
      </c>
      <c r="AM4109">
        <v>93.320145565173107</v>
      </c>
      <c r="AN4109">
        <v>0.99999998162395098</v>
      </c>
    </row>
    <row r="4110" spans="1:40" x14ac:dyDescent="0.25">
      <c r="A4110" t="str">
        <f>"20190305135316749"</f>
        <v>20190305135316749</v>
      </c>
      <c r="B4110" t="str">
        <f>"1551765196744171"</f>
        <v>1551765196744171</v>
      </c>
      <c r="C4110" t="s">
        <v>40</v>
      </c>
      <c r="D4110">
        <v>4.6688980000000004</v>
      </c>
      <c r="E4110">
        <v>0.61352410000000002</v>
      </c>
      <c r="F4110" t="s">
        <v>42</v>
      </c>
      <c r="G4110">
        <v>-278.15019999999998</v>
      </c>
      <c r="H4110" s="1">
        <v>-1.8552020000000001E-6</v>
      </c>
      <c r="I4110">
        <v>143.67259999999999</v>
      </c>
      <c r="J4110">
        <v>-266.39280000000002</v>
      </c>
      <c r="K4110">
        <v>1.1063529999999999</v>
      </c>
      <c r="L4110">
        <v>140.9186</v>
      </c>
      <c r="M4110">
        <v>-0.99988140000000003</v>
      </c>
      <c r="N4110">
        <v>-6.9482179999999999E-3</v>
      </c>
      <c r="O4110">
        <v>-1.3750719999999999E-2</v>
      </c>
      <c r="P4110">
        <v>-0.99665040000000005</v>
      </c>
      <c r="Q4110">
        <v>-3.8417069999999998E-2</v>
      </c>
      <c r="R4110">
        <v>-7.2195220000000004E-2</v>
      </c>
      <c r="S4110">
        <v>-3.0509339999999998</v>
      </c>
      <c r="T4110">
        <v>-0.278451</v>
      </c>
      <c r="U4110">
        <v>0.69215389999999999</v>
      </c>
      <c r="V4110">
        <v>-5.8629059999999997E-2</v>
      </c>
      <c r="W4110">
        <v>-3.1213129999999999E-2</v>
      </c>
      <c r="X4110">
        <v>0.99779180000000001</v>
      </c>
      <c r="Y4110">
        <v>0.23358960000000001</v>
      </c>
      <c r="Z4110">
        <v>1.2471319999999999E-2</v>
      </c>
      <c r="AA4110">
        <v>0.97225530000000004</v>
      </c>
      <c r="AB4110">
        <v>36</v>
      </c>
      <c r="AC4110">
        <v>-11.757399999999899</v>
      </c>
      <c r="AD4110">
        <v>-1.1063548552019999</v>
      </c>
      <c r="AE4110">
        <v>2.7539999999999898</v>
      </c>
      <c r="AF4110">
        <v>2.8911479204142201</v>
      </c>
      <c r="AG4110">
        <v>-1.1063548552019999</v>
      </c>
      <c r="AH4110">
        <v>11.620872352567501</v>
      </c>
      <c r="AI4110">
        <v>95.278447950896194</v>
      </c>
      <c r="AJ4110">
        <v>76.029066247528206</v>
      </c>
      <c r="AK4110">
        <v>12.026114567806699</v>
      </c>
      <c r="AL4110">
        <v>91.788671041381093</v>
      </c>
      <c r="AM4110">
        <v>93.362765355902297</v>
      </c>
      <c r="AN4110">
        <v>1.0000000511540501</v>
      </c>
    </row>
    <row r="4111" spans="1:40" x14ac:dyDescent="0.25">
      <c r="A4111" t="str">
        <f>"20190305135316772"</f>
        <v>20190305135316772</v>
      </c>
      <c r="B4111" t="str">
        <f>"1551765196763690"</f>
        <v>1551765196763690</v>
      </c>
      <c r="C4111" t="s">
        <v>40</v>
      </c>
      <c r="D4111">
        <v>4.6640509999999997</v>
      </c>
      <c r="E4111">
        <v>0.61352779999999996</v>
      </c>
      <c r="F4111" t="s">
        <v>42</v>
      </c>
      <c r="G4111">
        <v>-278.44139999999999</v>
      </c>
      <c r="H4111" s="1">
        <v>-1.729671E-6</v>
      </c>
      <c r="I4111">
        <v>143.6703</v>
      </c>
      <c r="J4111">
        <v>-266.77109999999999</v>
      </c>
      <c r="K4111">
        <v>1.1063229999999999</v>
      </c>
      <c r="L4111">
        <v>140.9153</v>
      </c>
      <c r="M4111">
        <v>-0.99990919999999905</v>
      </c>
      <c r="N4111">
        <v>-6.943599E-3</v>
      </c>
      <c r="O4111">
        <v>-1.1543009999999999E-2</v>
      </c>
      <c r="P4111">
        <v>-0.99675380000000002</v>
      </c>
      <c r="Q4111">
        <v>-3.8422169999999999E-2</v>
      </c>
      <c r="R4111">
        <v>-7.0750220000000003E-2</v>
      </c>
      <c r="S4111">
        <v>-3.049744</v>
      </c>
      <c r="T4111">
        <v>-0.28004289999999998</v>
      </c>
      <c r="U4111">
        <v>0.69653319999999996</v>
      </c>
      <c r="V4111">
        <v>-5.9387429999999998E-2</v>
      </c>
      <c r="W4111">
        <v>-3.1215179999999999E-2</v>
      </c>
      <c r="X4111">
        <v>0.99774680000000004</v>
      </c>
      <c r="Y4111">
        <v>0.23285130000000001</v>
      </c>
      <c r="Z4111">
        <v>1.2319719999999999E-2</v>
      </c>
      <c r="AA4111">
        <v>0.97243429999999997</v>
      </c>
      <c r="AB4111">
        <v>36</v>
      </c>
      <c r="AC4111">
        <v>-11.6702999999999</v>
      </c>
      <c r="AD4111">
        <v>-1.1063247296709999</v>
      </c>
      <c r="AE4111">
        <v>2.7549999999999901</v>
      </c>
      <c r="AF4111">
        <v>2.8651410429091699</v>
      </c>
      <c r="AG4111">
        <v>-1.1063247296709999</v>
      </c>
      <c r="AH4111">
        <v>11.539492632091401</v>
      </c>
      <c r="AI4111">
        <v>95.315934230222496</v>
      </c>
      <c r="AJ4111">
        <v>76.056004119284296</v>
      </c>
      <c r="AK4111">
        <v>11.941225975976501</v>
      </c>
      <c r="AL4111">
        <v>91.788788708059897</v>
      </c>
      <c r="AM4111">
        <v>93.406314405045606</v>
      </c>
      <c r="AN4111">
        <v>0.99999996560733795</v>
      </c>
    </row>
    <row r="4112" spans="1:40" x14ac:dyDescent="0.25">
      <c r="A4112" t="str">
        <f>"20190305135316794"</f>
        <v>20190305135316794</v>
      </c>
      <c r="B4112" t="str">
        <f>"1551765196784186"</f>
        <v>1551765196784186</v>
      </c>
      <c r="C4112" t="s">
        <v>40</v>
      </c>
      <c r="D4112">
        <v>4.663519</v>
      </c>
      <c r="E4112">
        <v>0.61350689999999997</v>
      </c>
      <c r="F4112" t="s">
        <v>42</v>
      </c>
      <c r="G4112">
        <v>-278.82769999999999</v>
      </c>
      <c r="H4112" s="1">
        <v>-1.568472E-6</v>
      </c>
      <c r="I4112">
        <v>143.6874</v>
      </c>
      <c r="J4112">
        <v>-267.13200000000001</v>
      </c>
      <c r="K4112">
        <v>1.1063069999999999</v>
      </c>
      <c r="L4112">
        <v>140.91290000000001</v>
      </c>
      <c r="M4112">
        <v>-0.99993129999999997</v>
      </c>
      <c r="N4112">
        <v>-6.9409149999999998E-3</v>
      </c>
      <c r="O4112">
        <v>-9.4449930000000005E-3</v>
      </c>
      <c r="P4112">
        <v>-0.99690210000000001</v>
      </c>
      <c r="Q4112">
        <v>-3.756458E-2</v>
      </c>
      <c r="R4112">
        <v>-6.9104180000000001E-2</v>
      </c>
      <c r="S4112">
        <v>-3.048737</v>
      </c>
      <c r="T4112">
        <v>-0.2797539</v>
      </c>
      <c r="U4112">
        <v>0.70098879999999997</v>
      </c>
      <c r="V4112">
        <v>-5.983053E-2</v>
      </c>
      <c r="W4112">
        <v>-3.0354699999999998E-2</v>
      </c>
      <c r="X4112">
        <v>0.99774689999999999</v>
      </c>
      <c r="Y4112">
        <v>0.232243</v>
      </c>
      <c r="Z4112">
        <v>1.2104490000000001E-2</v>
      </c>
      <c r="AA4112">
        <v>0.97258250000000002</v>
      </c>
      <c r="AB4112">
        <v>36</v>
      </c>
      <c r="AC4112">
        <v>-11.695699999999899</v>
      </c>
      <c r="AD4112">
        <v>-1.106308568472</v>
      </c>
      <c r="AE4112">
        <v>2.7744999999999802</v>
      </c>
      <c r="AF4112">
        <v>2.8606131003965398</v>
      </c>
      <c r="AG4112">
        <v>-1.106308568472</v>
      </c>
      <c r="AH4112">
        <v>11.570957572328</v>
      </c>
      <c r="AI4112">
        <v>95.302796515514601</v>
      </c>
      <c r="AJ4112">
        <v>76.113575853251604</v>
      </c>
      <c r="AK4112">
        <v>11.9705507433639</v>
      </c>
      <c r="AL4112">
        <v>91.739463414381305</v>
      </c>
      <c r="AM4112">
        <v>93.431668656221504</v>
      </c>
      <c r="AN4112">
        <v>0.99999998829588999</v>
      </c>
    </row>
    <row r="4113" spans="1:40" x14ac:dyDescent="0.25">
      <c r="A4113" t="str">
        <f>"20190305135316817"</f>
        <v>20190305135316817</v>
      </c>
      <c r="B4113" t="str">
        <f>"1551765196803706"</f>
        <v>1551765196803706</v>
      </c>
      <c r="C4113" t="s">
        <v>40</v>
      </c>
      <c r="D4113">
        <v>4.6585609999999997</v>
      </c>
      <c r="E4113">
        <v>0.61349759999999998</v>
      </c>
      <c r="F4113" t="s">
        <v>42</v>
      </c>
      <c r="G4113">
        <v>-279.3211</v>
      </c>
      <c r="H4113" s="1">
        <v>-1.369707E-6</v>
      </c>
      <c r="I4113">
        <v>143.73580000000001</v>
      </c>
      <c r="J4113">
        <v>-267.48309999999998</v>
      </c>
      <c r="K4113">
        <v>1.1062940000000001</v>
      </c>
      <c r="L4113">
        <v>140.91130000000001</v>
      </c>
      <c r="M4113">
        <v>-0.99994859999999997</v>
      </c>
      <c r="N4113">
        <v>-6.93971E-3</v>
      </c>
      <c r="O4113">
        <v>-7.413032E-3</v>
      </c>
      <c r="P4113">
        <v>-0.99703039999999998</v>
      </c>
      <c r="Q4113">
        <v>-3.6302840000000003E-2</v>
      </c>
      <c r="R4113">
        <v>-6.7917619999999998E-2</v>
      </c>
      <c r="S4113">
        <v>-3.0478209999999999</v>
      </c>
      <c r="T4113">
        <v>-0.27662789999999998</v>
      </c>
      <c r="U4113">
        <v>0.70588680000000004</v>
      </c>
      <c r="V4113">
        <v>-6.0665860000000002E-2</v>
      </c>
      <c r="W4113">
        <v>-2.908734E-2</v>
      </c>
      <c r="X4113">
        <v>0.99773420000000002</v>
      </c>
      <c r="Y4113">
        <v>0.2318453</v>
      </c>
      <c r="Z4113">
        <v>1.179239E-2</v>
      </c>
      <c r="AA4113">
        <v>0.97268120000000002</v>
      </c>
      <c r="AB4113">
        <v>36</v>
      </c>
      <c r="AC4113">
        <v>-11.837999999999999</v>
      </c>
      <c r="AD4113">
        <v>-1.1062953697069999</v>
      </c>
      <c r="AE4113">
        <v>2.8245</v>
      </c>
      <c r="AF4113">
        <v>2.8883136957637898</v>
      </c>
      <c r="AG4113">
        <v>-1.1062953697069999</v>
      </c>
      <c r="AH4113">
        <v>11.7198940982124</v>
      </c>
      <c r="AI4113">
        <v>95.236666055116899</v>
      </c>
      <c r="AJ4113">
        <v>76.155600987641904</v>
      </c>
      <c r="AK4113">
        <v>12.1211452892656</v>
      </c>
      <c r="AL4113">
        <v>91.666816955734006</v>
      </c>
      <c r="AM4113">
        <v>93.479507524836293</v>
      </c>
      <c r="AN4113">
        <v>0.99999997688372699</v>
      </c>
    </row>
    <row r="4114" spans="1:40" x14ac:dyDescent="0.25">
      <c r="A4114" t="str">
        <f>"20190305135316838"</f>
        <v>20190305135316838</v>
      </c>
      <c r="B4114" t="str">
        <f>"1551765196833963"</f>
        <v>1551765196833963</v>
      </c>
      <c r="C4114" t="s">
        <v>40</v>
      </c>
      <c r="D4114">
        <v>4.6587719999999999</v>
      </c>
      <c r="E4114">
        <v>0.61357419999999996</v>
      </c>
      <c r="F4114" t="s">
        <v>42</v>
      </c>
      <c r="G4114">
        <v>-279.80099999999999</v>
      </c>
      <c r="H4114" s="1">
        <v>-1.175216E-6</v>
      </c>
      <c r="I4114">
        <v>143.77860000000001</v>
      </c>
      <c r="J4114">
        <v>-267.84469999999999</v>
      </c>
      <c r="K4114">
        <v>1.106279</v>
      </c>
      <c r="L4114">
        <v>140.91040000000001</v>
      </c>
      <c r="M4114">
        <v>-0.99996180000000001</v>
      </c>
      <c r="N4114">
        <v>-6.9398109999999997E-3</v>
      </c>
      <c r="O4114">
        <v>-5.3281480000000004E-3</v>
      </c>
      <c r="P4114">
        <v>-0.99719230000000003</v>
      </c>
      <c r="Q4114">
        <v>-3.5232069999999997E-2</v>
      </c>
      <c r="R4114">
        <v>-6.6079589999999994E-2</v>
      </c>
      <c r="S4114">
        <v>-3.0473020000000002</v>
      </c>
      <c r="T4114">
        <v>-0.27368490000000001</v>
      </c>
      <c r="U4114">
        <v>0.70935059999999905</v>
      </c>
      <c r="V4114">
        <v>-6.0902270000000001E-2</v>
      </c>
      <c r="W4114">
        <v>-2.8012539999999999E-2</v>
      </c>
      <c r="X4114">
        <v>0.99775060000000004</v>
      </c>
      <c r="Y4114">
        <v>0.230934</v>
      </c>
      <c r="Z4114">
        <v>1.1462299999999899E-2</v>
      </c>
      <c r="AA4114">
        <v>0.97290189999999999</v>
      </c>
      <c r="AB4114">
        <v>36</v>
      </c>
      <c r="AC4114">
        <v>-11.956300000000001</v>
      </c>
      <c r="AD4114">
        <v>-1.1062801752159901</v>
      </c>
      <c r="AE4114">
        <v>2.8681999999999999</v>
      </c>
      <c r="AF4114">
        <v>2.90832180183483</v>
      </c>
      <c r="AG4114">
        <v>-1.1062801752159901</v>
      </c>
      <c r="AH4114">
        <v>11.844958365248401</v>
      </c>
      <c r="AI4114">
        <v>95.182698197219096</v>
      </c>
      <c r="AJ4114">
        <v>76.204922514535895</v>
      </c>
      <c r="AK4114">
        <v>12.2468457246579</v>
      </c>
      <c r="AL4114">
        <v>91.605210258442298</v>
      </c>
      <c r="AM4114">
        <v>93.492976106650204</v>
      </c>
      <c r="AN4114">
        <v>1.0000000243443801</v>
      </c>
    </row>
    <row r="4115" spans="1:40" x14ac:dyDescent="0.25">
      <c r="A4115" t="str">
        <f>"20190305135316861"</f>
        <v>20190305135316861</v>
      </c>
      <c r="B4115" t="str">
        <f>"1551765196854459"</f>
        <v>1551765196854459</v>
      </c>
      <c r="C4115" t="s">
        <v>40</v>
      </c>
      <c r="D4115">
        <v>4.5955029999999999</v>
      </c>
      <c r="E4115">
        <v>0.61367609999999995</v>
      </c>
      <c r="F4115" t="s">
        <v>78</v>
      </c>
      <c r="G4115">
        <v>-280.33760000000001</v>
      </c>
      <c r="H4115" s="1">
        <v>-5.1355119999999997E-6</v>
      </c>
      <c r="I4115">
        <v>143.84469999999999</v>
      </c>
      <c r="J4115">
        <v>-268.21539999999999</v>
      </c>
      <c r="K4115">
        <v>1.106257</v>
      </c>
      <c r="L4115">
        <v>140.9102</v>
      </c>
      <c r="M4115">
        <v>-0.99997080000000005</v>
      </c>
      <c r="N4115">
        <v>-6.941081E-3</v>
      </c>
      <c r="O4115">
        <v>-3.1967779999999999E-3</v>
      </c>
      <c r="P4115">
        <v>-0.99732980000000004</v>
      </c>
      <c r="Q4115">
        <v>-3.5207559999999999E-2</v>
      </c>
      <c r="R4115">
        <v>-6.3979149999999999E-2</v>
      </c>
      <c r="S4115">
        <v>-3.0462950000000002</v>
      </c>
      <c r="T4115">
        <v>-0.26975860000000002</v>
      </c>
      <c r="U4115">
        <v>0.71551509999999996</v>
      </c>
      <c r="V4115">
        <v>-6.092848E-2</v>
      </c>
      <c r="W4115">
        <v>-2.7984169999999999E-2</v>
      </c>
      <c r="X4115">
        <v>0.99774969999999996</v>
      </c>
      <c r="Y4115">
        <v>0.23083210000000001</v>
      </c>
      <c r="Z4115">
        <v>1.1134740000000001E-2</v>
      </c>
      <c r="AA4115">
        <v>0.97292990000000001</v>
      </c>
      <c r="AB4115">
        <v>36</v>
      </c>
      <c r="AC4115">
        <v>-12.122199999999999</v>
      </c>
      <c r="AD4115">
        <v>-1.1062621355119999</v>
      </c>
      <c r="AE4115">
        <v>2.9344999999999799</v>
      </c>
      <c r="AF4115">
        <v>2.95002941200205</v>
      </c>
      <c r="AG4115">
        <v>-1.1062621355119999</v>
      </c>
      <c r="AH4115">
        <v>12.018207094336899</v>
      </c>
      <c r="AI4115">
        <v>95.108383513982901</v>
      </c>
      <c r="AJ4115">
        <v>76.208657136915306</v>
      </c>
      <c r="AK4115">
        <v>12.424322565295601</v>
      </c>
      <c r="AL4115">
        <v>91.603584293225893</v>
      </c>
      <c r="AM4115">
        <v>93.494478769576006</v>
      </c>
      <c r="AN4115">
        <v>0.999999928647892</v>
      </c>
    </row>
    <row r="4116" spans="1:40" x14ac:dyDescent="0.25">
      <c r="A4116" t="str">
        <f>"20190305135316883"</f>
        <v>20190305135316883</v>
      </c>
      <c r="B4116" t="str">
        <f>"1551765196873993"</f>
        <v>1551765196873993</v>
      </c>
      <c r="C4116" t="s">
        <v>40</v>
      </c>
      <c r="D4116">
        <v>4.2649629999999998</v>
      </c>
      <c r="E4116">
        <v>0.61309340000000001</v>
      </c>
      <c r="F4116" t="s">
        <v>78</v>
      </c>
      <c r="G4116">
        <v>-280.72410000000002</v>
      </c>
      <c r="H4116" s="1">
        <v>-5.3177459999999999E-6</v>
      </c>
      <c r="I4116">
        <v>143.8783</v>
      </c>
      <c r="J4116">
        <v>-268.57420000000002</v>
      </c>
      <c r="K4116">
        <v>1.1062299999999901</v>
      </c>
      <c r="L4116">
        <v>140.91079999999999</v>
      </c>
      <c r="M4116">
        <v>-0.99997530000000001</v>
      </c>
      <c r="N4116">
        <v>-6.9432579999999999E-3</v>
      </c>
      <c r="O4116">
        <v>-1.1382510000000001E-3</v>
      </c>
      <c r="P4116">
        <v>-0.99744310000000003</v>
      </c>
      <c r="Q4116">
        <v>-3.5790370000000002E-2</v>
      </c>
      <c r="R4116">
        <v>-6.185624E-2</v>
      </c>
      <c r="S4116">
        <v>-3.044861</v>
      </c>
      <c r="T4116">
        <v>-0.26928590000000002</v>
      </c>
      <c r="U4116">
        <v>0.72247309999999998</v>
      </c>
      <c r="V4116">
        <v>-6.0862779999999998E-2</v>
      </c>
      <c r="W4116">
        <v>-2.8563109999999999E-2</v>
      </c>
      <c r="X4116">
        <v>0.99773730000000005</v>
      </c>
      <c r="Y4116">
        <v>0.2310461</v>
      </c>
      <c r="Z4116">
        <v>1.0964089999999999E-2</v>
      </c>
      <c r="AA4116">
        <v>0.972881</v>
      </c>
      <c r="AB4116">
        <v>36</v>
      </c>
      <c r="AC4116">
        <v>-12.149900000000001</v>
      </c>
      <c r="AD4116">
        <v>-1.10623531774599</v>
      </c>
      <c r="AE4116">
        <v>2.9674999999999998</v>
      </c>
      <c r="AF4116">
        <v>2.9581854990983598</v>
      </c>
      <c r="AG4116">
        <v>-1.10623531774599</v>
      </c>
      <c r="AH4116">
        <v>12.052227019677501</v>
      </c>
      <c r="AI4116">
        <v>95.093936106812507</v>
      </c>
      <c r="AJ4116">
        <v>76.209529498447694</v>
      </c>
      <c r="AK4116">
        <v>12.4591650666948</v>
      </c>
      <c r="AL4116">
        <v>91.636768387708301</v>
      </c>
      <c r="AM4116">
        <v>93.490763224392893</v>
      </c>
      <c r="AN4116">
        <v>0.99999992452674202</v>
      </c>
    </row>
    <row r="4117" spans="1:40" x14ac:dyDescent="0.25">
      <c r="A4117" t="str">
        <f>"20190305135316995"</f>
        <v>20190305135316995</v>
      </c>
      <c r="B4117" t="str">
        <f>"1551765196984266"</f>
        <v>1551765196984266</v>
      </c>
      <c r="C4117" t="s">
        <v>40</v>
      </c>
      <c r="D4117">
        <v>4.3940449999999904</v>
      </c>
      <c r="E4117">
        <v>0.61309340000000001</v>
      </c>
      <c r="F4117" t="s">
        <v>78</v>
      </c>
      <c r="G4117">
        <v>-281.17840000000001</v>
      </c>
      <c r="H4117" s="1">
        <v>-5.5294860000000002E-6</v>
      </c>
      <c r="I4117">
        <v>143.90989999999999</v>
      </c>
      <c r="J4117">
        <v>-270.41579999999999</v>
      </c>
      <c r="K4117">
        <v>1.106177</v>
      </c>
      <c r="L4117">
        <v>140.9255</v>
      </c>
      <c r="M4117">
        <v>-0.99993240000000005</v>
      </c>
      <c r="N4117">
        <v>-6.9639580000000001E-3</v>
      </c>
      <c r="O4117">
        <v>9.3107160000000001E-3</v>
      </c>
      <c r="P4117">
        <v>-0.99793989999999999</v>
      </c>
      <c r="Q4117">
        <v>-3.7185540000000003E-2</v>
      </c>
      <c r="R4117">
        <v>-5.2281889999999998E-2</v>
      </c>
      <c r="S4117">
        <v>-3.042999</v>
      </c>
      <c r="T4117">
        <v>-0.2670747</v>
      </c>
      <c r="U4117">
        <v>0.72406009999999998</v>
      </c>
      <c r="V4117">
        <v>-6.1721419999999999E-2</v>
      </c>
      <c r="W4117">
        <v>-2.9930470000000001E-2</v>
      </c>
      <c r="X4117">
        <v>0.99764450000000005</v>
      </c>
      <c r="Y4117">
        <v>0.22156819999999999</v>
      </c>
      <c r="Z4117">
        <v>9.6149570000000004E-3</v>
      </c>
      <c r="AA4117">
        <v>0.97509749999999995</v>
      </c>
      <c r="AB4117">
        <v>37</v>
      </c>
      <c r="AC4117">
        <v>-10.762600000000001</v>
      </c>
      <c r="AD4117">
        <v>-1.1061825294859999</v>
      </c>
      <c r="AE4117">
        <v>2.9843999999999902</v>
      </c>
      <c r="AF4117">
        <v>2.8560443061227998</v>
      </c>
      <c r="AG4117">
        <v>-1.1061825294859999</v>
      </c>
      <c r="AH4117">
        <v>10.6851054319939</v>
      </c>
      <c r="AI4117">
        <v>95.711416484372904</v>
      </c>
      <c r="AJ4117">
        <v>75.035132227836897</v>
      </c>
      <c r="AK4117">
        <v>11.1153995411727</v>
      </c>
      <c r="AL4117">
        <v>91.715145828403905</v>
      </c>
      <c r="AM4117">
        <v>93.540214300374103</v>
      </c>
      <c r="AN4117">
        <v>0.999999957550742</v>
      </c>
    </row>
    <row r="4118" spans="1:40" x14ac:dyDescent="0.25">
      <c r="A4118" t="str">
        <f>"20190305135317019"</f>
        <v>20190305135317019</v>
      </c>
      <c r="B4118" t="str">
        <f>"1551765197014523"</f>
        <v>1551765197014523</v>
      </c>
      <c r="C4118" t="s">
        <v>40</v>
      </c>
      <c r="D4118">
        <v>4.3929150000000003</v>
      </c>
      <c r="E4118">
        <v>0.52268389999999998</v>
      </c>
      <c r="F4118" t="s">
        <v>78</v>
      </c>
      <c r="G4118">
        <v>-282.78359999999998</v>
      </c>
      <c r="H4118" s="1">
        <v>-6.2684589999999997E-6</v>
      </c>
      <c r="I4118">
        <v>143.99379999999999</v>
      </c>
      <c r="J4118">
        <v>-270.80700000000002</v>
      </c>
      <c r="K4118">
        <v>1.106187</v>
      </c>
      <c r="L4118">
        <v>140.93100000000001</v>
      </c>
      <c r="M4118">
        <v>-0.99991019999999997</v>
      </c>
      <c r="N4118">
        <v>-6.9692829999999997E-3</v>
      </c>
      <c r="O4118">
        <v>1.145386E-2</v>
      </c>
      <c r="P4118">
        <v>-0.99804839999999995</v>
      </c>
      <c r="Q4118">
        <v>-3.6665950000000003E-2</v>
      </c>
      <c r="R4118">
        <v>-5.054939E-2</v>
      </c>
      <c r="S4118">
        <v>-3.0355530000000002</v>
      </c>
      <c r="T4118">
        <v>-0.27150269999999999</v>
      </c>
      <c r="U4118">
        <v>0.75309749999999998</v>
      </c>
      <c r="V4118">
        <v>-6.2124360000000003E-2</v>
      </c>
      <c r="W4118">
        <v>-2.9406060000000001E-2</v>
      </c>
      <c r="X4118">
        <v>0.9976351</v>
      </c>
      <c r="Y4118">
        <v>0.2287662</v>
      </c>
      <c r="Z4118">
        <v>9.9409479999999998E-3</v>
      </c>
      <c r="AA4118">
        <v>0.97343060000000003</v>
      </c>
      <c r="AB4118">
        <v>37</v>
      </c>
      <c r="AC4118">
        <v>-11.9765999999999</v>
      </c>
      <c r="AD4118">
        <v>-1.1061932684589999</v>
      </c>
      <c r="AE4118">
        <v>3.0627999999999802</v>
      </c>
      <c r="AF4118">
        <v>2.9021790219630299</v>
      </c>
      <c r="AG4118">
        <v>-1.1061932684589999</v>
      </c>
      <c r="AH4118">
        <v>11.915485932596599</v>
      </c>
      <c r="AI4118">
        <v>95.154113317368299</v>
      </c>
      <c r="AJ4118">
        <v>76.311362715693605</v>
      </c>
      <c r="AK4118">
        <v>12.313614888919201</v>
      </c>
      <c r="AL4118">
        <v>91.685086089380306</v>
      </c>
      <c r="AM4118">
        <v>93.563300247061207</v>
      </c>
      <c r="AN4118">
        <v>0.99999997261107099</v>
      </c>
    </row>
    <row r="4119" spans="1:40" x14ac:dyDescent="0.25">
      <c r="A4119" t="str">
        <f>"20190305135317039"</f>
        <v>20190305135317039</v>
      </c>
      <c r="B4119" t="str">
        <f>"1551765197034042"</f>
        <v>1551765197034042</v>
      </c>
      <c r="C4119" t="s">
        <v>40</v>
      </c>
      <c r="D4119">
        <v>4.4826249999999996</v>
      </c>
      <c r="E4119">
        <v>0.52070139999999998</v>
      </c>
      <c r="F4119" t="s">
        <v>42</v>
      </c>
      <c r="G4119">
        <v>-328.99529999999999</v>
      </c>
      <c r="H4119" s="1">
        <v>-8.9974640000000001E-7</v>
      </c>
      <c r="I4119">
        <v>141.4444</v>
      </c>
      <c r="J4119">
        <v>-271.15519999999998</v>
      </c>
      <c r="K4119">
        <v>1.1062129999999999</v>
      </c>
      <c r="L4119">
        <v>140.9365</v>
      </c>
      <c r="M4119">
        <v>-0.99988710000000003</v>
      </c>
      <c r="N4119">
        <v>-6.9739470000000003E-3</v>
      </c>
      <c r="O4119">
        <v>1.3308250000000001E-2</v>
      </c>
      <c r="P4119">
        <v>-0.99810849999999995</v>
      </c>
      <c r="Q4119">
        <v>-3.6996519999999998E-2</v>
      </c>
      <c r="R4119">
        <v>-4.9102859999999998E-2</v>
      </c>
      <c r="S4119">
        <v>-3.0051269999999999</v>
      </c>
      <c r="T4119">
        <v>-5.7129029999999997E-2</v>
      </c>
      <c r="U4119">
        <v>2.651978E-2</v>
      </c>
      <c r="V4119">
        <v>-6.2528099999999906E-2</v>
      </c>
      <c r="W4119">
        <v>-2.973435E-2</v>
      </c>
      <c r="X4119">
        <v>0.99760020000000005</v>
      </c>
      <c r="Y4119">
        <v>-4.4822710000000003E-3</v>
      </c>
      <c r="Z4119">
        <v>-2.1838369999999999E-4</v>
      </c>
      <c r="AA4119">
        <v>0.99998989999999999</v>
      </c>
      <c r="AB4119">
        <v>37</v>
      </c>
      <c r="AC4119">
        <v>-57.8401</v>
      </c>
      <c r="AD4119">
        <v>-1.1062138997463999</v>
      </c>
      <c r="AE4119">
        <v>0.50790000000000601</v>
      </c>
      <c r="AF4119">
        <v>-0.26181846689007698</v>
      </c>
      <c r="AG4119">
        <v>-1.1062138997463999</v>
      </c>
      <c r="AH4119">
        <v>57.820588938491603</v>
      </c>
      <c r="AI4119">
        <v>91.096028385748099</v>
      </c>
      <c r="AJ4119">
        <v>90.259440294561102</v>
      </c>
      <c r="AK4119">
        <v>57.831762581609198</v>
      </c>
      <c r="AL4119">
        <v>91.703903857761901</v>
      </c>
      <c r="AM4119">
        <v>93.586522670972101</v>
      </c>
      <c r="AN4119">
        <v>1.00000002694978</v>
      </c>
    </row>
    <row r="4120" spans="1:40" x14ac:dyDescent="0.25">
      <c r="A4120" t="str">
        <f>"20190305135317062"</f>
        <v>20190305135317062</v>
      </c>
      <c r="B4120" t="str">
        <f>"1551765197054542"</f>
        <v>1551765197054542</v>
      </c>
      <c r="C4120" t="s">
        <v>40</v>
      </c>
      <c r="D4120">
        <v>4.5087349999999997</v>
      </c>
      <c r="E4120">
        <v>0.51830329999999902</v>
      </c>
      <c r="F4120" t="s">
        <v>78</v>
      </c>
      <c r="G4120">
        <v>-305.17759999999998</v>
      </c>
      <c r="H4120" s="1">
        <v>-9.2504709999999996E-6</v>
      </c>
      <c r="I4120">
        <v>141.13059999999999</v>
      </c>
      <c r="J4120">
        <v>-271.53949999999998</v>
      </c>
      <c r="K4120">
        <v>1.1062529999999999</v>
      </c>
      <c r="L4120">
        <v>140.94329999999999</v>
      </c>
      <c r="M4120">
        <v>-0.99985900000000005</v>
      </c>
      <c r="N4120">
        <v>-6.9788230000000003E-3</v>
      </c>
      <c r="O4120">
        <v>1.5280190000000001E-2</v>
      </c>
      <c r="P4120">
        <v>-0.99819259999999999</v>
      </c>
      <c r="Q4120">
        <v>-3.6993520000000002E-2</v>
      </c>
      <c r="R4120">
        <v>-4.7359409999999998E-2</v>
      </c>
      <c r="S4120">
        <v>-3.0028990000000002</v>
      </c>
      <c r="T4120">
        <v>-9.7637890000000005E-2</v>
      </c>
      <c r="U4120">
        <v>1.7135620000000001E-2</v>
      </c>
      <c r="V4120">
        <v>-6.2750239999999999E-2</v>
      </c>
      <c r="W4120">
        <v>-2.9732370000000001E-2</v>
      </c>
      <c r="X4120">
        <v>0.99758630000000004</v>
      </c>
      <c r="Y4120">
        <v>-9.5636009999999997E-3</v>
      </c>
      <c r="Z4120">
        <v>-5.788713E-4</v>
      </c>
      <c r="AA4120">
        <v>0.99995409999999996</v>
      </c>
      <c r="AB4120">
        <v>37</v>
      </c>
      <c r="AC4120">
        <v>-33.638100000000001</v>
      </c>
      <c r="AD4120">
        <v>-1.106262250471</v>
      </c>
      <c r="AE4120">
        <v>0.187299999999993</v>
      </c>
      <c r="AF4120">
        <v>-0.32637790269351402</v>
      </c>
      <c r="AG4120">
        <v>-1.106262250471</v>
      </c>
      <c r="AH4120">
        <v>33.600694384278299</v>
      </c>
      <c r="AI4120">
        <v>91.885624241068697</v>
      </c>
      <c r="AJ4120">
        <v>90.556520887590096</v>
      </c>
      <c r="AK4120">
        <v>33.620484853848403</v>
      </c>
      <c r="AL4120">
        <v>91.703790380267407</v>
      </c>
      <c r="AM4120">
        <v>93.599280888370203</v>
      </c>
      <c r="AN4120">
        <v>1.0000000161967799</v>
      </c>
    </row>
    <row r="4121" spans="1:40" x14ac:dyDescent="0.25">
      <c r="A4121" t="str">
        <f>"20190305135317083"</f>
        <v>20190305135317083</v>
      </c>
      <c r="B4121" t="str">
        <f>"1551765197074058"</f>
        <v>1551765197074058</v>
      </c>
      <c r="C4121" t="s">
        <v>40</v>
      </c>
      <c r="D4121">
        <v>4.4852879999999997</v>
      </c>
      <c r="E4121">
        <v>0.51656199999999997</v>
      </c>
      <c r="F4121" t="s">
        <v>78</v>
      </c>
      <c r="G4121">
        <v>-299.03120000000001</v>
      </c>
      <c r="H4121" s="1">
        <v>-8.4924629999999992E-6</v>
      </c>
      <c r="I4121">
        <v>140.98410000000001</v>
      </c>
      <c r="J4121">
        <v>-271.89839999999998</v>
      </c>
      <c r="K4121">
        <v>1.106304</v>
      </c>
      <c r="L4121">
        <v>140.9502</v>
      </c>
      <c r="M4121">
        <v>-0.99983069999999996</v>
      </c>
      <c r="N4121">
        <v>-6.9835549999999998E-3</v>
      </c>
      <c r="O4121">
        <v>1.7031609999999999E-2</v>
      </c>
      <c r="P4121">
        <v>-0.99825600000000003</v>
      </c>
      <c r="Q4121">
        <v>-3.6856569999999998E-2</v>
      </c>
      <c r="R4121">
        <v>-4.611726E-2</v>
      </c>
      <c r="S4121">
        <v>-3.00116</v>
      </c>
      <c r="T4121">
        <v>-0.1207665</v>
      </c>
      <c r="U4121">
        <v>4.4555659999999898E-3</v>
      </c>
      <c r="V4121">
        <v>-6.3250920000000002E-2</v>
      </c>
      <c r="W4121">
        <v>-2.9597350000000001E-2</v>
      </c>
      <c r="X4121">
        <v>0.99755870000000002</v>
      </c>
      <c r="Y4121">
        <v>-1.5523459999999999E-2</v>
      </c>
      <c r="Z4121">
        <v>-9.3257509999999997E-4</v>
      </c>
      <c r="AA4121">
        <v>0.99987910000000002</v>
      </c>
      <c r="AB4121">
        <v>37</v>
      </c>
      <c r="AC4121">
        <v>-27.1328</v>
      </c>
      <c r="AD4121">
        <v>-1.1063124924629999</v>
      </c>
      <c r="AE4121">
        <v>3.3900000000016903E-2</v>
      </c>
      <c r="AF4121">
        <v>-0.427520631156183</v>
      </c>
      <c r="AG4121">
        <v>-1.1063124924629999</v>
      </c>
      <c r="AH4121">
        <v>27.084413366165599</v>
      </c>
      <c r="AI4121">
        <v>92.338759786522104</v>
      </c>
      <c r="AJ4121">
        <v>90.904324321341505</v>
      </c>
      <c r="AK4121">
        <v>27.110369761594399</v>
      </c>
      <c r="AL4121">
        <v>91.696050889990701</v>
      </c>
      <c r="AM4121">
        <v>93.628023022202498</v>
      </c>
      <c r="AN4121">
        <v>1.0000000209767701</v>
      </c>
    </row>
    <row r="4122" spans="1:40" x14ac:dyDescent="0.25">
      <c r="A4122" t="str">
        <f>"20190305135317097"</f>
        <v>20190305135317097</v>
      </c>
      <c r="B4122" t="str">
        <f>"1551765197093579"</f>
        <v>1551765197093579</v>
      </c>
      <c r="C4122" t="s">
        <v>40</v>
      </c>
      <c r="D4122">
        <v>4.379899</v>
      </c>
      <c r="E4122">
        <v>0.51517440000000003</v>
      </c>
      <c r="F4122" t="s">
        <v>78</v>
      </c>
      <c r="G4122">
        <v>-296.84399999999999</v>
      </c>
      <c r="H4122" s="1">
        <v>-8.6645180000000007E-6</v>
      </c>
      <c r="I4122">
        <v>140.90790000000001</v>
      </c>
      <c r="J4122">
        <v>-272.12450000000001</v>
      </c>
      <c r="K4122">
        <v>1.106347</v>
      </c>
      <c r="L4122">
        <v>140.95490000000001</v>
      </c>
      <c r="M4122">
        <v>-0.99981220000000004</v>
      </c>
      <c r="N4122">
        <v>-6.9864790000000003E-3</v>
      </c>
      <c r="O4122">
        <v>1.8071980000000001E-2</v>
      </c>
      <c r="P4122">
        <v>-0.99828890000000003</v>
      </c>
      <c r="Q4122">
        <v>-3.6741759999999998E-2</v>
      </c>
      <c r="R4122">
        <v>-4.5488489999999999E-2</v>
      </c>
      <c r="S4122">
        <v>-3.000092</v>
      </c>
      <c r="T4122">
        <v>-0.13305139999999999</v>
      </c>
      <c r="U4122">
        <v>-5.0811770000000001E-3</v>
      </c>
      <c r="V4122">
        <v>-6.3656859999999996E-2</v>
      </c>
      <c r="W4122">
        <v>-2.9484860000000002E-2</v>
      </c>
      <c r="X4122">
        <v>0.99753619999999998</v>
      </c>
      <c r="Y4122">
        <v>-1.973074E-2</v>
      </c>
      <c r="Z4122">
        <v>-1.1811089999999901E-3</v>
      </c>
      <c r="AA4122">
        <v>0.99980460000000004</v>
      </c>
      <c r="AB4122">
        <v>37</v>
      </c>
      <c r="AC4122">
        <v>-24.719499999999901</v>
      </c>
      <c r="AD4122">
        <v>-1.1063556645179999</v>
      </c>
      <c r="AE4122">
        <v>-4.6999999999997003E-2</v>
      </c>
      <c r="AF4122">
        <v>-0.49274653765681797</v>
      </c>
      <c r="AG4122">
        <v>-1.1063556645179999</v>
      </c>
      <c r="AH4122">
        <v>24.665205865991599</v>
      </c>
      <c r="AI4122">
        <v>92.567764050530201</v>
      </c>
      <c r="AJ4122">
        <v>91.144468131682103</v>
      </c>
      <c r="AK4122">
        <v>24.694922604019901</v>
      </c>
      <c r="AL4122">
        <v>91.689602889681893</v>
      </c>
      <c r="AM4122">
        <v>93.651326766437805</v>
      </c>
      <c r="AN4122">
        <v>1.00000001155235</v>
      </c>
    </row>
    <row r="4123" spans="1:40" x14ac:dyDescent="0.25">
      <c r="A4123" t="str">
        <f>"20190305135317117"</f>
        <v>20190305135317117</v>
      </c>
      <c r="B4123" t="str">
        <f>"1551765197114075"</f>
        <v>1551765197114075</v>
      </c>
      <c r="C4123" t="s">
        <v>40</v>
      </c>
      <c r="D4123">
        <v>4.5555940000000001</v>
      </c>
      <c r="E4123">
        <v>0.51460220000000001</v>
      </c>
      <c r="F4123" t="s">
        <v>78</v>
      </c>
      <c r="G4123">
        <v>-295.41289999999998</v>
      </c>
      <c r="H4123" s="1">
        <v>-8.7744939999999905E-6</v>
      </c>
      <c r="I4123">
        <v>140.84829999999999</v>
      </c>
      <c r="J4123">
        <v>-272.46109999999999</v>
      </c>
      <c r="K4123">
        <v>1.1064130000000001</v>
      </c>
      <c r="L4123">
        <v>140.9622</v>
      </c>
      <c r="M4123">
        <v>-0.99978449999999996</v>
      </c>
      <c r="N4123">
        <v>-6.9907869999999896E-3</v>
      </c>
      <c r="O4123">
        <v>1.9549980000000002E-2</v>
      </c>
      <c r="P4123">
        <v>-0.9983284</v>
      </c>
      <c r="Q4123">
        <v>-3.6883440000000003E-2</v>
      </c>
      <c r="R4123">
        <v>-4.4501100000000002E-2</v>
      </c>
      <c r="S4123">
        <v>-2.999298</v>
      </c>
      <c r="T4123">
        <v>-0.14248669999999999</v>
      </c>
      <c r="U4123">
        <v>-1.3732909999999999E-2</v>
      </c>
      <c r="V4123">
        <v>-6.4139849999999998E-2</v>
      </c>
      <c r="W4123">
        <v>-2.963199E-2</v>
      </c>
      <c r="X4123">
        <v>0.99750090000000002</v>
      </c>
      <c r="Y4123">
        <v>-2.4080839999999999E-2</v>
      </c>
      <c r="Z4123">
        <v>-1.4474850000000001E-3</v>
      </c>
      <c r="AA4123">
        <v>0.99970899999999996</v>
      </c>
      <c r="AB4123">
        <v>37</v>
      </c>
      <c r="AC4123">
        <v>-22.951799999999899</v>
      </c>
      <c r="AD4123">
        <v>-1.1064217744939999</v>
      </c>
      <c r="AE4123">
        <v>-0.1139</v>
      </c>
      <c r="AF4123">
        <v>-0.561292073519298</v>
      </c>
      <c r="AG4123">
        <v>-1.1064217744939999</v>
      </c>
      <c r="AH4123">
        <v>22.891990240027699</v>
      </c>
      <c r="AI4123">
        <v>92.766251485000495</v>
      </c>
      <c r="AJ4123">
        <v>91.404562215807502</v>
      </c>
      <c r="AK4123">
        <v>22.925584727208001</v>
      </c>
      <c r="AL4123">
        <v>91.6980365047134</v>
      </c>
      <c r="AM4123">
        <v>93.679084875047394</v>
      </c>
      <c r="AN4123">
        <v>1.0000000103450899</v>
      </c>
    </row>
    <row r="4124" spans="1:40" x14ac:dyDescent="0.25">
      <c r="A4124" t="str">
        <f>"20190305135317140"</f>
        <v>20190305135317140</v>
      </c>
      <c r="B4124" t="str">
        <f>"1551765197134571"</f>
        <v>1551765197134571</v>
      </c>
      <c r="C4124" t="s">
        <v>40</v>
      </c>
      <c r="D4124">
        <v>4.5232449999999904</v>
      </c>
      <c r="E4124">
        <v>0.51385329999999996</v>
      </c>
      <c r="F4124" t="s">
        <v>78</v>
      </c>
      <c r="G4124">
        <v>-295.11959999999999</v>
      </c>
      <c r="H4124" s="1">
        <v>-8.799959E-6</v>
      </c>
      <c r="I4124">
        <v>140.84710000000001</v>
      </c>
      <c r="J4124">
        <v>-272.84390000000002</v>
      </c>
      <c r="K4124">
        <v>1.1065069999999999</v>
      </c>
      <c r="L4124">
        <v>140.971</v>
      </c>
      <c r="M4124">
        <v>-0.99975270000000005</v>
      </c>
      <c r="N4124">
        <v>-6.9960049999999996E-3</v>
      </c>
      <c r="O4124">
        <v>2.1109490000000002E-2</v>
      </c>
      <c r="P4124">
        <v>-0.99837220000000004</v>
      </c>
      <c r="Q4124">
        <v>-3.6848550000000001E-2</v>
      </c>
      <c r="R4124">
        <v>-4.3535749999999998E-2</v>
      </c>
      <c r="S4124">
        <v>-2.998901</v>
      </c>
      <c r="T4124">
        <v>-0.1464375</v>
      </c>
      <c r="U4124">
        <v>-1.522827E-2</v>
      </c>
      <c r="V4124">
        <v>-6.4724459999999998E-2</v>
      </c>
      <c r="W4124">
        <v>-2.9604470000000001E-2</v>
      </c>
      <c r="X4124">
        <v>0.99746389999999996</v>
      </c>
      <c r="Y4124">
        <v>-2.6132430000000002E-2</v>
      </c>
      <c r="Z4124">
        <v>-1.6116259999999999E-3</v>
      </c>
      <c r="AA4124">
        <v>0.99965720000000002</v>
      </c>
      <c r="AB4124">
        <v>37</v>
      </c>
      <c r="AC4124">
        <v>-22.275699999999901</v>
      </c>
      <c r="AD4124">
        <v>-1.1065157999589901</v>
      </c>
      <c r="AE4124">
        <v>-0.123899999999991</v>
      </c>
      <c r="AF4124">
        <v>-0.59265025691595796</v>
      </c>
      <c r="AG4124">
        <v>-1.1065157999589901</v>
      </c>
      <c r="AH4124">
        <v>22.213311466153101</v>
      </c>
      <c r="AI4124">
        <v>92.8507153810028</v>
      </c>
      <c r="AJ4124">
        <v>91.528286541086899</v>
      </c>
      <c r="AK4124">
        <v>22.248748680204699</v>
      </c>
      <c r="AL4124">
        <v>91.696459124892698</v>
      </c>
      <c r="AM4124">
        <v>93.712662283004605</v>
      </c>
      <c r="AN4124">
        <v>0.99999995608474002</v>
      </c>
    </row>
    <row r="4125" spans="1:40" x14ac:dyDescent="0.25">
      <c r="A4125" t="str">
        <f>"20190305135317162"</f>
        <v>20190305135317162</v>
      </c>
      <c r="B4125" t="str">
        <f>"1551765197154091"</f>
        <v>1551765197154091</v>
      </c>
      <c r="C4125" t="s">
        <v>40</v>
      </c>
      <c r="D4125">
        <v>4.4968919999999999</v>
      </c>
      <c r="E4125">
        <v>0.51222840000000003</v>
      </c>
      <c r="F4125" t="s">
        <v>78</v>
      </c>
      <c r="G4125">
        <v>-295.18520000000001</v>
      </c>
      <c r="H4125" s="1">
        <v>-8.7912410000000003E-6</v>
      </c>
      <c r="I4125">
        <v>140.83590000000001</v>
      </c>
      <c r="J4125">
        <v>-273.23230000000001</v>
      </c>
      <c r="K4125">
        <v>1.1066009999999999</v>
      </c>
      <c r="L4125">
        <v>140.9804</v>
      </c>
      <c r="M4125">
        <v>-0.99972119999999998</v>
      </c>
      <c r="N4125">
        <v>-7.0015009999999898E-3</v>
      </c>
      <c r="O4125">
        <v>2.255772E-2</v>
      </c>
      <c r="P4125">
        <v>-0.99844710000000003</v>
      </c>
      <c r="Q4125">
        <v>-3.6423110000000002E-2</v>
      </c>
      <c r="R4125">
        <v>-4.2154730000000001E-2</v>
      </c>
      <c r="S4125">
        <v>-2.9986269999999999</v>
      </c>
      <c r="T4125">
        <v>-0.1485157</v>
      </c>
      <c r="U4125">
        <v>-1.8127440000000002E-2</v>
      </c>
      <c r="V4125">
        <v>-6.4780900000000002E-2</v>
      </c>
      <c r="W4125">
        <v>-2.9189159999999999E-2</v>
      </c>
      <c r="X4125">
        <v>0.99747249999999998</v>
      </c>
      <c r="Y4125">
        <v>-2.854114E-2</v>
      </c>
      <c r="Z4125">
        <v>-1.7649670000000001E-3</v>
      </c>
      <c r="AA4125">
        <v>0.99959109999999995</v>
      </c>
      <c r="AB4125">
        <v>38</v>
      </c>
      <c r="AC4125">
        <v>-21.9529</v>
      </c>
      <c r="AD4125">
        <v>-1.106609791241</v>
      </c>
      <c r="AE4125">
        <v>-0.144499999999993</v>
      </c>
      <c r="AF4125">
        <v>-0.63806140628886299</v>
      </c>
      <c r="AG4125">
        <v>-1.106609791241</v>
      </c>
      <c r="AH4125">
        <v>21.8884377911744</v>
      </c>
      <c r="AI4125">
        <v>92.893001341719398</v>
      </c>
      <c r="AJ4125">
        <v>91.669734316217003</v>
      </c>
      <c r="AK4125">
        <v>21.925679385742601</v>
      </c>
      <c r="AL4125">
        <v>91.672653284817699</v>
      </c>
      <c r="AM4125">
        <v>93.715858725678501</v>
      </c>
      <c r="AN4125">
        <v>0.999999980161282</v>
      </c>
    </row>
    <row r="4126" spans="1:40" x14ac:dyDescent="0.25">
      <c r="A4126" t="str">
        <f>"20190305135317184"</f>
        <v>20190305135317184</v>
      </c>
      <c r="B4126" t="str">
        <f>"1551765197174587"</f>
        <v>1551765197174587</v>
      </c>
      <c r="C4126" t="s">
        <v>40</v>
      </c>
      <c r="D4126">
        <v>4.487616</v>
      </c>
      <c r="E4126">
        <v>0.51070789999999999</v>
      </c>
      <c r="F4126" t="s">
        <v>78</v>
      </c>
      <c r="G4126">
        <v>-295.16480000000001</v>
      </c>
      <c r="H4126" s="1">
        <v>-8.7794609999999995E-6</v>
      </c>
      <c r="I4126">
        <v>140.78450000000001</v>
      </c>
      <c r="J4126">
        <v>-273.58350000000002</v>
      </c>
      <c r="K4126">
        <v>1.1067</v>
      </c>
      <c r="L4126">
        <v>140.98929999999999</v>
      </c>
      <c r="M4126">
        <v>-0.99969359999999996</v>
      </c>
      <c r="N4126">
        <v>-7.0065719999999904E-3</v>
      </c>
      <c r="O4126">
        <v>2.3742969999999999E-2</v>
      </c>
      <c r="P4126">
        <v>-0.99848749999999997</v>
      </c>
      <c r="Q4126">
        <v>-3.6147529999999997E-2</v>
      </c>
      <c r="R4126">
        <v>-4.1428970000000002E-2</v>
      </c>
      <c r="S4126">
        <v>-2.9980470000000001</v>
      </c>
      <c r="T4126">
        <v>-0.15126719999999999</v>
      </c>
      <c r="U4126">
        <v>-2.6779170000000001E-2</v>
      </c>
      <c r="V4126">
        <v>-6.5230880000000005E-2</v>
      </c>
      <c r="W4126">
        <v>-2.8922030000000001E-2</v>
      </c>
      <c r="X4126">
        <v>0.99745090000000003</v>
      </c>
      <c r="Y4126">
        <v>-3.2602310000000002E-2</v>
      </c>
      <c r="Z4126">
        <v>-1.967089E-3</v>
      </c>
      <c r="AA4126">
        <v>0.99946650000000004</v>
      </c>
      <c r="AB4126">
        <v>38</v>
      </c>
      <c r="AC4126">
        <v>-21.581299999999999</v>
      </c>
      <c r="AD4126">
        <v>-1.106708779461</v>
      </c>
      <c r="AE4126">
        <v>-0.204799999999977</v>
      </c>
      <c r="AF4126">
        <v>-0.71527814975045001</v>
      </c>
      <c r="AG4126">
        <v>-1.106708779461</v>
      </c>
      <c r="AH4126">
        <v>21.5137827762026</v>
      </c>
      <c r="AI4126">
        <v>92.943181755870896</v>
      </c>
      <c r="AJ4126">
        <v>91.904236416467398</v>
      </c>
      <c r="AK4126">
        <v>21.5541011525806</v>
      </c>
      <c r="AL4126">
        <v>91.657341490077798</v>
      </c>
      <c r="AM4126">
        <v>93.741677489474995</v>
      </c>
      <c r="AN4126">
        <v>0.99999992471784904</v>
      </c>
    </row>
    <row r="4127" spans="1:40" x14ac:dyDescent="0.25">
      <c r="A4127" t="str">
        <f>"20190305135317209"</f>
        <v>20190305135317209</v>
      </c>
      <c r="B4127" t="str">
        <f>"1551765197203867"</f>
        <v>1551765197203867</v>
      </c>
      <c r="C4127" t="s">
        <v>40</v>
      </c>
      <c r="D4127">
        <v>4.4797979999999997</v>
      </c>
      <c r="E4127">
        <v>0.50892420000000005</v>
      </c>
      <c r="F4127" t="s">
        <v>78</v>
      </c>
      <c r="G4127">
        <v>-295.30829999999997</v>
      </c>
      <c r="H4127" s="1">
        <v>-8.7511069999999906E-6</v>
      </c>
      <c r="I4127">
        <v>140.72479999999999</v>
      </c>
      <c r="J4127">
        <v>-274</v>
      </c>
      <c r="K4127">
        <v>1.1068279999999999</v>
      </c>
      <c r="L4127">
        <v>141.00030000000001</v>
      </c>
      <c r="M4127">
        <v>-0.99966319999999997</v>
      </c>
      <c r="N4127">
        <v>-7.0125719999999999E-3</v>
      </c>
      <c r="O4127">
        <v>2.498918E-2</v>
      </c>
      <c r="P4127">
        <v>-0.99855360000000004</v>
      </c>
      <c r="Q4127">
        <v>-3.5659400000000001E-2</v>
      </c>
      <c r="R4127">
        <v>-4.0237460000000003E-2</v>
      </c>
      <c r="S4127">
        <v>-2.9974980000000002</v>
      </c>
      <c r="T4127">
        <v>-0.152699</v>
      </c>
      <c r="U4127">
        <v>-3.649902E-2</v>
      </c>
      <c r="V4127">
        <v>-6.5274570000000004E-2</v>
      </c>
      <c r="W4127">
        <v>-2.8446530000000001E-2</v>
      </c>
      <c r="X4127">
        <v>0.99746179999999995</v>
      </c>
      <c r="Y4127">
        <v>-3.7080929999999998E-2</v>
      </c>
      <c r="Z4127">
        <v>-2.170899E-3</v>
      </c>
      <c r="AA4127">
        <v>0.99930989999999997</v>
      </c>
      <c r="AB4127">
        <v>38</v>
      </c>
      <c r="AC4127">
        <v>-21.3082999999999</v>
      </c>
      <c r="AD4127">
        <v>-1.1068367511069901</v>
      </c>
      <c r="AE4127">
        <v>-0.27550000000002201</v>
      </c>
      <c r="AF4127">
        <v>-0.80573032559673796</v>
      </c>
      <c r="AG4127">
        <v>-1.1068367511069901</v>
      </c>
      <c r="AH4127">
        <v>21.237468113769602</v>
      </c>
      <c r="AI4127">
        <v>92.981253784249603</v>
      </c>
      <c r="AJ4127">
        <v>92.172707988935599</v>
      </c>
      <c r="AK4127">
        <v>21.281549305315298</v>
      </c>
      <c r="AL4127">
        <v>91.630085992988299</v>
      </c>
      <c r="AM4127">
        <v>93.744135645636106</v>
      </c>
      <c r="AN4127">
        <v>1.0000000085084799</v>
      </c>
    </row>
    <row r="4128" spans="1:40" x14ac:dyDescent="0.25">
      <c r="A4128" t="str">
        <f>"20190305135317231"</f>
        <v>20190305135317231</v>
      </c>
      <c r="B4128" t="str">
        <f>"1551765197224363"</f>
        <v>1551765197224363</v>
      </c>
      <c r="C4128" t="s">
        <v>40</v>
      </c>
      <c r="D4128">
        <v>4.4549250000000002</v>
      </c>
      <c r="E4128">
        <v>0.50808850000000005</v>
      </c>
      <c r="F4128" t="s">
        <v>78</v>
      </c>
      <c r="G4128">
        <v>-295.44400000000002</v>
      </c>
      <c r="H4128" s="1">
        <v>-8.7230200000000007E-6</v>
      </c>
      <c r="I4128">
        <v>140.6635</v>
      </c>
      <c r="J4128">
        <v>-274.36919999999998</v>
      </c>
      <c r="K4128">
        <v>1.1069370000000001</v>
      </c>
      <c r="L4128">
        <v>141.0103</v>
      </c>
      <c r="M4128">
        <v>-0.99963840000000004</v>
      </c>
      <c r="N4128">
        <v>-7.0182869999999998E-3</v>
      </c>
      <c r="O4128">
        <v>2.5963719999999999E-2</v>
      </c>
      <c r="P4128">
        <v>-0.9986157</v>
      </c>
      <c r="Q4128">
        <v>-3.4901500000000002E-2</v>
      </c>
      <c r="R4128">
        <v>-3.9356250000000002E-2</v>
      </c>
      <c r="S4128">
        <v>-2.9969480000000002</v>
      </c>
      <c r="T4128">
        <v>-0.1546881</v>
      </c>
      <c r="U4128">
        <v>-4.7073360000000002E-2</v>
      </c>
      <c r="V4128">
        <v>-6.5357280000000004E-2</v>
      </c>
      <c r="W4128">
        <v>-2.769957E-2</v>
      </c>
      <c r="X4128">
        <v>0.99747739999999996</v>
      </c>
      <c r="Y4128">
        <v>-4.1572369999999997E-2</v>
      </c>
      <c r="Z4128">
        <v>-2.3750989999999999E-3</v>
      </c>
      <c r="AA4128">
        <v>0.99913269999999998</v>
      </c>
      <c r="AB4128">
        <v>38</v>
      </c>
      <c r="AC4128">
        <v>-21.0748</v>
      </c>
      <c r="AD4128">
        <v>-1.1069457230199999</v>
      </c>
      <c r="AE4128">
        <v>-0.346800000000001</v>
      </c>
      <c r="AF4128">
        <v>-0.89141807365176995</v>
      </c>
      <c r="AG4128">
        <v>-1.1069457230199999</v>
      </c>
      <c r="AH4128">
        <v>21.000768628051102</v>
      </c>
      <c r="AI4128">
        <v>93.0145457525159</v>
      </c>
      <c r="AJ4128">
        <v>92.430570665214304</v>
      </c>
      <c r="AK4128">
        <v>21.048806094044402</v>
      </c>
      <c r="AL4128">
        <v>91.587271473122598</v>
      </c>
      <c r="AM4128">
        <v>93.748807890650198</v>
      </c>
      <c r="AN4128">
        <v>1.0000000018689701</v>
      </c>
    </row>
    <row r="4129" spans="1:40" x14ac:dyDescent="0.25">
      <c r="A4129" t="str">
        <f>"20190305135317252"</f>
        <v>20190305135317252</v>
      </c>
      <c r="B4129" t="str">
        <f>"1551765197243886"</f>
        <v>1551765197243886</v>
      </c>
      <c r="C4129" t="s">
        <v>40</v>
      </c>
      <c r="D4129">
        <v>4.4449139999999998</v>
      </c>
      <c r="E4129">
        <v>0.50731079999999995</v>
      </c>
      <c r="F4129" t="s">
        <v>78</v>
      </c>
      <c r="G4129">
        <v>-295.93950000000001</v>
      </c>
      <c r="H4129" s="1">
        <v>-8.6741999999999906E-6</v>
      </c>
      <c r="I4129">
        <v>140.64340000000001</v>
      </c>
      <c r="J4129">
        <v>-274.75110000000001</v>
      </c>
      <c r="K4129">
        <v>1.107043</v>
      </c>
      <c r="L4129">
        <v>141.02099999999999</v>
      </c>
      <c r="M4129">
        <v>-0.99961449999999996</v>
      </c>
      <c r="N4129">
        <v>-7.0242150000000003E-3</v>
      </c>
      <c r="O4129">
        <v>2.686326E-2</v>
      </c>
      <c r="P4129">
        <v>-0.99867110000000003</v>
      </c>
      <c r="Q4129">
        <v>-3.3968079999999998E-2</v>
      </c>
      <c r="R4129">
        <v>-3.8764390000000003E-2</v>
      </c>
      <c r="S4129">
        <v>-2.9967649999999999</v>
      </c>
      <c r="T4129">
        <v>-0.15378749999999999</v>
      </c>
      <c r="U4129">
        <v>-5.0979610000000002E-2</v>
      </c>
      <c r="V4129">
        <v>-6.5654779999999996E-2</v>
      </c>
      <c r="W4129">
        <v>-2.6776080000000001E-2</v>
      </c>
      <c r="X4129">
        <v>0.99748309999999996</v>
      </c>
      <c r="Y4129">
        <v>-4.377118E-2</v>
      </c>
      <c r="Z4129">
        <v>-2.4650900000000001E-3</v>
      </c>
      <c r="AA4129">
        <v>0.99903850000000005</v>
      </c>
      <c r="AB4129">
        <v>38</v>
      </c>
      <c r="AC4129">
        <v>-21.188400000000001</v>
      </c>
      <c r="AD4129">
        <v>-1.1070516742000001</v>
      </c>
      <c r="AE4129">
        <v>-0.37760000000000099</v>
      </c>
      <c r="AF4129">
        <v>-0.94409081748142099</v>
      </c>
      <c r="AG4129">
        <v>-1.1070516742000001</v>
      </c>
      <c r="AH4129">
        <v>21.1129921916984</v>
      </c>
      <c r="AI4129">
        <v>92.998542649326296</v>
      </c>
      <c r="AJ4129">
        <v>92.5603386236034</v>
      </c>
      <c r="AK4129">
        <v>21.163064763113098</v>
      </c>
      <c r="AL4129">
        <v>91.534339722850703</v>
      </c>
      <c r="AM4129">
        <v>93.765801652456204</v>
      </c>
      <c r="AN4129">
        <v>1.0000000216913101</v>
      </c>
    </row>
    <row r="4130" spans="1:40" x14ac:dyDescent="0.25">
      <c r="A4130" t="str">
        <f>"20190305135317274"</f>
        <v>20190305135317274</v>
      </c>
      <c r="B4130" t="str">
        <f>"1551765197264396"</f>
        <v>1551765197264396</v>
      </c>
      <c r="C4130" t="s">
        <v>40</v>
      </c>
      <c r="D4130">
        <v>4.4416260000000003</v>
      </c>
      <c r="E4130">
        <v>0.50667180000000001</v>
      </c>
      <c r="F4130" t="s">
        <v>78</v>
      </c>
      <c r="G4130">
        <v>-296.43959999999998</v>
      </c>
      <c r="H4130" s="1">
        <v>-8.6242329999999998E-6</v>
      </c>
      <c r="I4130">
        <v>140.62049999999999</v>
      </c>
      <c r="J4130">
        <v>-275.11959999999999</v>
      </c>
      <c r="K4130">
        <v>1.107148</v>
      </c>
      <c r="L4130">
        <v>141.0316</v>
      </c>
      <c r="M4130">
        <v>-0.99959370000000003</v>
      </c>
      <c r="N4130">
        <v>-7.0301290000000004E-3</v>
      </c>
      <c r="O4130">
        <v>2.7626600000000001E-2</v>
      </c>
      <c r="P4130">
        <v>-0.99869070000000004</v>
      </c>
      <c r="Q4130">
        <v>-3.3655190000000001E-2</v>
      </c>
      <c r="R4130">
        <v>-3.8529189999999998E-2</v>
      </c>
      <c r="S4130">
        <v>-2.9966430000000002</v>
      </c>
      <c r="T4130">
        <v>-0.15295839999999999</v>
      </c>
      <c r="U4130">
        <v>-5.5343629999999998E-2</v>
      </c>
      <c r="V4130">
        <v>-6.6174689999999994E-2</v>
      </c>
      <c r="W4130">
        <v>-2.647209E-2</v>
      </c>
      <c r="X4130">
        <v>0.99745680000000003</v>
      </c>
      <c r="Y4130">
        <v>-4.598609E-2</v>
      </c>
      <c r="Z4130">
        <v>-2.5495230000000002E-3</v>
      </c>
      <c r="AA4130">
        <v>0.99893880000000002</v>
      </c>
      <c r="AB4130">
        <v>38</v>
      </c>
      <c r="AC4130">
        <v>-21.32</v>
      </c>
      <c r="AD4130">
        <v>-1.107156624233</v>
      </c>
      <c r="AE4130">
        <v>-0.41110000000000402</v>
      </c>
      <c r="AF4130">
        <v>-0.99726828177814397</v>
      </c>
      <c r="AG4130">
        <v>-1.107156624233</v>
      </c>
      <c r="AH4130">
        <v>21.243237640913801</v>
      </c>
      <c r="AI4130">
        <v>92.980170111193303</v>
      </c>
      <c r="AJ4130">
        <v>92.687789143101</v>
      </c>
      <c r="AK4130">
        <v>21.295433437353701</v>
      </c>
      <c r="AL4130">
        <v>91.516916289557798</v>
      </c>
      <c r="AM4130">
        <v>93.795635409808597</v>
      </c>
      <c r="AN4130">
        <v>0.99999996450590101</v>
      </c>
    </row>
    <row r="4131" spans="1:40" x14ac:dyDescent="0.25">
      <c r="A4131" t="str">
        <f>"20190305135317295"</f>
        <v>20190305135317295</v>
      </c>
      <c r="B4131" t="str">
        <f>"1551765197283899"</f>
        <v>1551765197283899</v>
      </c>
      <c r="C4131" t="s">
        <v>40</v>
      </c>
      <c r="D4131">
        <v>4.4672269999999896</v>
      </c>
      <c r="E4131">
        <v>0.5060772</v>
      </c>
      <c r="F4131" t="s">
        <v>78</v>
      </c>
      <c r="G4131">
        <v>-296.78519999999997</v>
      </c>
      <c r="H4131" s="1">
        <v>-8.5884689999999994E-6</v>
      </c>
      <c r="I4131">
        <v>140.6</v>
      </c>
      <c r="J4131">
        <v>-275.47719999999998</v>
      </c>
      <c r="K4131">
        <v>1.1072420000000001</v>
      </c>
      <c r="L4131">
        <v>141.0421</v>
      </c>
      <c r="M4131">
        <v>-0.99957580000000001</v>
      </c>
      <c r="N4131">
        <v>-7.036077E-3</v>
      </c>
      <c r="O4131">
        <v>2.8262949999999998E-2</v>
      </c>
      <c r="P4131">
        <v>-0.99871739999999998</v>
      </c>
      <c r="Q4131">
        <v>-3.2824390000000002E-2</v>
      </c>
      <c r="R4131">
        <v>-3.8548600000000002E-2</v>
      </c>
      <c r="S4131">
        <v>-2.9964599999999999</v>
      </c>
      <c r="T4131">
        <v>-0.15312490000000001</v>
      </c>
      <c r="U4131">
        <v>-5.9692380000000003E-2</v>
      </c>
      <c r="V4131">
        <v>-6.6821060000000002E-2</v>
      </c>
      <c r="W4131">
        <v>-2.565011E-2</v>
      </c>
      <c r="X4131">
        <v>0.99743519999999997</v>
      </c>
      <c r="Y4131">
        <v>-4.8068340000000001E-2</v>
      </c>
      <c r="Z4131">
        <v>-2.6409490000000001E-3</v>
      </c>
      <c r="AA4131">
        <v>0.99884059999999997</v>
      </c>
      <c r="AB4131">
        <v>38</v>
      </c>
      <c r="AC4131">
        <v>-21.308</v>
      </c>
      <c r="AD4131">
        <v>-1.107250588469</v>
      </c>
      <c r="AE4131">
        <v>-0.44210000000000998</v>
      </c>
      <c r="AF4131">
        <v>-1.0413544808212101</v>
      </c>
      <c r="AG4131">
        <v>-1.107250588469</v>
      </c>
      <c r="AH4131">
        <v>21.229691030529199</v>
      </c>
      <c r="AI4131">
        <v>92.982020650032197</v>
      </c>
      <c r="AJ4131">
        <v>92.808210092991303</v>
      </c>
      <c r="AK4131">
        <v>21.284036371706399</v>
      </c>
      <c r="AL4131">
        <v>91.469804277138095</v>
      </c>
      <c r="AM4131">
        <v>93.832682566924206</v>
      </c>
      <c r="AN4131">
        <v>0.99999998020078695</v>
      </c>
    </row>
    <row r="4132" spans="1:40" x14ac:dyDescent="0.25">
      <c r="A4132" t="str">
        <f>"20190305135317320"</f>
        <v>20190305135317320</v>
      </c>
      <c r="B4132" t="str">
        <f>"1551765197314155"</f>
        <v>1551765197314155</v>
      </c>
      <c r="C4132" t="s">
        <v>40</v>
      </c>
      <c r="D4132">
        <v>4.4925449999999998</v>
      </c>
      <c r="E4132">
        <v>0.50529629999999903</v>
      </c>
      <c r="F4132" t="s">
        <v>78</v>
      </c>
      <c r="G4132">
        <v>-297.4418</v>
      </c>
      <c r="H4132" s="1">
        <v>-8.5226860000000006E-6</v>
      </c>
      <c r="I4132">
        <v>140.5693</v>
      </c>
      <c r="J4132">
        <v>-275.88929999999999</v>
      </c>
      <c r="K4132">
        <v>1.1073569999999999</v>
      </c>
      <c r="L4132">
        <v>141.05430000000001</v>
      </c>
      <c r="M4132">
        <v>-0.99955859999999996</v>
      </c>
      <c r="N4132">
        <v>-7.0429350000000002E-3</v>
      </c>
      <c r="O4132">
        <v>2.8864669999999999E-2</v>
      </c>
      <c r="P4132">
        <v>-0.99870720000000002</v>
      </c>
      <c r="Q4132">
        <v>-3.270808E-2</v>
      </c>
      <c r="R4132">
        <v>-3.8910380000000001E-2</v>
      </c>
      <c r="S4132">
        <v>-2.9963989999999998</v>
      </c>
      <c r="T4132">
        <v>-0.1510503</v>
      </c>
      <c r="U4132">
        <v>-6.4498899999999998E-2</v>
      </c>
      <c r="V4132">
        <v>-6.7774810000000005E-2</v>
      </c>
      <c r="W4132">
        <v>-2.5545450000000001E-2</v>
      </c>
      <c r="X4132">
        <v>0.99737359999999997</v>
      </c>
      <c r="Y4132">
        <v>-5.0270370000000002E-2</v>
      </c>
      <c r="Z4132">
        <v>-2.694096E-3</v>
      </c>
      <c r="AA4132">
        <v>0.99873199999999995</v>
      </c>
      <c r="AB4132">
        <v>38</v>
      </c>
      <c r="AC4132">
        <v>-21.552499999999998</v>
      </c>
      <c r="AD4132">
        <v>-1.107365522686</v>
      </c>
      <c r="AE4132">
        <v>-0.48500000000001298</v>
      </c>
      <c r="AF4132">
        <v>-1.1040060970432399</v>
      </c>
      <c r="AG4132">
        <v>-1.107365522686</v>
      </c>
      <c r="AH4132">
        <v>21.472862119781102</v>
      </c>
      <c r="AI4132">
        <v>92.948267578337095</v>
      </c>
      <c r="AJ4132">
        <v>92.943214639098599</v>
      </c>
      <c r="AK4132">
        <v>21.529721212274701</v>
      </c>
      <c r="AL4132">
        <v>91.463805638179196</v>
      </c>
      <c r="AM4132">
        <v>93.887460000289593</v>
      </c>
      <c r="AN4132">
        <v>1.0000000464315899</v>
      </c>
    </row>
    <row r="4133" spans="1:40" x14ac:dyDescent="0.25">
      <c r="A4133" t="str">
        <f>"20190305135317341"</f>
        <v>20190305135317341</v>
      </c>
      <c r="B4133" t="str">
        <f>"1551765197333678"</f>
        <v>1551765197333678</v>
      </c>
      <c r="C4133" t="s">
        <v>40</v>
      </c>
      <c r="D4133">
        <v>4.4973299999999998</v>
      </c>
      <c r="E4133">
        <v>0.50478880000000004</v>
      </c>
      <c r="F4133" t="s">
        <v>78</v>
      </c>
      <c r="G4133">
        <v>-297.74250000000001</v>
      </c>
      <c r="H4133" s="1">
        <v>-8.4863789999999998E-6</v>
      </c>
      <c r="I4133">
        <v>140.5318</v>
      </c>
      <c r="J4133">
        <v>-276.27609999999999</v>
      </c>
      <c r="K4133">
        <v>1.1074740000000001</v>
      </c>
      <c r="L4133">
        <v>141.0658</v>
      </c>
      <c r="M4133">
        <v>-0.99954589999999999</v>
      </c>
      <c r="N4133">
        <v>-7.0495139999999998E-3</v>
      </c>
      <c r="O4133">
        <v>2.9297790000000001E-2</v>
      </c>
      <c r="P4133">
        <v>-0.99868449999999998</v>
      </c>
      <c r="Q4133">
        <v>-3.3010770000000002E-2</v>
      </c>
      <c r="R4133">
        <v>-3.9237609999999999E-2</v>
      </c>
      <c r="S4133">
        <v>-2.996124</v>
      </c>
      <c r="T4133">
        <v>-0.15182209999999999</v>
      </c>
      <c r="U4133">
        <v>-7.1640010000000004E-2</v>
      </c>
      <c r="V4133">
        <v>-6.8525669999999997E-2</v>
      </c>
      <c r="W4133">
        <v>-2.586103E-2</v>
      </c>
      <c r="X4133">
        <v>0.99731409999999998</v>
      </c>
      <c r="Y4133">
        <v>-5.307854E-2</v>
      </c>
      <c r="Z4133">
        <v>-2.8080309999999999E-3</v>
      </c>
      <c r="AA4133">
        <v>0.99858639999999999</v>
      </c>
      <c r="AB4133">
        <v>38</v>
      </c>
      <c r="AC4133">
        <v>-21.4664</v>
      </c>
      <c r="AD4133">
        <v>-1.107482486379</v>
      </c>
      <c r="AE4133">
        <v>-0.53399999999999104</v>
      </c>
      <c r="AF4133">
        <v>-1.15961982043767</v>
      </c>
      <c r="AG4133">
        <v>-1.107482486379</v>
      </c>
      <c r="AH4133">
        <v>21.384655364058101</v>
      </c>
      <c r="AI4133">
        <v>92.960281212426807</v>
      </c>
      <c r="AJ4133">
        <v>93.103922447069294</v>
      </c>
      <c r="AK4133">
        <v>21.444689800161001</v>
      </c>
      <c r="AL4133">
        <v>91.481893103081205</v>
      </c>
      <c r="AM4133">
        <v>93.930627692407597</v>
      </c>
      <c r="AN4133">
        <v>0.99999998719020899</v>
      </c>
    </row>
    <row r="4134" spans="1:40" x14ac:dyDescent="0.25">
      <c r="A4134" t="str">
        <f>"20190305135317363"</f>
        <v>20190305135317363</v>
      </c>
      <c r="B4134" t="str">
        <f>"1551765197354171"</f>
        <v>1551765197354171</v>
      </c>
      <c r="C4134" t="s">
        <v>40</v>
      </c>
      <c r="D4134">
        <v>4.466888</v>
      </c>
      <c r="E4134">
        <v>0.50448059999999995</v>
      </c>
      <c r="F4134" t="s">
        <v>78</v>
      </c>
      <c r="G4134">
        <v>-297.90980000000002</v>
      </c>
      <c r="H4134" s="1">
        <v>-8.4665150000000004E-6</v>
      </c>
      <c r="I4134">
        <v>140.51220000000001</v>
      </c>
      <c r="J4134">
        <v>-276.66120000000001</v>
      </c>
      <c r="K4134">
        <v>1.10759599999999</v>
      </c>
      <c r="L4134">
        <v>141.07740000000001</v>
      </c>
      <c r="M4134">
        <v>-0.99953669999999994</v>
      </c>
      <c r="N4134">
        <v>-7.056405E-3</v>
      </c>
      <c r="O4134">
        <v>2.96055E-2</v>
      </c>
      <c r="P4134">
        <v>-0.99863760000000001</v>
      </c>
      <c r="Q4134">
        <v>-3.3423170000000002E-2</v>
      </c>
      <c r="R4134">
        <v>-4.0071710000000003E-2</v>
      </c>
      <c r="S4134">
        <v>-2.995911</v>
      </c>
      <c r="T4134">
        <v>-0.15336759999999999</v>
      </c>
      <c r="U4134">
        <v>-7.6675419999999994E-2</v>
      </c>
      <c r="V4134">
        <v>-6.9658100000000001E-2</v>
      </c>
      <c r="W4134">
        <v>-2.6286569999999999E-2</v>
      </c>
      <c r="X4134">
        <v>0.99722449999999996</v>
      </c>
      <c r="Y4134">
        <v>-5.5059499999999997E-2</v>
      </c>
      <c r="Z4134">
        <v>-2.90815E-3</v>
      </c>
      <c r="AA4134">
        <v>0.9984788</v>
      </c>
      <c r="AB4134">
        <v>38</v>
      </c>
      <c r="AC4134">
        <v>-21.2486</v>
      </c>
      <c r="AD4134">
        <v>-1.10760446651499</v>
      </c>
      <c r="AE4134">
        <v>-0.56520000000000403</v>
      </c>
      <c r="AF4134">
        <v>-1.1908100759759801</v>
      </c>
      <c r="AG4134">
        <v>-1.10760446651499</v>
      </c>
      <c r="AH4134">
        <v>21.165084595056701</v>
      </c>
      <c r="AI4134">
        <v>92.9909302702426</v>
      </c>
      <c r="AJ4134">
        <v>93.220234481500498</v>
      </c>
      <c r="AK4134">
        <v>21.2274732883402</v>
      </c>
      <c r="AL4134">
        <v>91.506283069028896</v>
      </c>
      <c r="AM4134">
        <v>93.995732953037304</v>
      </c>
      <c r="AN4134">
        <v>0.99999996902911104</v>
      </c>
    </row>
    <row r="4135" spans="1:40" x14ac:dyDescent="0.25">
      <c r="A4135" t="str">
        <f>"20190305135317385"</f>
        <v>20190305135317385</v>
      </c>
      <c r="B4135" t="str">
        <f>"1551765197373691"</f>
        <v>1551765197373691</v>
      </c>
      <c r="C4135" t="s">
        <v>40</v>
      </c>
      <c r="D4135">
        <v>4.4897970000000003</v>
      </c>
      <c r="E4135">
        <v>0.50406340000000005</v>
      </c>
      <c r="F4135" t="s">
        <v>78</v>
      </c>
      <c r="G4135">
        <v>-298.02800000000002</v>
      </c>
      <c r="H4135" s="1">
        <v>-8.4517359999999992E-6</v>
      </c>
      <c r="I4135">
        <v>140.49549999999999</v>
      </c>
      <c r="J4135">
        <v>-277.0265</v>
      </c>
      <c r="K4135">
        <v>1.107699</v>
      </c>
      <c r="L4135">
        <v>141.08850000000001</v>
      </c>
      <c r="M4135">
        <v>-0.9995309</v>
      </c>
      <c r="N4135">
        <v>-7.0629730000000002E-3</v>
      </c>
      <c r="O4135">
        <v>2.9799300000000001E-2</v>
      </c>
      <c r="P4135">
        <v>-0.99860599999999999</v>
      </c>
      <c r="Q4135">
        <v>-3.3419209999999998E-2</v>
      </c>
      <c r="R4135">
        <v>-4.0860170000000001E-2</v>
      </c>
      <c r="S4135">
        <v>-2.9956360000000002</v>
      </c>
      <c r="T4135">
        <v>-0.1552868</v>
      </c>
      <c r="U4135">
        <v>-8.1588750000000002E-2</v>
      </c>
      <c r="V4135">
        <v>-7.0630960000000007E-2</v>
      </c>
      <c r="W4135">
        <v>-2.6294250000000002E-2</v>
      </c>
      <c r="X4135">
        <v>0.99715589999999998</v>
      </c>
      <c r="Y4135">
        <v>-5.6886109999999997E-2</v>
      </c>
      <c r="Z4135">
        <v>-3.00732E-3</v>
      </c>
      <c r="AA4135">
        <v>0.99837609999999999</v>
      </c>
      <c r="AB4135">
        <v>38</v>
      </c>
      <c r="AC4135">
        <v>-21.0015</v>
      </c>
      <c r="AD4135">
        <v>-1.1077074517359999</v>
      </c>
      <c r="AE4135">
        <v>-0.59300000000001696</v>
      </c>
      <c r="AF4135">
        <v>-1.2152043302883899</v>
      </c>
      <c r="AG4135">
        <v>-1.1077074517359999</v>
      </c>
      <c r="AH4135">
        <v>20.9163594497732</v>
      </c>
      <c r="AI4135">
        <v>93.026395814710298</v>
      </c>
      <c r="AJ4135">
        <v>93.325047983480303</v>
      </c>
      <c r="AK4135">
        <v>20.980892020957999</v>
      </c>
      <c r="AL4135">
        <v>91.506723199323901</v>
      </c>
      <c r="AM4135">
        <v>94.051631453664001</v>
      </c>
      <c r="AN4135">
        <v>1.0000000044991899</v>
      </c>
    </row>
    <row r="4136" spans="1:40" x14ac:dyDescent="0.25">
      <c r="A4136" t="str">
        <f>"20190305135317408"</f>
        <v>20190305135317408</v>
      </c>
      <c r="B4136" t="str">
        <f>"1551765197403947"</f>
        <v>1551765197403947</v>
      </c>
      <c r="C4136" t="s">
        <v>40</v>
      </c>
      <c r="D4136">
        <v>4.4872360000000002</v>
      </c>
      <c r="E4136">
        <v>0.50356639999999997</v>
      </c>
      <c r="F4136" t="s">
        <v>78</v>
      </c>
      <c r="G4136">
        <v>-298.35660000000001</v>
      </c>
      <c r="H4136" s="1">
        <v>-8.4152919999999902E-6</v>
      </c>
      <c r="I4136">
        <v>140.4667</v>
      </c>
      <c r="J4136">
        <v>-277.43270000000001</v>
      </c>
      <c r="K4136">
        <v>1.107809</v>
      </c>
      <c r="L4136">
        <v>141.10069999999999</v>
      </c>
      <c r="M4136">
        <v>-0.99952750000000001</v>
      </c>
      <c r="N4136">
        <v>-7.0703110000000001E-3</v>
      </c>
      <c r="O4136">
        <v>2.9911420000000001E-2</v>
      </c>
      <c r="P4136">
        <v>-0.99856719999999999</v>
      </c>
      <c r="Q4136">
        <v>-3.3346510000000003E-2</v>
      </c>
      <c r="R4136">
        <v>-4.185299E-2</v>
      </c>
      <c r="S4136">
        <v>-2.995422</v>
      </c>
      <c r="T4136">
        <v>-0.15555749999999999</v>
      </c>
      <c r="U4136">
        <v>-8.7310789999999999E-2</v>
      </c>
      <c r="V4136">
        <v>-7.1727479999999996E-2</v>
      </c>
      <c r="W4136">
        <v>-2.6232499999999999E-2</v>
      </c>
      <c r="X4136">
        <v>0.9970793</v>
      </c>
      <c r="Y4136">
        <v>-5.890194E-2</v>
      </c>
      <c r="Z4136">
        <v>-3.0771750000000001E-3</v>
      </c>
      <c r="AA4136">
        <v>0.99825900000000001</v>
      </c>
      <c r="AB4136">
        <v>39</v>
      </c>
      <c r="AC4136">
        <v>-20.9239</v>
      </c>
      <c r="AD4136">
        <v>-1.107817415292</v>
      </c>
      <c r="AE4136">
        <v>-0.63399999999998602</v>
      </c>
      <c r="AF4136">
        <v>-1.25607775562862</v>
      </c>
      <c r="AG4136">
        <v>-1.107817415292</v>
      </c>
      <c r="AH4136">
        <v>20.837215982096598</v>
      </c>
      <c r="AI4136">
        <v>93.037779828572994</v>
      </c>
      <c r="AJ4136">
        <v>93.449643793796497</v>
      </c>
      <c r="AK4136">
        <v>20.904414859984701</v>
      </c>
      <c r="AL4136">
        <v>91.503183891252604</v>
      </c>
      <c r="AM4136">
        <v>94.114632192464896</v>
      </c>
      <c r="AN4136">
        <v>1.0000000529659401</v>
      </c>
    </row>
    <row r="4137" spans="1:40" x14ac:dyDescent="0.25">
      <c r="A4137" t="str">
        <f>"20190305135317432"</f>
        <v>20190305135317432</v>
      </c>
      <c r="B4137" t="str">
        <f>"1551765197424443"</f>
        <v>1551765197424443</v>
      </c>
      <c r="C4137" t="s">
        <v>40</v>
      </c>
      <c r="D4137">
        <v>4.4793409999999998</v>
      </c>
      <c r="E4137">
        <v>0.50324480000000005</v>
      </c>
      <c r="F4137" t="s">
        <v>78</v>
      </c>
      <c r="G4137">
        <v>-298.7491</v>
      </c>
      <c r="H4137" s="1">
        <v>-8.371209E-6</v>
      </c>
      <c r="I4137">
        <v>140.43029999999999</v>
      </c>
      <c r="J4137">
        <v>-277.8288</v>
      </c>
      <c r="K4137">
        <v>1.107901</v>
      </c>
      <c r="L4137">
        <v>141.11259999999999</v>
      </c>
      <c r="M4137">
        <v>-0.99952660000000004</v>
      </c>
      <c r="N4137">
        <v>-7.0775079999999997E-3</v>
      </c>
      <c r="O4137">
        <v>2.994457E-2</v>
      </c>
      <c r="P4137">
        <v>-0.99852470000000004</v>
      </c>
      <c r="Q4137">
        <v>-3.2934079999999998E-2</v>
      </c>
      <c r="R4137">
        <v>-4.3168350000000001E-2</v>
      </c>
      <c r="S4137">
        <v>-2.9951780000000001</v>
      </c>
      <c r="T4137">
        <v>-0.15565999999999999</v>
      </c>
      <c r="U4137">
        <v>-9.4192499999999998E-2</v>
      </c>
      <c r="V4137">
        <v>-7.3067989999999999E-2</v>
      </c>
      <c r="W4137">
        <v>-2.5828239999999999E-2</v>
      </c>
      <c r="X4137">
        <v>0.99699249999999995</v>
      </c>
      <c r="Y4137">
        <v>-6.122499E-2</v>
      </c>
      <c r="Z4137">
        <v>-3.149397E-3</v>
      </c>
      <c r="AA4137">
        <v>0.99811899999999998</v>
      </c>
      <c r="AB4137">
        <v>39</v>
      </c>
      <c r="AC4137">
        <v>-20.920300000000001</v>
      </c>
      <c r="AD4137">
        <v>-1.107909371209</v>
      </c>
      <c r="AE4137">
        <v>-0.68229999999999702</v>
      </c>
      <c r="AF4137">
        <v>-1.30480345459755</v>
      </c>
      <c r="AG4137">
        <v>-1.107909371209</v>
      </c>
      <c r="AH4137">
        <v>20.832122437922301</v>
      </c>
      <c r="AI4137">
        <v>93.038335871202193</v>
      </c>
      <c r="AJ4137">
        <v>93.583993845893801</v>
      </c>
      <c r="AK4137">
        <v>20.902327633508399</v>
      </c>
      <c r="AL4137">
        <v>91.480013672804503</v>
      </c>
      <c r="AM4137">
        <v>94.1916223385969</v>
      </c>
      <c r="AN4137">
        <v>1.00000003710019</v>
      </c>
    </row>
    <row r="4138" spans="1:40" x14ac:dyDescent="0.25">
      <c r="A4138" t="str">
        <f>"20190305135317453"</f>
        <v>20190305135317453</v>
      </c>
      <c r="B4138" t="str">
        <f>"1551765197443966"</f>
        <v>1551765197443966</v>
      </c>
      <c r="C4138" t="s">
        <v>40</v>
      </c>
      <c r="D4138">
        <v>4.4722839999999904</v>
      </c>
      <c r="E4138">
        <v>0.50301359999999995</v>
      </c>
      <c r="F4138" t="s">
        <v>78</v>
      </c>
      <c r="G4138">
        <v>-299.2869</v>
      </c>
      <c r="H4138" s="1">
        <v>-8.3136929999999904E-6</v>
      </c>
      <c r="I4138">
        <v>140.3914</v>
      </c>
      <c r="J4138">
        <v>-278.21440000000001</v>
      </c>
      <c r="K4138">
        <v>1.107977</v>
      </c>
      <c r="L4138">
        <v>141.1242</v>
      </c>
      <c r="M4138">
        <v>-0.99952750000000001</v>
      </c>
      <c r="N4138">
        <v>-7.0846080000000001E-3</v>
      </c>
      <c r="O4138">
        <v>2.9912399999999999E-2</v>
      </c>
      <c r="P4138">
        <v>-0.99847509999999995</v>
      </c>
      <c r="Q4138">
        <v>-3.2634259999999998E-2</v>
      </c>
      <c r="R4138">
        <v>-4.4528310000000002E-2</v>
      </c>
      <c r="S4138">
        <v>-2.9949650000000001</v>
      </c>
      <c r="T4138">
        <v>-0.154633299999999</v>
      </c>
      <c r="U4138">
        <v>-0.10066219999999999</v>
      </c>
      <c r="V4138">
        <v>-7.4388679999999999E-2</v>
      </c>
      <c r="W4138">
        <v>-2.5535039999999998E-2</v>
      </c>
      <c r="X4138">
        <v>0.99690230000000002</v>
      </c>
      <c r="Y4138">
        <v>-6.3347239999999999E-2</v>
      </c>
      <c r="Z4138">
        <v>-3.1896580000000002E-3</v>
      </c>
      <c r="AA4138">
        <v>0.99798640000000005</v>
      </c>
      <c r="AB4138">
        <v>39</v>
      </c>
      <c r="AC4138">
        <v>-21.072499999999899</v>
      </c>
      <c r="AD4138">
        <v>-1.107985313693</v>
      </c>
      <c r="AE4138">
        <v>-0.73279999999999701</v>
      </c>
      <c r="AF4138">
        <v>-1.35906412754437</v>
      </c>
      <c r="AG4138">
        <v>-1.107985313693</v>
      </c>
      <c r="AH4138">
        <v>20.9832091463539</v>
      </c>
      <c r="AI4138">
        <v>93.016297862904494</v>
      </c>
      <c r="AJ4138">
        <v>93.705821352795397</v>
      </c>
      <c r="AK4138">
        <v>21.056347091501099</v>
      </c>
      <c r="AL4138">
        <v>91.463209128527495</v>
      </c>
      <c r="AM4138">
        <v>94.267492409645897</v>
      </c>
      <c r="AN4138">
        <v>0.99999995486261595</v>
      </c>
    </row>
    <row r="4139" spans="1:40" x14ac:dyDescent="0.25">
      <c r="A4139" t="str">
        <f>"20190305135317475"</f>
        <v>20190305135317475</v>
      </c>
      <c r="B4139" t="str">
        <f>"1551765197464462"</f>
        <v>1551765197464462</v>
      </c>
      <c r="C4139" t="s">
        <v>40</v>
      </c>
      <c r="D4139">
        <v>4.503088</v>
      </c>
      <c r="E4139">
        <v>0.50287190000000004</v>
      </c>
      <c r="F4139" t="s">
        <v>78</v>
      </c>
      <c r="G4139">
        <v>-299.77179999999998</v>
      </c>
      <c r="H4139" s="1">
        <v>-8.2620339999999995E-6</v>
      </c>
      <c r="I4139">
        <v>140.357</v>
      </c>
      <c r="J4139">
        <v>-278.58280000000002</v>
      </c>
      <c r="K4139">
        <v>1.108052</v>
      </c>
      <c r="L4139">
        <v>141.1352</v>
      </c>
      <c r="M4139">
        <v>-0.99952980000000002</v>
      </c>
      <c r="N4139">
        <v>-7.0914749999999999E-3</v>
      </c>
      <c r="O4139">
        <v>2.9830120000000002E-2</v>
      </c>
      <c r="P4139">
        <v>-0.99844259999999996</v>
      </c>
      <c r="Q4139">
        <v>-3.180028E-2</v>
      </c>
      <c r="R4139">
        <v>-4.5839810000000002E-2</v>
      </c>
      <c r="S4139">
        <v>-2.9948429999999999</v>
      </c>
      <c r="T4139">
        <v>-0.1539266</v>
      </c>
      <c r="U4139">
        <v>-0.1065826</v>
      </c>
      <c r="V4139">
        <v>-7.5611880000000006E-2</v>
      </c>
      <c r="W4139">
        <v>-2.4706430000000001E-2</v>
      </c>
      <c r="X4139">
        <v>0.99683120000000003</v>
      </c>
      <c r="Y4139">
        <v>-6.5235249999999995E-2</v>
      </c>
      <c r="Z4139">
        <v>-3.22675E-3</v>
      </c>
      <c r="AA4139">
        <v>0.99786470000000005</v>
      </c>
      <c r="AB4139">
        <v>39</v>
      </c>
      <c r="AC4139">
        <v>-21.188999999999901</v>
      </c>
      <c r="AD4139">
        <v>-1.1080602620340001</v>
      </c>
      <c r="AE4139">
        <v>-0.778199999999998</v>
      </c>
      <c r="AF4139">
        <v>-1.4060999458955199</v>
      </c>
      <c r="AG4139">
        <v>-1.1080602620340001</v>
      </c>
      <c r="AH4139">
        <v>21.098735196807802</v>
      </c>
      <c r="AI4139">
        <v>92.999647677495005</v>
      </c>
      <c r="AJ4139">
        <v>93.812770620612099</v>
      </c>
      <c r="AK4139">
        <v>21.174549381442802</v>
      </c>
      <c r="AL4139">
        <v>91.415718214494106</v>
      </c>
      <c r="AM4139">
        <v>94.337706888270901</v>
      </c>
      <c r="AN4139">
        <v>1.00000000268695</v>
      </c>
    </row>
    <row r="4140" spans="1:40" x14ac:dyDescent="0.25">
      <c r="A4140" t="str">
        <f>"20190305135317496"</f>
        <v>20190305135317496</v>
      </c>
      <c r="B4140" t="str">
        <f>"1551765197483979"</f>
        <v>1551765197483979</v>
      </c>
      <c r="C4140" t="s">
        <v>40</v>
      </c>
      <c r="D4140">
        <v>4.4760339999999896</v>
      </c>
      <c r="E4140">
        <v>0.50269200000000003</v>
      </c>
      <c r="F4140" t="s">
        <v>78</v>
      </c>
      <c r="G4140">
        <v>-300.40199999999999</v>
      </c>
      <c r="H4140" s="1">
        <v>-8.315191E-6</v>
      </c>
      <c r="I4140">
        <v>140.32169999999999</v>
      </c>
      <c r="J4140">
        <v>-278.95510000000002</v>
      </c>
      <c r="K4140">
        <v>1.1081160000000001</v>
      </c>
      <c r="L4140">
        <v>141.14619999999999</v>
      </c>
      <c r="M4140">
        <v>-0.99953349999999996</v>
      </c>
      <c r="N4140">
        <v>-7.0984129999999996E-3</v>
      </c>
      <c r="O4140">
        <v>2.970888E-2</v>
      </c>
      <c r="P4140">
        <v>-0.99838439999999995</v>
      </c>
      <c r="Q4140">
        <v>-3.1390580000000001E-2</v>
      </c>
      <c r="R4140">
        <v>-4.7361519999999997E-2</v>
      </c>
      <c r="S4140">
        <v>-2.99472</v>
      </c>
      <c r="T4140">
        <v>-0.15208329999999901</v>
      </c>
      <c r="U4140">
        <v>-0.1116486</v>
      </c>
      <c r="V4140">
        <v>-7.7006699999999997E-2</v>
      </c>
      <c r="W4140">
        <v>-2.4301550000000002E-2</v>
      </c>
      <c r="X4140">
        <v>0.99673440000000002</v>
      </c>
      <c r="Y4140">
        <v>-6.6802150000000005E-2</v>
      </c>
      <c r="Z4140">
        <v>-3.2284929999999998E-3</v>
      </c>
      <c r="AA4140">
        <v>0.99776100000000001</v>
      </c>
      <c r="AB4140">
        <v>39</v>
      </c>
      <c r="AC4140">
        <v>-21.4468999999999</v>
      </c>
      <c r="AD4140">
        <v>-1.1081243151910001</v>
      </c>
      <c r="AE4140">
        <v>-0.82450000000000001</v>
      </c>
      <c r="AF4140">
        <v>-1.45743037322974</v>
      </c>
      <c r="AG4140">
        <v>-1.1081243151910001</v>
      </c>
      <c r="AH4140">
        <v>21.3560090520945</v>
      </c>
      <c r="AI4140">
        <v>92.963429092087907</v>
      </c>
      <c r="AJ4140">
        <v>93.904069082556106</v>
      </c>
      <c r="AK4140">
        <v>21.434345462921801</v>
      </c>
      <c r="AL4140">
        <v>91.392513292547306</v>
      </c>
      <c r="AM4140">
        <v>94.417838447860007</v>
      </c>
      <c r="AN4140">
        <v>1.0000000306603201</v>
      </c>
    </row>
    <row r="4141" spans="1:40" x14ac:dyDescent="0.25">
      <c r="A4141" t="str">
        <f>"20190305135317520"</f>
        <v>20190305135317520</v>
      </c>
      <c r="B4141" t="str">
        <f>"1551765197514235"</f>
        <v>1551765197514235</v>
      </c>
      <c r="C4141" t="s">
        <v>40</v>
      </c>
      <c r="D4141">
        <v>4.4726039999999996</v>
      </c>
      <c r="E4141">
        <v>0.50248870000000001</v>
      </c>
      <c r="F4141" t="s">
        <v>78</v>
      </c>
      <c r="G4141">
        <v>-300.911</v>
      </c>
      <c r="H4141" s="1">
        <v>-8.3859539999999998E-6</v>
      </c>
      <c r="I4141">
        <v>140.2842</v>
      </c>
      <c r="J4141">
        <v>-279.37029999999999</v>
      </c>
      <c r="K4141">
        <v>1.1081719999999999</v>
      </c>
      <c r="L4141">
        <v>141.1585</v>
      </c>
      <c r="M4141">
        <v>-0.99953829999999999</v>
      </c>
      <c r="N4141">
        <v>-7.1063009999999998E-3</v>
      </c>
      <c r="O4141">
        <v>2.95436E-2</v>
      </c>
      <c r="P4141">
        <v>-0.99834460000000003</v>
      </c>
      <c r="Q4141">
        <v>-3.114865E-2</v>
      </c>
      <c r="R4141">
        <v>-4.8351690000000003E-2</v>
      </c>
      <c r="S4141">
        <v>-2.9945369999999998</v>
      </c>
      <c r="T4141">
        <v>-0.15113560000000001</v>
      </c>
      <c r="U4141">
        <v>-0.11756900000000001</v>
      </c>
      <c r="V4141">
        <v>-7.7826980000000004E-2</v>
      </c>
      <c r="W4141">
        <v>-2.4063310000000001E-2</v>
      </c>
      <c r="X4141">
        <v>0.99667640000000002</v>
      </c>
      <c r="Y4141">
        <v>-6.8608169999999996E-2</v>
      </c>
      <c r="Z4141">
        <v>-3.253489E-3</v>
      </c>
      <c r="AA4141">
        <v>0.99763840000000004</v>
      </c>
      <c r="AB4141">
        <v>39</v>
      </c>
      <c r="AC4141">
        <v>-21.540700000000001</v>
      </c>
      <c r="AD4141">
        <v>-1.108180385954</v>
      </c>
      <c r="AE4141">
        <v>-0.87430000000000496</v>
      </c>
      <c r="AF4141">
        <v>-1.5063439405869099</v>
      </c>
      <c r="AG4141">
        <v>-1.108180385954</v>
      </c>
      <c r="AH4141">
        <v>21.448791528385499</v>
      </c>
      <c r="AI4141">
        <v>92.950378805161293</v>
      </c>
      <c r="AJ4141">
        <v>94.017274039478494</v>
      </c>
      <c r="AK4141">
        <v>21.530160098413099</v>
      </c>
      <c r="AL4141">
        <v>91.378859245355599</v>
      </c>
      <c r="AM4141">
        <v>94.464967023073797</v>
      </c>
      <c r="AN4141">
        <v>0.99999996401051705</v>
      </c>
    </row>
    <row r="4142" spans="1:40" x14ac:dyDescent="0.25">
      <c r="A4142" t="str">
        <f>"20190305135317543"</f>
        <v>20190305135317543</v>
      </c>
      <c r="B4142" t="str">
        <f>"1551765197533755"</f>
        <v>1551765197533755</v>
      </c>
      <c r="C4142" t="s">
        <v>40</v>
      </c>
      <c r="D4142">
        <v>4.4932290000000004</v>
      </c>
      <c r="E4142">
        <v>0.50236639999999999</v>
      </c>
      <c r="F4142" t="s">
        <v>78</v>
      </c>
      <c r="G4142">
        <v>-301.36939999999998</v>
      </c>
      <c r="H4142" s="1">
        <v>-8.4450020000000001E-6</v>
      </c>
      <c r="I4142">
        <v>140.26140000000001</v>
      </c>
      <c r="J4142">
        <v>-279.78160000000003</v>
      </c>
      <c r="K4142">
        <v>1.1082240000000001</v>
      </c>
      <c r="L4142">
        <v>141.1705</v>
      </c>
      <c r="M4142">
        <v>-0.99954359999999998</v>
      </c>
      <c r="N4142">
        <v>-7.1144590000000001E-3</v>
      </c>
      <c r="O4142">
        <v>2.9359630000000001E-2</v>
      </c>
      <c r="P4142">
        <v>-0.99830399999999997</v>
      </c>
      <c r="Q4142">
        <v>-3.1014699999999999E-2</v>
      </c>
      <c r="R4142">
        <v>-4.9266549999999999E-2</v>
      </c>
      <c r="S4142">
        <v>-2.9943849999999999</v>
      </c>
      <c r="T4142">
        <v>-0.15083920000000001</v>
      </c>
      <c r="U4142">
        <v>-0.1221008</v>
      </c>
      <c r="V4142">
        <v>-7.8553869999999998E-2</v>
      </c>
      <c r="W4142">
        <v>-2.393091E-2</v>
      </c>
      <c r="X4142">
        <v>0.99662260000000003</v>
      </c>
      <c r="Y4142">
        <v>-6.9932679999999997E-2</v>
      </c>
      <c r="Z4142">
        <v>-3.2774050000000002E-3</v>
      </c>
      <c r="AA4142">
        <v>0.9975463</v>
      </c>
      <c r="AB4142">
        <v>39</v>
      </c>
      <c r="AC4142">
        <v>-21.587799999999898</v>
      </c>
      <c r="AD4142">
        <v>-1.10823244500199</v>
      </c>
      <c r="AE4142">
        <v>-0.90909999999999502</v>
      </c>
      <c r="AF4142">
        <v>-1.53848660164337</v>
      </c>
      <c r="AG4142">
        <v>-1.10823244500199</v>
      </c>
      <c r="AH4142">
        <v>21.4952536956194</v>
      </c>
      <c r="AI4142">
        <v>92.943872276783694</v>
      </c>
      <c r="AJ4142">
        <v>94.093867893818995</v>
      </c>
      <c r="AK4142">
        <v>21.578717561862401</v>
      </c>
      <c r="AL4142">
        <v>91.371271045372893</v>
      </c>
      <c r="AM4142">
        <v>94.506740295399297</v>
      </c>
      <c r="AN4142">
        <v>1.00000000288808</v>
      </c>
    </row>
    <row r="4143" spans="1:40" x14ac:dyDescent="0.25">
      <c r="A4143" t="str">
        <f>"20190305135317564"</f>
        <v>20190305135317564</v>
      </c>
      <c r="B4143" t="str">
        <f>"1551765197554251"</f>
        <v>1551765197554251</v>
      </c>
      <c r="C4143" t="s">
        <v>40</v>
      </c>
      <c r="D4143">
        <v>4.4859530000000003</v>
      </c>
      <c r="E4143">
        <v>0.50224049999999998</v>
      </c>
      <c r="F4143" t="s">
        <v>78</v>
      </c>
      <c r="G4143">
        <v>-301.76510000000002</v>
      </c>
      <c r="H4143" s="1">
        <v>-8.4974600000000001E-6</v>
      </c>
      <c r="I4143">
        <v>140.2467</v>
      </c>
      <c r="J4143">
        <v>-280.1431</v>
      </c>
      <c r="K4143">
        <v>1.108258</v>
      </c>
      <c r="L4143">
        <v>141.18109999999999</v>
      </c>
      <c r="M4143">
        <v>-0.99954869999999996</v>
      </c>
      <c r="N4143">
        <v>-7.1217609999999999E-3</v>
      </c>
      <c r="O4143">
        <v>2.9187040000000001E-2</v>
      </c>
      <c r="P4143">
        <v>-0.99825399999999997</v>
      </c>
      <c r="Q4143">
        <v>-3.114836E-2</v>
      </c>
      <c r="R4143">
        <v>-5.0187860000000001E-2</v>
      </c>
      <c r="S4143">
        <v>-2.9941710000000001</v>
      </c>
      <c r="T4143">
        <v>-0.1509421</v>
      </c>
      <c r="U4143">
        <v>-0.12582399999999999</v>
      </c>
      <c r="V4143">
        <v>-7.9299690000000006E-2</v>
      </c>
      <c r="W4143">
        <v>-2.4064459999999999E-2</v>
      </c>
      <c r="X4143">
        <v>0.99656029999999995</v>
      </c>
      <c r="Y4143">
        <v>-7.1000010000000002E-2</v>
      </c>
      <c r="Z4143">
        <v>-3.3030350000000002E-3</v>
      </c>
      <c r="AA4143">
        <v>0.99747090000000005</v>
      </c>
      <c r="AB4143">
        <v>39</v>
      </c>
      <c r="AC4143">
        <v>-21.622</v>
      </c>
      <c r="AD4143">
        <v>-1.1082664974600001</v>
      </c>
      <c r="AE4143">
        <v>-0.93439999999998202</v>
      </c>
      <c r="AF4143">
        <v>-1.5610065484967299</v>
      </c>
      <c r="AG4143">
        <v>-1.1082664974600001</v>
      </c>
      <c r="AH4143">
        <v>21.529058633103599</v>
      </c>
      <c r="AI4143">
        <v>92.939151747542496</v>
      </c>
      <c r="AJ4143">
        <v>94.147085401061801</v>
      </c>
      <c r="AK4143">
        <v>21.6140084598266</v>
      </c>
      <c r="AL4143">
        <v>91.378925125224399</v>
      </c>
      <c r="AM4143">
        <v>94.549633416014998</v>
      </c>
      <c r="AN4143">
        <v>0.99999998530263801</v>
      </c>
    </row>
    <row r="4144" spans="1:40" x14ac:dyDescent="0.25">
      <c r="A4144" t="str">
        <f>"20190305135317577"</f>
        <v>20190305135317577</v>
      </c>
      <c r="B4144" t="str">
        <f>"1551765197573772"</f>
        <v>1551765197573772</v>
      </c>
      <c r="C4144" t="s">
        <v>40</v>
      </c>
      <c r="D4144">
        <v>4.4950839999999896</v>
      </c>
      <c r="E4144">
        <v>0.50212809999999997</v>
      </c>
      <c r="F4144" t="s">
        <v>78</v>
      </c>
      <c r="G4144">
        <v>-302.01369999999997</v>
      </c>
      <c r="H4144" s="1">
        <v>-8.5294220000000002E-6</v>
      </c>
      <c r="I4144">
        <v>140.23419999999999</v>
      </c>
      <c r="J4144">
        <v>-280.3852</v>
      </c>
      <c r="K4144">
        <v>1.1082719999999999</v>
      </c>
      <c r="L4144">
        <v>141.18809999999999</v>
      </c>
      <c r="M4144">
        <v>-0.9995522</v>
      </c>
      <c r="N4144">
        <v>-7.1265869999999898E-3</v>
      </c>
      <c r="O4144">
        <v>2.9067119999999998E-2</v>
      </c>
      <c r="P4144">
        <v>-0.99822390000000005</v>
      </c>
      <c r="Q4144">
        <v>-3.1642179999999999E-2</v>
      </c>
      <c r="R4144">
        <v>-5.0477189999999998E-2</v>
      </c>
      <c r="S4144">
        <v>-2.9939879999999999</v>
      </c>
      <c r="T4144">
        <v>-0.1517172</v>
      </c>
      <c r="U4144">
        <v>-0.1296234</v>
      </c>
      <c r="V4144">
        <v>-7.9466969999999998E-2</v>
      </c>
      <c r="W4144">
        <v>-2.4557309999999999E-2</v>
      </c>
      <c r="X4144">
        <v>0.9965349</v>
      </c>
      <c r="Y4144">
        <v>-7.2143490000000005E-2</v>
      </c>
      <c r="Z4144">
        <v>-3.3477099999999998E-3</v>
      </c>
      <c r="AA4144">
        <v>0.99738870000000002</v>
      </c>
      <c r="AB4144">
        <v>39</v>
      </c>
      <c r="AC4144">
        <v>-21.628499999999899</v>
      </c>
      <c r="AD4144">
        <v>-1.1082805294219999</v>
      </c>
      <c r="AE4144">
        <v>-0.95390000000000397</v>
      </c>
      <c r="AF4144">
        <v>-1.57805553029714</v>
      </c>
      <c r="AG4144">
        <v>-1.1082805294219999</v>
      </c>
      <c r="AH4144">
        <v>21.535197461078798</v>
      </c>
      <c r="AI4144">
        <v>92.938188545303206</v>
      </c>
      <c r="AJ4144">
        <v>94.191027596440406</v>
      </c>
      <c r="AK4144">
        <v>21.621361536134799</v>
      </c>
      <c r="AL4144">
        <v>91.407171771633401</v>
      </c>
      <c r="AM4144">
        <v>94.559306010378606</v>
      </c>
      <c r="AN4144">
        <v>0.99999993385671104</v>
      </c>
    </row>
    <row r="4145" spans="1:40" x14ac:dyDescent="0.25">
      <c r="A4145" t="str">
        <f>"20190305135317597"</f>
        <v>20190305135317597</v>
      </c>
      <c r="B4145" t="str">
        <f>"1551765197594267"</f>
        <v>1551765197594267</v>
      </c>
      <c r="C4145" t="s">
        <v>40</v>
      </c>
      <c r="D4145">
        <v>4.5213760000000001</v>
      </c>
      <c r="E4145">
        <v>0.50202360000000001</v>
      </c>
      <c r="F4145" t="s">
        <v>78</v>
      </c>
      <c r="G4145">
        <v>-301.96159999999998</v>
      </c>
      <c r="H4145" s="1">
        <v>-8.5239479999999995E-6</v>
      </c>
      <c r="I4145">
        <v>140.24090000000001</v>
      </c>
      <c r="J4145">
        <v>-280.73219999999998</v>
      </c>
      <c r="K4145">
        <v>1.1082890000000001</v>
      </c>
      <c r="L4145">
        <v>141.19810000000001</v>
      </c>
      <c r="M4145">
        <v>-0.99955709999999998</v>
      </c>
      <c r="N4145">
        <v>-7.1336119999999897E-3</v>
      </c>
      <c r="O4145">
        <v>2.8892419999999999E-2</v>
      </c>
      <c r="P4145">
        <v>-0.99823930000000005</v>
      </c>
      <c r="Q4145">
        <v>-3.1391229999999999E-2</v>
      </c>
      <c r="R4145">
        <v>-5.0331149999999998E-2</v>
      </c>
      <c r="S4145">
        <v>-2.9938349999999998</v>
      </c>
      <c r="T4145">
        <v>-0.1537791</v>
      </c>
      <c r="U4145">
        <v>-0.13142400000000001</v>
      </c>
      <c r="V4145">
        <v>-7.9146229999999998E-2</v>
      </c>
      <c r="W4145">
        <v>-2.430351E-2</v>
      </c>
      <c r="X4145">
        <v>0.99656670000000003</v>
      </c>
      <c r="Y4145">
        <v>-7.2565999999999894E-2</v>
      </c>
      <c r="Z4145">
        <v>-3.397288E-3</v>
      </c>
      <c r="AA4145">
        <v>0.99735779999999996</v>
      </c>
      <c r="AB4145">
        <v>39</v>
      </c>
      <c r="AC4145">
        <v>-21.229399999999998</v>
      </c>
      <c r="AD4145">
        <v>-1.108297523948</v>
      </c>
      <c r="AE4145">
        <v>-0.95720000000000005</v>
      </c>
      <c r="AF4145">
        <v>-1.5659255217447301</v>
      </c>
      <c r="AG4145">
        <v>-1.108297523948</v>
      </c>
      <c r="AH4145">
        <v>21.135393850992401</v>
      </c>
      <c r="AI4145">
        <v>92.993536009434706</v>
      </c>
      <c r="AJ4145">
        <v>94.237313607061694</v>
      </c>
      <c r="AK4145">
        <v>21.2222835570965</v>
      </c>
      <c r="AL4145">
        <v>91.392625686353995</v>
      </c>
      <c r="AM4145">
        <v>94.540836825768807</v>
      </c>
      <c r="AN4145">
        <v>0.99999998693521097</v>
      </c>
    </row>
    <row r="4146" spans="1:40" x14ac:dyDescent="0.25">
      <c r="A4146" t="str">
        <f>"20190305135317621"</f>
        <v>20190305135317621</v>
      </c>
      <c r="B4146" t="str">
        <f>"1551765197613787"</f>
        <v>1551765197613787</v>
      </c>
      <c r="C4146" t="s">
        <v>40</v>
      </c>
      <c r="D4146">
        <v>4.4846050000000002</v>
      </c>
      <c r="E4146">
        <v>0.50191529999999995</v>
      </c>
      <c r="F4146" t="s">
        <v>78</v>
      </c>
      <c r="G4146">
        <v>-302.34300000000002</v>
      </c>
      <c r="H4146" s="1">
        <v>-8.5804589999999998E-6</v>
      </c>
      <c r="I4146">
        <v>140.2467</v>
      </c>
      <c r="J4146">
        <v>-281.15109999999999</v>
      </c>
      <c r="K4146">
        <v>1.1083019999999999</v>
      </c>
      <c r="L4146">
        <v>141.21</v>
      </c>
      <c r="M4146">
        <v>-0.99956319999999999</v>
      </c>
      <c r="N4146">
        <v>-7.1422769999999998E-3</v>
      </c>
      <c r="O4146">
        <v>2.8679219999999998E-2</v>
      </c>
      <c r="P4146">
        <v>-0.99821040000000005</v>
      </c>
      <c r="Q4146">
        <v>-3.2113040000000002E-2</v>
      </c>
      <c r="R4146">
        <v>-5.044684E-2</v>
      </c>
      <c r="S4146">
        <v>-2.9938349999999998</v>
      </c>
      <c r="T4146">
        <v>-0.15353729999999999</v>
      </c>
      <c r="U4146">
        <v>-0.1317902</v>
      </c>
      <c r="V4146">
        <v>-7.9046459999999999E-2</v>
      </c>
      <c r="W4146">
        <v>-2.502103E-2</v>
      </c>
      <c r="X4146">
        <v>0.99655689999999997</v>
      </c>
      <c r="Y4146">
        <v>-7.2475810000000002E-2</v>
      </c>
      <c r="Z4146">
        <v>-3.3800589999999999E-3</v>
      </c>
      <c r="AA4146">
        <v>0.99736449999999999</v>
      </c>
      <c r="AB4146">
        <v>40</v>
      </c>
      <c r="AC4146">
        <v>-21.1919</v>
      </c>
      <c r="AD4146">
        <v>-1.1083105804590001</v>
      </c>
      <c r="AE4146">
        <v>-0.96330000000000304</v>
      </c>
      <c r="AF4146">
        <v>-1.56641082232878</v>
      </c>
      <c r="AG4146">
        <v>-1.1083105804590001</v>
      </c>
      <c r="AH4146">
        <v>21.0979678385287</v>
      </c>
      <c r="AI4146">
        <v>92.998837770973793</v>
      </c>
      <c r="AJ4146">
        <v>94.246113502085507</v>
      </c>
      <c r="AK4146">
        <v>21.185047607278499</v>
      </c>
      <c r="AL4146">
        <v>91.433749009194798</v>
      </c>
      <c r="AM4146">
        <v>94.535181051794197</v>
      </c>
      <c r="AN4146">
        <v>1.0000000248592</v>
      </c>
    </row>
    <row r="4147" spans="1:40" x14ac:dyDescent="0.25">
      <c r="A4147" t="str">
        <f>"20190305135317645"</f>
        <v>20190305135317645</v>
      </c>
      <c r="B4147" t="str">
        <f>"1551765197634283"</f>
        <v>1551765197634283</v>
      </c>
      <c r="C4147" t="s">
        <v>40</v>
      </c>
      <c r="D4147">
        <v>4.5138790000000002</v>
      </c>
      <c r="E4147">
        <v>0.50181260000000005</v>
      </c>
      <c r="F4147" t="s">
        <v>78</v>
      </c>
      <c r="G4147">
        <v>-302.3605</v>
      </c>
      <c r="H4147" s="1">
        <v>-8.5892599999999998E-6</v>
      </c>
      <c r="I4147">
        <v>140.2679</v>
      </c>
      <c r="J4147">
        <v>-281.58539999999999</v>
      </c>
      <c r="K4147">
        <v>1.1083099999999999</v>
      </c>
      <c r="L4147">
        <v>141.22229999999999</v>
      </c>
      <c r="M4147">
        <v>-0.9995695</v>
      </c>
      <c r="N4147">
        <v>-7.1511810000000004E-3</v>
      </c>
      <c r="O4147">
        <v>2.845634E-2</v>
      </c>
      <c r="P4147">
        <v>-0.99819659999999999</v>
      </c>
      <c r="Q4147">
        <v>-3.2366730000000003E-2</v>
      </c>
      <c r="R4147">
        <v>-5.055689E-2</v>
      </c>
      <c r="S4147">
        <v>-2.9936219999999998</v>
      </c>
      <c r="T4147">
        <v>-0.15643299999999999</v>
      </c>
      <c r="U4147">
        <v>-0.1329803</v>
      </c>
      <c r="V4147">
        <v>-7.8932870000000002E-2</v>
      </c>
      <c r="W4147">
        <v>-2.526929E-2</v>
      </c>
      <c r="X4147">
        <v>0.99655959999999999</v>
      </c>
      <c r="Y4147">
        <v>-7.2647139999999999E-2</v>
      </c>
      <c r="Z4147">
        <v>-3.4380360000000002E-3</v>
      </c>
      <c r="AA4147">
        <v>0.99735180000000001</v>
      </c>
      <c r="AB4147">
        <v>40</v>
      </c>
      <c r="AC4147">
        <v>-20.775099999999998</v>
      </c>
      <c r="AD4147">
        <v>-1.10831858926</v>
      </c>
      <c r="AE4147">
        <v>-0.95439999999999203</v>
      </c>
      <c r="AF4147">
        <v>-1.54083581803568</v>
      </c>
      <c r="AG4147">
        <v>-1.10831858926</v>
      </c>
      <c r="AH4147">
        <v>20.680792310769402</v>
      </c>
      <c r="AI4147">
        <v>93.059180042708505</v>
      </c>
      <c r="AJ4147">
        <v>94.260986403106003</v>
      </c>
      <c r="AK4147">
        <v>20.76770848492</v>
      </c>
      <c r="AL4147">
        <v>91.447977814841096</v>
      </c>
      <c r="AM4147">
        <v>94.528678893076005</v>
      </c>
      <c r="AN4147">
        <v>0.99999998566784998</v>
      </c>
    </row>
    <row r="4148" spans="1:40" x14ac:dyDescent="0.25">
      <c r="A4148" t="str">
        <f>"20190305135317665"</f>
        <v>20190305135317665</v>
      </c>
      <c r="B4148" t="str">
        <f>"1551765197653803"</f>
        <v>1551765197653803</v>
      </c>
      <c r="C4148" t="s">
        <v>40</v>
      </c>
      <c r="D4148">
        <v>4.5175000000000001</v>
      </c>
      <c r="E4148">
        <v>0.50171080000000001</v>
      </c>
      <c r="F4148" t="s">
        <v>78</v>
      </c>
      <c r="G4148">
        <v>-302.64699999999999</v>
      </c>
      <c r="H4148" s="1">
        <v>-8.6337989999999992E-6</v>
      </c>
      <c r="I4148">
        <v>140.27930000000001</v>
      </c>
      <c r="J4148">
        <v>-281.94389999999999</v>
      </c>
      <c r="K4148">
        <v>1.1083130000000001</v>
      </c>
      <c r="L4148">
        <v>141.23240000000001</v>
      </c>
      <c r="M4148">
        <v>-0.99957470000000004</v>
      </c>
      <c r="N4148">
        <v>-7.1585360000000001E-3</v>
      </c>
      <c r="O4148">
        <v>2.827257E-2</v>
      </c>
      <c r="P4148">
        <v>-0.99816059999999995</v>
      </c>
      <c r="Q4148">
        <v>-3.3011310000000002E-2</v>
      </c>
      <c r="R4148">
        <v>-5.0850680000000002E-2</v>
      </c>
      <c r="S4148">
        <v>-2.9935299999999998</v>
      </c>
      <c r="T4148">
        <v>-0.15752829999999901</v>
      </c>
      <c r="U4148">
        <v>-0.13403319999999999</v>
      </c>
      <c r="V4148">
        <v>-7.9041819999999999E-2</v>
      </c>
      <c r="W4148">
        <v>-2.5909080000000001E-2</v>
      </c>
      <c r="X4148">
        <v>0.99653449999999999</v>
      </c>
      <c r="Y4148">
        <v>-7.2813180000000005E-2</v>
      </c>
      <c r="Z4148">
        <v>-3.4584360000000001E-3</v>
      </c>
      <c r="AA4148">
        <v>0.99733959999999999</v>
      </c>
      <c r="AB4148">
        <v>40</v>
      </c>
      <c r="AC4148">
        <v>-20.703099999999999</v>
      </c>
      <c r="AD4148">
        <v>-1.1083216337989901</v>
      </c>
      <c r="AE4148">
        <v>-0.95310000000000605</v>
      </c>
      <c r="AF4148">
        <v>-1.5336777043746299</v>
      </c>
      <c r="AG4148">
        <v>-1.1083216337989901</v>
      </c>
      <c r="AH4148">
        <v>20.608938038241799</v>
      </c>
      <c r="AI4148">
        <v>93.069853971987499</v>
      </c>
      <c r="AJ4148">
        <v>94.255997120305906</v>
      </c>
      <c r="AK4148">
        <v>20.695624445977302</v>
      </c>
      <c r="AL4148">
        <v>91.484647143764803</v>
      </c>
      <c r="AM4148">
        <v>94.535017458851698</v>
      </c>
      <c r="AN4148">
        <v>0.99999994971280304</v>
      </c>
    </row>
    <row r="4149" spans="1:40" x14ac:dyDescent="0.25">
      <c r="A4149" t="str">
        <f>"20190305135317687"</f>
        <v>20190305135317687</v>
      </c>
      <c r="B4149" t="str">
        <f>"1551765197674300"</f>
        <v>1551765197674300</v>
      </c>
      <c r="C4149" t="s">
        <v>40</v>
      </c>
      <c r="D4149">
        <v>4.5630930000000003</v>
      </c>
      <c r="E4149">
        <v>0.50160159999999998</v>
      </c>
      <c r="F4149" t="s">
        <v>78</v>
      </c>
      <c r="G4149">
        <v>-302.70350000000002</v>
      </c>
      <c r="H4149" s="1">
        <v>-8.6456099999999997E-6</v>
      </c>
      <c r="I4149">
        <v>140.29169999999999</v>
      </c>
      <c r="J4149">
        <v>-282.32940000000002</v>
      </c>
      <c r="K4149">
        <v>1.108317</v>
      </c>
      <c r="L4149">
        <v>141.2432</v>
      </c>
      <c r="M4149">
        <v>-0.99958000000000002</v>
      </c>
      <c r="N4149">
        <v>-7.1665679999999999E-3</v>
      </c>
      <c r="O4149">
        <v>2.8075510000000001E-2</v>
      </c>
      <c r="P4149">
        <v>-0.9981525</v>
      </c>
      <c r="Q4149">
        <v>-3.2959429999999998E-2</v>
      </c>
      <c r="R4149">
        <v>-5.1044529999999998E-2</v>
      </c>
      <c r="S4149">
        <v>-2.9933169999999998</v>
      </c>
      <c r="T4149">
        <v>-0.15980839999999999</v>
      </c>
      <c r="U4149">
        <v>-0.13563539999999999</v>
      </c>
      <c r="V4149">
        <v>-7.9038140000000007E-2</v>
      </c>
      <c r="W4149">
        <v>-2.5851180000000001E-2</v>
      </c>
      <c r="X4149">
        <v>0.99653639999999999</v>
      </c>
      <c r="Y4149">
        <v>-7.3148000000000005E-2</v>
      </c>
      <c r="Z4149">
        <v>-3.5088939999999998E-3</v>
      </c>
      <c r="AA4149">
        <v>0.9973149</v>
      </c>
      <c r="AB4149">
        <v>40</v>
      </c>
      <c r="AC4149">
        <v>-20.374099999999999</v>
      </c>
      <c r="AD4149">
        <v>-1.1083256456099999</v>
      </c>
      <c r="AE4149">
        <v>-0.95150000000001</v>
      </c>
      <c r="AF4149">
        <v>-1.5186686072101001</v>
      </c>
      <c r="AG4149">
        <v>-1.1083256456099999</v>
      </c>
      <c r="AH4149">
        <v>20.2794727751754</v>
      </c>
      <c r="AI4149">
        <v>93.119532732489304</v>
      </c>
      <c r="AJ4149">
        <v>94.282714306426399</v>
      </c>
      <c r="AK4149">
        <v>20.366437000966101</v>
      </c>
      <c r="AL4149">
        <v>91.481328452203698</v>
      </c>
      <c r="AM4149">
        <v>94.534798589835503</v>
      </c>
      <c r="AN4149">
        <v>1.0000000538035001</v>
      </c>
    </row>
    <row r="4150" spans="1:40" x14ac:dyDescent="0.25">
      <c r="A4150" t="str">
        <f>"20190305135317710"</f>
        <v>20190305135317710</v>
      </c>
      <c r="B4150" t="str">
        <f>"1551765197704555"</f>
        <v>1551765197704555</v>
      </c>
      <c r="C4150" t="s">
        <v>40</v>
      </c>
      <c r="D4150">
        <v>4.5399789999999998</v>
      </c>
      <c r="E4150">
        <v>0.50154469999999995</v>
      </c>
      <c r="F4150" t="s">
        <v>78</v>
      </c>
      <c r="G4150">
        <v>-303.02440000000001</v>
      </c>
      <c r="H4150" s="1">
        <v>-8.692715E-6</v>
      </c>
      <c r="I4150">
        <v>140.29519999999999</v>
      </c>
      <c r="J4150">
        <v>-282.75319999999999</v>
      </c>
      <c r="K4150">
        <v>1.108331</v>
      </c>
      <c r="L4150">
        <v>141.25489999999999</v>
      </c>
      <c r="M4150">
        <v>-0.99958619999999998</v>
      </c>
      <c r="N4150">
        <v>-7.1754369999999998E-3</v>
      </c>
      <c r="O4150">
        <v>2.7858850000000001E-2</v>
      </c>
      <c r="P4150">
        <v>-0.99812979999999996</v>
      </c>
      <c r="Q4150">
        <v>-3.2901359999999998E-2</v>
      </c>
      <c r="R4150">
        <v>-5.1522810000000002E-2</v>
      </c>
      <c r="S4150">
        <v>-2.9932560000000001</v>
      </c>
      <c r="T4150">
        <v>-0.16030449999999999</v>
      </c>
      <c r="U4150">
        <v>-0.1371155</v>
      </c>
      <c r="V4150">
        <v>-7.9298670000000002E-2</v>
      </c>
      <c r="W4150">
        <v>-2.578625E-2</v>
      </c>
      <c r="X4150">
        <v>0.9965174</v>
      </c>
      <c r="Y4150">
        <v>-7.3423749999999996E-2</v>
      </c>
      <c r="Z4150">
        <v>-3.5180290000000002E-3</v>
      </c>
      <c r="AA4150">
        <v>0.99729460000000003</v>
      </c>
      <c r="AB4150">
        <v>40</v>
      </c>
      <c r="AC4150">
        <v>-20.2712</v>
      </c>
      <c r="AD4150">
        <v>-1.108339692715</v>
      </c>
      <c r="AE4150">
        <v>-0.959699999999997</v>
      </c>
      <c r="AF4150">
        <v>-1.51954190994001</v>
      </c>
      <c r="AG4150">
        <v>-1.108339692715</v>
      </c>
      <c r="AH4150">
        <v>20.176413971134501</v>
      </c>
      <c r="AI4150">
        <v>93.135375393295107</v>
      </c>
      <c r="AJ4150">
        <v>94.306973880179399</v>
      </c>
      <c r="AK4150">
        <v>20.263886725529801</v>
      </c>
      <c r="AL4150">
        <v>91.477606974212193</v>
      </c>
      <c r="AM4150">
        <v>94.549770178163598</v>
      </c>
      <c r="AN4150">
        <v>1.0000000691277899</v>
      </c>
    </row>
    <row r="4151" spans="1:40" x14ac:dyDescent="0.25">
      <c r="A4151" t="str">
        <f>"20190305135317731"</f>
        <v>20190305135317731</v>
      </c>
      <c r="B4151" t="str">
        <f>"1551765197724079"</f>
        <v>1551765197724079</v>
      </c>
      <c r="C4151" t="s">
        <v>40</v>
      </c>
      <c r="D4151">
        <v>4.4749670000000004</v>
      </c>
      <c r="E4151">
        <v>0.50148110000000001</v>
      </c>
      <c r="F4151" t="s">
        <v>78</v>
      </c>
      <c r="G4151">
        <v>-303.4717</v>
      </c>
      <c r="H4151" s="1">
        <v>-8.7562170000000008E-6</v>
      </c>
      <c r="I4151">
        <v>140.2927</v>
      </c>
      <c r="J4151">
        <v>-283.14</v>
      </c>
      <c r="K4151">
        <v>1.1083350000000001</v>
      </c>
      <c r="L4151">
        <v>141.2655</v>
      </c>
      <c r="M4151">
        <v>-0.99959160000000002</v>
      </c>
      <c r="N4151">
        <v>-7.1834969999999996E-3</v>
      </c>
      <c r="O4151">
        <v>2.7661410000000001E-2</v>
      </c>
      <c r="P4151">
        <v>-0.99811260000000002</v>
      </c>
      <c r="Q4151">
        <v>-3.2900470000000001E-2</v>
      </c>
      <c r="R4151">
        <v>-5.1855390000000001E-2</v>
      </c>
      <c r="S4151">
        <v>-2.9931640000000002</v>
      </c>
      <c r="T4151">
        <v>-0.16012019999999999</v>
      </c>
      <c r="U4151">
        <v>-0.13900760000000001</v>
      </c>
      <c r="V4151">
        <v>-7.9433630000000005E-2</v>
      </c>
      <c r="W4151">
        <v>-2.5778760000000001E-2</v>
      </c>
      <c r="X4151">
        <v>0.99650680000000003</v>
      </c>
      <c r="Y4151">
        <v>-7.3857080000000006E-2</v>
      </c>
      <c r="Z4151">
        <v>-3.5182019999999998E-3</v>
      </c>
      <c r="AA4151">
        <v>0.99726269999999995</v>
      </c>
      <c r="AB4151">
        <v>40</v>
      </c>
      <c r="AC4151">
        <v>-20.331700000000001</v>
      </c>
      <c r="AD4151">
        <v>-1.108343756217</v>
      </c>
      <c r="AE4151">
        <v>-0.97280000000000599</v>
      </c>
      <c r="AF4151">
        <v>-1.5303085099618601</v>
      </c>
      <c r="AG4151">
        <v>-1.108343756217</v>
      </c>
      <c r="AH4151">
        <v>20.237009468694399</v>
      </c>
      <c r="AI4151">
        <v>93.125945495212306</v>
      </c>
      <c r="AJ4151">
        <v>94.324436549836093</v>
      </c>
      <c r="AK4151">
        <v>20.325029452712599</v>
      </c>
      <c r="AL4151">
        <v>91.477177752463405</v>
      </c>
      <c r="AM4151">
        <v>94.557529204774497</v>
      </c>
      <c r="AN4151">
        <v>1.00000002424417</v>
      </c>
    </row>
    <row r="4152" spans="1:40" x14ac:dyDescent="0.25">
      <c r="A4152" t="str">
        <f>"20190305135317754"</f>
        <v>20190305135317754</v>
      </c>
      <c r="B4152" t="str">
        <f>"1551765197744574"</f>
        <v>1551765197744574</v>
      </c>
      <c r="C4152" t="s">
        <v>40</v>
      </c>
      <c r="D4152">
        <v>4.463876</v>
      </c>
      <c r="E4152">
        <v>0.49599080000000001</v>
      </c>
      <c r="F4152" t="s">
        <v>78</v>
      </c>
      <c r="G4152">
        <v>-303.83390000000003</v>
      </c>
      <c r="H4152" s="1">
        <v>-8.8089359999999998E-6</v>
      </c>
      <c r="I4152">
        <v>140.29509999999999</v>
      </c>
      <c r="J4152">
        <v>-283.53449999999998</v>
      </c>
      <c r="K4152">
        <v>1.108333</v>
      </c>
      <c r="L4152">
        <v>141.27629999999999</v>
      </c>
      <c r="M4152">
        <v>-0.99959699999999996</v>
      </c>
      <c r="N4152">
        <v>-7.191645E-3</v>
      </c>
      <c r="O4152">
        <v>2.746034E-2</v>
      </c>
      <c r="P4152">
        <v>-0.99809619999999999</v>
      </c>
      <c r="Q4152">
        <v>-3.2818399999999998E-2</v>
      </c>
      <c r="R4152">
        <v>-5.2222749999999998E-2</v>
      </c>
      <c r="S4152">
        <v>-2.9931030000000001</v>
      </c>
      <c r="T4152">
        <v>-0.16030759999999999</v>
      </c>
      <c r="U4152">
        <v>-0.14036560000000001</v>
      </c>
      <c r="V4152">
        <v>-7.9599169999999997E-2</v>
      </c>
      <c r="W4152">
        <v>-2.5689779999999999E-2</v>
      </c>
      <c r="X4152">
        <v>0.99649580000000004</v>
      </c>
      <c r="Y4152">
        <v>-7.4108380000000001E-2</v>
      </c>
      <c r="Z4152">
        <v>-3.5206679999999998E-3</v>
      </c>
      <c r="AA4152">
        <v>0.99724400000000002</v>
      </c>
      <c r="AB4152">
        <v>40</v>
      </c>
      <c r="AC4152">
        <v>-20.299399999999999</v>
      </c>
      <c r="AD4152">
        <v>-1.108341808936</v>
      </c>
      <c r="AE4152">
        <v>-0.98120000000000096</v>
      </c>
      <c r="AF4152">
        <v>-1.53371128253231</v>
      </c>
      <c r="AG4152">
        <v>-1.108341808936</v>
      </c>
      <c r="AH4152">
        <v>20.2047073157269</v>
      </c>
      <c r="AI4152">
        <v>93.130859557077798</v>
      </c>
      <c r="AJ4152">
        <v>94.340918226275704</v>
      </c>
      <c r="AK4152">
        <v>20.2931241946082</v>
      </c>
      <c r="AL4152">
        <v>91.472078015017203</v>
      </c>
      <c r="AM4152">
        <v>94.567037176458498</v>
      </c>
      <c r="AN4152">
        <v>0.99999993603938597</v>
      </c>
    </row>
    <row r="4153" spans="1:40" x14ac:dyDescent="0.25">
      <c r="A4153" t="str">
        <f>"20190305135317776"</f>
        <v>20190305135317776</v>
      </c>
      <c r="B4153" t="str">
        <f>"1551765197764091"</f>
        <v>1551765197764091</v>
      </c>
      <c r="C4153" t="s">
        <v>40</v>
      </c>
      <c r="D4153">
        <v>4.4758190000000004</v>
      </c>
      <c r="E4153">
        <v>0.49523420000000001</v>
      </c>
      <c r="F4153" t="s">
        <v>42</v>
      </c>
      <c r="G4153">
        <v>-358.7079</v>
      </c>
      <c r="H4153" s="1">
        <v>-1.26392E-6</v>
      </c>
      <c r="I4153">
        <v>136.46619999999999</v>
      </c>
      <c r="J4153">
        <v>-283.93239999999997</v>
      </c>
      <c r="K4153">
        <v>1.1083320000000001</v>
      </c>
      <c r="L4153">
        <v>141.28710000000001</v>
      </c>
      <c r="M4153">
        <v>-0.99960260000000001</v>
      </c>
      <c r="N4153">
        <v>-7.1999200000000003E-3</v>
      </c>
      <c r="O4153">
        <v>2.7257440000000001E-2</v>
      </c>
      <c r="P4153">
        <v>-0.99809650000000005</v>
      </c>
      <c r="Q4153">
        <v>-3.233337E-2</v>
      </c>
      <c r="R4153">
        <v>-5.2518960000000003E-2</v>
      </c>
      <c r="S4153">
        <v>-2.9942319999999998</v>
      </c>
      <c r="T4153">
        <v>-4.4146060000000001E-2</v>
      </c>
      <c r="U4153">
        <v>-0.19158939999999999</v>
      </c>
      <c r="V4153">
        <v>-7.9693780000000006E-2</v>
      </c>
      <c r="W4153">
        <v>-2.5197359999999999E-2</v>
      </c>
      <c r="X4153">
        <v>0.99650079999999996</v>
      </c>
      <c r="Y4153">
        <v>-9.1018890000000005E-2</v>
      </c>
      <c r="Z4153">
        <v>-1.2037560000000001E-3</v>
      </c>
      <c r="AA4153">
        <v>0.99584839999999997</v>
      </c>
      <c r="AB4153">
        <v>40</v>
      </c>
      <c r="AC4153">
        <v>-74.775499999999994</v>
      </c>
      <c r="AD4153">
        <v>-1.1083332639200001</v>
      </c>
      <c r="AE4153">
        <v>-4.8209000000000204</v>
      </c>
      <c r="AF4153">
        <v>-6.8558500869767602</v>
      </c>
      <c r="AG4153">
        <v>-1.1083332639200001</v>
      </c>
      <c r="AH4153">
        <v>74.599985237504498</v>
      </c>
      <c r="AI4153">
        <v>90.847610398795595</v>
      </c>
      <c r="AJ4153">
        <v>95.250818276158</v>
      </c>
      <c r="AK4153">
        <v>74.922552549114997</v>
      </c>
      <c r="AL4153">
        <v>91.443855304350194</v>
      </c>
      <c r="AM4153">
        <v>94.572419616812098</v>
      </c>
      <c r="AN4153">
        <v>0.99999992496114598</v>
      </c>
    </row>
    <row r="4154" spans="1:40" x14ac:dyDescent="0.25">
      <c r="A4154" t="str">
        <f>"20190305135317799"</f>
        <v>20190305135317799</v>
      </c>
      <c r="B4154" t="str">
        <f>"1551765197794347"</f>
        <v>1551765197794347</v>
      </c>
      <c r="C4154" t="s">
        <v>40</v>
      </c>
      <c r="D4154">
        <v>4.456639</v>
      </c>
      <c r="E4154">
        <v>0.49483709999999997</v>
      </c>
      <c r="F4154" t="s">
        <v>42</v>
      </c>
      <c r="G4154">
        <v>-362.6968</v>
      </c>
      <c r="H4154" s="1">
        <v>-3.745242E-6</v>
      </c>
      <c r="I4154">
        <v>136.0652</v>
      </c>
      <c r="J4154">
        <v>-284.34739999999999</v>
      </c>
      <c r="K4154">
        <v>1.1083289999999999</v>
      </c>
      <c r="L4154">
        <v>141.29820000000001</v>
      </c>
      <c r="M4154">
        <v>-0.99960830000000001</v>
      </c>
      <c r="N4154">
        <v>-7.2085219999999898E-3</v>
      </c>
      <c r="O4154">
        <v>2.7046850000000001E-2</v>
      </c>
      <c r="P4154">
        <v>-0.99809029999999999</v>
      </c>
      <c r="Q4154">
        <v>-3.1991020000000002E-2</v>
      </c>
      <c r="R4154">
        <v>-5.2844740000000001E-2</v>
      </c>
      <c r="S4154">
        <v>-2.9939269999999998</v>
      </c>
      <c r="T4154">
        <v>-4.2129159999999999E-2</v>
      </c>
      <c r="U4154">
        <v>-0.1984863</v>
      </c>
      <c r="V4154">
        <v>-7.9809000000000005E-2</v>
      </c>
      <c r="W4154">
        <v>-2.4847060000000001E-2</v>
      </c>
      <c r="X4154">
        <v>0.99650039999999995</v>
      </c>
      <c r="Y4154">
        <v>-9.310069E-2</v>
      </c>
      <c r="Z4154">
        <v>-1.1757200000000001E-3</v>
      </c>
      <c r="AA4154">
        <v>0.99565599999999999</v>
      </c>
      <c r="AB4154">
        <v>40</v>
      </c>
      <c r="AC4154">
        <v>-78.349400000000003</v>
      </c>
      <c r="AD4154">
        <v>-1.108332745242</v>
      </c>
      <c r="AE4154">
        <v>-5.2329999999999997</v>
      </c>
      <c r="AF4154">
        <v>-7.3487807286558304</v>
      </c>
      <c r="AG4154">
        <v>-1.108332745242</v>
      </c>
      <c r="AH4154">
        <v>78.163624034395099</v>
      </c>
      <c r="AI4154">
        <v>90.808813236229796</v>
      </c>
      <c r="AJ4154">
        <v>95.371041153744102</v>
      </c>
      <c r="AK4154">
        <v>78.516145485258704</v>
      </c>
      <c r="AL4154">
        <v>91.423778269269505</v>
      </c>
      <c r="AM4154">
        <v>94.579004086235201</v>
      </c>
      <c r="AN4154">
        <v>0.99999995003590003</v>
      </c>
    </row>
    <row r="4155" spans="1:40" x14ac:dyDescent="0.25">
      <c r="A4155" t="str">
        <f>"20190305135317822"</f>
        <v>20190305135317822</v>
      </c>
      <c r="B4155" t="str">
        <f>"1551765197813867"</f>
        <v>1551765197813867</v>
      </c>
      <c r="C4155" t="s">
        <v>40</v>
      </c>
      <c r="D4155">
        <v>4.4518409999999999</v>
      </c>
      <c r="E4155">
        <v>0.49489359999999999</v>
      </c>
      <c r="F4155" t="s">
        <v>42</v>
      </c>
      <c r="G4155">
        <v>-365.52690000000001</v>
      </c>
      <c r="H4155" s="1">
        <v>-2.5782149999999999E-6</v>
      </c>
      <c r="I4155">
        <v>135.80000000000001</v>
      </c>
      <c r="J4155">
        <v>-284.77390000000003</v>
      </c>
      <c r="K4155">
        <v>1.1083289999999999</v>
      </c>
      <c r="L4155">
        <v>141.30959999999999</v>
      </c>
      <c r="M4155">
        <v>-0.9996138</v>
      </c>
      <c r="N4155">
        <v>-7.2173389999999997E-3</v>
      </c>
      <c r="O4155">
        <v>2.6834980000000001E-2</v>
      </c>
      <c r="P4155">
        <v>-0.99804320000000002</v>
      </c>
      <c r="Q4155">
        <v>-3.224043E-2</v>
      </c>
      <c r="R4155">
        <v>-5.3575860000000003E-2</v>
      </c>
      <c r="S4155">
        <v>-2.9936829999999999</v>
      </c>
      <c r="T4155">
        <v>-4.087234E-2</v>
      </c>
      <c r="U4155">
        <v>-0.20275879999999999</v>
      </c>
      <c r="V4155">
        <v>-8.0327860000000001E-2</v>
      </c>
      <c r="W4155">
        <v>-2.5088340000000001E-2</v>
      </c>
      <c r="X4155">
        <v>0.99645269999999997</v>
      </c>
      <c r="Y4155">
        <v>-9.4310149999999995E-2</v>
      </c>
      <c r="Z4155">
        <v>-1.156348E-3</v>
      </c>
      <c r="AA4155">
        <v>0.99554219999999904</v>
      </c>
      <c r="AB4155">
        <v>40</v>
      </c>
      <c r="AC4155">
        <v>-80.752999999999901</v>
      </c>
      <c r="AD4155">
        <v>-1.1083315782150001</v>
      </c>
      <c r="AE4155">
        <v>-5.5095999999999696</v>
      </c>
      <c r="AF4155">
        <v>-7.6732386485308801</v>
      </c>
      <c r="AG4155">
        <v>-1.1083315782150001</v>
      </c>
      <c r="AH4155">
        <v>80.560958303857902</v>
      </c>
      <c r="AI4155">
        <v>90.784656295513997</v>
      </c>
      <c r="AJ4155">
        <v>95.440872223059998</v>
      </c>
      <c r="AK4155">
        <v>80.933151384834304</v>
      </c>
      <c r="AL4155">
        <v>91.437606854037</v>
      </c>
      <c r="AM4155">
        <v>94.608865273991697</v>
      </c>
      <c r="AN4155">
        <v>0.99999998661671197</v>
      </c>
    </row>
    <row r="4156" spans="1:40" x14ac:dyDescent="0.25">
      <c r="A4156" t="str">
        <f>"20190305135317844"</f>
        <v>20190305135317844</v>
      </c>
      <c r="B4156" t="str">
        <f>"1551765197834363"</f>
        <v>1551765197834363</v>
      </c>
      <c r="C4156" t="s">
        <v>40</v>
      </c>
      <c r="D4156">
        <v>4.4210050000000001</v>
      </c>
      <c r="E4156">
        <v>0.49506860000000003</v>
      </c>
      <c r="F4156" t="s">
        <v>42</v>
      </c>
      <c r="G4156">
        <v>-362.38560000000001</v>
      </c>
      <c r="H4156" s="1">
        <v>-3.8885369999999997E-6</v>
      </c>
      <c r="I4156">
        <v>136.01009999999999</v>
      </c>
      <c r="J4156">
        <v>-285.15269999999998</v>
      </c>
      <c r="K4156">
        <v>1.1083270000000001</v>
      </c>
      <c r="L4156">
        <v>141.31970000000001</v>
      </c>
      <c r="M4156">
        <v>-0.99961849999999997</v>
      </c>
      <c r="N4156">
        <v>-7.2251729999999997E-3</v>
      </c>
      <c r="O4156">
        <v>2.665971E-2</v>
      </c>
      <c r="P4156">
        <v>-0.99803719999999996</v>
      </c>
      <c r="Q4156">
        <v>-3.1938399999999999E-2</v>
      </c>
      <c r="R4156">
        <v>-5.3870029999999999E-2</v>
      </c>
      <c r="S4156">
        <v>-2.9935909999999999</v>
      </c>
      <c r="T4156">
        <v>-4.2750000000000003E-2</v>
      </c>
      <c r="U4156">
        <v>-0.2044067</v>
      </c>
      <c r="V4156">
        <v>-8.0447270000000001E-2</v>
      </c>
      <c r="W4156">
        <v>-2.4777529999999999E-2</v>
      </c>
      <c r="X4156">
        <v>0.99645079999999997</v>
      </c>
      <c r="Y4156">
        <v>-9.4681929999999997E-2</v>
      </c>
      <c r="Z4156">
        <v>-1.2056440000000001E-3</v>
      </c>
      <c r="AA4156">
        <v>0.99550680000000003</v>
      </c>
      <c r="AB4156">
        <v>40</v>
      </c>
      <c r="AC4156">
        <v>-77.232900000000001</v>
      </c>
      <c r="AD4156">
        <v>-1.108330888537</v>
      </c>
      <c r="AE4156">
        <v>-5.3096000000000103</v>
      </c>
      <c r="AF4156">
        <v>-7.3652634191608</v>
      </c>
      <c r="AG4156">
        <v>-1.108330888537</v>
      </c>
      <c r="AH4156">
        <v>77.048098936703894</v>
      </c>
      <c r="AI4156">
        <v>90.820399095602895</v>
      </c>
      <c r="AJ4156">
        <v>95.460486431963602</v>
      </c>
      <c r="AK4156">
        <v>77.407267438866597</v>
      </c>
      <c r="AL4156">
        <v>91.419793276593893</v>
      </c>
      <c r="AM4156">
        <v>94.615695684945095</v>
      </c>
      <c r="AN4156">
        <v>0.99999994303199502</v>
      </c>
    </row>
    <row r="4157" spans="1:40" x14ac:dyDescent="0.25">
      <c r="A4157" t="str">
        <f>"20190305135317865"</f>
        <v>20190305135317865</v>
      </c>
      <c r="B4157" t="str">
        <f>"1551765197853883"</f>
        <v>1551765197853883</v>
      </c>
      <c r="C4157" t="s">
        <v>40</v>
      </c>
      <c r="D4157">
        <v>4.4192090000000004</v>
      </c>
      <c r="E4157">
        <v>0.49527159999999898</v>
      </c>
      <c r="F4157" t="s">
        <v>42</v>
      </c>
      <c r="G4157">
        <v>-362.7978</v>
      </c>
      <c r="H4157" s="1">
        <v>-3.7079340000000002E-6</v>
      </c>
      <c r="I4157">
        <v>136.03129999999999</v>
      </c>
      <c r="J4157">
        <v>-285.54739999999998</v>
      </c>
      <c r="K4157">
        <v>1.1083179999999999</v>
      </c>
      <c r="L4157">
        <v>141.33009999999999</v>
      </c>
      <c r="M4157">
        <v>-0.99962269999999998</v>
      </c>
      <c r="N4157">
        <v>-7.233354E-3</v>
      </c>
      <c r="O4157">
        <v>2.650162E-2</v>
      </c>
      <c r="P4157">
        <v>-0.99806039999999996</v>
      </c>
      <c r="Q4157">
        <v>-3.1707539999999999E-2</v>
      </c>
      <c r="R4157">
        <v>-5.3574190000000001E-2</v>
      </c>
      <c r="S4157">
        <v>-2.9935610000000001</v>
      </c>
      <c r="T4157">
        <v>-4.273105E-2</v>
      </c>
      <c r="U4157">
        <v>-0.20388790000000001</v>
      </c>
      <c r="V4157">
        <v>-7.9995410000000003E-2</v>
      </c>
      <c r="W4157">
        <v>-2.4535189999999998E-2</v>
      </c>
      <c r="X4157">
        <v>0.99649319999999997</v>
      </c>
      <c r="Y4157">
        <v>-9.4353510000000002E-2</v>
      </c>
      <c r="Z4157">
        <v>-1.200717E-3</v>
      </c>
      <c r="AA4157">
        <v>0.99553809999999998</v>
      </c>
      <c r="AB4157">
        <v>41</v>
      </c>
      <c r="AC4157">
        <v>-77.250399999999999</v>
      </c>
      <c r="AD4157">
        <v>-1.108321707934</v>
      </c>
      <c r="AE4157">
        <v>-5.2988</v>
      </c>
      <c r="AF4157">
        <v>-7.3427485537022301</v>
      </c>
      <c r="AG4157">
        <v>-1.108321707934</v>
      </c>
      <c r="AH4157">
        <v>77.067046304177694</v>
      </c>
      <c r="AI4157">
        <v>90.820215111869999</v>
      </c>
      <c r="AJ4157">
        <v>95.442564334140798</v>
      </c>
      <c r="AK4157">
        <v>77.423988268374799</v>
      </c>
      <c r="AL4157">
        <v>91.405903956931894</v>
      </c>
      <c r="AM4157">
        <v>94.589686652397006</v>
      </c>
      <c r="AN4157">
        <v>0.99999996940782099</v>
      </c>
    </row>
    <row r="4158" spans="1:40" x14ac:dyDescent="0.25">
      <c r="A4158" t="str">
        <f>"20190305135317888"</f>
        <v>20190305135317888</v>
      </c>
      <c r="B4158" t="str">
        <f>"1551765197884140"</f>
        <v>1551765197884140</v>
      </c>
      <c r="C4158" t="s">
        <v>40</v>
      </c>
      <c r="D4158">
        <v>4.4164159999999999</v>
      </c>
      <c r="E4158">
        <v>0.4955039</v>
      </c>
      <c r="F4158" t="s">
        <v>42</v>
      </c>
      <c r="G4158">
        <v>-363.81880000000001</v>
      </c>
      <c r="H4158" s="1">
        <v>-3.2638820000000001E-6</v>
      </c>
      <c r="I4158">
        <v>136.06549999999999</v>
      </c>
      <c r="J4158">
        <v>-285.952</v>
      </c>
      <c r="K4158">
        <v>1.1082989999999999</v>
      </c>
      <c r="L4158">
        <v>141.3407</v>
      </c>
      <c r="M4158">
        <v>-0.99962569999999995</v>
      </c>
      <c r="N4158">
        <v>-7.241745E-3</v>
      </c>
      <c r="O4158">
        <v>2.6379400000000001E-2</v>
      </c>
      <c r="P4158">
        <v>-0.99808929999999996</v>
      </c>
      <c r="Q4158">
        <v>-3.091151E-2</v>
      </c>
      <c r="R4158">
        <v>-5.3503960000000003E-2</v>
      </c>
      <c r="S4158">
        <v>-2.9937130000000001</v>
      </c>
      <c r="T4158">
        <v>-4.2390940000000002E-2</v>
      </c>
      <c r="U4158">
        <v>-0.20135500000000001</v>
      </c>
      <c r="V4158">
        <v>-7.9805940000000006E-2</v>
      </c>
      <c r="W4158">
        <v>-2.372546E-2</v>
      </c>
      <c r="X4158">
        <v>0.99652799999999997</v>
      </c>
      <c r="Y4158">
        <v>-9.3390200000000007E-2</v>
      </c>
      <c r="Z4158">
        <v>-1.181341E-3</v>
      </c>
      <c r="AA4158">
        <v>0.99562890000000004</v>
      </c>
      <c r="AB4158">
        <v>41</v>
      </c>
      <c r="AC4158">
        <v>-77.866799999999998</v>
      </c>
      <c r="AD4158">
        <v>-1.1083022638819999</v>
      </c>
      <c r="AE4158">
        <v>-5.2752000000000097</v>
      </c>
      <c r="AF4158">
        <v>-7.3260202485716901</v>
      </c>
      <c r="AG4158">
        <v>-1.1083022638819999</v>
      </c>
      <c r="AH4158">
        <v>77.6848748451375</v>
      </c>
      <c r="AI4158">
        <v>90.813752918479196</v>
      </c>
      <c r="AJ4158">
        <v>95.387307600040401</v>
      </c>
      <c r="AK4158">
        <v>78.0374185009684</v>
      </c>
      <c r="AL4158">
        <v>91.359496328778306</v>
      </c>
      <c r="AM4158">
        <v>94.578702989964697</v>
      </c>
      <c r="AN4158">
        <v>0.999999970147747</v>
      </c>
    </row>
    <row r="4159" spans="1:40" x14ac:dyDescent="0.25">
      <c r="A4159" t="str">
        <f>"20190305135317911"</f>
        <v>20190305135317911</v>
      </c>
      <c r="B4159" t="str">
        <f>"1551765197903663"</f>
        <v>1551765197903663</v>
      </c>
      <c r="C4159" t="s">
        <v>40</v>
      </c>
      <c r="D4159">
        <v>4.4188080000000003</v>
      </c>
      <c r="E4159">
        <v>0.49551339999999999</v>
      </c>
      <c r="F4159" t="s">
        <v>42</v>
      </c>
      <c r="G4159">
        <v>-375.95530000000002</v>
      </c>
      <c r="H4159" s="1">
        <v>-2.498743E-6</v>
      </c>
      <c r="I4159">
        <v>135.34569999999999</v>
      </c>
      <c r="J4159">
        <v>-286.38119999999998</v>
      </c>
      <c r="K4159">
        <v>1.108277</v>
      </c>
      <c r="L4159">
        <v>141.352</v>
      </c>
      <c r="M4159">
        <v>-0.99962830000000003</v>
      </c>
      <c r="N4159">
        <v>-7.2506790000000003E-3</v>
      </c>
      <c r="O4159">
        <v>2.6286839999999999E-2</v>
      </c>
      <c r="P4159">
        <v>-0.99816850000000001</v>
      </c>
      <c r="Q4159">
        <v>-2.865297E-2</v>
      </c>
      <c r="R4159">
        <v>-5.3285140000000002E-2</v>
      </c>
      <c r="S4159">
        <v>-2.9939269999999998</v>
      </c>
      <c r="T4159">
        <v>-3.6867259999999999E-2</v>
      </c>
      <c r="U4159">
        <v>-0.19941710000000001</v>
      </c>
      <c r="V4159">
        <v>-7.9499739999999999E-2</v>
      </c>
      <c r="W4159">
        <v>-2.1451350000000001E-2</v>
      </c>
      <c r="X4159">
        <v>0.99660400000000005</v>
      </c>
      <c r="Y4159">
        <v>-9.2654929999999996E-2</v>
      </c>
      <c r="Z4159">
        <v>-1.0391339999999999E-3</v>
      </c>
      <c r="AA4159">
        <v>0.99569770000000002</v>
      </c>
      <c r="AB4159">
        <v>41</v>
      </c>
      <c r="AC4159">
        <v>-89.574100000000001</v>
      </c>
      <c r="AD4159">
        <v>-1.108279498743</v>
      </c>
      <c r="AE4159">
        <v>-6.0063000000000004</v>
      </c>
      <c r="AF4159">
        <v>-8.3576322260654194</v>
      </c>
      <c r="AG4159">
        <v>-1.108279498743</v>
      </c>
      <c r="AH4159">
        <v>89.371634250677104</v>
      </c>
      <c r="AI4159">
        <v>90.707390846560202</v>
      </c>
      <c r="AJ4159">
        <v>95.342505420551703</v>
      </c>
      <c r="AK4159">
        <v>89.768409301436904</v>
      </c>
      <c r="AL4159">
        <v>91.229166161386601</v>
      </c>
      <c r="AM4159">
        <v>94.560863294384703</v>
      </c>
      <c r="AN4159">
        <v>0.99999995094644301</v>
      </c>
    </row>
    <row r="4160" spans="1:40" x14ac:dyDescent="0.25">
      <c r="A4160" t="str">
        <f>"20190305135317932"</f>
        <v>20190305135317932</v>
      </c>
      <c r="B4160" t="str">
        <f>"1551765197924155"</f>
        <v>1551765197924155</v>
      </c>
      <c r="C4160" t="s">
        <v>40</v>
      </c>
      <c r="D4160">
        <v>4.419365</v>
      </c>
      <c r="E4160">
        <v>0.4955949</v>
      </c>
      <c r="F4160" t="s">
        <v>42</v>
      </c>
      <c r="G4160">
        <v>-395.17660000000001</v>
      </c>
      <c r="H4160" s="1">
        <v>-3.086652E-6</v>
      </c>
      <c r="I4160">
        <v>134.13210000000001</v>
      </c>
      <c r="J4160">
        <v>-286.78820000000002</v>
      </c>
      <c r="K4160">
        <v>1.1082650000000001</v>
      </c>
      <c r="L4160">
        <v>141.36259999999999</v>
      </c>
      <c r="M4160">
        <v>-0.99962960000000001</v>
      </c>
      <c r="N4160">
        <v>-7.2591219999999998E-3</v>
      </c>
      <c r="O4160">
        <v>2.6230139999999999E-2</v>
      </c>
      <c r="P4160">
        <v>-0.99827010000000005</v>
      </c>
      <c r="Q4160">
        <v>-2.4666150000000001E-2</v>
      </c>
      <c r="R4160">
        <v>-5.3370290000000001E-2</v>
      </c>
      <c r="S4160">
        <v>-2.9940190000000002</v>
      </c>
      <c r="T4160">
        <v>-3.0499579999999998E-2</v>
      </c>
      <c r="U4160">
        <v>-0.19868469999999999</v>
      </c>
      <c r="V4160">
        <v>-7.9533489999999998E-2</v>
      </c>
      <c r="W4160">
        <v>-1.7450110000000001E-2</v>
      </c>
      <c r="X4160">
        <v>0.99667939999999999</v>
      </c>
      <c r="Y4160">
        <v>-9.2357110000000006E-2</v>
      </c>
      <c r="Z4160">
        <v>-8.8225E-4</v>
      </c>
      <c r="AA4160">
        <v>0.99572559999999999</v>
      </c>
      <c r="AB4160">
        <v>41</v>
      </c>
      <c r="AC4160">
        <v>-108.3884</v>
      </c>
      <c r="AD4160">
        <v>-1.1082680866520001</v>
      </c>
      <c r="AE4160">
        <v>-7.23049999999997</v>
      </c>
      <c r="AF4160">
        <v>-10.0700816550772</v>
      </c>
      <c r="AG4160">
        <v>-1.1082680866520001</v>
      </c>
      <c r="AH4160">
        <v>108.150185887262</v>
      </c>
      <c r="AI4160">
        <v>90.584588947344599</v>
      </c>
      <c r="AJ4160">
        <v>95.319587486569404</v>
      </c>
      <c r="AK4160">
        <v>108.623650786287</v>
      </c>
      <c r="AL4160">
        <v>90.999868449416795</v>
      </c>
      <c r="AM4160">
        <v>94.562447618914703</v>
      </c>
      <c r="AN4160">
        <v>0.99999995437747502</v>
      </c>
    </row>
    <row r="4161" spans="1:40" x14ac:dyDescent="0.25">
      <c r="A4161" t="str">
        <f>"20190305135317954"</f>
        <v>20190305135317954</v>
      </c>
      <c r="B4161" t="str">
        <f>"1551765197943675"</f>
        <v>1551765197943675</v>
      </c>
      <c r="C4161" t="s">
        <v>40</v>
      </c>
      <c r="D4161">
        <v>4.3875229999999998</v>
      </c>
      <c r="E4161">
        <v>0.49567420000000001</v>
      </c>
      <c r="F4161" t="s">
        <v>42</v>
      </c>
      <c r="G4161">
        <v>-462.83539999999999</v>
      </c>
      <c r="H4161" s="1">
        <v>-4.5061020000000004E-6</v>
      </c>
      <c r="I4161">
        <v>129.71369999999999</v>
      </c>
      <c r="J4161">
        <v>-287.18009999999998</v>
      </c>
      <c r="K4161">
        <v>1.1082510000000001</v>
      </c>
      <c r="L4161">
        <v>141.37289999999999</v>
      </c>
      <c r="M4161">
        <v>-0.99963000000000002</v>
      </c>
      <c r="N4161">
        <v>-7.2672630000000004E-3</v>
      </c>
      <c r="O4161">
        <v>2.6212070000000001E-2</v>
      </c>
      <c r="P4161">
        <v>-0.99835010000000002</v>
      </c>
      <c r="Q4161">
        <v>-2.1687430000000001E-2</v>
      </c>
      <c r="R4161">
        <v>-5.3167590000000001E-2</v>
      </c>
      <c r="S4161">
        <v>-2.9941409999999999</v>
      </c>
      <c r="T4161">
        <v>-1.8849020000000001E-2</v>
      </c>
      <c r="U4161">
        <v>-0.19812009999999999</v>
      </c>
      <c r="V4161">
        <v>-7.9316289999999998E-2</v>
      </c>
      <c r="W4161">
        <v>-1.445721E-2</v>
      </c>
      <c r="X4161">
        <v>0.99674459999999998</v>
      </c>
      <c r="Y4161">
        <v>-9.2153849999999995E-2</v>
      </c>
      <c r="Z4161">
        <v>-5.9957149999999998E-4</v>
      </c>
      <c r="AA4161">
        <v>0.99574459999999998</v>
      </c>
      <c r="AB4161">
        <v>41</v>
      </c>
      <c r="AC4161">
        <v>-175.65530000000001</v>
      </c>
      <c r="AD4161">
        <v>-1.1082555061020001</v>
      </c>
      <c r="AE4161">
        <v>-11.659199999999901</v>
      </c>
      <c r="AF4161">
        <v>-16.2589599190981</v>
      </c>
      <c r="AG4161">
        <v>-1.1082555061020001</v>
      </c>
      <c r="AH4161">
        <v>175.28237581277301</v>
      </c>
      <c r="AI4161">
        <v>90.360709982508197</v>
      </c>
      <c r="AJ4161">
        <v>95.299515665070004</v>
      </c>
      <c r="AK4161">
        <v>176.03832900390699</v>
      </c>
      <c r="AL4161">
        <v>90.828366023206598</v>
      </c>
      <c r="AM4161">
        <v>94.549743924007103</v>
      </c>
      <c r="AN4161">
        <v>0.999999941204752</v>
      </c>
    </row>
    <row r="4162" spans="1:40" x14ac:dyDescent="0.25">
      <c r="A4162" t="str">
        <f>"20190305135317976"</f>
        <v>20190305135317976</v>
      </c>
      <c r="B4162" t="str">
        <f>"1551765197964172"</f>
        <v>1551765197964172</v>
      </c>
      <c r="C4162" t="s">
        <v>40</v>
      </c>
      <c r="D4162">
        <v>4.3890449999999896</v>
      </c>
      <c r="E4162">
        <v>0.49569380000000002</v>
      </c>
      <c r="F4162" t="s">
        <v>53</v>
      </c>
      <c r="G4162">
        <v>-660.11689999999999</v>
      </c>
      <c r="H4162">
        <v>-0.1</v>
      </c>
      <c r="I4162">
        <v>116.8528</v>
      </c>
      <c r="J4162">
        <v>-287.59059999999999</v>
      </c>
      <c r="K4162">
        <v>1.108215</v>
      </c>
      <c r="L4162">
        <v>141.3837</v>
      </c>
      <c r="M4162">
        <v>-0.99962899999999999</v>
      </c>
      <c r="N4162">
        <v>-7.27595699999999E-3</v>
      </c>
      <c r="O4162">
        <v>2.625048E-2</v>
      </c>
      <c r="P4162">
        <v>-0.99835399999999996</v>
      </c>
      <c r="Q4162">
        <v>-2.0532970000000001E-2</v>
      </c>
      <c r="R4162">
        <v>-5.3551370000000001E-2</v>
      </c>
      <c r="S4162">
        <v>-2.9942630000000001</v>
      </c>
      <c r="T4162">
        <v>-9.7008939999999998E-3</v>
      </c>
      <c r="U4162">
        <v>-0.19686890000000001</v>
      </c>
      <c r="V4162">
        <v>-7.974009E-2</v>
      </c>
      <c r="W4162">
        <v>-1.328669E-2</v>
      </c>
      <c r="X4162">
        <v>0.99672709999999998</v>
      </c>
      <c r="Y4162">
        <v>-9.1777280000000003E-2</v>
      </c>
      <c r="Z4162">
        <v>-3.7695799999999999E-4</v>
      </c>
      <c r="AA4162">
        <v>0.99577950000000004</v>
      </c>
      <c r="AB4162">
        <v>41</v>
      </c>
      <c r="AC4162">
        <v>-372.52629999999999</v>
      </c>
      <c r="AD4162">
        <v>-1.208215</v>
      </c>
      <c r="AE4162">
        <v>-24.530899999999999</v>
      </c>
      <c r="AF4162">
        <v>-34.301339107827502</v>
      </c>
      <c r="AG4162">
        <v>-1.208215</v>
      </c>
      <c r="AH4162">
        <v>371.75006100981898</v>
      </c>
      <c r="AI4162">
        <v>90.185427175317201</v>
      </c>
      <c r="AJ4162">
        <v>95.271748622353499</v>
      </c>
      <c r="AK4162">
        <v>373.331152609691</v>
      </c>
      <c r="AL4162">
        <v>90.761293687787898</v>
      </c>
      <c r="AM4162">
        <v>94.574031041374099</v>
      </c>
      <c r="AN4162">
        <v>0.99999996497938604</v>
      </c>
    </row>
    <row r="4163" spans="1:40" x14ac:dyDescent="0.25">
      <c r="A4163" t="str">
        <f>"20190305135317999"</f>
        <v>20190305135317999</v>
      </c>
      <c r="B4163" t="str">
        <f>"1551765197994428"</f>
        <v>1551765197994428</v>
      </c>
      <c r="C4163" t="s">
        <v>40</v>
      </c>
      <c r="D4163">
        <v>4.3994299999999997</v>
      </c>
      <c r="E4163">
        <v>0.49573220000000001</v>
      </c>
      <c r="F4163" t="s">
        <v>53</v>
      </c>
      <c r="G4163">
        <v>-812.72080000000005</v>
      </c>
      <c r="H4163">
        <v>-0.1</v>
      </c>
      <c r="I4163">
        <v>106.6908</v>
      </c>
      <c r="J4163">
        <v>-288.01119999999997</v>
      </c>
      <c r="K4163">
        <v>1.108155</v>
      </c>
      <c r="L4163">
        <v>141.3948</v>
      </c>
      <c r="M4163">
        <v>-0.99962580000000001</v>
      </c>
      <c r="N4163">
        <v>-7.2849859999999898E-3</v>
      </c>
      <c r="O4163">
        <v>2.6365900000000001E-2</v>
      </c>
      <c r="P4163">
        <v>-0.99833260000000001</v>
      </c>
      <c r="Q4163">
        <v>-2.0794940000000001E-2</v>
      </c>
      <c r="R4163">
        <v>-5.3849609999999999E-2</v>
      </c>
      <c r="S4163">
        <v>-2.9942319999999998</v>
      </c>
      <c r="T4163">
        <v>-6.8891050000000004E-3</v>
      </c>
      <c r="U4163">
        <v>-0.19781489999999999</v>
      </c>
      <c r="V4163">
        <v>-8.0154749999999997E-2</v>
      </c>
      <c r="W4163">
        <v>-1.3529269999999999E-2</v>
      </c>
      <c r="X4163">
        <v>0.99669059999999998</v>
      </c>
      <c r="Y4163">
        <v>-9.2206629999999998E-2</v>
      </c>
      <c r="Z4163">
        <v>-3.1095260000000002E-4</v>
      </c>
      <c r="AA4163">
        <v>0.99573979999999995</v>
      </c>
      <c r="AB4163">
        <v>41</v>
      </c>
      <c r="AC4163">
        <v>-524.70960000000002</v>
      </c>
      <c r="AD4163">
        <v>-1.2081549999999901</v>
      </c>
      <c r="AE4163">
        <v>-34.704000000000001</v>
      </c>
      <c r="AF4163">
        <v>-48.526486843059303</v>
      </c>
      <c r="AG4163">
        <v>-1.2081549999999901</v>
      </c>
      <c r="AH4163">
        <v>523.60938949653701</v>
      </c>
      <c r="AI4163">
        <v>90.131637608372202</v>
      </c>
      <c r="AJ4163">
        <v>95.294869677392498</v>
      </c>
      <c r="AK4163">
        <v>525.85461140202005</v>
      </c>
      <c r="AL4163">
        <v>90.775193729673106</v>
      </c>
      <c r="AM4163">
        <v>94.597882601034598</v>
      </c>
      <c r="AN4163">
        <v>0.999999988611327</v>
      </c>
    </row>
    <row r="4164" spans="1:40" x14ac:dyDescent="0.25">
      <c r="A4164" t="str">
        <f>"20190305135318024"</f>
        <v>20190305135318024</v>
      </c>
      <c r="B4164" t="str">
        <f>"1551765198013948"</f>
        <v>1551765198013948</v>
      </c>
      <c r="C4164" t="s">
        <v>40</v>
      </c>
      <c r="D4164">
        <v>4.3925219999999996</v>
      </c>
      <c r="E4164">
        <v>0.49573850000000003</v>
      </c>
      <c r="F4164" t="s">
        <v>53</v>
      </c>
      <c r="G4164">
        <v>-661.55589999999995</v>
      </c>
      <c r="H4164">
        <v>-0.1</v>
      </c>
      <c r="I4164">
        <v>116.6412</v>
      </c>
      <c r="J4164">
        <v>-288.4606</v>
      </c>
      <c r="K4164">
        <v>1.1080730000000001</v>
      </c>
      <c r="L4164">
        <v>141.4068</v>
      </c>
      <c r="M4164">
        <v>-0.99962019999999996</v>
      </c>
      <c r="N4164">
        <v>-7.2948029999999999E-3</v>
      </c>
      <c r="O4164">
        <v>2.6582109999999999E-2</v>
      </c>
      <c r="P4164">
        <v>-0.99828139999999999</v>
      </c>
      <c r="Q4164">
        <v>-2.255449E-2</v>
      </c>
      <c r="R4164">
        <v>-5.4093200000000001E-2</v>
      </c>
      <c r="S4164">
        <v>-2.99411</v>
      </c>
      <c r="T4164">
        <v>-9.6838470000000006E-3</v>
      </c>
      <c r="U4164">
        <v>-0.19841</v>
      </c>
      <c r="V4164">
        <v>-8.0615149999999997E-2</v>
      </c>
      <c r="W4164">
        <v>-1.526478E-2</v>
      </c>
      <c r="X4164">
        <v>0.99662839999999997</v>
      </c>
      <c r="Y4164">
        <v>-9.2621229999999999E-2</v>
      </c>
      <c r="Z4164">
        <v>-3.8003709999999999E-4</v>
      </c>
      <c r="AA4164">
        <v>0.99570139999999996</v>
      </c>
      <c r="AB4164">
        <v>41</v>
      </c>
      <c r="AC4164">
        <v>-373.09530000000001</v>
      </c>
      <c r="AD4164">
        <v>-1.208073</v>
      </c>
      <c r="AE4164">
        <v>-24.765599999999999</v>
      </c>
      <c r="AF4164">
        <v>-34.6744086259583</v>
      </c>
      <c r="AG4164">
        <v>-1.208073</v>
      </c>
      <c r="AH4164">
        <v>372.30122800878001</v>
      </c>
      <c r="AI4164">
        <v>90.185116178168997</v>
      </c>
      <c r="AJ4164">
        <v>95.320913554827897</v>
      </c>
      <c r="AK4164">
        <v>373.91439987085101</v>
      </c>
      <c r="AL4164">
        <v>90.874641445820799</v>
      </c>
      <c r="AM4164">
        <v>94.624465466077595</v>
      </c>
      <c r="AN4164">
        <v>0.99999999180226495</v>
      </c>
    </row>
    <row r="4165" spans="1:40" x14ac:dyDescent="0.25">
      <c r="A4165" t="str">
        <f>"20190305135318046"</f>
        <v>20190305135318046</v>
      </c>
      <c r="B4165" t="str">
        <f>"1551765198034444"</f>
        <v>1551765198034444</v>
      </c>
      <c r="C4165" t="s">
        <v>40</v>
      </c>
      <c r="D4165">
        <v>4.3835769999999998</v>
      </c>
      <c r="E4165">
        <v>0.49570829999999999</v>
      </c>
      <c r="F4165" t="s">
        <v>81</v>
      </c>
      <c r="G4165">
        <v>-482.7586</v>
      </c>
      <c r="H4165">
        <v>7.9986559999999998E-2</v>
      </c>
      <c r="I4165">
        <v>128.4923</v>
      </c>
      <c r="J4165">
        <v>-288.85950000000003</v>
      </c>
      <c r="K4165">
        <v>1.107985</v>
      </c>
      <c r="L4165">
        <v>141.41759999999999</v>
      </c>
      <c r="M4165">
        <v>-0.99961230000000001</v>
      </c>
      <c r="N4165">
        <v>-7.3036519999999999E-3</v>
      </c>
      <c r="O4165">
        <v>2.6867289999999999E-2</v>
      </c>
      <c r="P4165">
        <v>-0.99826680000000001</v>
      </c>
      <c r="Q4165">
        <v>-2.341437E-2</v>
      </c>
      <c r="R4165">
        <v>-5.3990999999999997E-2</v>
      </c>
      <c r="S4165">
        <v>-2.9940190000000002</v>
      </c>
      <c r="T4165">
        <v>-1.5842200000000001E-2</v>
      </c>
      <c r="U4165">
        <v>-0.19900509999999999</v>
      </c>
      <c r="V4165">
        <v>-8.0800369999999996E-2</v>
      </c>
      <c r="W4165">
        <v>-1.6100529999999998E-2</v>
      </c>
      <c r="X4165">
        <v>0.99660029999999999</v>
      </c>
      <c r="Y4165">
        <v>-9.3102980000000002E-2</v>
      </c>
      <c r="Z4165">
        <v>-5.3245829999999997E-4</v>
      </c>
      <c r="AA4165">
        <v>0.9956564</v>
      </c>
      <c r="AB4165">
        <v>41</v>
      </c>
      <c r="AC4165">
        <v>-193.8991</v>
      </c>
      <c r="AD4165">
        <v>-1.02799844</v>
      </c>
      <c r="AE4165">
        <v>-12.925299999999901</v>
      </c>
      <c r="AF4165">
        <v>-18.129808940946699</v>
      </c>
      <c r="AG4165">
        <v>-1.02799844</v>
      </c>
      <c r="AH4165">
        <v>193.47640919707601</v>
      </c>
      <c r="AI4165">
        <v>90.303099088470702</v>
      </c>
      <c r="AJ4165">
        <v>95.353299133803205</v>
      </c>
      <c r="AK4165">
        <v>194.32670343733599</v>
      </c>
      <c r="AL4165">
        <v>90.922532238280198</v>
      </c>
      <c r="AM4165">
        <v>94.635174436549093</v>
      </c>
      <c r="AN4165">
        <v>1.0000000424092499</v>
      </c>
    </row>
    <row r="4166" spans="1:40" x14ac:dyDescent="0.25">
      <c r="A4166" t="str">
        <f>"20190305135318066"</f>
        <v>20190305135318066</v>
      </c>
      <c r="B4166" t="str">
        <f>"1551765198053963"</f>
        <v>1551765198053963</v>
      </c>
      <c r="C4166" t="s">
        <v>40</v>
      </c>
      <c r="D4166">
        <v>4.3496639999999998</v>
      </c>
      <c r="E4166">
        <v>0.49574509999999999</v>
      </c>
      <c r="F4166" t="s">
        <v>42</v>
      </c>
      <c r="G4166">
        <v>-461.12299999999999</v>
      </c>
      <c r="H4166" s="1">
        <v>-5.093346E-6</v>
      </c>
      <c r="I4166">
        <v>129.97810000000001</v>
      </c>
      <c r="J4166">
        <v>-289.24299999999999</v>
      </c>
      <c r="K4166">
        <v>1.1078939999999999</v>
      </c>
      <c r="L4166">
        <v>141.4282</v>
      </c>
      <c r="M4166">
        <v>-0.99960260000000001</v>
      </c>
      <c r="N4166">
        <v>-7.312219E-3</v>
      </c>
      <c r="O4166">
        <v>2.7228120000000001E-2</v>
      </c>
      <c r="P4166">
        <v>-0.99827100000000002</v>
      </c>
      <c r="Q4166">
        <v>-2.3985449999999998E-2</v>
      </c>
      <c r="R4166">
        <v>-5.3666890000000002E-2</v>
      </c>
      <c r="S4166">
        <v>-2.9939879999999999</v>
      </c>
      <c r="T4166">
        <v>-1.925719E-2</v>
      </c>
      <c r="U4166">
        <v>-0.198822</v>
      </c>
      <c r="V4166">
        <v>-8.0839099999999997E-2</v>
      </c>
      <c r="W4166">
        <v>-1.6647080000000002E-2</v>
      </c>
      <c r="X4166">
        <v>0.99658809999999998</v>
      </c>
      <c r="Y4166">
        <v>-9.340147E-2</v>
      </c>
      <c r="Z4166">
        <v>-6.180205E-4</v>
      </c>
      <c r="AA4166">
        <v>0.99562839999999997</v>
      </c>
      <c r="AB4166">
        <v>41</v>
      </c>
      <c r="AC4166">
        <v>-171.88</v>
      </c>
      <c r="AD4166">
        <v>-1.107899093346</v>
      </c>
      <c r="AE4166">
        <v>-11.4500999999999</v>
      </c>
      <c r="AF4166">
        <v>-16.125281516241799</v>
      </c>
      <c r="AG4166">
        <v>-1.107899093346</v>
      </c>
      <c r="AH4166">
        <v>171.49740452128799</v>
      </c>
      <c r="AI4166">
        <v>90.368508869703106</v>
      </c>
      <c r="AJ4166">
        <v>95.371522541252105</v>
      </c>
      <c r="AK4166">
        <v>172.25740013688099</v>
      </c>
      <c r="AL4166">
        <v>90.953851519829101</v>
      </c>
      <c r="AM4166">
        <v>94.637443046453797</v>
      </c>
      <c r="AN4166">
        <v>0.999999963211472</v>
      </c>
    </row>
    <row r="4167" spans="1:40" x14ac:dyDescent="0.25">
      <c r="A4167" t="str">
        <f>"20190305135318090"</f>
        <v>20190305135318090</v>
      </c>
      <c r="B4167" t="str">
        <f>"1551765198084220"</f>
        <v>1551765198084220</v>
      </c>
      <c r="C4167" t="s">
        <v>40</v>
      </c>
      <c r="D4167">
        <v>4.3431559999999996</v>
      </c>
      <c r="E4167">
        <v>0.4958919</v>
      </c>
      <c r="F4167" t="s">
        <v>42</v>
      </c>
      <c r="G4167">
        <v>-443.23059999999998</v>
      </c>
      <c r="H4167" s="1">
        <v>-3.4986869999999999E-6</v>
      </c>
      <c r="I4167">
        <v>131.2645</v>
      </c>
      <c r="J4167">
        <v>-289.67559999999997</v>
      </c>
      <c r="K4167">
        <v>1.1077969999999999</v>
      </c>
      <c r="L4167">
        <v>141.44040000000001</v>
      </c>
      <c r="M4167">
        <v>-0.99958880000000006</v>
      </c>
      <c r="N4167">
        <v>-7.3219139999999997E-3</v>
      </c>
      <c r="O4167">
        <v>2.772225E-2</v>
      </c>
      <c r="P4167">
        <v>-0.99828110000000003</v>
      </c>
      <c r="Q4167">
        <v>-2.4927580000000001E-2</v>
      </c>
      <c r="R4167">
        <v>-5.3042230000000003E-2</v>
      </c>
      <c r="S4167">
        <v>-2.994049</v>
      </c>
      <c r="T4167">
        <v>-2.1541359999999999E-2</v>
      </c>
      <c r="U4167">
        <v>-0.1976166</v>
      </c>
      <c r="V4167">
        <v>-8.0712389999999995E-2</v>
      </c>
      <c r="W4167">
        <v>-1.7562479999999998E-2</v>
      </c>
      <c r="X4167">
        <v>0.99658270000000004</v>
      </c>
      <c r="Y4167">
        <v>-9.3492450000000005E-2</v>
      </c>
      <c r="Z4167">
        <v>-6.7513939999999998E-4</v>
      </c>
      <c r="AA4167">
        <v>0.99561980000000005</v>
      </c>
      <c r="AB4167">
        <v>42</v>
      </c>
      <c r="AC4167">
        <v>-153.55500000000001</v>
      </c>
      <c r="AD4167">
        <v>-1.10780049868699</v>
      </c>
      <c r="AE4167">
        <v>-10.1759</v>
      </c>
      <c r="AF4167">
        <v>-14.4282455857819</v>
      </c>
      <c r="AG4167">
        <v>-1.10780049868699</v>
      </c>
      <c r="AH4167">
        <v>153.20593474798801</v>
      </c>
      <c r="AI4167">
        <v>90.412461772231296</v>
      </c>
      <c r="AJ4167">
        <v>95.3799910640641</v>
      </c>
      <c r="AK4167">
        <v>153.88781606947799</v>
      </c>
      <c r="AL4167">
        <v>91.006307713049196</v>
      </c>
      <c r="AM4167">
        <v>94.630230767954103</v>
      </c>
      <c r="AN4167">
        <v>1.00000000427127</v>
      </c>
    </row>
    <row r="4168" spans="1:40" x14ac:dyDescent="0.25">
      <c r="A4168" t="str">
        <f>"20190305135318102"</f>
        <v>20190305135318102</v>
      </c>
      <c r="B4168" t="str">
        <f>"1551765198093980"</f>
        <v>1551765198093980</v>
      </c>
      <c r="C4168" t="s">
        <v>40</v>
      </c>
      <c r="D4168">
        <v>4.3679309999999996</v>
      </c>
      <c r="E4168">
        <v>0.49591679999999999</v>
      </c>
      <c r="F4168" t="s">
        <v>78</v>
      </c>
      <c r="G4168">
        <v>-421.16539999999998</v>
      </c>
      <c r="H4168" s="1">
        <v>-7.2351390000000004E-6</v>
      </c>
      <c r="I4168">
        <v>132.89619999999999</v>
      </c>
      <c r="J4168">
        <v>-289.94049999999999</v>
      </c>
      <c r="K4168">
        <v>1.107742</v>
      </c>
      <c r="L4168">
        <v>141.44799999999901</v>
      </c>
      <c r="M4168">
        <v>-0.99957940000000001</v>
      </c>
      <c r="N4168">
        <v>-7.3278969999999999E-3</v>
      </c>
      <c r="O4168">
        <v>2.806088E-2</v>
      </c>
      <c r="P4168">
        <v>-0.99828130000000004</v>
      </c>
      <c r="Q4168">
        <v>-2.5693919999999999E-2</v>
      </c>
      <c r="R4168">
        <v>-5.2675199999999998E-2</v>
      </c>
      <c r="S4168">
        <v>-2.9942319999999998</v>
      </c>
      <c r="T4168">
        <v>-2.5226470000000001E-2</v>
      </c>
      <c r="U4168">
        <v>-0.19456480000000001</v>
      </c>
      <c r="V4168">
        <v>-8.068562E-2</v>
      </c>
      <c r="W4168">
        <v>-1.8313030000000001E-2</v>
      </c>
      <c r="X4168">
        <v>0.9965714</v>
      </c>
      <c r="Y4168">
        <v>-9.2814019999999997E-2</v>
      </c>
      <c r="Z4168">
        <v>-7.6180569999999997E-4</v>
      </c>
      <c r="AA4168">
        <v>0.99568319999999999</v>
      </c>
      <c r="AB4168">
        <v>42</v>
      </c>
      <c r="AC4168">
        <v>-131.22489999999999</v>
      </c>
      <c r="AD4168">
        <v>-1.1077492351389999</v>
      </c>
      <c r="AE4168">
        <v>-8.5517999999999805</v>
      </c>
      <c r="AF4168">
        <v>-12.2299493072072</v>
      </c>
      <c r="AG4168">
        <v>-1.1077492351389999</v>
      </c>
      <c r="AH4168">
        <v>130.923955209339</v>
      </c>
      <c r="AI4168">
        <v>90.482667560288405</v>
      </c>
      <c r="AJ4168">
        <v>95.336662248595005</v>
      </c>
      <c r="AK4168">
        <v>131.49859625137401</v>
      </c>
      <c r="AL4168">
        <v>91.049317937701005</v>
      </c>
      <c r="AM4168">
        <v>94.628753982725598</v>
      </c>
      <c r="AN4168">
        <v>1.00000004582026</v>
      </c>
    </row>
    <row r="4169" spans="1:40" x14ac:dyDescent="0.25">
      <c r="A4169" t="str">
        <f>"20190305135318123"</f>
        <v>20190305135318123</v>
      </c>
      <c r="B4169" t="str">
        <f>"1551765198114475"</f>
        <v>1551765198114475</v>
      </c>
      <c r="C4169" t="s">
        <v>40</v>
      </c>
      <c r="D4169">
        <v>4.3370430000000004</v>
      </c>
      <c r="E4169">
        <v>0.49590960000000001</v>
      </c>
      <c r="F4169" t="s">
        <v>78</v>
      </c>
      <c r="G4169">
        <v>-409.80849999999998</v>
      </c>
      <c r="H4169" s="1">
        <v>-8.0041429999999994E-6</v>
      </c>
      <c r="I4169">
        <v>133.71340000000001</v>
      </c>
      <c r="J4169">
        <v>-290.30939999999998</v>
      </c>
      <c r="K4169">
        <v>1.1076619999999999</v>
      </c>
      <c r="L4169">
        <v>141.45869999999999</v>
      </c>
      <c r="M4169">
        <v>-0.99956460000000003</v>
      </c>
      <c r="N4169">
        <v>-7.3394239999999998E-3</v>
      </c>
      <c r="O4169">
        <v>2.85848E-2</v>
      </c>
      <c r="P4169">
        <v>-0.99828850000000002</v>
      </c>
      <c r="Q4169">
        <v>-2.655341E-2</v>
      </c>
      <c r="R4169">
        <v>-5.210795E-2</v>
      </c>
      <c r="S4169">
        <v>-2.9942630000000001</v>
      </c>
      <c r="T4169">
        <v>-2.767122E-2</v>
      </c>
      <c r="U4169">
        <v>-0.19320680000000001</v>
      </c>
      <c r="V4169">
        <v>-8.064491E-2</v>
      </c>
      <c r="W4169">
        <v>-1.9148160000000001E-2</v>
      </c>
      <c r="X4169">
        <v>0.99655899999999997</v>
      </c>
      <c r="Y4169">
        <v>-9.2884530000000007E-2</v>
      </c>
      <c r="Z4169">
        <v>-8.2433289999999998E-4</v>
      </c>
      <c r="AA4169">
        <v>0.99567649999999996</v>
      </c>
      <c r="AB4169">
        <v>42</v>
      </c>
      <c r="AC4169">
        <v>-119.4991</v>
      </c>
      <c r="AD4169">
        <v>-1.1076700041429901</v>
      </c>
      <c r="AE4169">
        <v>-7.7452999999999799</v>
      </c>
      <c r="AF4169">
        <v>-11.1571295580893</v>
      </c>
      <c r="AG4169">
        <v>-1.1076700041429901</v>
      </c>
      <c r="AH4169">
        <v>119.218662474216</v>
      </c>
      <c r="AI4169">
        <v>90.530008517119001</v>
      </c>
      <c r="AJ4169">
        <v>95.346477773761507</v>
      </c>
      <c r="AK4169">
        <v>119.744719946038</v>
      </c>
      <c r="AL4169">
        <v>91.097175755778807</v>
      </c>
      <c r="AM4169">
        <v>94.626485997438706</v>
      </c>
      <c r="AN4169">
        <v>1.00000004701064</v>
      </c>
    </row>
    <row r="4170" spans="1:40" x14ac:dyDescent="0.25">
      <c r="A4170" t="str">
        <f>"20190305135318144"</f>
        <v>20190305135318144</v>
      </c>
      <c r="B4170" t="str">
        <f>"1551765198133995"</f>
        <v>1551765198133995</v>
      </c>
      <c r="C4170" t="s">
        <v>40</v>
      </c>
      <c r="D4170">
        <v>4.3457910000000002</v>
      </c>
      <c r="E4170">
        <v>0.49598370000000003</v>
      </c>
      <c r="F4170" t="s">
        <v>42</v>
      </c>
      <c r="G4170">
        <v>-398.33449999999999</v>
      </c>
      <c r="H4170" s="1">
        <v>-1.9019749999999999E-6</v>
      </c>
      <c r="I4170">
        <v>134.54560000000001</v>
      </c>
      <c r="J4170">
        <v>-290.7004</v>
      </c>
      <c r="K4170">
        <v>1.1075999999999999</v>
      </c>
      <c r="L4170">
        <v>141.47030000000001</v>
      </c>
      <c r="M4170">
        <v>-0.99954639999999995</v>
      </c>
      <c r="N4170">
        <v>-7.3832380000000003E-3</v>
      </c>
      <c r="O4170">
        <v>2.919503E-2</v>
      </c>
      <c r="P4170">
        <v>-0.99827889999999997</v>
      </c>
      <c r="Q4170">
        <v>-2.7479199999999999E-2</v>
      </c>
      <c r="R4170">
        <v>-5.180937E-2</v>
      </c>
      <c r="S4170">
        <v>-2.9943240000000002</v>
      </c>
      <c r="T4170">
        <v>-3.0703069999999999E-2</v>
      </c>
      <c r="U4170">
        <v>-0.19161990000000001</v>
      </c>
      <c r="V4170">
        <v>-8.0959080000000003E-2</v>
      </c>
      <c r="W4170">
        <v>-2.0017E-2</v>
      </c>
      <c r="X4170">
        <v>0.99651639999999997</v>
      </c>
      <c r="Y4170">
        <v>-9.2964249999999998E-2</v>
      </c>
      <c r="Z4170">
        <v>-9.0345159999999998E-4</v>
      </c>
      <c r="AA4170">
        <v>0.99566909999999997</v>
      </c>
      <c r="AB4170">
        <v>42</v>
      </c>
      <c r="AC4170">
        <v>-107.6341</v>
      </c>
      <c r="AD4170">
        <v>-1.1076019019750001</v>
      </c>
      <c r="AE4170">
        <v>-6.9246999999999996</v>
      </c>
      <c r="AF4170">
        <v>-10.063153489272599</v>
      </c>
      <c r="AG4170">
        <v>-1.1076019019750001</v>
      </c>
      <c r="AH4170">
        <v>107.374721042091</v>
      </c>
      <c r="AI4170">
        <v>90.588423539368307</v>
      </c>
      <c r="AJ4170">
        <v>95.354118301566203</v>
      </c>
      <c r="AK4170">
        <v>107.85093675526799</v>
      </c>
      <c r="AL4170">
        <v>91.146966228327798</v>
      </c>
      <c r="AM4170">
        <v>94.644628470696205</v>
      </c>
      <c r="AN4170">
        <v>0.999999994196203</v>
      </c>
    </row>
    <row r="4171" spans="1:40" x14ac:dyDescent="0.25">
      <c r="A4171" t="str">
        <f>"20190305135318160"</f>
        <v>20190305135318160</v>
      </c>
      <c r="B4171" t="str">
        <f>"1551765198154492"</f>
        <v>1551765198154492</v>
      </c>
      <c r="C4171" t="s">
        <v>40</v>
      </c>
      <c r="D4171">
        <v>4.3344959999999997</v>
      </c>
      <c r="E4171">
        <v>0.4960465</v>
      </c>
      <c r="F4171" t="s">
        <v>42</v>
      </c>
      <c r="G4171">
        <v>-388.51479999999998</v>
      </c>
      <c r="H4171" s="1">
        <v>-1.6505140000000001E-6</v>
      </c>
      <c r="I4171">
        <v>135.26009999999999</v>
      </c>
      <c r="J4171">
        <v>-290.9982</v>
      </c>
      <c r="K4171">
        <v>1.1075710000000001</v>
      </c>
      <c r="L4171">
        <v>141.47929999999999</v>
      </c>
      <c r="M4171">
        <v>-0.99953119999999995</v>
      </c>
      <c r="N4171">
        <v>-7.46738099999999E-3</v>
      </c>
      <c r="O4171">
        <v>2.9694189999999999E-2</v>
      </c>
      <c r="P4171">
        <v>-0.99829639999999997</v>
      </c>
      <c r="Q4171">
        <v>-2.758445E-2</v>
      </c>
      <c r="R4171">
        <v>-5.1414910000000001E-2</v>
      </c>
      <c r="S4171">
        <v>-2.9943849999999999</v>
      </c>
      <c r="T4171">
        <v>-3.3906940000000003E-2</v>
      </c>
      <c r="U4171">
        <v>-0.19010930000000001</v>
      </c>
      <c r="V4171">
        <v>-8.1065010000000007E-2</v>
      </c>
      <c r="W4171">
        <v>-2.002872E-2</v>
      </c>
      <c r="X4171">
        <v>0.99650760000000005</v>
      </c>
      <c r="Y4171">
        <v>-9.2958349999999995E-2</v>
      </c>
      <c r="Z4171">
        <v>-9.8765900000000011E-4</v>
      </c>
      <c r="AA4171">
        <v>0.99566949999999999</v>
      </c>
      <c r="AB4171">
        <v>42</v>
      </c>
      <c r="AC4171">
        <v>-97.516599999999897</v>
      </c>
      <c r="AD4171">
        <v>-1.10757265051399</v>
      </c>
      <c r="AE4171">
        <v>-6.2191999999999998</v>
      </c>
      <c r="AF4171">
        <v>-9.1110438143612793</v>
      </c>
      <c r="AG4171">
        <v>-1.10757265051399</v>
      </c>
      <c r="AH4171">
        <v>97.276418741611394</v>
      </c>
      <c r="AI4171">
        <v>90.649489406423697</v>
      </c>
      <c r="AJ4171">
        <v>95.350791800562206</v>
      </c>
      <c r="AK4171">
        <v>97.708441189882393</v>
      </c>
      <c r="AL4171">
        <v>91.147637815606799</v>
      </c>
      <c r="AM4171">
        <v>94.6507199312138</v>
      </c>
      <c r="AN4171">
        <v>1.0000000411644401</v>
      </c>
    </row>
    <row r="4172" spans="1:40" x14ac:dyDescent="0.25">
      <c r="A4172" t="str">
        <f>"20190305135318178"</f>
        <v>20190305135318178</v>
      </c>
      <c r="B4172" t="str">
        <f>"1551765198174012"</f>
        <v>1551765198174012</v>
      </c>
      <c r="C4172" t="s">
        <v>40</v>
      </c>
      <c r="D4172">
        <v>4.3418760000000001</v>
      </c>
      <c r="E4172">
        <v>0.49607240000000002</v>
      </c>
      <c r="F4172" t="s">
        <v>42</v>
      </c>
      <c r="G4172">
        <v>-388.72129999999999</v>
      </c>
      <c r="H4172" s="1">
        <v>-1.5618250000000001E-6</v>
      </c>
      <c r="I4172">
        <v>135.32939999999999</v>
      </c>
      <c r="J4172">
        <v>-291.34269999999998</v>
      </c>
      <c r="K4172">
        <v>1.107553</v>
      </c>
      <c r="L4172">
        <v>141.49</v>
      </c>
      <c r="M4172">
        <v>-0.99951210000000001</v>
      </c>
      <c r="N4172">
        <v>-7.6280690000000003E-3</v>
      </c>
      <c r="O4172">
        <v>3.029447E-2</v>
      </c>
      <c r="P4172">
        <v>-0.998336</v>
      </c>
      <c r="Q4172">
        <v>-2.6709130000000001E-2</v>
      </c>
      <c r="R4172">
        <v>-5.1108309999999997E-2</v>
      </c>
      <c r="S4172">
        <v>-2.9944760000000001</v>
      </c>
      <c r="T4172">
        <v>-3.393877E-2</v>
      </c>
      <c r="U4172">
        <v>-0.188446</v>
      </c>
      <c r="V4172">
        <v>-8.135937E-2</v>
      </c>
      <c r="W4172">
        <v>-1.8982269999999999E-2</v>
      </c>
      <c r="X4172">
        <v>0.9965041</v>
      </c>
      <c r="Y4172">
        <v>-9.3003500000000003E-2</v>
      </c>
      <c r="Z4172">
        <v>-9.9380749999999993E-4</v>
      </c>
      <c r="AA4172">
        <v>0.99566529999999998</v>
      </c>
      <c r="AB4172">
        <v>42</v>
      </c>
      <c r="AC4172">
        <v>-97.378600000000006</v>
      </c>
      <c r="AD4172">
        <v>-1.107554561825</v>
      </c>
      <c r="AE4172">
        <v>-6.1606000000000103</v>
      </c>
      <c r="AF4172">
        <v>-9.1067172161167491</v>
      </c>
      <c r="AG4172">
        <v>-1.107554561825</v>
      </c>
      <c r="AH4172">
        <v>97.134749455197607</v>
      </c>
      <c r="AI4172">
        <v>90.650420410056597</v>
      </c>
      <c r="AJ4172">
        <v>95.356020605002399</v>
      </c>
      <c r="AK4172">
        <v>97.566995071518605</v>
      </c>
      <c r="AL4172">
        <v>91.087669230946901</v>
      </c>
      <c r="AM4172">
        <v>94.667549278217294</v>
      </c>
      <c r="AN4172">
        <v>1.0000000474889701</v>
      </c>
    </row>
    <row r="4173" spans="1:40" x14ac:dyDescent="0.25">
      <c r="A4173" t="str">
        <f>"20190305135318201"</f>
        <v>20190305135318201</v>
      </c>
      <c r="B4173" t="str">
        <f>"1551765198194508"</f>
        <v>1551765198194508</v>
      </c>
      <c r="C4173" t="s">
        <v>40</v>
      </c>
      <c r="D4173">
        <v>4.439317</v>
      </c>
      <c r="E4173">
        <v>0.49596380000000001</v>
      </c>
      <c r="F4173" t="s">
        <v>42</v>
      </c>
      <c r="G4173">
        <v>-397.75729999999999</v>
      </c>
      <c r="H4173" s="1">
        <v>-2.0215419999999999E-6</v>
      </c>
      <c r="I4173">
        <v>134.83449999999999</v>
      </c>
      <c r="J4173">
        <v>-291.77140000000003</v>
      </c>
      <c r="K4173">
        <v>1.107561</v>
      </c>
      <c r="L4173">
        <v>141.5035</v>
      </c>
      <c r="M4173">
        <v>-0.99948590000000004</v>
      </c>
      <c r="N4173">
        <v>-7.934422E-3</v>
      </c>
      <c r="O4173">
        <v>3.1069409999999999E-2</v>
      </c>
      <c r="P4173">
        <v>-0.99836599999999998</v>
      </c>
      <c r="Q4173">
        <v>-2.6434969999999999E-2</v>
      </c>
      <c r="R4173">
        <v>-5.0664529999999999E-2</v>
      </c>
      <c r="S4173">
        <v>-2.9945680000000001</v>
      </c>
      <c r="T4173">
        <v>-3.116727E-2</v>
      </c>
      <c r="U4173">
        <v>-0.18728639999999999</v>
      </c>
      <c r="V4173">
        <v>-8.1691E-2</v>
      </c>
      <c r="W4173">
        <v>-1.8390070000000001E-2</v>
      </c>
      <c r="X4173">
        <v>0.99648800000000004</v>
      </c>
      <c r="Y4173">
        <v>-9.3390749999999995E-2</v>
      </c>
      <c r="Z4173">
        <v>-9.3323509999999996E-4</v>
      </c>
      <c r="AA4173">
        <v>0.99562910000000004</v>
      </c>
      <c r="AB4173">
        <v>42</v>
      </c>
      <c r="AC4173">
        <v>-105.98589999999901</v>
      </c>
      <c r="AD4173">
        <v>-1.107563021542</v>
      </c>
      <c r="AE4173">
        <v>-6.6690000000000103</v>
      </c>
      <c r="AF4173">
        <v>-9.9577195608938194</v>
      </c>
      <c r="AG4173">
        <v>-1.107563021542</v>
      </c>
      <c r="AH4173">
        <v>105.71602238782199</v>
      </c>
      <c r="AI4173">
        <v>90.597608008438797</v>
      </c>
      <c r="AJ4173">
        <v>95.380990409119804</v>
      </c>
      <c r="AK4173">
        <v>106.189737094516</v>
      </c>
      <c r="AL4173">
        <v>91.053732823354693</v>
      </c>
      <c r="AM4173">
        <v>94.686565544486498</v>
      </c>
      <c r="AN4173">
        <v>0.99999997414980202</v>
      </c>
    </row>
    <row r="4174" spans="1:40" x14ac:dyDescent="0.25">
      <c r="A4174" t="str">
        <f>"20190305135318223"</f>
        <v>20190305135318223</v>
      </c>
      <c r="B4174" t="str">
        <f>"1551765198214027"</f>
        <v>1551765198214027</v>
      </c>
      <c r="C4174" t="s">
        <v>40</v>
      </c>
      <c r="D4174">
        <v>4.3578029999999996</v>
      </c>
      <c r="E4174">
        <v>0.49601899999999999</v>
      </c>
      <c r="F4174" t="s">
        <v>42</v>
      </c>
      <c r="G4174">
        <v>-394.00819999999999</v>
      </c>
      <c r="H4174" s="1">
        <v>-3.348683E-6</v>
      </c>
      <c r="I4174">
        <v>135.1292</v>
      </c>
      <c r="J4174">
        <v>-292.19159999999999</v>
      </c>
      <c r="K4174">
        <v>1.1075980000000001</v>
      </c>
      <c r="L4174">
        <v>141.5172</v>
      </c>
      <c r="M4174">
        <v>-0.99945779999999995</v>
      </c>
      <c r="N4174">
        <v>-8.3604590000000006E-3</v>
      </c>
      <c r="O4174">
        <v>3.1846079999999999E-2</v>
      </c>
      <c r="P4174">
        <v>-0.99840300000000004</v>
      </c>
      <c r="Q4174">
        <v>-2.678169E-2</v>
      </c>
      <c r="R4174">
        <v>-4.974576E-2</v>
      </c>
      <c r="S4174">
        <v>-2.9945680000000001</v>
      </c>
      <c r="T4174">
        <v>-3.244114E-2</v>
      </c>
      <c r="U4174">
        <v>-0.1867065</v>
      </c>
      <c r="V4174">
        <v>-8.1550960000000006E-2</v>
      </c>
      <c r="W4174">
        <v>-1.8301370000000001E-2</v>
      </c>
      <c r="X4174">
        <v>0.99650110000000003</v>
      </c>
      <c r="Y4174">
        <v>-9.3971650000000004E-2</v>
      </c>
      <c r="Z4174">
        <v>-9.8047160000000011E-4</v>
      </c>
      <c r="AA4174">
        <v>0.99557439999999997</v>
      </c>
      <c r="AB4174">
        <v>42</v>
      </c>
      <c r="AC4174">
        <v>-101.81659999999999</v>
      </c>
      <c r="AD4174">
        <v>-1.1076013486830001</v>
      </c>
      <c r="AE4174">
        <v>-6.3879999999999999</v>
      </c>
      <c r="AF4174">
        <v>-9.6261979633176207</v>
      </c>
      <c r="AG4174">
        <v>-1.1076013486830001</v>
      </c>
      <c r="AH4174">
        <v>101.549543399219</v>
      </c>
      <c r="AI4174">
        <v>90.622111962920201</v>
      </c>
      <c r="AJ4174">
        <v>95.415064888352902</v>
      </c>
      <c r="AK4174">
        <v>102.010784883591</v>
      </c>
      <c r="AL4174">
        <v>91.048649835681303</v>
      </c>
      <c r="AM4174">
        <v>94.678505994510004</v>
      </c>
      <c r="AN4174">
        <v>0.999999970761003</v>
      </c>
    </row>
    <row r="4175" spans="1:40" x14ac:dyDescent="0.25">
      <c r="A4175" t="str">
        <f>"20190305135318246"</f>
        <v>20190305135318246</v>
      </c>
      <c r="B4175" t="str">
        <f>"1551765198233547"</f>
        <v>1551765198233547</v>
      </c>
      <c r="C4175" t="s">
        <v>40</v>
      </c>
      <c r="D4175">
        <v>4.3386719999999999</v>
      </c>
      <c r="E4175">
        <v>0.49602370000000001</v>
      </c>
      <c r="F4175" t="s">
        <v>42</v>
      </c>
      <c r="G4175">
        <v>-393.26119999999997</v>
      </c>
      <c r="H4175" s="1">
        <v>-3.63485E-6</v>
      </c>
      <c r="I4175">
        <v>135.32259999999999</v>
      </c>
      <c r="J4175">
        <v>-292.6035</v>
      </c>
      <c r="K4175">
        <v>1.1076629999999901</v>
      </c>
      <c r="L4175">
        <v>141.5309</v>
      </c>
      <c r="M4175">
        <v>-0.99942869999999995</v>
      </c>
      <c r="N4175">
        <v>-8.8953409999999993E-3</v>
      </c>
      <c r="O4175">
        <v>3.2606959999999997E-2</v>
      </c>
      <c r="P4175">
        <v>-0.99841069999999998</v>
      </c>
      <c r="Q4175">
        <v>-2.7799730000000002E-2</v>
      </c>
      <c r="R4175">
        <v>-4.9022339999999998E-2</v>
      </c>
      <c r="S4175">
        <v>-2.9947509999999999</v>
      </c>
      <c r="T4175">
        <v>-3.281891E-2</v>
      </c>
      <c r="U4175">
        <v>-0.18354799999999999</v>
      </c>
      <c r="V4175">
        <v>-8.1589209999999995E-2</v>
      </c>
      <c r="W4175">
        <v>-1.877759E-2</v>
      </c>
      <c r="X4175">
        <v>0.99648919999999996</v>
      </c>
      <c r="Y4175">
        <v>-9.3679520000000002E-2</v>
      </c>
      <c r="Z4175">
        <v>-9.9716980000000006E-4</v>
      </c>
      <c r="AA4175">
        <v>0.99560190000000004</v>
      </c>
      <c r="AB4175">
        <v>42</v>
      </c>
      <c r="AC4175">
        <v>-100.657699999999</v>
      </c>
      <c r="AD4175">
        <v>-1.1076666348499999</v>
      </c>
      <c r="AE4175">
        <v>-6.2083000000000004</v>
      </c>
      <c r="AF4175">
        <v>-9.4861254703042892</v>
      </c>
      <c r="AG4175">
        <v>-1.1076666348499999</v>
      </c>
      <c r="AH4175">
        <v>100.38961886049</v>
      </c>
      <c r="AI4175">
        <v>90.629354212365499</v>
      </c>
      <c r="AJ4175">
        <v>95.398027201414706</v>
      </c>
      <c r="AK4175">
        <v>100.842893040446</v>
      </c>
      <c r="AL4175">
        <v>91.075939825701099</v>
      </c>
      <c r="AM4175">
        <v>94.680746263135504</v>
      </c>
      <c r="AN4175">
        <v>1.0000000613956299</v>
      </c>
    </row>
    <row r="4176" spans="1:40" x14ac:dyDescent="0.25">
      <c r="A4176" t="str">
        <f>"20190305135318267"</f>
        <v>20190305135318267</v>
      </c>
      <c r="B4176" t="str">
        <f>"1551765198263804"</f>
        <v>1551765198263804</v>
      </c>
      <c r="C4176" t="s">
        <v>40</v>
      </c>
      <c r="D4176">
        <v>4.3202410000000002</v>
      </c>
      <c r="E4176">
        <v>0.496033</v>
      </c>
      <c r="F4176" t="s">
        <v>42</v>
      </c>
      <c r="G4176">
        <v>-384.99470000000002</v>
      </c>
      <c r="H4176" s="1">
        <v>-2.7822429999999999E-6</v>
      </c>
      <c r="I4176">
        <v>135.9367</v>
      </c>
      <c r="J4176">
        <v>-293.01089999999999</v>
      </c>
      <c r="K4176">
        <v>1.1077330000000001</v>
      </c>
      <c r="L4176">
        <v>141.54480000000001</v>
      </c>
      <c r="M4176">
        <v>-0.99939840000000002</v>
      </c>
      <c r="N4176">
        <v>-9.4565829999999993E-3</v>
      </c>
      <c r="O4176">
        <v>3.3370200000000003E-2</v>
      </c>
      <c r="P4176">
        <v>-0.99841579999999996</v>
      </c>
      <c r="Q4176">
        <v>-2.8715910000000001E-2</v>
      </c>
      <c r="R4176">
        <v>-4.8389149999999999E-2</v>
      </c>
      <c r="S4176">
        <v>-2.9948730000000001</v>
      </c>
      <c r="T4176">
        <v>-3.5905119999999999E-2</v>
      </c>
      <c r="U4176">
        <v>-0.18133540000000001</v>
      </c>
      <c r="V4176">
        <v>-8.1719810000000004E-2</v>
      </c>
      <c r="W4176">
        <v>-1.9128320000000001E-2</v>
      </c>
      <c r="X4176">
        <v>0.99647180000000002</v>
      </c>
      <c r="Y4176">
        <v>-9.3702850000000004E-2</v>
      </c>
      <c r="Z4176">
        <v>-1.0891469999999999E-3</v>
      </c>
      <c r="AA4176">
        <v>0.99559960000000003</v>
      </c>
      <c r="AB4176">
        <v>42</v>
      </c>
      <c r="AC4176">
        <v>-91.983800000000002</v>
      </c>
      <c r="AD4176">
        <v>-1.1077357822430001</v>
      </c>
      <c r="AE4176">
        <v>-5.6081000000000003</v>
      </c>
      <c r="AF4176">
        <v>-8.6733779432395508</v>
      </c>
      <c r="AG4176">
        <v>-1.1077357822430001</v>
      </c>
      <c r="AH4176">
        <v>91.732159779311701</v>
      </c>
      <c r="AI4176">
        <v>90.688784911458001</v>
      </c>
      <c r="AJ4176">
        <v>95.401322218782695</v>
      </c>
      <c r="AK4176">
        <v>92.147944639512701</v>
      </c>
      <c r="AL4176">
        <v>91.096038813499902</v>
      </c>
      <c r="AM4176">
        <v>94.6882868695361</v>
      </c>
      <c r="AN4176">
        <v>1.00000003408384</v>
      </c>
    </row>
    <row r="4177" spans="1:40" x14ac:dyDescent="0.25">
      <c r="A4177" t="str">
        <f>"20190305135318291"</f>
        <v>20190305135318291</v>
      </c>
      <c r="B4177" t="str">
        <f>"1551765198284300"</f>
        <v>1551765198284300</v>
      </c>
      <c r="C4177" t="s">
        <v>40</v>
      </c>
      <c r="D4177">
        <v>4.4389629999999904</v>
      </c>
      <c r="E4177">
        <v>0.4958959</v>
      </c>
      <c r="F4177" t="s">
        <v>42</v>
      </c>
      <c r="G4177">
        <v>-380.40359999999998</v>
      </c>
      <c r="H4177" s="1">
        <v>-4.686005E-6</v>
      </c>
      <c r="I4177">
        <v>136.30770000000001</v>
      </c>
      <c r="J4177">
        <v>-293.45170000000002</v>
      </c>
      <c r="K4177">
        <v>1.1077900000000001</v>
      </c>
      <c r="L4177">
        <v>141.56030000000001</v>
      </c>
      <c r="M4177">
        <v>-0.99936460000000005</v>
      </c>
      <c r="N4177">
        <v>-1.0027080000000001E-2</v>
      </c>
      <c r="O4177">
        <v>3.4208139999999998E-2</v>
      </c>
      <c r="P4177">
        <v>-0.99843570000000004</v>
      </c>
      <c r="Q4177">
        <v>-2.909846E-2</v>
      </c>
      <c r="R4177">
        <v>-4.7746139999999999E-2</v>
      </c>
      <c r="S4177">
        <v>-2.9949650000000001</v>
      </c>
      <c r="T4177">
        <v>-3.796244E-2</v>
      </c>
      <c r="U4177">
        <v>-0.17947389999999999</v>
      </c>
      <c r="V4177">
        <v>-8.1913959999999994E-2</v>
      </c>
      <c r="W4177">
        <v>-1.8937329999999999E-2</v>
      </c>
      <c r="X4177">
        <v>0.99645950000000005</v>
      </c>
      <c r="Y4177">
        <v>-9.3917899999999999E-2</v>
      </c>
      <c r="Z4177">
        <v>-1.156572E-3</v>
      </c>
      <c r="AA4177">
        <v>0.99557929999999994</v>
      </c>
      <c r="AB4177">
        <v>42</v>
      </c>
      <c r="AC4177">
        <v>-86.951899999999895</v>
      </c>
      <c r="AD4177">
        <v>-1.1077946860050001</v>
      </c>
      <c r="AE4177">
        <v>-5.2526000000000002</v>
      </c>
      <c r="AF4177">
        <v>-8.2228074660628003</v>
      </c>
      <c r="AG4177">
        <v>-1.1077946860050001</v>
      </c>
      <c r="AH4177">
        <v>86.707291128820202</v>
      </c>
      <c r="AI4177">
        <v>90.728716642373996</v>
      </c>
      <c r="AJ4177">
        <v>95.417391704621593</v>
      </c>
      <c r="AK4177">
        <v>87.103364496374397</v>
      </c>
      <c r="AL4177">
        <v>91.085093917803604</v>
      </c>
      <c r="AM4177">
        <v>94.699433225819206</v>
      </c>
      <c r="AN4177">
        <v>1.00000002722533</v>
      </c>
    </row>
    <row r="4178" spans="1:40" x14ac:dyDescent="0.25">
      <c r="A4178" t="str">
        <f>"20190305135318313"</f>
        <v>20190305135318313</v>
      </c>
      <c r="B4178" t="str">
        <f>"1551765198303822"</f>
        <v>1551765198303822</v>
      </c>
      <c r="C4178" t="s">
        <v>40</v>
      </c>
      <c r="D4178">
        <v>4.4295689999999999</v>
      </c>
      <c r="E4178">
        <v>0.49577909999999997</v>
      </c>
      <c r="F4178" t="s">
        <v>42</v>
      </c>
      <c r="G4178">
        <v>-374.8374</v>
      </c>
      <c r="H4178" s="1">
        <v>-2.7126250000000001E-6</v>
      </c>
      <c r="I4178">
        <v>136.7097</v>
      </c>
      <c r="J4178">
        <v>-293.86680000000001</v>
      </c>
      <c r="K4178">
        <v>1.1078269999999999</v>
      </c>
      <c r="L4178">
        <v>141.57509999999999</v>
      </c>
      <c r="M4178">
        <v>-0.999332</v>
      </c>
      <c r="N4178">
        <v>-1.0521549999999999E-2</v>
      </c>
      <c r="O4178">
        <v>3.5000959999999998E-2</v>
      </c>
      <c r="P4178">
        <v>-0.99848099999999995</v>
      </c>
      <c r="Q4178">
        <v>-2.9299519999999999E-2</v>
      </c>
      <c r="R4178">
        <v>-4.6663690000000001E-2</v>
      </c>
      <c r="S4178">
        <v>-2.9949650000000001</v>
      </c>
      <c r="T4178">
        <v>-4.0766360000000001E-2</v>
      </c>
      <c r="U4178">
        <v>-0.1784973</v>
      </c>
      <c r="V4178">
        <v>-8.1624569999999994E-2</v>
      </c>
      <c r="W4178">
        <v>-1.8642389999999998E-2</v>
      </c>
      <c r="X4178">
        <v>0.99648879999999995</v>
      </c>
      <c r="Y4178">
        <v>-9.4382380000000002E-2</v>
      </c>
      <c r="Z4178">
        <v>-1.246891E-3</v>
      </c>
      <c r="AA4178">
        <v>0.99553530000000001</v>
      </c>
      <c r="AB4178">
        <v>42</v>
      </c>
      <c r="AC4178">
        <v>-80.970599999999905</v>
      </c>
      <c r="AD4178">
        <v>-1.1078297126250001</v>
      </c>
      <c r="AE4178">
        <v>-4.8653999999999904</v>
      </c>
      <c r="AF4178">
        <v>-7.6951885344251298</v>
      </c>
      <c r="AG4178">
        <v>-1.1078297126250001</v>
      </c>
      <c r="AH4178">
        <v>80.735620194348499</v>
      </c>
      <c r="AI4178">
        <v>90.782599644766094</v>
      </c>
      <c r="AJ4178">
        <v>95.444609319934202</v>
      </c>
      <c r="AK4178">
        <v>81.109084456789503</v>
      </c>
      <c r="AL4178">
        <v>91.068192126034404</v>
      </c>
      <c r="AM4178">
        <v>94.682767706461306</v>
      </c>
      <c r="AN4178">
        <v>1.0000000188290099</v>
      </c>
    </row>
    <row r="4179" spans="1:40" x14ac:dyDescent="0.25">
      <c r="A4179" t="str">
        <f>"20190305135318335"</f>
        <v>20190305135318335</v>
      </c>
      <c r="B4179" t="str">
        <f>"1551765198324316"</f>
        <v>1551765198324316</v>
      </c>
      <c r="C4179" t="s">
        <v>40</v>
      </c>
      <c r="D4179">
        <v>4.3254849999999996</v>
      </c>
      <c r="E4179">
        <v>0.49579069999999997</v>
      </c>
      <c r="F4179" t="s">
        <v>42</v>
      </c>
      <c r="G4179">
        <v>-371.25380000000001</v>
      </c>
      <c r="H4179" s="1">
        <v>-4.1941280000000001E-6</v>
      </c>
      <c r="I4179">
        <v>137.02449999999999</v>
      </c>
      <c r="J4179">
        <v>-294.26639999999998</v>
      </c>
      <c r="K4179">
        <v>1.1078589999999999</v>
      </c>
      <c r="L4179">
        <v>141.5898</v>
      </c>
      <c r="M4179">
        <v>-0.99930039999999998</v>
      </c>
      <c r="N4179">
        <v>-1.0959740000000001E-2</v>
      </c>
      <c r="O4179">
        <v>3.5762059999999998E-2</v>
      </c>
      <c r="P4179">
        <v>-0.99849900000000003</v>
      </c>
      <c r="Q4179">
        <v>-2.968577E-2</v>
      </c>
      <c r="R4179">
        <v>-4.6029960000000002E-2</v>
      </c>
      <c r="S4179">
        <v>-2.9950559999999999</v>
      </c>
      <c r="T4179">
        <v>-4.2875650000000001E-2</v>
      </c>
      <c r="U4179">
        <v>-0.17611689999999999</v>
      </c>
      <c r="V4179">
        <v>-8.1751519999999994E-2</v>
      </c>
      <c r="W4179">
        <v>-1.8589089999999999E-2</v>
      </c>
      <c r="X4179">
        <v>0.99647940000000002</v>
      </c>
      <c r="Y4179">
        <v>-9.4348909999999994E-2</v>
      </c>
      <c r="Z4179">
        <v>-1.3121999999999999E-3</v>
      </c>
      <c r="AA4179">
        <v>0.99553840000000005</v>
      </c>
      <c r="AB4179">
        <v>42</v>
      </c>
      <c r="AC4179">
        <v>-76.987399999999994</v>
      </c>
      <c r="AD4179">
        <v>-1.1078631941279999</v>
      </c>
      <c r="AE4179">
        <v>-4.5652999999999997</v>
      </c>
      <c r="AF4179">
        <v>-7.3142629973530804</v>
      </c>
      <c r="AG4179">
        <v>-1.1078631941279999</v>
      </c>
      <c r="AH4179">
        <v>76.759034110243405</v>
      </c>
      <c r="AI4179">
        <v>90.823164439560998</v>
      </c>
      <c r="AJ4179">
        <v>95.443201269305604</v>
      </c>
      <c r="AK4179">
        <v>77.114688105372394</v>
      </c>
      <c r="AL4179">
        <v>91.065137719899894</v>
      </c>
      <c r="AM4179">
        <v>94.690062355244194</v>
      </c>
      <c r="AN4179">
        <v>1.0000000299568399</v>
      </c>
    </row>
    <row r="4180" spans="1:40" x14ac:dyDescent="0.25">
      <c r="A4180" t="str">
        <f>"20190305135318356"</f>
        <v>20190305135318356</v>
      </c>
      <c r="B4180" t="str">
        <f>"1551765198353596"</f>
        <v>1551765198353596</v>
      </c>
      <c r="C4180" t="s">
        <v>40</v>
      </c>
      <c r="D4180">
        <v>4.3024329999999997</v>
      </c>
      <c r="E4180">
        <v>0.49579240000000002</v>
      </c>
      <c r="F4180" t="s">
        <v>42</v>
      </c>
      <c r="G4180">
        <v>-370.35160000000002</v>
      </c>
      <c r="H4180" s="1">
        <v>-4.5560059999999998E-6</v>
      </c>
      <c r="I4180">
        <v>137.1662</v>
      </c>
      <c r="J4180">
        <v>-294.67619999999999</v>
      </c>
      <c r="K4180">
        <v>1.1078779999999999</v>
      </c>
      <c r="L4180">
        <v>141.60509999999999</v>
      </c>
      <c r="M4180">
        <v>-0.99926769999999998</v>
      </c>
      <c r="N4180">
        <v>-1.137E-2</v>
      </c>
      <c r="O4180">
        <v>3.653932E-2</v>
      </c>
      <c r="P4180">
        <v>-0.99851230000000002</v>
      </c>
      <c r="Q4180">
        <v>-3.0180599999999998E-2</v>
      </c>
      <c r="R4180">
        <v>-4.5411510000000002E-2</v>
      </c>
      <c r="S4180">
        <v>-2.9951780000000001</v>
      </c>
      <c r="T4180">
        <v>-4.3612239999999997E-2</v>
      </c>
      <c r="U4180">
        <v>-0.17413329999999999</v>
      </c>
      <c r="V4180">
        <v>-8.1909620000000002E-2</v>
      </c>
      <c r="W4180">
        <v>-1.8672910000000001E-2</v>
      </c>
      <c r="X4180">
        <v>0.99646480000000004</v>
      </c>
      <c r="Y4180">
        <v>-9.4463210000000006E-2</v>
      </c>
      <c r="Z4180">
        <v>-1.3412070000000001E-3</v>
      </c>
      <c r="AA4180">
        <v>0.99552739999999995</v>
      </c>
      <c r="AB4180">
        <v>42</v>
      </c>
      <c r="AC4180">
        <v>-75.675399999999996</v>
      </c>
      <c r="AD4180">
        <v>-1.1078825560059999</v>
      </c>
      <c r="AE4180">
        <v>-4.4388999999999896</v>
      </c>
      <c r="AF4180">
        <v>-7.1997035320851701</v>
      </c>
      <c r="AG4180">
        <v>-1.1078825560059999</v>
      </c>
      <c r="AH4180">
        <v>75.446538994003006</v>
      </c>
      <c r="AI4180">
        <v>90.8374860968989</v>
      </c>
      <c r="AJ4180">
        <v>95.451108158702596</v>
      </c>
      <c r="AK4180">
        <v>75.797383733750493</v>
      </c>
      <c r="AL4180">
        <v>91.069941138619001</v>
      </c>
      <c r="AM4180">
        <v>94.699160471454206</v>
      </c>
      <c r="AN4180">
        <v>0.99999998052772598</v>
      </c>
    </row>
    <row r="4181" spans="1:40" x14ac:dyDescent="0.25">
      <c r="A4181" t="str">
        <f>"20190305135318379"</f>
        <v>20190305135318379</v>
      </c>
      <c r="B4181" t="str">
        <f>"1551765198374092"</f>
        <v>1551765198374092</v>
      </c>
      <c r="C4181" t="s">
        <v>40</v>
      </c>
      <c r="D4181">
        <v>4.4344279999999996</v>
      </c>
      <c r="E4181">
        <v>0.49577579999999999</v>
      </c>
      <c r="F4181" t="s">
        <v>42</v>
      </c>
      <c r="G4181">
        <v>-369.74540000000002</v>
      </c>
      <c r="H4181" s="1">
        <v>-6.9231459999999899E-7</v>
      </c>
      <c r="I4181">
        <v>137.28749999999999</v>
      </c>
      <c r="J4181">
        <v>-295.10300000000001</v>
      </c>
      <c r="K4181">
        <v>1.1079030000000001</v>
      </c>
      <c r="L4181">
        <v>141.6215</v>
      </c>
      <c r="M4181">
        <v>-0.99923329999999999</v>
      </c>
      <c r="N4181">
        <v>-1.1754509999999999E-2</v>
      </c>
      <c r="O4181">
        <v>3.7347279999999997E-2</v>
      </c>
      <c r="P4181">
        <v>-0.99849209999999999</v>
      </c>
      <c r="Q4181">
        <v>-3.0892840000000001E-2</v>
      </c>
      <c r="R4181">
        <v>-4.5382649999999997E-2</v>
      </c>
      <c r="S4181">
        <v>-2.9952999999999999</v>
      </c>
      <c r="T4181">
        <v>-4.420495E-2</v>
      </c>
      <c r="U4181">
        <v>-0.1722717</v>
      </c>
      <c r="V4181">
        <v>-8.268644E-2</v>
      </c>
      <c r="W4181">
        <v>-1.8999849999999999E-2</v>
      </c>
      <c r="X4181">
        <v>0.99639449999999996</v>
      </c>
      <c r="Y4181">
        <v>-9.4648659999999996E-2</v>
      </c>
      <c r="Z4181">
        <v>-1.3667460000000001E-3</v>
      </c>
      <c r="AA4181">
        <v>0.9955098</v>
      </c>
      <c r="AB4181">
        <v>42</v>
      </c>
      <c r="AC4181">
        <v>-74.642399999999995</v>
      </c>
      <c r="AD4181">
        <v>-1.1079036923146</v>
      </c>
      <c r="AE4181">
        <v>-4.3339999999999996</v>
      </c>
      <c r="AF4181">
        <v>-7.1172961896584201</v>
      </c>
      <c r="AG4181">
        <v>-1.1079036923146</v>
      </c>
      <c r="AH4181">
        <v>74.412105438696102</v>
      </c>
      <c r="AI4181">
        <v>90.849125229143795</v>
      </c>
      <c r="AJ4181">
        <v>95.463550232983096</v>
      </c>
      <c r="AK4181">
        <v>74.759914335574194</v>
      </c>
      <c r="AL4181">
        <v>91.088676701619207</v>
      </c>
      <c r="AM4181">
        <v>94.743857420193507</v>
      </c>
      <c r="AN4181">
        <v>1.0000000206450701</v>
      </c>
    </row>
    <row r="4182" spans="1:40" x14ac:dyDescent="0.25">
      <c r="A4182" t="str">
        <f>"20190305135318402"</f>
        <v>20190305135318402</v>
      </c>
      <c r="B4182" t="str">
        <f>"1551765198393615"</f>
        <v>1551765198393615</v>
      </c>
      <c r="C4182" t="s">
        <v>40</v>
      </c>
      <c r="D4182">
        <v>4.2956050000000001</v>
      </c>
      <c r="E4182">
        <v>0.46572859999999999</v>
      </c>
      <c r="F4182" t="s">
        <v>42</v>
      </c>
      <c r="G4182">
        <v>-366.47949999999997</v>
      </c>
      <c r="H4182" s="1">
        <v>-1.865247E-6</v>
      </c>
      <c r="I4182">
        <v>137.5155</v>
      </c>
      <c r="J4182">
        <v>-295.53530000000001</v>
      </c>
      <c r="K4182">
        <v>1.1079139999999901</v>
      </c>
      <c r="L4182">
        <v>141.63839999999999</v>
      </c>
      <c r="M4182">
        <v>-0.99919809999999998</v>
      </c>
      <c r="N4182">
        <v>-1.210086E-2</v>
      </c>
      <c r="O4182">
        <v>3.8166640000000002E-2</v>
      </c>
      <c r="P4182">
        <v>-0.99850070000000002</v>
      </c>
      <c r="Q4182">
        <v>-3.1334229999999998E-2</v>
      </c>
      <c r="R4182">
        <v>-4.4882140000000001E-2</v>
      </c>
      <c r="S4182">
        <v>-2.9952999999999999</v>
      </c>
      <c r="T4182">
        <v>-4.6493050000000001E-2</v>
      </c>
      <c r="U4182">
        <v>-0.17230219999999999</v>
      </c>
      <c r="V4182">
        <v>-8.3004590000000003E-2</v>
      </c>
      <c r="W4182">
        <v>-1.9095270000000001E-2</v>
      </c>
      <c r="X4182">
        <v>0.99636619999999998</v>
      </c>
      <c r="Y4182">
        <v>-9.5473189999999999E-2</v>
      </c>
      <c r="Z4182">
        <v>-1.4490410000000001E-3</v>
      </c>
      <c r="AA4182">
        <v>0.99543090000000001</v>
      </c>
      <c r="AB4182">
        <v>42</v>
      </c>
      <c r="AC4182">
        <v>-70.944199999999896</v>
      </c>
      <c r="AD4182">
        <v>-1.10791586524699</v>
      </c>
      <c r="AE4182">
        <v>-4.12289999999998</v>
      </c>
      <c r="AF4182">
        <v>-6.8261364529226798</v>
      </c>
      <c r="AG4182">
        <v>-1.10791586524699</v>
      </c>
      <c r="AH4182">
        <v>70.717944107654603</v>
      </c>
      <c r="AI4182">
        <v>90.893409828510798</v>
      </c>
      <c r="AJ4182">
        <v>95.513464304147405</v>
      </c>
      <c r="AK4182">
        <v>71.055268877485403</v>
      </c>
      <c r="AL4182">
        <v>91.094144881718407</v>
      </c>
      <c r="AM4182">
        <v>94.762161063418006</v>
      </c>
      <c r="AN4182">
        <v>0.99999999789993999</v>
      </c>
    </row>
    <row r="4183" spans="1:40" x14ac:dyDescent="0.25">
      <c r="A4183" t="str">
        <f>"20190305135318424"</f>
        <v>20190305135318424</v>
      </c>
      <c r="B4183" t="str">
        <f>"1551765198414108"</f>
        <v>1551765198414108</v>
      </c>
      <c r="C4183" t="s">
        <v>40</v>
      </c>
      <c r="D4183">
        <v>4.3411879999999998</v>
      </c>
      <c r="E4183">
        <v>0.45101350000000001</v>
      </c>
      <c r="F4183" t="s">
        <v>42</v>
      </c>
      <c r="G4183">
        <v>-320.5548</v>
      </c>
      <c r="H4183" s="1">
        <v>-4.2800030000000004E-6</v>
      </c>
      <c r="I4183">
        <v>138.2311</v>
      </c>
      <c r="J4183">
        <v>-295.94240000000002</v>
      </c>
      <c r="K4183">
        <v>1.1079349999999999</v>
      </c>
      <c r="L4183">
        <v>141.65459999999999</v>
      </c>
      <c r="M4183">
        <v>-0.99916490000000002</v>
      </c>
      <c r="N4183">
        <v>-1.238882E-2</v>
      </c>
      <c r="O4183">
        <v>3.8938519999999997E-2</v>
      </c>
      <c r="P4183">
        <v>-0.99851760000000001</v>
      </c>
      <c r="Q4183">
        <v>-3.1528189999999998E-2</v>
      </c>
      <c r="R4183">
        <v>-4.4374440000000001E-2</v>
      </c>
      <c r="S4183">
        <v>-2.9821170000000001</v>
      </c>
      <c r="T4183">
        <v>-0.13205500000000001</v>
      </c>
      <c r="U4183">
        <v>-0.40611269999999999</v>
      </c>
      <c r="V4183">
        <v>-8.3266530000000005E-2</v>
      </c>
      <c r="W4183">
        <v>-1.9002069999999999E-2</v>
      </c>
      <c r="X4183">
        <v>0.99634610000000001</v>
      </c>
      <c r="Y4183">
        <v>-0.1731866</v>
      </c>
      <c r="Z4183">
        <v>-6.1300490000000003E-3</v>
      </c>
      <c r="AA4183">
        <v>0.98487000000000002</v>
      </c>
      <c r="AB4183">
        <v>42</v>
      </c>
      <c r="AC4183">
        <v>-24.612399999999901</v>
      </c>
      <c r="AD4183">
        <v>-1.1079392800029999</v>
      </c>
      <c r="AE4183">
        <v>-3.42349999999999</v>
      </c>
      <c r="AF4183">
        <v>-4.37065856896045</v>
      </c>
      <c r="AG4183">
        <v>-1.1079392800029999</v>
      </c>
      <c r="AH4183">
        <v>24.411885878958199</v>
      </c>
      <c r="AI4183">
        <v>92.557980528715504</v>
      </c>
      <c r="AJ4183">
        <v>100.150583643397</v>
      </c>
      <c r="AK4183">
        <v>24.8247932104555</v>
      </c>
      <c r="AL4183">
        <v>91.088803973822394</v>
      </c>
      <c r="AM4183">
        <v>94.7772156386972</v>
      </c>
      <c r="AN4183">
        <v>0.99999997233386695</v>
      </c>
    </row>
    <row r="4184" spans="1:40" x14ac:dyDescent="0.25">
      <c r="A4184" t="str">
        <f>"20190305135318447"</f>
        <v>20190305135318447</v>
      </c>
      <c r="B4184" t="str">
        <f>"1551765198433628"</f>
        <v>1551765198433628</v>
      </c>
      <c r="C4184" t="s">
        <v>40</v>
      </c>
      <c r="D4184">
        <v>4.3106410000000004</v>
      </c>
      <c r="E4184">
        <v>0.44525439999999999</v>
      </c>
      <c r="F4184" t="s">
        <v>42</v>
      </c>
      <c r="G4184">
        <v>-324.66129999999998</v>
      </c>
      <c r="H4184" s="1">
        <v>-2.8055999999999999E-6</v>
      </c>
      <c r="I4184">
        <v>136.61150000000001</v>
      </c>
      <c r="J4184">
        <v>-296.35300000000001</v>
      </c>
      <c r="K4184">
        <v>1.1079570000000001</v>
      </c>
      <c r="L4184">
        <v>141.6713</v>
      </c>
      <c r="M4184">
        <v>-0.99913129999999994</v>
      </c>
      <c r="N4184">
        <v>-1.2643389999999999E-2</v>
      </c>
      <c r="O4184">
        <v>3.9711200000000002E-2</v>
      </c>
      <c r="P4184">
        <v>-0.99851350000000005</v>
      </c>
      <c r="Q4184">
        <v>-3.2044049999999998E-2</v>
      </c>
      <c r="R4184">
        <v>-4.4092480000000003E-2</v>
      </c>
      <c r="S4184">
        <v>-2.9776310000000001</v>
      </c>
      <c r="T4184">
        <v>-0.11487310000000001</v>
      </c>
      <c r="U4184">
        <v>-0.52287289999999997</v>
      </c>
      <c r="V4184">
        <v>-8.3755460000000004E-2</v>
      </c>
      <c r="W4184">
        <v>-1.926487E-2</v>
      </c>
      <c r="X4184">
        <v>0.99630010000000002</v>
      </c>
      <c r="Y4184">
        <v>-0.21171609999999999</v>
      </c>
      <c r="Z4184">
        <v>-6.4236550000000003E-3</v>
      </c>
      <c r="AA4184">
        <v>0.97731009999999996</v>
      </c>
      <c r="AB4184">
        <v>42</v>
      </c>
      <c r="AC4184">
        <v>-28.3082999999999</v>
      </c>
      <c r="AD4184">
        <v>-1.1079598056</v>
      </c>
      <c r="AE4184">
        <v>-5.0597999999999903</v>
      </c>
      <c r="AF4184">
        <v>-6.1708941820504597</v>
      </c>
      <c r="AG4184">
        <v>-1.1079598056</v>
      </c>
      <c r="AH4184">
        <v>28.043391307892001</v>
      </c>
      <c r="AI4184">
        <v>92.209697498128406</v>
      </c>
      <c r="AJ4184">
        <v>102.410045653892</v>
      </c>
      <c r="AK4184">
        <v>28.735680016043499</v>
      </c>
      <c r="AL4184">
        <v>91.103864030660006</v>
      </c>
      <c r="AM4184">
        <v>94.805356667456493</v>
      </c>
      <c r="AN4184">
        <v>1.0000000007779599</v>
      </c>
    </row>
    <row r="4185" spans="1:40" x14ac:dyDescent="0.25">
      <c r="A4185" t="str">
        <f>"20190305135318468"</f>
        <v>20190305135318468</v>
      </c>
      <c r="B4185" t="str">
        <f>"1551765198463884"</f>
        <v>1551765198463884</v>
      </c>
      <c r="C4185" t="s">
        <v>40</v>
      </c>
      <c r="D4185">
        <v>4.2915780000000003</v>
      </c>
      <c r="E4185">
        <v>0.44180839999999999</v>
      </c>
      <c r="F4185" t="s">
        <v>42</v>
      </c>
      <c r="G4185">
        <v>-326.83049999999997</v>
      </c>
      <c r="H4185" s="1">
        <v>-2.067022E-6</v>
      </c>
      <c r="I4185">
        <v>135.84909999999999</v>
      </c>
      <c r="J4185">
        <v>-296.76310000000001</v>
      </c>
      <c r="K4185">
        <v>1.1079810000000001</v>
      </c>
      <c r="L4185">
        <v>141.6883</v>
      </c>
      <c r="M4185">
        <v>-0.99909809999999999</v>
      </c>
      <c r="N4185">
        <v>-1.28659E-2</v>
      </c>
      <c r="O4185">
        <v>4.0466290000000002E-2</v>
      </c>
      <c r="P4185">
        <v>-0.99850680000000003</v>
      </c>
      <c r="Q4185">
        <v>-3.212599E-2</v>
      </c>
      <c r="R4185">
        <v>-4.4182399999999997E-2</v>
      </c>
      <c r="S4185">
        <v>-2.9758610000000001</v>
      </c>
      <c r="T4185">
        <v>-0.1081829</v>
      </c>
      <c r="U4185">
        <v>-0.56848140000000003</v>
      </c>
      <c r="V4185">
        <v>-8.4596989999999997E-2</v>
      </c>
      <c r="W4185">
        <v>-1.9126629999999999E-2</v>
      </c>
      <c r="X4185">
        <v>0.99623170000000005</v>
      </c>
      <c r="Y4185">
        <v>-0.22702649999999999</v>
      </c>
      <c r="Z4185">
        <v>-6.5055959999999998E-3</v>
      </c>
      <c r="AA4185">
        <v>0.97386689999999998</v>
      </c>
      <c r="AB4185">
        <v>42</v>
      </c>
      <c r="AC4185">
        <v>-30.0673999999999</v>
      </c>
      <c r="AD4185">
        <v>-1.1079830670219999</v>
      </c>
      <c r="AE4185">
        <v>-5.8391999999999999</v>
      </c>
      <c r="AF4185">
        <v>-7.04201818584386</v>
      </c>
      <c r="AG4185">
        <v>-1.1079830670219999</v>
      </c>
      <c r="AH4185">
        <v>29.7675047194227</v>
      </c>
      <c r="AI4185">
        <v>92.074430683340907</v>
      </c>
      <c r="AJ4185">
        <v>103.309621402229</v>
      </c>
      <c r="AK4185">
        <v>30.609181364868601</v>
      </c>
      <c r="AL4185">
        <v>91.095941960103502</v>
      </c>
      <c r="AM4185">
        <v>94.853740462591702</v>
      </c>
      <c r="AN4185">
        <v>1.00000003938855</v>
      </c>
    </row>
    <row r="4186" spans="1:40" x14ac:dyDescent="0.25">
      <c r="A4186" t="str">
        <f>"20190305135318492"</f>
        <v>20190305135318492</v>
      </c>
      <c r="B4186" t="str">
        <f>"1551765198484380"</f>
        <v>1551765198484380</v>
      </c>
      <c r="C4186" t="s">
        <v>40</v>
      </c>
      <c r="D4186">
        <v>4.2957029999999996</v>
      </c>
      <c r="E4186">
        <v>0.4405271</v>
      </c>
      <c r="F4186" t="s">
        <v>42</v>
      </c>
      <c r="G4186">
        <v>-330.48169999999999</v>
      </c>
      <c r="H4186" s="1">
        <v>-5.3120320000000002E-6</v>
      </c>
      <c r="I4186">
        <v>134.92490000000001</v>
      </c>
      <c r="J4186">
        <v>-297.19319999999999</v>
      </c>
      <c r="K4186">
        <v>1.1080080000000001</v>
      </c>
      <c r="L4186">
        <v>141.70650000000001</v>
      </c>
      <c r="M4186">
        <v>-0.9990639</v>
      </c>
      <c r="N4186">
        <v>-1.3069269999999999E-2</v>
      </c>
      <c r="O4186">
        <v>4.123686E-2</v>
      </c>
      <c r="P4186">
        <v>-0.99848219999999999</v>
      </c>
      <c r="Q4186">
        <v>-3.1980500000000002E-2</v>
      </c>
      <c r="R4186">
        <v>-4.483765E-2</v>
      </c>
      <c r="S4186">
        <v>-2.974945</v>
      </c>
      <c r="T4186">
        <v>-9.7756270000000006E-2</v>
      </c>
      <c r="U4186">
        <v>-0.59672550000000002</v>
      </c>
      <c r="V4186">
        <v>-8.6017839999999998E-2</v>
      </c>
      <c r="W4186">
        <v>-1.878078E-2</v>
      </c>
      <c r="X4186">
        <v>0.99611660000000002</v>
      </c>
      <c r="Y4186">
        <v>-0.23675270000000001</v>
      </c>
      <c r="Z4186">
        <v>-6.2227419999999999E-3</v>
      </c>
      <c r="AA4186">
        <v>0.97155000000000002</v>
      </c>
      <c r="AB4186">
        <v>42</v>
      </c>
      <c r="AC4186">
        <v>-33.288499999999999</v>
      </c>
      <c r="AD4186">
        <v>-1.1080133120319999</v>
      </c>
      <c r="AE4186">
        <v>-6.7815999999999903</v>
      </c>
      <c r="AF4186">
        <v>-8.1400021093287602</v>
      </c>
      <c r="AG4186">
        <v>-1.1080133120319999</v>
      </c>
      <c r="AH4186">
        <v>32.945458288088602</v>
      </c>
      <c r="AI4186">
        <v>91.870039068706006</v>
      </c>
      <c r="AJ4186">
        <v>103.878408246869</v>
      </c>
      <c r="AK4186">
        <v>33.954241997896197</v>
      </c>
      <c r="AL4186">
        <v>91.076122661329194</v>
      </c>
      <c r="AM4186">
        <v>94.9354296644008</v>
      </c>
      <c r="AN4186">
        <v>1.0000000336456101</v>
      </c>
    </row>
    <row r="4187" spans="1:40" x14ac:dyDescent="0.25">
      <c r="A4187" t="str">
        <f>"20190305135318513"</f>
        <v>20190305135318513</v>
      </c>
      <c r="B4187" t="str">
        <f>"1551765198503903"</f>
        <v>1551765198503903</v>
      </c>
      <c r="C4187" t="s">
        <v>40</v>
      </c>
      <c r="D4187">
        <v>4.2802699999999998</v>
      </c>
      <c r="E4187">
        <v>0.4395</v>
      </c>
      <c r="F4187" t="s">
        <v>42</v>
      </c>
      <c r="G4187">
        <v>-332.66500000000002</v>
      </c>
      <c r="H4187" s="1">
        <v>-4.3657179999999996E-6</v>
      </c>
      <c r="I4187">
        <v>134.44130000000001</v>
      </c>
      <c r="J4187">
        <v>-297.59070000000003</v>
      </c>
      <c r="K4187">
        <v>1.108039</v>
      </c>
      <c r="L4187">
        <v>141.7235</v>
      </c>
      <c r="M4187">
        <v>-0.99903350000000002</v>
      </c>
      <c r="N4187">
        <v>-1.323333E-2</v>
      </c>
      <c r="O4187">
        <v>4.191802E-2</v>
      </c>
      <c r="P4187">
        <v>-0.99844880000000003</v>
      </c>
      <c r="Q4187">
        <v>-3.1373949999999998E-2</v>
      </c>
      <c r="R4187">
        <v>-4.5997200000000002E-2</v>
      </c>
      <c r="S4187">
        <v>-2.9742130000000002</v>
      </c>
      <c r="T4187">
        <v>-9.2903730000000004E-2</v>
      </c>
      <c r="U4187">
        <v>-0.60916139999999996</v>
      </c>
      <c r="V4187">
        <v>-8.785097E-2</v>
      </c>
      <c r="W4187">
        <v>-1.801405E-2</v>
      </c>
      <c r="X4187">
        <v>0.99597069999999999</v>
      </c>
      <c r="Y4187">
        <v>-0.24137249999999999</v>
      </c>
      <c r="Z4187">
        <v>-6.0925049999999998E-3</v>
      </c>
      <c r="AA4187">
        <v>0.97041339999999998</v>
      </c>
      <c r="AB4187">
        <v>41</v>
      </c>
      <c r="AC4187">
        <v>-35.074299999999901</v>
      </c>
      <c r="AD4187">
        <v>-1.108043365718</v>
      </c>
      <c r="AE4187">
        <v>-7.28219999999998</v>
      </c>
      <c r="AF4187">
        <v>-8.7378119884758192</v>
      </c>
      <c r="AG4187">
        <v>-1.108043365718</v>
      </c>
      <c r="AH4187">
        <v>34.704979445866996</v>
      </c>
      <c r="AI4187">
        <v>91.773383107741694</v>
      </c>
      <c r="AJ4187">
        <v>104.131867960511</v>
      </c>
      <c r="AK4187">
        <v>35.805205163276398</v>
      </c>
      <c r="AL4187">
        <v>91.032184901071005</v>
      </c>
      <c r="AM4187">
        <v>95.040807204420702</v>
      </c>
      <c r="AN4187">
        <v>0.99999996709291605</v>
      </c>
    </row>
    <row r="4188" spans="1:40" x14ac:dyDescent="0.25">
      <c r="A4188" t="str">
        <f>"20190305135318536"</f>
        <v>20190305135318536</v>
      </c>
      <c r="B4188" t="str">
        <f>"1551765198524396"</f>
        <v>1551765198524396</v>
      </c>
      <c r="C4188" t="s">
        <v>40</v>
      </c>
      <c r="D4188">
        <v>4.2935439999999998</v>
      </c>
      <c r="E4188">
        <v>0.43875629999999999</v>
      </c>
      <c r="F4188" t="s">
        <v>42</v>
      </c>
      <c r="G4188">
        <v>-335.52260000000001</v>
      </c>
      <c r="H4188" s="1">
        <v>-3.2508209999999998E-6</v>
      </c>
      <c r="I4188">
        <v>133.8013</v>
      </c>
      <c r="J4188">
        <v>-298.00229999999999</v>
      </c>
      <c r="K4188">
        <v>1.1080829999999999</v>
      </c>
      <c r="L4188">
        <v>141.7414</v>
      </c>
      <c r="M4188">
        <v>-0.9990038</v>
      </c>
      <c r="N4188">
        <v>-1.3381229999999999E-2</v>
      </c>
      <c r="O4188">
        <v>4.2572730000000003E-2</v>
      </c>
      <c r="P4188">
        <v>-0.9983689</v>
      </c>
      <c r="Q4188">
        <v>-3.1863559999999999E-2</v>
      </c>
      <c r="R4188">
        <v>-4.7374010000000001E-2</v>
      </c>
      <c r="S4188">
        <v>-2.973328</v>
      </c>
      <c r="T4188">
        <v>-8.6854819999999999E-2</v>
      </c>
      <c r="U4188">
        <v>-0.62098690000000001</v>
      </c>
      <c r="V4188">
        <v>-8.9874309999999999E-2</v>
      </c>
      <c r="W4188">
        <v>-1.8362920000000001E-2</v>
      </c>
      <c r="X4188">
        <v>0.9957838</v>
      </c>
      <c r="Y4188">
        <v>-0.24577969999999999</v>
      </c>
      <c r="Z4188">
        <v>-5.8813669999999898E-3</v>
      </c>
      <c r="AA4188">
        <v>0.9693079</v>
      </c>
      <c r="AB4188">
        <v>41</v>
      </c>
      <c r="AC4188">
        <v>-37.520299999999999</v>
      </c>
      <c r="AD4188">
        <v>-1.1080862508210001</v>
      </c>
      <c r="AE4188">
        <v>-7.9401000000000002</v>
      </c>
      <c r="AF4188">
        <v>-9.5224351059525301</v>
      </c>
      <c r="AG4188">
        <v>-1.1080862508210001</v>
      </c>
      <c r="AH4188">
        <v>37.1172290336457</v>
      </c>
      <c r="AI4188">
        <v>91.656372871842606</v>
      </c>
      <c r="AJ4188">
        <v>104.388921598802</v>
      </c>
      <c r="AK4188">
        <v>38.335275095171099</v>
      </c>
      <c r="AL4188">
        <v>91.052176971511201</v>
      </c>
      <c r="AM4188">
        <v>95.157248304815198</v>
      </c>
      <c r="AN4188">
        <v>0.999999982385671</v>
      </c>
    </row>
    <row r="4189" spans="1:40" x14ac:dyDescent="0.25">
      <c r="A4189" t="str">
        <f>"20190305135318557"</f>
        <v>20190305135318557</v>
      </c>
      <c r="B4189" t="str">
        <f>"1551765198543916"</f>
        <v>1551765198543916</v>
      </c>
      <c r="C4189" t="s">
        <v>40</v>
      </c>
      <c r="D4189">
        <v>4.2880079999999996</v>
      </c>
      <c r="E4189">
        <v>0.43880520000000001</v>
      </c>
      <c r="F4189" t="s">
        <v>42</v>
      </c>
      <c r="G4189">
        <v>-336.79860000000002</v>
      </c>
      <c r="H4189" s="1">
        <v>-2.8399300000000001E-6</v>
      </c>
      <c r="I4189">
        <v>133.50399999999999</v>
      </c>
      <c r="J4189">
        <v>-298.40129999999999</v>
      </c>
      <c r="K4189">
        <v>1.1081399999999999</v>
      </c>
      <c r="L4189">
        <v>141.75890000000001</v>
      </c>
      <c r="M4189">
        <v>-0.99897780000000003</v>
      </c>
      <c r="N4189">
        <v>-1.350575E-2</v>
      </c>
      <c r="O4189">
        <v>4.313757E-2</v>
      </c>
      <c r="P4189">
        <v>-0.99826590000000004</v>
      </c>
      <c r="Q4189">
        <v>-3.1680649999999998E-2</v>
      </c>
      <c r="R4189">
        <v>-4.9614190000000002E-2</v>
      </c>
      <c r="S4189">
        <v>-2.9722900000000001</v>
      </c>
      <c r="T4189">
        <v>-8.4893469999999999E-2</v>
      </c>
      <c r="U4189">
        <v>-0.63108830000000005</v>
      </c>
      <c r="V4189">
        <v>-9.2668329999999993E-2</v>
      </c>
      <c r="W4189">
        <v>-1.8065680000000001E-2</v>
      </c>
      <c r="X4189">
        <v>0.99553309999999995</v>
      </c>
      <c r="Y4189">
        <v>-0.2495513</v>
      </c>
      <c r="Z4189">
        <v>-5.8718879999999996E-3</v>
      </c>
      <c r="AA4189">
        <v>0.96834379999999998</v>
      </c>
      <c r="AB4189">
        <v>41</v>
      </c>
      <c r="AC4189">
        <v>-38.397300000000001</v>
      </c>
      <c r="AD4189">
        <v>-1.10814283993</v>
      </c>
      <c r="AE4189">
        <v>-8.2549000000000099</v>
      </c>
      <c r="AF4189">
        <v>-9.8958537543284901</v>
      </c>
      <c r="AG4189">
        <v>-1.10814283993</v>
      </c>
      <c r="AH4189">
        <v>37.975190168586401</v>
      </c>
      <c r="AI4189">
        <v>91.617471227948002</v>
      </c>
      <c r="AJ4189">
        <v>104.60573289906</v>
      </c>
      <c r="AK4189">
        <v>39.259024063532799</v>
      </c>
      <c r="AL4189">
        <v>91.035143560011903</v>
      </c>
      <c r="AM4189">
        <v>95.318003419403993</v>
      </c>
      <c r="AN4189">
        <v>0.99999997068723001</v>
      </c>
    </row>
    <row r="4190" spans="1:40" x14ac:dyDescent="0.25">
      <c r="A4190" t="str">
        <f>"20190305135318592"</f>
        <v>20190305135318592</v>
      </c>
      <c r="B4190" t="str">
        <f>"1551765198583932"</f>
        <v>1551765198583932</v>
      </c>
      <c r="C4190" t="s">
        <v>40</v>
      </c>
      <c r="D4190">
        <v>4.4975829999999997</v>
      </c>
      <c r="E4190">
        <v>0.43848670000000001</v>
      </c>
      <c r="F4190" t="s">
        <v>42</v>
      </c>
      <c r="G4190">
        <v>-337.13690000000003</v>
      </c>
      <c r="H4190" s="1">
        <v>-2.7248199999999999E-6</v>
      </c>
      <c r="I4190">
        <v>133.44839999999999</v>
      </c>
      <c r="J4190">
        <v>-299.05009999999999</v>
      </c>
      <c r="K4190">
        <v>1.1082719999999999</v>
      </c>
      <c r="L4190">
        <v>141.7877</v>
      </c>
      <c r="M4190">
        <v>-0.99894419999999995</v>
      </c>
      <c r="N4190">
        <v>-1.3674159999999999E-2</v>
      </c>
      <c r="O4190">
        <v>4.3858340000000003E-2</v>
      </c>
      <c r="P4190">
        <v>-0.998143</v>
      </c>
      <c r="Q4190">
        <v>-3.1338779999999997E-2</v>
      </c>
      <c r="R4190">
        <v>-5.2236350000000001E-2</v>
      </c>
      <c r="S4190">
        <v>-2.970825</v>
      </c>
      <c r="T4190">
        <v>-8.498907E-2</v>
      </c>
      <c r="U4190">
        <v>-0.63737489999999997</v>
      </c>
      <c r="V4190">
        <v>-9.5994410000000002E-2</v>
      </c>
      <c r="W4190">
        <v>-1.7583209999999998E-2</v>
      </c>
      <c r="X4190">
        <v>0.99522659999999996</v>
      </c>
      <c r="Y4190">
        <v>-0.25230330000000001</v>
      </c>
      <c r="Z4190">
        <v>-5.9617350000000001E-3</v>
      </c>
      <c r="AA4190">
        <v>0.96762979999999998</v>
      </c>
      <c r="AB4190">
        <v>41</v>
      </c>
      <c r="AC4190">
        <v>-38.086799999999997</v>
      </c>
      <c r="AD4190">
        <v>-1.10827472482</v>
      </c>
      <c r="AE4190">
        <v>-8.3392999999999997</v>
      </c>
      <c r="AF4190">
        <v>-9.9937791364485005</v>
      </c>
      <c r="AG4190">
        <v>-1.10827472482</v>
      </c>
      <c r="AH4190">
        <v>37.653938249310201</v>
      </c>
      <c r="AI4190">
        <v>91.629523909154997</v>
      </c>
      <c r="AJ4190">
        <v>104.864242029715</v>
      </c>
      <c r="AK4190">
        <v>38.973362184659599</v>
      </c>
      <c r="AL4190">
        <v>91.007495601294295</v>
      </c>
      <c r="AM4190">
        <v>95.509411047244697</v>
      </c>
      <c r="AN4190">
        <v>1.0000000406863501</v>
      </c>
    </row>
    <row r="4191" spans="1:40" x14ac:dyDescent="0.25">
      <c r="A4191" t="str">
        <f>"20190305135318614"</f>
        <v>20190305135318614</v>
      </c>
      <c r="B4191" t="str">
        <f>"1551765198604428"</f>
        <v>1551765198604428</v>
      </c>
      <c r="C4191" t="s">
        <v>40</v>
      </c>
      <c r="D4191">
        <v>4.3141059999999998</v>
      </c>
      <c r="E4191">
        <v>0.43809730000000002</v>
      </c>
      <c r="F4191" t="s">
        <v>42</v>
      </c>
      <c r="G4191">
        <v>-339.39170000000001</v>
      </c>
      <c r="H4191" s="1">
        <v>-1.9819609999999998E-6</v>
      </c>
      <c r="I4191">
        <v>132.98609999999999</v>
      </c>
      <c r="J4191">
        <v>-299.44690000000003</v>
      </c>
      <c r="K4191">
        <v>1.1083799999999999</v>
      </c>
      <c r="L4191">
        <v>141.80539999999999</v>
      </c>
      <c r="M4191">
        <v>-0.99892979999999998</v>
      </c>
      <c r="N4191">
        <v>-1.375938E-2</v>
      </c>
      <c r="O4191">
        <v>4.4158959999999997E-2</v>
      </c>
      <c r="P4191">
        <v>-0.99805410000000006</v>
      </c>
      <c r="Q4191">
        <v>-3.1347E-2</v>
      </c>
      <c r="R4191">
        <v>-5.3902940000000003E-2</v>
      </c>
      <c r="S4191">
        <v>-2.9691160000000001</v>
      </c>
      <c r="T4191">
        <v>-8.1568360000000006E-2</v>
      </c>
      <c r="U4191">
        <v>-0.64779659999999994</v>
      </c>
      <c r="V4191">
        <v>-9.7950960000000004E-2</v>
      </c>
      <c r="W4191">
        <v>-1.7528889999999998E-2</v>
      </c>
      <c r="X4191">
        <v>0.99503680000000005</v>
      </c>
      <c r="Y4191">
        <v>-0.25595950000000001</v>
      </c>
      <c r="Z4191">
        <v>-5.8563850000000004E-3</v>
      </c>
      <c r="AA4191">
        <v>0.96666969999999997</v>
      </c>
      <c r="AB4191">
        <v>41</v>
      </c>
      <c r="AC4191">
        <v>-39.944800000000001</v>
      </c>
      <c r="AD4191">
        <v>-1.1083819819609999</v>
      </c>
      <c r="AE4191">
        <v>-8.8192999999999895</v>
      </c>
      <c r="AF4191">
        <v>-10.567025215644</v>
      </c>
      <c r="AG4191">
        <v>-1.1083819819609999</v>
      </c>
      <c r="AH4191">
        <v>39.487349360157097</v>
      </c>
      <c r="AI4191">
        <v>91.553205061188507</v>
      </c>
      <c r="AJ4191">
        <v>104.981616409289</v>
      </c>
      <c r="AK4191">
        <v>40.891824268637002</v>
      </c>
      <c r="AL4191">
        <v>91.004382913109794</v>
      </c>
      <c r="AM4191">
        <v>95.622056704380896</v>
      </c>
      <c r="AN4191">
        <v>0.99999994295189498</v>
      </c>
    </row>
    <row r="4192" spans="1:40" x14ac:dyDescent="0.25">
      <c r="A4192" t="str">
        <f>"20190305135318638"</f>
        <v>20190305135318638</v>
      </c>
      <c r="B4192" t="str">
        <f>"1551765198634684"</f>
        <v>1551765198634684</v>
      </c>
      <c r="C4192" t="s">
        <v>40</v>
      </c>
      <c r="D4192">
        <v>4.355054</v>
      </c>
      <c r="E4192">
        <v>0.437413</v>
      </c>
      <c r="F4192" t="s">
        <v>42</v>
      </c>
      <c r="G4192">
        <v>-341.31970000000001</v>
      </c>
      <c r="H4192" s="1">
        <v>-4.9593680000000003E-6</v>
      </c>
      <c r="I4192">
        <v>132.55109999999999</v>
      </c>
      <c r="J4192">
        <v>-299.87979999999999</v>
      </c>
      <c r="K4192">
        <v>1.108498</v>
      </c>
      <c r="L4192">
        <v>141.82480000000001</v>
      </c>
      <c r="M4192">
        <v>-0.99891909999999895</v>
      </c>
      <c r="N4192">
        <v>-1.3839570000000001E-2</v>
      </c>
      <c r="O4192">
        <v>4.4376199999999998E-2</v>
      </c>
      <c r="P4192">
        <v>-0.99792709999999996</v>
      </c>
      <c r="Q4192">
        <v>-3.0899139999999999E-2</v>
      </c>
      <c r="R4192">
        <v>-5.6452330000000002E-2</v>
      </c>
      <c r="S4192">
        <v>-2.9679570000000002</v>
      </c>
      <c r="T4192">
        <v>-7.8562740000000006E-2</v>
      </c>
      <c r="U4192">
        <v>-0.65594479999999999</v>
      </c>
      <c r="V4192">
        <v>-0.1007034</v>
      </c>
      <c r="W4192">
        <v>-1.7027150000000001E-2</v>
      </c>
      <c r="X4192">
        <v>0.99477079999999996</v>
      </c>
      <c r="Y4192">
        <v>-0.25878640000000003</v>
      </c>
      <c r="Z4192">
        <v>-5.7516869999999897E-3</v>
      </c>
      <c r="AA4192">
        <v>0.96591749999999998</v>
      </c>
      <c r="AB4192">
        <v>41</v>
      </c>
      <c r="AC4192">
        <v>-41.439900000000002</v>
      </c>
      <c r="AD4192">
        <v>-1.108502959368</v>
      </c>
      <c r="AE4192">
        <v>-9.2737000000000194</v>
      </c>
      <c r="AF4192">
        <v>-11.0961228356388</v>
      </c>
      <c r="AG4192">
        <v>-1.108502959368</v>
      </c>
      <c r="AH4192">
        <v>40.959587812268701</v>
      </c>
      <c r="AI4192">
        <v>91.496327224542</v>
      </c>
      <c r="AJ4192">
        <v>105.157848868656</v>
      </c>
      <c r="AK4192">
        <v>42.4504482254954</v>
      </c>
      <c r="AL4192">
        <v>90.975630958075101</v>
      </c>
      <c r="AM4192">
        <v>95.780517549082901</v>
      </c>
      <c r="AN4192">
        <v>1.0000000215706599</v>
      </c>
    </row>
    <row r="4193" spans="1:40" x14ac:dyDescent="0.25">
      <c r="A4193" t="str">
        <f>"20190305135318660"</f>
        <v>20190305135318660</v>
      </c>
      <c r="B4193" t="str">
        <f>"1551765198654204"</f>
        <v>1551765198654204</v>
      </c>
      <c r="C4193" t="s">
        <v>40</v>
      </c>
      <c r="D4193">
        <v>4.2997519999999998</v>
      </c>
      <c r="E4193">
        <v>0.43716450000000001</v>
      </c>
      <c r="F4193" t="s">
        <v>42</v>
      </c>
      <c r="G4193">
        <v>-341.14589999999998</v>
      </c>
      <c r="H4193" s="1">
        <v>-5.0398480000000001E-6</v>
      </c>
      <c r="I4193">
        <v>132.51779999999999</v>
      </c>
      <c r="J4193">
        <v>-300.2901</v>
      </c>
      <c r="K4193">
        <v>1.1086100000000001</v>
      </c>
      <c r="L4193">
        <v>141.8432</v>
      </c>
      <c r="M4193">
        <v>-0.99891410000000003</v>
      </c>
      <c r="N4193">
        <v>-1.3904649999999999E-2</v>
      </c>
      <c r="O4193">
        <v>4.4469590000000003E-2</v>
      </c>
      <c r="P4193">
        <v>-0.99782309999999996</v>
      </c>
      <c r="Q4193">
        <v>-3.009999E-2</v>
      </c>
      <c r="R4193">
        <v>-5.868164E-2</v>
      </c>
      <c r="S4193">
        <v>-2.9659119999999999</v>
      </c>
      <c r="T4193">
        <v>-7.967138E-2</v>
      </c>
      <c r="U4193">
        <v>-0.66891480000000003</v>
      </c>
      <c r="V4193">
        <v>-0.1030136</v>
      </c>
      <c r="W4193">
        <v>-1.6189169999999999E-2</v>
      </c>
      <c r="X4193">
        <v>0.99454819999999999</v>
      </c>
      <c r="Y4193">
        <v>-0.26303189999999999</v>
      </c>
      <c r="Z4193">
        <v>-5.9110289999999999E-3</v>
      </c>
      <c r="AA4193">
        <v>0.96476910000000005</v>
      </c>
      <c r="AB4193">
        <v>41</v>
      </c>
      <c r="AC4193">
        <v>-40.855799999999903</v>
      </c>
      <c r="AD4193">
        <v>-1.1086150398479999</v>
      </c>
      <c r="AE4193">
        <v>-9.3254000000000001</v>
      </c>
      <c r="AF4193">
        <v>-11.125403072193899</v>
      </c>
      <c r="AG4193">
        <v>-1.1086150398479999</v>
      </c>
      <c r="AH4193">
        <v>40.372384232576302</v>
      </c>
      <c r="AI4193">
        <v>91.516435102549906</v>
      </c>
      <c r="AJ4193">
        <v>105.40658966865701</v>
      </c>
      <c r="AK4193">
        <v>41.891920813542697</v>
      </c>
      <c r="AL4193">
        <v>90.927611631239799</v>
      </c>
      <c r="AM4193">
        <v>95.913511295423305</v>
      </c>
      <c r="AN4193">
        <v>1.00000000656674</v>
      </c>
    </row>
    <row r="4194" spans="1:40" x14ac:dyDescent="0.25">
      <c r="A4194" t="str">
        <f>"20190305135318682"</f>
        <v>20190305135318682</v>
      </c>
      <c r="B4194" t="str">
        <f>"1551765198673725"</f>
        <v>1551765198673725</v>
      </c>
      <c r="C4194" t="s">
        <v>40</v>
      </c>
      <c r="D4194">
        <v>4.2827330000000003</v>
      </c>
      <c r="E4194">
        <v>0.43698480000000001</v>
      </c>
      <c r="F4194" t="s">
        <v>42</v>
      </c>
      <c r="G4194">
        <v>-343.3073</v>
      </c>
      <c r="H4194" s="1">
        <v>-4.2871250000000001E-6</v>
      </c>
      <c r="I4194">
        <v>132.01130000000001</v>
      </c>
      <c r="J4194">
        <v>-300.70310000000001</v>
      </c>
      <c r="K4194">
        <v>1.108744</v>
      </c>
      <c r="L4194">
        <v>141.86160000000001</v>
      </c>
      <c r="M4194">
        <v>-0.99891459999999999</v>
      </c>
      <c r="N4194">
        <v>-1.396098E-2</v>
      </c>
      <c r="O4194">
        <v>4.4437579999999997E-2</v>
      </c>
      <c r="P4194">
        <v>-0.99772079999999996</v>
      </c>
      <c r="Q4194">
        <v>-2.8696900000000001E-2</v>
      </c>
      <c r="R4194">
        <v>-6.1070359999999997E-2</v>
      </c>
      <c r="S4194">
        <v>-2.9643549999999999</v>
      </c>
      <c r="T4194">
        <v>-7.6395749999999998E-2</v>
      </c>
      <c r="U4194">
        <v>-0.67752080000000003</v>
      </c>
      <c r="V4194">
        <v>-0.10535890000000001</v>
      </c>
      <c r="W4194">
        <v>-1.4759090000000001E-2</v>
      </c>
      <c r="X4194">
        <v>0.99432469999999995</v>
      </c>
      <c r="Y4194">
        <v>-0.26578049999999998</v>
      </c>
      <c r="Z4194">
        <v>-5.7798420000000003E-3</v>
      </c>
      <c r="AA4194">
        <v>0.96401630000000005</v>
      </c>
      <c r="AB4194">
        <v>41</v>
      </c>
      <c r="AC4194">
        <v>-42.604199999999899</v>
      </c>
      <c r="AD4194">
        <v>-1.1087482871249901</v>
      </c>
      <c r="AE4194">
        <v>-9.8503000000000007</v>
      </c>
      <c r="AF4194">
        <v>-11.7264407466556</v>
      </c>
      <c r="AG4194">
        <v>-1.1087482871249901</v>
      </c>
      <c r="AH4194">
        <v>42.097275191968897</v>
      </c>
      <c r="AI4194">
        <v>91.453386075521095</v>
      </c>
      <c r="AJ4194">
        <v>105.56548758471099</v>
      </c>
      <c r="AK4194">
        <v>43.714063114029898</v>
      </c>
      <c r="AL4194">
        <v>90.845664296690501</v>
      </c>
      <c r="AM4194">
        <v>96.048506170418193</v>
      </c>
      <c r="AN4194">
        <v>0.99999996878846298</v>
      </c>
    </row>
    <row r="4195" spans="1:40" x14ac:dyDescent="0.25">
      <c r="A4195" t="str">
        <f>"20190305135318704"</f>
        <v>20190305135318704</v>
      </c>
      <c r="B4195" t="str">
        <f>"1551765198694220"</f>
        <v>1551765198694220</v>
      </c>
      <c r="C4195" t="s">
        <v>40</v>
      </c>
      <c r="D4195">
        <v>4.2805499999999999</v>
      </c>
      <c r="E4195">
        <v>0.43681589999999998</v>
      </c>
      <c r="F4195" t="s">
        <v>42</v>
      </c>
      <c r="G4195">
        <v>-346.75139999999999</v>
      </c>
      <c r="H4195" s="1">
        <v>-3.3315549999999998E-6</v>
      </c>
      <c r="I4195">
        <v>131.1977</v>
      </c>
      <c r="J4195">
        <v>-301.11200000000002</v>
      </c>
      <c r="K4195">
        <v>1.1088849999999999</v>
      </c>
      <c r="L4195">
        <v>141.87970000000001</v>
      </c>
      <c r="M4195">
        <v>-0.99892130000000001</v>
      </c>
      <c r="N4195">
        <v>-1.4008960000000001E-2</v>
      </c>
      <c r="O4195">
        <v>4.427362E-2</v>
      </c>
      <c r="P4195">
        <v>-0.99764830000000004</v>
      </c>
      <c r="Q4195">
        <v>-2.856359E-2</v>
      </c>
      <c r="R4195">
        <v>-6.2307830000000002E-2</v>
      </c>
      <c r="S4195">
        <v>-2.9628299999999999</v>
      </c>
      <c r="T4195">
        <v>-7.1338890000000002E-2</v>
      </c>
      <c r="U4195">
        <v>-0.68612669999999998</v>
      </c>
      <c r="V4195">
        <v>-0.1064244</v>
      </c>
      <c r="W4195">
        <v>-1.460997E-2</v>
      </c>
      <c r="X4195">
        <v>0.99421349999999997</v>
      </c>
      <c r="Y4195">
        <v>-0.26840170000000002</v>
      </c>
      <c r="Z4195">
        <v>-5.5352630000000003E-3</v>
      </c>
      <c r="AA4195">
        <v>0.96329120000000001</v>
      </c>
      <c r="AB4195">
        <v>41</v>
      </c>
      <c r="AC4195">
        <v>-45.639399999999902</v>
      </c>
      <c r="AD4195">
        <v>-1.108888331555</v>
      </c>
      <c r="AE4195">
        <v>-10.682</v>
      </c>
      <c r="AF4195">
        <v>-12.6852436385239</v>
      </c>
      <c r="AG4195">
        <v>-1.108888331555</v>
      </c>
      <c r="AH4195">
        <v>45.096422769025601</v>
      </c>
      <c r="AI4195">
        <v>91.355974100000694</v>
      </c>
      <c r="AJ4195">
        <v>105.710845088228</v>
      </c>
      <c r="AK4195">
        <v>46.859709624188497</v>
      </c>
      <c r="AL4195">
        <v>90.837119365588293</v>
      </c>
      <c r="AM4195">
        <v>96.109892874701004</v>
      </c>
      <c r="AN4195">
        <v>1.0000000438604999</v>
      </c>
    </row>
    <row r="4196" spans="1:40" x14ac:dyDescent="0.25">
      <c r="A4196" t="str">
        <f>"20190305135318725"</f>
        <v>20190305135318725</v>
      </c>
      <c r="B4196" t="str">
        <f>"1551765198713741"</f>
        <v>1551765198713741</v>
      </c>
      <c r="C4196" t="s">
        <v>40</v>
      </c>
      <c r="D4196">
        <v>4.2623160000000002</v>
      </c>
      <c r="E4196">
        <v>0.43665280000000001</v>
      </c>
      <c r="F4196" t="s">
        <v>42</v>
      </c>
      <c r="G4196">
        <v>-347.41680000000002</v>
      </c>
      <c r="H4196" s="1">
        <v>-3.137445E-6</v>
      </c>
      <c r="I4196">
        <v>131.0762</v>
      </c>
      <c r="J4196">
        <v>-301.48939999999999</v>
      </c>
      <c r="K4196">
        <v>1.1090260000000001</v>
      </c>
      <c r="L4196">
        <v>141.8963</v>
      </c>
      <c r="M4196">
        <v>-0.99893279999999995</v>
      </c>
      <c r="N4196">
        <v>-1.4047199999999999E-2</v>
      </c>
      <c r="O4196">
        <v>4.4001169999999999E-2</v>
      </c>
      <c r="P4196">
        <v>-0.99757879999999999</v>
      </c>
      <c r="Q4196">
        <v>-2.8237870000000002E-2</v>
      </c>
      <c r="R4196">
        <v>-6.3554730000000004E-2</v>
      </c>
      <c r="S4196">
        <v>-2.961884</v>
      </c>
      <c r="T4196">
        <v>-7.0929999999999896E-2</v>
      </c>
      <c r="U4196">
        <v>-0.69103999999999999</v>
      </c>
      <c r="V4196">
        <v>-0.107392</v>
      </c>
      <c r="W4196">
        <v>-1.427908E-2</v>
      </c>
      <c r="X4196">
        <v>0.99411419999999995</v>
      </c>
      <c r="Y4196">
        <v>-0.26972289999999999</v>
      </c>
      <c r="Z4196">
        <v>-5.5378440000000001E-3</v>
      </c>
      <c r="AA4196">
        <v>0.96292199999999994</v>
      </c>
      <c r="AB4196">
        <v>41</v>
      </c>
      <c r="AC4196">
        <v>-45.927399999999999</v>
      </c>
      <c r="AD4196">
        <v>-1.1090291374449901</v>
      </c>
      <c r="AE4196">
        <v>-10.820099999999901</v>
      </c>
      <c r="AF4196">
        <v>-12.8235927982987</v>
      </c>
      <c r="AG4196">
        <v>-1.1090291374449901</v>
      </c>
      <c r="AH4196">
        <v>45.381695078073697</v>
      </c>
      <c r="AI4196">
        <v>91.347174152635802</v>
      </c>
      <c r="AJ4196">
        <v>105.77880214471</v>
      </c>
      <c r="AK4196">
        <v>47.171736517151203</v>
      </c>
      <c r="AL4196">
        <v>90.818158833268399</v>
      </c>
      <c r="AM4196">
        <v>96.165628606888802</v>
      </c>
      <c r="AN4196">
        <v>0.99999998821564295</v>
      </c>
    </row>
    <row r="4197" spans="1:40" x14ac:dyDescent="0.25">
      <c r="A4197" t="str">
        <f>"20190305135318747"</f>
        <v>20190305135318747</v>
      </c>
      <c r="B4197" t="str">
        <f>"1551765198743996"</f>
        <v>1551765198743996</v>
      </c>
      <c r="C4197" t="s">
        <v>40</v>
      </c>
      <c r="D4197">
        <v>4.2454349999999996</v>
      </c>
      <c r="E4197">
        <v>0.43668620000000002</v>
      </c>
      <c r="F4197" t="s">
        <v>42</v>
      </c>
      <c r="G4197">
        <v>-348.60410000000002</v>
      </c>
      <c r="H4197" s="1">
        <v>-2.801821E-6</v>
      </c>
      <c r="I4197">
        <v>130.81909999999999</v>
      </c>
      <c r="J4197">
        <v>-301.90390000000002</v>
      </c>
      <c r="K4197">
        <v>1.1091839999999999</v>
      </c>
      <c r="L4197">
        <v>141.91419999999999</v>
      </c>
      <c r="M4197">
        <v>-0.99895129999999999</v>
      </c>
      <c r="N4197">
        <v>-1.4083149999999999E-2</v>
      </c>
      <c r="O4197">
        <v>4.3567309999999998E-2</v>
      </c>
      <c r="P4197">
        <v>-0.99751800000000002</v>
      </c>
      <c r="Q4197">
        <v>-2.712235E-2</v>
      </c>
      <c r="R4197">
        <v>-6.4979209999999996E-2</v>
      </c>
      <c r="S4197">
        <v>-2.9609679999999998</v>
      </c>
      <c r="T4197">
        <v>-6.9698209999999997E-2</v>
      </c>
      <c r="U4197">
        <v>-0.69615169999999904</v>
      </c>
      <c r="V4197">
        <v>-0.10837629999999999</v>
      </c>
      <c r="W4197">
        <v>-1.3166890000000001E-2</v>
      </c>
      <c r="X4197">
        <v>0.99402270000000004</v>
      </c>
      <c r="Y4197">
        <v>-0.2709491</v>
      </c>
      <c r="Z4197">
        <v>-5.4876710000000004E-3</v>
      </c>
      <c r="AA4197">
        <v>0.96257809999999999</v>
      </c>
      <c r="AB4197">
        <v>41</v>
      </c>
      <c r="AC4197">
        <v>-46.700200000000002</v>
      </c>
      <c r="AD4197">
        <v>-1.109186801821</v>
      </c>
      <c r="AE4197">
        <v>-11.0951</v>
      </c>
      <c r="AF4197">
        <v>-13.1123650438835</v>
      </c>
      <c r="AG4197">
        <v>-1.109186801821</v>
      </c>
      <c r="AH4197">
        <v>46.147775523210001</v>
      </c>
      <c r="AI4197">
        <v>91.324462387281997</v>
      </c>
      <c r="AJ4197">
        <v>105.861895479327</v>
      </c>
      <c r="AK4197">
        <v>47.9873066356717</v>
      </c>
      <c r="AL4197">
        <v>90.754429057350904</v>
      </c>
      <c r="AM4197">
        <v>96.2222666109475</v>
      </c>
      <c r="AN4197">
        <v>0.999999958754625</v>
      </c>
    </row>
    <row r="4198" spans="1:40" x14ac:dyDescent="0.25">
      <c r="A4198" t="str">
        <f>"20190305135318771"</f>
        <v>20190305135318771</v>
      </c>
      <c r="B4198" t="str">
        <f>"1551765198764493"</f>
        <v>1551765198764493</v>
      </c>
      <c r="C4198" t="s">
        <v>40</v>
      </c>
      <c r="D4198">
        <v>4.2325309999999998</v>
      </c>
      <c r="E4198">
        <v>0.43653520000000001</v>
      </c>
      <c r="F4198" t="s">
        <v>42</v>
      </c>
      <c r="G4198">
        <v>-351.0181</v>
      </c>
      <c r="H4198" s="1">
        <v>-5.5219380000000002E-6</v>
      </c>
      <c r="I4198">
        <v>130.29830000000001</v>
      </c>
      <c r="J4198">
        <v>-302.33879999999999</v>
      </c>
      <c r="K4198">
        <v>1.1093599999999999</v>
      </c>
      <c r="L4198">
        <v>141.93270000000001</v>
      </c>
      <c r="M4198">
        <v>-0.9989768</v>
      </c>
      <c r="N4198">
        <v>-1.4115610000000001E-2</v>
      </c>
      <c r="O4198">
        <v>4.29702E-2</v>
      </c>
      <c r="P4198">
        <v>-0.99743910000000002</v>
      </c>
      <c r="Q4198">
        <v>-2.5550260000000002E-2</v>
      </c>
      <c r="R4198">
        <v>-6.6803310000000005E-2</v>
      </c>
      <c r="S4198">
        <v>-2.9600520000000001</v>
      </c>
      <c r="T4198">
        <v>-6.684959E-2</v>
      </c>
      <c r="U4198">
        <v>-0.70007319999999995</v>
      </c>
      <c r="V4198">
        <v>-0.109597</v>
      </c>
      <c r="W4198">
        <v>-1.1605819999999999E-2</v>
      </c>
      <c r="X4198">
        <v>0.99390829999999997</v>
      </c>
      <c r="Y4198">
        <v>-0.27165549999999999</v>
      </c>
      <c r="Z4198">
        <v>-5.3297010000000001E-3</v>
      </c>
      <c r="AA4198">
        <v>0.96237980000000001</v>
      </c>
      <c r="AB4198">
        <v>41</v>
      </c>
      <c r="AC4198">
        <v>-48.679299999999998</v>
      </c>
      <c r="AD4198">
        <v>-1.1093655219380001</v>
      </c>
      <c r="AE4198">
        <v>-11.634399999999999</v>
      </c>
      <c r="AF4198">
        <v>-13.7088841230751</v>
      </c>
      <c r="AG4198">
        <v>-1.1093655219380001</v>
      </c>
      <c r="AH4198">
        <v>48.110710210004299</v>
      </c>
      <c r="AI4198">
        <v>91.270377115538096</v>
      </c>
      <c r="AJ4198">
        <v>105.904612903104</v>
      </c>
      <c r="AK4198">
        <v>50.038031862496098</v>
      </c>
      <c r="AL4198">
        <v>90.664979463762506</v>
      </c>
      <c r="AM4198">
        <v>96.292510721804206</v>
      </c>
      <c r="AN4198">
        <v>0.99999995313788004</v>
      </c>
    </row>
    <row r="4199" spans="1:40" x14ac:dyDescent="0.25">
      <c r="A4199" t="str">
        <f>"20190305135318792"</f>
        <v>20190305135318792</v>
      </c>
      <c r="B4199" t="str">
        <f>"1551765198784012"</f>
        <v>1551765198784012</v>
      </c>
      <c r="C4199" t="s">
        <v>40</v>
      </c>
      <c r="D4199">
        <v>4.2344989999999996</v>
      </c>
      <c r="E4199">
        <v>0.43644529999999898</v>
      </c>
      <c r="F4199" t="s">
        <v>42</v>
      </c>
      <c r="G4199">
        <v>-353.90480000000002</v>
      </c>
      <c r="H4199">
        <v>3.1275530000000003E-2</v>
      </c>
      <c r="I4199">
        <v>129.6163</v>
      </c>
      <c r="J4199">
        <v>-302.73250000000002</v>
      </c>
      <c r="K4199">
        <v>1.10951</v>
      </c>
      <c r="L4199">
        <v>141.94909999999999</v>
      </c>
      <c r="M4199">
        <v>-0.99900389999999994</v>
      </c>
      <c r="N4199">
        <v>-1.414085E-2</v>
      </c>
      <c r="O4199">
        <v>4.2320719999999999E-2</v>
      </c>
      <c r="P4199">
        <v>-0.9973997</v>
      </c>
      <c r="Q4199">
        <v>-2.354361E-2</v>
      </c>
      <c r="R4199">
        <v>-6.8115300000000004E-2</v>
      </c>
      <c r="S4199">
        <v>-2.9588009999999998</v>
      </c>
      <c r="T4199">
        <v>-6.1859369999999997E-2</v>
      </c>
      <c r="U4199">
        <v>-0.70669559999999998</v>
      </c>
      <c r="V4199">
        <v>-0.110259</v>
      </c>
      <c r="W4199">
        <v>-9.6106539999999997E-3</v>
      </c>
      <c r="X4199">
        <v>0.99385639999999997</v>
      </c>
      <c r="Y4199">
        <v>-0.27317200000000003</v>
      </c>
      <c r="Z4199">
        <v>-5.0581489999999996E-3</v>
      </c>
      <c r="AA4199">
        <v>0.96195189999999997</v>
      </c>
      <c r="AB4199">
        <v>41</v>
      </c>
      <c r="AC4199">
        <v>-51.1723</v>
      </c>
      <c r="AD4199">
        <v>-1.0782344699999999</v>
      </c>
      <c r="AE4199">
        <v>-12.332799999999899</v>
      </c>
      <c r="AF4199">
        <v>-14.481537434804601</v>
      </c>
      <c r="AG4199">
        <v>-1.0782344699999999</v>
      </c>
      <c r="AH4199">
        <v>50.583234378228902</v>
      </c>
      <c r="AI4199">
        <v>91.173984396455793</v>
      </c>
      <c r="AJ4199">
        <v>105.97595398199201</v>
      </c>
      <c r="AK4199">
        <v>52.626429825808799</v>
      </c>
      <c r="AL4199">
        <v>90.550658401911704</v>
      </c>
      <c r="AM4199">
        <v>96.330539696918095</v>
      </c>
      <c r="AN4199">
        <v>0.99999997778613303</v>
      </c>
    </row>
    <row r="4200" spans="1:40" x14ac:dyDescent="0.25">
      <c r="A4200" t="str">
        <f>"20190305135318814"</f>
        <v>20190305135318814</v>
      </c>
      <c r="B4200" t="str">
        <f>"1551765198804527"</f>
        <v>1551765198804527</v>
      </c>
      <c r="C4200" t="s">
        <v>40</v>
      </c>
      <c r="D4200">
        <v>4.4735659999999999</v>
      </c>
      <c r="E4200">
        <v>0.43661250000000001</v>
      </c>
      <c r="F4200" t="s">
        <v>42</v>
      </c>
      <c r="G4200">
        <v>-357.64510000000001</v>
      </c>
      <c r="H4200">
        <v>7.9986089999999996E-2</v>
      </c>
      <c r="I4200">
        <v>128.74549999999999</v>
      </c>
      <c r="J4200">
        <v>-303.12430000000001</v>
      </c>
      <c r="K4200">
        <v>1.109645</v>
      </c>
      <c r="L4200">
        <v>141.965</v>
      </c>
      <c r="M4200">
        <v>-0.99903580000000003</v>
      </c>
      <c r="N4200">
        <v>-1.416244E-2</v>
      </c>
      <c r="O4200">
        <v>4.1556179999999998E-2</v>
      </c>
      <c r="P4200">
        <v>-0.99737790000000004</v>
      </c>
      <c r="Q4200">
        <v>-2.2454680000000001E-2</v>
      </c>
      <c r="R4200">
        <v>-6.8797720000000007E-2</v>
      </c>
      <c r="S4200">
        <v>-2.9579469999999999</v>
      </c>
      <c r="T4200">
        <v>-5.545688E-2</v>
      </c>
      <c r="U4200">
        <v>-0.71122739999999995</v>
      </c>
      <c r="V4200">
        <v>-0.110178</v>
      </c>
      <c r="W4200">
        <v>-8.5337859999999998E-3</v>
      </c>
      <c r="X4200">
        <v>0.99387519999999996</v>
      </c>
      <c r="Y4200">
        <v>-0.27390769999999998</v>
      </c>
      <c r="Z4200">
        <v>-4.6878290000000001E-3</v>
      </c>
      <c r="AA4200">
        <v>0.9617445</v>
      </c>
      <c r="AB4200">
        <v>41</v>
      </c>
      <c r="AC4200">
        <v>-54.520800000000001</v>
      </c>
      <c r="AD4200">
        <v>-1.02965891</v>
      </c>
      <c r="AE4200">
        <v>-13.2195</v>
      </c>
      <c r="AF4200">
        <v>-15.4687708553347</v>
      </c>
      <c r="AG4200">
        <v>-1.02965891</v>
      </c>
      <c r="AH4200">
        <v>53.906127825265102</v>
      </c>
      <c r="AI4200">
        <v>91.051831809254907</v>
      </c>
      <c r="AJ4200">
        <v>106.01123238748001</v>
      </c>
      <c r="AK4200">
        <v>56.091119496401703</v>
      </c>
      <c r="AL4200">
        <v>90.488955872958201</v>
      </c>
      <c r="AM4200">
        <v>96.325808093228602</v>
      </c>
      <c r="AN4200">
        <v>0.99999996518126599</v>
      </c>
    </row>
    <row r="4201" spans="1:40" x14ac:dyDescent="0.25">
      <c r="A4201" t="str">
        <f>"20190305135318837"</f>
        <v>20190305135318837</v>
      </c>
      <c r="B4201" t="str">
        <f>"1551765198833788"</f>
        <v>1551765198833788</v>
      </c>
      <c r="C4201" t="s">
        <v>40</v>
      </c>
      <c r="D4201">
        <v>4.2914899999999996</v>
      </c>
      <c r="E4201">
        <v>0.50607559999999996</v>
      </c>
      <c r="F4201" t="s">
        <v>42</v>
      </c>
      <c r="G4201">
        <v>-360.76670000000001</v>
      </c>
      <c r="H4201">
        <v>7.9986669999999996E-2</v>
      </c>
      <c r="I4201">
        <v>128.08850000000001</v>
      </c>
      <c r="J4201">
        <v>-303.5471</v>
      </c>
      <c r="K4201">
        <v>1.1097900000000001</v>
      </c>
      <c r="L4201">
        <v>141.98179999999999</v>
      </c>
      <c r="M4201">
        <v>-0.99907570000000001</v>
      </c>
      <c r="N4201">
        <v>-1.418261E-2</v>
      </c>
      <c r="O4201">
        <v>4.0580749999999999E-2</v>
      </c>
      <c r="P4201">
        <v>-0.99736440000000004</v>
      </c>
      <c r="Q4201">
        <v>-2.2982860000000001E-2</v>
      </c>
      <c r="R4201">
        <v>-6.8820140000000002E-2</v>
      </c>
      <c r="S4201">
        <v>-2.9575809999999998</v>
      </c>
      <c r="T4201">
        <v>-5.2830929999999998E-2</v>
      </c>
      <c r="U4201">
        <v>-0.71199040000000002</v>
      </c>
      <c r="V4201">
        <v>-0.1092259</v>
      </c>
      <c r="W4201">
        <v>-9.0766900000000001E-3</v>
      </c>
      <c r="X4201">
        <v>0.99397550000000001</v>
      </c>
      <c r="Y4201">
        <v>-0.27323649999999999</v>
      </c>
      <c r="Z4201">
        <v>-4.5195720000000003E-3</v>
      </c>
      <c r="AA4201">
        <v>0.96193629999999997</v>
      </c>
      <c r="AB4201">
        <v>41</v>
      </c>
      <c r="AC4201">
        <v>-57.2196</v>
      </c>
      <c r="AD4201">
        <v>-1.02980333</v>
      </c>
      <c r="AE4201">
        <v>-13.893299999999901</v>
      </c>
      <c r="AF4201">
        <v>-16.1991459969068</v>
      </c>
      <c r="AG4201">
        <v>-1.02980333</v>
      </c>
      <c r="AH4201">
        <v>56.591289620913301</v>
      </c>
      <c r="AI4201">
        <v>91.002263366103804</v>
      </c>
      <c r="AJ4201">
        <v>105.973665960218</v>
      </c>
      <c r="AK4201">
        <v>58.873142322163098</v>
      </c>
      <c r="AL4201">
        <v>90.520063175815196</v>
      </c>
      <c r="AM4201">
        <v>96.270953462235298</v>
      </c>
      <c r="AN4201">
        <v>0.99999998906620702</v>
      </c>
    </row>
    <row r="4202" spans="1:40" x14ac:dyDescent="0.25">
      <c r="A4202" t="str">
        <f>"20190305135318860"</f>
        <v>20190305135318860</v>
      </c>
      <c r="B4202" t="str">
        <f>"1551765198854284"</f>
        <v>1551765198854284</v>
      </c>
      <c r="C4202" t="s">
        <v>40</v>
      </c>
      <c r="D4202">
        <v>4.2943160000000002</v>
      </c>
      <c r="E4202">
        <v>0.51623560000000002</v>
      </c>
      <c r="F4202" t="s">
        <v>42</v>
      </c>
      <c r="G4202">
        <v>-332.46170000000001</v>
      </c>
      <c r="H4202" s="1">
        <v>-3.7723299999999998E-6</v>
      </c>
      <c r="I4202">
        <v>140.47499999999999</v>
      </c>
      <c r="J4202">
        <v>-303.95620000000002</v>
      </c>
      <c r="K4202">
        <v>1.109934</v>
      </c>
      <c r="L4202">
        <v>141.9975</v>
      </c>
      <c r="M4202">
        <v>-0.99911970000000005</v>
      </c>
      <c r="N4202">
        <v>-1.419963E-2</v>
      </c>
      <c r="O4202">
        <v>3.9474530000000001E-2</v>
      </c>
      <c r="P4202">
        <v>-0.99734</v>
      </c>
      <c r="Q4202">
        <v>-2.3374789999999999E-2</v>
      </c>
      <c r="R4202">
        <v>-6.9039610000000001E-2</v>
      </c>
      <c r="S4202">
        <v>-2.994507</v>
      </c>
      <c r="T4202">
        <v>-0.1149342</v>
      </c>
      <c r="U4202">
        <v>-0.15605160000000001</v>
      </c>
      <c r="V4202">
        <v>-0.10833959999999999</v>
      </c>
      <c r="W4202">
        <v>-9.4881840000000002E-3</v>
      </c>
      <c r="X4202">
        <v>0.99406870000000003</v>
      </c>
      <c r="Y4202">
        <v>-9.1323000000000001E-2</v>
      </c>
      <c r="Z4202">
        <v>-3.353511E-3</v>
      </c>
      <c r="AA4202">
        <v>0.99581569999999997</v>
      </c>
      <c r="AB4202">
        <v>41</v>
      </c>
      <c r="AC4202">
        <v>-28.505499999999898</v>
      </c>
      <c r="AD4202">
        <v>-1.1099377723299999</v>
      </c>
      <c r="AE4202">
        <v>-1.5225</v>
      </c>
      <c r="AF4202">
        <v>-2.64267246801144</v>
      </c>
      <c r="AG4202">
        <v>-1.1099377723299999</v>
      </c>
      <c r="AH4202">
        <v>28.380265525826001</v>
      </c>
      <c r="AI4202">
        <v>92.230030126492807</v>
      </c>
      <c r="AJ4202">
        <v>95.319845237509895</v>
      </c>
      <c r="AK4202">
        <v>28.524641118654198</v>
      </c>
      <c r="AL4202">
        <v>90.5436410352347</v>
      </c>
      <c r="AM4202">
        <v>96.219890474486206</v>
      </c>
      <c r="AN4202">
        <v>1.0000000374417299</v>
      </c>
    </row>
    <row r="4203" spans="1:40" x14ac:dyDescent="0.25">
      <c r="A4203" t="str">
        <f>"20190305135318882"</f>
        <v>20190305135318882</v>
      </c>
      <c r="B4203" t="str">
        <f>"1551765198873807"</f>
        <v>1551765198873807</v>
      </c>
      <c r="C4203" t="s">
        <v>40</v>
      </c>
      <c r="D4203">
        <v>4.2493990000000004</v>
      </c>
      <c r="E4203">
        <v>0.52006549999999996</v>
      </c>
      <c r="F4203" t="s">
        <v>42</v>
      </c>
      <c r="G4203">
        <v>-329.86169999999998</v>
      </c>
      <c r="H4203" s="1">
        <v>-5.0240449999999996E-7</v>
      </c>
      <c r="I4203">
        <v>141.34799999999899</v>
      </c>
      <c r="J4203">
        <v>-304.3698</v>
      </c>
      <c r="K4203">
        <v>1.110104</v>
      </c>
      <c r="L4203">
        <v>142.0128</v>
      </c>
      <c r="M4203">
        <v>-0.9991698</v>
      </c>
      <c r="N4203">
        <v>-1.421497E-2</v>
      </c>
      <c r="O4203">
        <v>3.8179810000000002E-2</v>
      </c>
      <c r="P4203">
        <v>-0.99731460000000005</v>
      </c>
      <c r="Q4203">
        <v>-2.4216399999999999E-2</v>
      </c>
      <c r="R4203">
        <v>-6.9116570000000002E-2</v>
      </c>
      <c r="S4203">
        <v>-2.9997560000000001</v>
      </c>
      <c r="T4203">
        <v>-0.12852640000000001</v>
      </c>
      <c r="U4203">
        <v>-7.5210570000000004E-2</v>
      </c>
      <c r="V4203">
        <v>-0.1071218</v>
      </c>
      <c r="W4203">
        <v>-1.035437E-2</v>
      </c>
      <c r="X4203">
        <v>0.99419199999999996</v>
      </c>
      <c r="Y4203">
        <v>-6.3125009999999995E-2</v>
      </c>
      <c r="Z4203">
        <v>-2.8927050000000002E-3</v>
      </c>
      <c r="AA4203">
        <v>0.99800149999999999</v>
      </c>
      <c r="AB4203">
        <v>41</v>
      </c>
      <c r="AC4203">
        <v>-25.491899999999902</v>
      </c>
      <c r="AD4203">
        <v>-1.1101045024045</v>
      </c>
      <c r="AE4203">
        <v>-0.66480000000001305</v>
      </c>
      <c r="AF4203">
        <v>-1.63459172145451</v>
      </c>
      <c r="AG4203">
        <v>-1.1101045024045</v>
      </c>
      <c r="AH4203">
        <v>25.399790530472799</v>
      </c>
      <c r="AI4203">
        <v>92.497374923759196</v>
      </c>
      <c r="AJ4203">
        <v>93.682165641292897</v>
      </c>
      <c r="AK4203">
        <v>25.476530004967302</v>
      </c>
      <c r="AL4203">
        <v>90.593272294244201</v>
      </c>
      <c r="AM4203">
        <v>96.149757226348498</v>
      </c>
      <c r="AN4203">
        <v>1.0000000129386599</v>
      </c>
    </row>
    <row r="4204" spans="1:40" x14ac:dyDescent="0.25">
      <c r="A4204" t="str">
        <f>"20190305135318905"</f>
        <v>20190305135318905</v>
      </c>
      <c r="B4204" t="str">
        <f>"1551765198894300"</f>
        <v>1551765198894300</v>
      </c>
      <c r="C4204" t="s">
        <v>40</v>
      </c>
      <c r="D4204">
        <v>4.3090830000000002</v>
      </c>
      <c r="E4204">
        <v>0.52186409999999905</v>
      </c>
      <c r="F4204" t="s">
        <v>42</v>
      </c>
      <c r="G4204">
        <v>-328.34309999999999</v>
      </c>
      <c r="H4204" s="1">
        <v>-1.236126E-6</v>
      </c>
      <c r="I4204">
        <v>141.65710000000001</v>
      </c>
      <c r="J4204">
        <v>-304.7722</v>
      </c>
      <c r="K4204">
        <v>1.1102860000000001</v>
      </c>
      <c r="L4204">
        <v>142.02699999999999</v>
      </c>
      <c r="M4204">
        <v>-0.9992238</v>
      </c>
      <c r="N4204">
        <v>-1.422852E-2</v>
      </c>
      <c r="O4204">
        <v>3.6735650000000002E-2</v>
      </c>
      <c r="P4204">
        <v>-0.99730739999999996</v>
      </c>
      <c r="Q4204">
        <v>-2.4564550000000001E-2</v>
      </c>
      <c r="R4204">
        <v>-6.9101579999999996E-2</v>
      </c>
      <c r="S4204">
        <v>-3.001617</v>
      </c>
      <c r="T4204">
        <v>-0.13899310000000001</v>
      </c>
      <c r="U4204">
        <v>-4.4525149999999999E-2</v>
      </c>
      <c r="V4204">
        <v>-0.10566399999999999</v>
      </c>
      <c r="W4204">
        <v>-1.072977E-2</v>
      </c>
      <c r="X4204">
        <v>0.99434400000000001</v>
      </c>
      <c r="Y4204">
        <v>-5.1466419999999999E-2</v>
      </c>
      <c r="Z4204">
        <v>-2.7346990000000002E-3</v>
      </c>
      <c r="AA4204">
        <v>0.99867099999999998</v>
      </c>
      <c r="AB4204">
        <v>41</v>
      </c>
      <c r="AC4204">
        <v>-23.570899999999899</v>
      </c>
      <c r="AD4204">
        <v>-1.1102872361259899</v>
      </c>
      <c r="AE4204">
        <v>-0.36990000000000101</v>
      </c>
      <c r="AF4204">
        <v>-1.2328953241337299</v>
      </c>
      <c r="AG4204">
        <v>-1.1102872361259899</v>
      </c>
      <c r="AH4204">
        <v>23.489291726849299</v>
      </c>
      <c r="AI4204">
        <v>92.702516858064797</v>
      </c>
      <c r="AJ4204">
        <v>93.004557866243005</v>
      </c>
      <c r="AK4204">
        <v>23.547815067560101</v>
      </c>
      <c r="AL4204">
        <v>90.614782333217704</v>
      </c>
      <c r="AM4204">
        <v>96.065774271996204</v>
      </c>
      <c r="AN4204">
        <v>0.99999999959812602</v>
      </c>
    </row>
    <row r="4205" spans="1:40" x14ac:dyDescent="0.25">
      <c r="A4205" t="str">
        <f>"20190305135318926"</f>
        <v>20190305135318926</v>
      </c>
      <c r="B4205" t="str">
        <f>"1551765198924556"</f>
        <v>1551765198924556</v>
      </c>
      <c r="C4205" t="s">
        <v>40</v>
      </c>
      <c r="D4205">
        <v>4.3013629999999896</v>
      </c>
      <c r="E4205">
        <v>0.52310559999999995</v>
      </c>
      <c r="F4205" t="s">
        <v>42</v>
      </c>
      <c r="G4205">
        <v>-327.64370000000002</v>
      </c>
      <c r="H4205" s="1">
        <v>-1.573843E-6</v>
      </c>
      <c r="I4205">
        <v>141.7988</v>
      </c>
      <c r="J4205">
        <v>-305.1671</v>
      </c>
      <c r="K4205">
        <v>1.1104719999999999</v>
      </c>
      <c r="L4205">
        <v>142.0402</v>
      </c>
      <c r="M4205">
        <v>-0.99928130000000004</v>
      </c>
      <c r="N4205">
        <v>-1.4240650000000001E-2</v>
      </c>
      <c r="O4205">
        <v>3.5130080000000001E-2</v>
      </c>
      <c r="P4205">
        <v>-0.99726729999999997</v>
      </c>
      <c r="Q4205">
        <v>-2.504427E-2</v>
      </c>
      <c r="R4205">
        <v>-6.9502709999999995E-2</v>
      </c>
      <c r="S4205">
        <v>-3.0024410000000001</v>
      </c>
      <c r="T4205">
        <v>-0.14575250000000001</v>
      </c>
      <c r="U4205">
        <v>-2.9953E-2</v>
      </c>
      <c r="V4205">
        <v>-0.10445989999999999</v>
      </c>
      <c r="W4205">
        <v>-1.123937E-2</v>
      </c>
      <c r="X4205">
        <v>0.99446559999999995</v>
      </c>
      <c r="Y4205">
        <v>-4.5012240000000002E-2</v>
      </c>
      <c r="Z4205">
        <v>-2.6166610000000002E-3</v>
      </c>
      <c r="AA4205">
        <v>0.99898299999999995</v>
      </c>
      <c r="AB4205">
        <v>41</v>
      </c>
      <c r="AC4205">
        <v>-22.476600000000001</v>
      </c>
      <c r="AD4205">
        <v>-1.1104735738429901</v>
      </c>
      <c r="AE4205">
        <v>-0.24139999999999801</v>
      </c>
      <c r="AF4205">
        <v>-1.0284257588402701</v>
      </c>
      <c r="AG4205">
        <v>-1.1104735738429901</v>
      </c>
      <c r="AH4205">
        <v>22.399572733323101</v>
      </c>
      <c r="AI4205">
        <v>92.835170594862603</v>
      </c>
      <c r="AJ4205">
        <v>92.628760140275105</v>
      </c>
      <c r="AK4205">
        <v>22.450649650624399</v>
      </c>
      <c r="AL4205">
        <v>90.643982016567506</v>
      </c>
      <c r="AM4205">
        <v>95.996430063992506</v>
      </c>
      <c r="AN4205">
        <v>1.0000000118646799</v>
      </c>
    </row>
    <row r="4206" spans="1:40" x14ac:dyDescent="0.25">
      <c r="A4206" t="str">
        <f>"20190305135318948"</f>
        <v>20190305135318948</v>
      </c>
      <c r="B4206" t="str">
        <f>"1551765198944076"</f>
        <v>1551765198944076</v>
      </c>
      <c r="C4206" t="s">
        <v>40</v>
      </c>
      <c r="D4206">
        <v>4.3156049999999997</v>
      </c>
      <c r="E4206">
        <v>0.52383500000000005</v>
      </c>
      <c r="F4206" t="s">
        <v>42</v>
      </c>
      <c r="G4206">
        <v>-326.8723</v>
      </c>
      <c r="H4206" s="1">
        <v>-1.9285560000000001E-6</v>
      </c>
      <c r="I4206">
        <v>141.88810000000001</v>
      </c>
      <c r="J4206">
        <v>-305.57600000000002</v>
      </c>
      <c r="K4206">
        <v>1.110662</v>
      </c>
      <c r="L4206">
        <v>142.05289999999999</v>
      </c>
      <c r="M4206">
        <v>-0.99934449999999997</v>
      </c>
      <c r="N4206">
        <v>-1.4252030000000001E-2</v>
      </c>
      <c r="O4206">
        <v>3.3280070000000002E-2</v>
      </c>
      <c r="P4206">
        <v>-0.99717869999999997</v>
      </c>
      <c r="Q4206">
        <v>-2.5520689999999999E-2</v>
      </c>
      <c r="R4206">
        <v>-7.0594039999999997E-2</v>
      </c>
      <c r="S4206">
        <v>-3.0028990000000002</v>
      </c>
      <c r="T4206">
        <v>-0.15363350000000001</v>
      </c>
      <c r="U4206">
        <v>-2.1026610000000001E-2</v>
      </c>
      <c r="V4206">
        <v>-0.1036996</v>
      </c>
      <c r="W4206">
        <v>-1.17488E-2</v>
      </c>
      <c r="X4206">
        <v>0.99453930000000001</v>
      </c>
      <c r="Y4206">
        <v>-4.019081E-2</v>
      </c>
      <c r="Z4206">
        <v>-2.541279E-3</v>
      </c>
      <c r="AA4206">
        <v>0.99918879999999999</v>
      </c>
      <c r="AB4206">
        <v>41</v>
      </c>
      <c r="AC4206">
        <v>-21.296299999999999</v>
      </c>
      <c r="AD4206">
        <v>-1.110663928556</v>
      </c>
      <c r="AE4206">
        <v>-0.16479999999998499</v>
      </c>
      <c r="AF4206">
        <v>-0.871153667330269</v>
      </c>
      <c r="AG4206">
        <v>-1.110663928556</v>
      </c>
      <c r="AH4206">
        <v>21.2212988293915</v>
      </c>
      <c r="AI4206">
        <v>92.993452098476496</v>
      </c>
      <c r="AJ4206">
        <v>92.3507241239801</v>
      </c>
      <c r="AK4206">
        <v>21.2681923792464</v>
      </c>
      <c r="AL4206">
        <v>90.673172121363294</v>
      </c>
      <c r="AM4206">
        <v>95.952662281959505</v>
      </c>
      <c r="AN4206">
        <v>1.0000000302930401</v>
      </c>
    </row>
    <row r="4207" spans="1:40" x14ac:dyDescent="0.25">
      <c r="A4207" t="str">
        <f>"20190305135318972"</f>
        <v>20190305135318972</v>
      </c>
      <c r="B4207" t="str">
        <f>"1551765198964583"</f>
        <v>1551765198964583</v>
      </c>
      <c r="C4207" t="s">
        <v>40</v>
      </c>
      <c r="D4207">
        <v>4.3037660000000004</v>
      </c>
      <c r="E4207">
        <v>0.52434309999999995</v>
      </c>
      <c r="F4207" t="s">
        <v>42</v>
      </c>
      <c r="G4207">
        <v>-326.66969999999998</v>
      </c>
      <c r="H4207" s="1">
        <v>-2.0248629999999999E-6</v>
      </c>
      <c r="I4207">
        <v>141.92339999999999</v>
      </c>
      <c r="J4207">
        <v>-306.00290000000001</v>
      </c>
      <c r="K4207">
        <v>1.1108480000000001</v>
      </c>
      <c r="L4207">
        <v>142.06530000000001</v>
      </c>
      <c r="M4207">
        <v>-0.99941199999999997</v>
      </c>
      <c r="N4207">
        <v>-1.426235E-2</v>
      </c>
      <c r="O4207">
        <v>3.118481E-2</v>
      </c>
      <c r="P4207">
        <v>-0.99710679999999996</v>
      </c>
      <c r="Q4207">
        <v>-2.4981360000000001E-2</v>
      </c>
      <c r="R4207">
        <v>-7.179402E-2</v>
      </c>
      <c r="S4207">
        <v>-3.0031430000000001</v>
      </c>
      <c r="T4207">
        <v>-0.15812780000000001</v>
      </c>
      <c r="U4207">
        <v>-1.843262E-2</v>
      </c>
      <c r="V4207">
        <v>-0.1028091</v>
      </c>
      <c r="W4207">
        <v>-1.12391E-2</v>
      </c>
      <c r="X4207">
        <v>0.99463760000000001</v>
      </c>
      <c r="Y4207">
        <v>-3.7233549999999997E-2</v>
      </c>
      <c r="Z4207">
        <v>-2.4414200000000001E-3</v>
      </c>
      <c r="AA4207">
        <v>0.99930359999999996</v>
      </c>
      <c r="AB4207">
        <v>41</v>
      </c>
      <c r="AC4207">
        <v>-20.666799999999899</v>
      </c>
      <c r="AD4207">
        <v>-1.110850024863</v>
      </c>
      <c r="AE4207">
        <v>-0.14190000000002001</v>
      </c>
      <c r="AF4207">
        <v>-0.78412137235674495</v>
      </c>
      <c r="AG4207">
        <v>-1.110850024863</v>
      </c>
      <c r="AH4207">
        <v>20.5928286012998</v>
      </c>
      <c r="AI4207">
        <v>93.085512656023894</v>
      </c>
      <c r="AJ4207">
        <v>92.180620837975198</v>
      </c>
      <c r="AK4207">
        <v>20.6376700212702</v>
      </c>
      <c r="AL4207">
        <v>90.643966558604703</v>
      </c>
      <c r="AM4207">
        <v>95.901328160378895</v>
      </c>
      <c r="AN4207">
        <v>0.99999999187268995</v>
      </c>
    </row>
    <row r="4208" spans="1:40" x14ac:dyDescent="0.25">
      <c r="A4208" t="str">
        <f>"20190305135318992"</f>
        <v>20190305135318992</v>
      </c>
      <c r="B4208" t="str">
        <f>"1551765198984092"</f>
        <v>1551765198984092</v>
      </c>
      <c r="C4208" t="s">
        <v>40</v>
      </c>
      <c r="D4208">
        <v>4.3215079999999997</v>
      </c>
      <c r="E4208">
        <v>0.52468340000000002</v>
      </c>
      <c r="F4208" t="s">
        <v>42</v>
      </c>
      <c r="G4208">
        <v>-326.97089999999997</v>
      </c>
      <c r="H4208" s="1">
        <v>-1.900253E-6</v>
      </c>
      <c r="I4208">
        <v>141.94069999999999</v>
      </c>
      <c r="J4208">
        <v>-306.38139999999999</v>
      </c>
      <c r="K4208">
        <v>1.111005</v>
      </c>
      <c r="L4208">
        <v>142.07550000000001</v>
      </c>
      <c r="M4208">
        <v>-0.99947140000000001</v>
      </c>
      <c r="N4208">
        <v>-1.426972E-2</v>
      </c>
      <c r="O4208">
        <v>2.9209590000000001E-2</v>
      </c>
      <c r="P4208">
        <v>-0.997035</v>
      </c>
      <c r="Q4208">
        <v>-2.3561490000000001E-2</v>
      </c>
      <c r="R4208">
        <v>-7.3253579999999999E-2</v>
      </c>
      <c r="S4208">
        <v>-3.003387</v>
      </c>
      <c r="T4208">
        <v>-0.15911510000000001</v>
      </c>
      <c r="U4208">
        <v>-1.7837519999999999E-2</v>
      </c>
      <c r="V4208">
        <v>-0.10230359999999999</v>
      </c>
      <c r="W4208">
        <v>-9.8433870000000003E-3</v>
      </c>
      <c r="X4208">
        <v>0.99470449999999999</v>
      </c>
      <c r="Y4208">
        <v>-3.5064249999999998E-2</v>
      </c>
      <c r="Z4208">
        <v>-2.3081830000000001E-3</v>
      </c>
      <c r="AA4208">
        <v>0.9993824</v>
      </c>
      <c r="AB4208">
        <v>41</v>
      </c>
      <c r="AC4208">
        <v>-20.589499999999902</v>
      </c>
      <c r="AD4208">
        <v>-1.1110069002529901</v>
      </c>
      <c r="AE4208">
        <v>-0.13480000000001199</v>
      </c>
      <c r="AF4208">
        <v>-0.73407729477806405</v>
      </c>
      <c r="AG4208">
        <v>-1.1110069002529901</v>
      </c>
      <c r="AH4208">
        <v>20.517038746370901</v>
      </c>
      <c r="AI4208">
        <v>93.097586914774197</v>
      </c>
      <c r="AJ4208">
        <v>92.0491064958523</v>
      </c>
      <c r="AK4208">
        <v>20.560206339606701</v>
      </c>
      <c r="AL4208">
        <v>90.5639936501873</v>
      </c>
      <c r="AM4208">
        <v>95.872123117327703</v>
      </c>
      <c r="AN4208">
        <v>0.99999998058041994</v>
      </c>
    </row>
    <row r="4209" spans="1:40" x14ac:dyDescent="0.25">
      <c r="A4209" t="str">
        <f>"20190305135319015"</f>
        <v>20190305135319015</v>
      </c>
      <c r="B4209" t="str">
        <f>"1551765199004588"</f>
        <v>1551765199004588</v>
      </c>
      <c r="C4209" t="s">
        <v>40</v>
      </c>
      <c r="D4209">
        <v>4.303509</v>
      </c>
      <c r="E4209">
        <v>0.52492939999999999</v>
      </c>
      <c r="F4209" t="s">
        <v>42</v>
      </c>
      <c r="G4209">
        <v>-327.45030000000003</v>
      </c>
      <c r="H4209" s="1">
        <v>-1.6943710000000001E-6</v>
      </c>
      <c r="I4209">
        <v>141.93989999999999</v>
      </c>
      <c r="J4209">
        <v>-306.77800000000002</v>
      </c>
      <c r="K4209">
        <v>1.111146</v>
      </c>
      <c r="L4209">
        <v>142.08519999999999</v>
      </c>
      <c r="M4209">
        <v>-0.99953239999999999</v>
      </c>
      <c r="N4209">
        <v>-1.427609E-2</v>
      </c>
      <c r="O4209">
        <v>2.7042429999999999E-2</v>
      </c>
      <c r="P4209">
        <v>-0.99696229999999997</v>
      </c>
      <c r="Q4209">
        <v>-2.2337949999999999E-2</v>
      </c>
      <c r="R4209">
        <v>-7.4614479999999997E-2</v>
      </c>
      <c r="S4209">
        <v>-3.0037539999999998</v>
      </c>
      <c r="T4209">
        <v>-0.158394799999999</v>
      </c>
      <c r="U4209">
        <v>-1.9317629999999999E-2</v>
      </c>
      <c r="V4209">
        <v>-0.1015088</v>
      </c>
      <c r="W4209">
        <v>-8.6393540000000001E-3</v>
      </c>
      <c r="X4209">
        <v>0.99479709999999999</v>
      </c>
      <c r="Y4209">
        <v>-3.3394359999999998E-2</v>
      </c>
      <c r="Z4209">
        <v>-2.1574540000000001E-3</v>
      </c>
      <c r="AA4209">
        <v>0.99943990000000005</v>
      </c>
      <c r="AB4209">
        <v>41</v>
      </c>
      <c r="AC4209">
        <v>-20.6723</v>
      </c>
      <c r="AD4209">
        <v>-1.1111476943709999</v>
      </c>
      <c r="AE4209">
        <v>-0.14529999999999099</v>
      </c>
      <c r="AF4209">
        <v>-0.70230407688118801</v>
      </c>
      <c r="AG4209">
        <v>-1.1111476943709999</v>
      </c>
      <c r="AH4209">
        <v>20.601291938280902</v>
      </c>
      <c r="AI4209">
        <v>93.085514848331499</v>
      </c>
      <c r="AJ4209">
        <v>91.952473786874094</v>
      </c>
      <c r="AK4209">
        <v>20.643185552171602</v>
      </c>
      <c r="AL4209">
        <v>90.4950046933713</v>
      </c>
      <c r="AM4209">
        <v>95.826278862114705</v>
      </c>
      <c r="AN4209">
        <v>0.99999997254169304</v>
      </c>
    </row>
    <row r="4210" spans="1:40" x14ac:dyDescent="0.25">
      <c r="A4210" t="str">
        <f>"20190305135319038"</f>
        <v>20190305135319038</v>
      </c>
      <c r="B4210" t="str">
        <f>"1551765199033868"</f>
        <v>1551765199033868</v>
      </c>
      <c r="C4210" t="s">
        <v>40</v>
      </c>
      <c r="D4210">
        <v>4.3078130000000003</v>
      </c>
      <c r="E4210">
        <v>0.52529530000000002</v>
      </c>
      <c r="F4210" t="s">
        <v>42</v>
      </c>
      <c r="G4210">
        <v>-328.24619999999999</v>
      </c>
      <c r="H4210" s="1">
        <v>-1.3507569999999999E-6</v>
      </c>
      <c r="I4210">
        <v>141.93180000000001</v>
      </c>
      <c r="J4210">
        <v>-307.1961</v>
      </c>
      <c r="K4210">
        <v>1.111264</v>
      </c>
      <c r="L4210">
        <v>142.09450000000001</v>
      </c>
      <c r="M4210">
        <v>-0.99959330000000002</v>
      </c>
      <c r="N4210">
        <v>-1.4281459999999999E-2</v>
      </c>
      <c r="O4210">
        <v>2.4683739999999999E-2</v>
      </c>
      <c r="P4210">
        <v>-0.99684450000000002</v>
      </c>
      <c r="Q4210">
        <v>-2.0998070000000001E-2</v>
      </c>
      <c r="R4210">
        <v>-7.6550549999999995E-2</v>
      </c>
      <c r="S4210">
        <v>-3.004089</v>
      </c>
      <c r="T4210">
        <v>-0.1554855</v>
      </c>
      <c r="U4210">
        <v>-2.1453860000000002E-2</v>
      </c>
      <c r="V4210">
        <v>-0.1010991</v>
      </c>
      <c r="W4210">
        <v>-7.3182569999999999E-3</v>
      </c>
      <c r="X4210">
        <v>0.99484939999999999</v>
      </c>
      <c r="Y4210">
        <v>-3.1753259999999998E-2</v>
      </c>
      <c r="Z4210">
        <v>-1.9723900000000001E-3</v>
      </c>
      <c r="AA4210">
        <v>0.99949379999999999</v>
      </c>
      <c r="AB4210">
        <v>41</v>
      </c>
      <c r="AC4210">
        <v>-21.050099999999901</v>
      </c>
      <c r="AD4210">
        <v>-1.1112653507570001</v>
      </c>
      <c r="AE4210">
        <v>-0.16270000000000001</v>
      </c>
      <c r="AF4210">
        <v>-0.68040247953562205</v>
      </c>
      <c r="AG4210">
        <v>-1.1112653507570001</v>
      </c>
      <c r="AH4210">
        <v>20.981198688763399</v>
      </c>
      <c r="AI4210">
        <v>93.030237581094696</v>
      </c>
      <c r="AJ4210">
        <v>91.857402607721198</v>
      </c>
      <c r="AK4210">
        <v>21.0216211703884</v>
      </c>
      <c r="AL4210">
        <v>90.419309000479998</v>
      </c>
      <c r="AM4210">
        <v>95.802621217647996</v>
      </c>
      <c r="AN4210">
        <v>0.99999995679334297</v>
      </c>
    </row>
    <row r="4211" spans="1:40" x14ac:dyDescent="0.25">
      <c r="A4211" t="str">
        <f>"20190305135319061"</f>
        <v>20190305135319061</v>
      </c>
      <c r="B4211" t="str">
        <f>"1551765199054364"</f>
        <v>1551765199054364</v>
      </c>
      <c r="C4211" t="s">
        <v>40</v>
      </c>
      <c r="D4211">
        <v>4.3316350000000003</v>
      </c>
      <c r="E4211">
        <v>0.52553870000000003</v>
      </c>
      <c r="F4211" t="s">
        <v>42</v>
      </c>
      <c r="G4211">
        <v>-329.06729999999999</v>
      </c>
      <c r="H4211" s="1">
        <v>-9.945334E-7</v>
      </c>
      <c r="I4211">
        <v>141.91679999999999</v>
      </c>
      <c r="J4211">
        <v>-307.61430000000001</v>
      </c>
      <c r="K4211">
        <v>1.1113519999999999</v>
      </c>
      <c r="L4211">
        <v>142.1028</v>
      </c>
      <c r="M4211">
        <v>-0.99964989999999998</v>
      </c>
      <c r="N4211">
        <v>-1.4285549999999999E-2</v>
      </c>
      <c r="O4211">
        <v>2.2276150000000002E-2</v>
      </c>
      <c r="P4211">
        <v>-0.99671399999999999</v>
      </c>
      <c r="Q4211">
        <v>-2.0761370000000001E-2</v>
      </c>
      <c r="R4211">
        <v>-7.8295820000000002E-2</v>
      </c>
      <c r="S4211">
        <v>-3.0043950000000001</v>
      </c>
      <c r="T4211">
        <v>-0.15265210000000001</v>
      </c>
      <c r="U4211">
        <v>-2.4398799999999998E-2</v>
      </c>
      <c r="V4211">
        <v>-0.10044459999999999</v>
      </c>
      <c r="W4211">
        <v>-7.0950040000000002E-3</v>
      </c>
      <c r="X4211">
        <v>0.9949173</v>
      </c>
      <c r="Y4211">
        <v>-3.0331460000000001E-2</v>
      </c>
      <c r="Z4211">
        <v>-1.799847E-3</v>
      </c>
      <c r="AA4211">
        <v>0.99953829999999999</v>
      </c>
      <c r="AB4211">
        <v>41</v>
      </c>
      <c r="AC4211">
        <v>-21.4529999999999</v>
      </c>
      <c r="AD4211">
        <v>-1.1113529945334</v>
      </c>
      <c r="AE4211">
        <v>-0.18600000000000699</v>
      </c>
      <c r="AF4211">
        <v>-0.66211603550020104</v>
      </c>
      <c r="AG4211">
        <v>-1.1113529945334</v>
      </c>
      <c r="AH4211">
        <v>21.386142803578299</v>
      </c>
      <c r="AI4211">
        <v>92.973336416873494</v>
      </c>
      <c r="AJ4211">
        <v>91.773313714758899</v>
      </c>
      <c r="AK4211">
        <v>21.425232954112001</v>
      </c>
      <c r="AL4211">
        <v>90.406517217732997</v>
      </c>
      <c r="AM4211">
        <v>95.764918998678496</v>
      </c>
      <c r="AN4211">
        <v>0.99999994529510305</v>
      </c>
    </row>
    <row r="4212" spans="1:40" x14ac:dyDescent="0.25">
      <c r="A4212" t="str">
        <f>"20190305135319083"</f>
        <v>20190305135319083</v>
      </c>
      <c r="B4212" t="str">
        <f>"1551765199073884"</f>
        <v>1551765199073884</v>
      </c>
      <c r="C4212" t="s">
        <v>40</v>
      </c>
      <c r="D4212">
        <v>4.3318469999999998</v>
      </c>
      <c r="E4212">
        <v>0.52567949999999997</v>
      </c>
      <c r="F4212" t="s">
        <v>42</v>
      </c>
      <c r="G4212">
        <v>-329.22199999999998</v>
      </c>
      <c r="H4212" s="1">
        <v>-9.247361E-7</v>
      </c>
      <c r="I4212">
        <v>141.90379999999999</v>
      </c>
      <c r="J4212">
        <v>-308.0154</v>
      </c>
      <c r="K4212">
        <v>1.1114120000000001</v>
      </c>
      <c r="L4212">
        <v>142.10990000000001</v>
      </c>
      <c r="M4212">
        <v>-0.99969909999999995</v>
      </c>
      <c r="N4212">
        <v>-1.42883E-2</v>
      </c>
      <c r="O4212">
        <v>1.9943869999999999E-2</v>
      </c>
      <c r="P4212">
        <v>-0.99655099999999996</v>
      </c>
      <c r="Q4212">
        <v>-2.1405629999999998E-2</v>
      </c>
      <c r="R4212">
        <v>-8.0175880000000005E-2</v>
      </c>
      <c r="S4212">
        <v>-3.004486</v>
      </c>
      <c r="T4212">
        <v>-0.1545308</v>
      </c>
      <c r="U4212">
        <v>-2.766418E-2</v>
      </c>
      <c r="V4212">
        <v>-9.9995260000000002E-2</v>
      </c>
      <c r="W4212">
        <v>-7.7502100000000004E-3</v>
      </c>
      <c r="X4212">
        <v>0.99495769999999994</v>
      </c>
      <c r="Y4212">
        <v>-2.908757E-2</v>
      </c>
      <c r="Z4212">
        <v>-1.695731E-3</v>
      </c>
      <c r="AA4212">
        <v>0.9995754</v>
      </c>
      <c r="AB4212">
        <v>41</v>
      </c>
      <c r="AC4212">
        <v>-21.206599999999899</v>
      </c>
      <c r="AD4212">
        <v>-1.1114129247361</v>
      </c>
      <c r="AE4212">
        <v>-0.20610000000001999</v>
      </c>
      <c r="AF4212">
        <v>-0.62732091855010197</v>
      </c>
      <c r="AG4212">
        <v>-1.1114129247361</v>
      </c>
      <c r="AH4212">
        <v>21.140210315588099</v>
      </c>
      <c r="AI4212">
        <v>93.008142106559205</v>
      </c>
      <c r="AJ4212">
        <v>91.699713298802394</v>
      </c>
      <c r="AK4212">
        <v>21.1786983172106</v>
      </c>
      <c r="AL4212">
        <v>90.444058781622005</v>
      </c>
      <c r="AM4212">
        <v>95.739070634662596</v>
      </c>
      <c r="AN4212">
        <v>0.99999997128340001</v>
      </c>
    </row>
    <row r="4213" spans="1:40" x14ac:dyDescent="0.25">
      <c r="A4213" t="str">
        <f>"20190305135319105"</f>
        <v>20190305135319105</v>
      </c>
      <c r="B4213" t="str">
        <f>"1551765199094380"</f>
        <v>1551765199094380</v>
      </c>
      <c r="C4213" t="s">
        <v>40</v>
      </c>
      <c r="D4213">
        <v>4.3453109999999997</v>
      </c>
      <c r="E4213">
        <v>0.52581199999999995</v>
      </c>
      <c r="F4213" t="s">
        <v>42</v>
      </c>
      <c r="G4213">
        <v>-329.06110000000001</v>
      </c>
      <c r="H4213" s="1">
        <v>-9.8860440000000002E-7</v>
      </c>
      <c r="I4213">
        <v>141.8845</v>
      </c>
      <c r="J4213">
        <v>-308.3974</v>
      </c>
      <c r="K4213">
        <v>1.1114539999999999</v>
      </c>
      <c r="L4213">
        <v>142.1156</v>
      </c>
      <c r="M4213">
        <v>-0.99974070000000004</v>
      </c>
      <c r="N4213">
        <v>-1.4290199999999999E-2</v>
      </c>
      <c r="O4213">
        <v>1.7726780000000001E-2</v>
      </c>
      <c r="P4213">
        <v>-0.99634829999999996</v>
      </c>
      <c r="Q4213">
        <v>-2.3049150000000001E-2</v>
      </c>
      <c r="R4213">
        <v>-8.2211419999999993E-2</v>
      </c>
      <c r="S4213">
        <v>-3.0044249999999999</v>
      </c>
      <c r="T4213">
        <v>-0.1586632</v>
      </c>
      <c r="U4213">
        <v>-3.2165529999999998E-2</v>
      </c>
      <c r="V4213">
        <v>-9.9810720000000006E-2</v>
      </c>
      <c r="W4213">
        <v>-9.4022930000000008E-3</v>
      </c>
      <c r="X4213">
        <v>0.99496200000000001</v>
      </c>
      <c r="Y4213">
        <v>-2.8367949999999999E-2</v>
      </c>
      <c r="Z4213">
        <v>-1.633652E-3</v>
      </c>
      <c r="AA4213">
        <v>0.99959620000000005</v>
      </c>
      <c r="AB4213">
        <v>41</v>
      </c>
      <c r="AC4213">
        <v>-20.663699999999999</v>
      </c>
      <c r="AD4213">
        <v>-1.1114549886043901</v>
      </c>
      <c r="AE4213">
        <v>-0.231099999999997</v>
      </c>
      <c r="AF4213">
        <v>-0.595678806359206</v>
      </c>
      <c r="AG4213">
        <v>-1.1114549886043901</v>
      </c>
      <c r="AH4213">
        <v>20.596773695306901</v>
      </c>
      <c r="AI4213">
        <v>93.087543582608802</v>
      </c>
      <c r="AJ4213">
        <v>91.6565881218052</v>
      </c>
      <c r="AK4213">
        <v>20.635339883019299</v>
      </c>
      <c r="AL4213">
        <v>90.538719653853505</v>
      </c>
      <c r="AM4213">
        <v>95.728525166174805</v>
      </c>
      <c r="AN4213">
        <v>0.99999998219228803</v>
      </c>
    </row>
    <row r="4214" spans="1:40" x14ac:dyDescent="0.25">
      <c r="A4214" t="str">
        <f>"20190305135319127"</f>
        <v>20190305135319127</v>
      </c>
      <c r="B4214" t="str">
        <f>"1551765199124636"</f>
        <v>1551765199124636</v>
      </c>
      <c r="C4214" t="s">
        <v>40</v>
      </c>
      <c r="D4214">
        <v>4.3277429999999999</v>
      </c>
      <c r="E4214">
        <v>0.52593190000000001</v>
      </c>
      <c r="F4214" t="s">
        <v>42</v>
      </c>
      <c r="G4214">
        <v>-328.53469999999999</v>
      </c>
      <c r="H4214" s="1">
        <v>-1.2095259999999999E-6</v>
      </c>
      <c r="I4214">
        <v>141.86609999999999</v>
      </c>
      <c r="J4214">
        <v>-308.7998</v>
      </c>
      <c r="K4214">
        <v>1.111475</v>
      </c>
      <c r="L4214">
        <v>142.1208</v>
      </c>
      <c r="M4214">
        <v>-0.99977899999999997</v>
      </c>
      <c r="N4214">
        <v>-1.429132E-2</v>
      </c>
      <c r="O4214">
        <v>1.541849E-2</v>
      </c>
      <c r="P4214">
        <v>-0.996174</v>
      </c>
      <c r="Q4214">
        <v>-2.4334459999999999E-2</v>
      </c>
      <c r="R4214">
        <v>-8.3936839999999999E-2</v>
      </c>
      <c r="S4214">
        <v>-3.0041199999999999</v>
      </c>
      <c r="T4214">
        <v>-0.1658094</v>
      </c>
      <c r="U4214">
        <v>-3.7216190000000003E-2</v>
      </c>
      <c r="V4214">
        <v>-9.9227750000000003E-2</v>
      </c>
      <c r="W4214">
        <v>-1.0689189999999999E-2</v>
      </c>
      <c r="X4214">
        <v>0.99500730000000004</v>
      </c>
      <c r="Y4214">
        <v>-2.7738800000000001E-2</v>
      </c>
      <c r="Z4214">
        <v>-1.5934089999999901E-3</v>
      </c>
      <c r="AA4214">
        <v>0.99961390000000006</v>
      </c>
      <c r="AB4214">
        <v>41</v>
      </c>
      <c r="AC4214">
        <v>-19.7348999999999</v>
      </c>
      <c r="AD4214">
        <v>-1.111476209526</v>
      </c>
      <c r="AE4214">
        <v>-0.25470000000001303</v>
      </c>
      <c r="AF4214">
        <v>-0.55721596693495801</v>
      </c>
      <c r="AG4214">
        <v>-1.111476209526</v>
      </c>
      <c r="AH4214">
        <v>19.6662555172745</v>
      </c>
      <c r="AI4214">
        <v>93.2334449999654</v>
      </c>
      <c r="AJ4214">
        <v>91.622961926226097</v>
      </c>
      <c r="AK4214">
        <v>19.705518898747101</v>
      </c>
      <c r="AL4214">
        <v>90.612457157653395</v>
      </c>
      <c r="AM4214">
        <v>95.695029267041505</v>
      </c>
      <c r="AN4214">
        <v>0.99999996610310304</v>
      </c>
    </row>
    <row r="4215" spans="1:40" x14ac:dyDescent="0.25">
      <c r="A4215" t="str">
        <f>"20190305135319142"</f>
        <v>20190305135319142</v>
      </c>
      <c r="B4215" t="str">
        <f>"1551765199134397"</f>
        <v>1551765199134397</v>
      </c>
      <c r="C4215" t="s">
        <v>40</v>
      </c>
      <c r="D4215">
        <v>4.3398469999999998</v>
      </c>
      <c r="E4215">
        <v>0.5261226</v>
      </c>
      <c r="F4215" t="s">
        <v>42</v>
      </c>
      <c r="G4215">
        <v>-328.23070000000001</v>
      </c>
      <c r="H4215" s="1">
        <v>-1.336592E-6</v>
      </c>
      <c r="I4215">
        <v>141.8535</v>
      </c>
      <c r="J4215">
        <v>-309.08280000000002</v>
      </c>
      <c r="K4215">
        <v>1.1114809999999999</v>
      </c>
      <c r="L4215">
        <v>142.12389999999999</v>
      </c>
      <c r="M4215">
        <v>-0.99980250000000004</v>
      </c>
      <c r="N4215">
        <v>-1.429162E-2</v>
      </c>
      <c r="O4215">
        <v>1.3820789999999999E-2</v>
      </c>
      <c r="P4215">
        <v>-0.99603090000000005</v>
      </c>
      <c r="Q4215">
        <v>-2.4715870000000001E-2</v>
      </c>
      <c r="R4215">
        <v>-8.5509230000000006E-2</v>
      </c>
      <c r="S4215">
        <v>-3.0038149999999999</v>
      </c>
      <c r="T4215">
        <v>-0.17182339999999999</v>
      </c>
      <c r="U4215">
        <v>-4.1320799999999998E-2</v>
      </c>
      <c r="V4215">
        <v>-9.9206000000000003E-2</v>
      </c>
      <c r="W4215">
        <v>-1.107151E-2</v>
      </c>
      <c r="X4215">
        <v>0.99500529999999998</v>
      </c>
      <c r="Y4215">
        <v>-2.7505459999999999E-2</v>
      </c>
      <c r="Z4215">
        <v>-1.575258E-3</v>
      </c>
      <c r="AA4215">
        <v>0.99962039999999996</v>
      </c>
      <c r="AB4215">
        <v>40</v>
      </c>
      <c r="AC4215">
        <v>-19.1479</v>
      </c>
      <c r="AD4215">
        <v>-1.1114823365919999</v>
      </c>
      <c r="AE4215">
        <v>-0.27039999999999498</v>
      </c>
      <c r="AF4215">
        <v>-0.53324386740101604</v>
      </c>
      <c r="AG4215">
        <v>-1.1114823365919999</v>
      </c>
      <c r="AH4215">
        <v>19.078062929375299</v>
      </c>
      <c r="AI4215">
        <v>93.332967564652805</v>
      </c>
      <c r="AJ4215">
        <v>91.601036258602704</v>
      </c>
      <c r="AK4215">
        <v>19.1178510074716</v>
      </c>
      <c r="AL4215">
        <v>90.6343637701831</v>
      </c>
      <c r="AM4215">
        <v>95.693800530744397</v>
      </c>
      <c r="AN4215">
        <v>0.99999997789888395</v>
      </c>
    </row>
    <row r="4216" spans="1:40" x14ac:dyDescent="0.25">
      <c r="A4216" t="str">
        <f>"20190305135319155"</f>
        <v>20190305135319155</v>
      </c>
      <c r="B4216" t="str">
        <f>"1551765199144156"</f>
        <v>1551765199144156</v>
      </c>
      <c r="C4216" t="s">
        <v>40</v>
      </c>
      <c r="D4216">
        <v>4.3311919999999997</v>
      </c>
      <c r="E4216">
        <v>0.5261226</v>
      </c>
      <c r="F4216" t="s">
        <v>42</v>
      </c>
      <c r="G4216">
        <v>-328.42509999999999</v>
      </c>
      <c r="H4216" s="1">
        <v>-1.248601E-6</v>
      </c>
      <c r="I4216">
        <v>141.83619999999999</v>
      </c>
      <c r="J4216">
        <v>-309.31610000000001</v>
      </c>
      <c r="K4216">
        <v>1.1114790000000001</v>
      </c>
      <c r="L4216">
        <v>142.12610000000001</v>
      </c>
      <c r="M4216">
        <v>-0.99981949999999997</v>
      </c>
      <c r="N4216">
        <v>-1.4291389999999999E-2</v>
      </c>
      <c r="O4216">
        <v>1.252121E-2</v>
      </c>
      <c r="P4216">
        <v>-0.99594269999999996</v>
      </c>
      <c r="Q4216">
        <v>-2.4914189999999999E-2</v>
      </c>
      <c r="R4216">
        <v>-8.6472679999999996E-2</v>
      </c>
      <c r="S4216">
        <v>-3.0038450000000001</v>
      </c>
      <c r="T4216">
        <v>-0.1726125</v>
      </c>
      <c r="U4216">
        <v>-4.4662479999999997E-2</v>
      </c>
      <c r="V4216">
        <v>-9.8873649999999993E-2</v>
      </c>
      <c r="W4216">
        <v>-1.1267310000000001E-2</v>
      </c>
      <c r="X4216">
        <v>0.99503620000000004</v>
      </c>
      <c r="Y4216">
        <v>-2.7318780000000001E-2</v>
      </c>
      <c r="Z4216">
        <v>-1.519718E-3</v>
      </c>
      <c r="AA4216">
        <v>0.9996256</v>
      </c>
      <c r="AB4216">
        <v>40</v>
      </c>
      <c r="AC4216">
        <v>-19.108999999999899</v>
      </c>
      <c r="AD4216">
        <v>-1.111480248601</v>
      </c>
      <c r="AE4216">
        <v>-0.28990000000001698</v>
      </c>
      <c r="AF4216">
        <v>-0.52738566216403004</v>
      </c>
      <c r="AG4216">
        <v>-1.111480248601</v>
      </c>
      <c r="AH4216">
        <v>19.039471899183699</v>
      </c>
      <c r="AI4216">
        <v>93.339724865026994</v>
      </c>
      <c r="AJ4216">
        <v>91.586664176704701</v>
      </c>
      <c r="AK4216">
        <v>19.079177502698901</v>
      </c>
      <c r="AL4216">
        <v>90.645582972808796</v>
      </c>
      <c r="AM4216">
        <v>95.674675363502899</v>
      </c>
      <c r="AN4216">
        <v>0.99999999512469895</v>
      </c>
    </row>
    <row r="4217" spans="1:40" x14ac:dyDescent="0.25">
      <c r="A4217" t="str">
        <f>"20190305135319172"</f>
        <v>20190305135319172</v>
      </c>
      <c r="B4217" t="str">
        <f>"1551765199164652"</f>
        <v>1551765199164652</v>
      </c>
      <c r="C4217" t="s">
        <v>40</v>
      </c>
      <c r="D4217">
        <v>4.3421209999999997</v>
      </c>
      <c r="E4217">
        <v>0.54801169999999899</v>
      </c>
      <c r="F4217" t="s">
        <v>42</v>
      </c>
      <c r="G4217">
        <v>-328.6003</v>
      </c>
      <c r="H4217" s="1">
        <v>-1.1693519999999999E-6</v>
      </c>
      <c r="I4217">
        <v>141.821</v>
      </c>
      <c r="J4217">
        <v>-309.6223</v>
      </c>
      <c r="K4217">
        <v>1.1114660000000001</v>
      </c>
      <c r="L4217">
        <v>142.12860000000001</v>
      </c>
      <c r="M4217">
        <v>-0.99983909999999998</v>
      </c>
      <c r="N4217">
        <v>-1.4290840000000001E-2</v>
      </c>
      <c r="O4217">
        <v>1.0840260000000001E-2</v>
      </c>
      <c r="P4217">
        <v>-0.99586370000000002</v>
      </c>
      <c r="Q4217">
        <v>-2.484869E-2</v>
      </c>
      <c r="R4217">
        <v>-8.7396719999999997E-2</v>
      </c>
      <c r="S4217">
        <v>-3.0037539999999998</v>
      </c>
      <c r="T4217">
        <v>-0.17312669999999999</v>
      </c>
      <c r="U4217">
        <v>-4.7515870000000002E-2</v>
      </c>
      <c r="V4217">
        <v>-9.8125459999999998E-2</v>
      </c>
      <c r="W4217">
        <v>-1.1194580000000001E-2</v>
      </c>
      <c r="X4217">
        <v>0.99511110000000003</v>
      </c>
      <c r="Y4217">
        <v>-2.6590679999999998E-2</v>
      </c>
      <c r="Z4217">
        <v>-1.425265E-3</v>
      </c>
      <c r="AA4217">
        <v>0.99964540000000002</v>
      </c>
      <c r="AB4217">
        <v>40</v>
      </c>
      <c r="AC4217">
        <v>-18.978000000000002</v>
      </c>
      <c r="AD4217">
        <v>-1.111467169352</v>
      </c>
      <c r="AE4217">
        <v>-0.30760000000000698</v>
      </c>
      <c r="AF4217">
        <v>-0.51157515622641803</v>
      </c>
      <c r="AG4217">
        <v>-1.111467169352</v>
      </c>
      <c r="AH4217">
        <v>18.9087102861006</v>
      </c>
      <c r="AI4217">
        <v>93.362787317191703</v>
      </c>
      <c r="AJ4217">
        <v>91.549759259473205</v>
      </c>
      <c r="AK4217">
        <v>18.948255674143201</v>
      </c>
      <c r="AL4217">
        <v>90.641415576488001</v>
      </c>
      <c r="AM4217">
        <v>95.631590273069506</v>
      </c>
      <c r="AN4217">
        <v>1.00000001293239</v>
      </c>
    </row>
    <row r="4218" spans="1:40" x14ac:dyDescent="0.25">
      <c r="A4218" t="str">
        <f>"20190305135319187"</f>
        <v>20190305135319187</v>
      </c>
      <c r="B4218" t="str">
        <f>"1551765199184173"</f>
        <v>1551765199184173</v>
      </c>
      <c r="C4218" t="s">
        <v>40</v>
      </c>
      <c r="D4218">
        <v>4.3530139999999999</v>
      </c>
      <c r="E4218">
        <v>0.55048469999999905</v>
      </c>
      <c r="F4218" t="s">
        <v>42</v>
      </c>
      <c r="G4218">
        <v>-346.46159999999998</v>
      </c>
      <c r="H4218" s="1">
        <v>-2.5588649999999999E-6</v>
      </c>
      <c r="I4218">
        <v>143.59479999999999</v>
      </c>
      <c r="J4218">
        <v>-309.8827</v>
      </c>
      <c r="K4218">
        <v>1.11145</v>
      </c>
      <c r="L4218">
        <v>142.13030000000001</v>
      </c>
      <c r="M4218">
        <v>-0.9998534</v>
      </c>
      <c r="N4218">
        <v>-1.4290260000000001E-2</v>
      </c>
      <c r="O4218">
        <v>9.4373779999999997E-3</v>
      </c>
      <c r="P4218">
        <v>-0.99578069999999996</v>
      </c>
      <c r="Q4218">
        <v>-2.4558480000000001E-2</v>
      </c>
      <c r="R4218">
        <v>-8.8419319999999996E-2</v>
      </c>
      <c r="S4218">
        <v>-3.0207820000000001</v>
      </c>
      <c r="T4218">
        <v>-9.1139319999999996E-2</v>
      </c>
      <c r="U4218">
        <v>0.12023929999999999</v>
      </c>
      <c r="V4218">
        <v>-9.7752820000000004E-2</v>
      </c>
      <c r="W4218">
        <v>-1.0898379999999999E-2</v>
      </c>
      <c r="X4218">
        <v>0.99515100000000001</v>
      </c>
      <c r="Y4218">
        <v>3.032075E-2</v>
      </c>
      <c r="Z4218">
        <v>5.2419909999999997E-4</v>
      </c>
      <c r="AA4218">
        <v>0.99954010000000004</v>
      </c>
      <c r="AB4218">
        <v>40</v>
      </c>
      <c r="AC4218">
        <v>-36.578899999999898</v>
      </c>
      <c r="AD4218">
        <v>-1.1114525588649999</v>
      </c>
      <c r="AE4218">
        <v>1.4644999999999799</v>
      </c>
      <c r="AF4218">
        <v>1.11815993345072</v>
      </c>
      <c r="AG4218">
        <v>-1.1114525588649999</v>
      </c>
      <c r="AH4218">
        <v>36.557395450563803</v>
      </c>
      <c r="AI4218">
        <v>91.740610623859098</v>
      </c>
      <c r="AJ4218">
        <v>88.248073284908202</v>
      </c>
      <c r="AK4218">
        <v>36.591375630827002</v>
      </c>
      <c r="AL4218">
        <v>90.624443570109193</v>
      </c>
      <c r="AM4218">
        <v>95.610117008429299</v>
      </c>
      <c r="AN4218">
        <v>0.99999995065278702</v>
      </c>
    </row>
    <row r="4219" spans="1:40" x14ac:dyDescent="0.25">
      <c r="A4219" t="str">
        <f>"20190305135319205"</f>
        <v>20190305135319205</v>
      </c>
      <c r="B4219" t="str">
        <f>"1551765199193932"</f>
        <v>1551765199193932</v>
      </c>
      <c r="C4219" t="s">
        <v>40</v>
      </c>
      <c r="D4219">
        <v>4.3307599999999997</v>
      </c>
      <c r="E4219">
        <v>0.55108959999999996</v>
      </c>
      <c r="F4219" t="s">
        <v>42</v>
      </c>
      <c r="G4219">
        <v>-354.89690000000002</v>
      </c>
      <c r="H4219" s="1">
        <v>-3.3798889999999999E-6</v>
      </c>
      <c r="I4219">
        <v>144.15770000000001</v>
      </c>
      <c r="J4219">
        <v>-310.21660000000003</v>
      </c>
      <c r="K4219">
        <v>1.111415</v>
      </c>
      <c r="L4219">
        <v>142.13210000000001</v>
      </c>
      <c r="M4219">
        <v>-0.99986850000000005</v>
      </c>
      <c r="N4219">
        <v>-1.4289019999999999E-2</v>
      </c>
      <c r="O4219">
        <v>7.689853E-3</v>
      </c>
      <c r="P4219">
        <v>-0.99567689999999998</v>
      </c>
      <c r="Q4219">
        <v>-2.4496130000000001E-2</v>
      </c>
      <c r="R4219">
        <v>-8.9598949999999997E-2</v>
      </c>
      <c r="S4219">
        <v>-3.0229490000000001</v>
      </c>
      <c r="T4219">
        <v>-7.4640150000000002E-2</v>
      </c>
      <c r="U4219">
        <v>0.1361542</v>
      </c>
      <c r="V4219">
        <v>-9.7193879999999996E-2</v>
      </c>
      <c r="W4219">
        <v>-1.082574E-2</v>
      </c>
      <c r="X4219">
        <v>0.99520660000000005</v>
      </c>
      <c r="Y4219">
        <v>3.729288E-2</v>
      </c>
      <c r="Z4219">
        <v>6.4684319999999999E-4</v>
      </c>
      <c r="AA4219">
        <v>0.99930419999999998</v>
      </c>
      <c r="AB4219">
        <v>40</v>
      </c>
      <c r="AC4219">
        <v>-44.680299999999903</v>
      </c>
      <c r="AD4219">
        <v>-1.1114183798890001</v>
      </c>
      <c r="AE4219">
        <v>2.0255999999999901</v>
      </c>
      <c r="AF4219">
        <v>1.6808822008748301</v>
      </c>
      <c r="AG4219">
        <v>-1.1114183798890001</v>
      </c>
      <c r="AH4219">
        <v>44.666975308791997</v>
      </c>
      <c r="AI4219">
        <v>91.424350573656</v>
      </c>
      <c r="AJ4219">
        <v>87.844894739968296</v>
      </c>
      <c r="AK4219">
        <v>44.712406544767902</v>
      </c>
      <c r="AL4219">
        <v>90.620281320991594</v>
      </c>
      <c r="AM4219">
        <v>95.577932188119604</v>
      </c>
      <c r="AN4219">
        <v>1.00000001181978</v>
      </c>
    </row>
    <row r="4220" spans="1:40" x14ac:dyDescent="0.25">
      <c r="A4220" t="str">
        <f>"20190305135319228"</f>
        <v>20190305135319228</v>
      </c>
      <c r="B4220" t="str">
        <f>"1551765199224189"</f>
        <v>1551765199224189</v>
      </c>
      <c r="C4220" t="s">
        <v>40</v>
      </c>
      <c r="D4220">
        <v>4.3345739999999999</v>
      </c>
      <c r="E4220">
        <v>0.55188040000000005</v>
      </c>
      <c r="F4220" t="s">
        <v>42</v>
      </c>
      <c r="G4220">
        <v>-358.5401</v>
      </c>
      <c r="H4220" s="1">
        <v>-1.8613920000000001E-6</v>
      </c>
      <c r="I4220">
        <v>144.3246</v>
      </c>
      <c r="J4220">
        <v>-310.61489999999998</v>
      </c>
      <c r="K4220">
        <v>1.1113679999999999</v>
      </c>
      <c r="L4220">
        <v>142.13339999999999</v>
      </c>
      <c r="M4220">
        <v>-0.99988189999999999</v>
      </c>
      <c r="N4220">
        <v>-1.428718E-2</v>
      </c>
      <c r="O4220">
        <v>5.6844249999999999E-3</v>
      </c>
      <c r="P4220">
        <v>-0.9955524</v>
      </c>
      <c r="Q4220">
        <v>-2.4375319999999999E-2</v>
      </c>
      <c r="R4220">
        <v>-9.1003390000000003E-2</v>
      </c>
      <c r="S4220">
        <v>-3.0236510000000001</v>
      </c>
      <c r="T4220">
        <v>-6.9542649999999998E-2</v>
      </c>
      <c r="U4220">
        <v>0.1371918</v>
      </c>
      <c r="V4220">
        <v>-9.660415E-2</v>
      </c>
      <c r="W4220">
        <v>-1.069052E-2</v>
      </c>
      <c r="X4220">
        <v>0.99526550000000003</v>
      </c>
      <c r="Y4220">
        <v>3.9629600000000001E-2</v>
      </c>
      <c r="Z4220">
        <v>6.8928119999999999E-4</v>
      </c>
      <c r="AA4220">
        <v>0.99921420000000005</v>
      </c>
      <c r="AB4220">
        <v>40</v>
      </c>
      <c r="AC4220">
        <v>-47.925199999999997</v>
      </c>
      <c r="AD4220">
        <v>-1.111369861392</v>
      </c>
      <c r="AE4220">
        <v>2.1911999999999998</v>
      </c>
      <c r="AF4220">
        <v>1.9176805084717501</v>
      </c>
      <c r="AG4220">
        <v>-1.111369861392</v>
      </c>
      <c r="AH4220">
        <v>47.911171505887999</v>
      </c>
      <c r="AI4220">
        <v>91.327758532505896</v>
      </c>
      <c r="AJ4220">
        <v>87.7079170262963</v>
      </c>
      <c r="AK4220">
        <v>47.962412330573997</v>
      </c>
      <c r="AL4220">
        <v>90.612533324876694</v>
      </c>
      <c r="AM4220">
        <v>95.543973179211207</v>
      </c>
      <c r="AN4220">
        <v>1.0000000322526701</v>
      </c>
    </row>
    <row r="4221" spans="1:40" x14ac:dyDescent="0.25">
      <c r="A4221" t="str">
        <f>"20190305135319252"</f>
        <v>20190305135319252</v>
      </c>
      <c r="B4221" t="str">
        <f>"1551765199244684"</f>
        <v>1551765199244684</v>
      </c>
      <c r="C4221" t="s">
        <v>40</v>
      </c>
      <c r="D4221">
        <v>4.345898</v>
      </c>
      <c r="E4221">
        <v>0.55224139999999999</v>
      </c>
      <c r="F4221" t="s">
        <v>42</v>
      </c>
      <c r="G4221">
        <v>-365.46010000000001</v>
      </c>
      <c r="H4221" s="1">
        <v>-3.2696669999999999E-6</v>
      </c>
      <c r="I4221">
        <v>144.6514</v>
      </c>
      <c r="J4221">
        <v>-311.05700000000002</v>
      </c>
      <c r="K4221">
        <v>1.1113029999999999</v>
      </c>
      <c r="L4221">
        <v>142.13390000000001</v>
      </c>
      <c r="M4221">
        <v>-0.9998918</v>
      </c>
      <c r="N4221">
        <v>-1.428479E-2</v>
      </c>
      <c r="O4221">
        <v>3.5559039999999999E-3</v>
      </c>
      <c r="P4221">
        <v>-0.99543389999999998</v>
      </c>
      <c r="Q4221">
        <v>-2.4651949999999999E-2</v>
      </c>
      <c r="R4221">
        <v>-9.2215480000000002E-2</v>
      </c>
      <c r="S4221">
        <v>-3.0246279999999999</v>
      </c>
      <c r="T4221">
        <v>-6.1290499999999998E-2</v>
      </c>
      <c r="U4221">
        <v>0.1388702</v>
      </c>
      <c r="V4221">
        <v>-9.5697379999999999E-2</v>
      </c>
      <c r="W4221">
        <v>-1.0947470000000001E-2</v>
      </c>
      <c r="X4221">
        <v>0.99535030000000002</v>
      </c>
      <c r="Y4221">
        <v>4.2297319999999999E-2</v>
      </c>
      <c r="Z4221">
        <v>7.0937579999999999E-4</v>
      </c>
      <c r="AA4221">
        <v>0.99910480000000002</v>
      </c>
      <c r="AB4221">
        <v>40</v>
      </c>
      <c r="AC4221">
        <v>-54.403100000000002</v>
      </c>
      <c r="AD4221">
        <v>-1.111306269667</v>
      </c>
      <c r="AE4221">
        <v>2.5174999999999801</v>
      </c>
      <c r="AF4221">
        <v>2.3230448967256501</v>
      </c>
      <c r="AG4221">
        <v>-1.111306269667</v>
      </c>
      <c r="AH4221">
        <v>54.389062290653698</v>
      </c>
      <c r="AI4221">
        <v>91.169469047974701</v>
      </c>
      <c r="AJ4221">
        <v>87.554291003714596</v>
      </c>
      <c r="AK4221">
        <v>54.449992066793001</v>
      </c>
      <c r="AL4221">
        <v>90.627256339554506</v>
      </c>
      <c r="AM4221">
        <v>95.491789579953107</v>
      </c>
      <c r="AN4221">
        <v>1.0000000276741701</v>
      </c>
    </row>
    <row r="4222" spans="1:40" x14ac:dyDescent="0.25">
      <c r="A4222" t="str">
        <f>"20190305135319273"</f>
        <v>20190305135319273</v>
      </c>
      <c r="B4222" t="str">
        <f>"1551765199264204"</f>
        <v>1551765199264204</v>
      </c>
      <c r="C4222" t="s">
        <v>40</v>
      </c>
      <c r="D4222">
        <v>4.3612869999999999</v>
      </c>
      <c r="E4222">
        <v>0.55263260000000003</v>
      </c>
      <c r="F4222" t="s">
        <v>42</v>
      </c>
      <c r="G4222">
        <v>-366.14319999999998</v>
      </c>
      <c r="H4222" s="1">
        <v>-2.9751090000000001E-6</v>
      </c>
      <c r="I4222">
        <v>144.64570000000001</v>
      </c>
      <c r="J4222">
        <v>-311.43599999999998</v>
      </c>
      <c r="K4222">
        <v>1.1112310000000001</v>
      </c>
      <c r="L4222">
        <v>142.1337</v>
      </c>
      <c r="M4222">
        <v>-0.99989649999999997</v>
      </c>
      <c r="N4222">
        <v>-1.428259E-2</v>
      </c>
      <c r="O4222">
        <v>1.8124E-3</v>
      </c>
      <c r="P4222">
        <v>-0.99533680000000002</v>
      </c>
      <c r="Q4222">
        <v>-2.5648089999999998E-2</v>
      </c>
      <c r="R4222">
        <v>-9.2991420000000005E-2</v>
      </c>
      <c r="S4222">
        <v>-3.025055</v>
      </c>
      <c r="T4222">
        <v>-6.1027409999999997E-2</v>
      </c>
      <c r="U4222">
        <v>0.13793949999999999</v>
      </c>
      <c r="V4222">
        <v>-9.473471E-2</v>
      </c>
      <c r="W4222">
        <v>-1.192444E-2</v>
      </c>
      <c r="X4222">
        <v>0.99543110000000001</v>
      </c>
      <c r="Y4222">
        <v>4.3725729999999997E-2</v>
      </c>
      <c r="Z4222">
        <v>7.4261080000000005E-4</v>
      </c>
      <c r="AA4222">
        <v>0.99904329999999997</v>
      </c>
      <c r="AB4222">
        <v>40</v>
      </c>
      <c r="AC4222">
        <v>-54.7072</v>
      </c>
      <c r="AD4222">
        <v>-1.1112339751089999</v>
      </c>
      <c r="AE4222">
        <v>2.512</v>
      </c>
      <c r="AF4222">
        <v>2.41184142817748</v>
      </c>
      <c r="AG4222">
        <v>-1.1112339751089999</v>
      </c>
      <c r="AH4222">
        <v>54.6891464486202</v>
      </c>
      <c r="AI4222">
        <v>91.162908216552495</v>
      </c>
      <c r="AJ4222">
        <v>87.474839872569504</v>
      </c>
      <c r="AK4222">
        <v>54.7535803331685</v>
      </c>
      <c r="AL4222">
        <v>90.683236300624898</v>
      </c>
      <c r="AM4222">
        <v>95.4364388231444</v>
      </c>
      <c r="AN4222">
        <v>0.99999996619765297</v>
      </c>
    </row>
    <row r="4223" spans="1:40" x14ac:dyDescent="0.25">
      <c r="A4223" t="str">
        <f>"20190305135319294"</f>
        <v>20190305135319294</v>
      </c>
      <c r="B4223" t="str">
        <f>"1551765199284700"</f>
        <v>1551765199284700</v>
      </c>
      <c r="C4223" t="s">
        <v>40</v>
      </c>
      <c r="D4223">
        <v>4.3534169999999897</v>
      </c>
      <c r="E4223">
        <v>0.55301639999999996</v>
      </c>
      <c r="F4223" t="s">
        <v>42</v>
      </c>
      <c r="G4223">
        <v>-368.64150000000001</v>
      </c>
      <c r="H4223" s="1">
        <v>-1.9314109999999999E-6</v>
      </c>
      <c r="I4223">
        <v>144.75129999999999</v>
      </c>
      <c r="J4223">
        <v>-311.81540000000001</v>
      </c>
      <c r="K4223">
        <v>1.1111580000000001</v>
      </c>
      <c r="L4223">
        <v>142.13299999999899</v>
      </c>
      <c r="M4223">
        <v>-0.99989810000000001</v>
      </c>
      <c r="N4223">
        <v>-1.428013E-2</v>
      </c>
      <c r="O4223">
        <v>1.499925E-4</v>
      </c>
      <c r="P4223">
        <v>-0.99527759999999998</v>
      </c>
      <c r="Q4223">
        <v>-2.594465E-2</v>
      </c>
      <c r="R4223">
        <v>-9.3540730000000002E-2</v>
      </c>
      <c r="S4223">
        <v>-3.0255130000000001</v>
      </c>
      <c r="T4223">
        <v>-5.8771490000000003E-2</v>
      </c>
      <c r="U4223">
        <v>0.13844300000000001</v>
      </c>
      <c r="V4223">
        <v>-9.3629799999999999E-2</v>
      </c>
      <c r="W4223">
        <v>-1.2199710000000001E-2</v>
      </c>
      <c r="X4223">
        <v>0.99553230000000004</v>
      </c>
      <c r="Y4223">
        <v>4.5545950000000002E-2</v>
      </c>
      <c r="Z4223">
        <v>7.6676869999999897E-4</v>
      </c>
      <c r="AA4223">
        <v>0.99896189999999996</v>
      </c>
      <c r="AB4223">
        <v>40</v>
      </c>
      <c r="AC4223">
        <v>-56.826099999999997</v>
      </c>
      <c r="AD4223">
        <v>-1.1111599314109999</v>
      </c>
      <c r="AE4223">
        <v>2.6183000000000001</v>
      </c>
      <c r="AF4223">
        <v>2.60878026753947</v>
      </c>
      <c r="AG4223">
        <v>-1.1111599314109999</v>
      </c>
      <c r="AH4223">
        <v>56.804818997459897</v>
      </c>
      <c r="AI4223">
        <v>91.119441098817802</v>
      </c>
      <c r="AJ4223">
        <v>87.370519812371001</v>
      </c>
      <c r="AK4223">
        <v>56.8755472256018</v>
      </c>
      <c r="AL4223">
        <v>90.699009257796902</v>
      </c>
      <c r="AM4223">
        <v>95.372862813464394</v>
      </c>
      <c r="AN4223">
        <v>0.99999996635770605</v>
      </c>
    </row>
    <row r="4224" spans="1:40" x14ac:dyDescent="0.25">
      <c r="A4224" t="str">
        <f>"20190305135319316"</f>
        <v>20190305135319316</v>
      </c>
      <c r="B4224" t="str">
        <f>"1551765199313981"</f>
        <v>1551765199313981</v>
      </c>
      <c r="C4224" t="s">
        <v>40</v>
      </c>
      <c r="D4224">
        <v>4.3499530000000002</v>
      </c>
      <c r="E4224">
        <v>0.55354490000000001</v>
      </c>
      <c r="F4224" t="s">
        <v>42</v>
      </c>
      <c r="G4224">
        <v>-372.66059999999999</v>
      </c>
      <c r="H4224" s="1">
        <v>-4.3152910000000004E-6</v>
      </c>
      <c r="I4224">
        <v>144.9418</v>
      </c>
      <c r="J4224">
        <v>-312.21539999999999</v>
      </c>
      <c r="K4224">
        <v>1.1110709999999999</v>
      </c>
      <c r="L4224">
        <v>142.13149999999999</v>
      </c>
      <c r="M4224">
        <v>-0.99989700000000004</v>
      </c>
      <c r="N4224">
        <v>-1.427729E-2</v>
      </c>
      <c r="O4224">
        <v>-1.5076169999999999E-3</v>
      </c>
      <c r="P4224">
        <v>-0.99522299999999997</v>
      </c>
      <c r="Q4224">
        <v>-2.624429E-2</v>
      </c>
      <c r="R4224">
        <v>-9.403678E-2</v>
      </c>
      <c r="S4224">
        <v>-3.025909</v>
      </c>
      <c r="T4224">
        <v>-5.5259589999999997E-2</v>
      </c>
      <c r="U4224">
        <v>0.13969419999999999</v>
      </c>
      <c r="V4224">
        <v>-9.2477320000000002E-2</v>
      </c>
      <c r="W4224">
        <v>-1.247584E-2</v>
      </c>
      <c r="X4224">
        <v>0.99563659999999998</v>
      </c>
      <c r="Y4224">
        <v>4.7608879999999999E-2</v>
      </c>
      <c r="Z4224">
        <v>7.8056600000000001E-4</v>
      </c>
      <c r="AA4224">
        <v>0.99886569999999997</v>
      </c>
      <c r="AB4224">
        <v>40</v>
      </c>
      <c r="AC4224">
        <v>-60.4452</v>
      </c>
      <c r="AD4224">
        <v>-1.111075315291</v>
      </c>
      <c r="AE4224">
        <v>2.81030000000001</v>
      </c>
      <c r="AF4224">
        <v>2.9004564058988</v>
      </c>
      <c r="AG4224">
        <v>-1.111075315291</v>
      </c>
      <c r="AH4224">
        <v>60.420523111970198</v>
      </c>
      <c r="AI4224">
        <v>91.0522840599223</v>
      </c>
      <c r="AJ4224">
        <v>87.251655145387403</v>
      </c>
      <c r="AK4224">
        <v>60.500303708683099</v>
      </c>
      <c r="AL4224">
        <v>90.714831543459098</v>
      </c>
      <c r="AM4224">
        <v>95.306555945203399</v>
      </c>
      <c r="AN4224">
        <v>0.99999997027882304</v>
      </c>
    </row>
    <row r="4225" spans="1:40" x14ac:dyDescent="0.25">
      <c r="A4225" t="str">
        <f>"20190305135319340"</f>
        <v>20190305135319340</v>
      </c>
      <c r="B4225" t="str">
        <f>"1551765199334226"</f>
        <v>1551765199334226</v>
      </c>
      <c r="C4225" t="s">
        <v>40</v>
      </c>
      <c r="D4225">
        <v>4.4031019999999996</v>
      </c>
      <c r="E4225">
        <v>0.55384549999999999</v>
      </c>
      <c r="F4225" t="s">
        <v>42</v>
      </c>
      <c r="G4225">
        <v>-377.41199999999998</v>
      </c>
      <c r="H4225" s="1">
        <v>-2.5767479999999999E-6</v>
      </c>
      <c r="I4225">
        <v>145.1943</v>
      </c>
      <c r="J4225">
        <v>-312.62279999999998</v>
      </c>
      <c r="K4225">
        <v>1.110975</v>
      </c>
      <c r="L4225">
        <v>142.12950000000001</v>
      </c>
      <c r="M4225">
        <v>-0.99989340000000004</v>
      </c>
      <c r="N4225">
        <v>-1.427427E-2</v>
      </c>
      <c r="O4225">
        <v>-3.0947499999999998E-3</v>
      </c>
      <c r="P4225">
        <v>-0.99519740000000001</v>
      </c>
      <c r="Q4225">
        <v>-2.6892280000000001E-2</v>
      </c>
      <c r="R4225">
        <v>-9.4123709999999999E-2</v>
      </c>
      <c r="S4225">
        <v>-3.0264890000000002</v>
      </c>
      <c r="T4225">
        <v>-5.1577089999999999E-2</v>
      </c>
      <c r="U4225">
        <v>0.14218140000000001</v>
      </c>
      <c r="V4225">
        <v>-9.0984330000000002E-2</v>
      </c>
      <c r="W4225">
        <v>-1.309694E-2</v>
      </c>
      <c r="X4225">
        <v>0.99576620000000005</v>
      </c>
      <c r="Y4225">
        <v>5.0005319999999999E-2</v>
      </c>
      <c r="Z4225">
        <v>7.9154050000000004E-4</v>
      </c>
      <c r="AA4225">
        <v>0.99874870000000004</v>
      </c>
      <c r="AB4225">
        <v>40</v>
      </c>
      <c r="AC4225">
        <v>-64.789199999999994</v>
      </c>
      <c r="AD4225">
        <v>-1.1109775767479999</v>
      </c>
      <c r="AE4225">
        <v>3.0647999999999902</v>
      </c>
      <c r="AF4225">
        <v>3.26435440755525</v>
      </c>
      <c r="AG4225">
        <v>-1.1109775767479999</v>
      </c>
      <c r="AH4225">
        <v>64.7604043343364</v>
      </c>
      <c r="AI4225">
        <v>90.981578074332404</v>
      </c>
      <c r="AJ4225">
        <v>87.114354574690495</v>
      </c>
      <c r="AK4225">
        <v>64.8521414482274</v>
      </c>
      <c r="AL4225">
        <v>90.750420839636803</v>
      </c>
      <c r="AM4225">
        <v>95.220686398227002</v>
      </c>
      <c r="AN4225">
        <v>1.00000000160267</v>
      </c>
    </row>
    <row r="4226" spans="1:40" x14ac:dyDescent="0.25">
      <c r="A4226" t="str">
        <f>"20190305135319354"</f>
        <v>20190305135319354</v>
      </c>
      <c r="B4226" t="str">
        <f>"1551765199343986"</f>
        <v>1551765199343986</v>
      </c>
      <c r="C4226" t="s">
        <v>40</v>
      </c>
      <c r="D4226">
        <v>4.3351829999999998</v>
      </c>
      <c r="E4226">
        <v>0.55400689999999997</v>
      </c>
      <c r="F4226" t="s">
        <v>42</v>
      </c>
      <c r="G4226">
        <v>-376.29640000000001</v>
      </c>
      <c r="H4226" s="1">
        <v>-3.0473040000000001E-6</v>
      </c>
      <c r="I4226">
        <v>145.16409999999999</v>
      </c>
      <c r="J4226">
        <v>-312.8947</v>
      </c>
      <c r="K4226">
        <v>1.110905</v>
      </c>
      <c r="L4226">
        <v>142.12780000000001</v>
      </c>
      <c r="M4226">
        <v>-0.99988980000000005</v>
      </c>
      <c r="N4226">
        <v>-1.4272200000000001E-2</v>
      </c>
      <c r="O4226">
        <v>-4.0901929999999998E-3</v>
      </c>
      <c r="P4226">
        <v>-0.99514480000000005</v>
      </c>
      <c r="Q4226">
        <v>-2.7535190000000001E-2</v>
      </c>
      <c r="R4226">
        <v>-9.4491480000000003E-2</v>
      </c>
      <c r="S4226">
        <v>-3.0267029999999999</v>
      </c>
      <c r="T4226">
        <v>-5.2809950000000001E-2</v>
      </c>
      <c r="U4226">
        <v>0.14425660000000001</v>
      </c>
      <c r="V4226">
        <v>-9.0360120000000002E-2</v>
      </c>
      <c r="W4226">
        <v>-1.372343E-2</v>
      </c>
      <c r="X4226">
        <v>0.99581459999999999</v>
      </c>
      <c r="Y4226">
        <v>5.1678519999999999E-2</v>
      </c>
      <c r="Z4226">
        <v>8.3259350000000002E-4</v>
      </c>
      <c r="AA4226">
        <v>0.99866339999999998</v>
      </c>
      <c r="AB4226">
        <v>40</v>
      </c>
      <c r="AC4226">
        <v>-63.401699999999998</v>
      </c>
      <c r="AD4226">
        <v>-1.1109080473040001</v>
      </c>
      <c r="AE4226">
        <v>3.0362999999999798</v>
      </c>
      <c r="AF4226">
        <v>3.2946170266464399</v>
      </c>
      <c r="AG4226">
        <v>-1.1109080473040001</v>
      </c>
      <c r="AH4226">
        <v>63.3693386382418</v>
      </c>
      <c r="AI4226">
        <v>91.002977157069694</v>
      </c>
      <c r="AJ4226">
        <v>87.0238312675815</v>
      </c>
      <c r="AK4226">
        <v>63.464649195359101</v>
      </c>
      <c r="AL4226">
        <v>90.786319301797704</v>
      </c>
      <c r="AM4226">
        <v>95.184814453034306</v>
      </c>
      <c r="AN4226">
        <v>1.0000000006952601</v>
      </c>
    </row>
    <row r="4227" spans="1:40" x14ac:dyDescent="0.25">
      <c r="A4227" t="str">
        <f>"20190305135319373"</f>
        <v>20190305135319373</v>
      </c>
      <c r="B4227" t="str">
        <f>"1551765199364482"</f>
        <v>1551765199364482</v>
      </c>
      <c r="C4227" t="s">
        <v>40</v>
      </c>
      <c r="D4227">
        <v>4.3488199999999999</v>
      </c>
      <c r="E4227">
        <v>0.55431450000000004</v>
      </c>
      <c r="F4227" t="s">
        <v>42</v>
      </c>
      <c r="G4227">
        <v>-374.65120000000002</v>
      </c>
      <c r="H4227" s="1">
        <v>-3.6613769999999998E-6</v>
      </c>
      <c r="I4227">
        <v>145.07429999999999</v>
      </c>
      <c r="J4227">
        <v>-313.22359999999998</v>
      </c>
      <c r="K4227">
        <v>1.1108089999999999</v>
      </c>
      <c r="L4227">
        <v>142.12540000000001</v>
      </c>
      <c r="M4227">
        <v>-0.99988449999999995</v>
      </c>
      <c r="N4227">
        <v>-1.426958E-2</v>
      </c>
      <c r="O4227">
        <v>-5.2242959999999998E-3</v>
      </c>
      <c r="P4227">
        <v>-0.99517920000000004</v>
      </c>
      <c r="Q4227">
        <v>-2.8809749999999999E-2</v>
      </c>
      <c r="R4227">
        <v>-9.3746819999999995E-2</v>
      </c>
      <c r="S4227">
        <v>-3.0268549999999999</v>
      </c>
      <c r="T4227">
        <v>-5.4448719999999999E-2</v>
      </c>
      <c r="U4227">
        <v>0.14442439999999901</v>
      </c>
      <c r="V4227">
        <v>-8.8484179999999996E-2</v>
      </c>
      <c r="W4227">
        <v>-1.497123E-2</v>
      </c>
      <c r="X4227">
        <v>0.99596510000000005</v>
      </c>
      <c r="Y4227">
        <v>5.2863010000000002E-2</v>
      </c>
      <c r="Z4227">
        <v>8.7202299999999998E-4</v>
      </c>
      <c r="AA4227">
        <v>0.99860139999999997</v>
      </c>
      <c r="AB4227">
        <v>40</v>
      </c>
      <c r="AC4227">
        <v>-61.427599999999998</v>
      </c>
      <c r="AD4227">
        <v>-1.110812661377</v>
      </c>
      <c r="AE4227">
        <v>2.9488999999999801</v>
      </c>
      <c r="AF4227">
        <v>3.2687419655122398</v>
      </c>
      <c r="AG4227">
        <v>-1.110812661377</v>
      </c>
      <c r="AH4227">
        <v>61.3913249292332</v>
      </c>
      <c r="AI4227">
        <v>91.035128962301201</v>
      </c>
      <c r="AJ4227">
        <v>86.952200697466495</v>
      </c>
      <c r="AK4227">
        <v>61.488318853034698</v>
      </c>
      <c r="AL4227">
        <v>90.857820310860603</v>
      </c>
      <c r="AM4227">
        <v>95.076979393681299</v>
      </c>
      <c r="AN4227">
        <v>1.00000003412799</v>
      </c>
    </row>
    <row r="4228" spans="1:40" x14ac:dyDescent="0.25">
      <c r="A4228" t="str">
        <f>"20190305135319388"</f>
        <v>20190305135319388</v>
      </c>
      <c r="B4228" t="str">
        <f>"1551765199384003"</f>
        <v>1551765199384003</v>
      </c>
      <c r="C4228" t="s">
        <v>40</v>
      </c>
      <c r="D4228">
        <v>4.3797769999999998</v>
      </c>
      <c r="E4228">
        <v>0.55458079999999998</v>
      </c>
      <c r="F4228" t="s">
        <v>42</v>
      </c>
      <c r="G4228">
        <v>-371.26319999999998</v>
      </c>
      <c r="H4228" s="1">
        <v>-4.7982650000000004E-6</v>
      </c>
      <c r="I4228">
        <v>144.98390000000001</v>
      </c>
      <c r="J4228">
        <v>-313.49720000000002</v>
      </c>
      <c r="K4228">
        <v>1.1107309999999999</v>
      </c>
      <c r="L4228">
        <v>142.1232</v>
      </c>
      <c r="M4228">
        <v>-0.99987969999999904</v>
      </c>
      <c r="N4228">
        <v>-1.426726E-2</v>
      </c>
      <c r="O4228">
        <v>-6.109265E-3</v>
      </c>
      <c r="P4228">
        <v>-0.99516130000000003</v>
      </c>
      <c r="Q4228">
        <v>-2.9320039999999999E-2</v>
      </c>
      <c r="R4228">
        <v>-9.3778819999999999E-2</v>
      </c>
      <c r="S4228">
        <v>-3.0268549999999999</v>
      </c>
      <c r="T4228">
        <v>-5.7930589999999997E-2</v>
      </c>
      <c r="U4228">
        <v>0.1490784</v>
      </c>
      <c r="V4228">
        <v>-8.7635770000000002E-2</v>
      </c>
      <c r="W4228">
        <v>-1.546252E-2</v>
      </c>
      <c r="X4228">
        <v>0.99603260000000005</v>
      </c>
      <c r="Y4228">
        <v>5.527613E-2</v>
      </c>
      <c r="Z4228">
        <v>9.5297120000000001E-4</v>
      </c>
      <c r="AA4228">
        <v>0.99847070000000004</v>
      </c>
      <c r="AB4228">
        <v>40</v>
      </c>
      <c r="AC4228">
        <v>-57.765999999999899</v>
      </c>
      <c r="AD4228">
        <v>-1.1107357982649999</v>
      </c>
      <c r="AE4228">
        <v>2.8607</v>
      </c>
      <c r="AF4228">
        <v>3.2124054815813601</v>
      </c>
      <c r="AG4228">
        <v>-1.1107357982649999</v>
      </c>
      <c r="AH4228">
        <v>57.7261527202972</v>
      </c>
      <c r="AI4228">
        <v>91.100616295474893</v>
      </c>
      <c r="AJ4228">
        <v>86.814829629948505</v>
      </c>
      <c r="AK4228">
        <v>57.826135880575002</v>
      </c>
      <c r="AL4228">
        <v>90.885972417801199</v>
      </c>
      <c r="AM4228">
        <v>95.028211711583893</v>
      </c>
      <c r="AN4228">
        <v>1.0000000289855</v>
      </c>
    </row>
    <row r="4229" spans="1:40" x14ac:dyDescent="0.25">
      <c r="A4229" t="str">
        <f>"20190305135319406"</f>
        <v>20190305135319406</v>
      </c>
      <c r="B4229" t="str">
        <f>"1551765199394738"</f>
        <v>1551765199394738</v>
      </c>
      <c r="C4229" t="s">
        <v>40</v>
      </c>
      <c r="D4229">
        <v>4.3651660000000003</v>
      </c>
      <c r="E4229">
        <v>0.55479609999999902</v>
      </c>
      <c r="F4229" t="s">
        <v>42</v>
      </c>
      <c r="G4229">
        <v>-371.6062</v>
      </c>
      <c r="H4229" s="1">
        <v>-4.6885939999999997E-6</v>
      </c>
      <c r="I4229">
        <v>145.02350000000001</v>
      </c>
      <c r="J4229">
        <v>-313.8098</v>
      </c>
      <c r="K4229">
        <v>1.110638</v>
      </c>
      <c r="L4229">
        <v>142.12049999999999</v>
      </c>
      <c r="M4229">
        <v>-0.99987349999999997</v>
      </c>
      <c r="N4229">
        <v>-1.426446E-2</v>
      </c>
      <c r="O4229">
        <v>-7.0483610000000004E-3</v>
      </c>
      <c r="P4229">
        <v>-0.99521820000000005</v>
      </c>
      <c r="Q4229">
        <v>-3.0004679999999999E-2</v>
      </c>
      <c r="R4229">
        <v>-9.2954120000000001E-2</v>
      </c>
      <c r="S4229">
        <v>-3.0271300000000001</v>
      </c>
      <c r="T4229">
        <v>-5.786264E-2</v>
      </c>
      <c r="U4229">
        <v>0.15109249999999999</v>
      </c>
      <c r="V4229">
        <v>-8.587649E-2</v>
      </c>
      <c r="W4229">
        <v>-1.612098E-2</v>
      </c>
      <c r="X4229">
        <v>0.99617529999999999</v>
      </c>
      <c r="Y4229">
        <v>5.6871610000000003E-2</v>
      </c>
      <c r="Z4229">
        <v>9.8327149999999993E-4</v>
      </c>
      <c r="AA4229">
        <v>0.99838099999999996</v>
      </c>
      <c r="AB4229">
        <v>40</v>
      </c>
      <c r="AC4229">
        <v>-57.796399999999998</v>
      </c>
      <c r="AD4229">
        <v>-1.1106426885939999</v>
      </c>
      <c r="AE4229">
        <v>2.90300000000002</v>
      </c>
      <c r="AF4229">
        <v>3.3091202903637802</v>
      </c>
      <c r="AG4229">
        <v>-1.1106426885939999</v>
      </c>
      <c r="AH4229">
        <v>57.753227554103098</v>
      </c>
      <c r="AI4229">
        <v>91.099906202329706</v>
      </c>
      <c r="AJ4229">
        <v>86.720675927615503</v>
      </c>
      <c r="AK4229">
        <v>57.858612990581101</v>
      </c>
      <c r="AL4229">
        <v>90.923704180909098</v>
      </c>
      <c r="AM4229">
        <v>94.927070495467106</v>
      </c>
      <c r="AN4229">
        <v>0.999999942930483</v>
      </c>
    </row>
    <row r="4230" spans="1:40" x14ac:dyDescent="0.25">
      <c r="A4230" t="str">
        <f>"20190305135319430"</f>
        <v>20190305135319430</v>
      </c>
      <c r="B4230" t="str">
        <f>"1551765199424250"</f>
        <v>1551765199424250</v>
      </c>
      <c r="C4230" t="s">
        <v>40</v>
      </c>
      <c r="D4230">
        <v>4.5224690000000001</v>
      </c>
      <c r="E4230">
        <v>0.56976990000000005</v>
      </c>
      <c r="F4230" t="s">
        <v>42</v>
      </c>
      <c r="G4230">
        <v>-370.96120000000002</v>
      </c>
      <c r="H4230" s="1">
        <v>-4.9129379999999998E-6</v>
      </c>
      <c r="I4230">
        <v>145.05080000000001</v>
      </c>
      <c r="J4230">
        <v>-314.22770000000003</v>
      </c>
      <c r="K4230">
        <v>1.1105050000000001</v>
      </c>
      <c r="L4230">
        <v>142.1164</v>
      </c>
      <c r="M4230">
        <v>-0.99986509999999995</v>
      </c>
      <c r="N4230">
        <v>-1.426058E-2</v>
      </c>
      <c r="O4230">
        <v>-8.1594140000000002E-3</v>
      </c>
      <c r="P4230">
        <v>-0.99531919999999996</v>
      </c>
      <c r="Q4230">
        <v>-3.0023569999999999E-2</v>
      </c>
      <c r="R4230">
        <v>-9.1861109999999996E-2</v>
      </c>
      <c r="S4230">
        <v>-3.0270999999999999</v>
      </c>
      <c r="T4230">
        <v>-5.8826679999999999E-2</v>
      </c>
      <c r="U4230">
        <v>0.1552124</v>
      </c>
      <c r="V4230">
        <v>-8.3681270000000002E-2</v>
      </c>
      <c r="W4230">
        <v>-1.6104799999999999E-2</v>
      </c>
      <c r="X4230">
        <v>0.99636239999999998</v>
      </c>
      <c r="Y4230">
        <v>5.9335359999999997E-2</v>
      </c>
      <c r="Z4230">
        <v>1.04173E-3</v>
      </c>
      <c r="AA4230">
        <v>0.99823759999999995</v>
      </c>
      <c r="AB4230">
        <v>40</v>
      </c>
      <c r="AC4230">
        <v>-56.7334999999999</v>
      </c>
      <c r="AD4230">
        <v>-1.1105099129379901</v>
      </c>
      <c r="AE4230">
        <v>2.9344000000000099</v>
      </c>
      <c r="AF4230">
        <v>3.3959637700710901</v>
      </c>
      <c r="AG4230">
        <v>-1.1105099129379901</v>
      </c>
      <c r="AH4230">
        <v>56.686004482372397</v>
      </c>
      <c r="AI4230">
        <v>91.120304101423997</v>
      </c>
      <c r="AJ4230">
        <v>86.571603223359205</v>
      </c>
      <c r="AK4230">
        <v>56.798493874132902</v>
      </c>
      <c r="AL4230">
        <v>90.922776984413801</v>
      </c>
      <c r="AM4230">
        <v>94.800821223715502</v>
      </c>
      <c r="AN4230">
        <v>0.99999997583280598</v>
      </c>
    </row>
    <row r="4231" spans="1:40" x14ac:dyDescent="0.25">
      <c r="A4231" t="str">
        <f>"20190305135319453"</f>
        <v>20190305135319453</v>
      </c>
      <c r="B4231" t="str">
        <f>"1551765199443770"</f>
        <v>1551765199443770</v>
      </c>
      <c r="C4231" t="s">
        <v>40</v>
      </c>
      <c r="D4231">
        <v>4.5756300000000003</v>
      </c>
      <c r="E4231">
        <v>0.58013939999999997</v>
      </c>
      <c r="F4231" t="s">
        <v>42</v>
      </c>
      <c r="G4231">
        <v>-353.32029999999997</v>
      </c>
      <c r="H4231" s="1">
        <v>-4.2262110000000004E-6</v>
      </c>
      <c r="I4231">
        <v>145.70529999999999</v>
      </c>
      <c r="J4231">
        <v>-314.661</v>
      </c>
      <c r="K4231">
        <v>1.110366</v>
      </c>
      <c r="L4231">
        <v>142.11189999999999</v>
      </c>
      <c r="M4231">
        <v>-0.99985670000000004</v>
      </c>
      <c r="N4231">
        <v>-1.425653E-2</v>
      </c>
      <c r="O4231">
        <v>-9.1482720000000007E-3</v>
      </c>
      <c r="P4231">
        <v>-0.99541069999999998</v>
      </c>
      <c r="Q4231">
        <v>-3.0165770000000001E-2</v>
      </c>
      <c r="R4231">
        <v>-9.0817120000000001E-2</v>
      </c>
      <c r="S4231">
        <v>-3.0372309999999998</v>
      </c>
      <c r="T4231">
        <v>-8.6279149999999999E-2</v>
      </c>
      <c r="U4231">
        <v>0.27883909999999901</v>
      </c>
      <c r="V4231">
        <v>-8.1656549999999994E-2</v>
      </c>
      <c r="W4231">
        <v>-1.6211570000000002E-2</v>
      </c>
      <c r="X4231">
        <v>0.99652870000000005</v>
      </c>
      <c r="Y4231">
        <v>0.10046819999999999</v>
      </c>
      <c r="Z4231">
        <v>2.2708199999999998E-3</v>
      </c>
      <c r="AA4231">
        <v>0.99493770000000004</v>
      </c>
      <c r="AB4231">
        <v>40</v>
      </c>
      <c r="AC4231">
        <v>-38.659299999999902</v>
      </c>
      <c r="AD4231">
        <v>-1.110370226211</v>
      </c>
      <c r="AE4231">
        <v>3.5933999999999999</v>
      </c>
      <c r="AF4231">
        <v>3.9437257645206101</v>
      </c>
      <c r="AG4231">
        <v>-1.110370226211</v>
      </c>
      <c r="AH4231">
        <v>38.593240404643602</v>
      </c>
      <c r="AI4231">
        <v>91.639475423757503</v>
      </c>
      <c r="AJ4231">
        <v>84.165371184297101</v>
      </c>
      <c r="AK4231">
        <v>38.8101030644807</v>
      </c>
      <c r="AL4231">
        <v>90.928895204730097</v>
      </c>
      <c r="AM4231">
        <v>94.684407490139293</v>
      </c>
      <c r="AN4231">
        <v>1.0000000285417201</v>
      </c>
    </row>
    <row r="4232" spans="1:40" x14ac:dyDescent="0.25">
      <c r="A4232" t="str">
        <f>"20190305135319474"</f>
        <v>20190305135319474</v>
      </c>
      <c r="B4232" t="str">
        <f>"1551765199464267"</f>
        <v>1551765199464267</v>
      </c>
      <c r="C4232" t="s">
        <v>40</v>
      </c>
      <c r="D4232">
        <v>4.560092</v>
      </c>
      <c r="E4232">
        <v>0.58270449999999996</v>
      </c>
      <c r="F4232" t="s">
        <v>42</v>
      </c>
      <c r="G4232">
        <v>-342.64400000000001</v>
      </c>
      <c r="H4232" s="1">
        <v>-4.4158719999999996E-6</v>
      </c>
      <c r="I4232">
        <v>145.47710000000001</v>
      </c>
      <c r="J4232">
        <v>-315.02499999999998</v>
      </c>
      <c r="K4232">
        <v>1.110228</v>
      </c>
      <c r="L4232">
        <v>142.1079</v>
      </c>
      <c r="M4232">
        <v>-0.99985000000000002</v>
      </c>
      <c r="N4232">
        <v>-1.425309E-2</v>
      </c>
      <c r="O4232">
        <v>-9.8365109999999992E-3</v>
      </c>
      <c r="P4232">
        <v>-0.99552870000000004</v>
      </c>
      <c r="Q4232">
        <v>-3.0036859999999999E-2</v>
      </c>
      <c r="R4232">
        <v>-8.9556979999999994E-2</v>
      </c>
      <c r="S4232">
        <v>-3.0435789999999998</v>
      </c>
      <c r="T4232">
        <v>-0.12077</v>
      </c>
      <c r="U4232">
        <v>0.36602780000000001</v>
      </c>
      <c r="V4232">
        <v>-7.9715960000000002E-2</v>
      </c>
      <c r="W4232">
        <v>-1.6051139999999998E-2</v>
      </c>
      <c r="X4232">
        <v>0.99668840000000003</v>
      </c>
      <c r="Y4232">
        <v>0.12902369999999999</v>
      </c>
      <c r="Z4232">
        <v>3.7221559999999999E-3</v>
      </c>
      <c r="AA4232">
        <v>0.99163449999999997</v>
      </c>
      <c r="AB4232">
        <v>40</v>
      </c>
      <c r="AC4232">
        <v>-27.619</v>
      </c>
      <c r="AD4232">
        <v>-1.1102324158720001</v>
      </c>
      <c r="AE4232">
        <v>3.3692000000000002</v>
      </c>
      <c r="AF4232">
        <v>3.6349516148677301</v>
      </c>
      <c r="AG4232">
        <v>-1.1102324158720001</v>
      </c>
      <c r="AH4232">
        <v>27.5406688297501</v>
      </c>
      <c r="AI4232">
        <v>92.288657724737106</v>
      </c>
      <c r="AJ4232">
        <v>82.481281675494998</v>
      </c>
      <c r="AK4232">
        <v>27.801689316472299</v>
      </c>
      <c r="AL4232">
        <v>90.919702054698007</v>
      </c>
      <c r="AM4232">
        <v>94.572829569732093</v>
      </c>
      <c r="AN4232">
        <v>1.00000002003429</v>
      </c>
    </row>
    <row r="4233" spans="1:40" x14ac:dyDescent="0.25">
      <c r="A4233" t="str">
        <f>"20190305135319495"</f>
        <v>20190305135319495</v>
      </c>
      <c r="B4233" t="str">
        <f>"1551765199483785"</f>
        <v>1551765199483785</v>
      </c>
      <c r="C4233" t="s">
        <v>40</v>
      </c>
      <c r="D4233">
        <v>4.5202030000000004</v>
      </c>
      <c r="E4233">
        <v>0.5835205</v>
      </c>
      <c r="F4233" t="s">
        <v>42</v>
      </c>
      <c r="G4233">
        <v>-336.1046</v>
      </c>
      <c r="H4233" s="1">
        <v>-3.207554E-6</v>
      </c>
      <c r="I4233">
        <v>144.82409999999999</v>
      </c>
      <c r="J4233">
        <v>-315.40309999999999</v>
      </c>
      <c r="K4233">
        <v>1.11007099999999</v>
      </c>
      <c r="L4233">
        <v>142.1036</v>
      </c>
      <c r="M4233">
        <v>-0.99984470000000003</v>
      </c>
      <c r="N4233">
        <v>-1.424952E-2</v>
      </c>
      <c r="O4233">
        <v>-1.0388E-2</v>
      </c>
      <c r="P4233">
        <v>-0.99563060000000003</v>
      </c>
      <c r="Q4233">
        <v>-3.0175179999999999E-2</v>
      </c>
      <c r="R4233">
        <v>-8.8373270000000004E-2</v>
      </c>
      <c r="S4233">
        <v>-3.0439150000000001</v>
      </c>
      <c r="T4233">
        <v>-0.16031889999999999</v>
      </c>
      <c r="U4233">
        <v>0.3922272</v>
      </c>
      <c r="V4233">
        <v>-7.7987189999999998E-2</v>
      </c>
      <c r="W4233">
        <v>-1.6156219999999999E-2</v>
      </c>
      <c r="X4233">
        <v>0.99682340000000003</v>
      </c>
      <c r="Y4233">
        <v>0.13784939999999901</v>
      </c>
      <c r="Z4233">
        <v>4.9970969999999998E-3</v>
      </c>
      <c r="AA4233">
        <v>0.9904406</v>
      </c>
      <c r="AB4233">
        <v>40</v>
      </c>
      <c r="AC4233">
        <v>-20.701499999999999</v>
      </c>
      <c r="AD4233">
        <v>-1.11007420755399</v>
      </c>
      <c r="AE4233">
        <v>2.7204999999999799</v>
      </c>
      <c r="AF4233">
        <v>2.9271482844896699</v>
      </c>
      <c r="AG4233">
        <v>-1.11007420755399</v>
      </c>
      <c r="AH4233">
        <v>20.613852285258499</v>
      </c>
      <c r="AI4233">
        <v>93.051894666217805</v>
      </c>
      <c r="AJ4233">
        <v>81.918082923385498</v>
      </c>
      <c r="AK4233">
        <v>20.850212657527599</v>
      </c>
      <c r="AL4233">
        <v>90.925723533319797</v>
      </c>
      <c r="AM4233">
        <v>94.473463945038802</v>
      </c>
      <c r="AN4233">
        <v>0.99999995801817099</v>
      </c>
    </row>
    <row r="4234" spans="1:40" x14ac:dyDescent="0.25">
      <c r="A4234" t="str">
        <f>"20190305135319517"</f>
        <v>20190305135319517</v>
      </c>
      <c r="B4234" t="str">
        <f>"1551765199514042"</f>
        <v>1551765199514042</v>
      </c>
      <c r="C4234" t="s">
        <v>40</v>
      </c>
      <c r="D4234">
        <v>4.5003840000000004</v>
      </c>
      <c r="E4234">
        <v>0.58401859999999906</v>
      </c>
      <c r="F4234" t="s">
        <v>42</v>
      </c>
      <c r="G4234">
        <v>-335.09789999999998</v>
      </c>
      <c r="H4234" s="1">
        <v>-3.6531799999999999E-6</v>
      </c>
      <c r="I4234">
        <v>144.7105</v>
      </c>
      <c r="J4234">
        <v>-315.8073</v>
      </c>
      <c r="K4234">
        <v>1.1098889999999999</v>
      </c>
      <c r="L4234">
        <v>142.09899999999999</v>
      </c>
      <c r="M4234">
        <v>-0.99984030000000002</v>
      </c>
      <c r="N4234">
        <v>-1.4245839999999999E-2</v>
      </c>
      <c r="O4234">
        <v>-1.079344E-2</v>
      </c>
      <c r="P4234">
        <v>-0.99573520000000004</v>
      </c>
      <c r="Q4234">
        <v>-3.063579E-2</v>
      </c>
      <c r="R4234">
        <v>-8.7022559999999999E-2</v>
      </c>
      <c r="S4234">
        <v>-3.043701</v>
      </c>
      <c r="T4234">
        <v>-0.17155519999999999</v>
      </c>
      <c r="U4234">
        <v>0.40287780000000001</v>
      </c>
      <c r="V4234">
        <v>-7.6237349999999995E-2</v>
      </c>
      <c r="W4234">
        <v>-1.658078E-2</v>
      </c>
      <c r="X4234">
        <v>0.99695180000000005</v>
      </c>
      <c r="Y4234">
        <v>0.14162640000000001</v>
      </c>
      <c r="Z4234">
        <v>5.4374439999999996E-3</v>
      </c>
      <c r="AA4234">
        <v>0.98990520000000004</v>
      </c>
      <c r="AB4234">
        <v>40</v>
      </c>
      <c r="AC4234">
        <v>-19.290599999999898</v>
      </c>
      <c r="AD4234">
        <v>-1.10989265318</v>
      </c>
      <c r="AE4234">
        <v>2.6114999999999999</v>
      </c>
      <c r="AF4234">
        <v>2.8104448571328402</v>
      </c>
      <c r="AG4234">
        <v>-1.10989265318</v>
      </c>
      <c r="AH4234">
        <v>19.198875447992499</v>
      </c>
      <c r="AI4234">
        <v>93.273789660737805</v>
      </c>
      <c r="AJ4234">
        <v>81.671856466976706</v>
      </c>
      <c r="AK4234">
        <v>19.4352072400604</v>
      </c>
      <c r="AL4234">
        <v>90.950052275204001</v>
      </c>
      <c r="AM4234">
        <v>94.372923244113395</v>
      </c>
      <c r="AN4234">
        <v>0.99999997366183502</v>
      </c>
    </row>
    <row r="4235" spans="1:40" x14ac:dyDescent="0.25">
      <c r="A4235" t="str">
        <f>"20190305135319541"</f>
        <v>20190305135319541</v>
      </c>
      <c r="B4235" t="str">
        <f>"1551765199534553"</f>
        <v>1551765199534553</v>
      </c>
      <c r="C4235" t="s">
        <v>40</v>
      </c>
      <c r="D4235">
        <v>4.5095640000000001</v>
      </c>
      <c r="E4235">
        <v>0.58394209999999902</v>
      </c>
      <c r="F4235" t="s">
        <v>42</v>
      </c>
      <c r="G4235">
        <v>-333.99369999999999</v>
      </c>
      <c r="H4235" s="1">
        <v>-4.0542939999999997E-6</v>
      </c>
      <c r="I4235">
        <v>144.55850000000001</v>
      </c>
      <c r="J4235">
        <v>-316.22629999999998</v>
      </c>
      <c r="K4235">
        <v>1.1097060000000001</v>
      </c>
      <c r="L4235">
        <v>142.0941</v>
      </c>
      <c r="M4235">
        <v>-0.99983770000000005</v>
      </c>
      <c r="N4235">
        <v>-1.4242390000000001E-2</v>
      </c>
      <c r="O4235">
        <v>-1.102799E-2</v>
      </c>
      <c r="P4235">
        <v>-0.99585000000000001</v>
      </c>
      <c r="Q4235">
        <v>-3.0658640000000001E-2</v>
      </c>
      <c r="R4235">
        <v>-8.5692099999999993E-2</v>
      </c>
      <c r="S4235">
        <v>-3.043091</v>
      </c>
      <c r="T4235">
        <v>-0.18571509999999999</v>
      </c>
      <c r="U4235">
        <v>0.41154479999999999</v>
      </c>
      <c r="V4235">
        <v>-7.4679449999999994E-2</v>
      </c>
      <c r="W4235">
        <v>-1.6567640000000002E-2</v>
      </c>
      <c r="X4235">
        <v>0.99707000000000001</v>
      </c>
      <c r="Y4235">
        <v>0.1446017</v>
      </c>
      <c r="Z4235">
        <v>5.937253E-3</v>
      </c>
      <c r="AA4235">
        <v>0.98947220000000002</v>
      </c>
      <c r="AB4235">
        <v>40</v>
      </c>
      <c r="AC4235">
        <v>-17.767399999999999</v>
      </c>
      <c r="AD4235">
        <v>-1.1097100542939999</v>
      </c>
      <c r="AE4235">
        <v>2.4644000000000101</v>
      </c>
      <c r="AF4235">
        <v>2.6500660399262599</v>
      </c>
      <c r="AG4235">
        <v>-1.1097100542939999</v>
      </c>
      <c r="AH4235">
        <v>17.671504605899699</v>
      </c>
      <c r="AI4235">
        <v>93.553628008182201</v>
      </c>
      <c r="AJ4235">
        <v>81.471326104342296</v>
      </c>
      <c r="AK4235">
        <v>17.903529860251201</v>
      </c>
      <c r="AL4235">
        <v>90.9492992366077</v>
      </c>
      <c r="AM4235">
        <v>94.283393299065395</v>
      </c>
      <c r="AN4235">
        <v>1.0000000459237299</v>
      </c>
    </row>
    <row r="4236" spans="1:40" x14ac:dyDescent="0.25">
      <c r="A4236" t="str">
        <f>"20190305135319556"</f>
        <v>20190305135319556</v>
      </c>
      <c r="B4236" t="str">
        <f>"1551765199544297"</f>
        <v>1551765199544297</v>
      </c>
      <c r="C4236" t="s">
        <v>40</v>
      </c>
      <c r="D4236">
        <v>4.4965519999999897</v>
      </c>
      <c r="E4236">
        <v>0.58391409999999999</v>
      </c>
      <c r="F4236" t="s">
        <v>42</v>
      </c>
      <c r="G4236">
        <v>-333.63380000000001</v>
      </c>
      <c r="H4236" s="1">
        <v>-4.176979E-6</v>
      </c>
      <c r="I4236">
        <v>144.4709</v>
      </c>
      <c r="J4236">
        <v>-316.48599999999999</v>
      </c>
      <c r="K4236">
        <v>1.1095919999999999</v>
      </c>
      <c r="L4236">
        <v>142.09119999999999</v>
      </c>
      <c r="M4236">
        <v>-0.99983750000000005</v>
      </c>
      <c r="N4236">
        <v>-1.4240299999999999E-2</v>
      </c>
      <c r="O4236">
        <v>-1.106653E-2</v>
      </c>
      <c r="P4236">
        <v>-0.99587729999999997</v>
      </c>
      <c r="Q4236">
        <v>-3.097544E-2</v>
      </c>
      <c r="R4236">
        <v>-8.5259699999999994E-2</v>
      </c>
      <c r="S4236">
        <v>-3.0422669999999998</v>
      </c>
      <c r="T4236">
        <v>-0.19394149999999999</v>
      </c>
      <c r="U4236">
        <v>0.41537479999999899</v>
      </c>
      <c r="V4236">
        <v>-7.421266E-2</v>
      </c>
      <c r="W4236">
        <v>-1.6864259999999999E-2</v>
      </c>
      <c r="X4236">
        <v>0.99709979999999998</v>
      </c>
      <c r="Y4236">
        <v>0.145867</v>
      </c>
      <c r="Z4236">
        <v>6.2129749999999999E-3</v>
      </c>
      <c r="AA4236">
        <v>0.98928470000000002</v>
      </c>
      <c r="AB4236">
        <v>40</v>
      </c>
      <c r="AC4236">
        <v>-17.1478</v>
      </c>
      <c r="AD4236">
        <v>-1.1095961769789999</v>
      </c>
      <c r="AE4236">
        <v>2.3797000000000099</v>
      </c>
      <c r="AF4236">
        <v>2.5588284837226798</v>
      </c>
      <c r="AG4236">
        <v>-1.1095961769789999</v>
      </c>
      <c r="AH4236">
        <v>17.050369408794801</v>
      </c>
      <c r="AI4236">
        <v>93.682297396707</v>
      </c>
      <c r="AJ4236">
        <v>81.465050561597494</v>
      </c>
      <c r="AK4236">
        <v>17.276976120300802</v>
      </c>
      <c r="AL4236">
        <v>90.966296761508204</v>
      </c>
      <c r="AM4236">
        <v>94.256591566275006</v>
      </c>
      <c r="AN4236">
        <v>0.99999996666483004</v>
      </c>
    </row>
    <row r="4237" spans="1:40" x14ac:dyDescent="0.25">
      <c r="A4237" t="str">
        <f>"20190305135319573"</f>
        <v>20190305135319573</v>
      </c>
      <c r="B4237" t="str">
        <f>"1551765199563818"</f>
        <v>1551765199563818</v>
      </c>
      <c r="C4237" t="s">
        <v>40</v>
      </c>
      <c r="D4237">
        <v>4.5112870000000003</v>
      </c>
      <c r="E4237">
        <v>0.58377089999999998</v>
      </c>
      <c r="F4237" t="s">
        <v>42</v>
      </c>
      <c r="G4237">
        <v>-333.7303</v>
      </c>
      <c r="H4237" s="1">
        <v>-4.1367160000000002E-6</v>
      </c>
      <c r="I4237">
        <v>144.4529</v>
      </c>
      <c r="J4237">
        <v>-316.79860000000002</v>
      </c>
      <c r="K4237">
        <v>1.109453</v>
      </c>
      <c r="L4237">
        <v>142.08770000000001</v>
      </c>
      <c r="M4237">
        <v>-0.999838</v>
      </c>
      <c r="N4237">
        <v>-1.423782E-2</v>
      </c>
      <c r="O4237">
        <v>-1.1026050000000001E-2</v>
      </c>
      <c r="P4237">
        <v>-0.99602740000000001</v>
      </c>
      <c r="Q4237">
        <v>-3.094775E-2</v>
      </c>
      <c r="R4237">
        <v>-8.3497000000000002E-2</v>
      </c>
      <c r="S4237">
        <v>-3.041992</v>
      </c>
      <c r="T4237">
        <v>-0.1957393</v>
      </c>
      <c r="U4237">
        <v>0.4166107</v>
      </c>
      <c r="V4237">
        <v>-7.2494799999999998E-2</v>
      </c>
      <c r="W4237">
        <v>-1.6810930000000002E-2</v>
      </c>
      <c r="X4237">
        <v>0.99722710000000003</v>
      </c>
      <c r="Y4237">
        <v>0.1462263</v>
      </c>
      <c r="Z4237">
        <v>6.2745199999999996E-3</v>
      </c>
      <c r="AA4237">
        <v>0.98923130000000004</v>
      </c>
      <c r="AB4237">
        <v>40</v>
      </c>
      <c r="AC4237">
        <v>-16.9316999999999</v>
      </c>
      <c r="AD4237">
        <v>-1.109457136716</v>
      </c>
      <c r="AE4237">
        <v>2.3651999999999802</v>
      </c>
      <c r="AF4237">
        <v>2.54106341414488</v>
      </c>
      <c r="AG4237">
        <v>-1.109457136716</v>
      </c>
      <c r="AH4237">
        <v>16.833695580707801</v>
      </c>
      <c r="AI4237">
        <v>93.728615315650302</v>
      </c>
      <c r="AJ4237">
        <v>81.415951787389602</v>
      </c>
      <c r="AK4237">
        <v>17.060515974520101</v>
      </c>
      <c r="AL4237">
        <v>90.963240715819197</v>
      </c>
      <c r="AM4237">
        <v>94.157881567852201</v>
      </c>
      <c r="AN4237">
        <v>0.99999999618445701</v>
      </c>
    </row>
    <row r="4238" spans="1:40" x14ac:dyDescent="0.25">
      <c r="A4238" t="str">
        <f>"20190305135319596"</f>
        <v>20190305135319596</v>
      </c>
      <c r="B4238" t="str">
        <f>"1551765199584314"</f>
        <v>1551765199584314</v>
      </c>
      <c r="C4238" t="s">
        <v>40</v>
      </c>
      <c r="D4238">
        <v>4.4969780000000004</v>
      </c>
      <c r="E4238">
        <v>0.58361649999999998</v>
      </c>
      <c r="F4238" t="s">
        <v>42</v>
      </c>
      <c r="G4238">
        <v>-333.82859999999999</v>
      </c>
      <c r="H4238" s="1">
        <v>-4.0975329999999996E-6</v>
      </c>
      <c r="I4238">
        <v>144.44489999999999</v>
      </c>
      <c r="J4238">
        <v>-317.1925</v>
      </c>
      <c r="K4238">
        <v>1.1092930000000001</v>
      </c>
      <c r="L4238">
        <v>142.08340000000001</v>
      </c>
      <c r="M4238">
        <v>-0.99983999999999995</v>
      </c>
      <c r="N4238">
        <v>-1.4234770000000001E-2</v>
      </c>
      <c r="O4238">
        <v>-1.0842249999999999E-2</v>
      </c>
      <c r="P4238">
        <v>-0.99607679999999998</v>
      </c>
      <c r="Q4238">
        <v>-3.1219460000000001E-2</v>
      </c>
      <c r="R4238">
        <v>-8.2804760000000005E-2</v>
      </c>
      <c r="S4238">
        <v>-3.041077</v>
      </c>
      <c r="T4238">
        <v>-0.1981164</v>
      </c>
      <c r="U4238">
        <v>0.420929</v>
      </c>
      <c r="V4238">
        <v>-7.1991879999999994E-2</v>
      </c>
      <c r="W4238">
        <v>-1.705632E-2</v>
      </c>
      <c r="X4238">
        <v>0.99725940000000002</v>
      </c>
      <c r="Y4238">
        <v>0.14745139999999901</v>
      </c>
      <c r="Z4238">
        <v>6.3799649999999996E-3</v>
      </c>
      <c r="AA4238">
        <v>0.9890487</v>
      </c>
      <c r="AB4238">
        <v>40</v>
      </c>
      <c r="AC4238">
        <v>-16.636099999999999</v>
      </c>
      <c r="AD4238">
        <v>-1.1092970975329901</v>
      </c>
      <c r="AE4238">
        <v>2.3614999999999702</v>
      </c>
      <c r="AF4238">
        <v>2.5307222377425602</v>
      </c>
      <c r="AG4238">
        <v>-1.1092970975329901</v>
      </c>
      <c r="AH4238">
        <v>16.537438342692401</v>
      </c>
      <c r="AI4238">
        <v>93.793503305725693</v>
      </c>
      <c r="AJ4238">
        <v>81.299530903810606</v>
      </c>
      <c r="AK4238">
        <v>16.766692042068101</v>
      </c>
      <c r="AL4238">
        <v>90.977302510567995</v>
      </c>
      <c r="AM4238">
        <v>94.129003831772906</v>
      </c>
      <c r="AN4238">
        <v>1.00000002986311</v>
      </c>
    </row>
    <row r="4239" spans="1:40" x14ac:dyDescent="0.25">
      <c r="A4239" t="str">
        <f>"20190305135319618"</f>
        <v>20190305135319618</v>
      </c>
      <c r="B4239" t="str">
        <f>"1551765199614570"</f>
        <v>1551765199614570</v>
      </c>
      <c r="C4239" t="s">
        <v>40</v>
      </c>
      <c r="D4239">
        <v>4.4655440000000004</v>
      </c>
      <c r="E4239">
        <v>0.58341500000000002</v>
      </c>
      <c r="F4239" t="s">
        <v>42</v>
      </c>
      <c r="G4239">
        <v>-333.99849999999998</v>
      </c>
      <c r="H4239" s="1">
        <v>-4.0268799999999998E-6</v>
      </c>
      <c r="I4239">
        <v>144.4143</v>
      </c>
      <c r="J4239">
        <v>-317.5994</v>
      </c>
      <c r="K4239">
        <v>1.1091359999999999</v>
      </c>
      <c r="L4239">
        <v>142.07919999999999</v>
      </c>
      <c r="M4239">
        <v>-0.99984320000000004</v>
      </c>
      <c r="N4239">
        <v>-1.42316E-2</v>
      </c>
      <c r="O4239">
        <v>-1.053542E-2</v>
      </c>
      <c r="P4239">
        <v>-0.99611490000000003</v>
      </c>
      <c r="Q4239">
        <v>-3.1870719999999998E-2</v>
      </c>
      <c r="R4239">
        <v>-8.2094379999999995E-2</v>
      </c>
      <c r="S4239">
        <v>-3.0405880000000001</v>
      </c>
      <c r="T4239">
        <v>-0.2006966</v>
      </c>
      <c r="U4239">
        <v>0.4217072</v>
      </c>
      <c r="V4239">
        <v>-7.1593050000000005E-2</v>
      </c>
      <c r="W4239">
        <v>-1.768465E-2</v>
      </c>
      <c r="X4239">
        <v>0.99727710000000003</v>
      </c>
      <c r="Y4239">
        <v>0.14740889999999901</v>
      </c>
      <c r="Z4239">
        <v>6.4342929999999998E-3</v>
      </c>
      <c r="AA4239">
        <v>0.98905469999999895</v>
      </c>
      <c r="AB4239">
        <v>40</v>
      </c>
      <c r="AC4239">
        <v>-16.399099999999901</v>
      </c>
      <c r="AD4239">
        <v>-1.10914002688</v>
      </c>
      <c r="AE4239">
        <v>2.3351000000000099</v>
      </c>
      <c r="AF4239">
        <v>2.4965659818260102</v>
      </c>
      <c r="AG4239">
        <v>-1.10914002688</v>
      </c>
      <c r="AH4239">
        <v>16.300502942428501</v>
      </c>
      <c r="AI4239">
        <v>93.847861837553495</v>
      </c>
      <c r="AJ4239">
        <v>81.292311845642104</v>
      </c>
      <c r="AK4239">
        <v>16.527838015813099</v>
      </c>
      <c r="AL4239">
        <v>91.013308667604903</v>
      </c>
      <c r="AM4239">
        <v>94.106135269481797</v>
      </c>
      <c r="AN4239">
        <v>0.99999996291916604</v>
      </c>
    </row>
    <row r="4240" spans="1:40" x14ac:dyDescent="0.25">
      <c r="A4240" t="str">
        <f>"20190305135319643"</f>
        <v>20190305135319643</v>
      </c>
      <c r="B4240" t="str">
        <f>"1551765199634597"</f>
        <v>1551765199634597</v>
      </c>
      <c r="C4240" t="s">
        <v>40</v>
      </c>
      <c r="D4240">
        <v>4.4991750000000001</v>
      </c>
      <c r="E4240">
        <v>0.58336160000000004</v>
      </c>
      <c r="F4240" t="s">
        <v>42</v>
      </c>
      <c r="G4240">
        <v>-334.476</v>
      </c>
      <c r="H4240" s="1">
        <v>-3.8449680000000004E-6</v>
      </c>
      <c r="I4240">
        <v>144.42259999999999</v>
      </c>
      <c r="J4240">
        <v>-318.02440000000001</v>
      </c>
      <c r="K4240">
        <v>1.1089990000000001</v>
      </c>
      <c r="L4240">
        <v>142.07490000000001</v>
      </c>
      <c r="M4240">
        <v>-0.99984740000000005</v>
      </c>
      <c r="N4240">
        <v>-1.422816E-2</v>
      </c>
      <c r="O4240">
        <v>-1.0133359999999999E-2</v>
      </c>
      <c r="P4240">
        <v>-0.99620039999999999</v>
      </c>
      <c r="Q4240">
        <v>-3.2100950000000003E-2</v>
      </c>
      <c r="R4240">
        <v>-8.0958840000000004E-2</v>
      </c>
      <c r="S4240">
        <v>-3.0400999999999998</v>
      </c>
      <c r="T4240">
        <v>-0.1997968</v>
      </c>
      <c r="U4240">
        <v>0.42213440000000002</v>
      </c>
      <c r="V4240">
        <v>-7.0862820000000007E-2</v>
      </c>
      <c r="W4240">
        <v>-1.7895270000000001E-2</v>
      </c>
      <c r="X4240">
        <v>0.99732549999999998</v>
      </c>
      <c r="Y4240">
        <v>0.14717349999999901</v>
      </c>
      <c r="Z4240">
        <v>6.3801969999999998E-3</v>
      </c>
      <c r="AA4240">
        <v>0.98909009999999997</v>
      </c>
      <c r="AB4240">
        <v>40</v>
      </c>
      <c r="AC4240">
        <v>-16.4515999999999</v>
      </c>
      <c r="AD4240">
        <v>-1.1090028449680001</v>
      </c>
      <c r="AE4240">
        <v>2.3476999999999699</v>
      </c>
      <c r="AF4240">
        <v>2.50315868187618</v>
      </c>
      <c r="AG4240">
        <v>-1.1090028449680001</v>
      </c>
      <c r="AH4240">
        <v>16.3541308064212</v>
      </c>
      <c r="AI4240">
        <v>93.834865536102498</v>
      </c>
      <c r="AJ4240">
        <v>81.297860438402196</v>
      </c>
      <c r="AK4240">
        <v>16.581715385638901</v>
      </c>
      <c r="AL4240">
        <v>91.0253782115891</v>
      </c>
      <c r="AM4240">
        <v>94.064198280771095</v>
      </c>
      <c r="AN4240">
        <v>0.99999996644848699</v>
      </c>
    </row>
    <row r="4241" spans="1:40" x14ac:dyDescent="0.25">
      <c r="A4241" t="str">
        <f>"20190305135319664"</f>
        <v>20190305135319664</v>
      </c>
      <c r="B4241" t="str">
        <f>"1551765199654117"</f>
        <v>1551765199654117</v>
      </c>
      <c r="C4241" t="s">
        <v>40</v>
      </c>
      <c r="D4241">
        <v>4.4807759999999996</v>
      </c>
      <c r="E4241">
        <v>0.58331919999999904</v>
      </c>
      <c r="F4241" t="s">
        <v>42</v>
      </c>
      <c r="G4241">
        <v>-334.68369999999999</v>
      </c>
      <c r="H4241" s="1">
        <v>-3.762017E-6</v>
      </c>
      <c r="I4241">
        <v>144.40450000000001</v>
      </c>
      <c r="J4241">
        <v>-318.41480000000001</v>
      </c>
      <c r="K4241">
        <v>1.1089009999999999</v>
      </c>
      <c r="L4241">
        <v>142.07130000000001</v>
      </c>
      <c r="M4241">
        <v>-0.99985159999999995</v>
      </c>
      <c r="N4241">
        <v>-1.422492E-2</v>
      </c>
      <c r="O4241">
        <v>-9.7213170000000002E-3</v>
      </c>
      <c r="P4241">
        <v>-0.99630549999999996</v>
      </c>
      <c r="Q4241">
        <v>-3.2117010000000001E-2</v>
      </c>
      <c r="R4241">
        <v>-7.9650410000000005E-2</v>
      </c>
      <c r="S4241">
        <v>-3.0394899999999998</v>
      </c>
      <c r="T4241">
        <v>-0.2023374</v>
      </c>
      <c r="U4241">
        <v>0.42503360000000001</v>
      </c>
      <c r="V4241">
        <v>-6.9969210000000004E-2</v>
      </c>
      <c r="W4241">
        <v>-1.7897730000000001E-2</v>
      </c>
      <c r="X4241">
        <v>0.99738859999999996</v>
      </c>
      <c r="Y4241">
        <v>0.14770820000000001</v>
      </c>
      <c r="Z4241">
        <v>6.4503219999999997E-3</v>
      </c>
      <c r="AA4241">
        <v>0.98900999999999994</v>
      </c>
      <c r="AB4241">
        <v>40</v>
      </c>
      <c r="AC4241">
        <v>-16.268899999999899</v>
      </c>
      <c r="AD4241">
        <v>-1.1089047620169901</v>
      </c>
      <c r="AE4241">
        <v>2.3332000000000002</v>
      </c>
      <c r="AF4241">
        <v>2.47997130120274</v>
      </c>
      <c r="AG4241">
        <v>-1.1089047620169901</v>
      </c>
      <c r="AH4241">
        <v>16.171828107897699</v>
      </c>
      <c r="AI4241">
        <v>93.877453579684399</v>
      </c>
      <c r="AJ4241">
        <v>81.281535756293906</v>
      </c>
      <c r="AK4241">
        <v>16.398413087167999</v>
      </c>
      <c r="AL4241">
        <v>91.025519127635306</v>
      </c>
      <c r="AM4241">
        <v>94.012862489322401</v>
      </c>
      <c r="AN4241">
        <v>1.0000000192485601</v>
      </c>
    </row>
    <row r="4242" spans="1:40" x14ac:dyDescent="0.25">
      <c r="A4242" t="str">
        <f>"20190305135319687"</f>
        <v>20190305135319687</v>
      </c>
      <c r="B4242" t="str">
        <f>"1551765199674613"</f>
        <v>1551765199674613</v>
      </c>
      <c r="C4242" t="s">
        <v>40</v>
      </c>
      <c r="D4242">
        <v>4.4312449999999997</v>
      </c>
      <c r="E4242">
        <v>0.58336880000000002</v>
      </c>
      <c r="F4242" t="s">
        <v>42</v>
      </c>
      <c r="G4242">
        <v>-335.2004</v>
      </c>
      <c r="H4242" s="1">
        <v>-3.5325219999999998E-6</v>
      </c>
      <c r="I4242">
        <v>144.4392</v>
      </c>
      <c r="J4242">
        <v>-318.79500000000002</v>
      </c>
      <c r="K4242">
        <v>1.1088389999999999</v>
      </c>
      <c r="L4242">
        <v>142.06790000000001</v>
      </c>
      <c r="M4242">
        <v>-0.99985550000000001</v>
      </c>
      <c r="N4242">
        <v>-1.422171E-2</v>
      </c>
      <c r="O4242">
        <v>-9.3157899999999991E-3</v>
      </c>
      <c r="P4242">
        <v>-0.99639880000000003</v>
      </c>
      <c r="Q4242">
        <v>-3.2008620000000002E-2</v>
      </c>
      <c r="R4242">
        <v>-7.851756E-2</v>
      </c>
      <c r="S4242">
        <v>-3.0389400000000002</v>
      </c>
      <c r="T4242">
        <v>-0.20076140000000001</v>
      </c>
      <c r="U4242">
        <v>0.42869570000000001</v>
      </c>
      <c r="V4242">
        <v>-6.9242159999999997E-2</v>
      </c>
      <c r="W4242">
        <v>-1.7781499999999999E-2</v>
      </c>
      <c r="X4242">
        <v>0.99744140000000003</v>
      </c>
      <c r="Y4242">
        <v>0.14850450000000001</v>
      </c>
      <c r="Z4242">
        <v>6.4186719999999899E-3</v>
      </c>
      <c r="AA4242">
        <v>0.98889090000000002</v>
      </c>
      <c r="AB4242">
        <v>40</v>
      </c>
      <c r="AC4242">
        <v>-16.405399999999901</v>
      </c>
      <c r="AD4242">
        <v>-1.1088425325219999</v>
      </c>
      <c r="AE4242">
        <v>2.37129999999999</v>
      </c>
      <c r="AF4242">
        <v>2.5127972129773499</v>
      </c>
      <c r="AG4242">
        <v>-1.1088425325219999</v>
      </c>
      <c r="AH4242">
        <v>16.309610901185199</v>
      </c>
      <c r="AI4242">
        <v>93.844167824915203</v>
      </c>
      <c r="AJ4242">
        <v>81.241393466564404</v>
      </c>
      <c r="AK4242">
        <v>16.539259032481901</v>
      </c>
      <c r="AL4242">
        <v>91.018858596474999</v>
      </c>
      <c r="AM4242">
        <v>93.9710894062964</v>
      </c>
      <c r="AN4242">
        <v>1.00000000244883</v>
      </c>
    </row>
    <row r="4243" spans="1:40" x14ac:dyDescent="0.25">
      <c r="A4243" t="str">
        <f>"20190305135319707"</f>
        <v>20190305135319707</v>
      </c>
      <c r="B4243" t="str">
        <f>"1551765199703894"</f>
        <v>1551765199703894</v>
      </c>
      <c r="C4243" t="s">
        <v>40</v>
      </c>
      <c r="D4243">
        <v>4.4254290000000003</v>
      </c>
      <c r="E4243">
        <v>0.58326369999999905</v>
      </c>
      <c r="F4243" t="s">
        <v>42</v>
      </c>
      <c r="G4243">
        <v>-335.84449999999998</v>
      </c>
      <c r="H4243" s="1">
        <v>-3.2427119999999998E-6</v>
      </c>
      <c r="I4243">
        <v>144.49430000000001</v>
      </c>
      <c r="J4243">
        <v>-319.1816</v>
      </c>
      <c r="K4243">
        <v>1.1088119999999999</v>
      </c>
      <c r="L4243">
        <v>142.06460000000001</v>
      </c>
      <c r="M4243">
        <v>-0.99985919999999895</v>
      </c>
      <c r="N4243">
        <v>-1.4218339999999999E-2</v>
      </c>
      <c r="O4243">
        <v>-8.9383789999999998E-3</v>
      </c>
      <c r="P4243">
        <v>-0.99646950000000001</v>
      </c>
      <c r="Q4243">
        <v>-3.2675009999999997E-2</v>
      </c>
      <c r="R4243">
        <v>-7.7337169999999997E-2</v>
      </c>
      <c r="S4243">
        <v>-3.0385740000000001</v>
      </c>
      <c r="T4243">
        <v>-0.1976185</v>
      </c>
      <c r="U4243">
        <v>0.43243409999999899</v>
      </c>
      <c r="V4243">
        <v>-6.8439429999999996E-2</v>
      </c>
      <c r="W4243">
        <v>-1.8446489999999999E-2</v>
      </c>
      <c r="X4243">
        <v>0.9974847</v>
      </c>
      <c r="Y4243">
        <v>0.14935010000000001</v>
      </c>
      <c r="Z4243">
        <v>6.3472729999999996E-3</v>
      </c>
      <c r="AA4243">
        <v>0.98876399999999998</v>
      </c>
      <c r="AB4243">
        <v>40</v>
      </c>
      <c r="AC4243">
        <v>-16.662899999999901</v>
      </c>
      <c r="AD4243">
        <v>-1.1088152427119999</v>
      </c>
      <c r="AE4243">
        <v>2.4296999999999902</v>
      </c>
      <c r="AF4243">
        <v>2.5674251373127999</v>
      </c>
      <c r="AG4243">
        <v>-1.1088152427119999</v>
      </c>
      <c r="AH4243">
        <v>16.568674202920999</v>
      </c>
      <c r="AI4243">
        <v>93.783638974672499</v>
      </c>
      <c r="AJ4243">
        <v>81.191696284944797</v>
      </c>
      <c r="AK4243">
        <v>16.803038651408201</v>
      </c>
      <c r="AL4243">
        <v>91.056965996062203</v>
      </c>
      <c r="AM4243">
        <v>93.925027134847596</v>
      </c>
      <c r="AN4243">
        <v>0.99999997765306703</v>
      </c>
    </row>
    <row r="4244" spans="1:40" x14ac:dyDescent="0.25">
      <c r="A4244" t="str">
        <f>"20190305135319731"</f>
        <v>20190305135319731</v>
      </c>
      <c r="B4244" t="str">
        <f>"1551765199723924"</f>
        <v>1551765199723924</v>
      </c>
      <c r="C4244" t="s">
        <v>40</v>
      </c>
      <c r="D4244">
        <v>4.4215</v>
      </c>
      <c r="E4244">
        <v>0.58327869999999904</v>
      </c>
      <c r="F4244" t="s">
        <v>42</v>
      </c>
      <c r="G4244">
        <v>-336.22480000000002</v>
      </c>
      <c r="H4244" s="1">
        <v>-3.066179E-6</v>
      </c>
      <c r="I4244">
        <v>144.50640000000001</v>
      </c>
      <c r="J4244">
        <v>-319.59480000000002</v>
      </c>
      <c r="K4244">
        <v>1.108814</v>
      </c>
      <c r="L4244">
        <v>142.06120000000001</v>
      </c>
      <c r="M4244">
        <v>-0.99986209999999998</v>
      </c>
      <c r="N4244">
        <v>-1.42148E-2</v>
      </c>
      <c r="O4244">
        <v>-8.5868190000000007E-3</v>
      </c>
      <c r="P4244">
        <v>-0.99651829999999997</v>
      </c>
      <c r="Q4244">
        <v>-3.2506670000000001E-2</v>
      </c>
      <c r="R4244">
        <v>-7.6778289999999999E-2</v>
      </c>
      <c r="S4244">
        <v>-3.0379330000000002</v>
      </c>
      <c r="T4244">
        <v>-0.19764590000000001</v>
      </c>
      <c r="U4244">
        <v>0.43525700000000001</v>
      </c>
      <c r="V4244">
        <v>-6.8230830000000006E-2</v>
      </c>
      <c r="W4244">
        <v>-1.8281490000000001E-2</v>
      </c>
      <c r="X4244">
        <v>0.997502</v>
      </c>
      <c r="Y4244">
        <v>0.1499307</v>
      </c>
      <c r="Z4244">
        <v>6.3537949999999998E-3</v>
      </c>
      <c r="AA4244">
        <v>0.98867609999999995</v>
      </c>
      <c r="AB4244">
        <v>40</v>
      </c>
      <c r="AC4244">
        <v>-16.6299999999999</v>
      </c>
      <c r="AD4244">
        <v>-1.108817066179</v>
      </c>
      <c r="AE4244">
        <v>2.4451999999999998</v>
      </c>
      <c r="AF4244">
        <v>2.5767103216818699</v>
      </c>
      <c r="AG4244">
        <v>-1.108817066179</v>
      </c>
      <c r="AH4244">
        <v>16.536428701914499</v>
      </c>
      <c r="AI4244">
        <v>93.790506384243301</v>
      </c>
      <c r="AJ4244">
        <v>81.143378916539504</v>
      </c>
      <c r="AK4244">
        <v>16.772667813487899</v>
      </c>
      <c r="AL4244">
        <v>91.047510627206407</v>
      </c>
      <c r="AM4244">
        <v>93.913033413769995</v>
      </c>
      <c r="AN4244">
        <v>0.99999994952155302</v>
      </c>
    </row>
    <row r="4245" spans="1:40" x14ac:dyDescent="0.25">
      <c r="A4245" t="str">
        <f>"20190305135319753"</f>
        <v>20190305135319753</v>
      </c>
      <c r="B4245" t="str">
        <f>"1551765199744416"</f>
        <v>1551765199744416</v>
      </c>
      <c r="C4245" t="s">
        <v>40</v>
      </c>
      <c r="D4245">
        <v>4.4023300000000001</v>
      </c>
      <c r="E4245">
        <v>0.58327649999999998</v>
      </c>
      <c r="F4245" t="s">
        <v>42</v>
      </c>
      <c r="G4245">
        <v>-336.78989999999999</v>
      </c>
      <c r="H4245" s="1">
        <v>-2.8066989999999999E-6</v>
      </c>
      <c r="I4245">
        <v>144.5351</v>
      </c>
      <c r="J4245">
        <v>-319.97809999999998</v>
      </c>
      <c r="K4245">
        <v>1.108838</v>
      </c>
      <c r="L4245">
        <v>142.0581</v>
      </c>
      <c r="M4245">
        <v>-0.99986430000000004</v>
      </c>
      <c r="N4245">
        <v>-1.420924E-2</v>
      </c>
      <c r="O4245">
        <v>-8.3338819999999904E-3</v>
      </c>
      <c r="P4245">
        <v>-0.99658559999999996</v>
      </c>
      <c r="Q4245">
        <v>-3.1827809999999998E-2</v>
      </c>
      <c r="R4245">
        <v>-7.6185639999999999E-2</v>
      </c>
      <c r="S4245">
        <v>-3.0377200000000002</v>
      </c>
      <c r="T4245">
        <v>-0.19588630000000001</v>
      </c>
      <c r="U4245">
        <v>0.43704219999999999</v>
      </c>
      <c r="V4245">
        <v>-6.7887729999999993E-2</v>
      </c>
      <c r="W4245">
        <v>-1.761194E-2</v>
      </c>
      <c r="X4245">
        <v>0.99753749999999997</v>
      </c>
      <c r="Y4245">
        <v>0.1502655</v>
      </c>
      <c r="Z4245">
        <v>6.3060779999999997E-3</v>
      </c>
      <c r="AA4245">
        <v>0.98862559999999999</v>
      </c>
      <c r="AB4245">
        <v>40</v>
      </c>
      <c r="AC4245">
        <v>-16.811800000000002</v>
      </c>
      <c r="AD4245">
        <v>-1.1088408066990001</v>
      </c>
      <c r="AE4245">
        <v>2.4769999999999999</v>
      </c>
      <c r="AF4245">
        <v>2.6059401514667901</v>
      </c>
      <c r="AG4245">
        <v>-1.1088408066990001</v>
      </c>
      <c r="AH4245">
        <v>16.7193835049315</v>
      </c>
      <c r="AI4245">
        <v>93.749202536740597</v>
      </c>
      <c r="AJ4245">
        <v>81.140964131154405</v>
      </c>
      <c r="AK4245">
        <v>16.957542180180599</v>
      </c>
      <c r="AL4245">
        <v>91.009142010917202</v>
      </c>
      <c r="AM4245">
        <v>93.893279190186703</v>
      </c>
      <c r="AN4245">
        <v>0.99999999411068297</v>
      </c>
    </row>
    <row r="4246" spans="1:40" x14ac:dyDescent="0.25">
      <c r="A4246" t="str">
        <f>"20190305135319774"</f>
        <v>20190305135319774</v>
      </c>
      <c r="B4246" t="str">
        <f>"1551765199763937"</f>
        <v>1551765199763937</v>
      </c>
      <c r="C4246" t="s">
        <v>40</v>
      </c>
      <c r="D4246">
        <v>4.4118219999999999</v>
      </c>
      <c r="E4246">
        <v>0.58321940000000005</v>
      </c>
      <c r="F4246" t="s">
        <v>42</v>
      </c>
      <c r="G4246">
        <v>-337.57900000000001</v>
      </c>
      <c r="H4246" s="1">
        <v>-2.4511990000000001E-6</v>
      </c>
      <c r="I4246">
        <v>144.6011</v>
      </c>
      <c r="J4246">
        <v>-320.3603</v>
      </c>
      <c r="K4246">
        <v>1.108878</v>
      </c>
      <c r="L4246">
        <v>142.05500000000001</v>
      </c>
      <c r="M4246">
        <v>-0.99986589999999997</v>
      </c>
      <c r="N4246">
        <v>-1.419349E-2</v>
      </c>
      <c r="O4246">
        <v>-8.1732439999999996E-3</v>
      </c>
      <c r="P4246">
        <v>-0.99660349999999998</v>
      </c>
      <c r="Q4246">
        <v>-3.1798369999999999E-2</v>
      </c>
      <c r="R4246">
        <v>-7.5963359999999994E-2</v>
      </c>
      <c r="S4246">
        <v>-3.0377200000000002</v>
      </c>
      <c r="T4246">
        <v>-0.1913726</v>
      </c>
      <c r="U4246">
        <v>0.43888850000000001</v>
      </c>
      <c r="V4246">
        <v>-6.7824010000000004E-2</v>
      </c>
      <c r="W4246">
        <v>-1.7605659999999999E-2</v>
      </c>
      <c r="X4246">
        <v>0.99754200000000004</v>
      </c>
      <c r="Y4246">
        <v>0.1507107</v>
      </c>
      <c r="Z4246">
        <v>6.1910860000000002E-3</v>
      </c>
      <c r="AA4246">
        <v>0.98855850000000001</v>
      </c>
      <c r="AB4246">
        <v>40</v>
      </c>
      <c r="AC4246">
        <v>-17.218699999999998</v>
      </c>
      <c r="AD4246">
        <v>-1.108880451199</v>
      </c>
      <c r="AE4246">
        <v>2.5460999999999898</v>
      </c>
      <c r="AF4246">
        <v>2.67590136136611</v>
      </c>
      <c r="AG4246">
        <v>-1.108880451199</v>
      </c>
      <c r="AH4246">
        <v>17.1277980489564</v>
      </c>
      <c r="AI4246">
        <v>93.659974116874096</v>
      </c>
      <c r="AJ4246">
        <v>81.120376279672996</v>
      </c>
      <c r="AK4246">
        <v>17.370996803771799</v>
      </c>
      <c r="AL4246">
        <v>91.008782082568004</v>
      </c>
      <c r="AM4246">
        <v>93.889618654996298</v>
      </c>
      <c r="AN4246">
        <v>1.0000000486802501</v>
      </c>
    </row>
    <row r="4247" spans="1:40" x14ac:dyDescent="0.25">
      <c r="A4247" t="str">
        <f>"20190305135319797"</f>
        <v>20190305135319797</v>
      </c>
      <c r="B4247" t="str">
        <f>"1551765199794193"</f>
        <v>1551765199794193</v>
      </c>
      <c r="C4247" t="s">
        <v>40</v>
      </c>
      <c r="D4247">
        <v>4.349583</v>
      </c>
      <c r="E4247">
        <v>0.58300069999999904</v>
      </c>
      <c r="F4247" t="s">
        <v>42</v>
      </c>
      <c r="G4247">
        <v>-338.35300000000001</v>
      </c>
      <c r="H4247" s="1">
        <v>-2.0998479999999998E-6</v>
      </c>
      <c r="I4247">
        <v>144.65549999999999</v>
      </c>
      <c r="J4247">
        <v>-320.75290000000001</v>
      </c>
      <c r="K4247">
        <v>1.1089389999999999</v>
      </c>
      <c r="L4247">
        <v>142.05179999999999</v>
      </c>
      <c r="M4247">
        <v>-0.9998667</v>
      </c>
      <c r="N4247">
        <v>-1.4161E-2</v>
      </c>
      <c r="O4247">
        <v>-8.1359589999999999E-3</v>
      </c>
      <c r="P4247">
        <v>-0.9965792</v>
      </c>
      <c r="Q4247">
        <v>-3.2651140000000002E-2</v>
      </c>
      <c r="R4247">
        <v>-7.5920070000000006E-2</v>
      </c>
      <c r="S4247">
        <v>-3.0377200000000002</v>
      </c>
      <c r="T4247">
        <v>-0.1872135</v>
      </c>
      <c r="U4247">
        <v>0.43904110000000002</v>
      </c>
      <c r="V4247">
        <v>-6.7814830000000006E-2</v>
      </c>
      <c r="W4247">
        <v>-1.8502999999999999E-2</v>
      </c>
      <c r="X4247">
        <v>0.99752629999999998</v>
      </c>
      <c r="Y4247">
        <v>0.15073719999999999</v>
      </c>
      <c r="Z4247">
        <v>6.0746089999999999E-3</v>
      </c>
      <c r="AA4247">
        <v>0.98855519999999997</v>
      </c>
      <c r="AB4247">
        <v>39</v>
      </c>
      <c r="AC4247">
        <v>-17.600099999999902</v>
      </c>
      <c r="AD4247">
        <v>-1.1089410998479901</v>
      </c>
      <c r="AE4247">
        <v>2.6036999999999999</v>
      </c>
      <c r="AF4247">
        <v>2.7361919009567202</v>
      </c>
      <c r="AG4247">
        <v>-1.1089410998479901</v>
      </c>
      <c r="AH4247">
        <v>17.510305122978</v>
      </c>
      <c r="AI4247">
        <v>93.5804122009678</v>
      </c>
      <c r="AJ4247">
        <v>81.118680541359893</v>
      </c>
      <c r="AK4247">
        <v>17.757457080944398</v>
      </c>
      <c r="AL4247">
        <v>91.060204346021706</v>
      </c>
      <c r="AM4247">
        <v>93.889154831976995</v>
      </c>
      <c r="AN4247">
        <v>0.99999996568430805</v>
      </c>
    </row>
    <row r="4248" spans="1:40" x14ac:dyDescent="0.25">
      <c r="A4248" t="str">
        <f>"20190305135319819"</f>
        <v>20190305135319819</v>
      </c>
      <c r="B4248" t="str">
        <f>"1551765199813713"</f>
        <v>1551765199813713</v>
      </c>
      <c r="C4248" t="s">
        <v>40</v>
      </c>
      <c r="D4248">
        <v>4.3523459999999998</v>
      </c>
      <c r="E4248">
        <v>0.55468470000000003</v>
      </c>
      <c r="F4248" t="s">
        <v>42</v>
      </c>
      <c r="G4248">
        <v>-338.55529999999999</v>
      </c>
      <c r="H4248" s="1">
        <v>-1.9936120000000002E-6</v>
      </c>
      <c r="I4248">
        <v>144.6157</v>
      </c>
      <c r="J4248">
        <v>-321.16520000000003</v>
      </c>
      <c r="K4248">
        <v>1.1090279999999999</v>
      </c>
      <c r="L4248">
        <v>142.04839999999999</v>
      </c>
      <c r="M4248">
        <v>-0.99986620000000004</v>
      </c>
      <c r="N4248">
        <v>-1.4115890000000001E-2</v>
      </c>
      <c r="O4248">
        <v>-8.2646290000000008E-3</v>
      </c>
      <c r="P4248">
        <v>-0.99649069999999995</v>
      </c>
      <c r="Q4248">
        <v>-3.3639919999999997E-2</v>
      </c>
      <c r="R4248">
        <v>-7.6646249999999999E-2</v>
      </c>
      <c r="S4248">
        <v>-3.0374150000000002</v>
      </c>
      <c r="T4248">
        <v>-0.1892054</v>
      </c>
      <c r="U4248">
        <v>0.43743900000000002</v>
      </c>
      <c r="V4248">
        <v>-6.8408960000000005E-2</v>
      </c>
      <c r="W4248">
        <v>-1.955513E-2</v>
      </c>
      <c r="X4248">
        <v>0.99746570000000001</v>
      </c>
      <c r="Y4248">
        <v>0.15036150000000001</v>
      </c>
      <c r="Z4248">
        <v>6.1184269999999897E-3</v>
      </c>
      <c r="AA4248">
        <v>0.98861220000000005</v>
      </c>
      <c r="AB4248">
        <v>39</v>
      </c>
      <c r="AC4248">
        <v>-17.390099999999901</v>
      </c>
      <c r="AD4248">
        <v>-1.1090299936120001</v>
      </c>
      <c r="AE4248">
        <v>2.5673000000000101</v>
      </c>
      <c r="AF4248">
        <v>2.70020166258502</v>
      </c>
      <c r="AG4248">
        <v>-1.1090299936120001</v>
      </c>
      <c r="AH4248">
        <v>17.299428674145499</v>
      </c>
      <c r="AI4248">
        <v>93.624327581957303</v>
      </c>
      <c r="AJ4248">
        <v>81.128503822690902</v>
      </c>
      <c r="AK4248">
        <v>17.543980990562101</v>
      </c>
      <c r="AL4248">
        <v>91.120497831715099</v>
      </c>
      <c r="AM4248">
        <v>93.923359625619199</v>
      </c>
      <c r="AN4248">
        <v>1.00000000579704</v>
      </c>
    </row>
    <row r="4249" spans="1:40" x14ac:dyDescent="0.25">
      <c r="A4249" t="str">
        <f>"20190305135319843"</f>
        <v>20190305135319843</v>
      </c>
      <c r="B4249" t="str">
        <f>"1551765199834638"</f>
        <v>1551765199834638</v>
      </c>
      <c r="C4249" t="s">
        <v>40</v>
      </c>
      <c r="D4249">
        <v>4.3007279999999897</v>
      </c>
      <c r="E4249">
        <v>0.55134309999999997</v>
      </c>
      <c r="F4249" t="s">
        <v>42</v>
      </c>
      <c r="G4249">
        <v>-383.23480000000001</v>
      </c>
      <c r="H4249" s="1">
        <v>-4.3455379999999999E-6</v>
      </c>
      <c r="I4249">
        <v>146.214</v>
      </c>
      <c r="J4249">
        <v>-321.56319999999999</v>
      </c>
      <c r="K4249">
        <v>1.1091519999999999</v>
      </c>
      <c r="L4249">
        <v>142.04490000000001</v>
      </c>
      <c r="M4249">
        <v>-0.99986430000000004</v>
      </c>
      <c r="N4249">
        <v>-1.4068560000000001E-2</v>
      </c>
      <c r="O4249">
        <v>-8.5696090000000006E-3</v>
      </c>
      <c r="P4249">
        <v>-0.99639270000000002</v>
      </c>
      <c r="Q4249">
        <v>-3.3396420000000003E-2</v>
      </c>
      <c r="R4249">
        <v>-7.801603E-2</v>
      </c>
      <c r="S4249">
        <v>-3.0243530000000001</v>
      </c>
      <c r="T4249">
        <v>-5.4037809999999999E-2</v>
      </c>
      <c r="U4249">
        <v>0.2029724</v>
      </c>
      <c r="V4249">
        <v>-6.9469349999999999E-2</v>
      </c>
      <c r="W4249">
        <v>-1.938225E-2</v>
      </c>
      <c r="X4249">
        <v>0.99739580000000005</v>
      </c>
      <c r="Y4249">
        <v>7.5489260000000002E-2</v>
      </c>
      <c r="Z4249">
        <v>1.237824E-3</v>
      </c>
      <c r="AA4249">
        <v>0.99714579999999997</v>
      </c>
      <c r="AB4249">
        <v>39</v>
      </c>
      <c r="AC4249">
        <v>-61.671599999999998</v>
      </c>
      <c r="AD4249">
        <v>-1.109156345538</v>
      </c>
      <c r="AE4249">
        <v>4.1690999999999798</v>
      </c>
      <c r="AF4249">
        <v>4.6959886587788198</v>
      </c>
      <c r="AG4249">
        <v>-1.109156345538</v>
      </c>
      <c r="AH4249">
        <v>61.613765216237603</v>
      </c>
      <c r="AI4249">
        <v>91.028331797668699</v>
      </c>
      <c r="AJ4249">
        <v>85.641539661622005</v>
      </c>
      <c r="AK4249">
        <v>61.802415821745001</v>
      </c>
      <c r="AL4249">
        <v>91.110590641631305</v>
      </c>
      <c r="AM4249">
        <v>93.984258592577007</v>
      </c>
      <c r="AN4249">
        <v>1.0000000220310601</v>
      </c>
    </row>
    <row r="4250" spans="1:40" x14ac:dyDescent="0.25">
      <c r="A4250" t="str">
        <f>"20190305135319864"</f>
        <v>20190305135319864</v>
      </c>
      <c r="B4250" t="str">
        <f>"1551765199854158"</f>
        <v>1551765199854158</v>
      </c>
      <c r="C4250" t="s">
        <v>40</v>
      </c>
      <c r="D4250">
        <v>4.2886889999999998</v>
      </c>
      <c r="E4250">
        <v>0.55063050000000002</v>
      </c>
      <c r="F4250" t="s">
        <v>42</v>
      </c>
      <c r="G4250">
        <v>-376.93720000000002</v>
      </c>
      <c r="H4250" s="1">
        <v>-2.784055E-6</v>
      </c>
      <c r="I4250">
        <v>145.20779999999999</v>
      </c>
      <c r="J4250">
        <v>-321.9418</v>
      </c>
      <c r="K4250">
        <v>1.1092979999999999</v>
      </c>
      <c r="L4250">
        <v>142.04130000000001</v>
      </c>
      <c r="M4250">
        <v>-0.99986090000000005</v>
      </c>
      <c r="N4250">
        <v>-1.4022990000000001E-2</v>
      </c>
      <c r="O4250">
        <v>-9.0361169999999998E-3</v>
      </c>
      <c r="P4250">
        <v>-0.99633249999999995</v>
      </c>
      <c r="Q4250">
        <v>-3.2705810000000002E-2</v>
      </c>
      <c r="R4250">
        <v>-7.9069899999999999E-2</v>
      </c>
      <c r="S4250">
        <v>-3.0223390000000001</v>
      </c>
      <c r="T4250">
        <v>-6.0538290000000002E-2</v>
      </c>
      <c r="U4250">
        <v>0.17263789999999901</v>
      </c>
      <c r="V4250">
        <v>-7.0051799999999997E-2</v>
      </c>
      <c r="W4250">
        <v>-1.8763289999999998E-2</v>
      </c>
      <c r="X4250">
        <v>0.99736689999999995</v>
      </c>
      <c r="Y4250">
        <v>6.6025029999999998E-2</v>
      </c>
      <c r="Z4250">
        <v>1.178293E-3</v>
      </c>
      <c r="AA4250">
        <v>0.99781730000000002</v>
      </c>
      <c r="AB4250">
        <v>39</v>
      </c>
      <c r="AC4250">
        <v>-54.995399999999997</v>
      </c>
      <c r="AD4250">
        <v>-1.109300784055</v>
      </c>
      <c r="AE4250">
        <v>3.1664999999999801</v>
      </c>
      <c r="AF4250">
        <v>3.6618794529754002</v>
      </c>
      <c r="AG4250">
        <v>-1.109300784055</v>
      </c>
      <c r="AH4250">
        <v>54.942258617904301</v>
      </c>
      <c r="AI4250">
        <v>91.154102104933699</v>
      </c>
      <c r="AJ4250">
        <v>86.186898799116307</v>
      </c>
      <c r="AK4250">
        <v>55.075327428843401</v>
      </c>
      <c r="AL4250">
        <v>91.075120391427802</v>
      </c>
      <c r="AM4250">
        <v>94.017670800788096</v>
      </c>
      <c r="AN4250">
        <v>1.0000000244752301</v>
      </c>
    </row>
    <row r="4251" spans="1:40" x14ac:dyDescent="0.25">
      <c r="A4251" t="str">
        <f>"20190305135319887"</f>
        <v>20190305135319887</v>
      </c>
      <c r="B4251" t="str">
        <f>"1551765199884415"</f>
        <v>1551765199884415</v>
      </c>
      <c r="C4251" t="s">
        <v>40</v>
      </c>
      <c r="D4251">
        <v>4.2948440000000003</v>
      </c>
      <c r="E4251">
        <v>0.55041569999999995</v>
      </c>
      <c r="F4251" t="s">
        <v>42</v>
      </c>
      <c r="G4251">
        <v>-381.62220000000002</v>
      </c>
      <c r="H4251" s="1">
        <v>-4.7276560000000001E-6</v>
      </c>
      <c r="I4251">
        <v>145.27440000000001</v>
      </c>
      <c r="J4251">
        <v>-322.32810000000001</v>
      </c>
      <c r="K4251">
        <v>1.109461</v>
      </c>
      <c r="L4251">
        <v>142.03729999999999</v>
      </c>
      <c r="M4251">
        <v>-0.9998553</v>
      </c>
      <c r="N4251">
        <v>-1.3978859999999999E-2</v>
      </c>
      <c r="O4251">
        <v>-9.6947769999999999E-3</v>
      </c>
      <c r="P4251">
        <v>-0.99624429999999997</v>
      </c>
      <c r="Q4251">
        <v>-3.2329339999999998E-2</v>
      </c>
      <c r="R4251">
        <v>-8.0325670000000002E-2</v>
      </c>
      <c r="S4251">
        <v>-3.0222169999999999</v>
      </c>
      <c r="T4251">
        <v>-5.617523E-2</v>
      </c>
      <c r="U4251">
        <v>0.16372679999999901</v>
      </c>
      <c r="V4251">
        <v>-7.0643819999999996E-2</v>
      </c>
      <c r="W4251">
        <v>-1.846035E-2</v>
      </c>
      <c r="X4251">
        <v>0.99733079999999996</v>
      </c>
      <c r="Y4251">
        <v>6.3754710000000006E-2</v>
      </c>
      <c r="Z4251">
        <v>1.0827020000000001E-3</v>
      </c>
      <c r="AA4251">
        <v>0.99796499999999999</v>
      </c>
      <c r="AB4251">
        <v>39</v>
      </c>
      <c r="AC4251">
        <v>-59.2941</v>
      </c>
      <c r="AD4251">
        <v>-1.109465727656</v>
      </c>
      <c r="AE4251">
        <v>3.2371000000000199</v>
      </c>
      <c r="AF4251">
        <v>3.8105169492783499</v>
      </c>
      <c r="AG4251">
        <v>-1.109465727656</v>
      </c>
      <c r="AH4251">
        <v>59.239248238165203</v>
      </c>
      <c r="AI4251">
        <v>91.070729600512493</v>
      </c>
      <c r="AJ4251">
        <v>86.319565580821106</v>
      </c>
      <c r="AK4251">
        <v>59.372042961688202</v>
      </c>
      <c r="AL4251">
        <v>91.0577601962693</v>
      </c>
      <c r="AM4251">
        <v>94.051658400595798</v>
      </c>
      <c r="AN4251">
        <v>1.00000002922747</v>
      </c>
    </row>
    <row r="4252" spans="1:40" x14ac:dyDescent="0.25">
      <c r="A4252" t="str">
        <f>"20190305135319909"</f>
        <v>20190305135319909</v>
      </c>
      <c r="B4252" t="str">
        <f>"1551765199903936"</f>
        <v>1551765199903936</v>
      </c>
      <c r="C4252" t="s">
        <v>40</v>
      </c>
      <c r="D4252">
        <v>4.2917170000000002</v>
      </c>
      <c r="E4252">
        <v>0.55033430000000005</v>
      </c>
      <c r="F4252" t="s">
        <v>42</v>
      </c>
      <c r="G4252">
        <v>-375.8492</v>
      </c>
      <c r="H4252" s="1">
        <v>-3.1544280000000002E-6</v>
      </c>
      <c r="I4252">
        <v>144.84569999999999</v>
      </c>
      <c r="J4252">
        <v>-322.73219999999998</v>
      </c>
      <c r="K4252">
        <v>1.1096330000000001</v>
      </c>
      <c r="L4252">
        <v>142.0326</v>
      </c>
      <c r="M4252">
        <v>-0.99984689999999998</v>
      </c>
      <c r="N4252">
        <v>-1.3936799999999999E-2</v>
      </c>
      <c r="O4252">
        <v>-1.0573559999999999E-2</v>
      </c>
      <c r="P4252">
        <v>-0.99614380000000002</v>
      </c>
      <c r="Q4252">
        <v>-3.2130760000000001E-2</v>
      </c>
      <c r="R4252">
        <v>-8.1639500000000004E-2</v>
      </c>
      <c r="S4252">
        <v>-3.0220639999999999</v>
      </c>
      <c r="T4252">
        <v>-6.2645790000000007E-2</v>
      </c>
      <c r="U4252">
        <v>0.15858459999999999</v>
      </c>
      <c r="V4252">
        <v>-7.107484E-2</v>
      </c>
      <c r="W4252">
        <v>-1.8334389999999999E-2</v>
      </c>
      <c r="X4252">
        <v>0.99730249999999998</v>
      </c>
      <c r="Y4252">
        <v>6.2937809999999997E-2</v>
      </c>
      <c r="Z4252">
        <v>1.1625610000000001E-3</v>
      </c>
      <c r="AA4252">
        <v>0.99801680000000004</v>
      </c>
      <c r="AB4252">
        <v>39</v>
      </c>
      <c r="AC4252">
        <v>-53.116999999999997</v>
      </c>
      <c r="AD4252">
        <v>-1.109636154428</v>
      </c>
      <c r="AE4252">
        <v>2.8130999999999902</v>
      </c>
      <c r="AF4252">
        <v>3.37316512765462</v>
      </c>
      <c r="AG4252">
        <v>-1.109636154428</v>
      </c>
      <c r="AH4252">
        <v>53.0611910857914</v>
      </c>
      <c r="AI4252">
        <v>91.195604124466499</v>
      </c>
      <c r="AJ4252">
        <v>86.362531647355496</v>
      </c>
      <c r="AK4252">
        <v>53.179879041010501</v>
      </c>
      <c r="AL4252">
        <v>91.050541998022894</v>
      </c>
      <c r="AM4252">
        <v>94.076411034055994</v>
      </c>
      <c r="AN4252">
        <v>1.00000002962197</v>
      </c>
    </row>
    <row r="4253" spans="1:40" x14ac:dyDescent="0.25">
      <c r="A4253" t="str">
        <f>"20190305135319930"</f>
        <v>20190305135319930</v>
      </c>
      <c r="B4253" t="str">
        <f>"1551765199923962"</f>
        <v>1551765199923962</v>
      </c>
      <c r="C4253" t="s">
        <v>40</v>
      </c>
      <c r="D4253">
        <v>4.2707090000000001</v>
      </c>
      <c r="E4253">
        <v>0.55059389999999997</v>
      </c>
      <c r="F4253" t="s">
        <v>42</v>
      </c>
      <c r="G4253">
        <v>-375.92450000000002</v>
      </c>
      <c r="H4253" s="1">
        <v>-3.094846E-6</v>
      </c>
      <c r="I4253">
        <v>144.7431</v>
      </c>
      <c r="J4253">
        <v>-323.11840000000001</v>
      </c>
      <c r="K4253">
        <v>1.109785</v>
      </c>
      <c r="L4253">
        <v>142.02760000000001</v>
      </c>
      <c r="M4253">
        <v>-0.99983670000000002</v>
      </c>
      <c r="N4253">
        <v>-1.3899460000000001E-2</v>
      </c>
      <c r="O4253">
        <v>-1.155306E-2</v>
      </c>
      <c r="P4253">
        <v>-0.99606749999999999</v>
      </c>
      <c r="Q4253">
        <v>-3.1456949999999997E-2</v>
      </c>
      <c r="R4253">
        <v>-8.2825179999999998E-2</v>
      </c>
      <c r="S4253">
        <v>-3.0221559999999998</v>
      </c>
      <c r="T4253">
        <v>-6.3044790000000003E-2</v>
      </c>
      <c r="U4253">
        <v>0.15400700000000001</v>
      </c>
      <c r="V4253">
        <v>-7.1279640000000005E-2</v>
      </c>
      <c r="W4253">
        <v>-1.772377E-2</v>
      </c>
      <c r="X4253">
        <v>0.99729889999999999</v>
      </c>
      <c r="Y4253">
        <v>6.2406219999999998E-2</v>
      </c>
      <c r="Z4253">
        <v>1.1648870000000001E-3</v>
      </c>
      <c r="AA4253">
        <v>0.9980502</v>
      </c>
      <c r="AB4253">
        <v>39</v>
      </c>
      <c r="AC4253">
        <v>-52.806100000000001</v>
      </c>
      <c r="AD4253">
        <v>-1.1097880948459999</v>
      </c>
      <c r="AE4253">
        <v>2.7154999999999898</v>
      </c>
      <c r="AF4253">
        <v>3.3239854085149498</v>
      </c>
      <c r="AG4253">
        <v>-1.1097880948459999</v>
      </c>
      <c r="AH4253">
        <v>52.7479632398028</v>
      </c>
      <c r="AI4253">
        <v>91.202908477615395</v>
      </c>
      <c r="AJ4253">
        <v>86.394195613312505</v>
      </c>
      <c r="AK4253">
        <v>52.864242494895102</v>
      </c>
      <c r="AL4253">
        <v>91.015550384637706</v>
      </c>
      <c r="AM4253">
        <v>94.088132027621498</v>
      </c>
      <c r="AN4253">
        <v>1.00000000752137</v>
      </c>
    </row>
    <row r="4254" spans="1:40" x14ac:dyDescent="0.25">
      <c r="A4254" t="str">
        <f>"20190305135319953"</f>
        <v>20190305135319953</v>
      </c>
      <c r="B4254" t="str">
        <f>"1551765199944458"</f>
        <v>1551765199944458</v>
      </c>
      <c r="C4254" t="s">
        <v>40</v>
      </c>
      <c r="D4254">
        <v>4.362279</v>
      </c>
      <c r="E4254">
        <v>0.55108299999999999</v>
      </c>
      <c r="F4254" t="s">
        <v>42</v>
      </c>
      <c r="G4254">
        <v>-380.43979999999999</v>
      </c>
      <c r="H4254" s="1">
        <v>-5.0664119999999998E-6</v>
      </c>
      <c r="I4254">
        <v>144.91560000000001</v>
      </c>
      <c r="J4254">
        <v>-323.50189999999998</v>
      </c>
      <c r="K4254">
        <v>1.109917</v>
      </c>
      <c r="L4254">
        <v>142.0222</v>
      </c>
      <c r="M4254">
        <v>-0.99982400000000005</v>
      </c>
      <c r="N4254">
        <v>-1.386536E-2</v>
      </c>
      <c r="O4254">
        <v>-1.263999E-2</v>
      </c>
      <c r="P4254">
        <v>-0.99596280000000004</v>
      </c>
      <c r="Q4254">
        <v>-3.0496680000000002E-2</v>
      </c>
      <c r="R4254">
        <v>-8.4428390000000006E-2</v>
      </c>
      <c r="S4254">
        <v>-3.022675</v>
      </c>
      <c r="T4254">
        <v>-5.8521629999999998E-2</v>
      </c>
      <c r="U4254">
        <v>0.15229799999999999</v>
      </c>
      <c r="V4254">
        <v>-7.1796719999999994E-2</v>
      </c>
      <c r="W4254">
        <v>-1.6820789999999999E-2</v>
      </c>
      <c r="X4254">
        <v>0.99727739999999998</v>
      </c>
      <c r="Y4254">
        <v>6.2922110000000003E-2</v>
      </c>
      <c r="Z4254">
        <v>1.1146750000000001E-3</v>
      </c>
      <c r="AA4254">
        <v>0.99801779999999995</v>
      </c>
      <c r="AB4254">
        <v>39</v>
      </c>
      <c r="AC4254">
        <v>-56.937899999999999</v>
      </c>
      <c r="AD4254">
        <v>-1.109922066412</v>
      </c>
      <c r="AE4254">
        <v>2.89340000000001</v>
      </c>
      <c r="AF4254">
        <v>3.6115636126023301</v>
      </c>
      <c r="AG4254">
        <v>-1.109922066412</v>
      </c>
      <c r="AH4254">
        <v>56.875217576042203</v>
      </c>
      <c r="AI4254">
        <v>91.115740815368795</v>
      </c>
      <c r="AJ4254">
        <v>86.366609104107297</v>
      </c>
      <c r="AK4254">
        <v>57.000576251854802</v>
      </c>
      <c r="AL4254">
        <v>90.963805766721407</v>
      </c>
      <c r="AM4254">
        <v>94.117775163441905</v>
      </c>
      <c r="AN4254">
        <v>0.99999996026487004</v>
      </c>
    </row>
    <row r="4255" spans="1:40" x14ac:dyDescent="0.25">
      <c r="A4255" t="str">
        <f>"20190305135320110"</f>
        <v>20190305135320110</v>
      </c>
      <c r="B4255" t="str">
        <f>"1551765200104052"</f>
        <v>1551765200104052</v>
      </c>
      <c r="C4255" t="s">
        <v>40</v>
      </c>
      <c r="D4255">
        <v>4.3912630000000004</v>
      </c>
      <c r="E4255">
        <v>0.483213</v>
      </c>
      <c r="F4255" t="s">
        <v>42</v>
      </c>
      <c r="G4255">
        <v>-381.12970000000001</v>
      </c>
      <c r="H4255" s="1">
        <v>-4.8304240000000002E-6</v>
      </c>
      <c r="I4255">
        <v>144.90889999999999</v>
      </c>
      <c r="J4255">
        <v>-326.25659999999999</v>
      </c>
      <c r="K4255">
        <v>1.1104430000000001</v>
      </c>
      <c r="L4255">
        <v>141.96889999999999</v>
      </c>
      <c r="M4255">
        <v>-0.99967130000000004</v>
      </c>
      <c r="N4255">
        <v>-1.362906E-2</v>
      </c>
      <c r="O4255">
        <v>-2.1722930000000001E-2</v>
      </c>
      <c r="P4255">
        <v>-0.99499749999999998</v>
      </c>
      <c r="Q4255">
        <v>-4.451783E-3</v>
      </c>
      <c r="R4255">
        <v>-9.9802979999999999E-2</v>
      </c>
      <c r="S4255">
        <v>-3.0232540000000001</v>
      </c>
      <c r="T4255">
        <v>-5.8228490000000001E-2</v>
      </c>
      <c r="U4255">
        <v>0.15144349999999901</v>
      </c>
      <c r="V4255">
        <v>-7.8191559999999993E-2</v>
      </c>
      <c r="W4255">
        <v>8.8912909999999904E-3</v>
      </c>
      <c r="X4255">
        <v>0.99689870000000003</v>
      </c>
      <c r="Y4255">
        <v>7.1693069999999998E-2</v>
      </c>
      <c r="Z4255">
        <v>1.3011349999999999E-3</v>
      </c>
      <c r="AA4255">
        <v>0.99742589999999998</v>
      </c>
      <c r="AB4255">
        <v>39</v>
      </c>
      <c r="AC4255">
        <v>-54.873100000000001</v>
      </c>
      <c r="AD4255">
        <v>-1.110447830424</v>
      </c>
      <c r="AE4255">
        <v>2.9399999999999902</v>
      </c>
      <c r="AF4255">
        <v>4.1297347689779498</v>
      </c>
      <c r="AG4255">
        <v>-1.110447830424</v>
      </c>
      <c r="AH4255">
        <v>54.773910900714803</v>
      </c>
      <c r="AI4255">
        <v>91.158129162601398</v>
      </c>
      <c r="AJ4255">
        <v>85.688284100313595</v>
      </c>
      <c r="AK4255">
        <v>54.940596274573103</v>
      </c>
      <c r="AL4255">
        <v>89.490559837084504</v>
      </c>
      <c r="AM4255">
        <v>94.4848017497212</v>
      </c>
      <c r="AN4255">
        <v>0.99999999658628502</v>
      </c>
    </row>
    <row r="4256" spans="1:40" x14ac:dyDescent="0.25">
      <c r="A4256" t="str">
        <f>"20190305135320133"</f>
        <v>20190305135320133</v>
      </c>
      <c r="B4256" t="str">
        <f>"1551765200124548"</f>
        <v>1551765200124548</v>
      </c>
      <c r="C4256" t="s">
        <v>40</v>
      </c>
      <c r="D4256">
        <v>4.333348</v>
      </c>
      <c r="E4256">
        <v>0.48170269999999998</v>
      </c>
      <c r="F4256" t="s">
        <v>49</v>
      </c>
      <c r="G4256">
        <v>0</v>
      </c>
      <c r="H4256">
        <v>0</v>
      </c>
      <c r="I4256">
        <v>0</v>
      </c>
      <c r="J4256">
        <v>-326.64749999999998</v>
      </c>
      <c r="K4256">
        <v>1.110476</v>
      </c>
      <c r="L4256">
        <v>141.95920000000001</v>
      </c>
      <c r="M4256">
        <v>-0.99964229999999998</v>
      </c>
      <c r="N4256">
        <v>-1.359262E-2</v>
      </c>
      <c r="O4256">
        <v>-2.30327E-2</v>
      </c>
      <c r="P4256">
        <v>-0.99464969999999997</v>
      </c>
      <c r="Q4256">
        <v>-5.4678129999999998E-4</v>
      </c>
      <c r="R4256">
        <v>-0.1033046</v>
      </c>
      <c r="S4256">
        <v>-2.971619</v>
      </c>
      <c r="T4256">
        <v>-3.085375E-3</v>
      </c>
      <c r="U4256">
        <v>-0.43324279999999998</v>
      </c>
      <c r="V4256">
        <v>-8.0406500000000006E-2</v>
      </c>
      <c r="W4256">
        <v>1.2746769999999999E-2</v>
      </c>
      <c r="X4256">
        <v>0.99668069999999997</v>
      </c>
      <c r="Y4256">
        <v>-0.121437</v>
      </c>
      <c r="Z4256">
        <v>-1.180235E-3</v>
      </c>
      <c r="AA4256">
        <v>0.99259839999999999</v>
      </c>
      <c r="AB4256">
        <v>39</v>
      </c>
      <c r="AC4256">
        <v>-2.971619</v>
      </c>
      <c r="AD4256">
        <v>-3.085375E-3</v>
      </c>
      <c r="AE4256">
        <v>-0.43324279999999998</v>
      </c>
      <c r="AF4256">
        <v>-0.36467672682459001</v>
      </c>
      <c r="AG4256">
        <v>-3.085375E-3</v>
      </c>
      <c r="AH4256">
        <v>2.9808070468880898</v>
      </c>
      <c r="AI4256">
        <v>90.058866811109894</v>
      </c>
      <c r="AJ4256">
        <v>96.974996259205199</v>
      </c>
      <c r="AK4256">
        <v>3.0030333473679698</v>
      </c>
      <c r="AL4256">
        <v>89.269644135276394</v>
      </c>
      <c r="AM4256">
        <v>94.612307035622294</v>
      </c>
      <c r="AN4256">
        <v>1.00000005157008</v>
      </c>
    </row>
    <row r="4257" spans="1:40" x14ac:dyDescent="0.25">
      <c r="A4257" t="str">
        <f>"20190305135320154"</f>
        <v>20190305135320154</v>
      </c>
      <c r="B4257" t="str">
        <f>"1551765200144068"</f>
        <v>1551765200144068</v>
      </c>
      <c r="C4257" t="s">
        <v>40</v>
      </c>
      <c r="D4257">
        <v>4.3796239999999997</v>
      </c>
      <c r="E4257">
        <v>0.48145749999999998</v>
      </c>
      <c r="F4257" t="s">
        <v>82</v>
      </c>
      <c r="G4257">
        <v>-471.16469999999998</v>
      </c>
      <c r="H4257">
        <v>0.64830969999999999</v>
      </c>
      <c r="I4257">
        <v>119.8177</v>
      </c>
      <c r="J4257">
        <v>-327.02659999999997</v>
      </c>
      <c r="K4257">
        <v>1.1105080000000001</v>
      </c>
      <c r="L4257">
        <v>141.94929999999999</v>
      </c>
      <c r="M4257">
        <v>-0.99961290000000003</v>
      </c>
      <c r="N4257">
        <v>-1.3555640000000001E-2</v>
      </c>
      <c r="O4257">
        <v>-2.4295939999999999E-2</v>
      </c>
      <c r="P4257">
        <v>-0.99425960000000002</v>
      </c>
      <c r="Q4257">
        <v>6.4269009999999996E-3</v>
      </c>
      <c r="R4257">
        <v>-0.10680190000000001</v>
      </c>
      <c r="S4257">
        <v>-2.9689030000000001</v>
      </c>
      <c r="T4257">
        <v>-9.4939470000000008E-3</v>
      </c>
      <c r="U4257">
        <v>-0.4548645</v>
      </c>
      <c r="V4257">
        <v>-8.2674899999999996E-2</v>
      </c>
      <c r="W4257">
        <v>1.9670480000000001E-2</v>
      </c>
      <c r="X4257">
        <v>0.9963824</v>
      </c>
      <c r="Y4257">
        <v>-0.12737770000000001</v>
      </c>
      <c r="Z4257">
        <v>-1.3213159999999999E-3</v>
      </c>
      <c r="AA4257">
        <v>0.9918534</v>
      </c>
      <c r="AB4257">
        <v>39</v>
      </c>
      <c r="AC4257">
        <v>-144.13810000000001</v>
      </c>
      <c r="AD4257">
        <v>-0.46219830000000001</v>
      </c>
      <c r="AE4257">
        <v>-22.131599999999899</v>
      </c>
      <c r="AF4257">
        <v>-18.622586267216999</v>
      </c>
      <c r="AG4257">
        <v>-0.46219830000000001</v>
      </c>
      <c r="AH4257">
        <v>144.631848576968</v>
      </c>
      <c r="AI4257">
        <v>90.181599675655505</v>
      </c>
      <c r="AJ4257">
        <v>97.336953004397103</v>
      </c>
      <c r="AK4257">
        <v>145.82656126145</v>
      </c>
      <c r="AL4257">
        <v>88.872891796140607</v>
      </c>
      <c r="AM4257">
        <v>94.743255710579703</v>
      </c>
      <c r="AN4257">
        <v>0.99999997695159903</v>
      </c>
    </row>
    <row r="4258" spans="1:40" x14ac:dyDescent="0.25">
      <c r="A4258" t="str">
        <f>"20190305135320177"</f>
        <v>20190305135320177</v>
      </c>
      <c r="B4258" t="str">
        <f>"1551765200164564"</f>
        <v>1551765200164564</v>
      </c>
      <c r="C4258" t="s">
        <v>40</v>
      </c>
      <c r="D4258">
        <v>4.4083240000000004</v>
      </c>
      <c r="E4258">
        <v>0.4811202</v>
      </c>
      <c r="F4258" t="s">
        <v>82</v>
      </c>
      <c r="G4258">
        <v>-470.33350000000002</v>
      </c>
      <c r="H4258">
        <v>1.3191600000000001</v>
      </c>
      <c r="I4258">
        <v>119.395</v>
      </c>
      <c r="J4258">
        <v>-327.41199999999998</v>
      </c>
      <c r="K4258">
        <v>1.110535</v>
      </c>
      <c r="L4258">
        <v>141.93879999999999</v>
      </c>
      <c r="M4258">
        <v>-0.99958170000000002</v>
      </c>
      <c r="N4258">
        <v>-1.351928E-2</v>
      </c>
      <c r="O4258">
        <v>-2.5569069999999999E-2</v>
      </c>
      <c r="P4258">
        <v>-0.99380829999999998</v>
      </c>
      <c r="Q4258">
        <v>1.3128600000000001E-2</v>
      </c>
      <c r="R4258">
        <v>-0.1103316</v>
      </c>
      <c r="S4258">
        <v>-2.967133</v>
      </c>
      <c r="T4258">
        <v>4.3208600000000002E-3</v>
      </c>
      <c r="U4258">
        <v>-0.46698000000000001</v>
      </c>
      <c r="V4258">
        <v>-8.4967870000000001E-2</v>
      </c>
      <c r="W4258">
        <v>2.6323920000000001E-2</v>
      </c>
      <c r="X4258">
        <v>0.99603589999999997</v>
      </c>
      <c r="Y4258">
        <v>-0.1301631</v>
      </c>
      <c r="Z4258">
        <v>-1.171842E-3</v>
      </c>
      <c r="AA4258">
        <v>0.99149189999999998</v>
      </c>
      <c r="AB4258">
        <v>39</v>
      </c>
      <c r="AC4258">
        <v>-142.92149999999901</v>
      </c>
      <c r="AD4258">
        <v>0.208625</v>
      </c>
      <c r="AE4258">
        <v>-22.543799999999901</v>
      </c>
      <c r="AF4258">
        <v>-18.881685264916499</v>
      </c>
      <c r="AG4258">
        <v>0.208625</v>
      </c>
      <c r="AH4258">
        <v>143.45094281229601</v>
      </c>
      <c r="AI4258">
        <v>89.917385666539502</v>
      </c>
      <c r="AJ4258">
        <v>97.498433640779893</v>
      </c>
      <c r="AK4258">
        <v>144.688405052273</v>
      </c>
      <c r="AL4258">
        <v>88.491576240827499</v>
      </c>
      <c r="AM4258">
        <v>94.875871013551304</v>
      </c>
      <c r="AN4258">
        <v>1.00000000089265</v>
      </c>
    </row>
    <row r="4259" spans="1:40" x14ac:dyDescent="0.25">
      <c r="A4259" t="str">
        <f>"20190305135320192"</f>
        <v>20190305135320192</v>
      </c>
      <c r="B4259" t="str">
        <f>"1551765200184085"</f>
        <v>1551765200184085</v>
      </c>
      <c r="C4259" t="s">
        <v>40</v>
      </c>
      <c r="D4259">
        <v>4.3970949999999904</v>
      </c>
      <c r="E4259">
        <v>0.4807014</v>
      </c>
      <c r="F4259" t="s">
        <v>82</v>
      </c>
      <c r="G4259">
        <v>-466.67469999999997</v>
      </c>
      <c r="H4259">
        <v>2.052702</v>
      </c>
      <c r="I4259">
        <v>119.395</v>
      </c>
      <c r="J4259">
        <v>-327.69490000000002</v>
      </c>
      <c r="K4259">
        <v>1.1105400000000001</v>
      </c>
      <c r="L4259">
        <v>141.9308</v>
      </c>
      <c r="M4259">
        <v>-0.9995579</v>
      </c>
      <c r="N4259">
        <v>-1.3492769999999999E-2</v>
      </c>
      <c r="O4259">
        <v>-2.6494819999999999E-2</v>
      </c>
      <c r="P4259">
        <v>-0.99354160000000002</v>
      </c>
      <c r="Q4259">
        <v>1.459888E-2</v>
      </c>
      <c r="R4259">
        <v>-0.1125256</v>
      </c>
      <c r="S4259">
        <v>-2.9651489999999998</v>
      </c>
      <c r="T4259">
        <v>2.00609E-2</v>
      </c>
      <c r="U4259">
        <v>-0.47999570000000003</v>
      </c>
      <c r="V4259">
        <v>-8.6249640000000002E-2</v>
      </c>
      <c r="W4259">
        <v>2.776153E-2</v>
      </c>
      <c r="X4259">
        <v>0.99588670000000001</v>
      </c>
      <c r="Y4259">
        <v>-0.1335944</v>
      </c>
      <c r="Z4259">
        <v>-9.9153039999999994E-4</v>
      </c>
      <c r="AA4259">
        <v>0.99103560000000002</v>
      </c>
      <c r="AB4259">
        <v>39</v>
      </c>
      <c r="AC4259">
        <v>-138.97979999999899</v>
      </c>
      <c r="AD4259">
        <v>0.94216200000000005</v>
      </c>
      <c r="AE4259">
        <v>-22.535799999999998</v>
      </c>
      <c r="AF4259">
        <v>-18.844463572961999</v>
      </c>
      <c r="AG4259">
        <v>0.94216200000000005</v>
      </c>
      <c r="AH4259">
        <v>139.52189098166201</v>
      </c>
      <c r="AI4259">
        <v>89.616580864875701</v>
      </c>
      <c r="AJ4259">
        <v>97.692080851771095</v>
      </c>
      <c r="AK4259">
        <v>140.791901541551</v>
      </c>
      <c r="AL4259">
        <v>88.409177129310393</v>
      </c>
      <c r="AM4259">
        <v>94.949800374792801</v>
      </c>
      <c r="AN4259">
        <v>1.00000001109248</v>
      </c>
    </row>
    <row r="4260" spans="1:40" x14ac:dyDescent="0.25">
      <c r="A4260" t="str">
        <f>"20190305135320211"</f>
        <v>20190305135320211</v>
      </c>
      <c r="B4260" t="str">
        <f>"1551765200204584"</f>
        <v>1551765200204584</v>
      </c>
      <c r="C4260" t="s">
        <v>40</v>
      </c>
      <c r="D4260">
        <v>4.399343</v>
      </c>
      <c r="E4260">
        <v>0.48053010000000002</v>
      </c>
      <c r="F4260" t="s">
        <v>82</v>
      </c>
      <c r="G4260">
        <v>-461.4778</v>
      </c>
      <c r="H4260">
        <v>2.1028899999999999</v>
      </c>
      <c r="I4260">
        <v>119.8177</v>
      </c>
      <c r="J4260">
        <v>-328.0154</v>
      </c>
      <c r="K4260">
        <v>1.110544</v>
      </c>
      <c r="L4260">
        <v>141.9213</v>
      </c>
      <c r="M4260">
        <v>-0.99953009999999998</v>
      </c>
      <c r="N4260">
        <v>-1.346173E-2</v>
      </c>
      <c r="O4260">
        <v>-2.7535150000000001E-2</v>
      </c>
      <c r="P4260">
        <v>-0.99307319999999999</v>
      </c>
      <c r="Q4260">
        <v>1.7856549999999999E-2</v>
      </c>
      <c r="R4260">
        <v>-0.11613370000000001</v>
      </c>
      <c r="S4260">
        <v>-2.9636840000000002</v>
      </c>
      <c r="T4260">
        <v>2.1984099999999999E-2</v>
      </c>
      <c r="U4260">
        <v>-0.48986819999999998</v>
      </c>
      <c r="V4260">
        <v>-8.8842329999999997E-2</v>
      </c>
      <c r="W4260">
        <v>3.097689E-2</v>
      </c>
      <c r="X4260">
        <v>0.99556389999999995</v>
      </c>
      <c r="Y4260">
        <v>-0.13585559999999999</v>
      </c>
      <c r="Z4260">
        <v>-9.9130430000000003E-4</v>
      </c>
      <c r="AA4260">
        <v>0.9907281</v>
      </c>
      <c r="AB4260">
        <v>39</v>
      </c>
      <c r="AC4260">
        <v>-133.4624</v>
      </c>
      <c r="AD4260">
        <v>0.99234599999999995</v>
      </c>
      <c r="AE4260">
        <v>-22.1036</v>
      </c>
      <c r="AF4260">
        <v>-18.418985922871801</v>
      </c>
      <c r="AG4260">
        <v>0.99234599999999995</v>
      </c>
      <c r="AH4260">
        <v>134.013256665451</v>
      </c>
      <c r="AI4260">
        <v>89.579693101794504</v>
      </c>
      <c r="AJ4260">
        <v>97.825788094924206</v>
      </c>
      <c r="AK4260">
        <v>135.27674136780001</v>
      </c>
      <c r="AL4260">
        <v>88.224870976176902</v>
      </c>
      <c r="AM4260">
        <v>95.0994643798266</v>
      </c>
      <c r="AN4260">
        <v>1.0000000031485501</v>
      </c>
    </row>
    <row r="4261" spans="1:40" x14ac:dyDescent="0.25">
      <c r="A4261" t="str">
        <f>"20190305135320233"</f>
        <v>20190305135320233</v>
      </c>
      <c r="B4261" t="str">
        <f>"1551765200224100"</f>
        <v>1551765200224100</v>
      </c>
      <c r="C4261" t="s">
        <v>40</v>
      </c>
      <c r="D4261">
        <v>4.4075220000000002</v>
      </c>
      <c r="E4261">
        <v>0.48085280000000002</v>
      </c>
      <c r="F4261" t="s">
        <v>82</v>
      </c>
      <c r="G4261">
        <v>-460.93790000000001</v>
      </c>
      <c r="H4261">
        <v>2.438348</v>
      </c>
      <c r="I4261">
        <v>119.395</v>
      </c>
      <c r="J4261">
        <v>-328.40190000000001</v>
      </c>
      <c r="K4261">
        <v>1.110536</v>
      </c>
      <c r="L4261">
        <v>141.90950000000001</v>
      </c>
      <c r="M4261">
        <v>-0.99949580000000005</v>
      </c>
      <c r="N4261">
        <v>-1.342543E-2</v>
      </c>
      <c r="O4261">
        <v>-2.8775729999999999E-2</v>
      </c>
      <c r="P4261">
        <v>-0.99251219999999996</v>
      </c>
      <c r="Q4261">
        <v>2.0215810000000001E-2</v>
      </c>
      <c r="R4261">
        <v>-0.12045980000000001</v>
      </c>
      <c r="S4261">
        <v>-2.9617309999999999</v>
      </c>
      <c r="T4261">
        <v>2.9586319999999999E-2</v>
      </c>
      <c r="U4261">
        <v>-0.5019226</v>
      </c>
      <c r="V4261">
        <v>-9.1953499999999994E-2</v>
      </c>
      <c r="W4261">
        <v>3.3286929999999999E-2</v>
      </c>
      <c r="X4261">
        <v>0.99520679999999995</v>
      </c>
      <c r="Y4261">
        <v>-0.1386541</v>
      </c>
      <c r="Z4261">
        <v>-9.1881700000000005E-4</v>
      </c>
      <c r="AA4261">
        <v>0.99034049999999996</v>
      </c>
      <c r="AB4261">
        <v>39</v>
      </c>
      <c r="AC4261">
        <v>-132.536</v>
      </c>
      <c r="AD4261">
        <v>1.327812</v>
      </c>
      <c r="AE4261">
        <v>-22.514500000000002</v>
      </c>
      <c r="AF4261">
        <v>-18.689188041684801</v>
      </c>
      <c r="AG4261">
        <v>1.327812</v>
      </c>
      <c r="AH4261">
        <v>133.11604938212599</v>
      </c>
      <c r="AI4261">
        <v>89.434052670762</v>
      </c>
      <c r="AJ4261">
        <v>97.991958043233495</v>
      </c>
      <c r="AK4261">
        <v>134.428164599051</v>
      </c>
      <c r="AL4261">
        <v>88.092447058455903</v>
      </c>
      <c r="AM4261">
        <v>95.278934091568004</v>
      </c>
      <c r="AN4261">
        <v>1.0000000203186501</v>
      </c>
    </row>
    <row r="4262" spans="1:40" x14ac:dyDescent="0.25">
      <c r="A4262" t="str">
        <f>"20190305135320255"</f>
        <v>20190305135320255</v>
      </c>
      <c r="B4262" t="str">
        <f>"1551765200243621"</f>
        <v>1551765200243621</v>
      </c>
      <c r="C4262" t="s">
        <v>40</v>
      </c>
      <c r="D4262">
        <v>4.3803780000000003</v>
      </c>
      <c r="E4262">
        <v>0.48069529999999999</v>
      </c>
      <c r="F4262" t="s">
        <v>82</v>
      </c>
      <c r="G4262">
        <v>-458.53890000000001</v>
      </c>
      <c r="H4262">
        <v>2.4803600000000001</v>
      </c>
      <c r="I4262">
        <v>119.395</v>
      </c>
      <c r="J4262">
        <v>-328.78129999999999</v>
      </c>
      <c r="K4262">
        <v>1.1105339999999999</v>
      </c>
      <c r="L4262">
        <v>141.89750000000001</v>
      </c>
      <c r="M4262">
        <v>-0.99946089999999999</v>
      </c>
      <c r="N4262">
        <v>-1.339274E-2</v>
      </c>
      <c r="O4262">
        <v>-2.9978520000000002E-2</v>
      </c>
      <c r="P4262">
        <v>-0.99208989999999997</v>
      </c>
      <c r="Q4262">
        <v>2.2082089999999999E-2</v>
      </c>
      <c r="R4262">
        <v>-0.1235734</v>
      </c>
      <c r="S4262">
        <v>-2.9598390000000001</v>
      </c>
      <c r="T4262">
        <v>3.1155820000000001E-2</v>
      </c>
      <c r="U4262">
        <v>-0.51206969999999996</v>
      </c>
      <c r="V4262">
        <v>-9.388552E-2</v>
      </c>
      <c r="W4262">
        <v>3.5114050000000001E-2</v>
      </c>
      <c r="X4262">
        <v>0.99496359999999995</v>
      </c>
      <c r="Y4262">
        <v>-0.14086509999999999</v>
      </c>
      <c r="Z4262">
        <v>-9.261947E-4</v>
      </c>
      <c r="AA4262">
        <v>0.99002840000000003</v>
      </c>
      <c r="AB4262">
        <v>39</v>
      </c>
      <c r="AC4262">
        <v>-129.7576</v>
      </c>
      <c r="AD4262">
        <v>1.36982599999999</v>
      </c>
      <c r="AE4262">
        <v>-22.502500000000001</v>
      </c>
      <c r="AF4262">
        <v>-18.600082509547999</v>
      </c>
      <c r="AG4262">
        <v>1.36982599999999</v>
      </c>
      <c r="AH4262">
        <v>130.35981726384699</v>
      </c>
      <c r="AI4262">
        <v>89.403991750218793</v>
      </c>
      <c r="AJ4262">
        <v>98.120303644852896</v>
      </c>
      <c r="AK4262">
        <v>131.687210653487</v>
      </c>
      <c r="AL4262">
        <v>87.987699515286707</v>
      </c>
      <c r="AM4262">
        <v>95.390512071724203</v>
      </c>
      <c r="AN4262">
        <v>1.0000000263490101</v>
      </c>
    </row>
    <row r="4263" spans="1:40" x14ac:dyDescent="0.25">
      <c r="A4263" t="str">
        <f>"20190305135320277"</f>
        <v>20190305135320277</v>
      </c>
      <c r="B4263" t="str">
        <f>"1551765200273876"</f>
        <v>1551765200273876</v>
      </c>
      <c r="C4263" t="s">
        <v>40</v>
      </c>
      <c r="D4263">
        <v>4.4148519999999998</v>
      </c>
      <c r="E4263">
        <v>0.48040040000000001</v>
      </c>
      <c r="F4263" t="s">
        <v>82</v>
      </c>
      <c r="G4263">
        <v>-456.18459999999999</v>
      </c>
      <c r="H4263">
        <v>2.4224009999999998</v>
      </c>
      <c r="I4263">
        <v>119.395</v>
      </c>
      <c r="J4263">
        <v>-329.16759999999999</v>
      </c>
      <c r="K4263">
        <v>1.110535</v>
      </c>
      <c r="L4263">
        <v>141.88480000000001</v>
      </c>
      <c r="M4263">
        <v>-0.99942430000000004</v>
      </c>
      <c r="N4263">
        <v>-1.335982E-2</v>
      </c>
      <c r="O4263">
        <v>-3.118723E-2</v>
      </c>
      <c r="P4263">
        <v>-0.991622</v>
      </c>
      <c r="Q4263">
        <v>2.438593E-2</v>
      </c>
      <c r="R4263">
        <v>-0.1268513</v>
      </c>
      <c r="S4263">
        <v>-2.9581300000000001</v>
      </c>
      <c r="T4263">
        <v>3.046012E-2</v>
      </c>
      <c r="U4263">
        <v>-0.52247619999999995</v>
      </c>
      <c r="V4263">
        <v>-9.5978690000000005E-2</v>
      </c>
      <c r="W4263">
        <v>3.7377529999999999E-2</v>
      </c>
      <c r="X4263">
        <v>0.99468140000000005</v>
      </c>
      <c r="Y4263">
        <v>-0.1431432</v>
      </c>
      <c r="Z4263">
        <v>-9.644562E-4</v>
      </c>
      <c r="AA4263">
        <v>0.98970150000000001</v>
      </c>
      <c r="AB4263">
        <v>39</v>
      </c>
      <c r="AC4263">
        <v>-127.017</v>
      </c>
      <c r="AD4263">
        <v>1.31186599999999</v>
      </c>
      <c r="AE4263">
        <v>-22.489799999999999</v>
      </c>
      <c r="AF4263">
        <v>-18.5152812247476</v>
      </c>
      <c r="AG4263">
        <v>1.31186599999999</v>
      </c>
      <c r="AH4263">
        <v>127.64345773810901</v>
      </c>
      <c r="AI4263">
        <v>89.417257071865393</v>
      </c>
      <c r="AJ4263">
        <v>98.253455760378003</v>
      </c>
      <c r="AK4263">
        <v>128.98600286300001</v>
      </c>
      <c r="AL4263">
        <v>87.857926391810295</v>
      </c>
      <c r="AM4263">
        <v>95.511515092746393</v>
      </c>
      <c r="AN4263">
        <v>1.00000003809448</v>
      </c>
    </row>
    <row r="4264" spans="1:40" x14ac:dyDescent="0.25">
      <c r="A4264" t="str">
        <f>"20190305135320300"</f>
        <v>20190305135320300</v>
      </c>
      <c r="B4264" t="str">
        <f>"1551765200294373"</f>
        <v>1551765200294373</v>
      </c>
      <c r="C4264" t="s">
        <v>40</v>
      </c>
      <c r="D4264">
        <v>4.412363</v>
      </c>
      <c r="E4264">
        <v>0.48036760000000001</v>
      </c>
      <c r="F4264" t="s">
        <v>82</v>
      </c>
      <c r="G4264">
        <v>-451.25700000000001</v>
      </c>
      <c r="H4264">
        <v>2.2201249999999999</v>
      </c>
      <c r="I4264">
        <v>119.8177</v>
      </c>
      <c r="J4264">
        <v>-329.56729999999999</v>
      </c>
      <c r="K4264">
        <v>1.110525</v>
      </c>
      <c r="L4264">
        <v>141.87119999999999</v>
      </c>
      <c r="M4264">
        <v>-0.99938570000000004</v>
      </c>
      <c r="N4264">
        <v>-1.3324819999999999E-2</v>
      </c>
      <c r="O4264">
        <v>-3.2420930000000001E-2</v>
      </c>
      <c r="P4264">
        <v>-0.99125490000000005</v>
      </c>
      <c r="Q4264">
        <v>2.5482129999999999E-2</v>
      </c>
      <c r="R4264">
        <v>-0.12947899999999901</v>
      </c>
      <c r="S4264">
        <v>-2.9563600000000001</v>
      </c>
      <c r="T4264">
        <v>2.686906E-2</v>
      </c>
      <c r="U4264">
        <v>-0.53434749999999998</v>
      </c>
      <c r="V4264">
        <v>-9.7390000000000004E-2</v>
      </c>
      <c r="W4264">
        <v>3.843535E-2</v>
      </c>
      <c r="X4264">
        <v>0.9945039</v>
      </c>
      <c r="Y4264">
        <v>-0.14587349999999999</v>
      </c>
      <c r="Z4264">
        <v>-1.0430999999999999E-3</v>
      </c>
      <c r="AA4264">
        <v>0.98930269999999998</v>
      </c>
      <c r="AB4264">
        <v>39</v>
      </c>
      <c r="AC4264">
        <v>-121.68969999999899</v>
      </c>
      <c r="AD4264">
        <v>1.1095999999999999</v>
      </c>
      <c r="AE4264">
        <v>-22.0534999999999</v>
      </c>
      <c r="AF4264">
        <v>-18.094805223382298</v>
      </c>
      <c r="AG4264">
        <v>1.1095999999999999</v>
      </c>
      <c r="AH4264">
        <v>122.3309275909</v>
      </c>
      <c r="AI4264">
        <v>89.485907419759897</v>
      </c>
      <c r="AJ4264">
        <v>98.414000683061801</v>
      </c>
      <c r="AK4264">
        <v>123.666927808053</v>
      </c>
      <c r="AL4264">
        <v>87.797274199711296</v>
      </c>
      <c r="AM4264">
        <v>95.593040416431094</v>
      </c>
      <c r="AN4264">
        <v>1.00000004767241</v>
      </c>
    </row>
    <row r="4265" spans="1:40" x14ac:dyDescent="0.25">
      <c r="A4265" t="str">
        <f>"20190305135320322"</f>
        <v>20190305135320322</v>
      </c>
      <c r="B4265" t="str">
        <f>"1551765200313896"</f>
        <v>1551765200313896</v>
      </c>
      <c r="C4265" t="s">
        <v>40</v>
      </c>
      <c r="D4265">
        <v>4.4433410000000002</v>
      </c>
      <c r="E4265">
        <v>0.48050150000000003</v>
      </c>
      <c r="F4265" t="s">
        <v>82</v>
      </c>
      <c r="G4265">
        <v>-450.29239999999999</v>
      </c>
      <c r="H4265">
        <v>2.1386090000000002</v>
      </c>
      <c r="I4265">
        <v>119.7135</v>
      </c>
      <c r="J4265">
        <v>-329.95499999999998</v>
      </c>
      <c r="K4265">
        <v>1.1105100000000001</v>
      </c>
      <c r="L4265">
        <v>141.85749999999999</v>
      </c>
      <c r="M4265">
        <v>-0.99934699999999999</v>
      </c>
      <c r="N4265">
        <v>-1.329266E-2</v>
      </c>
      <c r="O4265">
        <v>-3.3599070000000002E-2</v>
      </c>
      <c r="P4265">
        <v>-0.99088180000000003</v>
      </c>
      <c r="Q4265">
        <v>2.587768E-2</v>
      </c>
      <c r="R4265">
        <v>-0.13222590000000001</v>
      </c>
      <c r="S4265">
        <v>-2.9550169999999998</v>
      </c>
      <c r="T4265">
        <v>2.5165320000000001E-2</v>
      </c>
      <c r="U4265">
        <v>-0.54235840000000002</v>
      </c>
      <c r="V4265">
        <v>-9.8975229999999997E-2</v>
      </c>
      <c r="W4265">
        <v>3.8795099999999999E-2</v>
      </c>
      <c r="X4265">
        <v>0.99433340000000003</v>
      </c>
      <c r="Y4265">
        <v>-0.1473816</v>
      </c>
      <c r="Z4265">
        <v>-1.0921730000000001E-3</v>
      </c>
      <c r="AA4265">
        <v>0.98907909999999999</v>
      </c>
      <c r="AB4265">
        <v>39</v>
      </c>
      <c r="AC4265">
        <v>-120.3374</v>
      </c>
      <c r="AD4265">
        <v>1.0280989999999901</v>
      </c>
      <c r="AE4265">
        <v>-22.143999999999899</v>
      </c>
      <c r="AF4265">
        <v>-18.086636242558601</v>
      </c>
      <c r="AG4265">
        <v>1.0280989999999901</v>
      </c>
      <c r="AH4265">
        <v>121.004985074712</v>
      </c>
      <c r="AI4265">
        <v>89.518555615698205</v>
      </c>
      <c r="AJ4265">
        <v>98.501074540850993</v>
      </c>
      <c r="AK4265">
        <v>122.353544333851</v>
      </c>
      <c r="AL4265">
        <v>87.776646626623801</v>
      </c>
      <c r="AM4265">
        <v>95.684455954177693</v>
      </c>
      <c r="AN4265">
        <v>1.0000000331465599</v>
      </c>
    </row>
    <row r="4266" spans="1:40" x14ac:dyDescent="0.25">
      <c r="A4266" t="str">
        <f>"20190305135320340"</f>
        <v>20190305135320340</v>
      </c>
      <c r="B4266" t="str">
        <f>"1551765200334389"</f>
        <v>1551765200334389</v>
      </c>
      <c r="C4266" t="s">
        <v>40</v>
      </c>
      <c r="D4266">
        <v>4.4370059999999896</v>
      </c>
      <c r="E4266">
        <v>0.48063339999999999</v>
      </c>
      <c r="F4266" t="s">
        <v>82</v>
      </c>
      <c r="G4266">
        <v>-450.29239999999999</v>
      </c>
      <c r="H4266">
        <v>1.9406110000000001</v>
      </c>
      <c r="I4266">
        <v>119.47750000000001</v>
      </c>
      <c r="J4266">
        <v>-330.25470000000001</v>
      </c>
      <c r="K4266">
        <v>1.1104959999999999</v>
      </c>
      <c r="L4266">
        <v>141.8466</v>
      </c>
      <c r="M4266">
        <v>-0.9993166</v>
      </c>
      <c r="N4266">
        <v>-1.327014E-2</v>
      </c>
      <c r="O4266">
        <v>-3.4496840000000001E-2</v>
      </c>
      <c r="P4266">
        <v>-0.99073560000000005</v>
      </c>
      <c r="Q4266">
        <v>2.599605E-2</v>
      </c>
      <c r="R4266">
        <v>-0.13329440000000001</v>
      </c>
      <c r="S4266">
        <v>-2.9537659999999999</v>
      </c>
      <c r="T4266">
        <v>2.0376089999999999E-2</v>
      </c>
      <c r="U4266">
        <v>-0.54933169999999898</v>
      </c>
      <c r="V4266">
        <v>-9.9153119999999997E-2</v>
      </c>
      <c r="W4266">
        <v>3.8893259999999999E-2</v>
      </c>
      <c r="X4266">
        <v>0.99431179999999997</v>
      </c>
      <c r="Y4266">
        <v>-0.1488245</v>
      </c>
      <c r="Z4266">
        <v>-1.1769860000000001E-3</v>
      </c>
      <c r="AA4266">
        <v>0.98886289999999999</v>
      </c>
      <c r="AB4266">
        <v>39</v>
      </c>
      <c r="AC4266">
        <v>-120.03769999999901</v>
      </c>
      <c r="AD4266">
        <v>0.83011500000000005</v>
      </c>
      <c r="AE4266">
        <v>-22.3690999999999</v>
      </c>
      <c r="AF4266">
        <v>-18.213655506606599</v>
      </c>
      <c r="AG4266">
        <v>0.83011500000000005</v>
      </c>
      <c r="AH4266">
        <v>120.732393014056</v>
      </c>
      <c r="AI4266">
        <v>89.610467397988899</v>
      </c>
      <c r="AJ4266">
        <v>98.578934159816399</v>
      </c>
      <c r="AK4266">
        <v>122.101339307671</v>
      </c>
      <c r="AL4266">
        <v>87.771018131788793</v>
      </c>
      <c r="AM4266">
        <v>95.694728534907298</v>
      </c>
      <c r="AN4266">
        <v>0.99999999124920003</v>
      </c>
    </row>
    <row r="4267" spans="1:40" x14ac:dyDescent="0.25">
      <c r="A4267" t="str">
        <f>"20190305135320355"</f>
        <v>20190305135320355</v>
      </c>
      <c r="B4267" t="str">
        <f>"1551765200344149"</f>
        <v>1551765200344149</v>
      </c>
      <c r="C4267" t="s">
        <v>40</v>
      </c>
      <c r="D4267">
        <v>4.4219720000000002</v>
      </c>
      <c r="E4267">
        <v>0.4807012</v>
      </c>
      <c r="F4267" t="s">
        <v>82</v>
      </c>
      <c r="G4267">
        <v>-450.29239999999999</v>
      </c>
      <c r="H4267">
        <v>1.743249</v>
      </c>
      <c r="I4267">
        <v>119.4357</v>
      </c>
      <c r="J4267">
        <v>-330.52710000000002</v>
      </c>
      <c r="K4267">
        <v>1.110474</v>
      </c>
      <c r="L4267">
        <v>141.8365</v>
      </c>
      <c r="M4267">
        <v>-0.99928890000000004</v>
      </c>
      <c r="N4267">
        <v>-1.325117E-2</v>
      </c>
      <c r="O4267">
        <v>-3.5304309999999998E-2</v>
      </c>
      <c r="P4267">
        <v>-0.99056679999999997</v>
      </c>
      <c r="Q4267">
        <v>2.6065680000000001E-2</v>
      </c>
      <c r="R4267">
        <v>-0.13453010000000001</v>
      </c>
      <c r="S4267">
        <v>-2.9534609999999999</v>
      </c>
      <c r="T4267">
        <v>1.556921E-2</v>
      </c>
      <c r="U4267">
        <v>-0.55140690000000003</v>
      </c>
      <c r="V4267">
        <v>-9.9589579999999997E-2</v>
      </c>
      <c r="W4267">
        <v>3.894471E-2</v>
      </c>
      <c r="X4267">
        <v>0.99426619999999999</v>
      </c>
      <c r="Y4267">
        <v>-0.14871419999999999</v>
      </c>
      <c r="Z4267">
        <v>-1.253793E-3</v>
      </c>
      <c r="AA4267">
        <v>0.98887939999999996</v>
      </c>
      <c r="AB4267">
        <v>39</v>
      </c>
      <c r="AC4267">
        <v>-119.765299999999</v>
      </c>
      <c r="AD4267">
        <v>0.63277499999999998</v>
      </c>
      <c r="AE4267">
        <v>-22.4008</v>
      </c>
      <c r="AF4267">
        <v>-18.1577414123912</v>
      </c>
      <c r="AG4267">
        <v>0.63277499999999998</v>
      </c>
      <c r="AH4267">
        <v>120.478290888967</v>
      </c>
      <c r="AI4267">
        <v>89.702434893082696</v>
      </c>
      <c r="AJ4267">
        <v>98.570759367373</v>
      </c>
      <c r="AK4267">
        <v>121.840562018264</v>
      </c>
      <c r="AL4267">
        <v>87.768068105686297</v>
      </c>
      <c r="AM4267">
        <v>95.719890773665298</v>
      </c>
      <c r="AN4267">
        <v>1.0000000256720001</v>
      </c>
    </row>
    <row r="4268" spans="1:40" x14ac:dyDescent="0.25">
      <c r="A4268" t="str">
        <f>"20190305135320377"</f>
        <v>20190305135320377</v>
      </c>
      <c r="B4268" t="str">
        <f>"1551765200364645"</f>
        <v>1551765200364645</v>
      </c>
      <c r="C4268" t="s">
        <v>40</v>
      </c>
      <c r="D4268">
        <v>4.4258290000000002</v>
      </c>
      <c r="E4268">
        <v>0.48081829999999998</v>
      </c>
      <c r="F4268" t="s">
        <v>82</v>
      </c>
      <c r="G4268">
        <v>-450.0009</v>
      </c>
      <c r="H4268">
        <v>1.659233</v>
      </c>
      <c r="I4268">
        <v>119.395</v>
      </c>
      <c r="J4268">
        <v>-330.90640000000002</v>
      </c>
      <c r="K4268">
        <v>1.110452</v>
      </c>
      <c r="L4268">
        <v>141.82210000000001</v>
      </c>
      <c r="M4268">
        <v>-0.99924930000000001</v>
      </c>
      <c r="N4268">
        <v>-1.3226730000000001E-2</v>
      </c>
      <c r="O4268">
        <v>-3.6416329999999997E-2</v>
      </c>
      <c r="P4268">
        <v>-0.99043689999999995</v>
      </c>
      <c r="Q4268">
        <v>2.575622E-2</v>
      </c>
      <c r="R4268">
        <v>-0.13554249999999901</v>
      </c>
      <c r="S4268">
        <v>-2.9528810000000001</v>
      </c>
      <c r="T4268">
        <v>1.356363E-2</v>
      </c>
      <c r="U4268">
        <v>-0.55465699999999996</v>
      </c>
      <c r="V4268">
        <v>-9.9496509999999996E-2</v>
      </c>
      <c r="W4268">
        <v>3.8615940000000001E-2</v>
      </c>
      <c r="X4268">
        <v>0.99428830000000001</v>
      </c>
      <c r="Y4268">
        <v>-0.14869979999999999</v>
      </c>
      <c r="Z4268">
        <v>-1.297063E-3</v>
      </c>
      <c r="AA4268">
        <v>0.98888149999999997</v>
      </c>
      <c r="AB4268">
        <v>39</v>
      </c>
      <c r="AC4268">
        <v>-119.094499999999</v>
      </c>
      <c r="AD4268">
        <v>0.54878099999999996</v>
      </c>
      <c r="AE4268">
        <v>-22.427099999999999</v>
      </c>
      <c r="AF4268">
        <v>-18.074487521298401</v>
      </c>
      <c r="AG4268">
        <v>0.54878099999999996</v>
      </c>
      <c r="AH4268">
        <v>119.82981825429199</v>
      </c>
      <c r="AI4268">
        <v>89.740540931452401</v>
      </c>
      <c r="AJ4268">
        <v>98.577528930748798</v>
      </c>
      <c r="AK4268">
        <v>121.186524014018</v>
      </c>
      <c r="AL4268">
        <v>87.786919329194106</v>
      </c>
      <c r="AM4268">
        <v>95.714454551368405</v>
      </c>
      <c r="AN4268">
        <v>0.99999998492057596</v>
      </c>
    </row>
    <row r="4269" spans="1:40" x14ac:dyDescent="0.25">
      <c r="A4269" t="str">
        <f>"20190305135320401"</f>
        <v>20190305135320401</v>
      </c>
      <c r="B4269" t="str">
        <f>"1551765200393928"</f>
        <v>1551765200393928</v>
      </c>
      <c r="C4269" t="s">
        <v>40</v>
      </c>
      <c r="D4269">
        <v>4.4225459999999996</v>
      </c>
      <c r="E4269">
        <v>0.48088649999999999</v>
      </c>
      <c r="F4269" t="s">
        <v>82</v>
      </c>
      <c r="G4269">
        <v>-449.82499999999999</v>
      </c>
      <c r="H4269">
        <v>1.598533</v>
      </c>
      <c r="I4269">
        <v>119.395</v>
      </c>
      <c r="J4269">
        <v>-331.32010000000002</v>
      </c>
      <c r="K4269">
        <v>1.11042</v>
      </c>
      <c r="L4269">
        <v>141.80590000000001</v>
      </c>
      <c r="M4269">
        <v>-0.99920520000000002</v>
      </c>
      <c r="N4269">
        <v>-1.319917E-2</v>
      </c>
      <c r="O4269">
        <v>-3.7614370000000001E-2</v>
      </c>
      <c r="P4269">
        <v>-0.99039509999999997</v>
      </c>
      <c r="Q4269">
        <v>2.3948589999999999E-2</v>
      </c>
      <c r="R4269">
        <v>-0.13617660000000001</v>
      </c>
      <c r="S4269">
        <v>-2.9524539999999999</v>
      </c>
      <c r="T4269">
        <v>1.2118820000000001E-2</v>
      </c>
      <c r="U4269">
        <v>-0.55680850000000004</v>
      </c>
      <c r="V4269">
        <v>-9.8932010000000001E-2</v>
      </c>
      <c r="W4269">
        <v>3.6788090000000002E-2</v>
      </c>
      <c r="X4269">
        <v>0.99441400000000002</v>
      </c>
      <c r="Y4269">
        <v>-0.1482358</v>
      </c>
      <c r="Z4269">
        <v>-1.3308720000000001E-3</v>
      </c>
      <c r="AA4269">
        <v>0.98895109999999997</v>
      </c>
      <c r="AB4269">
        <v>39</v>
      </c>
      <c r="AC4269">
        <v>-118.504899999999</v>
      </c>
      <c r="AD4269">
        <v>0.48811300000000002</v>
      </c>
      <c r="AE4269">
        <v>-22.410900000000002</v>
      </c>
      <c r="AF4269">
        <v>-17.9368686040814</v>
      </c>
      <c r="AG4269">
        <v>0.48811300000000002</v>
      </c>
      <c r="AH4269">
        <v>119.262114733077</v>
      </c>
      <c r="AI4269">
        <v>89.768110525294205</v>
      </c>
      <c r="AJ4269">
        <v>98.553106200055296</v>
      </c>
      <c r="AK4269">
        <v>120.604400915665</v>
      </c>
      <c r="AL4269">
        <v>87.891722095281693</v>
      </c>
      <c r="AM4269">
        <v>95.681532413256704</v>
      </c>
      <c r="AN4269">
        <v>1.0000000547822401</v>
      </c>
    </row>
    <row r="4270" spans="1:40" x14ac:dyDescent="0.25">
      <c r="A4270" t="str">
        <f>"20190305135320423"</f>
        <v>20190305135320423</v>
      </c>
      <c r="B4270" t="str">
        <f>"1551765200414421"</f>
        <v>1551765200414421</v>
      </c>
      <c r="C4270" t="s">
        <v>40</v>
      </c>
      <c r="D4270">
        <v>4.441478</v>
      </c>
      <c r="E4270">
        <v>0.48092889999999999</v>
      </c>
      <c r="F4270" t="s">
        <v>82</v>
      </c>
      <c r="G4270">
        <v>-449.86360000000002</v>
      </c>
      <c r="H4270">
        <v>1.3257650000000001</v>
      </c>
      <c r="I4270">
        <v>119.395</v>
      </c>
      <c r="J4270">
        <v>-331.69740000000002</v>
      </c>
      <c r="K4270">
        <v>1.110387</v>
      </c>
      <c r="L4270">
        <v>141.79079999999999</v>
      </c>
      <c r="M4270">
        <v>-0.99916430000000001</v>
      </c>
      <c r="N4270">
        <v>-1.3172400000000001E-2</v>
      </c>
      <c r="O4270">
        <v>-3.8694590000000001E-2</v>
      </c>
      <c r="P4270">
        <v>-0.99045119999999998</v>
      </c>
      <c r="Q4270">
        <v>2.1423629999999999E-2</v>
      </c>
      <c r="R4270">
        <v>-0.13618949999999999</v>
      </c>
      <c r="S4270">
        <v>-2.9522089999999999</v>
      </c>
      <c r="T4270">
        <v>5.3635840000000002E-3</v>
      </c>
      <c r="U4270">
        <v>-0.55812069999999903</v>
      </c>
      <c r="V4270">
        <v>-9.785874E-2</v>
      </c>
      <c r="W4270">
        <v>3.4245289999999998E-2</v>
      </c>
      <c r="X4270">
        <v>0.99461100000000002</v>
      </c>
      <c r="Y4270">
        <v>-0.1476035</v>
      </c>
      <c r="Z4270">
        <v>-1.423225E-3</v>
      </c>
      <c r="AA4270">
        <v>0.98904559999999997</v>
      </c>
      <c r="AB4270">
        <v>39</v>
      </c>
      <c r="AC4270">
        <v>-118.1662</v>
      </c>
      <c r="AD4270">
        <v>0.21537799999999899</v>
      </c>
      <c r="AE4270">
        <v>-22.395799999999898</v>
      </c>
      <c r="AF4270">
        <v>-17.806178203313401</v>
      </c>
      <c r="AG4270">
        <v>0.21537799999999899</v>
      </c>
      <c r="AH4270">
        <v>118.94397808612401</v>
      </c>
      <c r="AI4270">
        <v>89.897395042781795</v>
      </c>
      <c r="AJ4270">
        <v>98.514079077464999</v>
      </c>
      <c r="AK4270">
        <v>120.269598373169</v>
      </c>
      <c r="AL4270">
        <v>88.037505816814502</v>
      </c>
      <c r="AM4270">
        <v>95.619186652922494</v>
      </c>
      <c r="AN4270">
        <v>1.0000000571012799</v>
      </c>
    </row>
    <row r="4271" spans="1:40" x14ac:dyDescent="0.25">
      <c r="A4271" t="str">
        <f>"20190305135320444"</f>
        <v>20190305135320444</v>
      </c>
      <c r="B4271" t="str">
        <f>"1551765200433944"</f>
        <v>1551765200433944</v>
      </c>
      <c r="C4271" t="s">
        <v>40</v>
      </c>
      <c r="D4271">
        <v>4.4244969999999997</v>
      </c>
      <c r="E4271">
        <v>0.48105300000000001</v>
      </c>
      <c r="F4271" t="s">
        <v>82</v>
      </c>
      <c r="G4271">
        <v>-450.22340000000003</v>
      </c>
      <c r="H4271">
        <v>1.0017830000000001</v>
      </c>
      <c r="I4271">
        <v>119.395</v>
      </c>
      <c r="J4271">
        <v>-332.0736</v>
      </c>
      <c r="K4271">
        <v>1.1103620000000001</v>
      </c>
      <c r="L4271">
        <v>141.77520000000001</v>
      </c>
      <c r="M4271">
        <v>-0.99912270000000003</v>
      </c>
      <c r="N4271">
        <v>-1.314739E-2</v>
      </c>
      <c r="O4271">
        <v>-3.9759950000000002E-2</v>
      </c>
      <c r="P4271">
        <v>-0.99057249999999997</v>
      </c>
      <c r="Q4271">
        <v>2.0362749999999999E-2</v>
      </c>
      <c r="R4271">
        <v>-0.13546830000000001</v>
      </c>
      <c r="S4271">
        <v>-2.9522400000000002</v>
      </c>
      <c r="T4271">
        <v>-2.704382E-3</v>
      </c>
      <c r="U4271">
        <v>-0.55783079999999996</v>
      </c>
      <c r="V4271">
        <v>-9.6067910000000006E-2</v>
      </c>
      <c r="W4271">
        <v>3.3170159999999997E-2</v>
      </c>
      <c r="X4271">
        <v>0.99482199999999998</v>
      </c>
      <c r="Y4271">
        <v>-0.14644939999999901</v>
      </c>
      <c r="Z4271">
        <v>-1.5204029999999901E-3</v>
      </c>
      <c r="AA4271">
        <v>0.98921700000000001</v>
      </c>
      <c r="AB4271">
        <v>39</v>
      </c>
      <c r="AC4271">
        <v>-118.1498</v>
      </c>
      <c r="AD4271">
        <v>-0.108578999999999</v>
      </c>
      <c r="AE4271">
        <v>-22.380199999999999</v>
      </c>
      <c r="AF4271">
        <v>-17.6644491448168</v>
      </c>
      <c r="AG4271">
        <v>-0.108578999999999</v>
      </c>
      <c r="AH4271">
        <v>118.946173749812</v>
      </c>
      <c r="AI4271">
        <v>90.0517345679377</v>
      </c>
      <c r="AJ4271">
        <v>98.447138809656494</v>
      </c>
      <c r="AK4271">
        <v>120.250724749207</v>
      </c>
      <c r="AL4271">
        <v>88.099141253386506</v>
      </c>
      <c r="AM4271">
        <v>95.515832040123001</v>
      </c>
      <c r="AN4271">
        <v>1.00000005726509</v>
      </c>
    </row>
    <row r="4272" spans="1:40" x14ac:dyDescent="0.25">
      <c r="A4272" t="str">
        <f>"20190305135320469"</f>
        <v>20190305135320469</v>
      </c>
      <c r="B4272" t="str">
        <f>"1551765200464197"</f>
        <v>1551765200464197</v>
      </c>
      <c r="C4272" t="s">
        <v>40</v>
      </c>
      <c r="D4272">
        <v>4.3810849999999997</v>
      </c>
      <c r="E4272">
        <v>0.48195640000000001</v>
      </c>
      <c r="F4272" t="s">
        <v>82</v>
      </c>
      <c r="G4272">
        <v>-450.29239999999999</v>
      </c>
      <c r="H4272">
        <v>0.84496389999999999</v>
      </c>
      <c r="I4272">
        <v>119.5635</v>
      </c>
      <c r="J4272">
        <v>-332.47800000000001</v>
      </c>
      <c r="K4272">
        <v>1.1103419999999999</v>
      </c>
      <c r="L4272">
        <v>141.75799999999899</v>
      </c>
      <c r="M4272">
        <v>-0.9990774</v>
      </c>
      <c r="N4272">
        <v>-1.312352E-2</v>
      </c>
      <c r="O4272">
        <v>-4.0893609999999997E-2</v>
      </c>
      <c r="P4272">
        <v>-0.99070380000000002</v>
      </c>
      <c r="Q4272">
        <v>2.1149939999999999E-2</v>
      </c>
      <c r="R4272">
        <v>-0.13438530000000001</v>
      </c>
      <c r="S4272">
        <v>-2.95282</v>
      </c>
      <c r="T4272">
        <v>-6.6282750000000003E-3</v>
      </c>
      <c r="U4272">
        <v>-0.55479429999999996</v>
      </c>
      <c r="V4272">
        <v>-9.38523E-2</v>
      </c>
      <c r="W4272">
        <v>3.3945540000000003E-2</v>
      </c>
      <c r="X4272">
        <v>0.99500730000000004</v>
      </c>
      <c r="Y4272">
        <v>-0.14430670000000001</v>
      </c>
      <c r="Z4272">
        <v>-1.5575020000000001E-3</v>
      </c>
      <c r="AA4272">
        <v>0.98953179999999996</v>
      </c>
      <c r="AB4272">
        <v>39</v>
      </c>
      <c r="AC4272">
        <v>-117.814399999999</v>
      </c>
      <c r="AD4272">
        <v>-0.26537809999999901</v>
      </c>
      <c r="AE4272">
        <v>-22.194499999999898</v>
      </c>
      <c r="AF4272">
        <v>-17.357575534336998</v>
      </c>
      <c r="AG4272">
        <v>-0.26537809999999901</v>
      </c>
      <c r="AH4272">
        <v>118.622942128169</v>
      </c>
      <c r="AI4272">
        <v>90.126828836112907</v>
      </c>
      <c r="AJ4272">
        <v>98.324761591572994</v>
      </c>
      <c r="AK4272">
        <v>119.88643898752299</v>
      </c>
      <c r="AL4272">
        <v>88.0546901847692</v>
      </c>
      <c r="AM4272">
        <v>95.388380677211799</v>
      </c>
      <c r="AN4272">
        <v>1.00000004047723</v>
      </c>
    </row>
    <row r="4273" spans="1:40" x14ac:dyDescent="0.25">
      <c r="A4273" t="str">
        <f>"20190305135320491"</f>
        <v>20190305135320491</v>
      </c>
      <c r="B4273" t="str">
        <f>"1551765200484693"</f>
        <v>1551765200484693</v>
      </c>
      <c r="C4273" t="s">
        <v>40</v>
      </c>
      <c r="D4273">
        <v>4.373005</v>
      </c>
      <c r="E4273">
        <v>0.51738209999999996</v>
      </c>
      <c r="F4273" t="s">
        <v>82</v>
      </c>
      <c r="G4273">
        <v>-451.52390000000003</v>
      </c>
      <c r="H4273">
        <v>0.87044519999999903</v>
      </c>
      <c r="I4273">
        <v>119.8177</v>
      </c>
      <c r="J4273">
        <v>-332.88060000000002</v>
      </c>
      <c r="K4273">
        <v>1.1103259999999999</v>
      </c>
      <c r="L4273">
        <v>141.7405</v>
      </c>
      <c r="M4273">
        <v>-0.99903149999999996</v>
      </c>
      <c r="N4273">
        <v>-1.3102340000000001E-2</v>
      </c>
      <c r="O4273">
        <v>-4.2009169999999998E-2</v>
      </c>
      <c r="P4273">
        <v>-0.99086450000000004</v>
      </c>
      <c r="Q4273">
        <v>2.1249850000000001E-2</v>
      </c>
      <c r="R4273">
        <v>-0.13317850000000001</v>
      </c>
      <c r="S4273">
        <v>-2.9543759999999999</v>
      </c>
      <c r="T4273">
        <v>-5.9528350000000001E-3</v>
      </c>
      <c r="U4273">
        <v>-0.54449459999999905</v>
      </c>
      <c r="V4273">
        <v>-9.1527399999999995E-2</v>
      </c>
      <c r="W4273">
        <v>3.4036570000000002E-2</v>
      </c>
      <c r="X4273">
        <v>0.99522069999999996</v>
      </c>
      <c r="Y4273">
        <v>-0.1397719</v>
      </c>
      <c r="Z4273">
        <v>-1.5256639999999999E-3</v>
      </c>
      <c r="AA4273">
        <v>0.99018260000000002</v>
      </c>
      <c r="AB4273">
        <v>39</v>
      </c>
      <c r="AC4273">
        <v>-118.6433</v>
      </c>
      <c r="AD4273">
        <v>-0.23988080000000001</v>
      </c>
      <c r="AE4273">
        <v>-21.922799999999899</v>
      </c>
      <c r="AF4273">
        <v>-16.918843425447498</v>
      </c>
      <c r="AG4273">
        <v>-0.23988080000000001</v>
      </c>
      <c r="AH4273">
        <v>119.459112029853</v>
      </c>
      <c r="AI4273">
        <v>90.113916251149504</v>
      </c>
      <c r="AJ4273">
        <v>98.061115826506907</v>
      </c>
      <c r="AK4273">
        <v>120.651499172675</v>
      </c>
      <c r="AL4273">
        <v>88.049471450407296</v>
      </c>
      <c r="AM4273">
        <v>95.254536498025701</v>
      </c>
      <c r="AN4273">
        <v>0.99999999737830703</v>
      </c>
    </row>
    <row r="4274" spans="1:40" x14ac:dyDescent="0.25">
      <c r="A4274" t="str">
        <f>"20190305135320512"</f>
        <v>20190305135320512</v>
      </c>
      <c r="B4274" t="str">
        <f>"1551765200504213"</f>
        <v>1551765200504213</v>
      </c>
      <c r="C4274" t="s">
        <v>40</v>
      </c>
      <c r="D4274">
        <v>4.3334159999999997</v>
      </c>
      <c r="E4274">
        <v>0.5159125</v>
      </c>
      <c r="F4274" t="s">
        <v>78</v>
      </c>
      <c r="G4274">
        <v>-420.50639999999999</v>
      </c>
      <c r="H4274" s="1">
        <v>-7.6406230000000006E-6</v>
      </c>
      <c r="I4274">
        <v>134.1241</v>
      </c>
      <c r="J4274">
        <v>-333.25259999999997</v>
      </c>
      <c r="K4274">
        <v>1.1103130000000001</v>
      </c>
      <c r="L4274">
        <v>141.72389999999999</v>
      </c>
      <c r="M4274">
        <v>-0.99898819999999999</v>
      </c>
      <c r="N4274">
        <v>-1.308456E-2</v>
      </c>
      <c r="O4274">
        <v>-4.302976E-2</v>
      </c>
      <c r="P4274">
        <v>-0.99100880000000002</v>
      </c>
      <c r="Q4274">
        <v>2.147073E-2</v>
      </c>
      <c r="R4274">
        <v>-0.132064299999999</v>
      </c>
      <c r="S4274">
        <v>-2.9935</v>
      </c>
      <c r="T4274">
        <v>-3.7931560000000003E-2</v>
      </c>
      <c r="U4274">
        <v>-0.2601929</v>
      </c>
      <c r="V4274">
        <v>-8.9390070000000002E-2</v>
      </c>
      <c r="W4274">
        <v>3.425102E-2</v>
      </c>
      <c r="X4274">
        <v>0.99540759999999995</v>
      </c>
      <c r="Y4274">
        <v>-4.3633699999999997E-2</v>
      </c>
      <c r="Z4274">
        <v>-5.8052199999999998E-4</v>
      </c>
      <c r="AA4274">
        <v>0.99904740000000003</v>
      </c>
      <c r="AB4274">
        <v>39</v>
      </c>
      <c r="AC4274">
        <v>-87.253799999999998</v>
      </c>
      <c r="AD4274">
        <v>-1.110320640623</v>
      </c>
      <c r="AE4274">
        <v>-7.5997999999999797</v>
      </c>
      <c r="AF4274">
        <v>-3.8373119383734702</v>
      </c>
      <c r="AG4274">
        <v>-1.110320640623</v>
      </c>
      <c r="AH4274">
        <v>87.485956484283193</v>
      </c>
      <c r="AI4274">
        <v>90.726427148924202</v>
      </c>
      <c r="AJ4274">
        <v>92.511499609326506</v>
      </c>
      <c r="AK4274">
        <v>87.577110918363104</v>
      </c>
      <c r="AL4274">
        <v>88.037177214177007</v>
      </c>
      <c r="AM4274">
        <v>95.1315381670655</v>
      </c>
      <c r="AN4274">
        <v>1.0000000035617</v>
      </c>
    </row>
    <row r="4275" spans="1:40" x14ac:dyDescent="0.25">
      <c r="A4275" t="str">
        <f>"20190305135320534"</f>
        <v>20190305135320534</v>
      </c>
      <c r="B4275" t="str">
        <f>"1551765200523736"</f>
        <v>1551765200523736</v>
      </c>
      <c r="C4275" t="s">
        <v>40</v>
      </c>
      <c r="D4275">
        <v>4.3210030000000001</v>
      </c>
      <c r="E4275">
        <v>0.51471719999999999</v>
      </c>
      <c r="F4275" t="s">
        <v>81</v>
      </c>
      <c r="G4275">
        <v>-497.81509999999997</v>
      </c>
      <c r="H4275">
        <v>7.9987779999999994E-2</v>
      </c>
      <c r="I4275">
        <v>126.937</v>
      </c>
      <c r="J4275">
        <v>-333.62720000000002</v>
      </c>
      <c r="K4275">
        <v>1.1102989999999999</v>
      </c>
      <c r="L4275">
        <v>141.70679999999999</v>
      </c>
      <c r="M4275">
        <v>-0.9989441</v>
      </c>
      <c r="N4275">
        <v>-1.306848E-2</v>
      </c>
      <c r="O4275">
        <v>-4.4042940000000003E-2</v>
      </c>
      <c r="P4275">
        <v>-0.99114539999999995</v>
      </c>
      <c r="Q4275">
        <v>2.1947789999999998E-2</v>
      </c>
      <c r="R4275">
        <v>-0.13095499999999999</v>
      </c>
      <c r="S4275">
        <v>-2.9917910000000001</v>
      </c>
      <c r="T4275">
        <v>-1.8731589999999999E-2</v>
      </c>
      <c r="U4275">
        <v>-0.26882929999999999</v>
      </c>
      <c r="V4275">
        <v>-8.7265830000000003E-2</v>
      </c>
      <c r="W4275">
        <v>3.4723759999999999E-2</v>
      </c>
      <c r="X4275">
        <v>0.99557969999999896</v>
      </c>
      <c r="Y4275">
        <v>-4.5536559999999997E-2</v>
      </c>
      <c r="Z4275">
        <v>-7.4030999999999999E-4</v>
      </c>
      <c r="AA4275">
        <v>0.99896240000000003</v>
      </c>
      <c r="AB4275">
        <v>39</v>
      </c>
      <c r="AC4275">
        <v>-164.18789999999899</v>
      </c>
      <c r="AD4275">
        <v>-1.03031122</v>
      </c>
      <c r="AE4275">
        <v>-14.769799999999901</v>
      </c>
      <c r="AF4275">
        <v>-7.5232357972846398</v>
      </c>
      <c r="AG4275">
        <v>-1.03031122</v>
      </c>
      <c r="AH4275">
        <v>164.67267977281301</v>
      </c>
      <c r="AI4275">
        <v>90.358105584677503</v>
      </c>
      <c r="AJ4275">
        <v>92.615796001811304</v>
      </c>
      <c r="AK4275">
        <v>164.847663258024</v>
      </c>
      <c r="AL4275">
        <v>88.010075081590699</v>
      </c>
      <c r="AM4275">
        <v>95.009360266656799</v>
      </c>
      <c r="AN4275">
        <v>1.0000000018230999</v>
      </c>
    </row>
    <row r="4276" spans="1:40" x14ac:dyDescent="0.25">
      <c r="A4276" t="str">
        <f>"20190305135320556"</f>
        <v>20190305135320556</v>
      </c>
      <c r="B4276" t="str">
        <f>"1551765200544229"</f>
        <v>1551765200544229</v>
      </c>
      <c r="C4276" t="s">
        <v>40</v>
      </c>
      <c r="D4276">
        <v>4.2857500000000002</v>
      </c>
      <c r="E4276">
        <v>0.51398199999999905</v>
      </c>
      <c r="F4276" t="s">
        <v>53</v>
      </c>
      <c r="G4276">
        <v>-677.42660000000001</v>
      </c>
      <c r="H4276">
        <v>-0.1</v>
      </c>
      <c r="I4276">
        <v>110.0752</v>
      </c>
      <c r="J4276">
        <v>-334.01249999999999</v>
      </c>
      <c r="K4276">
        <v>1.1102829999999999</v>
      </c>
      <c r="L4276">
        <v>141.68889999999999</v>
      </c>
      <c r="M4276">
        <v>-0.99889890000000003</v>
      </c>
      <c r="N4276">
        <v>-1.3053749999999999E-2</v>
      </c>
      <c r="O4276">
        <v>-4.506284E-2</v>
      </c>
      <c r="P4276">
        <v>-0.99139239999999995</v>
      </c>
      <c r="Q4276">
        <v>2.2273580000000001E-2</v>
      </c>
      <c r="R4276">
        <v>-0.12901560000000001</v>
      </c>
      <c r="S4276">
        <v>-2.9906920000000001</v>
      </c>
      <c r="T4276">
        <v>-1.0528330000000001E-2</v>
      </c>
      <c r="U4276">
        <v>-0.27516170000000001</v>
      </c>
      <c r="V4276">
        <v>-8.4299799999999994E-2</v>
      </c>
      <c r="W4276">
        <v>3.5050190000000002E-2</v>
      </c>
      <c r="X4276">
        <v>0.99582380000000004</v>
      </c>
      <c r="Y4276">
        <v>-4.6649540000000003E-2</v>
      </c>
      <c r="Z4276">
        <v>-8.1637619999999904E-4</v>
      </c>
      <c r="AA4276">
        <v>0.99891099999999999</v>
      </c>
      <c r="AB4276">
        <v>39</v>
      </c>
      <c r="AC4276">
        <v>-343.41410000000002</v>
      </c>
      <c r="AD4276">
        <v>-1.210283</v>
      </c>
      <c r="AE4276">
        <v>-31.613699999999898</v>
      </c>
      <c r="AF4276">
        <v>-16.104848793075298</v>
      </c>
      <c r="AG4276">
        <v>-1.210283</v>
      </c>
      <c r="AH4276">
        <v>344.485666517624</v>
      </c>
      <c r="AI4276">
        <v>90.201077069291202</v>
      </c>
      <c r="AJ4276">
        <v>92.676652726419206</v>
      </c>
      <c r="AK4276">
        <v>344.86403897141798</v>
      </c>
      <c r="AL4276">
        <v>87.9913606372196</v>
      </c>
      <c r="AM4276">
        <v>94.838742050182503</v>
      </c>
      <c r="AN4276">
        <v>1.0000000063727501</v>
      </c>
    </row>
    <row r="4277" spans="1:40" x14ac:dyDescent="0.25">
      <c r="A4277" t="str">
        <f>"20190305135320591"</f>
        <v>20190305135320591</v>
      </c>
      <c r="B4277" t="str">
        <f>"1551765200584245"</f>
        <v>1551765200584245</v>
      </c>
      <c r="C4277" t="s">
        <v>40</v>
      </c>
      <c r="D4277">
        <v>4.2430940000000001</v>
      </c>
      <c r="E4277">
        <v>0.51293619999999995</v>
      </c>
      <c r="F4277" t="s">
        <v>53</v>
      </c>
      <c r="G4277">
        <v>-806.02750000000003</v>
      </c>
      <c r="H4277">
        <v>-0.1</v>
      </c>
      <c r="I4277">
        <v>98.254239999999996</v>
      </c>
      <c r="J4277">
        <v>-334.60890000000001</v>
      </c>
      <c r="K4277">
        <v>1.110244</v>
      </c>
      <c r="L4277">
        <v>141.66040000000001</v>
      </c>
      <c r="M4277">
        <v>-0.9988302</v>
      </c>
      <c r="N4277">
        <v>-1.303386E-2</v>
      </c>
      <c r="O4277">
        <v>-4.6568169999999999E-2</v>
      </c>
      <c r="P4277">
        <v>-0.99148499999999995</v>
      </c>
      <c r="Q4277">
        <v>2.2598340000000001E-2</v>
      </c>
      <c r="R4277">
        <v>-0.12824650000000001</v>
      </c>
      <c r="S4277">
        <v>-2.9904169999999999</v>
      </c>
      <c r="T4277">
        <v>-7.6676610000000001E-3</v>
      </c>
      <c r="U4277">
        <v>-0.275177</v>
      </c>
      <c r="V4277">
        <v>-8.2022719999999993E-2</v>
      </c>
      <c r="W4277">
        <v>3.5372809999999998E-2</v>
      </c>
      <c r="X4277">
        <v>0.99600259999999996</v>
      </c>
      <c r="Y4277">
        <v>-4.5158480000000001E-2</v>
      </c>
      <c r="Z4277">
        <v>-8.3985020000000002E-4</v>
      </c>
      <c r="AA4277">
        <v>0.99897950000000002</v>
      </c>
      <c r="AB4277">
        <v>39</v>
      </c>
      <c r="AC4277">
        <v>-471.41860000000003</v>
      </c>
      <c r="AD4277">
        <v>-1.2102440000000001</v>
      </c>
      <c r="AE4277">
        <v>-43.40616</v>
      </c>
      <c r="AF4277">
        <v>-21.403957628245699</v>
      </c>
      <c r="AG4277">
        <v>-1.2102440000000001</v>
      </c>
      <c r="AH4277">
        <v>472.92550406738502</v>
      </c>
      <c r="AI4277">
        <v>90.146472991676305</v>
      </c>
      <c r="AJ4277">
        <v>92.591359783139197</v>
      </c>
      <c r="AK4277">
        <v>473.41116008189101</v>
      </c>
      <c r="AL4277">
        <v>87.972864533584698</v>
      </c>
      <c r="AM4277">
        <v>94.707793761717497</v>
      </c>
      <c r="AN4277">
        <v>1.00000007074512</v>
      </c>
    </row>
    <row r="4278" spans="1:40" x14ac:dyDescent="0.25">
      <c r="A4278" t="str">
        <f>"20190305135320612"</f>
        <v>20190305135320612</v>
      </c>
      <c r="B4278" t="str">
        <f>"1551765200603768"</f>
        <v>1551765200603768</v>
      </c>
      <c r="C4278" t="s">
        <v>40</v>
      </c>
      <c r="D4278">
        <v>4.2205440000000003</v>
      </c>
      <c r="E4278">
        <v>0.51253359999999903</v>
      </c>
      <c r="F4278" t="s">
        <v>53</v>
      </c>
      <c r="G4278">
        <v>-1310.0820000000001</v>
      </c>
      <c r="H4278">
        <v>-0.1</v>
      </c>
      <c r="I4278">
        <v>49.922600000000003</v>
      </c>
      <c r="J4278">
        <v>-334.99239999999998</v>
      </c>
      <c r="K4278">
        <v>1.1102030000000001</v>
      </c>
      <c r="L4278">
        <v>141.64169999999999</v>
      </c>
      <c r="M4278">
        <v>-0.9987878</v>
      </c>
      <c r="N4278">
        <v>-1.3022550000000001E-2</v>
      </c>
      <c r="O4278">
        <v>-4.7469030000000002E-2</v>
      </c>
      <c r="P4278">
        <v>-0.99147810000000003</v>
      </c>
      <c r="Q4278">
        <v>2.401377E-2</v>
      </c>
      <c r="R4278">
        <v>-0.1280403</v>
      </c>
      <c r="S4278">
        <v>-2.989471</v>
      </c>
      <c r="T4278">
        <v>-3.708959E-3</v>
      </c>
      <c r="U4278">
        <v>-0.28114319999999998</v>
      </c>
      <c r="V4278">
        <v>-8.0918100000000007E-2</v>
      </c>
      <c r="W4278">
        <v>3.6789040000000002E-2</v>
      </c>
      <c r="X4278">
        <v>0.99604159999999997</v>
      </c>
      <c r="Y4278">
        <v>-4.6264090000000001E-2</v>
      </c>
      <c r="Z4278">
        <v>-8.8919200000000002E-4</v>
      </c>
      <c r="AA4278">
        <v>0.99892879999999995</v>
      </c>
      <c r="AB4278">
        <v>39</v>
      </c>
      <c r="AC4278">
        <v>-975.08960000000002</v>
      </c>
      <c r="AD4278">
        <v>-1.2102029999999999</v>
      </c>
      <c r="AE4278">
        <v>-91.719099999999898</v>
      </c>
      <c r="AF4278">
        <v>-45.325135659925003</v>
      </c>
      <c r="AG4278">
        <v>-1.2102029999999999</v>
      </c>
      <c r="AH4278">
        <v>978.34289706343998</v>
      </c>
      <c r="AI4278">
        <v>90.070798486000498</v>
      </c>
      <c r="AJ4278">
        <v>92.652529512174496</v>
      </c>
      <c r="AK4278">
        <v>979.39300423700001</v>
      </c>
      <c r="AL4278">
        <v>87.891667555431198</v>
      </c>
      <c r="AM4278">
        <v>94.644490962198105</v>
      </c>
      <c r="AN4278">
        <v>1.0000000206511399</v>
      </c>
    </row>
    <row r="4279" spans="1:40" x14ac:dyDescent="0.25">
      <c r="A4279" t="str">
        <f>"20190305135320634"</f>
        <v>20190305135320634</v>
      </c>
      <c r="B4279" t="str">
        <f>"1551765200624261"</f>
        <v>1551765200624261</v>
      </c>
      <c r="C4279" t="s">
        <v>40</v>
      </c>
      <c r="D4279">
        <v>4.184412</v>
      </c>
      <c r="E4279">
        <v>0.51210440000000002</v>
      </c>
      <c r="F4279" t="s">
        <v>49</v>
      </c>
      <c r="G4279">
        <v>0</v>
      </c>
      <c r="H4279">
        <v>0</v>
      </c>
      <c r="I4279">
        <v>0</v>
      </c>
      <c r="J4279">
        <v>-335.37180000000001</v>
      </c>
      <c r="K4279">
        <v>1.110155</v>
      </c>
      <c r="L4279">
        <v>141.62280000000001</v>
      </c>
      <c r="M4279">
        <v>-0.99874830000000003</v>
      </c>
      <c r="N4279">
        <v>-1.301268E-2</v>
      </c>
      <c r="O4279">
        <v>-4.829833E-2</v>
      </c>
      <c r="P4279">
        <v>-0.99141760000000001</v>
      </c>
      <c r="Q4279">
        <v>2.5447089999999999E-2</v>
      </c>
      <c r="R4279">
        <v>-0.12823370000000001</v>
      </c>
      <c r="S4279">
        <v>-2.9890750000000001</v>
      </c>
      <c r="T4279">
        <v>1.0615589999999999E-3</v>
      </c>
      <c r="U4279">
        <v>-0.28375240000000002</v>
      </c>
      <c r="V4279">
        <v>-8.0285410000000001E-2</v>
      </c>
      <c r="W4279">
        <v>3.8224750000000002E-2</v>
      </c>
      <c r="X4279">
        <v>0.99603869999999906</v>
      </c>
      <c r="Y4279">
        <v>-4.6312829999999999E-2</v>
      </c>
      <c r="Z4279">
        <v>-9.3856009999999999E-4</v>
      </c>
      <c r="AA4279">
        <v>0.99892650000000005</v>
      </c>
      <c r="AB4279">
        <v>39</v>
      </c>
      <c r="AC4279">
        <v>-2.9890750000000001</v>
      </c>
      <c r="AD4279">
        <v>1.0615589999999999E-3</v>
      </c>
      <c r="AE4279">
        <v>-0.28375240000000002</v>
      </c>
      <c r="AF4279">
        <v>-0.13904163578190901</v>
      </c>
      <c r="AG4279">
        <v>1.0615589999999999E-3</v>
      </c>
      <c r="AH4279">
        <v>2.9992915746614601</v>
      </c>
      <c r="AI4279">
        <v>89.979742684243405</v>
      </c>
      <c r="AJ4279">
        <v>92.654226565811996</v>
      </c>
      <c r="AK4279">
        <v>3.0025128897681101</v>
      </c>
      <c r="AL4279">
        <v>87.809349427256294</v>
      </c>
      <c r="AM4279">
        <v>94.608346566867496</v>
      </c>
      <c r="AN4279">
        <v>0.99999998523456002</v>
      </c>
    </row>
    <row r="4280" spans="1:40" x14ac:dyDescent="0.25">
      <c r="A4280" t="str">
        <f>"20190305135320657"</f>
        <v>20190305135320657</v>
      </c>
      <c r="B4280" t="str">
        <f>"1551765200654517"</f>
        <v>1551765200654517</v>
      </c>
      <c r="C4280" t="s">
        <v>40</v>
      </c>
      <c r="D4280">
        <v>4.164237</v>
      </c>
      <c r="E4280">
        <v>0.51179589999999997</v>
      </c>
      <c r="F4280" t="s">
        <v>49</v>
      </c>
      <c r="G4280">
        <v>0</v>
      </c>
      <c r="H4280">
        <v>0</v>
      </c>
      <c r="I4280">
        <v>0</v>
      </c>
      <c r="J4280">
        <v>-335.76819999999998</v>
      </c>
      <c r="K4280">
        <v>1.11008</v>
      </c>
      <c r="L4280">
        <v>141.60290000000001</v>
      </c>
      <c r="M4280">
        <v>-0.99871129999999997</v>
      </c>
      <c r="N4280">
        <v>-1.3003310000000001E-2</v>
      </c>
      <c r="O4280">
        <v>-4.9057580000000003E-2</v>
      </c>
      <c r="P4280">
        <v>-0.99135419999999996</v>
      </c>
      <c r="Q4280">
        <v>2.651384E-2</v>
      </c>
      <c r="R4280">
        <v>-0.12850719999999999</v>
      </c>
      <c r="S4280">
        <v>-2.9885250000000001</v>
      </c>
      <c r="T4280">
        <v>7.4210169999999898E-3</v>
      </c>
      <c r="U4280">
        <v>-0.28788760000000002</v>
      </c>
      <c r="V4280">
        <v>-7.9799040000000002E-2</v>
      </c>
      <c r="W4280">
        <v>3.929825E-2</v>
      </c>
      <c r="X4280">
        <v>0.99603609999999998</v>
      </c>
      <c r="Y4280">
        <v>-4.6942409999999997E-2</v>
      </c>
      <c r="Z4280">
        <v>-1.0062269999999999E-3</v>
      </c>
      <c r="AA4280">
        <v>0.99889709999999998</v>
      </c>
      <c r="AB4280">
        <v>39</v>
      </c>
      <c r="AC4280">
        <v>-2.9885250000000001</v>
      </c>
      <c r="AD4280">
        <v>7.4210169999999898E-3</v>
      </c>
      <c r="AE4280">
        <v>-0.28788760000000002</v>
      </c>
      <c r="AF4280">
        <v>-0.140917848745165</v>
      </c>
      <c r="AG4280">
        <v>7.4210169999999898E-3</v>
      </c>
      <c r="AH4280">
        <v>2.9990320044618599</v>
      </c>
      <c r="AI4280">
        <v>89.858379809674105</v>
      </c>
      <c r="AJ4280">
        <v>92.690222637210098</v>
      </c>
      <c r="AK4280">
        <v>3.0023500587664298</v>
      </c>
      <c r="AL4280">
        <v>87.7477963504396</v>
      </c>
      <c r="AM4280">
        <v>94.580560212832907</v>
      </c>
      <c r="AN4280">
        <v>1.00000007587059</v>
      </c>
    </row>
    <row r="4281" spans="1:40" x14ac:dyDescent="0.25">
      <c r="A4281" t="str">
        <f>"20190305135320680"</f>
        <v>20190305135320680</v>
      </c>
      <c r="B4281" t="str">
        <f>"1551765200674037"</f>
        <v>1551765200674037</v>
      </c>
      <c r="C4281" t="s">
        <v>40</v>
      </c>
      <c r="D4281">
        <v>4.1768289999999997</v>
      </c>
      <c r="E4281">
        <v>0.51159920000000003</v>
      </c>
      <c r="F4281" t="s">
        <v>49</v>
      </c>
      <c r="G4281">
        <v>0</v>
      </c>
      <c r="H4281">
        <v>0</v>
      </c>
      <c r="I4281">
        <v>0</v>
      </c>
      <c r="J4281">
        <v>-336.16820000000001</v>
      </c>
      <c r="K4281">
        <v>1.1099760000000001</v>
      </c>
      <c r="L4281">
        <v>141.58260000000001</v>
      </c>
      <c r="M4281">
        <v>-0.99868089999999998</v>
      </c>
      <c r="N4281">
        <v>-1.2994739999999999E-2</v>
      </c>
      <c r="O4281">
        <v>-4.967357E-2</v>
      </c>
      <c r="P4281">
        <v>-0.9912685</v>
      </c>
      <c r="Q4281">
        <v>2.6647549999999999E-2</v>
      </c>
      <c r="R4281">
        <v>-0.12913959999999999</v>
      </c>
      <c r="S4281">
        <v>-2.9880680000000002</v>
      </c>
      <c r="T4281">
        <v>1.3304109999999999E-2</v>
      </c>
      <c r="U4281">
        <v>-0.29121399999999997</v>
      </c>
      <c r="V4281">
        <v>-7.9809989999999997E-2</v>
      </c>
      <c r="W4281">
        <v>3.9444529999999998E-2</v>
      </c>
      <c r="X4281">
        <v>0.99602939999999995</v>
      </c>
      <c r="Y4281">
        <v>-4.7444510000000002E-2</v>
      </c>
      <c r="Z4281">
        <v>-1.0686490000000001E-3</v>
      </c>
      <c r="AA4281">
        <v>0.99887329999999996</v>
      </c>
      <c r="AB4281">
        <v>39</v>
      </c>
      <c r="AC4281">
        <v>-2.9880680000000002</v>
      </c>
      <c r="AD4281">
        <v>1.3304109999999999E-2</v>
      </c>
      <c r="AE4281">
        <v>-0.29121399999999997</v>
      </c>
      <c r="AF4281">
        <v>-0.14241109228593599</v>
      </c>
      <c r="AG4281">
        <v>1.3304109999999999E-2</v>
      </c>
      <c r="AH4281">
        <v>2.9987865977683898</v>
      </c>
      <c r="AI4281">
        <v>89.746095216267804</v>
      </c>
      <c r="AJ4281">
        <v>92.718909330167605</v>
      </c>
      <c r="AK4281">
        <v>3.0021956927396101</v>
      </c>
      <c r="AL4281">
        <v>87.739408529805601</v>
      </c>
      <c r="AM4281">
        <v>94.581216765762406</v>
      </c>
      <c r="AN4281">
        <v>1.00000003555753</v>
      </c>
    </row>
    <row r="4282" spans="1:40" x14ac:dyDescent="0.25">
      <c r="A4282" t="str">
        <f>"20190305135320703"</f>
        <v>20190305135320703</v>
      </c>
      <c r="B4282" t="str">
        <f>"1551765200694533"</f>
        <v>1551765200694533</v>
      </c>
      <c r="C4282" t="s">
        <v>40</v>
      </c>
      <c r="D4282">
        <v>4.170782</v>
      </c>
      <c r="E4282">
        <v>0.51186670000000001</v>
      </c>
      <c r="F4282" t="s">
        <v>49</v>
      </c>
      <c r="G4282">
        <v>0</v>
      </c>
      <c r="H4282">
        <v>0</v>
      </c>
      <c r="I4282">
        <v>0</v>
      </c>
      <c r="J4282">
        <v>-336.56079999999997</v>
      </c>
      <c r="K4282">
        <v>1.109842</v>
      </c>
      <c r="L4282">
        <v>141.56270000000001</v>
      </c>
      <c r="M4282">
        <v>-0.99865930000000003</v>
      </c>
      <c r="N4282">
        <v>-1.2987230000000001E-2</v>
      </c>
      <c r="O4282">
        <v>-5.0111290000000003E-2</v>
      </c>
      <c r="P4282">
        <v>-0.99127180000000004</v>
      </c>
      <c r="Q4282">
        <v>2.7668269999999998E-2</v>
      </c>
      <c r="R4282">
        <v>-0.12889809999999999</v>
      </c>
      <c r="S4282">
        <v>-2.9876399999999999</v>
      </c>
      <c r="T4282">
        <v>1.4682529999999999E-2</v>
      </c>
      <c r="U4282">
        <v>-0.29469299999999998</v>
      </c>
      <c r="V4282">
        <v>-7.9120380000000004E-2</v>
      </c>
      <c r="W4282">
        <v>4.0486059999999997E-2</v>
      </c>
      <c r="X4282">
        <v>0.9960426</v>
      </c>
      <c r="Y4282">
        <v>-4.817308E-2</v>
      </c>
      <c r="Z4282">
        <v>-1.090794E-3</v>
      </c>
      <c r="AA4282">
        <v>0.99883840000000002</v>
      </c>
      <c r="AB4282">
        <v>39</v>
      </c>
      <c r="AC4282">
        <v>-2.9876399999999999</v>
      </c>
      <c r="AD4282">
        <v>1.4682529999999999E-2</v>
      </c>
      <c r="AE4282">
        <v>-0.29469299999999998</v>
      </c>
      <c r="AF4282">
        <v>-0.14459213204367399</v>
      </c>
      <c r="AG4282">
        <v>1.4682529999999999E-2</v>
      </c>
      <c r="AH4282">
        <v>2.99858278379874</v>
      </c>
      <c r="AI4282">
        <v>89.719779629933399</v>
      </c>
      <c r="AJ4282">
        <v>92.7606731072527</v>
      </c>
      <c r="AK4282">
        <v>3.0021027918161498</v>
      </c>
      <c r="AL4282">
        <v>87.679685478120305</v>
      </c>
      <c r="AM4282">
        <v>94.541738480114304</v>
      </c>
      <c r="AN4282">
        <v>1.0000000083002101</v>
      </c>
    </row>
    <row r="4283" spans="1:40" x14ac:dyDescent="0.25">
      <c r="A4283" t="str">
        <f>"20190305135320723"</f>
        <v>20190305135320723</v>
      </c>
      <c r="B4283" t="str">
        <f>"1551765200714053"</f>
        <v>1551765200714053</v>
      </c>
      <c r="C4283" t="s">
        <v>40</v>
      </c>
      <c r="D4283">
        <v>4.1513949999999999</v>
      </c>
      <c r="E4283">
        <v>0.51168219999999998</v>
      </c>
      <c r="F4283" t="s">
        <v>49</v>
      </c>
      <c r="G4283">
        <v>0</v>
      </c>
      <c r="H4283">
        <v>0</v>
      </c>
      <c r="I4283">
        <v>0</v>
      </c>
      <c r="J4283">
        <v>-336.92009999999999</v>
      </c>
      <c r="K4283">
        <v>1.1097109999999999</v>
      </c>
      <c r="L4283">
        <v>141.54429999999999</v>
      </c>
      <c r="M4283">
        <v>-0.99864699999999995</v>
      </c>
      <c r="N4283">
        <v>-1.2981380000000001E-2</v>
      </c>
      <c r="O4283">
        <v>-5.0357470000000001E-2</v>
      </c>
      <c r="P4283">
        <v>-0.99126650000000005</v>
      </c>
      <c r="Q4283">
        <v>2.842126E-2</v>
      </c>
      <c r="R4283">
        <v>-0.12877669999999999</v>
      </c>
      <c r="S4283">
        <v>-2.987946</v>
      </c>
      <c r="T4283">
        <v>1.8218160000000001E-2</v>
      </c>
      <c r="U4283">
        <v>-0.29202270000000002</v>
      </c>
      <c r="V4283">
        <v>-7.8740760000000007E-2</v>
      </c>
      <c r="W4283">
        <v>4.1260280000000003E-2</v>
      </c>
      <c r="X4283">
        <v>0.99604090000000001</v>
      </c>
      <c r="Y4283">
        <v>-4.7033899999999997E-2</v>
      </c>
      <c r="Z4283">
        <v>-1.1217690000000001E-3</v>
      </c>
      <c r="AA4283">
        <v>0.99889269999999997</v>
      </c>
      <c r="AB4283">
        <v>39</v>
      </c>
      <c r="AC4283">
        <v>-2.987946</v>
      </c>
      <c r="AD4283">
        <v>1.8218160000000001E-2</v>
      </c>
      <c r="AE4283">
        <v>-0.29202270000000002</v>
      </c>
      <c r="AF4283">
        <v>-0.141168873697781</v>
      </c>
      <c r="AG4283">
        <v>1.8218160000000001E-2</v>
      </c>
      <c r="AH4283">
        <v>2.99875076311569</v>
      </c>
      <c r="AI4283">
        <v>89.652303158562702</v>
      </c>
      <c r="AJ4283">
        <v>92.695260206038498</v>
      </c>
      <c r="AK4283">
        <v>3.00212702788237</v>
      </c>
      <c r="AL4283">
        <v>87.635288810034595</v>
      </c>
      <c r="AM4283">
        <v>94.520045394265097</v>
      </c>
      <c r="AN4283">
        <v>0.99999999623193203</v>
      </c>
    </row>
    <row r="4284" spans="1:40" x14ac:dyDescent="0.25">
      <c r="A4284" t="str">
        <f>"20190305135320747"</f>
        <v>20190305135320747</v>
      </c>
      <c r="B4284" t="str">
        <f>"1551765200734549"</f>
        <v>1551765200734549</v>
      </c>
      <c r="C4284" t="s">
        <v>40</v>
      </c>
      <c r="D4284">
        <v>4.1446500000000004</v>
      </c>
      <c r="E4284">
        <v>0.51154949999999999</v>
      </c>
      <c r="F4284" t="s">
        <v>49</v>
      </c>
      <c r="G4284">
        <v>0</v>
      </c>
      <c r="H4284">
        <v>0</v>
      </c>
      <c r="I4284">
        <v>0</v>
      </c>
      <c r="J4284">
        <v>-337.30369999999999</v>
      </c>
      <c r="K4284">
        <v>1.1095660000000001</v>
      </c>
      <c r="L4284">
        <v>141.5249</v>
      </c>
      <c r="M4284">
        <v>-0.99864299999999995</v>
      </c>
      <c r="N4284">
        <v>-1.297601E-2</v>
      </c>
      <c r="O4284">
        <v>-5.043752E-2</v>
      </c>
      <c r="P4284">
        <v>-0.99131749999999996</v>
      </c>
      <c r="Q4284">
        <v>3.003991E-2</v>
      </c>
      <c r="R4284">
        <v>-0.1280134</v>
      </c>
      <c r="S4284">
        <v>-2.9877319999999998</v>
      </c>
      <c r="T4284">
        <v>2.1276469999999999E-2</v>
      </c>
      <c r="U4284">
        <v>-0.29309079999999998</v>
      </c>
      <c r="V4284">
        <v>-7.7881370000000005E-2</v>
      </c>
      <c r="W4284">
        <v>4.2905329999999998E-2</v>
      </c>
      <c r="X4284">
        <v>0.99603900000000001</v>
      </c>
      <c r="Y4284">
        <v>-4.7315469999999998E-2</v>
      </c>
      <c r="Z4284">
        <v>-1.1511679999999999E-3</v>
      </c>
      <c r="AA4284">
        <v>0.99887930000000003</v>
      </c>
      <c r="AB4284">
        <v>39</v>
      </c>
      <c r="AC4284">
        <v>-2.9877319999999998</v>
      </c>
      <c r="AD4284">
        <v>2.1276469999999999E-2</v>
      </c>
      <c r="AE4284">
        <v>-0.29309079999999998</v>
      </c>
      <c r="AF4284">
        <v>-0.14200409524386801</v>
      </c>
      <c r="AG4284">
        <v>2.1276469999999999E-2</v>
      </c>
      <c r="AH4284">
        <v>2.9985620303173999</v>
      </c>
      <c r="AI4284">
        <v>89.593916407454302</v>
      </c>
      <c r="AJ4284">
        <v>92.711353301822797</v>
      </c>
      <c r="AK4284">
        <v>3.0019980181377401</v>
      </c>
      <c r="AL4284">
        <v>87.540950894154307</v>
      </c>
      <c r="AM4284">
        <v>94.470922457137405</v>
      </c>
      <c r="AN4284">
        <v>1.0000000323282401</v>
      </c>
    </row>
    <row r="4285" spans="1:40" x14ac:dyDescent="0.25">
      <c r="A4285" t="str">
        <f>"20190305135320768"</f>
        <v>20190305135320768</v>
      </c>
      <c r="B4285" t="str">
        <f>"1551765200764805"</f>
        <v>1551765200764805</v>
      </c>
      <c r="C4285" t="s">
        <v>40</v>
      </c>
      <c r="D4285">
        <v>4.1391749999999998</v>
      </c>
      <c r="E4285">
        <v>0.51151080000000004</v>
      </c>
      <c r="F4285" t="s">
        <v>49</v>
      </c>
      <c r="G4285">
        <v>0</v>
      </c>
      <c r="H4285">
        <v>0</v>
      </c>
      <c r="I4285">
        <v>0</v>
      </c>
      <c r="J4285">
        <v>-337.69349999999997</v>
      </c>
      <c r="K4285">
        <v>1.1093999999999999</v>
      </c>
      <c r="L4285">
        <v>141.50530000000001</v>
      </c>
      <c r="M4285">
        <v>-0.99864989999999998</v>
      </c>
      <c r="N4285">
        <v>-1.2971440000000001E-2</v>
      </c>
      <c r="O4285">
        <v>-5.030134E-2</v>
      </c>
      <c r="P4285">
        <v>-0.99141159999999995</v>
      </c>
      <c r="Q4285">
        <v>3.2106849999999999E-2</v>
      </c>
      <c r="R4285">
        <v>-0.126776</v>
      </c>
      <c r="S4285">
        <v>-2.9877929999999999</v>
      </c>
      <c r="T4285">
        <v>2.6398060000000001E-2</v>
      </c>
      <c r="U4285">
        <v>-0.29187010000000002</v>
      </c>
      <c r="V4285">
        <v>-7.6759060000000004E-2</v>
      </c>
      <c r="W4285">
        <v>4.5001399999999997E-2</v>
      </c>
      <c r="X4285">
        <v>0.99603359999999996</v>
      </c>
      <c r="Y4285">
        <v>-4.7047110000000003E-2</v>
      </c>
      <c r="Z4285">
        <v>-1.1930160000000001E-3</v>
      </c>
      <c r="AA4285">
        <v>0.99889190000000005</v>
      </c>
      <c r="AB4285">
        <v>39</v>
      </c>
      <c r="AC4285">
        <v>-2.9877929999999999</v>
      </c>
      <c r="AD4285">
        <v>2.6398060000000001E-2</v>
      </c>
      <c r="AE4285">
        <v>-0.29187010000000002</v>
      </c>
      <c r="AF4285">
        <v>-0.141187009277882</v>
      </c>
      <c r="AG4285">
        <v>2.6398060000000001E-2</v>
      </c>
      <c r="AH4285">
        <v>2.9984609120391901</v>
      </c>
      <c r="AI4285">
        <v>89.496146656750895</v>
      </c>
      <c r="AJ4285">
        <v>92.695866138798394</v>
      </c>
      <c r="AK4285">
        <v>3.00189914390665</v>
      </c>
      <c r="AL4285">
        <v>87.420738667916893</v>
      </c>
      <c r="AM4285">
        <v>94.406773623089293</v>
      </c>
      <c r="AN4285">
        <v>1.0000000058114999</v>
      </c>
    </row>
    <row r="4286" spans="1:40" x14ac:dyDescent="0.25">
      <c r="A4286" t="str">
        <f>"20190305135320792"</f>
        <v>20190305135320792</v>
      </c>
      <c r="B4286" t="str">
        <f>"1551765200784325"</f>
        <v>1551765200784325</v>
      </c>
      <c r="C4286" t="s">
        <v>40</v>
      </c>
      <c r="D4286">
        <v>4.1255059999999997</v>
      </c>
      <c r="E4286">
        <v>0.51145929999999995</v>
      </c>
      <c r="F4286" t="s">
        <v>49</v>
      </c>
      <c r="G4286">
        <v>0</v>
      </c>
      <c r="H4286">
        <v>0</v>
      </c>
      <c r="I4286">
        <v>0</v>
      </c>
      <c r="J4286">
        <v>-338.09710000000001</v>
      </c>
      <c r="K4286">
        <v>1.109229</v>
      </c>
      <c r="L4286">
        <v>141.48519999999999</v>
      </c>
      <c r="M4286">
        <v>-0.99866650000000001</v>
      </c>
      <c r="N4286">
        <v>-1.296752E-2</v>
      </c>
      <c r="O4286">
        <v>-4.9972000000000003E-2</v>
      </c>
      <c r="P4286">
        <v>-0.99158069999999998</v>
      </c>
      <c r="Q4286">
        <v>3.3605309999999999E-2</v>
      </c>
      <c r="R4286">
        <v>-0.125055</v>
      </c>
      <c r="S4286">
        <v>-2.9880680000000002</v>
      </c>
      <c r="T4286">
        <v>3.299999E-2</v>
      </c>
      <c r="U4286">
        <v>-0.28845209999999999</v>
      </c>
      <c r="V4286">
        <v>-7.5340729999999995E-2</v>
      </c>
      <c r="W4286">
        <v>4.6529479999999998E-2</v>
      </c>
      <c r="X4286">
        <v>0.9960717</v>
      </c>
      <c r="Y4286">
        <v>-4.6237750000000001E-2</v>
      </c>
      <c r="Z4286">
        <v>-1.242953E-3</v>
      </c>
      <c r="AA4286">
        <v>0.99892970000000003</v>
      </c>
      <c r="AB4286">
        <v>39</v>
      </c>
      <c r="AC4286">
        <v>-2.9880680000000002</v>
      </c>
      <c r="AD4286">
        <v>3.299999E-2</v>
      </c>
      <c r="AE4286">
        <v>-0.28845209999999999</v>
      </c>
      <c r="AF4286">
        <v>-0.13874260681512299</v>
      </c>
      <c r="AG4286">
        <v>3.299999E-2</v>
      </c>
      <c r="AH4286">
        <v>2.9983875452849298</v>
      </c>
      <c r="AI4286">
        <v>89.370107069990794</v>
      </c>
      <c r="AJ4286">
        <v>92.649323814911298</v>
      </c>
      <c r="AK4286">
        <v>3.0017772039253101</v>
      </c>
      <c r="AL4286">
        <v>87.333094343209297</v>
      </c>
      <c r="AM4286">
        <v>94.325493753222005</v>
      </c>
      <c r="AN4286">
        <v>1.00000002482344</v>
      </c>
    </row>
    <row r="4287" spans="1:40" x14ac:dyDescent="0.25">
      <c r="A4287" t="str">
        <f>"20190305135320813"</f>
        <v>20190305135320813</v>
      </c>
      <c r="B4287" t="str">
        <f>"1551765200803849"</f>
        <v>1551765200803849</v>
      </c>
      <c r="C4287" t="s">
        <v>40</v>
      </c>
      <c r="D4287">
        <v>4.1339399999999999</v>
      </c>
      <c r="E4287">
        <v>0.51136309999999996</v>
      </c>
      <c r="F4287" t="s">
        <v>49</v>
      </c>
      <c r="G4287">
        <v>0</v>
      </c>
      <c r="H4287">
        <v>0</v>
      </c>
      <c r="I4287">
        <v>0</v>
      </c>
      <c r="J4287">
        <v>-338.47109999999998</v>
      </c>
      <c r="K4287">
        <v>1.1090660000000001</v>
      </c>
      <c r="L4287">
        <v>141.46680000000001</v>
      </c>
      <c r="M4287">
        <v>-0.99869039999999998</v>
      </c>
      <c r="N4287">
        <v>-1.2964399999999999E-2</v>
      </c>
      <c r="O4287">
        <v>-4.9494549999999998E-2</v>
      </c>
      <c r="P4287">
        <v>-0.99174070000000003</v>
      </c>
      <c r="Q4287">
        <v>3.3641770000000001E-2</v>
      </c>
      <c r="R4287">
        <v>-0.1237702</v>
      </c>
      <c r="S4287">
        <v>-2.9884339999999998</v>
      </c>
      <c r="T4287">
        <v>3.753662E-2</v>
      </c>
      <c r="U4287">
        <v>-0.28367609999999999</v>
      </c>
      <c r="V4287">
        <v>-7.4507879999999999E-2</v>
      </c>
      <c r="W4287">
        <v>4.6593309999999999E-2</v>
      </c>
      <c r="X4287">
        <v>0.9961314</v>
      </c>
      <c r="Y4287">
        <v>-4.5122959999999997E-2</v>
      </c>
      <c r="Z4287">
        <v>-1.270913E-3</v>
      </c>
      <c r="AA4287">
        <v>0.9989806</v>
      </c>
      <c r="AB4287">
        <v>39</v>
      </c>
      <c r="AC4287">
        <v>-2.9884339999999998</v>
      </c>
      <c r="AD4287">
        <v>3.753662E-2</v>
      </c>
      <c r="AE4287">
        <v>-0.28367609999999999</v>
      </c>
      <c r="AF4287">
        <v>-0.135383592297558</v>
      </c>
      <c r="AG4287">
        <v>3.753662E-2</v>
      </c>
      <c r="AH4287">
        <v>2.9983435176975699</v>
      </c>
      <c r="AI4287">
        <v>89.283474743297703</v>
      </c>
      <c r="AJ4287">
        <v>92.585308626939593</v>
      </c>
      <c r="AK4287">
        <v>3.0016331496409601</v>
      </c>
      <c r="AL4287">
        <v>87.329433285984706</v>
      </c>
      <c r="AM4287">
        <v>94.277600878243405</v>
      </c>
      <c r="AN4287">
        <v>1.0000000633924</v>
      </c>
    </row>
    <row r="4288" spans="1:40" x14ac:dyDescent="0.25">
      <c r="A4288" t="str">
        <f>"20190305135320835"</f>
        <v>20190305135320835</v>
      </c>
      <c r="B4288" t="str">
        <f>"1551765200824345"</f>
        <v>1551765200824345</v>
      </c>
      <c r="C4288" t="s">
        <v>40</v>
      </c>
      <c r="D4288">
        <v>4.1221040000000002</v>
      </c>
      <c r="E4288">
        <v>0.51116090000000003</v>
      </c>
      <c r="F4288" t="s">
        <v>49</v>
      </c>
      <c r="G4288">
        <v>0</v>
      </c>
      <c r="H4288">
        <v>0</v>
      </c>
      <c r="I4288">
        <v>0</v>
      </c>
      <c r="J4288">
        <v>-338.83859999999999</v>
      </c>
      <c r="K4288">
        <v>1.1088990000000001</v>
      </c>
      <c r="L4288">
        <v>141.44909999999999</v>
      </c>
      <c r="M4288">
        <v>-0.99872209999999995</v>
      </c>
      <c r="N4288">
        <v>-1.2961840000000001E-2</v>
      </c>
      <c r="O4288">
        <v>-4.8852640000000003E-2</v>
      </c>
      <c r="P4288">
        <v>-0.99190789999999995</v>
      </c>
      <c r="Q4288">
        <v>3.3601599999999898E-2</v>
      </c>
      <c r="R4288">
        <v>-0.122435</v>
      </c>
      <c r="S4288">
        <v>-2.9886780000000002</v>
      </c>
      <c r="T4288">
        <v>3.7352320000000001E-2</v>
      </c>
      <c r="U4288">
        <v>-0.28054810000000002</v>
      </c>
      <c r="V4288">
        <v>-7.3787820000000004E-2</v>
      </c>
      <c r="W4288">
        <v>4.6580450000000002E-2</v>
      </c>
      <c r="X4288">
        <v>0.99618549999999995</v>
      </c>
      <c r="Y4288">
        <v>-4.4720790000000003E-2</v>
      </c>
      <c r="Z4288">
        <v>-1.252668E-3</v>
      </c>
      <c r="AA4288">
        <v>0.99899879999999996</v>
      </c>
      <c r="AB4288">
        <v>39</v>
      </c>
      <c r="AC4288">
        <v>-2.9886780000000002</v>
      </c>
      <c r="AD4288">
        <v>3.7352320000000001E-2</v>
      </c>
      <c r="AE4288">
        <v>-0.28054810000000002</v>
      </c>
      <c r="AF4288">
        <v>-0.13417524745363399</v>
      </c>
      <c r="AG4288">
        <v>3.7352320000000001E-2</v>
      </c>
      <c r="AH4288">
        <v>2.9983513275444902</v>
      </c>
      <c r="AI4288">
        <v>89.286981390554303</v>
      </c>
      <c r="AJ4288">
        <v>92.562258088842896</v>
      </c>
      <c r="AK4288">
        <v>3.0015843943201799</v>
      </c>
      <c r="AL4288">
        <v>87.330170649149693</v>
      </c>
      <c r="AM4288">
        <v>94.236183238899002</v>
      </c>
      <c r="AN4288">
        <v>0.99999996555640103</v>
      </c>
    </row>
    <row r="4289" spans="1:40" x14ac:dyDescent="0.25">
      <c r="A4289" t="str">
        <f>"20190305135320858"</f>
        <v>20190305135320858</v>
      </c>
      <c r="B4289" t="str">
        <f>"1551765200854597"</f>
        <v>1551765200854597</v>
      </c>
      <c r="C4289" t="s">
        <v>40</v>
      </c>
      <c r="D4289">
        <v>4.1087020000000001</v>
      </c>
      <c r="E4289">
        <v>0.51090500000000005</v>
      </c>
      <c r="F4289" t="s">
        <v>49</v>
      </c>
      <c r="G4289">
        <v>0</v>
      </c>
      <c r="H4289">
        <v>0</v>
      </c>
      <c r="I4289">
        <v>0</v>
      </c>
      <c r="J4289">
        <v>-339.238</v>
      </c>
      <c r="K4289">
        <v>1.108711</v>
      </c>
      <c r="L4289">
        <v>141.43029999999999</v>
      </c>
      <c r="M4289">
        <v>-0.99876520000000002</v>
      </c>
      <c r="N4289">
        <v>-1.29598E-2</v>
      </c>
      <c r="O4289">
        <v>-4.7961209999999997E-2</v>
      </c>
      <c r="P4289">
        <v>-0.99204429999999999</v>
      </c>
      <c r="Q4289">
        <v>3.4141959999999999E-2</v>
      </c>
      <c r="R4289">
        <v>-0.1211729</v>
      </c>
      <c r="S4289">
        <v>-2.9888919999999999</v>
      </c>
      <c r="T4289">
        <v>3.6720280000000001E-2</v>
      </c>
      <c r="U4289">
        <v>-0.27809139999999999</v>
      </c>
      <c r="V4289">
        <v>-7.3387770000000005E-2</v>
      </c>
      <c r="W4289">
        <v>4.7152970000000002E-2</v>
      </c>
      <c r="X4289">
        <v>0.99618819999999997</v>
      </c>
      <c r="Y4289">
        <v>-4.4791299999999999E-2</v>
      </c>
      <c r="Z4289">
        <v>-1.224515E-3</v>
      </c>
      <c r="AA4289">
        <v>0.99899559999999998</v>
      </c>
      <c r="AB4289">
        <v>39</v>
      </c>
      <c r="AC4289">
        <v>-2.9888919999999999</v>
      </c>
      <c r="AD4289">
        <v>3.6720280000000001E-2</v>
      </c>
      <c r="AE4289">
        <v>-0.27809139999999999</v>
      </c>
      <c r="AF4289">
        <v>-0.13438830315249101</v>
      </c>
      <c r="AG4289">
        <v>3.6720280000000001E-2</v>
      </c>
      <c r="AH4289">
        <v>2.9983418493662901</v>
      </c>
      <c r="AI4289">
        <v>89.299045205703905</v>
      </c>
      <c r="AJ4289">
        <v>92.566329342502499</v>
      </c>
      <c r="AK4289">
        <v>3.0015766591324602</v>
      </c>
      <c r="AL4289">
        <v>87.297331807321697</v>
      </c>
      <c r="AM4289">
        <v>94.213287788498107</v>
      </c>
      <c r="AN4289">
        <v>1.00000004859231</v>
      </c>
    </row>
    <row r="4290" spans="1:40" x14ac:dyDescent="0.25">
      <c r="A4290" t="str">
        <f>"20190305135320881"</f>
        <v>20190305135320881</v>
      </c>
      <c r="B4290" t="str">
        <f>"1551765200874117"</f>
        <v>1551765200874117</v>
      </c>
      <c r="C4290" t="s">
        <v>40</v>
      </c>
      <c r="D4290">
        <v>4.102239</v>
      </c>
      <c r="E4290">
        <v>0.5108028</v>
      </c>
      <c r="F4290" t="s">
        <v>49</v>
      </c>
      <c r="G4290">
        <v>0</v>
      </c>
      <c r="H4290">
        <v>0</v>
      </c>
      <c r="I4290">
        <v>0</v>
      </c>
      <c r="J4290">
        <v>-339.65030000000002</v>
      </c>
      <c r="K4290">
        <v>1.1085119999999999</v>
      </c>
      <c r="L4290">
        <v>141.41139999999999</v>
      </c>
      <c r="M4290">
        <v>-0.99881830000000005</v>
      </c>
      <c r="N4290">
        <v>-1.295893E-2</v>
      </c>
      <c r="O4290">
        <v>-4.6841569999999999E-2</v>
      </c>
      <c r="P4290">
        <v>-0.99223740000000005</v>
      </c>
      <c r="Q4290">
        <v>3.4949290000000001E-2</v>
      </c>
      <c r="R4290">
        <v>-0.1193462</v>
      </c>
      <c r="S4290">
        <v>-2.9890140000000001</v>
      </c>
      <c r="T4290">
        <v>3.7455559999999999E-2</v>
      </c>
      <c r="U4290">
        <v>-0.27627560000000001</v>
      </c>
      <c r="V4290">
        <v>-7.2646660000000002E-2</v>
      </c>
      <c r="W4290">
        <v>4.7994580000000002E-2</v>
      </c>
      <c r="X4290">
        <v>0.99620229999999999</v>
      </c>
      <c r="Y4290">
        <v>-4.5305560000000002E-2</v>
      </c>
      <c r="Z4290">
        <v>-1.202369E-3</v>
      </c>
      <c r="AA4290">
        <v>0.99897250000000004</v>
      </c>
      <c r="AB4290">
        <v>39</v>
      </c>
      <c r="AC4290">
        <v>-2.9890140000000001</v>
      </c>
      <c r="AD4290">
        <v>3.7455559999999999E-2</v>
      </c>
      <c r="AE4290">
        <v>-0.27627560000000001</v>
      </c>
      <c r="AF4290">
        <v>-0.13592926428145499</v>
      </c>
      <c r="AG4290">
        <v>3.7455559999999999E-2</v>
      </c>
      <c r="AH4290">
        <v>2.9982079567086499</v>
      </c>
      <c r="AI4290">
        <v>89.284995529819597</v>
      </c>
      <c r="AJ4290">
        <v>92.595831852682807</v>
      </c>
      <c r="AK4290">
        <v>3.0015213868193702</v>
      </c>
      <c r="AL4290">
        <v>87.249056366865702</v>
      </c>
      <c r="AM4290">
        <v>94.170831786319695</v>
      </c>
      <c r="AN4290">
        <v>1.0000000197219101</v>
      </c>
    </row>
    <row r="4291" spans="1:40" x14ac:dyDescent="0.25">
      <c r="A4291" t="str">
        <f>"20190305135320904"</f>
        <v>20190305135320904</v>
      </c>
      <c r="B4291" t="str">
        <f>"1551765200894613"</f>
        <v>1551765200894613</v>
      </c>
      <c r="C4291" t="s">
        <v>40</v>
      </c>
      <c r="D4291">
        <v>4.1040910000000004</v>
      </c>
      <c r="E4291">
        <v>0.51058320000000001</v>
      </c>
      <c r="F4291" t="s">
        <v>49</v>
      </c>
      <c r="G4291">
        <v>0</v>
      </c>
      <c r="H4291">
        <v>0</v>
      </c>
      <c r="I4291">
        <v>0</v>
      </c>
      <c r="J4291">
        <v>-340.0403</v>
      </c>
      <c r="K4291">
        <v>1.1083209999999999</v>
      </c>
      <c r="L4291">
        <v>141.39420000000001</v>
      </c>
      <c r="M4291">
        <v>-0.99887570000000003</v>
      </c>
      <c r="N4291">
        <v>-1.295864E-2</v>
      </c>
      <c r="O4291">
        <v>-4.5600889999999998E-2</v>
      </c>
      <c r="P4291">
        <v>-0.99237220000000004</v>
      </c>
      <c r="Q4291">
        <v>3.5003689999999997E-2</v>
      </c>
      <c r="R4291">
        <v>-0.118204</v>
      </c>
      <c r="S4291">
        <v>-2.9894409999999998</v>
      </c>
      <c r="T4291">
        <v>3.9492729999999997E-2</v>
      </c>
      <c r="U4291">
        <v>-0.27154539999999999</v>
      </c>
      <c r="V4291">
        <v>-7.2714749999999995E-2</v>
      </c>
      <c r="W4291">
        <v>4.8082220000000002E-2</v>
      </c>
      <c r="X4291">
        <v>0.99619310000000005</v>
      </c>
      <c r="Y4291">
        <v>-4.4965989999999997E-2</v>
      </c>
      <c r="Z4291">
        <v>-1.1864029999999999E-3</v>
      </c>
      <c r="AA4291">
        <v>0.99898779999999998</v>
      </c>
      <c r="AB4291">
        <v>39</v>
      </c>
      <c r="AC4291">
        <v>-2.9894409999999998</v>
      </c>
      <c r="AD4291">
        <v>3.9492729999999997E-2</v>
      </c>
      <c r="AE4291">
        <v>-0.27154539999999999</v>
      </c>
      <c r="AF4291">
        <v>-0.134906907048988</v>
      </c>
      <c r="AG4291">
        <v>3.9492729999999997E-2</v>
      </c>
      <c r="AH4291">
        <v>2.9981954541787998</v>
      </c>
      <c r="AI4291">
        <v>89.246096809902298</v>
      </c>
      <c r="AJ4291">
        <v>92.576345101191507</v>
      </c>
      <c r="AK4291">
        <v>3.0014888856617099</v>
      </c>
      <c r="AL4291">
        <v>87.244029144049193</v>
      </c>
      <c r="AM4291">
        <v>94.174765611607995</v>
      </c>
      <c r="AN4291">
        <v>1.0000000136176499</v>
      </c>
    </row>
    <row r="4292" spans="1:40" x14ac:dyDescent="0.25">
      <c r="A4292" t="str">
        <f>"20190305135320924"</f>
        <v>20190305135320924</v>
      </c>
      <c r="B4292" t="str">
        <f>"1551765200914134"</f>
        <v>1551765200914134</v>
      </c>
      <c r="C4292" t="s">
        <v>40</v>
      </c>
      <c r="D4292">
        <v>4.3928789999999998</v>
      </c>
      <c r="E4292">
        <v>0.51062779999999997</v>
      </c>
      <c r="F4292" t="s">
        <v>49</v>
      </c>
      <c r="G4292">
        <v>0</v>
      </c>
      <c r="H4292">
        <v>0</v>
      </c>
      <c r="I4292">
        <v>0</v>
      </c>
      <c r="J4292">
        <v>-340.40050000000002</v>
      </c>
      <c r="K4292">
        <v>1.108155</v>
      </c>
      <c r="L4292">
        <v>141.37880000000001</v>
      </c>
      <c r="M4292">
        <v>-0.99893430000000005</v>
      </c>
      <c r="N4292">
        <v>-1.2958620000000001E-2</v>
      </c>
      <c r="O4292">
        <v>-4.4301109999999998E-2</v>
      </c>
      <c r="P4292">
        <v>-0.99248559999999997</v>
      </c>
      <c r="Q4292">
        <v>3.5018420000000001E-2</v>
      </c>
      <c r="R4292">
        <v>-0.1172458</v>
      </c>
      <c r="S4292">
        <v>-2.989563</v>
      </c>
      <c r="T4292">
        <v>3.8947339999999997E-2</v>
      </c>
      <c r="U4292">
        <v>-0.269760099999999</v>
      </c>
      <c r="V4292">
        <v>-7.3029999999999998E-2</v>
      </c>
      <c r="W4292">
        <v>4.812748E-2</v>
      </c>
      <c r="X4292">
        <v>0.99616780000000005</v>
      </c>
      <c r="Y4292">
        <v>-4.5669880000000003E-2</v>
      </c>
      <c r="Z4292">
        <v>-1.1484920000000001E-3</v>
      </c>
      <c r="AA4292">
        <v>0.99895590000000001</v>
      </c>
      <c r="AB4292">
        <v>39</v>
      </c>
      <c r="AC4292">
        <v>-2.989563</v>
      </c>
      <c r="AD4292">
        <v>3.8947339999999997E-2</v>
      </c>
      <c r="AE4292">
        <v>-0.269760099999999</v>
      </c>
      <c r="AF4292">
        <v>-0.137020079636159</v>
      </c>
      <c r="AG4292">
        <v>3.8947339999999997E-2</v>
      </c>
      <c r="AH4292">
        <v>2.9980743679329702</v>
      </c>
      <c r="AI4292">
        <v>89.256500698832596</v>
      </c>
      <c r="AJ4292">
        <v>92.616750671939897</v>
      </c>
      <c r="AK4292">
        <v>3.0014565319479898</v>
      </c>
      <c r="AL4292">
        <v>87.241432784787804</v>
      </c>
      <c r="AM4292">
        <v>94.192906730791506</v>
      </c>
      <c r="AN4292">
        <v>0.99999996049399398</v>
      </c>
    </row>
    <row r="4293" spans="1:40" x14ac:dyDescent="0.25">
      <c r="A4293" t="str">
        <f>"20190305135320947"</f>
        <v>20190305135320947</v>
      </c>
      <c r="B4293" t="str">
        <f>"1551765200934629"</f>
        <v>1551765200934629</v>
      </c>
      <c r="C4293" t="s">
        <v>40</v>
      </c>
      <c r="D4293">
        <v>4.1086580000000001</v>
      </c>
      <c r="E4293">
        <v>0.51046029999999998</v>
      </c>
      <c r="F4293" t="s">
        <v>49</v>
      </c>
      <c r="G4293">
        <v>0</v>
      </c>
      <c r="H4293">
        <v>0</v>
      </c>
      <c r="I4293">
        <v>0</v>
      </c>
      <c r="J4293">
        <v>-340.78320000000002</v>
      </c>
      <c r="K4293">
        <v>1.107996</v>
      </c>
      <c r="L4293">
        <v>141.36320000000001</v>
      </c>
      <c r="M4293">
        <v>-0.99900069999999996</v>
      </c>
      <c r="N4293">
        <v>-1.2958809999999999E-2</v>
      </c>
      <c r="O4293">
        <v>-4.2772839999999999E-2</v>
      </c>
      <c r="P4293">
        <v>-0.99267240000000001</v>
      </c>
      <c r="Q4293">
        <v>3.5318629999999997E-2</v>
      </c>
      <c r="R4293">
        <v>-0.1155617</v>
      </c>
      <c r="S4293">
        <v>-2.989868</v>
      </c>
      <c r="T4293">
        <v>3.837347E-2</v>
      </c>
      <c r="U4293">
        <v>-0.266571</v>
      </c>
      <c r="V4293">
        <v>-7.284359E-2</v>
      </c>
      <c r="W4293">
        <v>4.8456579999999999E-2</v>
      </c>
      <c r="X4293">
        <v>0.99616550000000004</v>
      </c>
      <c r="Y4293">
        <v>-4.6131329999999998E-2</v>
      </c>
      <c r="Z4293">
        <v>-1.1050999999999999E-3</v>
      </c>
      <c r="AA4293">
        <v>0.99893469999999995</v>
      </c>
      <c r="AB4293">
        <v>39</v>
      </c>
      <c r="AC4293">
        <v>-2.989868</v>
      </c>
      <c r="AD4293">
        <v>3.837347E-2</v>
      </c>
      <c r="AE4293">
        <v>-0.266571</v>
      </c>
      <c r="AF4293">
        <v>-0.13840848517993601</v>
      </c>
      <c r="AG4293">
        <v>3.837347E-2</v>
      </c>
      <c r="AH4293">
        <v>2.9980442828752798</v>
      </c>
      <c r="AI4293">
        <v>89.2674628082342</v>
      </c>
      <c r="AJ4293">
        <v>92.643254915468304</v>
      </c>
      <c r="AK4293">
        <v>3.00148279256284</v>
      </c>
      <c r="AL4293">
        <v>87.2225547326059</v>
      </c>
      <c r="AM4293">
        <v>94.182251928871395</v>
      </c>
      <c r="AN4293">
        <v>0.999999966069816</v>
      </c>
    </row>
    <row r="4294" spans="1:40" x14ac:dyDescent="0.25">
      <c r="A4294" t="str">
        <f>"20190305135320970"</f>
        <v>20190305135320970</v>
      </c>
      <c r="B4294" t="str">
        <f>"1551765200963909"</f>
        <v>1551765200963909</v>
      </c>
      <c r="C4294" t="s">
        <v>40</v>
      </c>
      <c r="D4294">
        <v>4.1141290000000001</v>
      </c>
      <c r="E4294">
        <v>0.51022650000000003</v>
      </c>
      <c r="F4294" t="s">
        <v>49</v>
      </c>
      <c r="G4294">
        <v>0</v>
      </c>
      <c r="H4294">
        <v>0</v>
      </c>
      <c r="I4294">
        <v>0</v>
      </c>
      <c r="J4294">
        <v>-341.19330000000002</v>
      </c>
      <c r="K4294">
        <v>1.107847</v>
      </c>
      <c r="L4294">
        <v>141.34719999999999</v>
      </c>
      <c r="M4294">
        <v>-0.99907520000000005</v>
      </c>
      <c r="N4294">
        <v>-1.2959E-2</v>
      </c>
      <c r="O4294">
        <v>-4.1000399999999999E-2</v>
      </c>
      <c r="P4294">
        <v>-0.99284570000000005</v>
      </c>
      <c r="Q4294">
        <v>3.491081E-2</v>
      </c>
      <c r="R4294">
        <v>-0.1141876</v>
      </c>
      <c r="S4294">
        <v>-2.9902039999999999</v>
      </c>
      <c r="T4294">
        <v>3.834009E-2</v>
      </c>
      <c r="U4294">
        <v>-0.26283260000000003</v>
      </c>
      <c r="V4294">
        <v>-7.3215429999999998E-2</v>
      </c>
      <c r="W4294">
        <v>4.807699E-2</v>
      </c>
      <c r="X4294">
        <v>0.99615670000000001</v>
      </c>
      <c r="Y4294">
        <v>-4.665391E-2</v>
      </c>
      <c r="Z4294">
        <v>-1.059335E-3</v>
      </c>
      <c r="AA4294">
        <v>0.99891050000000003</v>
      </c>
      <c r="AB4294">
        <v>39</v>
      </c>
      <c r="AC4294">
        <v>-2.9902039999999999</v>
      </c>
      <c r="AD4294">
        <v>3.834009E-2</v>
      </c>
      <c r="AE4294">
        <v>-0.26283260000000003</v>
      </c>
      <c r="AF4294">
        <v>-0.139978876559606</v>
      </c>
      <c r="AG4294">
        <v>3.834009E-2</v>
      </c>
      <c r="AH4294">
        <v>2.9979772590246201</v>
      </c>
      <c r="AI4294">
        <v>89.268101386364506</v>
      </c>
      <c r="AJ4294">
        <v>92.673261868549602</v>
      </c>
      <c r="AK4294">
        <v>3.0014882465225301</v>
      </c>
      <c r="AL4294">
        <v>87.244329202910805</v>
      </c>
      <c r="AM4294">
        <v>94.203561471715204</v>
      </c>
      <c r="AN4294">
        <v>1.00000003355621</v>
      </c>
    </row>
    <row r="4295" spans="1:40" x14ac:dyDescent="0.25">
      <c r="A4295" t="str">
        <f>"20190305135320992"</f>
        <v>20190305135320992</v>
      </c>
      <c r="B4295" t="str">
        <f>"1551765200984409"</f>
        <v>1551765200984409</v>
      </c>
      <c r="C4295" t="s">
        <v>40</v>
      </c>
      <c r="D4295">
        <v>4.4836320000000001</v>
      </c>
      <c r="E4295">
        <v>0.5101831</v>
      </c>
      <c r="F4295" t="s">
        <v>49</v>
      </c>
      <c r="G4295">
        <v>0</v>
      </c>
      <c r="H4295">
        <v>0</v>
      </c>
      <c r="I4295">
        <v>0</v>
      </c>
      <c r="J4295">
        <v>-341.57369999999997</v>
      </c>
      <c r="K4295">
        <v>1.107726</v>
      </c>
      <c r="L4295">
        <v>141.3331</v>
      </c>
      <c r="M4295">
        <v>-0.9991447</v>
      </c>
      <c r="N4295">
        <v>-1.2958860000000001E-2</v>
      </c>
      <c r="O4295">
        <v>-3.9267129999999997E-2</v>
      </c>
      <c r="P4295">
        <v>-0.99304040000000005</v>
      </c>
      <c r="Q4295">
        <v>3.4621840000000001E-2</v>
      </c>
      <c r="R4295">
        <v>-0.1125695</v>
      </c>
      <c r="S4295">
        <v>-2.9904480000000002</v>
      </c>
      <c r="T4295">
        <v>3.5516739999999998E-2</v>
      </c>
      <c r="U4295">
        <v>-0.26048280000000001</v>
      </c>
      <c r="V4295">
        <v>-7.3307109999999995E-2</v>
      </c>
      <c r="W4295">
        <v>4.7810270000000002E-2</v>
      </c>
      <c r="X4295">
        <v>0.99616280000000001</v>
      </c>
      <c r="Y4295">
        <v>-4.7599460000000003E-2</v>
      </c>
      <c r="Z4295">
        <v>-1.0002679999999999E-3</v>
      </c>
      <c r="AA4295">
        <v>0.99886600000000003</v>
      </c>
      <c r="AB4295">
        <v>39</v>
      </c>
      <c r="AC4295">
        <v>-2.9904480000000002</v>
      </c>
      <c r="AD4295">
        <v>3.5516739999999998E-2</v>
      </c>
      <c r="AE4295">
        <v>-0.26048280000000001</v>
      </c>
      <c r="AF4295">
        <v>-0.142825700626801</v>
      </c>
      <c r="AG4295">
        <v>3.5516739999999998E-2</v>
      </c>
      <c r="AH4295">
        <v>2.9979508003108499</v>
      </c>
      <c r="AI4295">
        <v>89.322017223534502</v>
      </c>
      <c r="AJ4295">
        <v>92.727572152483106</v>
      </c>
      <c r="AK4295">
        <v>3.0015611972212501</v>
      </c>
      <c r="AL4295">
        <v>87.259628742024006</v>
      </c>
      <c r="AM4295">
        <v>94.208780567585194</v>
      </c>
      <c r="AN4295">
        <v>1.0000000391989301</v>
      </c>
    </row>
    <row r="4296" spans="1:40" x14ac:dyDescent="0.25">
      <c r="A4296" t="str">
        <f>"20190305135321013"</f>
        <v>20190305135321013</v>
      </c>
      <c r="B4296" t="str">
        <f>"1551765201003925"</f>
        <v>1551765201003925</v>
      </c>
      <c r="C4296" t="s">
        <v>40</v>
      </c>
      <c r="D4296">
        <v>4.1148089999999904</v>
      </c>
      <c r="E4296">
        <v>0.51006079999999998</v>
      </c>
      <c r="F4296" t="s">
        <v>49</v>
      </c>
      <c r="G4296">
        <v>0</v>
      </c>
      <c r="H4296">
        <v>0</v>
      </c>
      <c r="I4296">
        <v>0</v>
      </c>
      <c r="J4296">
        <v>-341.94279999999998</v>
      </c>
      <c r="K4296">
        <v>1.1076239999999999</v>
      </c>
      <c r="L4296">
        <v>141.3201</v>
      </c>
      <c r="M4296">
        <v>-0.99921199999999999</v>
      </c>
      <c r="N4296">
        <v>-1.295848E-2</v>
      </c>
      <c r="O4296">
        <v>-3.7517200000000001E-2</v>
      </c>
      <c r="P4296">
        <v>-0.99320609999999998</v>
      </c>
      <c r="Q4296">
        <v>3.4633829999999997E-2</v>
      </c>
      <c r="R4296">
        <v>-0.11109570000000001</v>
      </c>
      <c r="S4296">
        <v>-2.9908139999999999</v>
      </c>
      <c r="T4296">
        <v>3.4356949999999997E-2</v>
      </c>
      <c r="U4296">
        <v>-0.25601200000000002</v>
      </c>
      <c r="V4296">
        <v>-7.3562069999999993E-2</v>
      </c>
      <c r="W4296">
        <v>4.7839800000000002E-2</v>
      </c>
      <c r="X4296">
        <v>0.99614259999999999</v>
      </c>
      <c r="Y4296">
        <v>-4.7855380000000003E-2</v>
      </c>
      <c r="Z4296">
        <v>-9.517611E-4</v>
      </c>
      <c r="AA4296">
        <v>0.99885380000000001</v>
      </c>
      <c r="AB4296">
        <v>39</v>
      </c>
      <c r="AC4296">
        <v>-2.9908139999999999</v>
      </c>
      <c r="AD4296">
        <v>3.4356949999999997E-2</v>
      </c>
      <c r="AE4296">
        <v>-0.25601200000000002</v>
      </c>
      <c r="AF4296">
        <v>-0.14359653664495101</v>
      </c>
      <c r="AG4296">
        <v>3.4356949999999997E-2</v>
      </c>
      <c r="AH4296">
        <v>2.9979209838156602</v>
      </c>
      <c r="AI4296">
        <v>89.344156139168803</v>
      </c>
      <c r="AJ4296">
        <v>92.742297790149905</v>
      </c>
      <c r="AK4296">
        <v>3.0015546955789301</v>
      </c>
      <c r="AL4296">
        <v>87.257934894781798</v>
      </c>
      <c r="AM4296">
        <v>94.223451042636796</v>
      </c>
      <c r="AN4296">
        <v>1.0000000520707399</v>
      </c>
    </row>
    <row r="4297" spans="1:40" x14ac:dyDescent="0.25">
      <c r="A4297" t="str">
        <f>"20190305135321036"</f>
        <v>20190305135321036</v>
      </c>
      <c r="B4297" t="str">
        <f>"1551765201024421"</f>
        <v>1551765201024421</v>
      </c>
      <c r="C4297" t="s">
        <v>40</v>
      </c>
      <c r="D4297">
        <v>4.1213629999999997</v>
      </c>
      <c r="E4297">
        <v>0.5099648</v>
      </c>
      <c r="F4297" t="s">
        <v>49</v>
      </c>
      <c r="G4297">
        <v>0</v>
      </c>
      <c r="H4297">
        <v>0</v>
      </c>
      <c r="I4297">
        <v>0</v>
      </c>
      <c r="J4297">
        <v>-342.3184</v>
      </c>
      <c r="K4297">
        <v>1.10754</v>
      </c>
      <c r="L4297">
        <v>141.30760000000001</v>
      </c>
      <c r="M4297">
        <v>-0.99927940000000004</v>
      </c>
      <c r="N4297">
        <v>-1.295813E-2</v>
      </c>
      <c r="O4297">
        <v>-3.5678729999999999E-2</v>
      </c>
      <c r="P4297">
        <v>-0.99350660000000002</v>
      </c>
      <c r="Q4297">
        <v>3.5256330000000002E-2</v>
      </c>
      <c r="R4297">
        <v>-0.1081752</v>
      </c>
      <c r="S4297">
        <v>-2.9910890000000001</v>
      </c>
      <c r="T4297">
        <v>3.3711190000000002E-2</v>
      </c>
      <c r="U4297">
        <v>-0.25247190000000003</v>
      </c>
      <c r="V4297">
        <v>-7.2453539999999997E-2</v>
      </c>
      <c r="W4297">
        <v>4.8474209999999997E-2</v>
      </c>
      <c r="X4297">
        <v>0.99619310000000005</v>
      </c>
      <c r="Y4297">
        <v>-4.8510959999999999E-2</v>
      </c>
      <c r="Z4297">
        <v>-9.0491879999999995E-4</v>
      </c>
      <c r="AA4297">
        <v>0.99882219999999999</v>
      </c>
      <c r="AB4297">
        <v>39</v>
      </c>
      <c r="AC4297">
        <v>-2.9910890000000001</v>
      </c>
      <c r="AD4297">
        <v>3.3711190000000002E-2</v>
      </c>
      <c r="AE4297">
        <v>-0.25247190000000003</v>
      </c>
      <c r="AF4297">
        <v>-0.145565560617436</v>
      </c>
      <c r="AG4297">
        <v>3.3711190000000002E-2</v>
      </c>
      <c r="AH4297">
        <v>2.9978148166698202</v>
      </c>
      <c r="AI4297">
        <v>89.356479681712102</v>
      </c>
      <c r="AJ4297">
        <v>92.779940426158703</v>
      </c>
      <c r="AK4297">
        <v>3.0015361819931798</v>
      </c>
      <c r="AL4297">
        <v>87.221543454084298</v>
      </c>
      <c r="AM4297">
        <v>94.1598215236492</v>
      </c>
      <c r="AN4297">
        <v>0.99999997849063205</v>
      </c>
    </row>
    <row r="4298" spans="1:40" x14ac:dyDescent="0.25">
      <c r="A4298" t="str">
        <f>"20190305135321060"</f>
        <v>20190305135321060</v>
      </c>
      <c r="B4298" t="str">
        <f>"1551765201054678"</f>
        <v>1551765201054678</v>
      </c>
      <c r="C4298" t="s">
        <v>40</v>
      </c>
      <c r="D4298">
        <v>4.1142469999999998</v>
      </c>
      <c r="E4298">
        <v>0.50978389999999996</v>
      </c>
      <c r="F4298" t="s">
        <v>50</v>
      </c>
      <c r="G4298">
        <v>-500.76499999999999</v>
      </c>
      <c r="H4298">
        <v>2.9403389999999998</v>
      </c>
      <c r="I4298">
        <v>128.3588</v>
      </c>
      <c r="J4298">
        <v>-342.73719999999997</v>
      </c>
      <c r="K4298">
        <v>1.1074619999999999</v>
      </c>
      <c r="L4298">
        <v>141.2945</v>
      </c>
      <c r="M4298">
        <v>-0.99935240000000003</v>
      </c>
      <c r="N4298">
        <v>-1.2957949999999999E-2</v>
      </c>
      <c r="O4298">
        <v>-3.3572289999999998E-2</v>
      </c>
      <c r="P4298">
        <v>-0.99373330000000004</v>
      </c>
      <c r="Q4298">
        <v>3.5894189999999999E-2</v>
      </c>
      <c r="R4298">
        <v>-0.1058593</v>
      </c>
      <c r="S4298">
        <v>-2.99173</v>
      </c>
      <c r="T4298">
        <v>3.4606810000000002E-2</v>
      </c>
      <c r="U4298">
        <v>-0.2444916</v>
      </c>
      <c r="V4298">
        <v>-7.2218950000000004E-2</v>
      </c>
      <c r="W4298">
        <v>4.9125750000000003E-2</v>
      </c>
      <c r="X4298">
        <v>0.99617820000000001</v>
      </c>
      <c r="Y4298">
        <v>-4.7951899999999999E-2</v>
      </c>
      <c r="Z4298">
        <v>-8.5634019999999999E-4</v>
      </c>
      <c r="AA4298">
        <v>0.99884930000000005</v>
      </c>
      <c r="AB4298">
        <v>39</v>
      </c>
      <c r="AC4298">
        <v>-158.02780000000001</v>
      </c>
      <c r="AD4298">
        <v>1.8328770000000001</v>
      </c>
      <c r="AE4298">
        <v>-12.935699999999899</v>
      </c>
      <c r="AF4298">
        <v>-7.6215883626495096</v>
      </c>
      <c r="AG4298">
        <v>1.8328770000000001</v>
      </c>
      <c r="AH4298">
        <v>158.351860641032</v>
      </c>
      <c r="AI4298">
        <v>89.337614250832402</v>
      </c>
      <c r="AJ4298">
        <v>92.755560367019697</v>
      </c>
      <c r="AK4298">
        <v>158.54576568216399</v>
      </c>
      <c r="AL4298">
        <v>87.184168381752499</v>
      </c>
      <c r="AM4298">
        <v>94.146461711525802</v>
      </c>
      <c r="AN4298">
        <v>0.99999996110370104</v>
      </c>
    </row>
    <row r="4299" spans="1:40" x14ac:dyDescent="0.25">
      <c r="A4299" t="str">
        <f>"20190305135321082"</f>
        <v>20190305135321082</v>
      </c>
      <c r="B4299" t="str">
        <f>"1551765201074197"</f>
        <v>1551765201074197</v>
      </c>
      <c r="C4299" t="s">
        <v>40</v>
      </c>
      <c r="D4299">
        <v>4.1210529999999999</v>
      </c>
      <c r="E4299">
        <v>0.50968970000000002</v>
      </c>
      <c r="F4299" t="s">
        <v>49</v>
      </c>
      <c r="G4299">
        <v>0</v>
      </c>
      <c r="H4299">
        <v>0</v>
      </c>
      <c r="I4299">
        <v>0</v>
      </c>
      <c r="J4299">
        <v>-343.13240000000002</v>
      </c>
      <c r="K4299">
        <v>1.1073949999999999</v>
      </c>
      <c r="L4299">
        <v>141.28299999999999</v>
      </c>
      <c r="M4299">
        <v>-0.99941869999999999</v>
      </c>
      <c r="N4299">
        <v>-1.2957969999999999E-2</v>
      </c>
      <c r="O4299">
        <v>-3.1537280000000001E-2</v>
      </c>
      <c r="P4299">
        <v>-0.99386330000000001</v>
      </c>
      <c r="Q4299">
        <v>3.6756200000000003E-2</v>
      </c>
      <c r="R4299">
        <v>-0.1043311</v>
      </c>
      <c r="S4299">
        <v>-2.9922179999999998</v>
      </c>
      <c r="T4299">
        <v>3.4623029999999999E-2</v>
      </c>
      <c r="U4299">
        <v>-0.23886109999999999</v>
      </c>
      <c r="V4299">
        <v>-7.2703130000000005E-2</v>
      </c>
      <c r="W4299">
        <v>5.0002999999999999E-2</v>
      </c>
      <c r="X4299">
        <v>0.99609939999999997</v>
      </c>
      <c r="Y4299">
        <v>-4.8104609999999999E-2</v>
      </c>
      <c r="Z4299">
        <v>-8.0666250000000004E-4</v>
      </c>
      <c r="AA4299">
        <v>0.99884200000000001</v>
      </c>
      <c r="AB4299">
        <v>39</v>
      </c>
      <c r="AC4299">
        <v>-2.9922179999999998</v>
      </c>
      <c r="AD4299">
        <v>3.4623029999999999E-2</v>
      </c>
      <c r="AE4299">
        <v>-0.23886109999999999</v>
      </c>
      <c r="AF4299">
        <v>-0.144348731900143</v>
      </c>
      <c r="AG4299">
        <v>3.4623029999999999E-2</v>
      </c>
      <c r="AH4299">
        <v>2.9978641727350102</v>
      </c>
      <c r="AI4299">
        <v>89.339072805704404</v>
      </c>
      <c r="AJ4299">
        <v>92.7566927039761</v>
      </c>
      <c r="AK4299">
        <v>3.0015370910211501</v>
      </c>
      <c r="AL4299">
        <v>87.133844000558</v>
      </c>
      <c r="AM4299">
        <v>94.174492088547396</v>
      </c>
      <c r="AN4299">
        <v>1.00000002990057</v>
      </c>
    </row>
    <row r="4300" spans="1:40" x14ac:dyDescent="0.25">
      <c r="A4300" t="str">
        <f>"20190305135321104"</f>
        <v>20190305135321104</v>
      </c>
      <c r="B4300" t="str">
        <f>"1551765201094693"</f>
        <v>1551765201094693</v>
      </c>
      <c r="C4300" t="s">
        <v>40</v>
      </c>
      <c r="D4300">
        <v>4.1131159999999998</v>
      </c>
      <c r="E4300">
        <v>0.50956060000000003</v>
      </c>
      <c r="F4300" t="s">
        <v>49</v>
      </c>
      <c r="G4300">
        <v>0</v>
      </c>
      <c r="H4300">
        <v>0</v>
      </c>
      <c r="I4300">
        <v>0</v>
      </c>
      <c r="J4300">
        <v>-343.5052</v>
      </c>
      <c r="K4300">
        <v>1.107334</v>
      </c>
      <c r="L4300">
        <v>141.27289999999999</v>
      </c>
      <c r="M4300">
        <v>-0.99947870000000005</v>
      </c>
      <c r="N4300">
        <v>-1.295811E-2</v>
      </c>
      <c r="O4300">
        <v>-2.957593E-2</v>
      </c>
      <c r="P4300">
        <v>-0.9939268</v>
      </c>
      <c r="Q4300">
        <v>3.783806E-2</v>
      </c>
      <c r="R4300">
        <v>-0.1033348</v>
      </c>
      <c r="S4300">
        <v>-2.9924620000000002</v>
      </c>
      <c r="T4300">
        <v>3.6085489999999998E-2</v>
      </c>
      <c r="U4300">
        <v>-0.2350159</v>
      </c>
      <c r="V4300">
        <v>-7.3648480000000002E-2</v>
      </c>
      <c r="W4300">
        <v>5.1099749999999999E-2</v>
      </c>
      <c r="X4300">
        <v>0.99597420000000003</v>
      </c>
      <c r="Y4300">
        <v>-4.8782480000000003E-2</v>
      </c>
      <c r="Z4300">
        <v>-7.6164280000000004E-4</v>
      </c>
      <c r="AA4300">
        <v>0.99880919999999895</v>
      </c>
      <c r="AB4300">
        <v>39</v>
      </c>
      <c r="AC4300">
        <v>-2.9924620000000002</v>
      </c>
      <c r="AD4300">
        <v>3.6085489999999998E-2</v>
      </c>
      <c r="AE4300">
        <v>-0.2350159</v>
      </c>
      <c r="AF4300">
        <v>-0.14637965268162101</v>
      </c>
      <c r="AG4300">
        <v>3.6085489999999998E-2</v>
      </c>
      <c r="AH4300">
        <v>2.9976708510558199</v>
      </c>
      <c r="AI4300">
        <v>89.311136456952099</v>
      </c>
      <c r="AJ4300">
        <v>92.795597009903602</v>
      </c>
      <c r="AK4300">
        <v>3.00145959436029</v>
      </c>
      <c r="AL4300">
        <v>87.070924159265203</v>
      </c>
      <c r="AM4300">
        <v>94.229106500396796</v>
      </c>
      <c r="AN4300">
        <v>0.99999994506100398</v>
      </c>
    </row>
    <row r="4301" spans="1:40" x14ac:dyDescent="0.25">
      <c r="A4301" t="str">
        <f>"20190305135321126"</f>
        <v>20190305135321126</v>
      </c>
      <c r="B4301" t="str">
        <f>"1551765201114213"</f>
        <v>1551765201114213</v>
      </c>
      <c r="C4301" t="s">
        <v>40</v>
      </c>
      <c r="D4301">
        <v>4.1507110000000003</v>
      </c>
      <c r="E4301">
        <v>0.4814754</v>
      </c>
      <c r="F4301" t="s">
        <v>49</v>
      </c>
      <c r="G4301">
        <v>0</v>
      </c>
      <c r="H4301">
        <v>0</v>
      </c>
      <c r="I4301">
        <v>0</v>
      </c>
      <c r="J4301">
        <v>-343.88260000000002</v>
      </c>
      <c r="K4301">
        <v>1.1072759999999999</v>
      </c>
      <c r="L4301">
        <v>141.26349999999999</v>
      </c>
      <c r="M4301">
        <v>-0.99953650000000005</v>
      </c>
      <c r="N4301">
        <v>-1.2958519999999999E-2</v>
      </c>
      <c r="O4301">
        <v>-2.7550020000000001E-2</v>
      </c>
      <c r="P4301">
        <v>-0.99396220000000002</v>
      </c>
      <c r="Q4301">
        <v>3.9833319999999998E-2</v>
      </c>
      <c r="R4301">
        <v>-0.102238</v>
      </c>
      <c r="S4301">
        <v>-2.9926149999999998</v>
      </c>
      <c r="T4301">
        <v>3.8304919999999999E-2</v>
      </c>
      <c r="U4301">
        <v>-0.23298650000000001</v>
      </c>
      <c r="V4301">
        <v>-7.4552950000000007E-2</v>
      </c>
      <c r="W4301">
        <v>5.310927E-2</v>
      </c>
      <c r="X4301">
        <v>0.99580179999999996</v>
      </c>
      <c r="Y4301">
        <v>-5.0129399999999998E-2</v>
      </c>
      <c r="Z4301">
        <v>-7.1352380000000003E-4</v>
      </c>
      <c r="AA4301">
        <v>0.99874249999999998</v>
      </c>
      <c r="AB4301">
        <v>39</v>
      </c>
      <c r="AC4301">
        <v>-2.9926149999999998</v>
      </c>
      <c r="AD4301">
        <v>3.8304919999999999E-2</v>
      </c>
      <c r="AE4301">
        <v>-0.23298650000000001</v>
      </c>
      <c r="AF4301">
        <v>-0.15042003345905999</v>
      </c>
      <c r="AG4301">
        <v>3.8304919999999999E-2</v>
      </c>
      <c r="AH4301">
        <v>2.9974100893636102</v>
      </c>
      <c r="AI4301">
        <v>89.268757747946395</v>
      </c>
      <c r="AJ4301">
        <v>92.872883233956998</v>
      </c>
      <c r="AK4301">
        <v>3.0014264437398399</v>
      </c>
      <c r="AL4301">
        <v>86.955630617117606</v>
      </c>
      <c r="AM4301">
        <v>94.281590223704896</v>
      </c>
      <c r="AN4301">
        <v>0.999999980898437</v>
      </c>
    </row>
    <row r="4302" spans="1:40" x14ac:dyDescent="0.25">
      <c r="A4302" t="str">
        <f>"20190305135321148"</f>
        <v>20190305135321148</v>
      </c>
      <c r="B4302" t="str">
        <f>"1551765201144470"</f>
        <v>1551765201144470</v>
      </c>
      <c r="C4302" t="s">
        <v>40</v>
      </c>
      <c r="D4302">
        <v>4.1621569999999997</v>
      </c>
      <c r="E4302">
        <v>0.47153450000000002</v>
      </c>
      <c r="F4302" t="s">
        <v>47</v>
      </c>
      <c r="G4302">
        <v>-509.35289999999998</v>
      </c>
      <c r="H4302">
        <v>-0.05</v>
      </c>
      <c r="I4302">
        <v>116.1375</v>
      </c>
      <c r="J4302">
        <v>-344.26459999999997</v>
      </c>
      <c r="K4302">
        <v>1.107229</v>
      </c>
      <c r="L4302">
        <v>141.25479999999999</v>
      </c>
      <c r="M4302">
        <v>-0.99959189999999998</v>
      </c>
      <c r="N4302">
        <v>-1.2958860000000001E-2</v>
      </c>
      <c r="O4302">
        <v>-2.546232E-2</v>
      </c>
      <c r="P4302">
        <v>-0.99397630000000003</v>
      </c>
      <c r="Q4302">
        <v>4.2463920000000002E-2</v>
      </c>
      <c r="R4302">
        <v>-0.10103810000000001</v>
      </c>
      <c r="S4302">
        <v>-2.9726560000000002</v>
      </c>
      <c r="T4302">
        <v>-2.0790340000000001E-2</v>
      </c>
      <c r="U4302">
        <v>-0.4513855</v>
      </c>
      <c r="V4302">
        <v>-7.5412870000000007E-2</v>
      </c>
      <c r="W4302">
        <v>5.5752740000000002E-2</v>
      </c>
      <c r="X4302">
        <v>0.99559249999999999</v>
      </c>
      <c r="Y4302">
        <v>-0.12489219999999999</v>
      </c>
      <c r="Z4302">
        <v>-1.3994719999999999E-3</v>
      </c>
      <c r="AA4302">
        <v>0.99216930000000003</v>
      </c>
      <c r="AB4302">
        <v>39</v>
      </c>
      <c r="AC4302">
        <v>-165.0883</v>
      </c>
      <c r="AD4302">
        <v>-1.1572290000000001</v>
      </c>
      <c r="AE4302">
        <v>-25.117299999999901</v>
      </c>
      <c r="AF4302">
        <v>-20.904267598453099</v>
      </c>
      <c r="AG4302">
        <v>-1.1572290000000001</v>
      </c>
      <c r="AH4302">
        <v>165.66640874771599</v>
      </c>
      <c r="AI4302">
        <v>90.397072967087496</v>
      </c>
      <c r="AJ4302">
        <v>97.191738988575295</v>
      </c>
      <c r="AK4302">
        <v>166.98409076960399</v>
      </c>
      <c r="AL4302">
        <v>86.803945921277304</v>
      </c>
      <c r="AM4302">
        <v>94.331695752855893</v>
      </c>
      <c r="AN4302">
        <v>0.99999994751769505</v>
      </c>
    </row>
    <row r="4303" spans="1:40" x14ac:dyDescent="0.25">
      <c r="A4303" t="str">
        <f>"20190305135321171"</f>
        <v>20190305135321171</v>
      </c>
      <c r="B4303" t="str">
        <f>"1551765201163989"</f>
        <v>1551765201163989</v>
      </c>
      <c r="C4303" t="s">
        <v>40</v>
      </c>
      <c r="D4303">
        <v>4.1458839999999997</v>
      </c>
      <c r="E4303">
        <v>0.4704506</v>
      </c>
      <c r="F4303" t="s">
        <v>82</v>
      </c>
      <c r="G4303">
        <v>-467.28089999999997</v>
      </c>
      <c r="H4303">
        <v>0.68293019999999904</v>
      </c>
      <c r="I4303">
        <v>119.395</v>
      </c>
      <c r="J4303">
        <v>-344.67219999999998</v>
      </c>
      <c r="K4303">
        <v>1.1071839999999999</v>
      </c>
      <c r="L4303">
        <v>141.2465</v>
      </c>
      <c r="M4303">
        <v>-0.9996467</v>
      </c>
      <c r="N4303">
        <v>-1.2960630000000001E-2</v>
      </c>
      <c r="O4303">
        <v>-2.3205070000000001E-2</v>
      </c>
      <c r="P4303">
        <v>-0.99405569999999999</v>
      </c>
      <c r="Q4303">
        <v>4.4295540000000001E-2</v>
      </c>
      <c r="R4303">
        <v>-9.9454899999999999E-2</v>
      </c>
      <c r="S4303">
        <v>-2.9650569999999998</v>
      </c>
      <c r="T4303">
        <v>-1.0226010000000001E-2</v>
      </c>
      <c r="U4303">
        <v>-0.52688599999999997</v>
      </c>
      <c r="V4303">
        <v>-7.6061920000000005E-2</v>
      </c>
      <c r="W4303">
        <v>5.7596090000000003E-2</v>
      </c>
      <c r="X4303">
        <v>0.99543820000000005</v>
      </c>
      <c r="Y4303">
        <v>-0.1520581</v>
      </c>
      <c r="Z4303">
        <v>-1.472515E-3</v>
      </c>
      <c r="AA4303">
        <v>0.98837050000000004</v>
      </c>
      <c r="AB4303">
        <v>39</v>
      </c>
      <c r="AC4303">
        <v>-122.6087</v>
      </c>
      <c r="AD4303">
        <v>-0.42425379999999902</v>
      </c>
      <c r="AE4303">
        <v>-21.851500000000001</v>
      </c>
      <c r="AF4303">
        <v>-19.000011997664</v>
      </c>
      <c r="AG4303">
        <v>-0.42425379999999902</v>
      </c>
      <c r="AH4303">
        <v>123.081359009888</v>
      </c>
      <c r="AI4303">
        <v>90.195182328595607</v>
      </c>
      <c r="AJ4303">
        <v>98.775454061134994</v>
      </c>
      <c r="AK4303">
        <v>124.53995898071901</v>
      </c>
      <c r="AL4303">
        <v>86.698159763159197</v>
      </c>
      <c r="AM4303">
        <v>94.3695078690765</v>
      </c>
      <c r="AN4303">
        <v>0.99999996763830601</v>
      </c>
    </row>
    <row r="4304" spans="1:40" x14ac:dyDescent="0.25">
      <c r="A4304" t="str">
        <f>"20190305135321193"</f>
        <v>20190305135321193</v>
      </c>
      <c r="B4304" t="str">
        <f>"1551765201184485"</f>
        <v>1551765201184485</v>
      </c>
      <c r="C4304" t="s">
        <v>40</v>
      </c>
      <c r="D4304">
        <v>4.1445910000000001</v>
      </c>
      <c r="E4304">
        <v>0.4701823</v>
      </c>
      <c r="F4304" t="s">
        <v>82</v>
      </c>
      <c r="G4304">
        <v>-466.8381</v>
      </c>
      <c r="H4304">
        <v>0.29210039999999998</v>
      </c>
      <c r="I4304">
        <v>119.395</v>
      </c>
      <c r="J4304">
        <v>-345.0478</v>
      </c>
      <c r="K4304">
        <v>1.1071599999999999</v>
      </c>
      <c r="L4304">
        <v>141.2397</v>
      </c>
      <c r="M4304">
        <v>-0.99969330000000001</v>
      </c>
      <c r="N4304">
        <v>-1.297067E-2</v>
      </c>
      <c r="O4304">
        <v>-2.1105820000000001E-2</v>
      </c>
      <c r="P4304">
        <v>-0.99415370000000003</v>
      </c>
      <c r="Q4304">
        <v>4.5957110000000002E-2</v>
      </c>
      <c r="R4304">
        <v>-9.7707859999999994E-2</v>
      </c>
      <c r="S4304">
        <v>-2.9657290000000001</v>
      </c>
      <c r="T4304">
        <v>-1.9786359999999999E-2</v>
      </c>
      <c r="U4304">
        <v>-0.53047180000000005</v>
      </c>
      <c r="V4304">
        <v>-7.6390449999999999E-2</v>
      </c>
      <c r="W4304">
        <v>5.9275019999999998E-2</v>
      </c>
      <c r="X4304">
        <v>0.99531449999999999</v>
      </c>
      <c r="Y4304">
        <v>-0.1552461</v>
      </c>
      <c r="Z4304">
        <v>-1.6607499999999999E-3</v>
      </c>
      <c r="AA4304">
        <v>0.98787440000000004</v>
      </c>
      <c r="AB4304">
        <v>39</v>
      </c>
      <c r="AC4304">
        <v>-121.7903</v>
      </c>
      <c r="AD4304">
        <v>-0.8150596</v>
      </c>
      <c r="AE4304">
        <v>-21.8447</v>
      </c>
      <c r="AF4304">
        <v>-19.268297239262399</v>
      </c>
      <c r="AG4304">
        <v>-0.8150596</v>
      </c>
      <c r="AH4304">
        <v>122.218952114017</v>
      </c>
      <c r="AI4304">
        <v>90.377429637987305</v>
      </c>
      <c r="AJ4304">
        <v>98.959164104508403</v>
      </c>
      <c r="AK4304">
        <v>123.731175766258</v>
      </c>
      <c r="AL4304">
        <v>86.601799564162405</v>
      </c>
      <c r="AM4304">
        <v>94.388850535512105</v>
      </c>
      <c r="AN4304">
        <v>0.99999999137872597</v>
      </c>
    </row>
    <row r="4305" spans="1:40" x14ac:dyDescent="0.25">
      <c r="A4305" t="str">
        <f>"20190305135321209"</f>
        <v>20190305135321209</v>
      </c>
      <c r="B4305" t="str">
        <f>"1551765201204005"</f>
        <v>1551765201204005</v>
      </c>
      <c r="C4305" t="s">
        <v>40</v>
      </c>
      <c r="D4305">
        <v>4.1398270000000004</v>
      </c>
      <c r="E4305">
        <v>0.47011550000000002</v>
      </c>
      <c r="F4305" t="s">
        <v>47</v>
      </c>
      <c r="G4305">
        <v>-487.05990000000003</v>
      </c>
      <c r="H4305">
        <v>-0.05</v>
      </c>
      <c r="I4305">
        <v>116.00409999999999</v>
      </c>
      <c r="J4305">
        <v>-345.32159999999999</v>
      </c>
      <c r="K4305">
        <v>1.1071409999999999</v>
      </c>
      <c r="L4305">
        <v>141.23519999999999</v>
      </c>
      <c r="M4305">
        <v>-0.99972430000000001</v>
      </c>
      <c r="N4305">
        <v>-1.2985780000000001E-2</v>
      </c>
      <c r="O4305">
        <v>-1.9568180000000001E-2</v>
      </c>
      <c r="P4305">
        <v>-0.99425819999999998</v>
      </c>
      <c r="Q4305">
        <v>4.6783600000000002E-2</v>
      </c>
      <c r="R4305">
        <v>-9.623893E-2</v>
      </c>
      <c r="S4305">
        <v>-2.9669189999999999</v>
      </c>
      <c r="T4305">
        <v>-2.4175410000000001E-2</v>
      </c>
      <c r="U4305">
        <v>-0.52722170000000002</v>
      </c>
      <c r="V4305">
        <v>-7.6444960000000006E-2</v>
      </c>
      <c r="W4305">
        <v>6.0119890000000002E-2</v>
      </c>
      <c r="X4305">
        <v>0.99525960000000002</v>
      </c>
      <c r="Y4305">
        <v>-0.15564459999999999</v>
      </c>
      <c r="Z4305">
        <v>-1.7418449999999999E-3</v>
      </c>
      <c r="AA4305">
        <v>0.98781160000000001</v>
      </c>
      <c r="AB4305">
        <v>39</v>
      </c>
      <c r="AC4305">
        <v>-141.73830000000001</v>
      </c>
      <c r="AD4305">
        <v>-1.157141</v>
      </c>
      <c r="AE4305">
        <v>-25.231100000000001</v>
      </c>
      <c r="AF4305">
        <v>-22.4510235188779</v>
      </c>
      <c r="AG4305">
        <v>-1.157141</v>
      </c>
      <c r="AH4305">
        <v>142.19573814270299</v>
      </c>
      <c r="AI4305">
        <v>90.460538731080106</v>
      </c>
      <c r="AJ4305">
        <v>98.972258980286099</v>
      </c>
      <c r="AK4305">
        <v>143.961853899869</v>
      </c>
      <c r="AL4305">
        <v>86.553305453771898</v>
      </c>
      <c r="AM4305">
        <v>94.392211361880598</v>
      </c>
      <c r="AN4305">
        <v>0.99999995223758498</v>
      </c>
    </row>
    <row r="4306" spans="1:40" x14ac:dyDescent="0.25">
      <c r="A4306" t="str">
        <f>"20190305135321226"</f>
        <v>20190305135321226</v>
      </c>
      <c r="B4306" t="str">
        <f>"1551765201214742"</f>
        <v>1551765201214742</v>
      </c>
      <c r="C4306" t="s">
        <v>40</v>
      </c>
      <c r="D4306">
        <v>4.0998580000000002</v>
      </c>
      <c r="E4306">
        <v>0.47033609999999998</v>
      </c>
      <c r="F4306" t="s">
        <v>47</v>
      </c>
      <c r="G4306">
        <v>-464.0009</v>
      </c>
      <c r="H4306">
        <v>-0.05</v>
      </c>
      <c r="I4306">
        <v>120.304</v>
      </c>
      <c r="J4306">
        <v>-345.61360000000002</v>
      </c>
      <c r="K4306">
        <v>1.1071329999999999</v>
      </c>
      <c r="L4306">
        <v>141.23079999999999</v>
      </c>
      <c r="M4306">
        <v>-0.99975480000000005</v>
      </c>
      <c r="N4306">
        <v>-1.300859E-2</v>
      </c>
      <c r="O4306">
        <v>-1.7922710000000001E-2</v>
      </c>
      <c r="P4306">
        <v>-0.99441279999999999</v>
      </c>
      <c r="Q4306">
        <v>4.7345730000000003E-2</v>
      </c>
      <c r="R4306">
        <v>-9.4349939999999993E-2</v>
      </c>
      <c r="S4306">
        <v>-2.968048</v>
      </c>
      <c r="T4306">
        <v>-2.8938889999999998E-2</v>
      </c>
      <c r="U4306">
        <v>-0.52346800000000004</v>
      </c>
      <c r="V4306">
        <v>-7.618693E-2</v>
      </c>
      <c r="W4306">
        <v>6.0706280000000001E-2</v>
      </c>
      <c r="X4306">
        <v>0.99524380000000001</v>
      </c>
      <c r="Y4306">
        <v>-0.1559904</v>
      </c>
      <c r="Z4306">
        <v>-1.8352450000000001E-3</v>
      </c>
      <c r="AA4306">
        <v>0.98775679999999999</v>
      </c>
      <c r="AB4306">
        <v>39</v>
      </c>
      <c r="AC4306">
        <v>-118.387299999999</v>
      </c>
      <c r="AD4306">
        <v>-1.157133</v>
      </c>
      <c r="AE4306">
        <v>-20.926799999999901</v>
      </c>
      <c r="AF4306">
        <v>-18.799695799780899</v>
      </c>
      <c r="AG4306">
        <v>-1.157133</v>
      </c>
      <c r="AH4306">
        <v>118.732378296231</v>
      </c>
      <c r="AI4306">
        <v>90.551501198095195</v>
      </c>
      <c r="AJ4306">
        <v>98.997332934876297</v>
      </c>
      <c r="AK4306">
        <v>120.217075221548</v>
      </c>
      <c r="AL4306">
        <v>86.519646330616993</v>
      </c>
      <c r="AM4306">
        <v>94.377512969661296</v>
      </c>
      <c r="AN4306">
        <v>0.99999996108635003</v>
      </c>
    </row>
    <row r="4307" spans="1:40" x14ac:dyDescent="0.25">
      <c r="A4307" t="str">
        <f>"20190305135321249"</f>
        <v>20190305135321249</v>
      </c>
      <c r="B4307" t="str">
        <f>"1551765201244021"</f>
        <v>1551765201244021</v>
      </c>
      <c r="C4307" t="s">
        <v>40</v>
      </c>
      <c r="D4307">
        <v>4.1221620000000003</v>
      </c>
      <c r="E4307">
        <v>0.46995199999999998</v>
      </c>
      <c r="F4307" t="s">
        <v>47</v>
      </c>
      <c r="G4307">
        <v>-487.26069999999999</v>
      </c>
      <c r="H4307">
        <v>-0.05</v>
      </c>
      <c r="I4307">
        <v>116.61109999999999</v>
      </c>
      <c r="J4307">
        <v>-346.01960000000003</v>
      </c>
      <c r="K4307">
        <v>1.1071329999999999</v>
      </c>
      <c r="L4307">
        <v>141.22559999999999</v>
      </c>
      <c r="M4307">
        <v>-0.99979249999999997</v>
      </c>
      <c r="N4307">
        <v>-1.305575E-2</v>
      </c>
      <c r="O4307">
        <v>-1.563256E-2</v>
      </c>
      <c r="P4307">
        <v>-0.99463400000000002</v>
      </c>
      <c r="Q4307">
        <v>4.8042849999999998E-2</v>
      </c>
      <c r="R4307">
        <v>-9.1624449999999996E-2</v>
      </c>
      <c r="S4307">
        <v>-2.969055</v>
      </c>
      <c r="T4307">
        <v>-2.4254560000000001E-2</v>
      </c>
      <c r="U4307">
        <v>-0.51605219999999996</v>
      </c>
      <c r="V4307">
        <v>-7.5732629999999995E-2</v>
      </c>
      <c r="W4307">
        <v>6.1451150000000003E-2</v>
      </c>
      <c r="X4307">
        <v>0.99523280000000003</v>
      </c>
      <c r="Y4307">
        <v>-0.15580579999999999</v>
      </c>
      <c r="Z4307">
        <v>-1.7323449999999999E-3</v>
      </c>
      <c r="AA4307">
        <v>0.98778619999999995</v>
      </c>
      <c r="AB4307">
        <v>39</v>
      </c>
      <c r="AC4307">
        <v>-141.24109999999899</v>
      </c>
      <c r="AD4307">
        <v>-1.157133</v>
      </c>
      <c r="AE4307">
        <v>-24.6144999999999</v>
      </c>
      <c r="AF4307">
        <v>-22.401884115093999</v>
      </c>
      <c r="AG4307">
        <v>-1.157133</v>
      </c>
      <c r="AH4307">
        <v>141.599434587969</v>
      </c>
      <c r="AI4307">
        <v>90.462452204447203</v>
      </c>
      <c r="AJ4307">
        <v>98.990027609565999</v>
      </c>
      <c r="AK4307">
        <v>143.36520932331601</v>
      </c>
      <c r="AL4307">
        <v>86.4768887294493</v>
      </c>
      <c r="AM4307">
        <v>94.351558483937396</v>
      </c>
      <c r="AN4307">
        <v>1.0000000006394301</v>
      </c>
    </row>
    <row r="4308" spans="1:40" x14ac:dyDescent="0.25">
      <c r="A4308" t="str">
        <f>"20190305135321272"</f>
        <v>20190305135321272</v>
      </c>
      <c r="B4308" t="str">
        <f>"1551765201264517"</f>
        <v>1551765201264517</v>
      </c>
      <c r="C4308" t="s">
        <v>40</v>
      </c>
      <c r="D4308">
        <v>4.1012420000000001</v>
      </c>
      <c r="E4308">
        <v>0.47007880000000002</v>
      </c>
      <c r="F4308" t="s">
        <v>47</v>
      </c>
      <c r="G4308">
        <v>-467.90640000000002</v>
      </c>
      <c r="H4308">
        <v>-0.05</v>
      </c>
      <c r="I4308">
        <v>120.26439999999999</v>
      </c>
      <c r="J4308">
        <v>-346.40480000000002</v>
      </c>
      <c r="K4308">
        <v>1.1071470000000001</v>
      </c>
      <c r="L4308">
        <v>141.2216</v>
      </c>
      <c r="M4308">
        <v>-0.99982340000000003</v>
      </c>
      <c r="N4308">
        <v>-1.311798E-2</v>
      </c>
      <c r="O4308">
        <v>-1.3465799999999899E-2</v>
      </c>
      <c r="P4308">
        <v>-0.99481929999999996</v>
      </c>
      <c r="Q4308">
        <v>4.7950810000000003E-2</v>
      </c>
      <c r="R4308">
        <v>-8.9641849999999995E-2</v>
      </c>
      <c r="S4308">
        <v>-2.97052</v>
      </c>
      <c r="T4308">
        <v>-2.8200630000000001E-2</v>
      </c>
      <c r="U4308">
        <v>-0.510849</v>
      </c>
      <c r="V4308">
        <v>-7.5904550000000001E-2</v>
      </c>
      <c r="W4308">
        <v>6.1424020000000003E-2</v>
      </c>
      <c r="X4308">
        <v>0.99522140000000003</v>
      </c>
      <c r="Y4308">
        <v>-0.15618099999999999</v>
      </c>
      <c r="Z4308">
        <v>-1.816444E-3</v>
      </c>
      <c r="AA4308">
        <v>0.98772680000000002</v>
      </c>
      <c r="AB4308">
        <v>39</v>
      </c>
      <c r="AC4308">
        <v>-121.5016</v>
      </c>
      <c r="AD4308">
        <v>-1.1571469999999999</v>
      </c>
      <c r="AE4308">
        <v>-20.9572</v>
      </c>
      <c r="AF4308">
        <v>-19.317341201542298</v>
      </c>
      <c r="AG4308">
        <v>-1.1571469999999999</v>
      </c>
      <c r="AH4308">
        <v>121.762086622724</v>
      </c>
      <c r="AI4308">
        <v>90.537760058928498</v>
      </c>
      <c r="AJ4308">
        <v>99.014744337165197</v>
      </c>
      <c r="AK4308">
        <v>123.290325650458</v>
      </c>
      <c r="AL4308">
        <v>86.478446184719601</v>
      </c>
      <c r="AM4308">
        <v>94.361448613342205</v>
      </c>
      <c r="AN4308">
        <v>1.0000000229808099</v>
      </c>
    </row>
    <row r="4309" spans="1:40" x14ac:dyDescent="0.25">
      <c r="A4309" t="str">
        <f>"20190305135321383"</f>
        <v>20190305135321383</v>
      </c>
      <c r="B4309" t="str">
        <f>"1551765201374513"</f>
        <v>1551765201374513</v>
      </c>
      <c r="C4309" t="s">
        <v>40</v>
      </c>
      <c r="D4309">
        <v>4.0508230000000003</v>
      </c>
      <c r="E4309">
        <v>0.5748974</v>
      </c>
      <c r="F4309" t="s">
        <v>78</v>
      </c>
      <c r="G4309">
        <v>-432.99590000000001</v>
      </c>
      <c r="H4309">
        <v>7.9987559999999999E-2</v>
      </c>
      <c r="I4309">
        <v>126.5491</v>
      </c>
      <c r="J4309">
        <v>-348.32240000000002</v>
      </c>
      <c r="K4309">
        <v>1.1073299999999999</v>
      </c>
      <c r="L4309">
        <v>141.21340000000001</v>
      </c>
      <c r="M4309">
        <v>-0.99990389999999996</v>
      </c>
      <c r="N4309">
        <v>-1.355224E-2</v>
      </c>
      <c r="O4309">
        <v>-3.0076650000000001E-3</v>
      </c>
      <c r="P4309">
        <v>-0.99433490000000002</v>
      </c>
      <c r="Q4309">
        <v>5.7073409999999998E-2</v>
      </c>
      <c r="R4309">
        <v>-8.9672429999999997E-2</v>
      </c>
      <c r="S4309">
        <v>-2.9719540000000002</v>
      </c>
      <c r="T4309">
        <v>-3.5253880000000001E-2</v>
      </c>
      <c r="U4309">
        <v>-0.50358579999999997</v>
      </c>
      <c r="V4309">
        <v>-8.6308709999999997E-2</v>
      </c>
      <c r="W4309">
        <v>7.1002609999999994E-2</v>
      </c>
      <c r="X4309">
        <v>0.99373509999999998</v>
      </c>
      <c r="Y4309">
        <v>-0.16407379999999999</v>
      </c>
      <c r="Z4309">
        <v>-2.0910579999999998E-3</v>
      </c>
      <c r="AA4309">
        <v>0.98644580000000004</v>
      </c>
      <c r="AB4309">
        <v>38</v>
      </c>
      <c r="AC4309">
        <v>-84.673499999999905</v>
      </c>
      <c r="AD4309">
        <v>-1.02734244</v>
      </c>
      <c r="AE4309">
        <v>-14.664300000000001</v>
      </c>
      <c r="AF4309">
        <v>-14.407481659571101</v>
      </c>
      <c r="AG4309">
        <v>-1.02734244</v>
      </c>
      <c r="AH4309">
        <v>84.705120013139293</v>
      </c>
      <c r="AI4309">
        <v>90.6850376985129</v>
      </c>
      <c r="AJ4309">
        <v>99.653048998776995</v>
      </c>
      <c r="AK4309">
        <v>85.927808750719507</v>
      </c>
      <c r="AL4309">
        <v>85.928424186034306</v>
      </c>
      <c r="AM4309">
        <v>94.963844408212793</v>
      </c>
      <c r="AN4309">
        <v>1.00000000651034</v>
      </c>
    </row>
    <row r="4310" spans="1:40" x14ac:dyDescent="0.25">
      <c r="A4310" t="str">
        <f>"20190305135321399"</f>
        <v>20190305135321399</v>
      </c>
      <c r="B4310" t="str">
        <f>"1551765201394025"</f>
        <v>1551765201394025</v>
      </c>
      <c r="C4310" t="s">
        <v>40</v>
      </c>
      <c r="D4310">
        <v>4.2237150000000003</v>
      </c>
      <c r="E4310">
        <v>0.57861130000000005</v>
      </c>
      <c r="F4310" t="s">
        <v>78</v>
      </c>
      <c r="G4310">
        <v>-400.06720000000001</v>
      </c>
      <c r="H4310" s="1">
        <v>-8.3638120000000006E-6</v>
      </c>
      <c r="I4310">
        <v>146.83760000000001</v>
      </c>
      <c r="J4310">
        <v>-348.59679999999997</v>
      </c>
      <c r="K4310">
        <v>1.1073759999999999</v>
      </c>
      <c r="L4310">
        <v>141.21379999999999</v>
      </c>
      <c r="M4310">
        <v>-0.99990619999999997</v>
      </c>
      <c r="N4310">
        <v>-1.360368E-2</v>
      </c>
      <c r="O4310">
        <v>-1.6175040000000001E-3</v>
      </c>
      <c r="P4310">
        <v>-0.99440859999999998</v>
      </c>
      <c r="Q4310">
        <v>5.7770679999999998E-2</v>
      </c>
      <c r="R4310">
        <v>-8.8397279999999995E-2</v>
      </c>
      <c r="S4310">
        <v>-3.050751</v>
      </c>
      <c r="T4310">
        <v>-6.5286040000000004E-2</v>
      </c>
      <c r="U4310">
        <v>0.33158870000000001</v>
      </c>
      <c r="V4310">
        <v>-8.6418780000000001E-2</v>
      </c>
      <c r="W4310">
        <v>7.1742650000000005E-2</v>
      </c>
      <c r="X4310">
        <v>0.99367240000000001</v>
      </c>
      <c r="Y4310">
        <v>0.1096217</v>
      </c>
      <c r="Z4310">
        <v>1.929938E-3</v>
      </c>
      <c r="AA4310">
        <v>0.99397150000000001</v>
      </c>
      <c r="AB4310">
        <v>38</v>
      </c>
      <c r="AC4310">
        <v>-51.470399999999998</v>
      </c>
      <c r="AD4310">
        <v>-1.107384363812</v>
      </c>
      <c r="AE4310">
        <v>5.6238000000000099</v>
      </c>
      <c r="AF4310">
        <v>5.7044445186786996</v>
      </c>
      <c r="AG4310">
        <v>-1.107384363812</v>
      </c>
      <c r="AH4310">
        <v>51.437705984035198</v>
      </c>
      <c r="AI4310">
        <v>91.225797677513</v>
      </c>
      <c r="AJ4310">
        <v>83.6717535784001</v>
      </c>
      <c r="AK4310">
        <v>51.764897220954197</v>
      </c>
      <c r="AL4310">
        <v>85.885914685488601</v>
      </c>
      <c r="AM4310">
        <v>94.970455180440993</v>
      </c>
      <c r="AN4310">
        <v>1.0000000259437301</v>
      </c>
    </row>
    <row r="4311" spans="1:40" x14ac:dyDescent="0.25">
      <c r="A4311" t="str">
        <f>"20190305135321416"</f>
        <v>20190305135321416</v>
      </c>
      <c r="B4311" t="str">
        <f>"1551765201404762"</f>
        <v>1551765201404762</v>
      </c>
      <c r="C4311" t="s">
        <v>40</v>
      </c>
      <c r="D4311">
        <v>4.3485769999999997</v>
      </c>
      <c r="E4311">
        <v>0.57543469999999997</v>
      </c>
      <c r="F4311" t="s">
        <v>83</v>
      </c>
      <c r="G4311">
        <v>-511.92529999999999</v>
      </c>
      <c r="H4311">
        <v>0.18630740000000001</v>
      </c>
      <c r="I4311">
        <v>160.68819999999999</v>
      </c>
      <c r="J4311">
        <v>-348.88240000000002</v>
      </c>
      <c r="K4311">
        <v>1.1074310000000001</v>
      </c>
      <c r="L4311">
        <v>141.21459999999999</v>
      </c>
      <c r="M4311">
        <v>-0.99990679999999998</v>
      </c>
      <c r="N4311">
        <v>-1.365307E-2</v>
      </c>
      <c r="O4311">
        <v>-2.2236369999999999E-4</v>
      </c>
      <c r="P4311">
        <v>-0.99449810000000005</v>
      </c>
      <c r="Q4311">
        <v>5.9208280000000002E-2</v>
      </c>
      <c r="R4311">
        <v>-8.6419780000000002E-2</v>
      </c>
      <c r="S4311">
        <v>-3.0502319999999998</v>
      </c>
      <c r="T4311">
        <v>-1.7200469999999999E-2</v>
      </c>
      <c r="U4311">
        <v>0.36369319999999999</v>
      </c>
      <c r="V4311">
        <v>-8.5830089999999998E-2</v>
      </c>
      <c r="W4311">
        <v>7.3215069999999993E-2</v>
      </c>
      <c r="X4311">
        <v>0.99361600000000005</v>
      </c>
      <c r="Y4311">
        <v>0.1186103</v>
      </c>
      <c r="Z4311">
        <v>1.144082E-3</v>
      </c>
      <c r="AA4311">
        <v>0.99294020000000005</v>
      </c>
      <c r="AB4311">
        <v>38</v>
      </c>
      <c r="AC4311">
        <v>-163.04289999999901</v>
      </c>
      <c r="AD4311">
        <v>-0.92112359999999904</v>
      </c>
      <c r="AE4311">
        <v>19.473600000000001</v>
      </c>
      <c r="AF4311">
        <v>19.5092437865984</v>
      </c>
      <c r="AG4311">
        <v>-0.92112359999999904</v>
      </c>
      <c r="AH4311">
        <v>163.03343487447401</v>
      </c>
      <c r="AI4311">
        <v>90.321419278950899</v>
      </c>
      <c r="AJ4311">
        <v>83.176201684033998</v>
      </c>
      <c r="AK4311">
        <v>164.199147223062</v>
      </c>
      <c r="AL4311">
        <v>85.801328667015994</v>
      </c>
      <c r="AM4311">
        <v>94.937042874971894</v>
      </c>
      <c r="AN4311">
        <v>1.0000000031402501</v>
      </c>
    </row>
    <row r="4312" spans="1:40" x14ac:dyDescent="0.25">
      <c r="A4312" t="str">
        <f>"20190305135321432"</f>
        <v>20190305135321432</v>
      </c>
      <c r="B4312" t="str">
        <f>"1551765201424281"</f>
        <v>1551765201424281</v>
      </c>
      <c r="C4312" t="s">
        <v>40</v>
      </c>
      <c r="D4312">
        <v>4.2341449999999998</v>
      </c>
      <c r="E4312">
        <v>0.57296199999999997</v>
      </c>
      <c r="F4312" t="s">
        <v>78</v>
      </c>
      <c r="G4312">
        <v>-422.03370000000001</v>
      </c>
      <c r="H4312" s="1">
        <v>-1.363395E-5</v>
      </c>
      <c r="I4312">
        <v>149.4896</v>
      </c>
      <c r="J4312">
        <v>-349.15980000000002</v>
      </c>
      <c r="K4312">
        <v>1.107494</v>
      </c>
      <c r="L4312">
        <v>141.2157</v>
      </c>
      <c r="M4312">
        <v>-0.9999055</v>
      </c>
      <c r="N4312">
        <v>-1.369707E-2</v>
      </c>
      <c r="O4312">
        <v>1.077672E-3</v>
      </c>
      <c r="P4312">
        <v>-0.99461560000000004</v>
      </c>
      <c r="Q4312">
        <v>5.9764909999999997E-2</v>
      </c>
      <c r="R4312">
        <v>-8.4664829999999996E-2</v>
      </c>
      <c r="S4312">
        <v>-3.0492859999999999</v>
      </c>
      <c r="T4312">
        <v>-4.616344E-2</v>
      </c>
      <c r="U4312">
        <v>0.34494019999999997</v>
      </c>
      <c r="V4312">
        <v>-8.5376750000000001E-2</v>
      </c>
      <c r="W4312">
        <v>7.3800470000000007E-2</v>
      </c>
      <c r="X4312">
        <v>0.99361180000000004</v>
      </c>
      <c r="Y4312">
        <v>0.11130959999999999</v>
      </c>
      <c r="Z4312">
        <v>1.6031400000000001E-3</v>
      </c>
      <c r="AA4312">
        <v>0.99378449999999996</v>
      </c>
      <c r="AB4312">
        <v>38</v>
      </c>
      <c r="AC4312">
        <v>-72.873899999999907</v>
      </c>
      <c r="AD4312">
        <v>-1.1075076339499901</v>
      </c>
      <c r="AE4312">
        <v>8.2738999999999905</v>
      </c>
      <c r="AF4312">
        <v>8.1934853180638694</v>
      </c>
      <c r="AG4312">
        <v>-1.1075076339499901</v>
      </c>
      <c r="AH4312">
        <v>72.866159589109799</v>
      </c>
      <c r="AI4312">
        <v>90.865330585372305</v>
      </c>
      <c r="AJ4312">
        <v>83.584286344626605</v>
      </c>
      <c r="AK4312">
        <v>73.333737038843196</v>
      </c>
      <c r="AL4312">
        <v>85.767696946418695</v>
      </c>
      <c r="AM4312">
        <v>94.911114780332696</v>
      </c>
      <c r="AN4312">
        <v>1.0000000539560101</v>
      </c>
    </row>
    <row r="4313" spans="1:40" x14ac:dyDescent="0.25">
      <c r="A4313" t="str">
        <f>"20190305135321450"</f>
        <v>20190305135321450</v>
      </c>
      <c r="B4313" t="str">
        <f>"1551765201444009"</f>
        <v>1551765201444009</v>
      </c>
      <c r="C4313" t="s">
        <v>40</v>
      </c>
      <c r="D4313">
        <v>4.239007</v>
      </c>
      <c r="E4313">
        <v>0.57141600000000004</v>
      </c>
      <c r="F4313" t="s">
        <v>42</v>
      </c>
      <c r="G4313">
        <v>-441.41230000000002</v>
      </c>
      <c r="H4313">
        <v>7.9986870000000002E-2</v>
      </c>
      <c r="I4313">
        <v>151.214</v>
      </c>
      <c r="J4313">
        <v>-349.47199999999998</v>
      </c>
      <c r="K4313">
        <v>1.107577</v>
      </c>
      <c r="L4313">
        <v>141.21729999999999</v>
      </c>
      <c r="M4313">
        <v>-0.99990250000000003</v>
      </c>
      <c r="N4313">
        <v>-1.374209E-2</v>
      </c>
      <c r="O4313">
        <v>2.4654410000000001E-3</v>
      </c>
      <c r="P4313">
        <v>-0.99483250000000001</v>
      </c>
      <c r="Q4313">
        <v>6.0592739999999999E-2</v>
      </c>
      <c r="R4313">
        <v>-8.1465750000000003E-2</v>
      </c>
      <c r="S4313">
        <v>-3.0463870000000002</v>
      </c>
      <c r="T4313">
        <v>-3.3930660000000001E-2</v>
      </c>
      <c r="U4313">
        <v>0.33016970000000001</v>
      </c>
      <c r="V4313">
        <v>-8.3568539999999997E-2</v>
      </c>
      <c r="W4313">
        <v>7.4648800000000001E-2</v>
      </c>
      <c r="X4313">
        <v>0.99370210000000003</v>
      </c>
      <c r="Y4313">
        <v>0.1052836</v>
      </c>
      <c r="Z4313">
        <v>1.3166059999999999E-3</v>
      </c>
      <c r="AA4313">
        <v>0.99444140000000003</v>
      </c>
      <c r="AB4313">
        <v>38</v>
      </c>
      <c r="AC4313">
        <v>-91.940299999999993</v>
      </c>
      <c r="AD4313">
        <v>-1.0275901300000001</v>
      </c>
      <c r="AE4313">
        <v>9.9967000000000006</v>
      </c>
      <c r="AF4313">
        <v>9.7687687681133397</v>
      </c>
      <c r="AG4313">
        <v>-1.0275901300000001</v>
      </c>
      <c r="AH4313">
        <v>91.953316633048004</v>
      </c>
      <c r="AI4313">
        <v>90.6366786077879</v>
      </c>
      <c r="AJ4313">
        <v>83.935860747059195</v>
      </c>
      <c r="AK4313">
        <v>92.476468490842095</v>
      </c>
      <c r="AL4313">
        <v>85.718956556692106</v>
      </c>
      <c r="AM4313">
        <v>94.807159300110797</v>
      </c>
      <c r="AN4313">
        <v>1.00000000388179</v>
      </c>
    </row>
    <row r="4314" spans="1:40" x14ac:dyDescent="0.25">
      <c r="A4314" t="str">
        <f>"20190305135321467"</f>
        <v>20190305135321467</v>
      </c>
      <c r="B4314" t="str">
        <f>"1551765201464505"</f>
        <v>1551765201464505</v>
      </c>
      <c r="C4314" t="s">
        <v>40</v>
      </c>
      <c r="D4314">
        <v>4.3491879999999998</v>
      </c>
      <c r="E4314">
        <v>0.56966479999999997</v>
      </c>
      <c r="F4314" t="s">
        <v>81</v>
      </c>
      <c r="G4314">
        <v>-478.07279999999997</v>
      </c>
      <c r="H4314">
        <v>7.9988030000000002E-2</v>
      </c>
      <c r="I4314">
        <v>155.0608</v>
      </c>
      <c r="J4314">
        <v>-349.7484</v>
      </c>
      <c r="K4314">
        <v>1.1076589999999999</v>
      </c>
      <c r="L4314">
        <v>141.21899999999999</v>
      </c>
      <c r="M4314">
        <v>-0.99989839999999997</v>
      </c>
      <c r="N4314">
        <v>-1.377856E-2</v>
      </c>
      <c r="O4314">
        <v>3.6276440000000002E-3</v>
      </c>
      <c r="P4314">
        <v>-0.99498129999999996</v>
      </c>
      <c r="Q4314">
        <v>6.1073389999999998E-2</v>
      </c>
      <c r="R4314">
        <v>-7.926163E-2</v>
      </c>
      <c r="S4314">
        <v>-3.0439150000000001</v>
      </c>
      <c r="T4314">
        <v>-2.4322509999999999E-2</v>
      </c>
      <c r="U4314">
        <v>0.32766719999999999</v>
      </c>
      <c r="V4314">
        <v>-8.2533389999999998E-2</v>
      </c>
      <c r="W4314">
        <v>7.5145699999999996E-2</v>
      </c>
      <c r="X4314">
        <v>0.99375119999999895</v>
      </c>
      <c r="Y4314">
        <v>0.10341160000000001</v>
      </c>
      <c r="Z4314">
        <v>1.147452E-3</v>
      </c>
      <c r="AA4314">
        <v>0.99463800000000002</v>
      </c>
      <c r="AB4314">
        <v>38</v>
      </c>
      <c r="AC4314">
        <v>-128.324399999999</v>
      </c>
      <c r="AD4314">
        <v>-1.02767097</v>
      </c>
      <c r="AE4314">
        <v>13.841799999999999</v>
      </c>
      <c r="AF4314">
        <v>13.375301479406801</v>
      </c>
      <c r="AG4314">
        <v>-1.02767097</v>
      </c>
      <c r="AH4314">
        <v>128.36563542682899</v>
      </c>
      <c r="AI4314">
        <v>90.456219566324805</v>
      </c>
      <c r="AJ4314">
        <v>84.051423214307903</v>
      </c>
      <c r="AK4314">
        <v>129.06467818818999</v>
      </c>
      <c r="AL4314">
        <v>85.690406257737294</v>
      </c>
      <c r="AM4314">
        <v>94.747654192400205</v>
      </c>
      <c r="AN4314">
        <v>1.00000004209741</v>
      </c>
    </row>
    <row r="4315" spans="1:40" x14ac:dyDescent="0.25">
      <c r="A4315" t="str">
        <f>"20190305135321484"</f>
        <v>20190305135321484</v>
      </c>
      <c r="B4315" t="str">
        <f>"1551765201474265"</f>
        <v>1551765201474265</v>
      </c>
      <c r="C4315" t="s">
        <v>40</v>
      </c>
      <c r="D4315">
        <v>4.3682970000000001</v>
      </c>
      <c r="E4315">
        <v>0.5685964</v>
      </c>
      <c r="F4315" t="s">
        <v>42</v>
      </c>
      <c r="G4315">
        <v>-458.4742</v>
      </c>
      <c r="H4315">
        <v>7.9987550000000004E-2</v>
      </c>
      <c r="I4315">
        <v>152.67769999999999</v>
      </c>
      <c r="J4315">
        <v>-350.04399999999998</v>
      </c>
      <c r="K4315">
        <v>1.1077509999999999</v>
      </c>
      <c r="L4315">
        <v>141.22110000000001</v>
      </c>
      <c r="M4315">
        <v>-0.99989309999999998</v>
      </c>
      <c r="N4315">
        <v>-1.3813529999999999E-2</v>
      </c>
      <c r="O4315">
        <v>4.7851589999999998E-3</v>
      </c>
      <c r="P4315">
        <v>-0.99524330000000005</v>
      </c>
      <c r="Q4315">
        <v>6.1182340000000002E-2</v>
      </c>
      <c r="R4315">
        <v>-7.5814670000000001E-2</v>
      </c>
      <c r="S4315">
        <v>-3.0424500000000001</v>
      </c>
      <c r="T4315">
        <v>-2.8757100000000001E-2</v>
      </c>
      <c r="U4315">
        <v>0.32064819999999999</v>
      </c>
      <c r="V4315">
        <v>-8.0254640000000002E-2</v>
      </c>
      <c r="W4315">
        <v>7.5263620000000003E-2</v>
      </c>
      <c r="X4315">
        <v>0.99392879999999995</v>
      </c>
      <c r="Y4315">
        <v>0.10003960000000001</v>
      </c>
      <c r="Z4315">
        <v>1.185223E-3</v>
      </c>
      <c r="AA4315">
        <v>0.99498279999999995</v>
      </c>
      <c r="AB4315">
        <v>38</v>
      </c>
      <c r="AC4315">
        <v>-108.430199999999</v>
      </c>
      <c r="AD4315">
        <v>-1.0277634499999999</v>
      </c>
      <c r="AE4315">
        <v>11.4565999999999</v>
      </c>
      <c r="AF4315">
        <v>10.9365918005597</v>
      </c>
      <c r="AG4315">
        <v>-1.0277634499999999</v>
      </c>
      <c r="AH4315">
        <v>108.474147157269</v>
      </c>
      <c r="AI4315">
        <v>90.540107879771</v>
      </c>
      <c r="AJ4315">
        <v>84.242773917725998</v>
      </c>
      <c r="AK4315">
        <v>109.028922490402</v>
      </c>
      <c r="AL4315">
        <v>85.683630309037696</v>
      </c>
      <c r="AM4315">
        <v>94.616324574361897</v>
      </c>
      <c r="AN4315">
        <v>0.99999993960323497</v>
      </c>
    </row>
    <row r="4316" spans="1:40" x14ac:dyDescent="0.25">
      <c r="A4316" t="str">
        <f>"20190305135321506"</f>
        <v>20190305135321506</v>
      </c>
      <c r="B4316" t="str">
        <f>"1551765201494763"</f>
        <v>1551765201494763</v>
      </c>
      <c r="C4316" t="s">
        <v>40</v>
      </c>
      <c r="D4316">
        <v>4.3979400000000002</v>
      </c>
      <c r="E4316">
        <v>0.56683909999999904</v>
      </c>
      <c r="F4316" t="s">
        <v>78</v>
      </c>
      <c r="G4316">
        <v>-435.43819999999999</v>
      </c>
      <c r="H4316">
        <v>7.9982059999999994E-2</v>
      </c>
      <c r="I4316">
        <v>150.29230000000001</v>
      </c>
      <c r="J4316">
        <v>-350.416</v>
      </c>
      <c r="K4316">
        <v>1.1078730000000001</v>
      </c>
      <c r="L4316">
        <v>141.2242</v>
      </c>
      <c r="M4316">
        <v>-0.99988529999999998</v>
      </c>
      <c r="N4316">
        <v>-1.385249E-2</v>
      </c>
      <c r="O4316">
        <v>6.1150409999999999E-3</v>
      </c>
      <c r="P4316">
        <v>-0.99555190000000005</v>
      </c>
      <c r="Q4316">
        <v>6.0974269999999997E-2</v>
      </c>
      <c r="R4316">
        <v>-7.1822440000000001E-2</v>
      </c>
      <c r="S4316">
        <v>-3.0411990000000002</v>
      </c>
      <c r="T4316">
        <v>-3.6602620000000002E-2</v>
      </c>
      <c r="U4316">
        <v>0.32305909999999999</v>
      </c>
      <c r="V4316">
        <v>-7.761092E-2</v>
      </c>
      <c r="W4316">
        <v>7.5062950000000003E-2</v>
      </c>
      <c r="X4316">
        <v>0.99415399999999998</v>
      </c>
      <c r="Y4316">
        <v>9.9534410000000004E-2</v>
      </c>
      <c r="Z4316">
        <v>1.299796E-3</v>
      </c>
      <c r="AA4316">
        <v>0.99503330000000001</v>
      </c>
      <c r="AB4316">
        <v>38</v>
      </c>
      <c r="AC4316">
        <v>-85.022199999999998</v>
      </c>
      <c r="AD4316">
        <v>-1.02789093999999</v>
      </c>
      <c r="AE4316">
        <v>9.06810000000001</v>
      </c>
      <c r="AF4316">
        <v>8.5467311223257703</v>
      </c>
      <c r="AG4316">
        <v>-1.02789093999999</v>
      </c>
      <c r="AH4316">
        <v>85.0637740520949</v>
      </c>
      <c r="AI4316">
        <v>90.688847306596102</v>
      </c>
      <c r="AJ4316">
        <v>84.2624964889458</v>
      </c>
      <c r="AK4316">
        <v>85.498238745881295</v>
      </c>
      <c r="AL4316">
        <v>85.695160896610304</v>
      </c>
      <c r="AM4316">
        <v>94.463873218048505</v>
      </c>
      <c r="AN4316">
        <v>1.00000003854097</v>
      </c>
    </row>
    <row r="4317" spans="1:40" x14ac:dyDescent="0.25">
      <c r="A4317" t="str">
        <f>"20190305135321528"</f>
        <v>20190305135321528</v>
      </c>
      <c r="B4317" t="str">
        <f>"1551765201524042"</f>
        <v>1551765201524042</v>
      </c>
      <c r="C4317" t="s">
        <v>40</v>
      </c>
      <c r="D4317">
        <v>4.3764110000000001</v>
      </c>
      <c r="E4317">
        <v>0.56478479999999998</v>
      </c>
      <c r="F4317" t="s">
        <v>78</v>
      </c>
      <c r="G4317">
        <v>-416.1936</v>
      </c>
      <c r="H4317" s="1">
        <v>-1.316067E-5</v>
      </c>
      <c r="I4317">
        <v>148.18190000000001</v>
      </c>
      <c r="J4317">
        <v>-350.7971</v>
      </c>
      <c r="K4317">
        <v>1.1080139999999901</v>
      </c>
      <c r="L4317">
        <v>141.2278</v>
      </c>
      <c r="M4317">
        <v>-0.99987700000000002</v>
      </c>
      <c r="N4317">
        <v>-1.388673E-2</v>
      </c>
      <c r="O4317">
        <v>7.2982730000000001E-3</v>
      </c>
      <c r="P4317">
        <v>-0.99575029999999998</v>
      </c>
      <c r="Q4317">
        <v>6.155265E-2</v>
      </c>
      <c r="R4317">
        <v>-6.8501899999999893E-2</v>
      </c>
      <c r="S4317">
        <v>-3.0397340000000002</v>
      </c>
      <c r="T4317">
        <v>-5.1198010000000002E-2</v>
      </c>
      <c r="U4317">
        <v>0.32153320000000002</v>
      </c>
      <c r="V4317">
        <v>-7.5493179999999993E-2</v>
      </c>
      <c r="W4317">
        <v>7.5643039999999995E-2</v>
      </c>
      <c r="X4317">
        <v>0.99427310000000002</v>
      </c>
      <c r="Y4317">
        <v>9.7903500000000004E-2</v>
      </c>
      <c r="Z4317">
        <v>1.4824510000000001E-3</v>
      </c>
      <c r="AA4317">
        <v>0.99519480000000005</v>
      </c>
      <c r="AB4317">
        <v>38</v>
      </c>
      <c r="AC4317">
        <v>-65.396500000000003</v>
      </c>
      <c r="AD4317">
        <v>-1.1080271606699901</v>
      </c>
      <c r="AE4317">
        <v>6.9541000000000102</v>
      </c>
      <c r="AF4317">
        <v>6.4747493091838404</v>
      </c>
      <c r="AG4317">
        <v>-1.1080271606699901</v>
      </c>
      <c r="AH4317">
        <v>65.426943510955894</v>
      </c>
      <c r="AI4317">
        <v>90.965515021514307</v>
      </c>
      <c r="AJ4317">
        <v>84.348324713917194</v>
      </c>
      <c r="AK4317">
        <v>65.755874566394198</v>
      </c>
      <c r="AL4317">
        <v>85.661829446488397</v>
      </c>
      <c r="AM4317">
        <v>94.3420234182081</v>
      </c>
      <c r="AN4317">
        <v>1.00000004355528</v>
      </c>
    </row>
    <row r="4318" spans="1:40" x14ac:dyDescent="0.25">
      <c r="A4318" t="str">
        <f>"20190305135321550"</f>
        <v>20190305135321550</v>
      </c>
      <c r="B4318" t="str">
        <f>"1551765201544068"</f>
        <v>1551765201544068</v>
      </c>
      <c r="C4318" t="s">
        <v>40</v>
      </c>
      <c r="D4318">
        <v>4.3627459999999996</v>
      </c>
      <c r="E4318">
        <v>0.56375649999999999</v>
      </c>
      <c r="F4318" t="s">
        <v>78</v>
      </c>
      <c r="G4318">
        <v>-405.38099999999997</v>
      </c>
      <c r="H4318" s="1">
        <v>-1.0821109999999999E-5</v>
      </c>
      <c r="I4318">
        <v>146.89859999999999</v>
      </c>
      <c r="J4318">
        <v>-351.18849999999998</v>
      </c>
      <c r="K4318">
        <v>1.1081639999999999</v>
      </c>
      <c r="L4318">
        <v>141.23169999999999</v>
      </c>
      <c r="M4318">
        <v>-0.99986830000000004</v>
      </c>
      <c r="N4318">
        <v>-1.391685E-2</v>
      </c>
      <c r="O4318">
        <v>8.3573390000000001E-3</v>
      </c>
      <c r="P4318">
        <v>-0.99593790000000004</v>
      </c>
      <c r="Q4318">
        <v>6.181909E-2</v>
      </c>
      <c r="R4318">
        <v>-6.5470159999999999E-2</v>
      </c>
      <c r="S4318">
        <v>-3.0383300000000002</v>
      </c>
      <c r="T4318">
        <v>-6.1676500000000002E-2</v>
      </c>
      <c r="U4318">
        <v>0.31565860000000001</v>
      </c>
      <c r="V4318">
        <v>-7.3542979999999994E-2</v>
      </c>
      <c r="W4318">
        <v>7.59074E-2</v>
      </c>
      <c r="X4318">
        <v>0.99439909999999998</v>
      </c>
      <c r="Y4318">
        <v>9.4986329999999994E-2</v>
      </c>
      <c r="Z4318">
        <v>1.57113E-3</v>
      </c>
      <c r="AA4318">
        <v>0.99547730000000001</v>
      </c>
      <c r="AB4318">
        <v>38</v>
      </c>
      <c r="AC4318">
        <v>-54.192500000000003</v>
      </c>
      <c r="AD4318">
        <v>-1.10817482111</v>
      </c>
      <c r="AE4318">
        <v>5.6668999999999903</v>
      </c>
      <c r="AF4318">
        <v>5.2115974405279104</v>
      </c>
      <c r="AG4318">
        <v>-1.10817482111</v>
      </c>
      <c r="AH4318">
        <v>54.215546517182801</v>
      </c>
      <c r="AI4318">
        <v>91.165600765313897</v>
      </c>
      <c r="AJ4318">
        <v>84.509179002693898</v>
      </c>
      <c r="AK4318">
        <v>54.476731578473697</v>
      </c>
      <c r="AL4318">
        <v>85.646639031355903</v>
      </c>
      <c r="AM4318">
        <v>94.229735287291206</v>
      </c>
      <c r="AN4318">
        <v>1.0000000366814199</v>
      </c>
    </row>
    <row r="4319" spans="1:40" x14ac:dyDescent="0.25">
      <c r="A4319" t="str">
        <f>"20190305135321573"</f>
        <v>20190305135321573</v>
      </c>
      <c r="B4319" t="str">
        <f>"1551765201564564"</f>
        <v>1551765201564564</v>
      </c>
      <c r="C4319" t="s">
        <v>40</v>
      </c>
      <c r="D4319">
        <v>4.4118649999999997</v>
      </c>
      <c r="E4319">
        <v>0.56295430000000002</v>
      </c>
      <c r="F4319" t="s">
        <v>78</v>
      </c>
      <c r="G4319">
        <v>-402.53339999999997</v>
      </c>
      <c r="H4319" s="1">
        <v>-9.3548090000000002E-6</v>
      </c>
      <c r="I4319">
        <v>146.58779999999999</v>
      </c>
      <c r="J4319">
        <v>-351.56290000000001</v>
      </c>
      <c r="K4319">
        <v>1.1083099999999999</v>
      </c>
      <c r="L4319">
        <v>141.23570000000001</v>
      </c>
      <c r="M4319">
        <v>-0.99986030000000004</v>
      </c>
      <c r="N4319">
        <v>-1.3941500000000001E-2</v>
      </c>
      <c r="O4319">
        <v>9.2250609999999997E-3</v>
      </c>
      <c r="P4319">
        <v>-0.99605750000000004</v>
      </c>
      <c r="Q4319">
        <v>6.1762020000000001E-2</v>
      </c>
      <c r="R4319">
        <v>-6.3680390000000003E-2</v>
      </c>
      <c r="S4319">
        <v>-3.0370789999999999</v>
      </c>
      <c r="T4319">
        <v>-6.5549140000000006E-2</v>
      </c>
      <c r="U4319">
        <v>0.31681819999999999</v>
      </c>
      <c r="V4319">
        <v>-7.2643769999999996E-2</v>
      </c>
      <c r="W4319">
        <v>7.5848449999999998E-2</v>
      </c>
      <c r="X4319">
        <v>0.99446959999999995</v>
      </c>
      <c r="Y4319">
        <v>9.4537469999999998E-2</v>
      </c>
      <c r="Z4319">
        <v>1.6080230000000001E-3</v>
      </c>
      <c r="AA4319">
        <v>0.99551999999999996</v>
      </c>
      <c r="AB4319">
        <v>38</v>
      </c>
      <c r="AC4319">
        <v>-50.970499999999902</v>
      </c>
      <c r="AD4319">
        <v>-1.108319354809</v>
      </c>
      <c r="AE4319">
        <v>5.3520999999999699</v>
      </c>
      <c r="AF4319">
        <v>4.8793386911798704</v>
      </c>
      <c r="AG4319">
        <v>-1.108319354809</v>
      </c>
      <c r="AH4319">
        <v>50.993861172867298</v>
      </c>
      <c r="AI4319">
        <v>91.2394323808455</v>
      </c>
      <c r="AJ4319">
        <v>84.534303374366701</v>
      </c>
      <c r="AK4319">
        <v>51.238756768418398</v>
      </c>
      <c r="AL4319">
        <v>85.650025983224495</v>
      </c>
      <c r="AM4319">
        <v>94.1779074422587</v>
      </c>
      <c r="AN4319">
        <v>0.99999994500568601</v>
      </c>
    </row>
    <row r="4320" spans="1:40" x14ac:dyDescent="0.25">
      <c r="A4320" t="str">
        <f>"20190305135321589"</f>
        <v>20190305135321589</v>
      </c>
      <c r="B4320" t="str">
        <f>"1551765201584085"</f>
        <v>1551765201584085</v>
      </c>
      <c r="C4320" t="s">
        <v>40</v>
      </c>
      <c r="D4320">
        <v>4.3833739999999999</v>
      </c>
      <c r="E4320">
        <v>0.56223020000000001</v>
      </c>
      <c r="F4320" t="s">
        <v>42</v>
      </c>
      <c r="G4320">
        <v>-399.29450000000003</v>
      </c>
      <c r="H4320" s="1">
        <v>-2.0370339999999998E-6</v>
      </c>
      <c r="I4320">
        <v>146.20099999999999</v>
      </c>
      <c r="J4320">
        <v>-351.83519999999999</v>
      </c>
      <c r="K4320">
        <v>1.108414</v>
      </c>
      <c r="L4320">
        <v>141.2388</v>
      </c>
      <c r="M4320">
        <v>-0.99985489999999999</v>
      </c>
      <c r="N4320">
        <v>-1.3957219999999999E-2</v>
      </c>
      <c r="O4320">
        <v>9.7713839999999993E-3</v>
      </c>
      <c r="P4320">
        <v>-0.99612520000000004</v>
      </c>
      <c r="Q4320">
        <v>6.1711519999999999E-2</v>
      </c>
      <c r="R4320">
        <v>-6.2661839999999996E-2</v>
      </c>
      <c r="S4320">
        <v>-3.036438</v>
      </c>
      <c r="T4320">
        <v>-7.0505139999999994E-2</v>
      </c>
      <c r="U4320">
        <v>0.31587219999999999</v>
      </c>
      <c r="V4320">
        <v>-7.2189320000000001E-2</v>
      </c>
      <c r="W4320">
        <v>7.5794249999999994E-2</v>
      </c>
      <c r="X4320">
        <v>0.99450689999999997</v>
      </c>
      <c r="Y4320">
        <v>9.3704309999999999E-2</v>
      </c>
      <c r="Z4320">
        <v>1.650494E-3</v>
      </c>
      <c r="AA4320">
        <v>0.99559869999999995</v>
      </c>
      <c r="AB4320">
        <v>38</v>
      </c>
      <c r="AC4320">
        <v>-47.459299999999999</v>
      </c>
      <c r="AD4320">
        <v>-1.1084160370339999</v>
      </c>
      <c r="AE4320">
        <v>4.9621999999999904</v>
      </c>
      <c r="AF4320">
        <v>4.4957491234712803</v>
      </c>
      <c r="AG4320">
        <v>-1.1084160370339999</v>
      </c>
      <c r="AH4320">
        <v>47.4799077525428</v>
      </c>
      <c r="AI4320">
        <v>91.331371294348997</v>
      </c>
      <c r="AJ4320">
        <v>84.590938359096</v>
      </c>
      <c r="AK4320">
        <v>47.70515681226</v>
      </c>
      <c r="AL4320">
        <v>85.653140707184505</v>
      </c>
      <c r="AM4320">
        <v>94.151707504757496</v>
      </c>
      <c r="AN4320">
        <v>1.0000000202013599</v>
      </c>
    </row>
    <row r="4321" spans="1:40" x14ac:dyDescent="0.25">
      <c r="A4321" t="str">
        <f>"20190305135321606"</f>
        <v>20190305135321606</v>
      </c>
      <c r="B4321" t="str">
        <f>"1551765201593845"</f>
        <v>1551765201593845</v>
      </c>
      <c r="C4321" t="s">
        <v>40</v>
      </c>
      <c r="D4321">
        <v>4.2968149999999996</v>
      </c>
      <c r="E4321">
        <v>0.56214049999999904</v>
      </c>
      <c r="F4321" t="s">
        <v>42</v>
      </c>
      <c r="G4321">
        <v>-396.95400000000001</v>
      </c>
      <c r="H4321" s="1">
        <v>-2.9594579999999999E-6</v>
      </c>
      <c r="I4321">
        <v>145.89420000000001</v>
      </c>
      <c r="J4321">
        <v>-352.1268</v>
      </c>
      <c r="K4321">
        <v>1.1085210000000001</v>
      </c>
      <c r="L4321">
        <v>141.24209999999999</v>
      </c>
      <c r="M4321">
        <v>-0.99984960000000001</v>
      </c>
      <c r="N4321">
        <v>-1.397207E-2</v>
      </c>
      <c r="O4321">
        <v>1.02746E-2</v>
      </c>
      <c r="P4321">
        <v>-0.99620410000000004</v>
      </c>
      <c r="Q4321">
        <v>6.1595619999999997E-2</v>
      </c>
      <c r="R4321">
        <v>-6.150804E-2</v>
      </c>
      <c r="S4321">
        <v>-3.0359799999999999</v>
      </c>
      <c r="T4321">
        <v>-7.4583769999999994E-2</v>
      </c>
      <c r="U4321">
        <v>0.31326290000000001</v>
      </c>
      <c r="V4321">
        <v>-7.1557339999999997E-2</v>
      </c>
      <c r="W4321">
        <v>7.5673470000000007E-2</v>
      </c>
      <c r="X4321">
        <v>0.99456169999999999</v>
      </c>
      <c r="Y4321">
        <v>9.2368919999999993E-2</v>
      </c>
      <c r="Z4321">
        <v>1.670134E-3</v>
      </c>
      <c r="AA4321">
        <v>0.99572340000000004</v>
      </c>
      <c r="AB4321">
        <v>38</v>
      </c>
      <c r="AC4321">
        <v>-44.827199999999998</v>
      </c>
      <c r="AD4321">
        <v>-1.1085239594580001</v>
      </c>
      <c r="AE4321">
        <v>4.6521000000000097</v>
      </c>
      <c r="AF4321">
        <v>4.1886937245167202</v>
      </c>
      <c r="AG4321">
        <v>-1.1085239594580001</v>
      </c>
      <c r="AH4321">
        <v>44.845504979999497</v>
      </c>
      <c r="AI4321">
        <v>91.409856592509499</v>
      </c>
      <c r="AJ4321">
        <v>84.663897912295496</v>
      </c>
      <c r="AK4321">
        <v>45.0543371652237</v>
      </c>
      <c r="AL4321">
        <v>85.660080522105901</v>
      </c>
      <c r="AM4321">
        <v>94.115260914011998</v>
      </c>
      <c r="AN4321">
        <v>0.99999995103830197</v>
      </c>
    </row>
    <row r="4322" spans="1:40" x14ac:dyDescent="0.25">
      <c r="A4322" t="str">
        <f>"20190305135321628"</f>
        <v>20190305135321628</v>
      </c>
      <c r="B4322" t="str">
        <f>"1551765201624101"</f>
        <v>1551765201624101</v>
      </c>
      <c r="C4322" t="s">
        <v>40</v>
      </c>
      <c r="D4322">
        <v>4.4236120000000003</v>
      </c>
      <c r="E4322">
        <v>0.56158699999999995</v>
      </c>
      <c r="F4322" t="s">
        <v>42</v>
      </c>
      <c r="G4322">
        <v>-398.09769999999997</v>
      </c>
      <c r="H4322" s="1">
        <v>-2.5041700000000001E-6</v>
      </c>
      <c r="I4322">
        <v>146.02699999999999</v>
      </c>
      <c r="J4322">
        <v>-352.5061</v>
      </c>
      <c r="K4322">
        <v>1.1086659999999999</v>
      </c>
      <c r="L4322">
        <v>141.2467</v>
      </c>
      <c r="M4322">
        <v>-0.99984379999999995</v>
      </c>
      <c r="N4322">
        <v>-1.3988540000000001E-2</v>
      </c>
      <c r="O4322">
        <v>1.079959E-2</v>
      </c>
      <c r="P4322">
        <v>-0.99619409999999997</v>
      </c>
      <c r="Q4322">
        <v>6.1689670000000002E-2</v>
      </c>
      <c r="R4322">
        <v>-6.1576199999999998E-2</v>
      </c>
      <c r="S4322">
        <v>-3.0354610000000002</v>
      </c>
      <c r="T4322">
        <v>-7.3195930000000006E-2</v>
      </c>
      <c r="U4322">
        <v>0.31594850000000002</v>
      </c>
      <c r="V4322">
        <v>-7.2173360000000006E-2</v>
      </c>
      <c r="W4322">
        <v>7.576049E-2</v>
      </c>
      <c r="X4322">
        <v>0.99451060000000002</v>
      </c>
      <c r="Y4322">
        <v>9.273613E-2</v>
      </c>
      <c r="Z4322">
        <v>1.6565250000000001E-3</v>
      </c>
      <c r="AA4322">
        <v>0.9956893</v>
      </c>
      <c r="AB4322">
        <v>38</v>
      </c>
      <c r="AC4322">
        <v>-45.5915999999999</v>
      </c>
      <c r="AD4322">
        <v>-1.10866850417</v>
      </c>
      <c r="AE4322">
        <v>4.7803000000000102</v>
      </c>
      <c r="AF4322">
        <v>4.2850960133244103</v>
      </c>
      <c r="AG4322">
        <v>-1.10866850417</v>
      </c>
      <c r="AH4322">
        <v>45.613891241837599</v>
      </c>
      <c r="AI4322">
        <v>91.386227458663001</v>
      </c>
      <c r="AJ4322">
        <v>84.633225578653295</v>
      </c>
      <c r="AK4322">
        <v>45.828138385905802</v>
      </c>
      <c r="AL4322">
        <v>85.655080457183303</v>
      </c>
      <c r="AM4322">
        <v>94.150777442898402</v>
      </c>
      <c r="AN4322">
        <v>0.99999998962554404</v>
      </c>
    </row>
    <row r="4323" spans="1:40" x14ac:dyDescent="0.25">
      <c r="A4323" t="str">
        <f>"20190305135321653"</f>
        <v>20190305135321653</v>
      </c>
      <c r="B4323" t="str">
        <f>"1551765201644596"</f>
        <v>1551765201644596</v>
      </c>
      <c r="C4323" t="s">
        <v>40</v>
      </c>
      <c r="D4323">
        <v>4.3507829999999998</v>
      </c>
      <c r="E4323">
        <v>0.56136079999999999</v>
      </c>
      <c r="F4323" t="s">
        <v>78</v>
      </c>
      <c r="G4323">
        <v>-400.0609</v>
      </c>
      <c r="H4323" s="1">
        <v>-8.0673270000000004E-6</v>
      </c>
      <c r="I4323">
        <v>146.12299999999999</v>
      </c>
      <c r="J4323">
        <v>-352.91449999999998</v>
      </c>
      <c r="K4323">
        <v>1.108816</v>
      </c>
      <c r="L4323">
        <v>141.2516</v>
      </c>
      <c r="M4323">
        <v>-0.99983880000000003</v>
      </c>
      <c r="N4323">
        <v>-1.4003379999999999E-2</v>
      </c>
      <c r="O4323">
        <v>1.124492E-2</v>
      </c>
      <c r="P4323">
        <v>-0.9961411</v>
      </c>
      <c r="Q4323">
        <v>6.2005780000000003E-2</v>
      </c>
      <c r="R4323">
        <v>-6.211407E-2</v>
      </c>
      <c r="S4323">
        <v>-3.0350649999999999</v>
      </c>
      <c r="T4323">
        <v>-7.0758340000000003E-2</v>
      </c>
      <c r="U4323">
        <v>0.3112183</v>
      </c>
      <c r="V4323">
        <v>-7.3178859999999998E-2</v>
      </c>
      <c r="W4323">
        <v>7.6068109999999994E-2</v>
      </c>
      <c r="X4323">
        <v>0.99441369999999896</v>
      </c>
      <c r="Y4323">
        <v>9.0773489999999998E-2</v>
      </c>
      <c r="Z4323">
        <v>1.5883010000000001E-3</v>
      </c>
      <c r="AA4323">
        <v>0.99587029999999999</v>
      </c>
      <c r="AB4323">
        <v>38</v>
      </c>
      <c r="AC4323">
        <v>-47.1464</v>
      </c>
      <c r="AD4323">
        <v>-1.108824067327</v>
      </c>
      <c r="AE4323">
        <v>4.8713999999999897</v>
      </c>
      <c r="AF4323">
        <v>4.3385080851394102</v>
      </c>
      <c r="AG4323">
        <v>-1.108824067327</v>
      </c>
      <c r="AH4323">
        <v>47.172385503350803</v>
      </c>
      <c r="AI4323">
        <v>91.340877416516705</v>
      </c>
      <c r="AJ4323">
        <v>84.745212679956097</v>
      </c>
      <c r="AK4323">
        <v>47.384449952424703</v>
      </c>
      <c r="AL4323">
        <v>85.637404406452404</v>
      </c>
      <c r="AM4323">
        <v>94.208807236841693</v>
      </c>
      <c r="AN4323">
        <v>1.00000005482877</v>
      </c>
    </row>
    <row r="4324" spans="1:40" x14ac:dyDescent="0.25">
      <c r="A4324" t="str">
        <f>"20190305135321674"</f>
        <v>20190305135321674</v>
      </c>
      <c r="B4324" t="str">
        <f>"1551765201664117"</f>
        <v>1551765201664117</v>
      </c>
      <c r="C4324" t="s">
        <v>40</v>
      </c>
      <c r="D4324">
        <v>4.353078</v>
      </c>
      <c r="E4324">
        <v>0.56113869999999999</v>
      </c>
      <c r="F4324" t="s">
        <v>78</v>
      </c>
      <c r="G4324">
        <v>-403.99450000000002</v>
      </c>
      <c r="H4324" s="1">
        <v>-9.9369119999999992E-6</v>
      </c>
      <c r="I4324">
        <v>146.42760000000001</v>
      </c>
      <c r="J4324">
        <v>-353.27769999999998</v>
      </c>
      <c r="K4324">
        <v>1.1089290000000001</v>
      </c>
      <c r="L4324">
        <v>141.2561</v>
      </c>
      <c r="M4324">
        <v>-0.99983500000000003</v>
      </c>
      <c r="N4324">
        <v>-1.401444E-2</v>
      </c>
      <c r="O4324">
        <v>1.1559740000000001E-2</v>
      </c>
      <c r="P4324">
        <v>-0.99604950000000003</v>
      </c>
      <c r="Q4324">
        <v>6.2710370000000001E-2</v>
      </c>
      <c r="R4324">
        <v>-6.2872689999999995E-2</v>
      </c>
      <c r="S4324">
        <v>-3.0348820000000001</v>
      </c>
      <c r="T4324">
        <v>-6.5880060000000004E-2</v>
      </c>
      <c r="U4324">
        <v>0.30752560000000001</v>
      </c>
      <c r="V4324">
        <v>-7.4267819999999998E-2</v>
      </c>
      <c r="W4324">
        <v>7.6764170000000007E-2</v>
      </c>
      <c r="X4324">
        <v>0.99427940000000004</v>
      </c>
      <c r="Y4324">
        <v>8.9271359999999994E-2</v>
      </c>
      <c r="Z4324">
        <v>1.50503299999999E-3</v>
      </c>
      <c r="AA4324">
        <v>0.99600619999999995</v>
      </c>
      <c r="AB4324">
        <v>38</v>
      </c>
      <c r="AC4324">
        <v>-50.716799999999999</v>
      </c>
      <c r="AD4324">
        <v>-1.108938936912</v>
      </c>
      <c r="AE4324">
        <v>5.1715</v>
      </c>
      <c r="AF4324">
        <v>4.5826554214119701</v>
      </c>
      <c r="AG4324">
        <v>-1.108938936912</v>
      </c>
      <c r="AH4324">
        <v>50.7491845963158</v>
      </c>
      <c r="AI4324">
        <v>91.246720743680001</v>
      </c>
      <c r="AJ4324">
        <v>84.840180737362004</v>
      </c>
      <c r="AK4324">
        <v>50.967736985941698</v>
      </c>
      <c r="AL4324">
        <v>85.597405849826799</v>
      </c>
      <c r="AM4324">
        <v>94.271782358662904</v>
      </c>
      <c r="AN4324">
        <v>0.99999998607384999</v>
      </c>
    </row>
    <row r="4325" spans="1:40" x14ac:dyDescent="0.25">
      <c r="A4325" t="str">
        <f>"20190305135321697"</f>
        <v>20190305135321697</v>
      </c>
      <c r="B4325" t="str">
        <f>"1551765201684612"</f>
        <v>1551765201684612</v>
      </c>
      <c r="C4325" t="s">
        <v>40</v>
      </c>
      <c r="D4325">
        <v>4.3246769999999897</v>
      </c>
      <c r="E4325">
        <v>0.56085810000000003</v>
      </c>
      <c r="F4325" t="s">
        <v>78</v>
      </c>
      <c r="G4325">
        <v>-409.54559999999998</v>
      </c>
      <c r="H4325" s="1">
        <v>-1.308487E-5</v>
      </c>
      <c r="I4325">
        <v>146.8785</v>
      </c>
      <c r="J4325">
        <v>-353.65179999999998</v>
      </c>
      <c r="K4325">
        <v>1.10903</v>
      </c>
      <c r="L4325">
        <v>141.26079999999999</v>
      </c>
      <c r="M4325">
        <v>-0.9998319</v>
      </c>
      <c r="N4325">
        <v>-1.402395E-2</v>
      </c>
      <c r="O4325">
        <v>1.1820499999999999E-2</v>
      </c>
      <c r="P4325">
        <v>-0.99595339999999999</v>
      </c>
      <c r="Q4325">
        <v>6.3367149999999997E-2</v>
      </c>
      <c r="R4325">
        <v>-6.3730739999999994E-2</v>
      </c>
      <c r="S4325">
        <v>-3.0347599999999999</v>
      </c>
      <c r="T4325">
        <v>-5.9809800000000003E-2</v>
      </c>
      <c r="U4325">
        <v>0.3032379</v>
      </c>
      <c r="V4325">
        <v>-7.5401369999999995E-2</v>
      </c>
      <c r="W4325">
        <v>7.7413109999999993E-2</v>
      </c>
      <c r="X4325">
        <v>0.99414380000000002</v>
      </c>
      <c r="Y4325">
        <v>8.7627659999999996E-2</v>
      </c>
      <c r="Z4325">
        <v>1.4104339999999999E-3</v>
      </c>
      <c r="AA4325">
        <v>0.99615229999999999</v>
      </c>
      <c r="AB4325">
        <v>38</v>
      </c>
      <c r="AC4325">
        <v>-55.893799999999999</v>
      </c>
      <c r="AD4325">
        <v>-1.1090430848699999</v>
      </c>
      <c r="AE4325">
        <v>5.6177000000000099</v>
      </c>
      <c r="AF4325">
        <v>4.9546187322176296</v>
      </c>
      <c r="AG4325">
        <v>-1.1090430848699999</v>
      </c>
      <c r="AH4325">
        <v>55.934503388195701</v>
      </c>
      <c r="AI4325">
        <v>91.131455994918497</v>
      </c>
      <c r="AJ4325">
        <v>84.938012460134701</v>
      </c>
      <c r="AK4325">
        <v>56.164462898080103</v>
      </c>
      <c r="AL4325">
        <v>85.560113528091094</v>
      </c>
      <c r="AM4325">
        <v>94.337324977479</v>
      </c>
      <c r="AN4325">
        <v>1.0000000256380901</v>
      </c>
    </row>
    <row r="4326" spans="1:40" x14ac:dyDescent="0.25">
      <c r="A4326" t="str">
        <f>"20190305135321718"</f>
        <v>20190305135321718</v>
      </c>
      <c r="B4326" t="str">
        <f>"1551765201704133"</f>
        <v>1551765201704133</v>
      </c>
      <c r="C4326" t="s">
        <v>40</v>
      </c>
      <c r="D4326">
        <v>4.3528650000000004</v>
      </c>
      <c r="E4326">
        <v>0.56067500000000003</v>
      </c>
      <c r="F4326" t="s">
        <v>78</v>
      </c>
      <c r="G4326">
        <v>-415.30309999999997</v>
      </c>
      <c r="H4326" s="1">
        <v>-1.2936720000000001E-5</v>
      </c>
      <c r="I4326">
        <v>147.32060000000001</v>
      </c>
      <c r="J4326">
        <v>-354.02929999999998</v>
      </c>
      <c r="K4326">
        <v>1.109116</v>
      </c>
      <c r="L4326">
        <v>141.2655</v>
      </c>
      <c r="M4326">
        <v>-0.99982919999999997</v>
      </c>
      <c r="N4326">
        <v>-1.403184E-2</v>
      </c>
      <c r="O4326">
        <v>1.203575E-2</v>
      </c>
      <c r="P4326">
        <v>-0.99590840000000003</v>
      </c>
      <c r="Q4326">
        <v>6.3757720000000004E-2</v>
      </c>
      <c r="R4326">
        <v>-6.4044599999999993E-2</v>
      </c>
      <c r="S4326">
        <v>-3.0347900000000001</v>
      </c>
      <c r="T4326">
        <v>-5.4592729999999999E-2</v>
      </c>
      <c r="U4326">
        <v>0.29829410000000001</v>
      </c>
      <c r="V4326">
        <v>-7.5943280000000002E-2</v>
      </c>
      <c r="W4326">
        <v>7.7796760000000006E-2</v>
      </c>
      <c r="X4326">
        <v>0.99407259999999997</v>
      </c>
      <c r="Y4326">
        <v>8.5809350000000006E-2</v>
      </c>
      <c r="Z4326">
        <v>1.326062E-3</v>
      </c>
      <c r="AA4326">
        <v>0.99631069999999999</v>
      </c>
      <c r="AB4326">
        <v>38</v>
      </c>
      <c r="AC4326">
        <v>-61.273800000000001</v>
      </c>
      <c r="AD4326">
        <v>-1.1091289367199999</v>
      </c>
      <c r="AE4326">
        <v>6.0551000000000004</v>
      </c>
      <c r="AF4326">
        <v>5.3153878841541697</v>
      </c>
      <c r="AG4326">
        <v>-1.1091289367199999</v>
      </c>
      <c r="AH4326">
        <v>61.3223476155867</v>
      </c>
      <c r="AI4326">
        <v>91.032317994876607</v>
      </c>
      <c r="AJ4326">
        <v>85.046015069917303</v>
      </c>
      <c r="AK4326">
        <v>61.562276049900298</v>
      </c>
      <c r="AL4326">
        <v>85.538065511044607</v>
      </c>
      <c r="AM4326">
        <v>94.3686887906115</v>
      </c>
      <c r="AN4326">
        <v>1.0000000258571999</v>
      </c>
    </row>
    <row r="4327" spans="1:40" x14ac:dyDescent="0.25">
      <c r="A4327" t="str">
        <f>"20190305135321741"</f>
        <v>20190305135321741</v>
      </c>
      <c r="B4327" t="str">
        <f>"1551765201734896"</f>
        <v>1551765201734896</v>
      </c>
      <c r="C4327" t="s">
        <v>40</v>
      </c>
      <c r="D4327">
        <v>4.3537080000000001</v>
      </c>
      <c r="E4327">
        <v>0.56048909999999996</v>
      </c>
      <c r="F4327" t="s">
        <v>78</v>
      </c>
      <c r="G4327">
        <v>-420.31720000000001</v>
      </c>
      <c r="H4327" s="1">
        <v>-1.2710370000000001E-5</v>
      </c>
      <c r="I4327">
        <v>147.72649999999999</v>
      </c>
      <c r="J4327">
        <v>-354.41919999999999</v>
      </c>
      <c r="K4327">
        <v>1.1091850000000001</v>
      </c>
      <c r="L4327">
        <v>141.2705</v>
      </c>
      <c r="M4327">
        <v>-0.99982680000000002</v>
      </c>
      <c r="N4327">
        <v>-1.4038470000000001E-2</v>
      </c>
      <c r="O4327">
        <v>1.2221050000000001E-2</v>
      </c>
      <c r="P4327">
        <v>-0.9958941</v>
      </c>
      <c r="Q4327">
        <v>6.3860630000000002E-2</v>
      </c>
      <c r="R4327">
        <v>-6.4164609999999997E-2</v>
      </c>
      <c r="S4327">
        <v>-3.0346069999999998</v>
      </c>
      <c r="T4327">
        <v>-5.0775050000000002E-2</v>
      </c>
      <c r="U4327">
        <v>0.29577639999999999</v>
      </c>
      <c r="V4327">
        <v>-7.626028E-2</v>
      </c>
      <c r="W4327">
        <v>7.7893740000000003E-2</v>
      </c>
      <c r="X4327">
        <v>0.9940407</v>
      </c>
      <c r="Y4327">
        <v>8.4814559999999997E-2</v>
      </c>
      <c r="Z4327">
        <v>1.271922E-3</v>
      </c>
      <c r="AA4327">
        <v>0.9963959</v>
      </c>
      <c r="AB4327">
        <v>38</v>
      </c>
      <c r="AC4327">
        <v>-65.897999999999996</v>
      </c>
      <c r="AD4327">
        <v>-1.1091977103699999</v>
      </c>
      <c r="AE4327">
        <v>6.45599999999998</v>
      </c>
      <c r="AF4327">
        <v>5.6485105665868902</v>
      </c>
      <c r="AG4327">
        <v>-1.1091977103699999</v>
      </c>
      <c r="AH4327">
        <v>65.9534765167259</v>
      </c>
      <c r="AI4327">
        <v>90.959989156257706</v>
      </c>
      <c r="AJ4327">
        <v>85.104913015143296</v>
      </c>
      <c r="AK4327">
        <v>66.204207236578597</v>
      </c>
      <c r="AL4327">
        <v>85.532491889240504</v>
      </c>
      <c r="AM4327">
        <v>94.386993624207193</v>
      </c>
      <c r="AN4327">
        <v>0.99999998914667798</v>
      </c>
    </row>
    <row r="4328" spans="1:40" x14ac:dyDescent="0.25">
      <c r="A4328" t="str">
        <f>"20190305135321764"</f>
        <v>20190305135321764</v>
      </c>
      <c r="B4328" t="str">
        <f>"1551765201754418"</f>
        <v>1551765201754418</v>
      </c>
      <c r="C4328" t="s">
        <v>40</v>
      </c>
      <c r="D4328">
        <v>4.3432250000000003</v>
      </c>
      <c r="E4328">
        <v>0.56038089999999996</v>
      </c>
      <c r="F4328" t="s">
        <v>78</v>
      </c>
      <c r="G4328">
        <v>-428.54</v>
      </c>
      <c r="H4328" s="1">
        <v>-1.4422619999999999E-5</v>
      </c>
      <c r="I4328">
        <v>148.44890000000001</v>
      </c>
      <c r="J4328">
        <v>-354.78609999999998</v>
      </c>
      <c r="K4328">
        <v>1.1092390000000001</v>
      </c>
      <c r="L4328">
        <v>141.27520000000001</v>
      </c>
      <c r="M4328">
        <v>-0.99982490000000002</v>
      </c>
      <c r="N4328">
        <v>-1.4043450000000001E-2</v>
      </c>
      <c r="O4328">
        <v>1.2366530000000001E-2</v>
      </c>
      <c r="P4328">
        <v>-0.99587720000000002</v>
      </c>
      <c r="Q4328">
        <v>6.4361650000000006E-2</v>
      </c>
      <c r="R4328">
        <v>-6.3924889999999998E-2</v>
      </c>
      <c r="S4328">
        <v>-3.0342099999999999</v>
      </c>
      <c r="T4328">
        <v>-4.5406219999999997E-2</v>
      </c>
      <c r="U4328">
        <v>0.2938538</v>
      </c>
      <c r="V4328">
        <v>-7.6175309999999996E-2</v>
      </c>
      <c r="W4328">
        <v>7.8388120000000006E-2</v>
      </c>
      <c r="X4328">
        <v>0.99400840000000001</v>
      </c>
      <c r="Y4328">
        <v>8.4060190000000007E-2</v>
      </c>
      <c r="Z4328">
        <v>1.2078970000000001E-3</v>
      </c>
      <c r="AA4328">
        <v>0.99646000000000001</v>
      </c>
      <c r="AB4328">
        <v>38</v>
      </c>
      <c r="AC4328">
        <v>-73.753900000000002</v>
      </c>
      <c r="AD4328">
        <v>-1.1092534226199999</v>
      </c>
      <c r="AE4328">
        <v>7.1736999999999904</v>
      </c>
      <c r="AF4328">
        <v>6.2595789075931396</v>
      </c>
      <c r="AG4328">
        <v>-1.1092534226199999</v>
      </c>
      <c r="AH4328">
        <v>73.820439916007103</v>
      </c>
      <c r="AI4328">
        <v>90.857805051061902</v>
      </c>
      <c r="AJ4328">
        <v>85.153218156510405</v>
      </c>
      <c r="AK4328">
        <v>74.093657762650594</v>
      </c>
      <c r="AL4328">
        <v>85.5040793407683</v>
      </c>
      <c r="AM4328">
        <v>94.382266481449093</v>
      </c>
      <c r="AN4328">
        <v>1.0000000372406399</v>
      </c>
    </row>
    <row r="4329" spans="1:40" x14ac:dyDescent="0.25">
      <c r="A4329" t="str">
        <f>"20190305135321784"</f>
        <v>20190305135321784</v>
      </c>
      <c r="B4329" t="str">
        <f>"1551765201773935"</f>
        <v>1551765201773935</v>
      </c>
      <c r="C4329" t="s">
        <v>40</v>
      </c>
      <c r="D4329">
        <v>4.3134489999999897</v>
      </c>
      <c r="E4329">
        <v>0.5602956</v>
      </c>
      <c r="F4329" t="s">
        <v>78</v>
      </c>
      <c r="G4329">
        <v>-435.63650000000001</v>
      </c>
      <c r="H4329" s="1">
        <v>-1.23837E-5</v>
      </c>
      <c r="I4329">
        <v>149.09809999999999</v>
      </c>
      <c r="J4329">
        <v>-355.14299999999997</v>
      </c>
      <c r="K4329">
        <v>1.1092900000000001</v>
      </c>
      <c r="L4329">
        <v>141.27979999999999</v>
      </c>
      <c r="M4329">
        <v>-0.99982349999999998</v>
      </c>
      <c r="N4329">
        <v>-1.404734E-2</v>
      </c>
      <c r="O4329">
        <v>1.2477749999999999E-2</v>
      </c>
      <c r="P4329">
        <v>-0.99592270000000005</v>
      </c>
      <c r="Q4329">
        <v>6.3653829999999995E-2</v>
      </c>
      <c r="R4329">
        <v>-6.3923859999999999E-2</v>
      </c>
      <c r="S4329">
        <v>-3.0339969999999998</v>
      </c>
      <c r="T4329">
        <v>-4.1625860000000001E-2</v>
      </c>
      <c r="U4329">
        <v>0.29356379999999999</v>
      </c>
      <c r="V4329">
        <v>-7.6296660000000002E-2</v>
      </c>
      <c r="W4329">
        <v>7.7675060000000004E-2</v>
      </c>
      <c r="X4329">
        <v>0.99405500000000002</v>
      </c>
      <c r="Y4329">
        <v>8.3863999999999994E-2</v>
      </c>
      <c r="Z4329">
        <v>1.168575E-3</v>
      </c>
      <c r="AA4329">
        <v>0.99647649999999999</v>
      </c>
      <c r="AB4329">
        <v>38</v>
      </c>
      <c r="AC4329">
        <v>-80.493499999999898</v>
      </c>
      <c r="AD4329">
        <v>-1.10930238369999</v>
      </c>
      <c r="AE4329">
        <v>7.81829999999999</v>
      </c>
      <c r="AF4329">
        <v>6.8119327171652397</v>
      </c>
      <c r="AG4329">
        <v>-1.10930238369999</v>
      </c>
      <c r="AH4329">
        <v>80.569637709526006</v>
      </c>
      <c r="AI4329">
        <v>90.786008473436098</v>
      </c>
      <c r="AJ4329">
        <v>85.167298712093</v>
      </c>
      <c r="AK4329">
        <v>80.864698724263704</v>
      </c>
      <c r="AL4329">
        <v>85.545059318218705</v>
      </c>
      <c r="AM4329">
        <v>94.389015373196003</v>
      </c>
      <c r="AN4329">
        <v>0.99999996914907896</v>
      </c>
    </row>
    <row r="4330" spans="1:40" x14ac:dyDescent="0.25">
      <c r="A4330" t="str">
        <f>"20190305135321808"</f>
        <v>20190305135321808</v>
      </c>
      <c r="B4330" t="str">
        <f>"1551765201794430"</f>
        <v>1551765201794430</v>
      </c>
      <c r="C4330" t="s">
        <v>40</v>
      </c>
      <c r="D4330">
        <v>4.3294050000000004</v>
      </c>
      <c r="E4330">
        <v>0.56019490000000005</v>
      </c>
      <c r="F4330" t="s">
        <v>78</v>
      </c>
      <c r="G4330">
        <v>-432.10719999999998</v>
      </c>
      <c r="H4330" s="1">
        <v>-1.378189E-5</v>
      </c>
      <c r="I4330">
        <v>148.7097</v>
      </c>
      <c r="J4330">
        <v>-355.51920000000001</v>
      </c>
      <c r="K4330">
        <v>1.10934</v>
      </c>
      <c r="L4330">
        <v>141.28469999999999</v>
      </c>
      <c r="M4330">
        <v>-0.9998224</v>
      </c>
      <c r="N4330">
        <v>-1.405055E-2</v>
      </c>
      <c r="O4330">
        <v>1.256004E-2</v>
      </c>
      <c r="P4330">
        <v>-0.99596830000000003</v>
      </c>
      <c r="Q4330">
        <v>6.3200679999999995E-2</v>
      </c>
      <c r="R4330">
        <v>-6.3665230000000003E-2</v>
      </c>
      <c r="S4330">
        <v>-3.0338750000000001</v>
      </c>
      <c r="T4330">
        <v>-4.3727990000000001E-2</v>
      </c>
      <c r="U4330">
        <v>0.2928772</v>
      </c>
      <c r="V4330">
        <v>-7.6131110000000002E-2</v>
      </c>
      <c r="W4330">
        <v>7.7215339999999993E-2</v>
      </c>
      <c r="X4330">
        <v>0.99410359999999998</v>
      </c>
      <c r="Y4330">
        <v>8.3561209999999997E-2</v>
      </c>
      <c r="Z4330">
        <v>1.1847909999999999E-3</v>
      </c>
      <c r="AA4330">
        <v>0.99650190000000005</v>
      </c>
      <c r="AB4330">
        <v>38</v>
      </c>
      <c r="AC4330">
        <v>-76.587999999999894</v>
      </c>
      <c r="AD4330">
        <v>-1.1093537818899999</v>
      </c>
      <c r="AE4330">
        <v>7.4250000000000096</v>
      </c>
      <c r="AF4330">
        <v>6.4610279459085396</v>
      </c>
      <c r="AG4330">
        <v>-1.1093537818899999</v>
      </c>
      <c r="AH4330">
        <v>76.659291168356205</v>
      </c>
      <c r="AI4330">
        <v>90.826153495647901</v>
      </c>
      <c r="AJ4330">
        <v>85.182360882760406</v>
      </c>
      <c r="AK4330">
        <v>76.9390828536838</v>
      </c>
      <c r="AL4330">
        <v>85.571479090639997</v>
      </c>
      <c r="AM4330">
        <v>94.379315817470697</v>
      </c>
      <c r="AN4330">
        <v>1.0000000610870501</v>
      </c>
    </row>
    <row r="4331" spans="1:40" x14ac:dyDescent="0.25">
      <c r="A4331" t="str">
        <f>"20190305135321832"</f>
        <v>20190305135321832</v>
      </c>
      <c r="B4331" t="str">
        <f>"1551765201824687"</f>
        <v>1551765201824687</v>
      </c>
      <c r="C4331" t="s">
        <v>40</v>
      </c>
      <c r="D4331">
        <v>4.3541499999999997</v>
      </c>
      <c r="E4331">
        <v>0.55991489999999999</v>
      </c>
      <c r="F4331" t="s">
        <v>78</v>
      </c>
      <c r="G4331">
        <v>-429.3999</v>
      </c>
      <c r="H4331" s="1">
        <v>-1.4542029999999999E-5</v>
      </c>
      <c r="I4331">
        <v>148.41630000000001</v>
      </c>
      <c r="J4331">
        <v>-355.92930000000001</v>
      </c>
      <c r="K4331">
        <v>1.10938799999999</v>
      </c>
      <c r="L4331">
        <v>141.28989999999999</v>
      </c>
      <c r="M4331">
        <v>-0.99982170000000004</v>
      </c>
      <c r="N4331">
        <v>-1.405319E-2</v>
      </c>
      <c r="O4331">
        <v>1.261762E-2</v>
      </c>
      <c r="P4331">
        <v>-0.99608920000000001</v>
      </c>
      <c r="Q4331">
        <v>6.2026949999999997E-2</v>
      </c>
      <c r="R4331">
        <v>-6.2921439999999995E-2</v>
      </c>
      <c r="S4331">
        <v>-3.0337830000000001</v>
      </c>
      <c r="T4331">
        <v>-4.5553679999999999E-2</v>
      </c>
      <c r="U4331">
        <v>0.29284670000000002</v>
      </c>
      <c r="V4331">
        <v>-7.5456300000000004E-2</v>
      </c>
      <c r="W4331">
        <v>7.6036740000000005E-2</v>
      </c>
      <c r="X4331">
        <v>0.99424579999999996</v>
      </c>
      <c r="Y4331">
        <v>8.3495689999999997E-2</v>
      </c>
      <c r="Z4331">
        <v>1.201487E-3</v>
      </c>
      <c r="AA4331">
        <v>0.99650740000000004</v>
      </c>
      <c r="AB4331">
        <v>38</v>
      </c>
      <c r="AC4331">
        <v>-73.470599999999905</v>
      </c>
      <c r="AD4331">
        <v>-1.10940254202999</v>
      </c>
      <c r="AE4331">
        <v>7.1264000000000101</v>
      </c>
      <c r="AF4331">
        <v>6.1973171116480801</v>
      </c>
      <c r="AG4331">
        <v>-1.10940254202999</v>
      </c>
      <c r="AH4331">
        <v>73.538066249529194</v>
      </c>
      <c r="AI4331">
        <v>90.861251783943302</v>
      </c>
      <c r="AJ4331">
        <v>85.182861078455502</v>
      </c>
      <c r="AK4331">
        <v>73.807077581372397</v>
      </c>
      <c r="AL4331">
        <v>85.639206646475998</v>
      </c>
      <c r="AM4331">
        <v>94.3400290647768</v>
      </c>
      <c r="AN4331">
        <v>0.99999997492857795</v>
      </c>
    </row>
    <row r="4332" spans="1:40" x14ac:dyDescent="0.25">
      <c r="A4332" t="str">
        <f>"20190305135321852"</f>
        <v>20190305135321852</v>
      </c>
      <c r="B4332" t="str">
        <f>"1551765201844717"</f>
        <v>1551765201844717</v>
      </c>
      <c r="C4332" t="s">
        <v>40</v>
      </c>
      <c r="D4332">
        <v>4.3477009999999998</v>
      </c>
      <c r="E4332">
        <v>0.55984060000000002</v>
      </c>
      <c r="F4332" t="s">
        <v>78</v>
      </c>
      <c r="G4332">
        <v>-423.14679999999998</v>
      </c>
      <c r="H4332" s="1">
        <v>-1.3229400000000001E-5</v>
      </c>
      <c r="I4332">
        <v>147.77510000000001</v>
      </c>
      <c r="J4332">
        <v>-356.28899999999999</v>
      </c>
      <c r="K4332">
        <v>1.1094269999999999</v>
      </c>
      <c r="L4332">
        <v>141.2945</v>
      </c>
      <c r="M4332">
        <v>-0.99982139999999997</v>
      </c>
      <c r="N4332">
        <v>-1.40549E-2</v>
      </c>
      <c r="O4332">
        <v>1.264157E-2</v>
      </c>
      <c r="P4332">
        <v>-0.99617820000000001</v>
      </c>
      <c r="Q4332">
        <v>6.1484320000000002E-2</v>
      </c>
      <c r="R4332">
        <v>-6.20384E-2</v>
      </c>
      <c r="S4332">
        <v>-3.0333860000000001</v>
      </c>
      <c r="T4332">
        <v>-5.0064919999999999E-2</v>
      </c>
      <c r="U4332">
        <v>0.29266360000000002</v>
      </c>
      <c r="V4332">
        <v>-7.4605550000000007E-2</v>
      </c>
      <c r="W4332">
        <v>7.5489479999999998E-2</v>
      </c>
      <c r="X4332">
        <v>0.99435169999999995</v>
      </c>
      <c r="Y4332">
        <v>8.3421930000000005E-2</v>
      </c>
      <c r="Z4332">
        <v>1.243678E-3</v>
      </c>
      <c r="AA4332">
        <v>0.99651350000000005</v>
      </c>
      <c r="AB4332">
        <v>38</v>
      </c>
      <c r="AC4332">
        <v>-66.857799999999997</v>
      </c>
      <c r="AD4332">
        <v>-1.1094402294000001</v>
      </c>
      <c r="AE4332">
        <v>6.4806000000000097</v>
      </c>
      <c r="AF4332">
        <v>5.6332743236494203</v>
      </c>
      <c r="AG4332">
        <v>-1.1094402294000001</v>
      </c>
      <c r="AH4332">
        <v>66.916134895195</v>
      </c>
      <c r="AI4332">
        <v>90.946504534498203</v>
      </c>
      <c r="AJ4332">
        <v>85.187952792199496</v>
      </c>
      <c r="AK4332">
        <v>67.161996296566699</v>
      </c>
      <c r="AL4332">
        <v>85.670652723598096</v>
      </c>
      <c r="AM4332">
        <v>94.290824878344196</v>
      </c>
      <c r="AN4332">
        <v>0.99999997648718097</v>
      </c>
    </row>
    <row r="4333" spans="1:40" x14ac:dyDescent="0.25">
      <c r="A4333" t="str">
        <f>"20190305135321873"</f>
        <v>20190305135321873</v>
      </c>
      <c r="B4333" t="str">
        <f>"1551765201864234"</f>
        <v>1551765201864234</v>
      </c>
      <c r="C4333" t="s">
        <v>40</v>
      </c>
      <c r="D4333">
        <v>4.2969330000000001</v>
      </c>
      <c r="E4333">
        <v>0.5597432</v>
      </c>
      <c r="F4333" t="s">
        <v>78</v>
      </c>
      <c r="G4333">
        <v>-423.42340000000002</v>
      </c>
      <c r="H4333" s="1">
        <v>-1.3294909999999999E-5</v>
      </c>
      <c r="I4333">
        <v>147.822</v>
      </c>
      <c r="J4333">
        <v>-356.6438</v>
      </c>
      <c r="K4333">
        <v>1.10947</v>
      </c>
      <c r="L4333">
        <v>141.29910000000001</v>
      </c>
      <c r="M4333">
        <v>-0.99982150000000003</v>
      </c>
      <c r="N4333">
        <v>-1.405608E-2</v>
      </c>
      <c r="O4333">
        <v>1.262331E-2</v>
      </c>
      <c r="P4333">
        <v>-0.99620070000000005</v>
      </c>
      <c r="Q4333">
        <v>6.1685169999999998E-2</v>
      </c>
      <c r="R4333">
        <v>-6.1474679999999997E-2</v>
      </c>
      <c r="S4333">
        <v>-3.0329280000000001</v>
      </c>
      <c r="T4333">
        <v>-5.0121190000000003E-2</v>
      </c>
      <c r="U4333">
        <v>0.29489140000000003</v>
      </c>
      <c r="V4333">
        <v>-7.4031669999999994E-2</v>
      </c>
      <c r="W4333">
        <v>7.5684409999999994E-2</v>
      </c>
      <c r="X4333">
        <v>0.99437980000000004</v>
      </c>
      <c r="Y4333">
        <v>8.4179450000000003E-2</v>
      </c>
      <c r="Z4333">
        <v>1.2559769999999999E-3</v>
      </c>
      <c r="AA4333">
        <v>0.99644980000000005</v>
      </c>
      <c r="AB4333">
        <v>38</v>
      </c>
      <c r="AC4333">
        <v>-66.779600000000002</v>
      </c>
      <c r="AD4333">
        <v>-1.10948329491</v>
      </c>
      <c r="AE4333">
        <v>6.5228999999999902</v>
      </c>
      <c r="AF4333">
        <v>5.6777648581752898</v>
      </c>
      <c r="AG4333">
        <v>-1.10948329491</v>
      </c>
      <c r="AH4333">
        <v>66.838351937752194</v>
      </c>
      <c r="AI4333">
        <v>90.947581855722206</v>
      </c>
      <c r="AJ4333">
        <v>85.1445116669275</v>
      </c>
      <c r="AK4333">
        <v>67.088249766417604</v>
      </c>
      <c r="AL4333">
        <v>85.659452126727103</v>
      </c>
      <c r="AM4333">
        <v>94.257821015161298</v>
      </c>
      <c r="AN4333">
        <v>1.0000000023640301</v>
      </c>
    </row>
    <row r="4334" spans="1:40" x14ac:dyDescent="0.25">
      <c r="A4334" t="str">
        <f>"20190305135321897"</f>
        <v>20190305135321897</v>
      </c>
      <c r="B4334" t="str">
        <f>"1551765201884729"</f>
        <v>1551765201884729</v>
      </c>
      <c r="C4334" t="s">
        <v>40</v>
      </c>
      <c r="D4334">
        <v>4.3086840000000004</v>
      </c>
      <c r="E4334">
        <v>0.55969530000000001</v>
      </c>
      <c r="F4334" t="s">
        <v>78</v>
      </c>
      <c r="G4334">
        <v>-426.69479999999999</v>
      </c>
      <c r="H4334" s="1">
        <v>-1.39829299999999E-5</v>
      </c>
      <c r="I4334">
        <v>148.12880000000001</v>
      </c>
      <c r="J4334">
        <v>-357.02940000000001</v>
      </c>
      <c r="K4334">
        <v>1.1095269999999999</v>
      </c>
      <c r="L4334">
        <v>141.3039</v>
      </c>
      <c r="M4334">
        <v>-0.99982260000000001</v>
      </c>
      <c r="N4334">
        <v>-1.4056900000000001E-2</v>
      </c>
      <c r="O4334">
        <v>1.25363E-2</v>
      </c>
      <c r="P4334">
        <v>-0.99622520000000003</v>
      </c>
      <c r="Q4334">
        <v>6.1495080000000001E-2</v>
      </c>
      <c r="R4334">
        <v>-6.1269810000000001E-2</v>
      </c>
      <c r="S4334">
        <v>-3.0326230000000001</v>
      </c>
      <c r="T4334">
        <v>-4.8031329999999997E-2</v>
      </c>
      <c r="U4334">
        <v>0.29566959999999998</v>
      </c>
      <c r="V4334">
        <v>-7.3750179999999999E-2</v>
      </c>
      <c r="W4334">
        <v>7.5485670000000005E-2</v>
      </c>
      <c r="X4334">
        <v>0.99441579999999996</v>
      </c>
      <c r="Y4334">
        <v>8.4530309999999997E-2</v>
      </c>
      <c r="Z4334">
        <v>1.241207E-3</v>
      </c>
      <c r="AA4334">
        <v>0.99642010000000003</v>
      </c>
      <c r="AB4334">
        <v>38</v>
      </c>
      <c r="AC4334">
        <v>-69.665399999999906</v>
      </c>
      <c r="AD4334">
        <v>-1.10954098293</v>
      </c>
      <c r="AE4334">
        <v>6.8249000000000102</v>
      </c>
      <c r="AF4334">
        <v>5.9494361293958304</v>
      </c>
      <c r="AG4334">
        <v>-1.10954098293</v>
      </c>
      <c r="AH4334">
        <v>69.727972809620894</v>
      </c>
      <c r="AI4334">
        <v>90.908337883658007</v>
      </c>
      <c r="AJ4334">
        <v>85.123134179575899</v>
      </c>
      <c r="AK4334">
        <v>69.990121185705902</v>
      </c>
      <c r="AL4334">
        <v>85.670871657612494</v>
      </c>
      <c r="AM4334">
        <v>94.241537739923302</v>
      </c>
      <c r="AN4334">
        <v>0.99999997935750995</v>
      </c>
    </row>
    <row r="4335" spans="1:40" x14ac:dyDescent="0.25">
      <c r="A4335" t="str">
        <f>"20190305135321920"</f>
        <v>20190305135321920</v>
      </c>
      <c r="B4335" t="str">
        <f>"1551765201914010"</f>
        <v>1551765201914010</v>
      </c>
      <c r="C4335" t="s">
        <v>40</v>
      </c>
      <c r="D4335">
        <v>4.3171419999999996</v>
      </c>
      <c r="E4335">
        <v>0.55961729999999998</v>
      </c>
      <c r="F4335" t="s">
        <v>78</v>
      </c>
      <c r="G4335">
        <v>-428.48649999999998</v>
      </c>
      <c r="H4335" s="1">
        <v>-1.435206E-5</v>
      </c>
      <c r="I4335">
        <v>148.2749</v>
      </c>
      <c r="J4335">
        <v>-357.4144</v>
      </c>
      <c r="K4335">
        <v>1.1095969999999999</v>
      </c>
      <c r="L4335">
        <v>141.30860000000001</v>
      </c>
      <c r="M4335">
        <v>-0.99982470000000001</v>
      </c>
      <c r="N4335">
        <v>-1.405738E-2</v>
      </c>
      <c r="O4335">
        <v>1.2368219999999999E-2</v>
      </c>
      <c r="P4335">
        <v>-0.9962375</v>
      </c>
      <c r="Q4335">
        <v>6.1657980000000001E-2</v>
      </c>
      <c r="R4335">
        <v>-6.090454E-2</v>
      </c>
      <c r="S4335">
        <v>-3.0325009999999999</v>
      </c>
      <c r="T4335">
        <v>-4.7086830000000003E-2</v>
      </c>
      <c r="U4335">
        <v>0.29583739999999997</v>
      </c>
      <c r="V4335">
        <v>-7.3231060000000001E-2</v>
      </c>
      <c r="W4335">
        <v>7.5637339999999997E-2</v>
      </c>
      <c r="X4335">
        <v>0.99444259999999995</v>
      </c>
      <c r="Y4335">
        <v>8.4756860000000003E-2</v>
      </c>
      <c r="Z4335">
        <v>1.2356100000000001E-3</v>
      </c>
      <c r="AA4335">
        <v>0.99640090000000003</v>
      </c>
      <c r="AB4335">
        <v>38</v>
      </c>
      <c r="AC4335">
        <v>-71.072099999999907</v>
      </c>
      <c r="AD4335">
        <v>-1.1096113520599999</v>
      </c>
      <c r="AE4335">
        <v>6.9662999999999897</v>
      </c>
      <c r="AF4335">
        <v>6.0851756751868802</v>
      </c>
      <c r="AG4335">
        <v>-1.1096113520599999</v>
      </c>
      <c r="AH4335">
        <v>71.135657640048706</v>
      </c>
      <c r="AI4335">
        <v>90.8904058148307</v>
      </c>
      <c r="AJ4335">
        <v>85.110635576449994</v>
      </c>
      <c r="AK4335">
        <v>71.404078232498193</v>
      </c>
      <c r="AL4335">
        <v>85.662156520748795</v>
      </c>
      <c r="AM4335">
        <v>94.211676705763594</v>
      </c>
      <c r="AN4335">
        <v>0.99999994002287695</v>
      </c>
    </row>
    <row r="4336" spans="1:40" x14ac:dyDescent="0.25">
      <c r="A4336" t="str">
        <f>"20190305135321942"</f>
        <v>20190305135321942</v>
      </c>
      <c r="B4336" t="str">
        <f>"1551765201934041"</f>
        <v>1551765201934041</v>
      </c>
      <c r="C4336" t="s">
        <v>40</v>
      </c>
      <c r="D4336">
        <v>4.3083</v>
      </c>
      <c r="E4336">
        <v>0.55960759999999998</v>
      </c>
      <c r="F4336" t="s">
        <v>78</v>
      </c>
      <c r="G4336">
        <v>-433.44380000000001</v>
      </c>
      <c r="H4336" s="1">
        <v>-1.3200340000000001E-5</v>
      </c>
      <c r="I4336">
        <v>148.73869999999999</v>
      </c>
      <c r="J4336">
        <v>-357.8057</v>
      </c>
      <c r="K4336">
        <v>1.109675</v>
      </c>
      <c r="L4336">
        <v>141.31319999999999</v>
      </c>
      <c r="M4336">
        <v>-0.99982800000000005</v>
      </c>
      <c r="N4336">
        <v>-1.405765E-2</v>
      </c>
      <c r="O4336">
        <v>1.210576E-2</v>
      </c>
      <c r="P4336">
        <v>-0.99628030000000001</v>
      </c>
      <c r="Q4336">
        <v>6.1042520000000003E-2</v>
      </c>
      <c r="R4336">
        <v>-6.0825299999999999E-2</v>
      </c>
      <c r="S4336">
        <v>-3.0321959999999999</v>
      </c>
      <c r="T4336">
        <v>-4.4253349999999997E-2</v>
      </c>
      <c r="U4336">
        <v>0.29632570000000003</v>
      </c>
      <c r="V4336">
        <v>-7.2905919999999999E-2</v>
      </c>
      <c r="W4336">
        <v>7.5007799999999999E-2</v>
      </c>
      <c r="X4336">
        <v>0.99451420000000001</v>
      </c>
      <c r="Y4336">
        <v>8.5188689999999997E-2</v>
      </c>
      <c r="Z4336">
        <v>1.2140149999999999E-3</v>
      </c>
      <c r="AA4336">
        <v>0.99636409999999997</v>
      </c>
      <c r="AB4336">
        <v>38</v>
      </c>
      <c r="AC4336">
        <v>-75.638099999999994</v>
      </c>
      <c r="AD4336">
        <v>-1.1096882003399999</v>
      </c>
      <c r="AE4336">
        <v>7.4254999999999898</v>
      </c>
      <c r="AF4336">
        <v>6.5078213222418304</v>
      </c>
      <c r="AG4336">
        <v>-1.1096882003399999</v>
      </c>
      <c r="AH4336">
        <v>75.706317140780698</v>
      </c>
      <c r="AI4336">
        <v>90.836684894760396</v>
      </c>
      <c r="AJ4336">
        <v>85.086852265756605</v>
      </c>
      <c r="AK4336">
        <v>75.993615529757903</v>
      </c>
      <c r="AL4336">
        <v>85.698329390609203</v>
      </c>
      <c r="AM4336">
        <v>94.192743241391696</v>
      </c>
      <c r="AN4336">
        <v>0.99999996861676199</v>
      </c>
    </row>
    <row r="4337" spans="1:40" x14ac:dyDescent="0.25">
      <c r="A4337" t="str">
        <f>"20190305135321963"</f>
        <v>20190305135321963</v>
      </c>
      <c r="B4337" t="str">
        <f>"1551765201954534"</f>
        <v>1551765201954534</v>
      </c>
      <c r="C4337" t="s">
        <v>40</v>
      </c>
      <c r="D4337">
        <v>4.3058709999999998</v>
      </c>
      <c r="E4337">
        <v>0.55960489999999996</v>
      </c>
      <c r="F4337" t="s">
        <v>78</v>
      </c>
      <c r="G4337">
        <v>-432.70119999999997</v>
      </c>
      <c r="H4337" s="1">
        <v>-1.34892299999999E-5</v>
      </c>
      <c r="I4337">
        <v>148.6337</v>
      </c>
      <c r="J4337">
        <v>-358.14019999999999</v>
      </c>
      <c r="K4337">
        <v>1.1097490000000001</v>
      </c>
      <c r="L4337">
        <v>141.31710000000001</v>
      </c>
      <c r="M4337">
        <v>-0.99983160000000004</v>
      </c>
      <c r="N4337">
        <v>-1.4057709999999999E-2</v>
      </c>
      <c r="O4337">
        <v>1.179821E-2</v>
      </c>
      <c r="P4337">
        <v>-0.99631970000000003</v>
      </c>
      <c r="Q4337">
        <v>6.042463E-2</v>
      </c>
      <c r="R4337">
        <v>-6.0797169999999998E-2</v>
      </c>
      <c r="S4337">
        <v>-3.0320130000000001</v>
      </c>
      <c r="T4337">
        <v>-4.4923780000000003E-2</v>
      </c>
      <c r="U4337">
        <v>0.29635620000000001</v>
      </c>
      <c r="V4337">
        <v>-7.2586390000000001E-2</v>
      </c>
      <c r="W4337">
        <v>7.4377280000000004E-2</v>
      </c>
      <c r="X4337">
        <v>0.99458500000000005</v>
      </c>
      <c r="Y4337">
        <v>8.5510439999999993E-2</v>
      </c>
      <c r="Z4337">
        <v>1.2256459999999999E-3</v>
      </c>
      <c r="AA4337">
        <v>0.99633649999999996</v>
      </c>
      <c r="AB4337">
        <v>38</v>
      </c>
      <c r="AC4337">
        <v>-74.560999999999893</v>
      </c>
      <c r="AD4337">
        <v>-1.10976248923</v>
      </c>
      <c r="AE4337">
        <v>7.3165999999999896</v>
      </c>
      <c r="AF4337">
        <v>6.4349054622726696</v>
      </c>
      <c r="AG4337">
        <v>-1.10976248923</v>
      </c>
      <c r="AH4337">
        <v>74.625766415774507</v>
      </c>
      <c r="AI4337">
        <v>90.848835396985805</v>
      </c>
      <c r="AJ4337">
        <v>85.071632772139495</v>
      </c>
      <c r="AK4337">
        <v>74.910911049276507</v>
      </c>
      <c r="AL4337">
        <v>85.734557042209602</v>
      </c>
      <c r="AM4337">
        <v>94.174136398488798</v>
      </c>
      <c r="AN4337">
        <v>1.00000004300921</v>
      </c>
    </row>
    <row r="4338" spans="1:40" x14ac:dyDescent="0.25">
      <c r="A4338" t="str">
        <f>"20190305135321985"</f>
        <v>20190305135321985</v>
      </c>
      <c r="B4338" t="str">
        <f>"1551765201974054"</f>
        <v>1551765201974054</v>
      </c>
      <c r="C4338" t="s">
        <v>40</v>
      </c>
      <c r="D4338">
        <v>4.2986050000000002</v>
      </c>
      <c r="E4338">
        <v>0.55961099999999997</v>
      </c>
      <c r="F4338" t="s">
        <v>78</v>
      </c>
      <c r="G4338">
        <v>-432.4434</v>
      </c>
      <c r="H4338" s="1">
        <v>-1.358327E-5</v>
      </c>
      <c r="I4338">
        <v>148.58099999999999</v>
      </c>
      <c r="J4338">
        <v>-358.5154</v>
      </c>
      <c r="K4338">
        <v>1.109834</v>
      </c>
      <c r="L4338">
        <v>141.3212</v>
      </c>
      <c r="M4338">
        <v>-0.99983659999999996</v>
      </c>
      <c r="N4338">
        <v>-1.4057719999999999E-2</v>
      </c>
      <c r="O4338">
        <v>1.1372210000000001E-2</v>
      </c>
      <c r="P4338">
        <v>-0.99634420000000001</v>
      </c>
      <c r="Q4338">
        <v>5.9977669999999997E-2</v>
      </c>
      <c r="R4338">
        <v>-6.0837740000000001E-2</v>
      </c>
      <c r="S4338">
        <v>-3.0319210000000001</v>
      </c>
      <c r="T4338">
        <v>-4.528356E-2</v>
      </c>
      <c r="U4338">
        <v>0.296402</v>
      </c>
      <c r="V4338">
        <v>-7.2218009999999999E-2</v>
      </c>
      <c r="W4338">
        <v>7.3916029999999994E-2</v>
      </c>
      <c r="X4338">
        <v>0.99464609999999998</v>
      </c>
      <c r="Y4338">
        <v>8.5952440000000005E-2</v>
      </c>
      <c r="Z4338">
        <v>1.2361010000000001E-3</v>
      </c>
      <c r="AA4338">
        <v>0.99629849999999998</v>
      </c>
      <c r="AB4338">
        <v>37</v>
      </c>
      <c r="AC4338">
        <v>-73.927999999999997</v>
      </c>
      <c r="AD4338">
        <v>-1.1098475832700001</v>
      </c>
      <c r="AE4338">
        <v>7.25980000000001</v>
      </c>
      <c r="AF4338">
        <v>6.4170902472604396</v>
      </c>
      <c r="AG4338">
        <v>-1.1098475832700001</v>
      </c>
      <c r="AH4338">
        <v>73.989270398571406</v>
      </c>
      <c r="AI4338">
        <v>90.856165281183806</v>
      </c>
      <c r="AJ4338">
        <v>85.043140227152406</v>
      </c>
      <c r="AK4338">
        <v>74.275318531881695</v>
      </c>
      <c r="AL4338">
        <v>85.761057239137898</v>
      </c>
      <c r="AM4338">
        <v>94.152772508386604</v>
      </c>
      <c r="AN4338">
        <v>0.99999994235226297</v>
      </c>
    </row>
    <row r="4339" spans="1:40" x14ac:dyDescent="0.25">
      <c r="A4339" t="str">
        <f>"20190305135322008"</f>
        <v>20190305135322008</v>
      </c>
      <c r="B4339" t="str">
        <f>"1551765201994550"</f>
        <v>1551765201994550</v>
      </c>
      <c r="C4339" t="s">
        <v>40</v>
      </c>
      <c r="D4339">
        <v>4.3158050000000001</v>
      </c>
      <c r="E4339">
        <v>0.55964809999999998</v>
      </c>
      <c r="F4339" t="s">
        <v>78</v>
      </c>
      <c r="G4339">
        <v>-432.81970000000001</v>
      </c>
      <c r="H4339" s="1">
        <v>-1.341721E-5</v>
      </c>
      <c r="I4339">
        <v>148.5831</v>
      </c>
      <c r="J4339">
        <v>-358.88990000000001</v>
      </c>
      <c r="K4339">
        <v>1.109909</v>
      </c>
      <c r="L4339">
        <v>141.32490000000001</v>
      </c>
      <c r="M4339">
        <v>-0.99984220000000001</v>
      </c>
      <c r="N4339">
        <v>-1.4057299999999899E-2</v>
      </c>
      <c r="O4339">
        <v>1.086731E-2</v>
      </c>
      <c r="P4339">
        <v>-0.99630669999999999</v>
      </c>
      <c r="Q4339">
        <v>6.03876E-2</v>
      </c>
      <c r="R4339">
        <v>-6.104648E-2</v>
      </c>
      <c r="S4339">
        <v>-3.0318299999999998</v>
      </c>
      <c r="T4339">
        <v>-4.5284989999999997E-2</v>
      </c>
      <c r="U4339">
        <v>0.29631039999999997</v>
      </c>
      <c r="V4339">
        <v>-7.1937479999999998E-2</v>
      </c>
      <c r="W4339">
        <v>7.4313089999999998E-2</v>
      </c>
      <c r="X4339">
        <v>0.99463690000000005</v>
      </c>
      <c r="Y4339">
        <v>8.6428550000000007E-2</v>
      </c>
      <c r="Z4339">
        <v>1.243447E-3</v>
      </c>
      <c r="AA4339">
        <v>0.99625730000000001</v>
      </c>
      <c r="AB4339">
        <v>37</v>
      </c>
      <c r="AC4339">
        <v>-73.9298</v>
      </c>
      <c r="AD4339">
        <v>-1.10992241721</v>
      </c>
      <c r="AE4339">
        <v>7.25819999999998</v>
      </c>
      <c r="AF4339">
        <v>6.4528333592926099</v>
      </c>
      <c r="AG4339">
        <v>-1.10992241721</v>
      </c>
      <c r="AH4339">
        <v>73.987801063347106</v>
      </c>
      <c r="AI4339">
        <v>90.856204175935005</v>
      </c>
      <c r="AJ4339">
        <v>85.015570797568898</v>
      </c>
      <c r="AK4339">
        <v>74.276952632188994</v>
      </c>
      <c r="AL4339">
        <v>85.738244879183398</v>
      </c>
      <c r="AM4339">
        <v>94.136735351861404</v>
      </c>
      <c r="AN4339">
        <v>0.99999999960785402</v>
      </c>
    </row>
    <row r="4340" spans="1:40" x14ac:dyDescent="0.25">
      <c r="A4340" t="str">
        <f>"20190305135322031"</f>
        <v>20190305135322031</v>
      </c>
      <c r="B4340" t="str">
        <f>"1551765202024809"</f>
        <v>1551765202024809</v>
      </c>
      <c r="C4340" t="s">
        <v>40</v>
      </c>
      <c r="D4340">
        <v>4.3144130000000001</v>
      </c>
      <c r="E4340">
        <v>0.55973289999999998</v>
      </c>
      <c r="F4340" t="s">
        <v>78</v>
      </c>
      <c r="G4340">
        <v>-437.14859999999999</v>
      </c>
      <c r="H4340" s="1">
        <v>-1.16655199999999E-5</v>
      </c>
      <c r="I4340">
        <v>148.96270000000001</v>
      </c>
      <c r="J4340">
        <v>-359.28230000000002</v>
      </c>
      <c r="K4340">
        <v>1.109982</v>
      </c>
      <c r="L4340">
        <v>141.32859999999999</v>
      </c>
      <c r="M4340">
        <v>-0.99984850000000003</v>
      </c>
      <c r="N4340">
        <v>-1.4056300000000001E-2</v>
      </c>
      <c r="O4340">
        <v>1.027979E-2</v>
      </c>
      <c r="P4340">
        <v>-0.99624789999999996</v>
      </c>
      <c r="Q4340">
        <v>6.0664639999999999E-2</v>
      </c>
      <c r="R4340">
        <v>-6.1730090000000001E-2</v>
      </c>
      <c r="S4340">
        <v>-3.03186</v>
      </c>
      <c r="T4340">
        <v>-4.299998E-2</v>
      </c>
      <c r="U4340">
        <v>0.29589840000000001</v>
      </c>
      <c r="V4340">
        <v>-7.2046079999999998E-2</v>
      </c>
      <c r="W4340">
        <v>7.4577959999999999E-2</v>
      </c>
      <c r="X4340">
        <v>0.99460919999999997</v>
      </c>
      <c r="Y4340">
        <v>8.6880189999999996E-2</v>
      </c>
      <c r="Z4340">
        <v>1.2255110000000001E-3</v>
      </c>
      <c r="AA4340">
        <v>0.99621800000000005</v>
      </c>
      <c r="AB4340">
        <v>37</v>
      </c>
      <c r="AC4340">
        <v>-77.866299999999896</v>
      </c>
      <c r="AD4340">
        <v>-1.10999366552</v>
      </c>
      <c r="AE4340">
        <v>7.6341000000000099</v>
      </c>
      <c r="AF4340">
        <v>6.8317932957555696</v>
      </c>
      <c r="AG4340">
        <v>-1.10999366552</v>
      </c>
      <c r="AH4340">
        <v>77.924985279110402</v>
      </c>
      <c r="AI4340">
        <v>90.812970123039506</v>
      </c>
      <c r="AJ4340">
        <v>84.989609126931398</v>
      </c>
      <c r="AK4340">
        <v>78.231763474454496</v>
      </c>
      <c r="AL4340">
        <v>85.723026655304096</v>
      </c>
      <c r="AM4340">
        <v>94.143073601726101</v>
      </c>
      <c r="AN4340">
        <v>0.99999998524288303</v>
      </c>
    </row>
    <row r="4341" spans="1:40" x14ac:dyDescent="0.25">
      <c r="A4341" t="str">
        <f>"20190305135322053"</f>
        <v>20190305135322053</v>
      </c>
      <c r="B4341" t="str">
        <f>"1551765202044326"</f>
        <v>1551765202044326</v>
      </c>
      <c r="C4341" t="s">
        <v>40</v>
      </c>
      <c r="D4341">
        <v>4.3221429999999996</v>
      </c>
      <c r="E4341">
        <v>0.55973539999999999</v>
      </c>
      <c r="F4341" t="s">
        <v>42</v>
      </c>
      <c r="G4341">
        <v>-443.71850000000001</v>
      </c>
      <c r="H4341" s="1">
        <v>-3.75598E-6</v>
      </c>
      <c r="I4341">
        <v>149.5309</v>
      </c>
      <c r="J4341">
        <v>-359.63549999999998</v>
      </c>
      <c r="K4341">
        <v>1.110039</v>
      </c>
      <c r="L4341">
        <v>141.33170000000001</v>
      </c>
      <c r="M4341">
        <v>-0.99985409999999997</v>
      </c>
      <c r="N4341">
        <v>-1.405532E-2</v>
      </c>
      <c r="O4341">
        <v>9.7178339999999998E-3</v>
      </c>
      <c r="P4341">
        <v>-0.99610330000000002</v>
      </c>
      <c r="Q4341">
        <v>6.2390269999999998E-2</v>
      </c>
      <c r="R4341">
        <v>-6.2337749999999997E-2</v>
      </c>
      <c r="S4341">
        <v>-3.0320429999999998</v>
      </c>
      <c r="T4341">
        <v>-3.9858820000000003E-2</v>
      </c>
      <c r="U4341">
        <v>0.29454039999999998</v>
      </c>
      <c r="V4341">
        <v>-7.2102139999999995E-2</v>
      </c>
      <c r="W4341">
        <v>7.6293479999999997E-2</v>
      </c>
      <c r="X4341">
        <v>0.994475</v>
      </c>
      <c r="Y4341">
        <v>8.6994109999999999E-2</v>
      </c>
      <c r="Z4341">
        <v>1.1921880000000001E-3</v>
      </c>
      <c r="AA4341">
        <v>0.99620810000000004</v>
      </c>
      <c r="AB4341">
        <v>37</v>
      </c>
      <c r="AC4341">
        <v>-84.082999999999998</v>
      </c>
      <c r="AD4341">
        <v>-1.1100427559799999</v>
      </c>
      <c r="AE4341">
        <v>8.1991999999999905</v>
      </c>
      <c r="AF4341">
        <v>7.3803533126802296</v>
      </c>
      <c r="AG4341">
        <v>-1.1100427559799999</v>
      </c>
      <c r="AH4341">
        <v>84.144188170236603</v>
      </c>
      <c r="AI4341">
        <v>90.7529203836433</v>
      </c>
      <c r="AJ4341">
        <v>84.987369945717504</v>
      </c>
      <c r="AK4341">
        <v>84.474529964766703</v>
      </c>
      <c r="AL4341">
        <v>85.6244536503538</v>
      </c>
      <c r="AM4341">
        <v>94.146843713904005</v>
      </c>
      <c r="AN4341">
        <v>0.99999996965404403</v>
      </c>
    </row>
    <row r="4342" spans="1:40" x14ac:dyDescent="0.25">
      <c r="A4342" t="str">
        <f>"20190305135322075"</f>
        <v>20190305135322075</v>
      </c>
      <c r="B4342" t="str">
        <f>"1551765202063846"</f>
        <v>1551765202063846</v>
      </c>
      <c r="C4342" t="s">
        <v>40</v>
      </c>
      <c r="D4342">
        <v>4.3180440000000004</v>
      </c>
      <c r="E4342">
        <v>0.55974219999999997</v>
      </c>
      <c r="F4342" t="s">
        <v>42</v>
      </c>
      <c r="G4342">
        <v>-452.36489999999998</v>
      </c>
      <c r="H4342">
        <v>7.9987119999999995E-2</v>
      </c>
      <c r="I4342">
        <v>150.28370000000001</v>
      </c>
      <c r="J4342">
        <v>-360.0129</v>
      </c>
      <c r="K4342">
        <v>1.110079</v>
      </c>
      <c r="L4342">
        <v>141.3348</v>
      </c>
      <c r="M4342">
        <v>-0.99985990000000002</v>
      </c>
      <c r="N4342">
        <v>-1.4054290000000001E-2</v>
      </c>
      <c r="O4342">
        <v>9.0966740000000008E-3</v>
      </c>
      <c r="P4342">
        <v>-0.99600809999999995</v>
      </c>
      <c r="Q4342">
        <v>6.3592070000000001E-2</v>
      </c>
      <c r="R4342">
        <v>-6.2644950000000005E-2</v>
      </c>
      <c r="S4342">
        <v>-3.0321660000000001</v>
      </c>
      <c r="T4342">
        <v>-3.3681750000000003E-2</v>
      </c>
      <c r="U4342">
        <v>0.292724599999999</v>
      </c>
      <c r="V4342">
        <v>-7.1797219999999995E-2</v>
      </c>
      <c r="W4342">
        <v>7.7488699999999994E-2</v>
      </c>
      <c r="X4342">
        <v>0.99440470000000003</v>
      </c>
      <c r="Y4342">
        <v>8.7021509999999996E-2</v>
      </c>
      <c r="Z4342">
        <v>1.1219680000000001E-3</v>
      </c>
      <c r="AA4342">
        <v>0.99620580000000003</v>
      </c>
      <c r="AB4342">
        <v>37</v>
      </c>
      <c r="AC4342">
        <v>-92.351999999999904</v>
      </c>
      <c r="AD4342">
        <v>-1.0300918800000001</v>
      </c>
      <c r="AE4342">
        <v>8.9489000000000001</v>
      </c>
      <c r="AF4342">
        <v>8.1073514185566999</v>
      </c>
      <c r="AG4342">
        <v>-1.0300918800000001</v>
      </c>
      <c r="AH4342">
        <v>92.418200490536904</v>
      </c>
      <c r="AI4342">
        <v>90.636148575323602</v>
      </c>
      <c r="AJ4342">
        <v>84.986583721204596</v>
      </c>
      <c r="AK4342">
        <v>92.778844669538202</v>
      </c>
      <c r="AL4342">
        <v>85.555769481523001</v>
      </c>
      <c r="AM4342">
        <v>94.129658419601697</v>
      </c>
      <c r="AN4342">
        <v>1.0000000234047499</v>
      </c>
    </row>
    <row r="4343" spans="1:40" x14ac:dyDescent="0.25">
      <c r="A4343" t="str">
        <f>"20190305135322098"</f>
        <v>20190305135322098</v>
      </c>
      <c r="B4343" t="str">
        <f>"1551765202094102"</f>
        <v>1551765202094102</v>
      </c>
      <c r="C4343" t="s">
        <v>40</v>
      </c>
      <c r="D4343">
        <v>4.3961319999999997</v>
      </c>
      <c r="E4343">
        <v>0.53590740000000003</v>
      </c>
      <c r="F4343" t="s">
        <v>42</v>
      </c>
      <c r="G4343">
        <v>-465.1936</v>
      </c>
      <c r="H4343">
        <v>7.9986160000000001E-2</v>
      </c>
      <c r="I4343">
        <v>151.44579999999999</v>
      </c>
      <c r="J4343">
        <v>-360.39339999999999</v>
      </c>
      <c r="K4343">
        <v>1.1101049999999999</v>
      </c>
      <c r="L4343">
        <v>141.33770000000001</v>
      </c>
      <c r="M4343">
        <v>-0.99986549999999996</v>
      </c>
      <c r="N4343">
        <v>-1.4053090000000001E-2</v>
      </c>
      <c r="O4343">
        <v>8.4627899999999995E-3</v>
      </c>
      <c r="P4343">
        <v>-0.99597720000000001</v>
      </c>
      <c r="Q4343">
        <v>6.3665289999999999E-2</v>
      </c>
      <c r="R4343">
        <v>-6.3061030000000004E-2</v>
      </c>
      <c r="S4343">
        <v>-3.032257</v>
      </c>
      <c r="T4343">
        <v>-2.969658E-2</v>
      </c>
      <c r="U4343">
        <v>0.29148859999999999</v>
      </c>
      <c r="V4343">
        <v>-7.1586800000000006E-2</v>
      </c>
      <c r="W4343">
        <v>7.7556189999999997E-2</v>
      </c>
      <c r="X4343">
        <v>0.99441460000000004</v>
      </c>
      <c r="Y4343">
        <v>8.7249869999999993E-2</v>
      </c>
      <c r="Z4343">
        <v>1.0767870000000001E-3</v>
      </c>
      <c r="AA4343">
        <v>0.99618589999999996</v>
      </c>
      <c r="AB4343">
        <v>37</v>
      </c>
      <c r="AC4343">
        <v>-104.8002</v>
      </c>
      <c r="AD4343">
        <v>-1.0301188400000001</v>
      </c>
      <c r="AE4343">
        <v>10.108099999999901</v>
      </c>
      <c r="AF4343">
        <v>9.2198657596961908</v>
      </c>
      <c r="AG4343">
        <v>-1.0301188400000001</v>
      </c>
      <c r="AH4343">
        <v>104.871958578411</v>
      </c>
      <c r="AI4343">
        <v>90.560615134780605</v>
      </c>
      <c r="AJ4343">
        <v>84.975733407115598</v>
      </c>
      <c r="AK4343">
        <v>105.281502485115</v>
      </c>
      <c r="AL4343">
        <v>85.551890878164102</v>
      </c>
      <c r="AM4343">
        <v>94.117556243753597</v>
      </c>
      <c r="AN4343">
        <v>1.00000001461735</v>
      </c>
    </row>
    <row r="4344" spans="1:40" x14ac:dyDescent="0.25">
      <c r="A4344" t="str">
        <f>"20190305135322122"</f>
        <v>20190305135322122</v>
      </c>
      <c r="B4344" t="str">
        <f>"1551765202114599"</f>
        <v>1551765202114599</v>
      </c>
      <c r="C4344" t="s">
        <v>40</v>
      </c>
      <c r="D4344">
        <v>4.3435540000000001</v>
      </c>
      <c r="E4344">
        <v>0.53069080000000002</v>
      </c>
      <c r="F4344" t="s">
        <v>49</v>
      </c>
      <c r="G4344">
        <v>0</v>
      </c>
      <c r="H4344">
        <v>0</v>
      </c>
      <c r="I4344">
        <v>0</v>
      </c>
      <c r="J4344">
        <v>-360.77910000000003</v>
      </c>
      <c r="K4344">
        <v>1.110109</v>
      </c>
      <c r="L4344">
        <v>141.34039999999999</v>
      </c>
      <c r="M4344">
        <v>-0.9998707</v>
      </c>
      <c r="N4344">
        <v>-1.405171E-2</v>
      </c>
      <c r="O4344">
        <v>7.8246859999999904E-3</v>
      </c>
      <c r="P4344">
        <v>-0.99598109999999995</v>
      </c>
      <c r="Q4344">
        <v>6.2887120000000005E-2</v>
      </c>
      <c r="R4344">
        <v>-6.3772590000000004E-2</v>
      </c>
      <c r="S4344">
        <v>-3.0165410000000001</v>
      </c>
      <c r="T4344">
        <v>2.9257890000000002E-2</v>
      </c>
      <c r="U4344">
        <v>9.9319459999999998E-2</v>
      </c>
      <c r="V4344">
        <v>-7.1666049999999995E-2</v>
      </c>
      <c r="W4344">
        <v>7.6774609999999993E-2</v>
      </c>
      <c r="X4344">
        <v>0.99446950000000001</v>
      </c>
      <c r="Y4344">
        <v>2.508763E-2</v>
      </c>
      <c r="Z4344">
        <v>2.4047939999999999E-4</v>
      </c>
      <c r="AA4344">
        <v>0.99968520000000005</v>
      </c>
      <c r="AB4344">
        <v>37</v>
      </c>
      <c r="AC4344">
        <v>-3.0165410000000001</v>
      </c>
      <c r="AD4344">
        <v>2.9257890000000002E-2</v>
      </c>
      <c r="AE4344">
        <v>9.9319459999999998E-2</v>
      </c>
      <c r="AF4344">
        <v>7.57034892775338E-2</v>
      </c>
      <c r="AG4344">
        <v>2.9257890000000002E-2</v>
      </c>
      <c r="AH4344">
        <v>3.01694234856555</v>
      </c>
      <c r="AI4344">
        <v>89.444545697811193</v>
      </c>
      <c r="AJ4344">
        <v>88.562590892096694</v>
      </c>
      <c r="AK4344">
        <v>3.0180338263485802</v>
      </c>
      <c r="AL4344">
        <v>85.596805862295994</v>
      </c>
      <c r="AM4344">
        <v>94.121872093122903</v>
      </c>
      <c r="AN4344">
        <v>0.99999997494675197</v>
      </c>
    </row>
    <row r="4345" spans="1:40" x14ac:dyDescent="0.25">
      <c r="A4345" t="str">
        <f>"20190305135322142"</f>
        <v>20190305135322142</v>
      </c>
      <c r="B4345" t="str">
        <f>"1551765202134118"</f>
        <v>1551765202134118</v>
      </c>
      <c r="C4345" t="s">
        <v>40</v>
      </c>
      <c r="D4345">
        <v>4.3271240000000004</v>
      </c>
      <c r="E4345">
        <v>0.52935889999999997</v>
      </c>
      <c r="F4345" t="s">
        <v>49</v>
      </c>
      <c r="G4345">
        <v>0</v>
      </c>
      <c r="H4345">
        <v>0</v>
      </c>
      <c r="I4345">
        <v>0</v>
      </c>
      <c r="J4345">
        <v>-361.13670000000002</v>
      </c>
      <c r="K4345">
        <v>1.1101099999999999</v>
      </c>
      <c r="L4345">
        <v>141.3426</v>
      </c>
      <c r="M4345">
        <v>-0.99987519999999996</v>
      </c>
      <c r="N4345">
        <v>-1.4050299999999899E-2</v>
      </c>
      <c r="O4345">
        <v>7.2451449999999997E-3</v>
      </c>
      <c r="P4345">
        <v>-0.99600909999999998</v>
      </c>
      <c r="Q4345">
        <v>6.1812510000000001E-2</v>
      </c>
      <c r="R4345">
        <v>-6.4386199999999894E-2</v>
      </c>
      <c r="S4345">
        <v>-3.014618</v>
      </c>
      <c r="T4345">
        <v>1.6581180000000001E-2</v>
      </c>
      <c r="U4345">
        <v>5.5892940000000002E-2</v>
      </c>
      <c r="V4345">
        <v>-7.1702329999999995E-2</v>
      </c>
      <c r="W4345">
        <v>7.5698199999999993E-2</v>
      </c>
      <c r="X4345">
        <v>0.99454949999999998</v>
      </c>
      <c r="Y4345">
        <v>1.129401E-2</v>
      </c>
      <c r="Z4345">
        <v>1.8993260000000001E-4</v>
      </c>
      <c r="AA4345">
        <v>0.99993620000000005</v>
      </c>
      <c r="AB4345">
        <v>37</v>
      </c>
      <c r="AC4345">
        <v>-3.014618</v>
      </c>
      <c r="AD4345">
        <v>1.6581180000000001E-2</v>
      </c>
      <c r="AE4345">
        <v>5.5892940000000002E-2</v>
      </c>
      <c r="AF4345">
        <v>3.40469458305135E-2</v>
      </c>
      <c r="AG4345">
        <v>1.6581180000000001E-2</v>
      </c>
      <c r="AH4345">
        <v>3.0148526773340398</v>
      </c>
      <c r="AI4345">
        <v>89.684906168389901</v>
      </c>
      <c r="AJ4345">
        <v>89.352982189167406</v>
      </c>
      <c r="AK4345">
        <v>3.0150905120872902</v>
      </c>
      <c r="AL4345">
        <v>85.658660059809606</v>
      </c>
      <c r="AM4345">
        <v>94.123620959647397</v>
      </c>
      <c r="AN4345">
        <v>1.0000000747804501</v>
      </c>
    </row>
    <row r="4346" spans="1:40" x14ac:dyDescent="0.25">
      <c r="A4346" t="str">
        <f>"20190305135322165"</f>
        <v>20190305135322165</v>
      </c>
      <c r="B4346" t="str">
        <f>"1551765202154614"</f>
        <v>1551765202154614</v>
      </c>
      <c r="C4346" t="s">
        <v>40</v>
      </c>
      <c r="D4346">
        <v>4.3294119999999996</v>
      </c>
      <c r="E4346">
        <v>0.52895119999999995</v>
      </c>
      <c r="F4346" t="s">
        <v>49</v>
      </c>
      <c r="G4346">
        <v>0</v>
      </c>
      <c r="H4346">
        <v>0</v>
      </c>
      <c r="I4346">
        <v>0</v>
      </c>
      <c r="J4346">
        <v>-361.50099999999998</v>
      </c>
      <c r="K4346">
        <v>1.1101080000000001</v>
      </c>
      <c r="L4346">
        <v>141.34469999999999</v>
      </c>
      <c r="M4346">
        <v>-0.99987910000000002</v>
      </c>
      <c r="N4346">
        <v>-1.404857E-2</v>
      </c>
      <c r="O4346">
        <v>6.6712749999999999E-3</v>
      </c>
      <c r="P4346">
        <v>-0.99599000000000004</v>
      </c>
      <c r="Q4346">
        <v>6.1145230000000002E-2</v>
      </c>
      <c r="R4346">
        <v>-6.5309580000000006E-2</v>
      </c>
      <c r="S4346">
        <v>-3.0141909999999998</v>
      </c>
      <c r="T4346">
        <v>1.0509249999999999E-2</v>
      </c>
      <c r="U4346">
        <v>4.3609620000000002E-2</v>
      </c>
      <c r="V4346">
        <v>-7.2053580000000006E-2</v>
      </c>
      <c r="W4346">
        <v>7.5028719999999993E-2</v>
      </c>
      <c r="X4346">
        <v>0.99457479999999998</v>
      </c>
      <c r="Y4346">
        <v>7.796201E-3</v>
      </c>
      <c r="Z4346">
        <v>1.5815760000000001E-4</v>
      </c>
      <c r="AA4346">
        <v>0.99996960000000001</v>
      </c>
      <c r="AB4346">
        <v>37</v>
      </c>
      <c r="AC4346">
        <v>-3.0141909999999998</v>
      </c>
      <c r="AD4346">
        <v>1.0509249999999999E-2</v>
      </c>
      <c r="AE4346">
        <v>4.3609620000000002E-2</v>
      </c>
      <c r="AF4346">
        <v>2.3497882913032401E-2</v>
      </c>
      <c r="AG4346">
        <v>1.0509249999999999E-2</v>
      </c>
      <c r="AH4346">
        <v>3.0143782357713298</v>
      </c>
      <c r="AI4346">
        <v>89.800252360364496</v>
      </c>
      <c r="AJ4346">
        <v>89.553373152383301</v>
      </c>
      <c r="AK4346">
        <v>3.0144881394904899</v>
      </c>
      <c r="AL4346">
        <v>85.697127640423702</v>
      </c>
      <c r="AM4346">
        <v>94.143646208621306</v>
      </c>
      <c r="AN4346">
        <v>1.00000003000534</v>
      </c>
    </row>
    <row r="4347" spans="1:40" x14ac:dyDescent="0.25">
      <c r="A4347" t="str">
        <f>"20190305135322187"</f>
        <v>20190305135322187</v>
      </c>
      <c r="B4347" t="str">
        <f>"1551765202174135"</f>
        <v>1551765202174135</v>
      </c>
      <c r="C4347" t="s">
        <v>40</v>
      </c>
      <c r="D4347">
        <v>4.3156059999999998</v>
      </c>
      <c r="E4347">
        <v>0.52847149999999998</v>
      </c>
      <c r="F4347" t="s">
        <v>49</v>
      </c>
      <c r="G4347">
        <v>0</v>
      </c>
      <c r="H4347">
        <v>0</v>
      </c>
      <c r="I4347">
        <v>0</v>
      </c>
      <c r="J4347">
        <v>-361.86680000000001</v>
      </c>
      <c r="K4347">
        <v>1.1101049999999999</v>
      </c>
      <c r="L4347">
        <v>141.3466</v>
      </c>
      <c r="M4347">
        <v>-0.99988279999999996</v>
      </c>
      <c r="N4347">
        <v>-1.404676E-2</v>
      </c>
      <c r="O4347">
        <v>6.1169229999999998E-3</v>
      </c>
      <c r="P4347">
        <v>-0.99597309999999994</v>
      </c>
      <c r="Q4347">
        <v>6.0689489999999999E-2</v>
      </c>
      <c r="R4347">
        <v>-6.5988909999999998E-2</v>
      </c>
      <c r="S4347">
        <v>-3.0141300000000002</v>
      </c>
      <c r="T4347">
        <v>6.362319E-3</v>
      </c>
      <c r="U4347">
        <v>3.7689210000000001E-2</v>
      </c>
      <c r="V4347">
        <v>-7.2179380000000001E-2</v>
      </c>
      <c r="W4347">
        <v>7.4572239999999998E-2</v>
      </c>
      <c r="X4347">
        <v>0.99460000000000004</v>
      </c>
      <c r="Y4347">
        <v>6.3867960000000001E-3</v>
      </c>
      <c r="Z4347">
        <v>1.369555E-4</v>
      </c>
      <c r="AA4347">
        <v>0.99997959999999997</v>
      </c>
      <c r="AB4347">
        <v>37</v>
      </c>
      <c r="AC4347">
        <v>-3.0141300000000002</v>
      </c>
      <c r="AD4347">
        <v>6.362319E-3</v>
      </c>
      <c r="AE4347">
        <v>3.7689210000000001E-2</v>
      </c>
      <c r="AF4347">
        <v>1.9249401822726699E-2</v>
      </c>
      <c r="AG4347">
        <v>6.362319E-3</v>
      </c>
      <c r="AH4347">
        <v>3.0142907352003601</v>
      </c>
      <c r="AI4347">
        <v>89.879067387849304</v>
      </c>
      <c r="AJ4347">
        <v>89.634111442111802</v>
      </c>
      <c r="AK4347">
        <v>3.01435891275215</v>
      </c>
      <c r="AL4347">
        <v>85.723355455257206</v>
      </c>
      <c r="AM4347">
        <v>94.150750629111698</v>
      </c>
      <c r="AN4347">
        <v>1.0000000209379001</v>
      </c>
    </row>
    <row r="4348" spans="1:40" x14ac:dyDescent="0.25">
      <c r="A4348" t="str">
        <f>"20190305135322210"</f>
        <v>20190305135322210</v>
      </c>
      <c r="B4348" t="str">
        <f>"1551765202204390"</f>
        <v>1551765202204390</v>
      </c>
      <c r="C4348" t="s">
        <v>40</v>
      </c>
      <c r="D4348">
        <v>4.3477800000000002</v>
      </c>
      <c r="E4348">
        <v>0.52837279999999998</v>
      </c>
      <c r="F4348" t="s">
        <v>49</v>
      </c>
      <c r="G4348">
        <v>0</v>
      </c>
      <c r="H4348">
        <v>0</v>
      </c>
      <c r="I4348">
        <v>0</v>
      </c>
      <c r="J4348">
        <v>-362.24509999999998</v>
      </c>
      <c r="K4348">
        <v>1.110101</v>
      </c>
      <c r="L4348">
        <v>141.3484</v>
      </c>
      <c r="M4348">
        <v>-0.99988589999999999</v>
      </c>
      <c r="N4348">
        <v>-1.4044900000000001E-2</v>
      </c>
      <c r="O4348">
        <v>5.5705819999999897E-3</v>
      </c>
      <c r="P4348">
        <v>-0.99592309999999995</v>
      </c>
      <c r="Q4348">
        <v>6.0909379999999999E-2</v>
      </c>
      <c r="R4348">
        <v>-6.6536769999999995E-2</v>
      </c>
      <c r="S4348">
        <v>-3.013916</v>
      </c>
      <c r="T4348">
        <v>5.3517819999999898E-3</v>
      </c>
      <c r="U4348">
        <v>3.1784060000000003E-2</v>
      </c>
      <c r="V4348">
        <v>-7.2181019999999999E-2</v>
      </c>
      <c r="W4348">
        <v>7.4792869999999997E-2</v>
      </c>
      <c r="X4348">
        <v>0.99458329999999995</v>
      </c>
      <c r="Y4348">
        <v>4.9749479999999999E-3</v>
      </c>
      <c r="Z4348">
        <v>1.186535E-4</v>
      </c>
      <c r="AA4348">
        <v>0.99998759999999998</v>
      </c>
      <c r="AB4348">
        <v>37</v>
      </c>
      <c r="AC4348">
        <v>-3.013916</v>
      </c>
      <c r="AD4348">
        <v>5.3517819999999898E-3</v>
      </c>
      <c r="AE4348">
        <v>3.1784060000000003E-2</v>
      </c>
      <c r="AF4348">
        <v>1.49925979669038E-2</v>
      </c>
      <c r="AG4348">
        <v>5.3517819999999898E-3</v>
      </c>
      <c r="AH4348">
        <v>3.0140367981598999</v>
      </c>
      <c r="AI4348">
        <v>89.898265871895603</v>
      </c>
      <c r="AJ4348">
        <v>89.714998336068902</v>
      </c>
      <c r="AK4348">
        <v>3.01407883775896</v>
      </c>
      <c r="AL4348">
        <v>85.710678825990001</v>
      </c>
      <c r="AM4348">
        <v>94.150914062405903</v>
      </c>
      <c r="AN4348">
        <v>1.0000000068449799</v>
      </c>
    </row>
    <row r="4349" spans="1:40" x14ac:dyDescent="0.25">
      <c r="A4349" t="str">
        <f>"20190305135322233"</f>
        <v>20190305135322233</v>
      </c>
      <c r="B4349" t="str">
        <f>"1551765202223913"</f>
        <v>1551765202223913</v>
      </c>
      <c r="C4349" t="s">
        <v>40</v>
      </c>
      <c r="D4349">
        <v>4.3323559999999999</v>
      </c>
      <c r="E4349">
        <v>0.52829839999999995</v>
      </c>
      <c r="F4349" t="s">
        <v>49</v>
      </c>
      <c r="G4349">
        <v>0</v>
      </c>
      <c r="H4349">
        <v>0</v>
      </c>
      <c r="I4349">
        <v>0</v>
      </c>
      <c r="J4349">
        <v>-362.63749999999999</v>
      </c>
      <c r="K4349">
        <v>1.1100909999999999</v>
      </c>
      <c r="L4349">
        <v>141.35</v>
      </c>
      <c r="M4349">
        <v>-0.99988880000000002</v>
      </c>
      <c r="N4349">
        <v>-1.404292E-2</v>
      </c>
      <c r="O4349">
        <v>5.0312389999999999E-3</v>
      </c>
      <c r="P4349">
        <v>-0.99581350000000002</v>
      </c>
      <c r="Q4349">
        <v>6.1754330000000003E-2</v>
      </c>
      <c r="R4349">
        <v>-6.7395079999999996E-2</v>
      </c>
      <c r="S4349">
        <v>-3.0138850000000001</v>
      </c>
      <c r="T4349">
        <v>5.2202940000000003E-3</v>
      </c>
      <c r="U4349">
        <v>2.9327389999999998E-2</v>
      </c>
      <c r="V4349">
        <v>-7.2499359999999999E-2</v>
      </c>
      <c r="W4349">
        <v>7.5637350000000006E-2</v>
      </c>
      <c r="X4349">
        <v>0.9944963</v>
      </c>
      <c r="Y4349">
        <v>4.6993549999999997E-3</v>
      </c>
      <c r="Z4349">
        <v>1.0829830000000001E-4</v>
      </c>
      <c r="AA4349">
        <v>0.99998900000000002</v>
      </c>
      <c r="AB4349">
        <v>37</v>
      </c>
      <c r="AC4349">
        <v>-3.0138850000000001</v>
      </c>
      <c r="AD4349">
        <v>5.2202940000000003E-3</v>
      </c>
      <c r="AE4349">
        <v>2.9327389999999998E-2</v>
      </c>
      <c r="AF4349">
        <v>1.41619061041134E-2</v>
      </c>
      <c r="AG4349">
        <v>5.2202940000000003E-3</v>
      </c>
      <c r="AH4349">
        <v>3.0139853726836598</v>
      </c>
      <c r="AI4349">
        <v>89.900763548517006</v>
      </c>
      <c r="AJ4349">
        <v>89.730784533478996</v>
      </c>
      <c r="AK4349">
        <v>3.01402316477578</v>
      </c>
      <c r="AL4349">
        <v>85.662156329873895</v>
      </c>
      <c r="AM4349">
        <v>94.1695198677333</v>
      </c>
      <c r="AN4349">
        <v>1.00000002831456</v>
      </c>
    </row>
    <row r="4350" spans="1:40" x14ac:dyDescent="0.25">
      <c r="A4350" t="str">
        <f>"20190305135322254"</f>
        <v>20190305135322254</v>
      </c>
      <c r="B4350" t="str">
        <f>"1551765202244406"</f>
        <v>1551765202244406</v>
      </c>
      <c r="C4350" t="s">
        <v>40</v>
      </c>
      <c r="D4350">
        <v>4.3221449999999999</v>
      </c>
      <c r="E4350">
        <v>0.52825800000000001</v>
      </c>
      <c r="F4350" t="s">
        <v>49</v>
      </c>
      <c r="G4350">
        <v>0</v>
      </c>
      <c r="H4350">
        <v>0</v>
      </c>
      <c r="I4350">
        <v>0</v>
      </c>
      <c r="J4350">
        <v>-362.976</v>
      </c>
      <c r="K4350">
        <v>1.11008</v>
      </c>
      <c r="L4350">
        <v>141.35130000000001</v>
      </c>
      <c r="M4350">
        <v>-0.99989090000000003</v>
      </c>
      <c r="N4350">
        <v>-1.4041150000000001E-2</v>
      </c>
      <c r="O4350">
        <v>4.5931890000000001E-3</v>
      </c>
      <c r="P4350">
        <v>-0.99571189999999998</v>
      </c>
      <c r="Q4350">
        <v>6.2658740000000004E-2</v>
      </c>
      <c r="R4350">
        <v>-6.8056899999999906E-2</v>
      </c>
      <c r="S4350">
        <v>-3.0139469999999999</v>
      </c>
      <c r="T4350">
        <v>7.5829030000000002E-3</v>
      </c>
      <c r="U4350">
        <v>2.626038E-2</v>
      </c>
      <c r="V4350">
        <v>-7.2722430000000005E-2</v>
      </c>
      <c r="W4350">
        <v>7.6541650000000003E-2</v>
      </c>
      <c r="X4350">
        <v>0.99441080000000004</v>
      </c>
      <c r="Y4350">
        <v>4.1197550000000001E-3</v>
      </c>
      <c r="Z4350" s="1">
        <v>9.9793670000000004E-5</v>
      </c>
      <c r="AA4350">
        <v>0.99999150000000003</v>
      </c>
      <c r="AB4350">
        <v>37</v>
      </c>
      <c r="AC4350">
        <v>-3.0139469999999999</v>
      </c>
      <c r="AD4350">
        <v>7.5829030000000002E-3</v>
      </c>
      <c r="AE4350">
        <v>2.626038E-2</v>
      </c>
      <c r="AF4350">
        <v>1.24150317168377E-2</v>
      </c>
      <c r="AG4350">
        <v>7.5829030000000002E-3</v>
      </c>
      <c r="AH4350">
        <v>3.01401675403608</v>
      </c>
      <c r="AI4350">
        <v>89.855852249206805</v>
      </c>
      <c r="AJ4350">
        <v>89.763994378613901</v>
      </c>
      <c r="AK4350">
        <v>3.01405186203566</v>
      </c>
      <c r="AL4350">
        <v>85.610193023159894</v>
      </c>
      <c r="AM4350">
        <v>94.182661742441795</v>
      </c>
      <c r="AN4350">
        <v>1.00000000758323</v>
      </c>
    </row>
    <row r="4351" spans="1:40" x14ac:dyDescent="0.25">
      <c r="A4351" t="str">
        <f>"20190305135322275"</f>
        <v>20190305135322275</v>
      </c>
      <c r="B4351" t="str">
        <f>"1551765202263927"</f>
        <v>1551765202263927</v>
      </c>
      <c r="C4351" t="s">
        <v>40</v>
      </c>
      <c r="D4351">
        <v>4.3585099999999999</v>
      </c>
      <c r="E4351">
        <v>0.52832290000000004</v>
      </c>
      <c r="F4351" t="s">
        <v>49</v>
      </c>
      <c r="G4351">
        <v>0</v>
      </c>
      <c r="H4351">
        <v>0</v>
      </c>
      <c r="I4351">
        <v>0</v>
      </c>
      <c r="J4351">
        <v>-363.3417</v>
      </c>
      <c r="K4351">
        <v>1.110058</v>
      </c>
      <c r="L4351">
        <v>141.35249999999999</v>
      </c>
      <c r="M4351">
        <v>-0.99989280000000003</v>
      </c>
      <c r="N4351">
        <v>-1.403918E-2</v>
      </c>
      <c r="O4351">
        <v>4.1579039999999996E-3</v>
      </c>
      <c r="P4351">
        <v>-0.99564470000000005</v>
      </c>
      <c r="Q4351">
        <v>6.3589980000000004E-2</v>
      </c>
      <c r="R4351">
        <v>-6.8177230000000005E-2</v>
      </c>
      <c r="S4351">
        <v>-3.0139770000000001</v>
      </c>
      <c r="T4351">
        <v>9.4544889999999999E-3</v>
      </c>
      <c r="U4351">
        <v>2.401733E-2</v>
      </c>
      <c r="V4351">
        <v>-7.2404700000000002E-2</v>
      </c>
      <c r="W4351">
        <v>7.7475859999999994E-2</v>
      </c>
      <c r="X4351">
        <v>0.99436159999999996</v>
      </c>
      <c r="Y4351">
        <v>3.8108270000000001E-3</v>
      </c>
      <c r="Z4351" s="1">
        <v>9.2192610000000003E-5</v>
      </c>
      <c r="AA4351">
        <v>0.99999269999999996</v>
      </c>
      <c r="AB4351">
        <v>37</v>
      </c>
      <c r="AC4351">
        <v>-3.0139770000000001</v>
      </c>
      <c r="AD4351">
        <v>9.4544889999999999E-3</v>
      </c>
      <c r="AE4351">
        <v>2.401733E-2</v>
      </c>
      <c r="AF4351">
        <v>1.1483947134715801E-2</v>
      </c>
      <c r="AG4351">
        <v>9.4544889999999999E-3</v>
      </c>
      <c r="AH4351">
        <v>3.01402115711578</v>
      </c>
      <c r="AI4351">
        <v>89.820274450573507</v>
      </c>
      <c r="AJ4351">
        <v>89.781694127336493</v>
      </c>
      <c r="AK4351">
        <v>3.0140578634036799</v>
      </c>
      <c r="AL4351">
        <v>85.556507142118903</v>
      </c>
      <c r="AM4351">
        <v>94.164657126255406</v>
      </c>
      <c r="AN4351">
        <v>0.99999997050969403</v>
      </c>
    </row>
    <row r="4352" spans="1:40" x14ac:dyDescent="0.25">
      <c r="A4352" t="str">
        <f>"20190305135322300"</f>
        <v>20190305135322300</v>
      </c>
      <c r="B4352" t="str">
        <f>"1551765202284423"</f>
        <v>1551765202284423</v>
      </c>
      <c r="C4352" t="s">
        <v>40</v>
      </c>
      <c r="D4352">
        <v>4.3229629999999997</v>
      </c>
      <c r="E4352">
        <v>0.52842279999999997</v>
      </c>
      <c r="F4352" t="s">
        <v>49</v>
      </c>
      <c r="G4352">
        <v>0</v>
      </c>
      <c r="H4352">
        <v>0</v>
      </c>
      <c r="I4352">
        <v>0</v>
      </c>
      <c r="J4352">
        <v>-363.72829999999999</v>
      </c>
      <c r="K4352">
        <v>1.1100300000000001</v>
      </c>
      <c r="L4352">
        <v>141.3537</v>
      </c>
      <c r="M4352">
        <v>-0.99989459999999997</v>
      </c>
      <c r="N4352">
        <v>-1.4036979999999999E-2</v>
      </c>
      <c r="O4352">
        <v>3.745731E-3</v>
      </c>
      <c r="P4352">
        <v>-0.9955986</v>
      </c>
      <c r="Q4352">
        <v>6.4494380000000004E-2</v>
      </c>
      <c r="R4352">
        <v>-6.8001399999999906E-2</v>
      </c>
      <c r="S4352">
        <v>-3.0139770000000001</v>
      </c>
      <c r="T4352">
        <v>1.203799E-2</v>
      </c>
      <c r="U4352">
        <v>2.4047849999999999E-2</v>
      </c>
      <c r="V4352">
        <v>-7.1812580000000001E-2</v>
      </c>
      <c r="W4352">
        <v>7.8384809999999999E-2</v>
      </c>
      <c r="X4352">
        <v>0.99433329999999998</v>
      </c>
      <c r="Y4352">
        <v>4.2331809999999999E-3</v>
      </c>
      <c r="Z4352" s="1">
        <v>8.8798689999999993E-5</v>
      </c>
      <c r="AA4352">
        <v>0.99999110000000002</v>
      </c>
      <c r="AB4352">
        <v>37</v>
      </c>
      <c r="AC4352">
        <v>-3.0139770000000001</v>
      </c>
      <c r="AD4352">
        <v>1.203799E-2</v>
      </c>
      <c r="AE4352">
        <v>2.4047849999999999E-2</v>
      </c>
      <c r="AF4352">
        <v>1.27568198719496E-2</v>
      </c>
      <c r="AG4352">
        <v>1.203799E-2</v>
      </c>
      <c r="AH4352">
        <v>3.0139978599351198</v>
      </c>
      <c r="AI4352">
        <v>89.771162353936205</v>
      </c>
      <c r="AJ4352">
        <v>89.757495655902403</v>
      </c>
      <c r="AK4352">
        <v>3.0140488963104</v>
      </c>
      <c r="AL4352">
        <v>85.504269264498504</v>
      </c>
      <c r="AM4352">
        <v>94.130834418573002</v>
      </c>
      <c r="AN4352">
        <v>0.99999996828694004</v>
      </c>
    </row>
    <row r="4353" spans="1:40" x14ac:dyDescent="0.25">
      <c r="A4353" t="str">
        <f>"20190305135322322"</f>
        <v>20190305135322322</v>
      </c>
      <c r="B4353" t="str">
        <f>"1551765202314678"</f>
        <v>1551765202314678</v>
      </c>
      <c r="C4353" t="s">
        <v>40</v>
      </c>
      <c r="D4353">
        <v>4.3063120000000001</v>
      </c>
      <c r="E4353">
        <v>0.52856190000000003</v>
      </c>
      <c r="F4353" t="s">
        <v>49</v>
      </c>
      <c r="G4353">
        <v>0</v>
      </c>
      <c r="H4353">
        <v>0</v>
      </c>
      <c r="I4353">
        <v>0</v>
      </c>
      <c r="J4353">
        <v>-364.101</v>
      </c>
      <c r="K4353">
        <v>1.1099920000000001</v>
      </c>
      <c r="L4353">
        <v>141.35470000000001</v>
      </c>
      <c r="M4353">
        <v>-0.9998958</v>
      </c>
      <c r="N4353">
        <v>-1.403479E-2</v>
      </c>
      <c r="O4353">
        <v>3.3980080000000001E-3</v>
      </c>
      <c r="P4353">
        <v>-0.99564050000000004</v>
      </c>
      <c r="Q4353">
        <v>6.4970990000000006E-2</v>
      </c>
      <c r="R4353">
        <v>-6.6927730000000005E-2</v>
      </c>
      <c r="S4353">
        <v>-3.0140380000000002</v>
      </c>
      <c r="T4353">
        <v>1.4780039999999999E-2</v>
      </c>
      <c r="U4353">
        <v>2.5375370000000001E-2</v>
      </c>
      <c r="V4353">
        <v>-7.0385030000000001E-2</v>
      </c>
      <c r="W4353">
        <v>7.8868720000000003E-2</v>
      </c>
      <c r="X4353">
        <v>0.99439719999999998</v>
      </c>
      <c r="Y4353">
        <v>5.0212130000000001E-3</v>
      </c>
      <c r="Z4353" s="1">
        <v>8.7280180000000004E-5</v>
      </c>
      <c r="AA4353">
        <v>0.99998739999999997</v>
      </c>
      <c r="AB4353">
        <v>37</v>
      </c>
      <c r="AC4353">
        <v>-3.0140380000000002</v>
      </c>
      <c r="AD4353">
        <v>1.4780039999999999E-2</v>
      </c>
      <c r="AE4353">
        <v>2.5375370000000001E-2</v>
      </c>
      <c r="AF4353">
        <v>1.5132126232948901E-2</v>
      </c>
      <c r="AG4353">
        <v>1.4780039999999999E-2</v>
      </c>
      <c r="AH4353">
        <v>3.0140343578325002</v>
      </c>
      <c r="AI4353">
        <v>89.719042203049398</v>
      </c>
      <c r="AJ4353">
        <v>89.712345786145804</v>
      </c>
      <c r="AK4353">
        <v>3.0141085814916302</v>
      </c>
      <c r="AL4353">
        <v>85.476457572872107</v>
      </c>
      <c r="AM4353">
        <v>94.048734818309498</v>
      </c>
      <c r="AN4353">
        <v>1.0000000594051801</v>
      </c>
    </row>
    <row r="4354" spans="1:40" x14ac:dyDescent="0.25">
      <c r="A4354" t="str">
        <f>"20190305135322342"</f>
        <v>20190305135322342</v>
      </c>
      <c r="B4354" t="str">
        <f>"1551765202334197"</f>
        <v>1551765202334197</v>
      </c>
      <c r="C4354" t="s">
        <v>40</v>
      </c>
      <c r="D4354">
        <v>4.3357210000000004</v>
      </c>
      <c r="E4354">
        <v>0.52848459999999997</v>
      </c>
      <c r="F4354" t="s">
        <v>49</v>
      </c>
      <c r="G4354">
        <v>0</v>
      </c>
      <c r="H4354">
        <v>0</v>
      </c>
      <c r="I4354">
        <v>0</v>
      </c>
      <c r="J4354">
        <v>-364.45089999999999</v>
      </c>
      <c r="K4354">
        <v>1.1099490000000001</v>
      </c>
      <c r="L4354">
        <v>141.35560000000001</v>
      </c>
      <c r="M4354">
        <v>-0.99989669999999997</v>
      </c>
      <c r="N4354">
        <v>-1.403275E-2</v>
      </c>
      <c r="O4354">
        <v>3.1160179999999999E-3</v>
      </c>
      <c r="P4354">
        <v>-0.9956933</v>
      </c>
      <c r="Q4354">
        <v>6.4530660000000004E-2</v>
      </c>
      <c r="R4354">
        <v>-6.6566769999999997E-2</v>
      </c>
      <c r="S4354">
        <v>-3.0141300000000002</v>
      </c>
      <c r="T4354">
        <v>1.6052009999999999E-2</v>
      </c>
      <c r="U4354">
        <v>2.963257E-2</v>
      </c>
      <c r="V4354">
        <v>-6.9735439999999996E-2</v>
      </c>
      <c r="W4354">
        <v>7.8434710000000005E-2</v>
      </c>
      <c r="X4354">
        <v>0.99447719999999995</v>
      </c>
      <c r="Y4354">
        <v>6.7152619999999996E-3</v>
      </c>
      <c r="Z4354" s="1">
        <v>8.9559430000000004E-5</v>
      </c>
      <c r="AA4354">
        <v>0.99997749999999996</v>
      </c>
      <c r="AB4354">
        <v>37</v>
      </c>
      <c r="AC4354">
        <v>-3.0141300000000002</v>
      </c>
      <c r="AD4354">
        <v>1.6052009999999999E-2</v>
      </c>
      <c r="AE4354">
        <v>2.963257E-2</v>
      </c>
      <c r="AF4354">
        <v>2.0238844129129002E-2</v>
      </c>
      <c r="AG4354">
        <v>1.6052009999999999E-2</v>
      </c>
      <c r="AH4354">
        <v>3.0141222309594302</v>
      </c>
      <c r="AI4354">
        <v>89.694875347367301</v>
      </c>
      <c r="AJ4354">
        <v>89.615283377755702</v>
      </c>
      <c r="AK4354">
        <v>3.0142329208275398</v>
      </c>
      <c r="AL4354">
        <v>85.501401375555602</v>
      </c>
      <c r="AM4354">
        <v>94.011169575499494</v>
      </c>
      <c r="AN4354">
        <v>0.99999996832230797</v>
      </c>
    </row>
    <row r="4355" spans="1:40" x14ac:dyDescent="0.25">
      <c r="A4355" t="str">
        <f>"20190305135322366"</f>
        <v>20190305135322366</v>
      </c>
      <c r="B4355" t="str">
        <f>"1551765202354694"</f>
        <v>1551765202354694</v>
      </c>
      <c r="C4355" t="s">
        <v>40</v>
      </c>
      <c r="D4355">
        <v>4.3141600000000002</v>
      </c>
      <c r="E4355">
        <v>0.52840500000000001</v>
      </c>
      <c r="F4355" t="s">
        <v>49</v>
      </c>
      <c r="G4355">
        <v>0</v>
      </c>
      <c r="H4355">
        <v>0</v>
      </c>
      <c r="I4355">
        <v>0</v>
      </c>
      <c r="J4355">
        <v>-364.82929999999999</v>
      </c>
      <c r="K4355">
        <v>1.109904</v>
      </c>
      <c r="L4355">
        <v>141.35650000000001</v>
      </c>
      <c r="M4355">
        <v>-0.99989749999999999</v>
      </c>
      <c r="N4355">
        <v>-1.4030519999999999E-2</v>
      </c>
      <c r="O4355">
        <v>2.854564E-3</v>
      </c>
      <c r="P4355">
        <v>-0.99574530000000006</v>
      </c>
      <c r="Q4355">
        <v>6.4692810000000003E-2</v>
      </c>
      <c r="R4355">
        <v>-6.5622620000000007E-2</v>
      </c>
      <c r="S4355">
        <v>-3.0140380000000002</v>
      </c>
      <c r="T4355">
        <v>1.423872E-2</v>
      </c>
      <c r="U4355">
        <v>3.0197140000000001E-2</v>
      </c>
      <c r="V4355">
        <v>-6.8523349999999997E-2</v>
      </c>
      <c r="W4355">
        <v>7.8603930000000002E-2</v>
      </c>
      <c r="X4355">
        <v>0.99454810000000005</v>
      </c>
      <c r="Y4355">
        <v>7.1642479999999998E-3</v>
      </c>
      <c r="Z4355" s="1">
        <v>8.6876450000000004E-5</v>
      </c>
      <c r="AA4355">
        <v>0.99997429999999998</v>
      </c>
      <c r="AB4355">
        <v>37</v>
      </c>
      <c r="AC4355">
        <v>-3.0140380000000002</v>
      </c>
      <c r="AD4355">
        <v>1.423872E-2</v>
      </c>
      <c r="AE4355">
        <v>3.0197140000000001E-2</v>
      </c>
      <c r="AF4355">
        <v>2.1591923835030499E-2</v>
      </c>
      <c r="AG4355">
        <v>1.423872E-2</v>
      </c>
      <c r="AH4355">
        <v>3.01404466669142</v>
      </c>
      <c r="AI4355">
        <v>89.729336605616197</v>
      </c>
      <c r="AJ4355">
        <v>89.5895532144241</v>
      </c>
      <c r="AK4355">
        <v>3.0141556371782001</v>
      </c>
      <c r="AL4355">
        <v>85.491675787815495</v>
      </c>
      <c r="AM4355">
        <v>93.941391975022597</v>
      </c>
      <c r="AN4355">
        <v>0.99999997526013795</v>
      </c>
    </row>
    <row r="4356" spans="1:40" x14ac:dyDescent="0.25">
      <c r="A4356" t="str">
        <f>"20190305135322387"</f>
        <v>20190305135322387</v>
      </c>
      <c r="B4356" t="str">
        <f>"1551765202374215"</f>
        <v>1551765202374215</v>
      </c>
      <c r="C4356" t="s">
        <v>40</v>
      </c>
      <c r="D4356">
        <v>4.3290959999999998</v>
      </c>
      <c r="E4356">
        <v>0.52834759999999903</v>
      </c>
      <c r="F4356" t="s">
        <v>49</v>
      </c>
      <c r="G4356">
        <v>0</v>
      </c>
      <c r="H4356">
        <v>0</v>
      </c>
      <c r="I4356">
        <v>0</v>
      </c>
      <c r="J4356">
        <v>-365.19170000000003</v>
      </c>
      <c r="K4356">
        <v>1.109864</v>
      </c>
      <c r="L4356">
        <v>141.35730000000001</v>
      </c>
      <c r="M4356">
        <v>-0.99989810000000001</v>
      </c>
      <c r="N4356">
        <v>-1.402836E-2</v>
      </c>
      <c r="O4356">
        <v>2.6410679999999999E-3</v>
      </c>
      <c r="P4356">
        <v>-0.99579050000000002</v>
      </c>
      <c r="Q4356">
        <v>6.4670759999999994E-2</v>
      </c>
      <c r="R4356">
        <v>-6.4954230000000002E-2</v>
      </c>
      <c r="S4356">
        <v>-3.014008</v>
      </c>
      <c r="T4356">
        <v>1.435149E-2</v>
      </c>
      <c r="U4356">
        <v>3.2379150000000002E-2</v>
      </c>
      <c r="V4356">
        <v>-6.763516E-2</v>
      </c>
      <c r="W4356">
        <v>7.8587309999999994E-2</v>
      </c>
      <c r="X4356">
        <v>0.9946102</v>
      </c>
      <c r="Y4356">
        <v>8.101703E-3</v>
      </c>
      <c r="Z4356" s="1">
        <v>8.7167889999999995E-5</v>
      </c>
      <c r="AA4356">
        <v>0.99996719999999895</v>
      </c>
      <c r="AB4356">
        <v>37</v>
      </c>
      <c r="AC4356">
        <v>-3.014008</v>
      </c>
      <c r="AD4356">
        <v>1.435149E-2</v>
      </c>
      <c r="AE4356">
        <v>3.2379150000000002E-2</v>
      </c>
      <c r="AF4356">
        <v>2.44174999650572E-2</v>
      </c>
      <c r="AG4356">
        <v>1.435149E-2</v>
      </c>
      <c r="AH4356">
        <v>3.0140146818804801</v>
      </c>
      <c r="AI4356">
        <v>89.727192234473804</v>
      </c>
      <c r="AJ4356">
        <v>89.535838661525403</v>
      </c>
      <c r="AK4356">
        <v>3.0141477538702199</v>
      </c>
      <c r="AL4356">
        <v>85.492630952459095</v>
      </c>
      <c r="AM4356">
        <v>93.890219957293994</v>
      </c>
      <c r="AN4356">
        <v>0.99999996505264999</v>
      </c>
    </row>
    <row r="4357" spans="1:40" x14ac:dyDescent="0.25">
      <c r="A4357" t="str">
        <f>"20190305135322411"</f>
        <v>20190305135322411</v>
      </c>
      <c r="B4357" t="str">
        <f>"1551765202404470"</f>
        <v>1551765202404470</v>
      </c>
      <c r="C4357" t="s">
        <v>40</v>
      </c>
      <c r="D4357">
        <v>4.321949</v>
      </c>
      <c r="E4357">
        <v>0.52841130000000003</v>
      </c>
      <c r="F4357" t="s">
        <v>49</v>
      </c>
      <c r="G4357">
        <v>0</v>
      </c>
      <c r="H4357">
        <v>0</v>
      </c>
      <c r="I4357">
        <v>0</v>
      </c>
      <c r="J4357">
        <v>-365.5745</v>
      </c>
      <c r="K4357">
        <v>1.109831</v>
      </c>
      <c r="L4357">
        <v>141.35810000000001</v>
      </c>
      <c r="M4357">
        <v>-0.99989879999999998</v>
      </c>
      <c r="N4357">
        <v>-1.402606E-2</v>
      </c>
      <c r="O4357">
        <v>2.4407629999999999E-3</v>
      </c>
      <c r="P4357">
        <v>-0.99585270000000004</v>
      </c>
      <c r="Q4357">
        <v>6.4247120000000005E-2</v>
      </c>
      <c r="R4357">
        <v>-6.4418509999999998E-2</v>
      </c>
      <c r="S4357">
        <v>-3.014008</v>
      </c>
      <c r="T4357">
        <v>1.3388399999999899E-2</v>
      </c>
      <c r="U4357">
        <v>3.3782960000000001E-2</v>
      </c>
      <c r="V4357">
        <v>-6.6894659999999995E-2</v>
      </c>
      <c r="W4357">
        <v>7.8167559999999997E-2</v>
      </c>
      <c r="X4357">
        <v>0.99469339999999995</v>
      </c>
      <c r="Y4357">
        <v>8.76767E-3</v>
      </c>
      <c r="Z4357" s="1">
        <v>8.7095580000000005E-5</v>
      </c>
      <c r="AA4357">
        <v>0.99996160000000001</v>
      </c>
      <c r="AB4357">
        <v>37</v>
      </c>
      <c r="AC4357">
        <v>-3.014008</v>
      </c>
      <c r="AD4357">
        <v>1.3388399999999899E-2</v>
      </c>
      <c r="AE4357">
        <v>3.3782960000000001E-2</v>
      </c>
      <c r="AF4357">
        <v>2.6425136159706999E-2</v>
      </c>
      <c r="AG4357">
        <v>1.3388399999999899E-2</v>
      </c>
      <c r="AH4357">
        <v>3.01402201994765</v>
      </c>
      <c r="AI4357">
        <v>89.745501431674299</v>
      </c>
      <c r="AJ4357">
        <v>89.497677862615106</v>
      </c>
      <c r="AK4357">
        <v>3.01416759218941</v>
      </c>
      <c r="AL4357">
        <v>85.516755277182597</v>
      </c>
      <c r="AM4357">
        <v>93.847435860506096</v>
      </c>
      <c r="AN4357">
        <v>1.0000000114882099</v>
      </c>
    </row>
    <row r="4358" spans="1:40" x14ac:dyDescent="0.25">
      <c r="A4358" t="str">
        <f>"20190305135322433"</f>
        <v>20190305135322433</v>
      </c>
      <c r="B4358" t="str">
        <f>"1551765202424009"</f>
        <v>1551765202424009</v>
      </c>
      <c r="C4358" t="s">
        <v>40</v>
      </c>
      <c r="D4358">
        <v>4.3398870000000001</v>
      </c>
      <c r="E4358">
        <v>0.528416</v>
      </c>
      <c r="F4358" t="s">
        <v>49</v>
      </c>
      <c r="G4358">
        <v>0</v>
      </c>
      <c r="H4358">
        <v>0</v>
      </c>
      <c r="I4358">
        <v>0</v>
      </c>
      <c r="J4358">
        <v>-365.93360000000001</v>
      </c>
      <c r="K4358">
        <v>1.1098059999999901</v>
      </c>
      <c r="L4358">
        <v>141.3587</v>
      </c>
      <c r="M4358">
        <v>-0.99989910000000004</v>
      </c>
      <c r="N4358">
        <v>-1.402392E-2</v>
      </c>
      <c r="O4358">
        <v>2.2684329999999998E-3</v>
      </c>
      <c r="P4358">
        <v>-0.99588750000000004</v>
      </c>
      <c r="Q4358">
        <v>6.3780409999999996E-2</v>
      </c>
      <c r="R4358">
        <v>-6.4345579999999999E-2</v>
      </c>
      <c r="S4358">
        <v>-3.0140690000000001</v>
      </c>
      <c r="T4358">
        <v>1.1471149999999999E-2</v>
      </c>
      <c r="U4358">
        <v>3.593445E-2</v>
      </c>
      <c r="V4358">
        <v>-6.6645700000000002E-2</v>
      </c>
      <c r="W4358">
        <v>7.7703110000000006E-2</v>
      </c>
      <c r="X4358">
        <v>0.99474649999999998</v>
      </c>
      <c r="Y4358">
        <v>9.6534150000000003E-3</v>
      </c>
      <c r="Z4358" s="1">
        <v>8.9770669999999995E-5</v>
      </c>
      <c r="AA4358">
        <v>0.99995339999999999</v>
      </c>
      <c r="AB4358">
        <v>37</v>
      </c>
      <c r="AC4358">
        <v>-3.0140690000000001</v>
      </c>
      <c r="AD4358">
        <v>1.1471149999999999E-2</v>
      </c>
      <c r="AE4358">
        <v>3.593445E-2</v>
      </c>
      <c r="AF4358">
        <v>2.9096050208749301E-2</v>
      </c>
      <c r="AG4358">
        <v>1.1471149999999999E-2</v>
      </c>
      <c r="AH4358">
        <v>3.0140991145734501</v>
      </c>
      <c r="AI4358">
        <v>89.781953193250999</v>
      </c>
      <c r="AJ4358">
        <v>89.446922933240302</v>
      </c>
      <c r="AK4358">
        <v>3.0142613755101801</v>
      </c>
      <c r="AL4358">
        <v>85.543447486097605</v>
      </c>
      <c r="AM4358">
        <v>93.8329557260234</v>
      </c>
      <c r="AN4358">
        <v>1.0000000109472</v>
      </c>
    </row>
    <row r="4359" spans="1:40" x14ac:dyDescent="0.25">
      <c r="A4359" t="str">
        <f>"20190305135322454"</f>
        <v>20190305135322454</v>
      </c>
      <c r="B4359" t="str">
        <f>"1551765202444486"</f>
        <v>1551765202444486</v>
      </c>
      <c r="C4359" t="s">
        <v>40</v>
      </c>
      <c r="D4359">
        <v>4.3620229999999998</v>
      </c>
      <c r="E4359">
        <v>0.52852710000000003</v>
      </c>
      <c r="F4359" t="s">
        <v>49</v>
      </c>
      <c r="G4359">
        <v>0</v>
      </c>
      <c r="H4359">
        <v>0</v>
      </c>
      <c r="I4359">
        <v>0</v>
      </c>
      <c r="J4359">
        <v>-366.28320000000002</v>
      </c>
      <c r="K4359">
        <v>1.109801</v>
      </c>
      <c r="L4359">
        <v>141.35939999999999</v>
      </c>
      <c r="M4359">
        <v>-0.9998996</v>
      </c>
      <c r="N4359">
        <v>-1.4021850000000001E-2</v>
      </c>
      <c r="O4359">
        <v>2.1083970000000001E-3</v>
      </c>
      <c r="P4359">
        <v>-0.99590279999999998</v>
      </c>
      <c r="Q4359">
        <v>6.3762490000000005E-2</v>
      </c>
      <c r="R4359">
        <v>-6.4125680000000004E-2</v>
      </c>
      <c r="S4359">
        <v>-3.0140989999999999</v>
      </c>
      <c r="T4359">
        <v>1.0161160000000001E-2</v>
      </c>
      <c r="U4359">
        <v>3.623962E-2</v>
      </c>
      <c r="V4359">
        <v>-6.626348E-2</v>
      </c>
      <c r="W4359">
        <v>7.7686469999999994E-2</v>
      </c>
      <c r="X4359">
        <v>0.99477329999999997</v>
      </c>
      <c r="Y4359">
        <v>9.9145199999999996E-3</v>
      </c>
      <c r="Z4359" s="1">
        <v>8.9475180000000005E-5</v>
      </c>
      <c r="AA4359">
        <v>0.99995080000000003</v>
      </c>
      <c r="AB4359">
        <v>37</v>
      </c>
      <c r="AC4359">
        <v>-3.0140989999999999</v>
      </c>
      <c r="AD4359">
        <v>1.0161160000000001E-2</v>
      </c>
      <c r="AE4359">
        <v>3.623962E-2</v>
      </c>
      <c r="AF4359">
        <v>2.98836585970924E-2</v>
      </c>
      <c r="AG4359">
        <v>1.0161160000000001E-2</v>
      </c>
      <c r="AH4359">
        <v>3.0141344634873599</v>
      </c>
      <c r="AI4359">
        <v>89.806856405051604</v>
      </c>
      <c r="AJ4359">
        <v>89.431959178931606</v>
      </c>
      <c r="AK4359">
        <v>3.0142997273340102</v>
      </c>
      <c r="AL4359">
        <v>85.544403628763007</v>
      </c>
      <c r="AM4359">
        <v>93.810935923521399</v>
      </c>
      <c r="AN4359">
        <v>0.99999997739782998</v>
      </c>
    </row>
    <row r="4360" spans="1:40" x14ac:dyDescent="0.25">
      <c r="A4360" t="str">
        <f>"20190305135322477"</f>
        <v>20190305135322477</v>
      </c>
      <c r="B4360" t="str">
        <f>"1551765202464006"</f>
        <v>1551765202464006</v>
      </c>
      <c r="C4360" t="s">
        <v>40</v>
      </c>
      <c r="D4360">
        <v>4.3257440000000003</v>
      </c>
      <c r="E4360">
        <v>0.5286071</v>
      </c>
      <c r="F4360" t="s">
        <v>49</v>
      </c>
      <c r="G4360">
        <v>0</v>
      </c>
      <c r="H4360">
        <v>0</v>
      </c>
      <c r="I4360">
        <v>0</v>
      </c>
      <c r="J4360">
        <v>-366.65269999999998</v>
      </c>
      <c r="K4360">
        <v>1.109791</v>
      </c>
      <c r="L4360">
        <v>141.36000000000001</v>
      </c>
      <c r="M4360">
        <v>-0.99989989999999995</v>
      </c>
      <c r="N4360">
        <v>-1.401968E-2</v>
      </c>
      <c r="O4360">
        <v>1.942287E-3</v>
      </c>
      <c r="P4360">
        <v>-0.99587630000000005</v>
      </c>
      <c r="Q4360">
        <v>6.4772830000000003E-2</v>
      </c>
      <c r="R4360">
        <v>-6.3522410000000001E-2</v>
      </c>
      <c r="S4360">
        <v>-3.01416</v>
      </c>
      <c r="T4360">
        <v>9.8154539999999995E-3</v>
      </c>
      <c r="U4360">
        <v>3.7811280000000003E-2</v>
      </c>
      <c r="V4360">
        <v>-6.5492659999999994E-2</v>
      </c>
      <c r="W4360">
        <v>7.8696639999999998E-2</v>
      </c>
      <c r="X4360">
        <v>0.99474499999999999</v>
      </c>
      <c r="Y4360">
        <v>1.060169E-2</v>
      </c>
      <c r="Z4360" s="1">
        <v>9.0615690000000007E-5</v>
      </c>
      <c r="AA4360">
        <v>0.99994380000000005</v>
      </c>
      <c r="AB4360">
        <v>37</v>
      </c>
      <c r="AC4360">
        <v>-3.01416</v>
      </c>
      <c r="AD4360">
        <v>9.8154539999999995E-3</v>
      </c>
      <c r="AE4360">
        <v>3.7811280000000003E-2</v>
      </c>
      <c r="AF4360">
        <v>3.19559310246329E-2</v>
      </c>
      <c r="AG4360">
        <v>9.8154539999999995E-3</v>
      </c>
      <c r="AH4360">
        <v>3.0141958021597701</v>
      </c>
      <c r="AI4360">
        <v>89.813432658419998</v>
      </c>
      <c r="AJ4360">
        <v>89.392583791931798</v>
      </c>
      <c r="AK4360">
        <v>3.0143811733791201</v>
      </c>
      <c r="AL4360">
        <v>85.486347648203207</v>
      </c>
      <c r="AM4360">
        <v>93.7668398557648</v>
      </c>
      <c r="AN4360">
        <v>1.00000003234308</v>
      </c>
    </row>
    <row r="4361" spans="1:40" x14ac:dyDescent="0.25">
      <c r="A4361" t="str">
        <f>"20190305135322501"</f>
        <v>20190305135322501</v>
      </c>
      <c r="B4361" t="str">
        <f>"1551765202494262"</f>
        <v>1551765202494262</v>
      </c>
      <c r="C4361" t="s">
        <v>40</v>
      </c>
      <c r="D4361">
        <v>4.3641360000000002</v>
      </c>
      <c r="E4361">
        <v>0.52871809999999997</v>
      </c>
      <c r="F4361" t="s">
        <v>49</v>
      </c>
      <c r="G4361">
        <v>0</v>
      </c>
      <c r="H4361">
        <v>0</v>
      </c>
      <c r="I4361">
        <v>0</v>
      </c>
      <c r="J4361">
        <v>-367.03640000000001</v>
      </c>
      <c r="K4361">
        <v>1.1097859999999999</v>
      </c>
      <c r="L4361">
        <v>141.3605</v>
      </c>
      <c r="M4361">
        <v>-0.99990020000000002</v>
      </c>
      <c r="N4361">
        <v>-1.4017389999999999E-2</v>
      </c>
      <c r="O4361">
        <v>1.769336E-3</v>
      </c>
      <c r="P4361">
        <v>-0.9958844</v>
      </c>
      <c r="Q4361">
        <v>6.5081159999999999E-2</v>
      </c>
      <c r="R4361">
        <v>-6.3078930000000005E-2</v>
      </c>
      <c r="S4361">
        <v>-3.0143430000000002</v>
      </c>
      <c r="T4361">
        <v>9.8888870000000007E-3</v>
      </c>
      <c r="U4361">
        <v>4.0435789999999999E-2</v>
      </c>
      <c r="V4361">
        <v>-6.4875370000000002E-2</v>
      </c>
      <c r="W4361">
        <v>7.9005140000000001E-2</v>
      </c>
      <c r="X4361">
        <v>0.99476100000000001</v>
      </c>
      <c r="Y4361">
        <v>1.1644349999999999E-2</v>
      </c>
      <c r="Z4361" s="1">
        <v>9.3124810000000001E-5</v>
      </c>
      <c r="AA4361">
        <v>0.99993220000000005</v>
      </c>
      <c r="AB4361">
        <v>37</v>
      </c>
      <c r="AC4361">
        <v>-3.0143430000000002</v>
      </c>
      <c r="AD4361">
        <v>9.8888870000000007E-3</v>
      </c>
      <c r="AE4361">
        <v>4.0435789999999999E-2</v>
      </c>
      <c r="AF4361">
        <v>3.5101439425745798E-2</v>
      </c>
      <c r="AG4361">
        <v>9.8888870000000007E-3</v>
      </c>
      <c r="AH4361">
        <v>3.01437739619589</v>
      </c>
      <c r="AI4361">
        <v>89.8120503931614</v>
      </c>
      <c r="AJ4361">
        <v>89.332839530876498</v>
      </c>
      <c r="AK4361">
        <v>3.0145979811299202</v>
      </c>
      <c r="AL4361">
        <v>85.4686167126561</v>
      </c>
      <c r="AM4361">
        <v>93.7313770750213</v>
      </c>
      <c r="AN4361">
        <v>1.0000000364500199</v>
      </c>
    </row>
    <row r="4362" spans="1:40" x14ac:dyDescent="0.25">
      <c r="A4362" t="str">
        <f>"20190305135322523"</f>
        <v>20190305135322523</v>
      </c>
      <c r="B4362" t="str">
        <f>"1551765202514758"</f>
        <v>1551765202514758</v>
      </c>
      <c r="C4362" t="s">
        <v>40</v>
      </c>
      <c r="D4362">
        <v>4.3568499999999997</v>
      </c>
      <c r="E4362">
        <v>0.52880319999999903</v>
      </c>
      <c r="F4362" t="s">
        <v>49</v>
      </c>
      <c r="G4362">
        <v>0</v>
      </c>
      <c r="H4362">
        <v>0</v>
      </c>
      <c r="I4362">
        <v>0</v>
      </c>
      <c r="J4362">
        <v>-367.40949999999998</v>
      </c>
      <c r="K4362">
        <v>1.1097889999999999</v>
      </c>
      <c r="L4362">
        <v>141.36099999999999</v>
      </c>
      <c r="M4362">
        <v>-0.99990049999999997</v>
      </c>
      <c r="N4362">
        <v>-1.401517E-2</v>
      </c>
      <c r="O4362">
        <v>1.5988459999999999E-3</v>
      </c>
      <c r="P4362">
        <v>-0.99584629999999996</v>
      </c>
      <c r="Q4362">
        <v>6.600752E-2</v>
      </c>
      <c r="R4362">
        <v>-6.2717449999999994E-2</v>
      </c>
      <c r="S4362">
        <v>-3.0145569999999999</v>
      </c>
      <c r="T4362">
        <v>8.1670279999999998E-3</v>
      </c>
      <c r="U4362">
        <v>4.2556759999999999E-2</v>
      </c>
      <c r="V4362">
        <v>-6.4343129999999998E-2</v>
      </c>
      <c r="W4362">
        <v>7.9930139999999997E-2</v>
      </c>
      <c r="X4362">
        <v>0.99472169999999904</v>
      </c>
      <c r="Y4362">
        <v>1.2517240000000001E-2</v>
      </c>
      <c r="Z4362" s="1">
        <v>9.7507899999999995E-5</v>
      </c>
      <c r="AA4362">
        <v>0.99992170000000002</v>
      </c>
      <c r="AB4362">
        <v>37</v>
      </c>
      <c r="AC4362">
        <v>-3.0145569999999999</v>
      </c>
      <c r="AD4362">
        <v>8.1670279999999998E-3</v>
      </c>
      <c r="AE4362">
        <v>4.2556759999999999E-2</v>
      </c>
      <c r="AF4362">
        <v>3.7736142818634501E-2</v>
      </c>
      <c r="AG4362">
        <v>8.1670279999999998E-3</v>
      </c>
      <c r="AH4362">
        <v>3.0145990725752401</v>
      </c>
      <c r="AI4362">
        <v>89.844789166860195</v>
      </c>
      <c r="AJ4362">
        <v>89.282820452816097</v>
      </c>
      <c r="AK4362">
        <v>3.0148463120352802</v>
      </c>
      <c r="AL4362">
        <v>85.415450096174197</v>
      </c>
      <c r="AM4362">
        <v>93.700995949634105</v>
      </c>
      <c r="AN4362">
        <v>1.0000000630547501</v>
      </c>
    </row>
    <row r="4363" spans="1:40" x14ac:dyDescent="0.25">
      <c r="A4363" t="str">
        <f>"20190305135322545"</f>
        <v>20190305135322545</v>
      </c>
      <c r="B4363" t="str">
        <f>"1551765202534278"</f>
        <v>1551765202534278</v>
      </c>
      <c r="C4363" t="s">
        <v>40</v>
      </c>
      <c r="D4363">
        <v>4.4136709999999999</v>
      </c>
      <c r="E4363">
        <v>0.52894600000000003</v>
      </c>
      <c r="F4363" t="s">
        <v>49</v>
      </c>
      <c r="G4363">
        <v>0</v>
      </c>
      <c r="H4363">
        <v>0</v>
      </c>
      <c r="I4363">
        <v>0</v>
      </c>
      <c r="J4363">
        <v>-367.76069999999999</v>
      </c>
      <c r="K4363">
        <v>1.1097889999999999</v>
      </c>
      <c r="L4363">
        <v>141.3614</v>
      </c>
      <c r="M4363">
        <v>-0.99990089999999998</v>
      </c>
      <c r="N4363">
        <v>-1.4013090000000001E-2</v>
      </c>
      <c r="O4363">
        <v>1.438279E-3</v>
      </c>
      <c r="P4363">
        <v>-0.99586070000000004</v>
      </c>
      <c r="Q4363">
        <v>6.64048E-2</v>
      </c>
      <c r="R4363">
        <v>-6.2065889999999999E-2</v>
      </c>
      <c r="S4363">
        <v>-3.0147089999999999</v>
      </c>
      <c r="T4363">
        <v>8.9521410000000003E-3</v>
      </c>
      <c r="U4363">
        <v>4.4586180000000003E-2</v>
      </c>
      <c r="V4363">
        <v>-6.3530470000000006E-2</v>
      </c>
      <c r="W4363">
        <v>8.0326529999999993E-2</v>
      </c>
      <c r="X4363">
        <v>0.99474189999999996</v>
      </c>
      <c r="Y4363">
        <v>1.335008E-2</v>
      </c>
      <c r="Z4363" s="1">
        <v>9.8151610000000005E-5</v>
      </c>
      <c r="AA4363">
        <v>0.99991090000000005</v>
      </c>
      <c r="AB4363">
        <v>37</v>
      </c>
      <c r="AC4363">
        <v>-3.0147089999999999</v>
      </c>
      <c r="AD4363">
        <v>8.9521410000000003E-3</v>
      </c>
      <c r="AE4363">
        <v>4.4586180000000003E-2</v>
      </c>
      <c r="AF4363">
        <v>4.0249361139800703E-2</v>
      </c>
      <c r="AG4363">
        <v>8.9521410000000003E-3</v>
      </c>
      <c r="AH4363">
        <v>3.0147434370968198</v>
      </c>
      <c r="AI4363">
        <v>89.829878497507096</v>
      </c>
      <c r="AJ4363">
        <v>89.235098585942197</v>
      </c>
      <c r="AK4363">
        <v>3.0150253968116099</v>
      </c>
      <c r="AL4363">
        <v>85.392664883738306</v>
      </c>
      <c r="AM4363">
        <v>93.654305476036001</v>
      </c>
      <c r="AN4363">
        <v>0.99999995982793499</v>
      </c>
    </row>
    <row r="4364" spans="1:40" x14ac:dyDescent="0.25">
      <c r="A4364" t="str">
        <f>"20190305135322566"</f>
        <v>20190305135322566</v>
      </c>
      <c r="B4364" t="str">
        <f>"1551765202554774"</f>
        <v>1551765202554774</v>
      </c>
      <c r="C4364" t="s">
        <v>40</v>
      </c>
      <c r="D4364">
        <v>4.5032759999999996</v>
      </c>
      <c r="E4364">
        <v>0.56569360000000002</v>
      </c>
      <c r="F4364" t="s">
        <v>49</v>
      </c>
      <c r="G4364">
        <v>0</v>
      </c>
      <c r="H4364">
        <v>0</v>
      </c>
      <c r="I4364">
        <v>0</v>
      </c>
      <c r="J4364">
        <v>-368.11750000000001</v>
      </c>
      <c r="K4364">
        <v>1.109788</v>
      </c>
      <c r="L4364">
        <v>141.36170000000001</v>
      </c>
      <c r="M4364">
        <v>-0.99990100000000004</v>
      </c>
      <c r="N4364">
        <v>-1.4010959999999999E-2</v>
      </c>
      <c r="O4364">
        <v>1.2831170000000001E-3</v>
      </c>
      <c r="P4364">
        <v>-0.99590279999999998</v>
      </c>
      <c r="Q4364">
        <v>6.7036869999999998E-2</v>
      </c>
      <c r="R4364">
        <v>-6.0694980000000003E-2</v>
      </c>
      <c r="S4364">
        <v>-3.0147400000000002</v>
      </c>
      <c r="T4364">
        <v>9.9985600000000001E-3</v>
      </c>
      <c r="U4364">
        <v>4.7821040000000002E-2</v>
      </c>
      <c r="V4364">
        <v>-6.2003660000000002E-2</v>
      </c>
      <c r="W4364">
        <v>8.0959130000000004E-2</v>
      </c>
      <c r="X4364">
        <v>0.99478699999999998</v>
      </c>
      <c r="Y4364">
        <v>1.457777E-2</v>
      </c>
      <c r="Z4364">
        <v>1.0019490000000001E-4</v>
      </c>
      <c r="AA4364">
        <v>0.9998937</v>
      </c>
      <c r="AB4364">
        <v>37</v>
      </c>
      <c r="AC4364">
        <v>-3.0147400000000002</v>
      </c>
      <c r="AD4364">
        <v>9.9985600000000001E-3</v>
      </c>
      <c r="AE4364">
        <v>4.7821040000000002E-2</v>
      </c>
      <c r="AF4364">
        <v>4.3951873341344601E-2</v>
      </c>
      <c r="AG4364">
        <v>9.9985600000000001E-3</v>
      </c>
      <c r="AH4364">
        <v>3.01476573106275</v>
      </c>
      <c r="AI4364">
        <v>89.809997734537902</v>
      </c>
      <c r="AJ4364">
        <v>89.164751533430206</v>
      </c>
      <c r="AK4364">
        <v>3.01510267678609</v>
      </c>
      <c r="AL4364">
        <v>85.356301347222697</v>
      </c>
      <c r="AM4364">
        <v>93.566550780840402</v>
      </c>
      <c r="AN4364">
        <v>1.00000000497637</v>
      </c>
    </row>
    <row r="4365" spans="1:40" x14ac:dyDescent="0.25">
      <c r="A4365" t="str">
        <f>"20190305135322589"</f>
        <v>20190305135322589</v>
      </c>
      <c r="B4365" t="str">
        <f>"1551765202584054"</f>
        <v>1551765202584054</v>
      </c>
      <c r="C4365" t="s">
        <v>40</v>
      </c>
      <c r="D4365">
        <v>4.5526730000000004</v>
      </c>
      <c r="E4365">
        <v>0.57826480000000002</v>
      </c>
      <c r="F4365" t="s">
        <v>78</v>
      </c>
      <c r="G4365">
        <v>-410.87880000000001</v>
      </c>
      <c r="H4365" s="1">
        <v>-1.2975809999999999E-5</v>
      </c>
      <c r="I4365">
        <v>146.2295</v>
      </c>
      <c r="J4365">
        <v>-368.49799999999999</v>
      </c>
      <c r="K4365">
        <v>1.1097760000000001</v>
      </c>
      <c r="L4365">
        <v>141.3621</v>
      </c>
      <c r="M4365">
        <v>-0.99990140000000005</v>
      </c>
      <c r="N4365">
        <v>-1.4008700000000001E-2</v>
      </c>
      <c r="O4365">
        <v>1.1361639999999901E-3</v>
      </c>
      <c r="P4365">
        <v>-0.9959945</v>
      </c>
      <c r="Q4365">
        <v>6.6902939999999994E-2</v>
      </c>
      <c r="R4365">
        <v>-5.9322590000000001E-2</v>
      </c>
      <c r="S4365">
        <v>-3.0387270000000002</v>
      </c>
      <c r="T4365">
        <v>-7.8865290000000005E-2</v>
      </c>
      <c r="U4365">
        <v>0.34591670000000002</v>
      </c>
      <c r="V4365">
        <v>-6.0482050000000002E-2</v>
      </c>
      <c r="W4365">
        <v>8.0827010000000005E-2</v>
      </c>
      <c r="X4365">
        <v>0.99489139999999998</v>
      </c>
      <c r="Y4365">
        <v>0.11191909999999999</v>
      </c>
      <c r="Z4365">
        <v>2.2205860000000001E-3</v>
      </c>
      <c r="AA4365">
        <v>0.99371489999999996</v>
      </c>
      <c r="AB4365">
        <v>37</v>
      </c>
      <c r="AC4365">
        <v>-42.380799999999901</v>
      </c>
      <c r="AD4365">
        <v>-1.1097889758099999</v>
      </c>
      <c r="AE4365">
        <v>4.8673999999999999</v>
      </c>
      <c r="AF4365">
        <v>4.8159812119518897</v>
      </c>
      <c r="AG4365">
        <v>-1.1097889758099999</v>
      </c>
      <c r="AH4365">
        <v>42.357636284659002</v>
      </c>
      <c r="AI4365">
        <v>91.4912282278422</v>
      </c>
      <c r="AJ4365">
        <v>83.513436268333905</v>
      </c>
      <c r="AK4365">
        <v>42.6449839750018</v>
      </c>
      <c r="AL4365">
        <v>85.363896089787303</v>
      </c>
      <c r="AM4365">
        <v>93.478878809811903</v>
      </c>
      <c r="AN4365">
        <v>0.99999999085585101</v>
      </c>
    </row>
    <row r="4366" spans="1:40" x14ac:dyDescent="0.25">
      <c r="A4366" t="str">
        <f>"20190305135322612"</f>
        <v>20190305135322612</v>
      </c>
      <c r="B4366" t="str">
        <f>"1551765202604550"</f>
        <v>1551765202604550</v>
      </c>
      <c r="C4366" t="s">
        <v>40</v>
      </c>
      <c r="D4366">
        <v>4.5796460000000003</v>
      </c>
      <c r="E4366">
        <v>0.58014350000000003</v>
      </c>
      <c r="F4366" t="s">
        <v>42</v>
      </c>
      <c r="G4366">
        <v>-390.17529999999999</v>
      </c>
      <c r="H4366" s="1">
        <v>-5.0953299999999997E-6</v>
      </c>
      <c r="I4366">
        <v>144.57130000000001</v>
      </c>
      <c r="J4366">
        <v>-368.86720000000003</v>
      </c>
      <c r="K4366">
        <v>1.1097600000000001</v>
      </c>
      <c r="L4366">
        <v>141.36240000000001</v>
      </c>
      <c r="M4366">
        <v>-0.99990140000000005</v>
      </c>
      <c r="N4366">
        <v>-1.4006390000000001E-2</v>
      </c>
      <c r="O4366">
        <v>1.0131090000000001E-3</v>
      </c>
      <c r="P4366">
        <v>-0.99611590000000005</v>
      </c>
      <c r="Q4366">
        <v>6.6353709999999996E-2</v>
      </c>
      <c r="R4366">
        <v>-5.7882370000000002E-2</v>
      </c>
      <c r="S4366">
        <v>-3.0494690000000002</v>
      </c>
      <c r="T4366">
        <v>-0.15611989999999901</v>
      </c>
      <c r="U4366">
        <v>0.45147710000000002</v>
      </c>
      <c r="V4366">
        <v>-5.8916219999999998E-2</v>
      </c>
      <c r="W4366">
        <v>8.0280439999999995E-2</v>
      </c>
      <c r="X4366">
        <v>0.99502959999999996</v>
      </c>
      <c r="Y4366">
        <v>0.14521500000000001</v>
      </c>
      <c r="Z4366">
        <v>4.6805889999999998E-3</v>
      </c>
      <c r="AA4366">
        <v>0.98938910000000002</v>
      </c>
      <c r="AB4366">
        <v>37</v>
      </c>
      <c r="AC4366">
        <v>-21.3080999999999</v>
      </c>
      <c r="AD4366">
        <v>-1.10976509533</v>
      </c>
      <c r="AE4366">
        <v>3.2088999999999999</v>
      </c>
      <c r="AF4366">
        <v>3.17887726329855</v>
      </c>
      <c r="AG4366">
        <v>-1.10976509533</v>
      </c>
      <c r="AH4366">
        <v>21.254964414886398</v>
      </c>
      <c r="AI4366">
        <v>92.955997948915197</v>
      </c>
      <c r="AJ4366">
        <v>81.493931492426995</v>
      </c>
      <c r="AK4366">
        <v>21.519998873141599</v>
      </c>
      <c r="AL4366">
        <v>85.395314329872903</v>
      </c>
      <c r="AM4366">
        <v>93.388556628318298</v>
      </c>
      <c r="AN4366">
        <v>0.99999998745092</v>
      </c>
    </row>
    <row r="4367" spans="1:40" x14ac:dyDescent="0.25">
      <c r="A4367" t="str">
        <f>"20190305135322633"</f>
        <v>20190305135322633</v>
      </c>
      <c r="B4367" t="str">
        <f>"1551765202624070"</f>
        <v>1551765202624070</v>
      </c>
      <c r="C4367" t="s">
        <v>40</v>
      </c>
      <c r="D4367">
        <v>4.4479499999999996</v>
      </c>
      <c r="E4367">
        <v>0.58109440000000001</v>
      </c>
      <c r="F4367" t="s">
        <v>42</v>
      </c>
      <c r="G4367">
        <v>-389.59129999999999</v>
      </c>
      <c r="H4367" s="1">
        <v>-1.4740589999999999E-6</v>
      </c>
      <c r="I4367">
        <v>144.56360000000001</v>
      </c>
      <c r="J4367">
        <v>-369.21620000000001</v>
      </c>
      <c r="K4367">
        <v>1.109745</v>
      </c>
      <c r="L4367">
        <v>141.36259999999999</v>
      </c>
      <c r="M4367">
        <v>-0.99990159999999995</v>
      </c>
      <c r="N4367">
        <v>-1.400414E-2</v>
      </c>
      <c r="O4367">
        <v>9.2170049999999997E-4</v>
      </c>
      <c r="P4367">
        <v>-0.99620220000000004</v>
      </c>
      <c r="Q4367">
        <v>6.6812109999999994E-2</v>
      </c>
      <c r="R4367">
        <v>-5.5834540000000002E-2</v>
      </c>
      <c r="S4367">
        <v>-3.049957</v>
      </c>
      <c r="T4367">
        <v>-0.16332389999999999</v>
      </c>
      <c r="U4367">
        <v>0.4711456</v>
      </c>
      <c r="V4367">
        <v>-5.6773160000000003E-2</v>
      </c>
      <c r="W4367">
        <v>8.0741469999999996E-2</v>
      </c>
      <c r="X4367">
        <v>0.99511689999999997</v>
      </c>
      <c r="Y4367">
        <v>0.15148639999999999</v>
      </c>
      <c r="Z4367">
        <v>5.0610289999999999E-3</v>
      </c>
      <c r="AA4367">
        <v>0.98844639999999995</v>
      </c>
      <c r="AB4367">
        <v>37</v>
      </c>
      <c r="AC4367">
        <v>-20.3750999999999</v>
      </c>
      <c r="AD4367">
        <v>-1.109746474059</v>
      </c>
      <c r="AE4367">
        <v>3.2010000000000201</v>
      </c>
      <c r="AF4367">
        <v>3.1730309118141999</v>
      </c>
      <c r="AG4367">
        <v>-1.109746474059</v>
      </c>
      <c r="AH4367">
        <v>20.3192164315324</v>
      </c>
      <c r="AI4367">
        <v>93.088778026514504</v>
      </c>
      <c r="AJ4367">
        <v>81.124423989512394</v>
      </c>
      <c r="AK4367">
        <v>20.595393144960099</v>
      </c>
      <c r="AL4367">
        <v>85.368813333936998</v>
      </c>
      <c r="AM4367">
        <v>93.265284796619696</v>
      </c>
      <c r="AN4367">
        <v>1.0000000106698701</v>
      </c>
    </row>
    <row r="4368" spans="1:40" x14ac:dyDescent="0.25">
      <c r="A4368" t="str">
        <f>"20190305135322667"</f>
        <v>20190305135322667</v>
      </c>
      <c r="B4368" t="str">
        <f>"1551765202664088"</f>
        <v>1551765202664088</v>
      </c>
      <c r="C4368" t="s">
        <v>40</v>
      </c>
      <c r="D4368">
        <v>4.5165449999999998</v>
      </c>
      <c r="E4368">
        <v>0.58212849999999905</v>
      </c>
      <c r="F4368" t="s">
        <v>42</v>
      </c>
      <c r="G4368">
        <v>-389.65460000000002</v>
      </c>
      <c r="H4368" s="1">
        <v>-1.4598810000000001E-6</v>
      </c>
      <c r="I4368">
        <v>144.61250000000001</v>
      </c>
      <c r="J4368">
        <v>-369.76830000000001</v>
      </c>
      <c r="K4368">
        <v>1.1097090000000001</v>
      </c>
      <c r="L4368">
        <v>141.363</v>
      </c>
      <c r="M4368">
        <v>-0.9999017</v>
      </c>
      <c r="N4368">
        <v>-1.400098E-2</v>
      </c>
      <c r="O4368">
        <v>8.3285960000000002E-4</v>
      </c>
      <c r="P4368">
        <v>-0.99645010000000001</v>
      </c>
      <c r="Q4368">
        <v>6.5469399999999997E-2</v>
      </c>
      <c r="R4368">
        <v>-5.292359E-2</v>
      </c>
      <c r="S4368">
        <v>-3.0496829999999999</v>
      </c>
      <c r="T4368">
        <v>-0.1655895</v>
      </c>
      <c r="U4368">
        <v>0.48493960000000003</v>
      </c>
      <c r="V4368">
        <v>-5.3766519999999998E-2</v>
      </c>
      <c r="W4368">
        <v>7.9404909999999995E-2</v>
      </c>
      <c r="X4368">
        <v>0.99539140000000004</v>
      </c>
      <c r="Y4368">
        <v>0.15593499999999999</v>
      </c>
      <c r="Z4368">
        <v>5.2701149999999997E-3</v>
      </c>
      <c r="AA4368">
        <v>0.98775329999999995</v>
      </c>
      <c r="AB4368">
        <v>37</v>
      </c>
      <c r="AC4368">
        <v>-19.886299999999999</v>
      </c>
      <c r="AD4368">
        <v>-1.1097104598809999</v>
      </c>
      <c r="AE4368">
        <v>3.24950000000001</v>
      </c>
      <c r="AF4368">
        <v>3.2231590244214301</v>
      </c>
      <c r="AG4368">
        <v>-1.1097104598809999</v>
      </c>
      <c r="AH4368">
        <v>19.828859498094999</v>
      </c>
      <c r="AI4368">
        <v>93.161771058071395</v>
      </c>
      <c r="AJ4368">
        <v>80.767384869339494</v>
      </c>
      <c r="AK4368">
        <v>20.1197385767477</v>
      </c>
      <c r="AL4368">
        <v>85.445639266602001</v>
      </c>
      <c r="AM4368">
        <v>93.091852970372798</v>
      </c>
      <c r="AN4368">
        <v>1.00000000879948</v>
      </c>
    </row>
    <row r="4369" spans="1:40" x14ac:dyDescent="0.25">
      <c r="A4369" t="str">
        <f>"20190305135322690"</f>
        <v>20190305135322690</v>
      </c>
      <c r="B4369" t="str">
        <f>"1551765202684583"</f>
        <v>1551765202684583</v>
      </c>
      <c r="C4369" t="s">
        <v>40</v>
      </c>
      <c r="D4369">
        <v>4.5155909999999997</v>
      </c>
      <c r="E4369">
        <v>0.58205989999999996</v>
      </c>
      <c r="F4369" t="s">
        <v>42</v>
      </c>
      <c r="G4369">
        <v>-388.53730000000002</v>
      </c>
      <c r="H4369" s="1">
        <v>-1.8976940000000001E-6</v>
      </c>
      <c r="I4369">
        <v>144.4564</v>
      </c>
      <c r="J4369">
        <v>-370.1377</v>
      </c>
      <c r="K4369">
        <v>1.109674</v>
      </c>
      <c r="L4369">
        <v>141.36330000000001</v>
      </c>
      <c r="M4369">
        <v>-0.99990179999999995</v>
      </c>
      <c r="N4369">
        <v>-1.399893E-2</v>
      </c>
      <c r="O4369">
        <v>8.2685649999999903E-4</v>
      </c>
      <c r="P4369">
        <v>-0.99661060000000001</v>
      </c>
      <c r="Q4369">
        <v>6.4395839999999996E-2</v>
      </c>
      <c r="R4369">
        <v>-5.1196169999999999E-2</v>
      </c>
      <c r="S4369">
        <v>-3.049255</v>
      </c>
      <c r="T4369">
        <v>-0.18028759999999999</v>
      </c>
      <c r="U4369">
        <v>0.50257870000000004</v>
      </c>
      <c r="V4369">
        <v>-5.2026540000000003E-2</v>
      </c>
      <c r="W4369">
        <v>7.8335840000000004E-2</v>
      </c>
      <c r="X4369">
        <v>0.99556860000000003</v>
      </c>
      <c r="Y4369">
        <v>0.1614698</v>
      </c>
      <c r="Z4369">
        <v>5.8394179999999999E-3</v>
      </c>
      <c r="AA4369">
        <v>0.98686039999999997</v>
      </c>
      <c r="AB4369">
        <v>36</v>
      </c>
      <c r="AC4369">
        <v>-18.3996</v>
      </c>
      <c r="AD4369">
        <v>-1.109675897694</v>
      </c>
      <c r="AE4369">
        <v>3.09309999999999</v>
      </c>
      <c r="AF4369">
        <v>3.0670345848431801</v>
      </c>
      <c r="AG4369">
        <v>-1.109675897694</v>
      </c>
      <c r="AH4369">
        <v>18.337286914371798</v>
      </c>
      <c r="AI4369">
        <v>93.415682984323695</v>
      </c>
      <c r="AJ4369">
        <v>80.504786724660903</v>
      </c>
      <c r="AK4369">
        <v>18.625095251368201</v>
      </c>
      <c r="AL4369">
        <v>85.507084065374798</v>
      </c>
      <c r="AM4369">
        <v>92.991448381594594</v>
      </c>
      <c r="AN4369">
        <v>1.00000005099941</v>
      </c>
    </row>
    <row r="4370" spans="1:40" x14ac:dyDescent="0.25">
      <c r="A4370" t="str">
        <f>"20190305135322713"</f>
        <v>20190305135322713</v>
      </c>
      <c r="B4370" t="str">
        <f>"1551765202704102"</f>
        <v>1551765202704102</v>
      </c>
      <c r="C4370" t="s">
        <v>40</v>
      </c>
      <c r="D4370">
        <v>4.6069950000000004</v>
      </c>
      <c r="E4370">
        <v>0.58193499999999998</v>
      </c>
      <c r="F4370" t="s">
        <v>42</v>
      </c>
      <c r="G4370">
        <v>-388.27080000000001</v>
      </c>
      <c r="H4370" s="1">
        <v>-1.9919119999999998E-6</v>
      </c>
      <c r="I4370">
        <v>144.3809</v>
      </c>
      <c r="J4370">
        <v>-370.50880000000001</v>
      </c>
      <c r="K4370">
        <v>1.1096490000000001</v>
      </c>
      <c r="L4370">
        <v>141.36359999999999</v>
      </c>
      <c r="M4370">
        <v>-0.9999017</v>
      </c>
      <c r="N4370">
        <v>-1.39969E-2</v>
      </c>
      <c r="O4370">
        <v>8.7030979999999896E-4</v>
      </c>
      <c r="P4370">
        <v>-0.99674430000000003</v>
      </c>
      <c r="Q4370">
        <v>6.3809039999999997E-2</v>
      </c>
      <c r="R4370">
        <v>-4.9290599999999997E-2</v>
      </c>
      <c r="S4370">
        <v>-3.0483090000000002</v>
      </c>
      <c r="T4370">
        <v>-0.1865454</v>
      </c>
      <c r="U4370">
        <v>0.50729369999999996</v>
      </c>
      <c r="V4370">
        <v>-5.0157390000000003E-2</v>
      </c>
      <c r="W4370">
        <v>7.775398E-2</v>
      </c>
      <c r="X4370">
        <v>0.99571010000000004</v>
      </c>
      <c r="Y4370">
        <v>0.16293659999999999</v>
      </c>
      <c r="Z4370">
        <v>6.0556539999999997E-3</v>
      </c>
      <c r="AA4370">
        <v>0.98661799999999999</v>
      </c>
      <c r="AB4370">
        <v>36</v>
      </c>
      <c r="AC4370">
        <v>-17.762</v>
      </c>
      <c r="AD4370">
        <v>-1.1096509919119999</v>
      </c>
      <c r="AE4370">
        <v>3.0173000000000001</v>
      </c>
      <c r="AF4370">
        <v>2.9904946181111298</v>
      </c>
      <c r="AG4370">
        <v>-1.1096509919119999</v>
      </c>
      <c r="AH4370">
        <v>17.697485045655501</v>
      </c>
      <c r="AI4370">
        <v>93.537786117693898</v>
      </c>
      <c r="AJ4370">
        <v>80.408847522514293</v>
      </c>
      <c r="AK4370">
        <v>17.982640527075102</v>
      </c>
      <c r="AL4370">
        <v>85.540524064272503</v>
      </c>
      <c r="AM4370">
        <v>92.883750704383502</v>
      </c>
      <c r="AN4370">
        <v>1.00000002420973</v>
      </c>
    </row>
    <row r="4371" spans="1:40" x14ac:dyDescent="0.25">
      <c r="A4371" t="str">
        <f>"20190305135322735"</f>
        <v>20190305135322735</v>
      </c>
      <c r="B4371" t="str">
        <f>"1551765202724599"</f>
        <v>1551765202724599</v>
      </c>
      <c r="C4371" t="s">
        <v>40</v>
      </c>
      <c r="D4371">
        <v>4.5476159999999997</v>
      </c>
      <c r="E4371">
        <v>0.58200130000000005</v>
      </c>
      <c r="F4371" t="s">
        <v>42</v>
      </c>
      <c r="G4371">
        <v>-388.76150000000001</v>
      </c>
      <c r="H4371" s="1">
        <v>-1.794586E-6</v>
      </c>
      <c r="I4371">
        <v>144.43049999999999</v>
      </c>
      <c r="J4371">
        <v>-370.863</v>
      </c>
      <c r="K4371">
        <v>1.1096090000000001</v>
      </c>
      <c r="L4371">
        <v>141.364</v>
      </c>
      <c r="M4371">
        <v>-0.9999017</v>
      </c>
      <c r="N4371">
        <v>-1.3995E-2</v>
      </c>
      <c r="O4371">
        <v>9.823989999999999E-4</v>
      </c>
      <c r="P4371">
        <v>-0.99684660000000003</v>
      </c>
      <c r="Q4371">
        <v>6.3460890000000006E-2</v>
      </c>
      <c r="R4371">
        <v>-4.764293E-2</v>
      </c>
      <c r="S4371">
        <v>-3.0469970000000002</v>
      </c>
      <c r="T4371">
        <v>-0.18523880000000001</v>
      </c>
      <c r="U4371">
        <v>0.51197809999999999</v>
      </c>
      <c r="V4371">
        <v>-4.8611750000000002E-2</v>
      </c>
      <c r="W4371">
        <v>7.7411670000000002E-2</v>
      </c>
      <c r="X4371">
        <v>0.99581339999999996</v>
      </c>
      <c r="Y4371">
        <v>0.1643715</v>
      </c>
      <c r="Z4371">
        <v>6.0710549999999997E-3</v>
      </c>
      <c r="AA4371">
        <v>0.98637980000000003</v>
      </c>
      <c r="AB4371">
        <v>36</v>
      </c>
      <c r="AC4371">
        <v>-17.898499999999899</v>
      </c>
      <c r="AD4371">
        <v>-1.1096107945860001</v>
      </c>
      <c r="AE4371">
        <v>3.0664999999999898</v>
      </c>
      <c r="AF4371">
        <v>3.0375718366774702</v>
      </c>
      <c r="AG4371">
        <v>-1.1096107945860001</v>
      </c>
      <c r="AH4371">
        <v>17.834913305181502</v>
      </c>
      <c r="AI4371">
        <v>93.509694776715605</v>
      </c>
      <c r="AJ4371">
        <v>80.334356370567406</v>
      </c>
      <c r="AK4371">
        <v>18.125733402590299</v>
      </c>
      <c r="AL4371">
        <v>85.560196160523901</v>
      </c>
      <c r="AM4371">
        <v>92.794739294910798</v>
      </c>
      <c r="AN4371">
        <v>0.99999999825490504</v>
      </c>
    </row>
    <row r="4372" spans="1:40" x14ac:dyDescent="0.25">
      <c r="A4372" t="str">
        <f>"20190305135322756"</f>
        <v>20190305135322756</v>
      </c>
      <c r="B4372" t="str">
        <f>"1551765202744119"</f>
        <v>1551765202744119</v>
      </c>
      <c r="C4372" t="s">
        <v>40</v>
      </c>
      <c r="D4372">
        <v>4.592625</v>
      </c>
      <c r="E4372">
        <v>0.58208789999999999</v>
      </c>
      <c r="F4372" t="s">
        <v>42</v>
      </c>
      <c r="G4372">
        <v>-388.91590000000002</v>
      </c>
      <c r="H4372" s="1">
        <v>-1.728369E-6</v>
      </c>
      <c r="I4372">
        <v>144.43049999999999</v>
      </c>
      <c r="J4372">
        <v>-371.21249999999998</v>
      </c>
      <c r="K4372">
        <v>1.1095440000000001</v>
      </c>
      <c r="L4372">
        <v>141.36449999999999</v>
      </c>
      <c r="M4372">
        <v>-0.9999015</v>
      </c>
      <c r="N4372">
        <v>-1.3993230000000001E-2</v>
      </c>
      <c r="O4372">
        <v>1.176762E-3</v>
      </c>
      <c r="P4372">
        <v>-0.99694419999999995</v>
      </c>
      <c r="Q4372">
        <v>6.2671959999999999E-2</v>
      </c>
      <c r="R4372">
        <v>-4.663486E-2</v>
      </c>
      <c r="S4372">
        <v>-3.0461429999999998</v>
      </c>
      <c r="T4372">
        <v>-0.1872308</v>
      </c>
      <c r="U4372">
        <v>0.51742549999999998</v>
      </c>
      <c r="V4372">
        <v>-4.7785569999999999E-2</v>
      </c>
      <c r="W4372">
        <v>7.6629619999999996E-2</v>
      </c>
      <c r="X4372">
        <v>0.99591390000000002</v>
      </c>
      <c r="Y4372">
        <v>0.1659293</v>
      </c>
      <c r="Z4372">
        <v>6.1736419999999896E-3</v>
      </c>
      <c r="AA4372">
        <v>0.9861183</v>
      </c>
      <c r="AB4372">
        <v>36</v>
      </c>
      <c r="AC4372">
        <v>-17.703399999999998</v>
      </c>
      <c r="AD4372">
        <v>-1.109545728369</v>
      </c>
      <c r="AE4372">
        <v>3.0659999999999998</v>
      </c>
      <c r="AF4372">
        <v>3.0335940414780498</v>
      </c>
      <c r="AG4372">
        <v>-1.109545728369</v>
      </c>
      <c r="AH4372">
        <v>17.639724060651201</v>
      </c>
      <c r="AI4372">
        <v>93.547248247230996</v>
      </c>
      <c r="AJ4372">
        <v>80.242002099435993</v>
      </c>
      <c r="AK4372">
        <v>17.933032355620998</v>
      </c>
      <c r="AL4372">
        <v>85.605137955483698</v>
      </c>
      <c r="AM4372">
        <v>92.747037945283793</v>
      </c>
      <c r="AN4372">
        <v>1.00000002778738</v>
      </c>
    </row>
    <row r="4373" spans="1:40" x14ac:dyDescent="0.25">
      <c r="A4373" t="str">
        <f>"20190305135322779"</f>
        <v>20190305135322779</v>
      </c>
      <c r="B4373" t="str">
        <f>"1551765202774375"</f>
        <v>1551765202774375</v>
      </c>
      <c r="C4373" t="s">
        <v>40</v>
      </c>
      <c r="D4373">
        <v>4.5394509999999997</v>
      </c>
      <c r="E4373">
        <v>0.58224940000000003</v>
      </c>
      <c r="F4373" t="s">
        <v>42</v>
      </c>
      <c r="G4373">
        <v>-388.7792</v>
      </c>
      <c r="H4373" s="1">
        <v>-1.7708449999999901E-6</v>
      </c>
      <c r="I4373">
        <v>144.36969999999999</v>
      </c>
      <c r="J4373">
        <v>-371.57780000000002</v>
      </c>
      <c r="K4373">
        <v>1.1094729999999999</v>
      </c>
      <c r="L4373">
        <v>141.36519999999999</v>
      </c>
      <c r="M4373">
        <v>-0.99990109999999999</v>
      </c>
      <c r="N4373">
        <v>-1.3991440000000001E-2</v>
      </c>
      <c r="O4373">
        <v>1.4783939999999901E-3</v>
      </c>
      <c r="P4373">
        <v>-0.99702579999999996</v>
      </c>
      <c r="Q4373">
        <v>6.2042750000000001E-2</v>
      </c>
      <c r="R4373">
        <v>-4.5718509999999997E-2</v>
      </c>
      <c r="S4373">
        <v>-3.0456539999999999</v>
      </c>
      <c r="T4373">
        <v>-0.19236980000000001</v>
      </c>
      <c r="U4373">
        <v>0.52104189999999995</v>
      </c>
      <c r="V4373">
        <v>-4.7154290000000001E-2</v>
      </c>
      <c r="W4373">
        <v>7.6009629999999995E-2</v>
      </c>
      <c r="X4373">
        <v>0.99599150000000003</v>
      </c>
      <c r="Y4373">
        <v>0.16677520000000001</v>
      </c>
      <c r="Z4373">
        <v>6.3283389999999997E-3</v>
      </c>
      <c r="AA4373">
        <v>0.98597460000000003</v>
      </c>
      <c r="AB4373">
        <v>36</v>
      </c>
      <c r="AC4373">
        <v>-17.2013999999999</v>
      </c>
      <c r="AD4373">
        <v>-1.1094747708449999</v>
      </c>
      <c r="AE4373">
        <v>3.0045000000000002</v>
      </c>
      <c r="AF4373">
        <v>2.9670857377634299</v>
      </c>
      <c r="AG4373">
        <v>-1.1094747708449999</v>
      </c>
      <c r="AH4373">
        <v>17.136643306221799</v>
      </c>
      <c r="AI4373">
        <v>93.650162012540903</v>
      </c>
      <c r="AJ4373">
        <v>80.177036875051698</v>
      </c>
      <c r="AK4373">
        <v>17.426964045612099</v>
      </c>
      <c r="AL4373">
        <v>85.640764681612296</v>
      </c>
      <c r="AM4373">
        <v>92.710591302471101</v>
      </c>
      <c r="AN4373">
        <v>1.0000000294951901</v>
      </c>
    </row>
    <row r="4374" spans="1:40" x14ac:dyDescent="0.25">
      <c r="A4374" t="str">
        <f>"20190305135322802"</f>
        <v>20190305135322802</v>
      </c>
      <c r="B4374" t="str">
        <f>"1551765202793897"</f>
        <v>1551765202793897</v>
      </c>
      <c r="C4374" t="s">
        <v>40</v>
      </c>
      <c r="D4374">
        <v>4.5255799999999997</v>
      </c>
      <c r="E4374">
        <v>0.58233119999999905</v>
      </c>
      <c r="F4374" t="s">
        <v>42</v>
      </c>
      <c r="G4374">
        <v>-388.80290000000002</v>
      </c>
      <c r="H4374" s="1">
        <v>-1.750898E-6</v>
      </c>
      <c r="I4374">
        <v>144.3329</v>
      </c>
      <c r="J4374">
        <v>-371.9563</v>
      </c>
      <c r="K4374">
        <v>1.1093869999999999</v>
      </c>
      <c r="L4374">
        <v>141.36619999999999</v>
      </c>
      <c r="M4374">
        <v>-0.99990049999999997</v>
      </c>
      <c r="N4374">
        <v>-1.3989669999999999E-2</v>
      </c>
      <c r="O4374">
        <v>1.8981930000000001E-3</v>
      </c>
      <c r="P4374">
        <v>-0.99706589999999995</v>
      </c>
      <c r="Q4374">
        <v>6.2518080000000004E-2</v>
      </c>
      <c r="R4374">
        <v>-4.4175260000000001E-2</v>
      </c>
      <c r="S4374">
        <v>-3.0451969999999999</v>
      </c>
      <c r="T4374">
        <v>-0.1961435</v>
      </c>
      <c r="U4374">
        <v>0.52467350000000001</v>
      </c>
      <c r="V4374">
        <v>-4.6011789999999997E-2</v>
      </c>
      <c r="W4374">
        <v>7.6493140000000001E-2</v>
      </c>
      <c r="X4374">
        <v>0.99600789999999995</v>
      </c>
      <c r="Y4374">
        <v>0.16751260000000001</v>
      </c>
      <c r="Z4374">
        <v>6.4368269999999896E-3</v>
      </c>
      <c r="AA4374">
        <v>0.98584890000000003</v>
      </c>
      <c r="AB4374">
        <v>36</v>
      </c>
      <c r="AC4374">
        <v>-16.846599999999999</v>
      </c>
      <c r="AD4374">
        <v>-1.109388750898</v>
      </c>
      <c r="AE4374">
        <v>2.9666999999999999</v>
      </c>
      <c r="AF4374">
        <v>2.9224214379765199</v>
      </c>
      <c r="AG4374">
        <v>-1.109388750898</v>
      </c>
      <c r="AH4374">
        <v>16.781616424972899</v>
      </c>
      <c r="AI4374">
        <v>93.726252874779505</v>
      </c>
      <c r="AJ4374">
        <v>80.121337191100295</v>
      </c>
      <c r="AK4374">
        <v>17.0702647986692</v>
      </c>
      <c r="AL4374">
        <v>85.612980629277104</v>
      </c>
      <c r="AM4374">
        <v>92.644967393083903</v>
      </c>
      <c r="AN4374">
        <v>1.00000001107423</v>
      </c>
    </row>
    <row r="4375" spans="1:40" x14ac:dyDescent="0.25">
      <c r="A4375" t="str">
        <f>"20190305135322823"</f>
        <v>20190305135322823</v>
      </c>
      <c r="B4375" t="str">
        <f>"1551765202814394"</f>
        <v>1551765202814394</v>
      </c>
      <c r="C4375" t="s">
        <v>40</v>
      </c>
      <c r="D4375">
        <v>4.5283160000000002</v>
      </c>
      <c r="E4375">
        <v>0.58241409999999905</v>
      </c>
      <c r="F4375" t="s">
        <v>42</v>
      </c>
      <c r="G4375">
        <v>-389.16820000000001</v>
      </c>
      <c r="H4375" s="1">
        <v>-1.6008340000000001E-6</v>
      </c>
      <c r="I4375">
        <v>144.358</v>
      </c>
      <c r="J4375">
        <v>-372.29759999999999</v>
      </c>
      <c r="K4375">
        <v>1.109305</v>
      </c>
      <c r="L4375">
        <v>141.3673</v>
      </c>
      <c r="M4375">
        <v>-0.99989939999999999</v>
      </c>
      <c r="N4375">
        <v>-1.3988189999999999E-2</v>
      </c>
      <c r="O4375">
        <v>2.3716200000000001E-3</v>
      </c>
      <c r="P4375">
        <v>-0.99706819999999896</v>
      </c>
      <c r="Q4375">
        <v>6.350037E-2</v>
      </c>
      <c r="R4375">
        <v>-4.2696909999999998E-2</v>
      </c>
      <c r="S4375">
        <v>-3.044556</v>
      </c>
      <c r="T4375">
        <v>-0.19623650000000001</v>
      </c>
      <c r="U4375">
        <v>0.52922060000000004</v>
      </c>
      <c r="V4375">
        <v>-4.4988630000000002E-2</v>
      </c>
      <c r="W4375">
        <v>7.7482510000000004E-2</v>
      </c>
      <c r="X4375">
        <v>0.99597820000000004</v>
      </c>
      <c r="Y4375">
        <v>0.16850780000000001</v>
      </c>
      <c r="Z4375">
        <v>6.454881E-3</v>
      </c>
      <c r="AA4375">
        <v>0.98567919999999998</v>
      </c>
      <c r="AB4375">
        <v>36</v>
      </c>
      <c r="AC4375">
        <v>-16.8706</v>
      </c>
      <c r="AD4375">
        <v>-1.109306600834</v>
      </c>
      <c r="AE4375">
        <v>2.9906999999999999</v>
      </c>
      <c r="AF4375">
        <v>2.9383599019100601</v>
      </c>
      <c r="AG4375">
        <v>-1.109306600834</v>
      </c>
      <c r="AH4375">
        <v>16.807193059988201</v>
      </c>
      <c r="AI4375">
        <v>93.719894364525203</v>
      </c>
      <c r="AJ4375">
        <v>80.083343425847403</v>
      </c>
      <c r="AK4375">
        <v>17.098136114896398</v>
      </c>
      <c r="AL4375">
        <v>85.556125310423894</v>
      </c>
      <c r="AM4375">
        <v>92.586309273342707</v>
      </c>
      <c r="AN4375">
        <v>1.0000000455302001</v>
      </c>
    </row>
    <row r="4376" spans="1:40" x14ac:dyDescent="0.25">
      <c r="A4376" t="str">
        <f>"20190305135322845"</f>
        <v>20190305135322845</v>
      </c>
      <c r="B4376" t="str">
        <f>"1551765202834893"</f>
        <v>1551765202834893</v>
      </c>
      <c r="C4376" t="s">
        <v>40</v>
      </c>
      <c r="D4376">
        <v>4.5122369999999998</v>
      </c>
      <c r="E4376">
        <v>0.58243679999999998</v>
      </c>
      <c r="F4376" t="s">
        <v>42</v>
      </c>
      <c r="G4376">
        <v>-389.62779999999998</v>
      </c>
      <c r="H4376" s="1">
        <v>-1.4159240000000001E-6</v>
      </c>
      <c r="I4376">
        <v>144.4041</v>
      </c>
      <c r="J4376">
        <v>-372.65890000000002</v>
      </c>
      <c r="K4376">
        <v>1.1092219999999999</v>
      </c>
      <c r="L4376">
        <v>141.36869999999999</v>
      </c>
      <c r="M4376">
        <v>-0.99989799999999995</v>
      </c>
      <c r="N4376">
        <v>-1.398665E-2</v>
      </c>
      <c r="O4376">
        <v>2.9597709999999999E-3</v>
      </c>
      <c r="P4376">
        <v>-0.99712129999999999</v>
      </c>
      <c r="Q4376">
        <v>6.4008079999999995E-2</v>
      </c>
      <c r="R4376">
        <v>-4.0650190000000003E-2</v>
      </c>
      <c r="S4376">
        <v>-3.0440369999999999</v>
      </c>
      <c r="T4376">
        <v>-0.1948491</v>
      </c>
      <c r="U4376">
        <v>0.53343200000000002</v>
      </c>
      <c r="V4376">
        <v>-4.351269E-2</v>
      </c>
      <c r="W4376">
        <v>7.7995949999999994E-2</v>
      </c>
      <c r="X4376">
        <v>0.99600359999999999</v>
      </c>
      <c r="Y4376">
        <v>0.16928379999999901</v>
      </c>
      <c r="Z4376">
        <v>6.4191369999999897E-3</v>
      </c>
      <c r="AA4376">
        <v>0.98554640000000004</v>
      </c>
      <c r="AB4376">
        <v>36</v>
      </c>
      <c r="AC4376">
        <v>-16.968899999999898</v>
      </c>
      <c r="AD4376">
        <v>-1.109223415924</v>
      </c>
      <c r="AE4376">
        <v>3.0354000000000001</v>
      </c>
      <c r="AF4376">
        <v>2.9728486893659598</v>
      </c>
      <c r="AG4376">
        <v>-1.109223415924</v>
      </c>
      <c r="AH4376">
        <v>16.907804027019399</v>
      </c>
      <c r="AI4376">
        <v>93.696917140586393</v>
      </c>
      <c r="AJ4376">
        <v>80.027784593347803</v>
      </c>
      <c r="AK4376">
        <v>17.2029661085637</v>
      </c>
      <c r="AL4376">
        <v>85.526617626925599</v>
      </c>
      <c r="AM4376">
        <v>92.501506237327803</v>
      </c>
      <c r="AN4376">
        <v>0.99999994681019699</v>
      </c>
    </row>
    <row r="4377" spans="1:40" x14ac:dyDescent="0.25">
      <c r="A4377" t="str">
        <f>"20190305135322869"</f>
        <v>20190305135322869</v>
      </c>
      <c r="B4377" t="str">
        <f>"1551765202864161"</f>
        <v>1551765202864161</v>
      </c>
      <c r="C4377" t="s">
        <v>40</v>
      </c>
      <c r="D4377">
        <v>4.4605040000000002</v>
      </c>
      <c r="E4377">
        <v>0.58259830000000001</v>
      </c>
      <c r="F4377" t="s">
        <v>42</v>
      </c>
      <c r="G4377">
        <v>-390.02879999999999</v>
      </c>
      <c r="H4377" s="1">
        <v>-5.1230099999999896E-6</v>
      </c>
      <c r="I4377">
        <v>144.44630000000001</v>
      </c>
      <c r="J4377">
        <v>-373.02780000000001</v>
      </c>
      <c r="K4377">
        <v>1.109151</v>
      </c>
      <c r="L4377">
        <v>141.37049999999999</v>
      </c>
      <c r="M4377">
        <v>-0.9998956</v>
      </c>
      <c r="N4377">
        <v>-1.3984999999999999E-2</v>
      </c>
      <c r="O4377">
        <v>3.6428480000000002E-3</v>
      </c>
      <c r="P4377">
        <v>-0.99723649999999997</v>
      </c>
      <c r="Q4377">
        <v>6.3152169999999994E-2</v>
      </c>
      <c r="R4377">
        <v>-3.9132100000000003E-2</v>
      </c>
      <c r="S4377">
        <v>-3.0431210000000002</v>
      </c>
      <c r="T4377">
        <v>-0.19433139999999999</v>
      </c>
      <c r="U4377">
        <v>0.53919980000000001</v>
      </c>
      <c r="V4377">
        <v>-4.2663470000000002E-2</v>
      </c>
      <c r="W4377">
        <v>7.7146409999999999E-2</v>
      </c>
      <c r="X4377">
        <v>0.99610659999999895</v>
      </c>
      <c r="Y4377">
        <v>0.1704724</v>
      </c>
      <c r="Z4377">
        <v>6.4183629999999998E-3</v>
      </c>
      <c r="AA4377">
        <v>0.98534149999999998</v>
      </c>
      <c r="AB4377">
        <v>36</v>
      </c>
      <c r="AC4377">
        <v>-17.000999999999902</v>
      </c>
      <c r="AD4377">
        <v>-1.10915612301</v>
      </c>
      <c r="AE4377">
        <v>3.0758000000000099</v>
      </c>
      <c r="AF4377">
        <v>3.0014710908887499</v>
      </c>
      <c r="AG4377">
        <v>-1.10915612301</v>
      </c>
      <c r="AH4377">
        <v>16.942266409312399</v>
      </c>
      <c r="AI4377">
        <v>93.688356283012496</v>
      </c>
      <c r="AJ4377">
        <v>79.953785590945301</v>
      </c>
      <c r="AK4377">
        <v>17.2417936160588</v>
      </c>
      <c r="AL4377">
        <v>85.5754402525681</v>
      </c>
      <c r="AM4377">
        <v>92.4524922320808</v>
      </c>
      <c r="AN4377">
        <v>1.00000004940594</v>
      </c>
    </row>
    <row r="4378" spans="1:40" x14ac:dyDescent="0.25">
      <c r="A4378" t="str">
        <f>"20190305135322891"</f>
        <v>20190305135322891</v>
      </c>
      <c r="B4378" t="str">
        <f>"1551765202884656"</f>
        <v>1551765202884656</v>
      </c>
      <c r="C4378" t="s">
        <v>40</v>
      </c>
      <c r="D4378">
        <v>4.4574389999999999</v>
      </c>
      <c r="E4378">
        <v>0.58258869999999996</v>
      </c>
      <c r="F4378" t="s">
        <v>42</v>
      </c>
      <c r="G4378">
        <v>-390.09649999999999</v>
      </c>
      <c r="H4378" s="1">
        <v>-5.0967279999999998E-6</v>
      </c>
      <c r="I4378">
        <v>144.428</v>
      </c>
      <c r="J4378">
        <v>-373.39879999999999</v>
      </c>
      <c r="K4378">
        <v>1.109089</v>
      </c>
      <c r="L4378">
        <v>141.3725</v>
      </c>
      <c r="M4378">
        <v>-0.99989280000000003</v>
      </c>
      <c r="N4378">
        <v>-1.3983199999999999E-2</v>
      </c>
      <c r="O4378">
        <v>4.3838059999999996E-3</v>
      </c>
      <c r="P4378">
        <v>-0.99730479999999999</v>
      </c>
      <c r="Q4378">
        <v>6.2792390000000003E-2</v>
      </c>
      <c r="R4378">
        <v>-3.7954269999999998E-2</v>
      </c>
      <c r="S4378">
        <v>-3.0422359999999999</v>
      </c>
      <c r="T4378">
        <v>-0.19769139999999999</v>
      </c>
      <c r="U4378">
        <v>0.54496769999999894</v>
      </c>
      <c r="V4378">
        <v>-4.221482E-2</v>
      </c>
      <c r="W4378">
        <v>7.6790789999999998E-2</v>
      </c>
      <c r="X4378">
        <v>0.99615310000000001</v>
      </c>
      <c r="Y4378">
        <v>0.171587299999999</v>
      </c>
      <c r="Z4378">
        <v>6.5145280000000003E-3</v>
      </c>
      <c r="AA4378">
        <v>0.98514740000000001</v>
      </c>
      <c r="AB4378">
        <v>36</v>
      </c>
      <c r="AC4378">
        <v>-16.697699999999902</v>
      </c>
      <c r="AD4378">
        <v>-1.1090940967280001</v>
      </c>
      <c r="AE4378">
        <v>3.0554999999999901</v>
      </c>
      <c r="AF4378">
        <v>2.9695870463641301</v>
      </c>
      <c r="AG4378">
        <v>-1.1090940967280001</v>
      </c>
      <c r="AH4378">
        <v>16.639900937235801</v>
      </c>
      <c r="AI4378">
        <v>93.754137510236504</v>
      </c>
      <c r="AJ4378">
        <v>79.881414363360705</v>
      </c>
      <c r="AK4378">
        <v>16.939151104537501</v>
      </c>
      <c r="AL4378">
        <v>85.595875994902201</v>
      </c>
      <c r="AM4378">
        <v>92.426619621921802</v>
      </c>
      <c r="AN4378">
        <v>0.99999995754803195</v>
      </c>
    </row>
    <row r="4379" spans="1:40" x14ac:dyDescent="0.25">
      <c r="A4379" t="str">
        <f>"20190305135322913"</f>
        <v>20190305135322913</v>
      </c>
      <c r="B4379" t="str">
        <f>"1551765202904177"</f>
        <v>1551765202904177</v>
      </c>
      <c r="C4379" t="s">
        <v>40</v>
      </c>
      <c r="D4379">
        <v>4.4168839999999996</v>
      </c>
      <c r="E4379">
        <v>0.58255159999999995</v>
      </c>
      <c r="F4379" t="s">
        <v>42</v>
      </c>
      <c r="G4379">
        <v>-390.33460000000002</v>
      </c>
      <c r="H4379" s="1">
        <v>-5.0154439999999998E-6</v>
      </c>
      <c r="I4379">
        <v>144.4265</v>
      </c>
      <c r="J4379">
        <v>-373.75889999999998</v>
      </c>
      <c r="K4379">
        <v>1.1090469999999999</v>
      </c>
      <c r="L4379">
        <v>141.37479999999999</v>
      </c>
      <c r="M4379">
        <v>-0.99988909999999998</v>
      </c>
      <c r="N4379">
        <v>-1.398133E-2</v>
      </c>
      <c r="O4379">
        <v>5.1377150000000002E-3</v>
      </c>
      <c r="P4379">
        <v>-0.99733970000000005</v>
      </c>
      <c r="Q4379">
        <v>6.2295209999999997E-2</v>
      </c>
      <c r="R4379">
        <v>-3.7855569999999998E-2</v>
      </c>
      <c r="S4379">
        <v>-3.041534</v>
      </c>
      <c r="T4379">
        <v>-0.1991848</v>
      </c>
      <c r="U4379">
        <v>0.54849239999999999</v>
      </c>
      <c r="V4379">
        <v>-4.2860549999999997E-2</v>
      </c>
      <c r="W4379">
        <v>7.6297279999999995E-2</v>
      </c>
      <c r="X4379">
        <v>0.99616349999999998</v>
      </c>
      <c r="Y4379">
        <v>0.171984</v>
      </c>
      <c r="Z4379">
        <v>6.5318889999999999E-3</v>
      </c>
      <c r="AA4379">
        <v>0.98507809999999996</v>
      </c>
      <c r="AB4379">
        <v>36</v>
      </c>
      <c r="AC4379">
        <v>-16.575700000000001</v>
      </c>
      <c r="AD4379">
        <v>-1.10905201544399</v>
      </c>
      <c r="AE4379">
        <v>3.0517000000000101</v>
      </c>
      <c r="AF4379">
        <v>2.9537007768302401</v>
      </c>
      <c r="AG4379">
        <v>-1.10905201544399</v>
      </c>
      <c r="AH4379">
        <v>16.519632202333799</v>
      </c>
      <c r="AI4379">
        <v>93.781026548960298</v>
      </c>
      <c r="AJ4379">
        <v>79.862669168577597</v>
      </c>
      <c r="AK4379">
        <v>16.818222044924799</v>
      </c>
      <c r="AL4379">
        <v>85.624235467717</v>
      </c>
      <c r="AM4379">
        <v>92.463666809863398</v>
      </c>
      <c r="AN4379">
        <v>1.0000000102069699</v>
      </c>
    </row>
    <row r="4380" spans="1:40" x14ac:dyDescent="0.25">
      <c r="A4380" t="str">
        <f>"20190305135322935"</f>
        <v>20190305135322935</v>
      </c>
      <c r="B4380" t="str">
        <f>"1551765202924672"</f>
        <v>1551765202924672</v>
      </c>
      <c r="C4380" t="s">
        <v>40</v>
      </c>
      <c r="D4380">
        <v>4.4047359999999998</v>
      </c>
      <c r="E4380">
        <v>0.58261229999999997</v>
      </c>
      <c r="F4380" t="s">
        <v>42</v>
      </c>
      <c r="G4380">
        <v>-390.5754</v>
      </c>
      <c r="H4380" s="1">
        <v>-4.930491E-6</v>
      </c>
      <c r="I4380">
        <v>144.40969999999999</v>
      </c>
      <c r="J4380">
        <v>-374.11559999999997</v>
      </c>
      <c r="K4380">
        <v>1.1090249999999999</v>
      </c>
      <c r="L4380">
        <v>141.37739999999999</v>
      </c>
      <c r="M4380">
        <v>-0.99988489999999997</v>
      </c>
      <c r="N4380">
        <v>-1.397937E-2</v>
      </c>
      <c r="O4380">
        <v>5.9034450000000002E-3</v>
      </c>
      <c r="P4380">
        <v>-0.99729659999999998</v>
      </c>
      <c r="Q4380">
        <v>6.2551560000000006E-2</v>
      </c>
      <c r="R4380">
        <v>-3.8559719999999999E-2</v>
      </c>
      <c r="S4380">
        <v>-3.041382</v>
      </c>
      <c r="T4380">
        <v>-0.2005798</v>
      </c>
      <c r="U4380">
        <v>0.54888919999999997</v>
      </c>
      <c r="V4380">
        <v>-4.4321699999999999E-2</v>
      </c>
      <c r="W4380">
        <v>7.6556399999999997E-2</v>
      </c>
      <c r="X4380">
        <v>0.99607970000000001</v>
      </c>
      <c r="Y4380">
        <v>0.17135980000000001</v>
      </c>
      <c r="Z4380">
        <v>6.5043970000000003E-3</v>
      </c>
      <c r="AA4380">
        <v>0.98518709999999998</v>
      </c>
      <c r="AB4380">
        <v>36</v>
      </c>
      <c r="AC4380">
        <v>-16.459800000000001</v>
      </c>
      <c r="AD4380">
        <v>-1.1090299304909901</v>
      </c>
      <c r="AE4380">
        <v>3.03229999999999</v>
      </c>
      <c r="AF4380">
        <v>2.9222372056676198</v>
      </c>
      <c r="AG4380">
        <v>-1.1090299304909901</v>
      </c>
      <c r="AH4380">
        <v>16.405383301230302</v>
      </c>
      <c r="AI4380">
        <v>93.807646944935897</v>
      </c>
      <c r="AJ4380">
        <v>79.900022480797105</v>
      </c>
      <c r="AK4380">
        <v>16.700479601891701</v>
      </c>
      <c r="AL4380">
        <v>85.609345531315697</v>
      </c>
      <c r="AM4380">
        <v>92.547760368658103</v>
      </c>
      <c r="AN4380">
        <v>1.00000003211196</v>
      </c>
    </row>
    <row r="4381" spans="1:40" x14ac:dyDescent="0.25">
      <c r="A4381" t="str">
        <f>"20190305135322958"</f>
        <v>20190305135322958</v>
      </c>
      <c r="B4381" t="str">
        <f>"1551765202944699"</f>
        <v>1551765202944699</v>
      </c>
      <c r="C4381" t="s">
        <v>40</v>
      </c>
      <c r="D4381">
        <v>4.3611409999999999</v>
      </c>
      <c r="E4381">
        <v>0.58267780000000002</v>
      </c>
      <c r="F4381" t="s">
        <v>42</v>
      </c>
      <c r="G4381">
        <v>-391.06689999999998</v>
      </c>
      <c r="H4381" s="1">
        <v>-4.7664379999999996E-6</v>
      </c>
      <c r="I4381">
        <v>144.42769999999999</v>
      </c>
      <c r="J4381">
        <v>-374.46839999999997</v>
      </c>
      <c r="K4381">
        <v>1.10902099999999</v>
      </c>
      <c r="L4381">
        <v>141.3802</v>
      </c>
      <c r="M4381">
        <v>-0.99988010000000005</v>
      </c>
      <c r="N4381">
        <v>-1.39773E-2</v>
      </c>
      <c r="O4381">
        <v>6.6687589999999998E-3</v>
      </c>
      <c r="P4381">
        <v>-0.99718830000000003</v>
      </c>
      <c r="Q4381">
        <v>6.3390420000000003E-2</v>
      </c>
      <c r="R4381">
        <v>-3.9965670000000002E-2</v>
      </c>
      <c r="S4381">
        <v>-3.041779</v>
      </c>
      <c r="T4381">
        <v>-0.19900680000000001</v>
      </c>
      <c r="U4381">
        <v>0.54737849999999999</v>
      </c>
      <c r="V4381">
        <v>-4.6484409999999997E-2</v>
      </c>
      <c r="W4381">
        <v>7.7396939999999997E-2</v>
      </c>
      <c r="X4381">
        <v>0.99591609999999997</v>
      </c>
      <c r="Y4381">
        <v>0.17011970000000001</v>
      </c>
      <c r="Z4381">
        <v>6.3749480000000001E-3</v>
      </c>
      <c r="AA4381">
        <v>0.98540280000000002</v>
      </c>
      <c r="AB4381">
        <v>36</v>
      </c>
      <c r="AC4381">
        <v>-16.598500000000001</v>
      </c>
      <c r="AD4381">
        <v>-1.1090257664380001</v>
      </c>
      <c r="AE4381">
        <v>3.0474999999999799</v>
      </c>
      <c r="AF4381">
        <v>2.9241018657279199</v>
      </c>
      <c r="AG4381">
        <v>-1.1090257664380001</v>
      </c>
      <c r="AH4381">
        <v>16.546995322410901</v>
      </c>
      <c r="AI4381">
        <v>93.776055128789906</v>
      </c>
      <c r="AJ4381">
        <v>79.978441322356005</v>
      </c>
      <c r="AK4381">
        <v>16.839933612448299</v>
      </c>
      <c r="AL4381">
        <v>85.561042596834994</v>
      </c>
      <c r="AM4381">
        <v>92.672342514777199</v>
      </c>
      <c r="AN4381">
        <v>0.99999998246680999</v>
      </c>
    </row>
    <row r="4382" spans="1:40" x14ac:dyDescent="0.25">
      <c r="A4382" t="str">
        <f>"20190305135322980"</f>
        <v>20190305135322980</v>
      </c>
      <c r="B4382" t="str">
        <f>"1551765202974955"</f>
        <v>1551765202974955</v>
      </c>
      <c r="C4382" t="s">
        <v>40</v>
      </c>
      <c r="D4382">
        <v>4.3080990000000003</v>
      </c>
      <c r="E4382">
        <v>0.58282469999999997</v>
      </c>
      <c r="F4382" t="s">
        <v>42</v>
      </c>
      <c r="G4382">
        <v>-391.70499999999998</v>
      </c>
      <c r="H4382" s="1">
        <v>-4.5550980000000002E-6</v>
      </c>
      <c r="I4382">
        <v>144.4605</v>
      </c>
      <c r="J4382">
        <v>-374.8383</v>
      </c>
      <c r="K4382">
        <v>1.1090230000000001</v>
      </c>
      <c r="L4382">
        <v>141.38339999999999</v>
      </c>
      <c r="M4382">
        <v>-0.99987440000000005</v>
      </c>
      <c r="N4382">
        <v>-1.397516E-2</v>
      </c>
      <c r="O4382">
        <v>7.4730339999999999E-3</v>
      </c>
      <c r="P4382">
        <v>-0.99704749999999998</v>
      </c>
      <c r="Q4382">
        <v>6.4268019999999995E-2</v>
      </c>
      <c r="R4382">
        <v>-4.2024579999999999E-2</v>
      </c>
      <c r="S4382">
        <v>-3.0427249999999999</v>
      </c>
      <c r="T4382">
        <v>-0.19577339999999999</v>
      </c>
      <c r="U4382">
        <v>0.54377749999999903</v>
      </c>
      <c r="V4382">
        <v>-4.9338229999999997E-2</v>
      </c>
      <c r="W4382">
        <v>7.8276890000000002E-2</v>
      </c>
      <c r="X4382">
        <v>0.99570999999999998</v>
      </c>
      <c r="Y4382">
        <v>0.16816159999999999</v>
      </c>
      <c r="Z4382">
        <v>6.1748000000000003E-3</v>
      </c>
      <c r="AA4382">
        <v>0.98574010000000001</v>
      </c>
      <c r="AB4382">
        <v>36</v>
      </c>
      <c r="AC4382">
        <v>-16.866699999999899</v>
      </c>
      <c r="AD4382">
        <v>-1.10902755509799</v>
      </c>
      <c r="AE4382">
        <v>3.0771000000000002</v>
      </c>
      <c r="AF4382">
        <v>2.9386605878188199</v>
      </c>
      <c r="AG4382">
        <v>-1.10902755509799</v>
      </c>
      <c r="AH4382">
        <v>16.818854183433601</v>
      </c>
      <c r="AI4382">
        <v>93.716454939194406</v>
      </c>
      <c r="AJ4382">
        <v>80.089088666359302</v>
      </c>
      <c r="AK4382">
        <v>17.109632497864201</v>
      </c>
      <c r="AL4382">
        <v>85.510471682599601</v>
      </c>
      <c r="AM4382">
        <v>92.836731739485799</v>
      </c>
      <c r="AN4382">
        <v>0.999999968273802</v>
      </c>
    </row>
    <row r="4383" spans="1:40" x14ac:dyDescent="0.25">
      <c r="A4383" t="str">
        <f>"20190305135323003"</f>
        <v>20190305135323003</v>
      </c>
      <c r="B4383" t="str">
        <f>"1551765202994479"</f>
        <v>1551765202994479</v>
      </c>
      <c r="C4383" t="s">
        <v>40</v>
      </c>
      <c r="D4383">
        <v>4.2979820000000002</v>
      </c>
      <c r="E4383">
        <v>0.5829917</v>
      </c>
      <c r="F4383" t="s">
        <v>42</v>
      </c>
      <c r="G4383">
        <v>-392.4307</v>
      </c>
      <c r="H4383" s="1">
        <v>-4.3145669999999999E-6</v>
      </c>
      <c r="I4383">
        <v>144.4967</v>
      </c>
      <c r="J4383">
        <v>-375.19639999999998</v>
      </c>
      <c r="K4383">
        <v>1.1090249999999999</v>
      </c>
      <c r="L4383">
        <v>141.38679999999999</v>
      </c>
      <c r="M4383">
        <v>-0.99986850000000005</v>
      </c>
      <c r="N4383">
        <v>-1.397313E-2</v>
      </c>
      <c r="O4383">
        <v>8.2501680000000004E-3</v>
      </c>
      <c r="P4383">
        <v>-0.99688370000000004</v>
      </c>
      <c r="Q4383">
        <v>6.5278939999999994E-2</v>
      </c>
      <c r="R4383">
        <v>-4.4294020000000003E-2</v>
      </c>
      <c r="S4383">
        <v>-3.0439449999999999</v>
      </c>
      <c r="T4383">
        <v>-0.1918908</v>
      </c>
      <c r="U4383">
        <v>0.53869630000000002</v>
      </c>
      <c r="V4383">
        <v>-5.2376249999999999E-2</v>
      </c>
      <c r="W4383">
        <v>7.9290349999999996E-2</v>
      </c>
      <c r="X4383">
        <v>0.99547459999999999</v>
      </c>
      <c r="Y4383">
        <v>0.1657525</v>
      </c>
      <c r="Z4383">
        <v>5.946476E-3</v>
      </c>
      <c r="AA4383">
        <v>0.98614939999999995</v>
      </c>
      <c r="AB4383">
        <v>36</v>
      </c>
      <c r="AC4383">
        <v>-17.234300000000001</v>
      </c>
      <c r="AD4383">
        <v>-1.1090293145669901</v>
      </c>
      <c r="AE4383">
        <v>3.1099000000000099</v>
      </c>
      <c r="AF4383">
        <v>2.9557408405319099</v>
      </c>
      <c r="AG4383">
        <v>-1.1090293145669901</v>
      </c>
      <c r="AH4383">
        <v>17.1904333096107</v>
      </c>
      <c r="AI4383">
        <v>93.638044592837105</v>
      </c>
      <c r="AJ4383">
        <v>80.243900311722797</v>
      </c>
      <c r="AK4383">
        <v>17.477910267223798</v>
      </c>
      <c r="AL4383">
        <v>85.452223587899795</v>
      </c>
      <c r="AM4383">
        <v>93.011803140466199</v>
      </c>
      <c r="AN4383">
        <v>0.99999995520617102</v>
      </c>
    </row>
    <row r="4384" spans="1:40" x14ac:dyDescent="0.25">
      <c r="A4384" t="str">
        <f>"20190305135323024"</f>
        <v>20190305135323024</v>
      </c>
      <c r="B4384" t="str">
        <f>"1551765203014972"</f>
        <v>1551765203014972</v>
      </c>
      <c r="C4384" t="s">
        <v>40</v>
      </c>
      <c r="D4384">
        <v>4.2494690000000004</v>
      </c>
      <c r="E4384">
        <v>0.58318780000000003</v>
      </c>
      <c r="F4384" t="s">
        <v>42</v>
      </c>
      <c r="G4384">
        <v>-393.06040000000002</v>
      </c>
      <c r="H4384" s="1">
        <v>-4.103285E-6</v>
      </c>
      <c r="I4384">
        <v>144.5137</v>
      </c>
      <c r="J4384">
        <v>-375.5455</v>
      </c>
      <c r="K4384">
        <v>1.1090249999999999</v>
      </c>
      <c r="L4384">
        <v>141.3904</v>
      </c>
      <c r="M4384">
        <v>-0.99986200000000003</v>
      </c>
      <c r="N4384">
        <v>-1.3971020000000001E-2</v>
      </c>
      <c r="O4384">
        <v>9.0060219999999903E-3</v>
      </c>
      <c r="P4384">
        <v>-0.99677320000000003</v>
      </c>
      <c r="Q4384">
        <v>6.5719130000000001E-2</v>
      </c>
      <c r="R4384">
        <v>-4.6094839999999998E-2</v>
      </c>
      <c r="S4384">
        <v>-3.0454409999999998</v>
      </c>
      <c r="T4384">
        <v>-0.18906580000000001</v>
      </c>
      <c r="U4384">
        <v>0.53308109999999997</v>
      </c>
      <c r="V4384">
        <v>-5.4926969999999999E-2</v>
      </c>
      <c r="W4384">
        <v>7.9731930000000006E-2</v>
      </c>
      <c r="X4384">
        <v>0.99530189999999996</v>
      </c>
      <c r="Y4384">
        <v>0.16317679999999901</v>
      </c>
      <c r="Z4384">
        <v>5.742596E-3</v>
      </c>
      <c r="AA4384">
        <v>0.98658009999999996</v>
      </c>
      <c r="AB4384">
        <v>36</v>
      </c>
      <c r="AC4384">
        <v>-17.514900000000001</v>
      </c>
      <c r="AD4384">
        <v>-1.1090291032849999</v>
      </c>
      <c r="AE4384">
        <v>3.1233</v>
      </c>
      <c r="AF4384">
        <v>2.95394007350541</v>
      </c>
      <c r="AG4384">
        <v>-1.1090291032849999</v>
      </c>
      <c r="AH4384">
        <v>17.474419467245902</v>
      </c>
      <c r="AI4384">
        <v>93.580789029399597</v>
      </c>
      <c r="AJ4384">
        <v>80.405217457964199</v>
      </c>
      <c r="AK4384">
        <v>17.756999837445999</v>
      </c>
      <c r="AL4384">
        <v>85.426842821524005</v>
      </c>
      <c r="AM4384">
        <v>93.158734602267998</v>
      </c>
      <c r="AN4384">
        <v>1.0000000124192501</v>
      </c>
    </row>
    <row r="4385" spans="1:40" x14ac:dyDescent="0.25">
      <c r="A4385" t="str">
        <f>"20190305135323047"</f>
        <v>20190305135323047</v>
      </c>
      <c r="B4385" t="str">
        <f>"1551765203034491"</f>
        <v>1551765203034491</v>
      </c>
      <c r="C4385" t="s">
        <v>40</v>
      </c>
      <c r="D4385">
        <v>4.2311249999999996</v>
      </c>
      <c r="E4385">
        <v>0.58340719999999902</v>
      </c>
      <c r="F4385" t="s">
        <v>42</v>
      </c>
      <c r="G4385">
        <v>-393.5215</v>
      </c>
      <c r="H4385" s="1">
        <v>-3.9459919999999998E-6</v>
      </c>
      <c r="I4385">
        <v>144.51159999999999</v>
      </c>
      <c r="J4385">
        <v>-375.90219999999999</v>
      </c>
      <c r="K4385">
        <v>1.1090169999999999</v>
      </c>
      <c r="L4385">
        <v>141.39439999999999</v>
      </c>
      <c r="M4385">
        <v>-0.99985469999999999</v>
      </c>
      <c r="N4385">
        <v>-1.396916E-2</v>
      </c>
      <c r="O4385">
        <v>9.7765490000000007E-3</v>
      </c>
      <c r="P4385">
        <v>-0.99667879999999998</v>
      </c>
      <c r="Q4385">
        <v>6.6372410000000007E-2</v>
      </c>
      <c r="R4385">
        <v>-4.7185690000000002E-2</v>
      </c>
      <c r="S4385">
        <v>-3.0466000000000002</v>
      </c>
      <c r="T4385">
        <v>-0.1879594</v>
      </c>
      <c r="U4385">
        <v>0.52899169999999995</v>
      </c>
      <c r="V4385">
        <v>-5.6781930000000001E-2</v>
      </c>
      <c r="W4385">
        <v>8.0385479999999995E-2</v>
      </c>
      <c r="X4385">
        <v>0.99514519999999995</v>
      </c>
      <c r="Y4385">
        <v>0.16107679999999999</v>
      </c>
      <c r="Z4385">
        <v>5.5995690000000004E-3</v>
      </c>
      <c r="AA4385">
        <v>0.98692599999999997</v>
      </c>
      <c r="AB4385">
        <v>36</v>
      </c>
      <c r="AC4385">
        <v>-17.619299999999999</v>
      </c>
      <c r="AD4385">
        <v>-1.109020945992</v>
      </c>
      <c r="AE4385">
        <v>3.1171999999999902</v>
      </c>
      <c r="AF4385">
        <v>2.9335087560785702</v>
      </c>
      <c r="AG4385">
        <v>-1.109020945992</v>
      </c>
      <c r="AH4385">
        <v>17.5813947784684</v>
      </c>
      <c r="AI4385">
        <v>93.560301971898696</v>
      </c>
      <c r="AJ4385">
        <v>80.5272896066501</v>
      </c>
      <c r="AK4385">
        <v>17.8589149568779</v>
      </c>
      <c r="AL4385">
        <v>85.3892764837763</v>
      </c>
      <c r="AM4385">
        <v>93.2656954361766</v>
      </c>
      <c r="AN4385">
        <v>0.99999999102619697</v>
      </c>
    </row>
    <row r="4386" spans="1:40" x14ac:dyDescent="0.25">
      <c r="A4386" t="str">
        <f>"20190305135323069"</f>
        <v>20190305135323069</v>
      </c>
      <c r="B4386" t="str">
        <f>"1551765203064747"</f>
        <v>1551765203064747</v>
      </c>
      <c r="C4386" t="s">
        <v>40</v>
      </c>
      <c r="D4386">
        <v>4.2005800000000004</v>
      </c>
      <c r="E4386">
        <v>0.58384179999999997</v>
      </c>
      <c r="F4386" t="s">
        <v>42</v>
      </c>
      <c r="G4386">
        <v>-394.1807</v>
      </c>
      <c r="H4386" s="1">
        <v>-3.7299460000000001E-6</v>
      </c>
      <c r="I4386">
        <v>144.5582</v>
      </c>
      <c r="J4386">
        <v>-376.27109999999999</v>
      </c>
      <c r="K4386">
        <v>1.1090150000000001</v>
      </c>
      <c r="L4386">
        <v>141.39879999999999</v>
      </c>
      <c r="M4386">
        <v>-0.99984660000000003</v>
      </c>
      <c r="N4386">
        <v>-1.396708E-2</v>
      </c>
      <c r="O4386">
        <v>1.057279E-2</v>
      </c>
      <c r="P4386">
        <v>-0.99663999999999997</v>
      </c>
      <c r="Q4386">
        <v>6.6385959999999994E-2</v>
      </c>
      <c r="R4386">
        <v>-4.7974919999999997E-2</v>
      </c>
      <c r="S4386">
        <v>-3.047272</v>
      </c>
      <c r="T4386">
        <v>-0.18488869999999999</v>
      </c>
      <c r="U4386">
        <v>0.52745059999999999</v>
      </c>
      <c r="V4386">
        <v>-5.8362890000000001E-2</v>
      </c>
      <c r="W4386">
        <v>8.0399250000000005E-2</v>
      </c>
      <c r="X4386">
        <v>0.99505259999999995</v>
      </c>
      <c r="Y4386">
        <v>0.1597836</v>
      </c>
      <c r="Z4386">
        <v>5.4430939999999999E-3</v>
      </c>
      <c r="AA4386">
        <v>0.98713709999999999</v>
      </c>
      <c r="AB4386">
        <v>36</v>
      </c>
      <c r="AC4386">
        <v>-17.909600000000001</v>
      </c>
      <c r="AD4386">
        <v>-1.1090187299459999</v>
      </c>
      <c r="AE4386">
        <v>3.1594000000000002</v>
      </c>
      <c r="AF4386">
        <v>2.9588472620683599</v>
      </c>
      <c r="AG4386">
        <v>-1.1090187299459999</v>
      </c>
      <c r="AH4386">
        <v>17.875531094542499</v>
      </c>
      <c r="AI4386">
        <v>93.502608631235205</v>
      </c>
      <c r="AJ4386">
        <v>80.601334391890106</v>
      </c>
      <c r="AK4386">
        <v>18.152666789636601</v>
      </c>
      <c r="AL4386">
        <v>85.388484868936104</v>
      </c>
      <c r="AM4386">
        <v>93.356727650733703</v>
      </c>
      <c r="AN4386">
        <v>0.99999997154823606</v>
      </c>
    </row>
    <row r="4387" spans="1:40" x14ac:dyDescent="0.25">
      <c r="A4387" t="str">
        <f>"20190305135323093"</f>
        <v>20190305135323093</v>
      </c>
      <c r="B4387" t="str">
        <f>"1551765203084267"</f>
        <v>1551765203084267</v>
      </c>
      <c r="C4387" t="s">
        <v>40</v>
      </c>
      <c r="D4387">
        <v>4.1959989999999996</v>
      </c>
      <c r="E4387">
        <v>0.58420139999999998</v>
      </c>
      <c r="F4387" t="s">
        <v>42</v>
      </c>
      <c r="G4387">
        <v>-394.55680000000001</v>
      </c>
      <c r="H4387" s="1">
        <v>-3.604042E-6</v>
      </c>
      <c r="I4387">
        <v>144.56989999999999</v>
      </c>
      <c r="J4387">
        <v>-376.63510000000002</v>
      </c>
      <c r="K4387">
        <v>1.1090089999999999</v>
      </c>
      <c r="L4387">
        <v>141.40350000000001</v>
      </c>
      <c r="M4387">
        <v>-0.99983820000000001</v>
      </c>
      <c r="N4387">
        <v>-1.396503E-2</v>
      </c>
      <c r="O4387">
        <v>1.135745E-2</v>
      </c>
      <c r="P4387">
        <v>-0.99663290000000004</v>
      </c>
      <c r="Q4387">
        <v>6.6295399999999893E-2</v>
      </c>
      <c r="R4387">
        <v>-4.825103E-2</v>
      </c>
      <c r="S4387">
        <v>-3.0479129999999999</v>
      </c>
      <c r="T4387">
        <v>-0.1848543</v>
      </c>
      <c r="U4387">
        <v>0.52857969999999999</v>
      </c>
      <c r="V4387">
        <v>-5.9420430000000003E-2</v>
      </c>
      <c r="W4387">
        <v>8.0308000000000004E-2</v>
      </c>
      <c r="X4387">
        <v>0.99499740000000003</v>
      </c>
      <c r="Y4387">
        <v>0.15933120000000001</v>
      </c>
      <c r="Z4387">
        <v>5.3880780000000001E-3</v>
      </c>
      <c r="AA4387">
        <v>0.98721049999999999</v>
      </c>
      <c r="AB4387">
        <v>36</v>
      </c>
      <c r="AC4387">
        <v>-17.921699999999898</v>
      </c>
      <c r="AD4387">
        <v>-1.1090126040420001</v>
      </c>
      <c r="AE4387">
        <v>3.1663999999999799</v>
      </c>
      <c r="AF4387">
        <v>2.9516705519188</v>
      </c>
      <c r="AG4387">
        <v>-1.1090126040420001</v>
      </c>
      <c r="AH4387">
        <v>17.890077601527899</v>
      </c>
      <c r="AI4387">
        <v>93.500049320201498</v>
      </c>
      <c r="AJ4387">
        <v>80.631214304144606</v>
      </c>
      <c r="AK4387">
        <v>18.165823531887501</v>
      </c>
      <c r="AL4387">
        <v>85.393730174248802</v>
      </c>
      <c r="AM4387">
        <v>93.417598075535906</v>
      </c>
      <c r="AN4387">
        <v>0.99999999418607199</v>
      </c>
    </row>
    <row r="4388" spans="1:40" x14ac:dyDescent="0.25">
      <c r="A4388" t="str">
        <f>"20190305135323113"</f>
        <v>20190305135323113</v>
      </c>
      <c r="B4388" t="str">
        <f>"1551765203104763"</f>
        <v>1551765203104763</v>
      </c>
      <c r="C4388" t="s">
        <v>40</v>
      </c>
      <c r="D4388">
        <v>4.1663709999999998</v>
      </c>
      <c r="E4388">
        <v>0.59554419999999897</v>
      </c>
      <c r="F4388" t="s">
        <v>42</v>
      </c>
      <c r="G4388">
        <v>-394.8965</v>
      </c>
      <c r="H4388" s="1">
        <v>-3.4909369999999999E-6</v>
      </c>
      <c r="I4388">
        <v>144.584</v>
      </c>
      <c r="J4388">
        <v>-376.97430000000003</v>
      </c>
      <c r="K4388">
        <v>1.1090070000000001</v>
      </c>
      <c r="L4388">
        <v>141.40809999999999</v>
      </c>
      <c r="M4388">
        <v>-0.99982959999999999</v>
      </c>
      <c r="N4388">
        <v>-1.3963130000000001E-2</v>
      </c>
      <c r="O4388">
        <v>1.208886E-2</v>
      </c>
      <c r="P4388">
        <v>-0.99671140000000003</v>
      </c>
      <c r="Q4388">
        <v>6.4691479999999996E-2</v>
      </c>
      <c r="R4388">
        <v>-4.8802520000000002E-2</v>
      </c>
      <c r="S4388">
        <v>-3.0481569999999998</v>
      </c>
      <c r="T4388">
        <v>-0.18511440000000001</v>
      </c>
      <c r="U4388">
        <v>0.53089900000000001</v>
      </c>
      <c r="V4388">
        <v>-6.0703960000000001E-2</v>
      </c>
      <c r="W4388">
        <v>7.8705659999999997E-2</v>
      </c>
      <c r="X4388">
        <v>0.99504800000000004</v>
      </c>
      <c r="Y4388">
        <v>0.15932489999999999</v>
      </c>
      <c r="Z4388">
        <v>5.3590290000000004E-3</v>
      </c>
      <c r="AA4388">
        <v>0.98721159999999997</v>
      </c>
      <c r="AB4388">
        <v>36</v>
      </c>
      <c r="AC4388">
        <v>-17.922199999999901</v>
      </c>
      <c r="AD4388">
        <v>-1.109010490937</v>
      </c>
      <c r="AE4388">
        <v>3.1759000000000102</v>
      </c>
      <c r="AF4388">
        <v>2.9480433578807901</v>
      </c>
      <c r="AG4388">
        <v>-1.109010490937</v>
      </c>
      <c r="AH4388">
        <v>17.892860471840901</v>
      </c>
      <c r="AI4388">
        <v>93.499627626300494</v>
      </c>
      <c r="AJ4388">
        <v>80.643953117003306</v>
      </c>
      <c r="AK4388">
        <v>18.1679751148476</v>
      </c>
      <c r="AL4388">
        <v>85.485829253314193</v>
      </c>
      <c r="AM4388">
        <v>93.491063225599305</v>
      </c>
      <c r="AN4388">
        <v>1.0000000369898501</v>
      </c>
    </row>
    <row r="4389" spans="1:40" x14ac:dyDescent="0.25">
      <c r="A4389" t="str">
        <f>"20190305135323136"</f>
        <v>20190305135323136</v>
      </c>
      <c r="B4389" t="str">
        <f>"1551765203124283"</f>
        <v>1551765203124283</v>
      </c>
      <c r="C4389" t="s">
        <v>40</v>
      </c>
      <c r="D4389">
        <v>4.1501979999999996</v>
      </c>
      <c r="E4389">
        <v>0.59586260000000002</v>
      </c>
      <c r="F4389" t="s">
        <v>42</v>
      </c>
      <c r="G4389">
        <v>-394.7448</v>
      </c>
      <c r="H4389" s="1">
        <v>-3.6195440000000002E-6</v>
      </c>
      <c r="I4389">
        <v>145.018</v>
      </c>
      <c r="J4389">
        <v>-377.33859999999999</v>
      </c>
      <c r="K4389">
        <v>1.1089899999999999</v>
      </c>
      <c r="L4389">
        <v>141.41329999999999</v>
      </c>
      <c r="M4389">
        <v>-0.99981980000000004</v>
      </c>
      <c r="N4389">
        <v>-1.396113E-2</v>
      </c>
      <c r="O4389">
        <v>1.287402E-2</v>
      </c>
      <c r="P4389">
        <v>-0.99677769999999999</v>
      </c>
      <c r="Q4389">
        <v>6.2961909999999996E-2</v>
      </c>
      <c r="R4389">
        <v>-4.9701130000000003E-2</v>
      </c>
      <c r="S4389">
        <v>-3.0526430000000002</v>
      </c>
      <c r="T4389">
        <v>-0.19050810000000001</v>
      </c>
      <c r="U4389">
        <v>0.62013240000000003</v>
      </c>
      <c r="V4389">
        <v>-6.2388649999999997E-2</v>
      </c>
      <c r="W4389">
        <v>7.6977619999999997E-2</v>
      </c>
      <c r="X4389">
        <v>0.99507889999999999</v>
      </c>
      <c r="Y4389">
        <v>0.18603230000000001</v>
      </c>
      <c r="Z4389">
        <v>6.4376800000000003E-3</v>
      </c>
      <c r="AA4389">
        <v>0.98252249999999997</v>
      </c>
      <c r="AB4389">
        <v>36</v>
      </c>
      <c r="AC4389">
        <v>-17.406199999999998</v>
      </c>
      <c r="AD4389">
        <v>-1.108993619544</v>
      </c>
      <c r="AE4389">
        <v>3.6046999999999998</v>
      </c>
      <c r="AF4389">
        <v>3.3671853415830499</v>
      </c>
      <c r="AG4389">
        <v>-1.108993619544</v>
      </c>
      <c r="AH4389">
        <v>17.383505882930301</v>
      </c>
      <c r="AI4389">
        <v>93.583845076487407</v>
      </c>
      <c r="AJ4389">
        <v>79.037563678327899</v>
      </c>
      <c r="AK4389">
        <v>17.7413100067226</v>
      </c>
      <c r="AL4389">
        <v>85.585139644121696</v>
      </c>
      <c r="AM4389">
        <v>93.587588380537397</v>
      </c>
      <c r="AN4389">
        <v>0.99999995742744696</v>
      </c>
    </row>
    <row r="4390" spans="1:40" x14ac:dyDescent="0.25">
      <c r="A4390" t="str">
        <f>"20190305135323159"</f>
        <v>20190305135323159</v>
      </c>
      <c r="B4390" t="str">
        <f>"1551765203154541"</f>
        <v>1551765203154541</v>
      </c>
      <c r="C4390" t="s">
        <v>40</v>
      </c>
      <c r="D4390">
        <v>4.1521019999999904</v>
      </c>
      <c r="E4390">
        <v>0.59651849999999995</v>
      </c>
      <c r="F4390" t="s">
        <v>42</v>
      </c>
      <c r="G4390">
        <v>-393.88299999999998</v>
      </c>
      <c r="H4390" s="1">
        <v>-3.8697600000000004E-6</v>
      </c>
      <c r="I4390">
        <v>144.77529999999999</v>
      </c>
      <c r="J4390">
        <v>-377.6943</v>
      </c>
      <c r="K4390">
        <v>1.1089789999999999</v>
      </c>
      <c r="L4390">
        <v>141.4186</v>
      </c>
      <c r="M4390">
        <v>-0.99980959999999997</v>
      </c>
      <c r="N4390">
        <v>-1.395915E-2</v>
      </c>
      <c r="O4390">
        <v>1.3641E-2</v>
      </c>
      <c r="P4390">
        <v>-0.99675820000000004</v>
      </c>
      <c r="Q4390">
        <v>6.2918340000000003E-2</v>
      </c>
      <c r="R4390">
        <v>-5.014892E-2</v>
      </c>
      <c r="S4390">
        <v>-3.0535890000000001</v>
      </c>
      <c r="T4390">
        <v>-0.2046866</v>
      </c>
      <c r="U4390">
        <v>0.6205444</v>
      </c>
      <c r="V4390">
        <v>-6.3599719999999998E-2</v>
      </c>
      <c r="W4390">
        <v>7.6932940000000005E-2</v>
      </c>
      <c r="X4390">
        <v>0.99500569999999999</v>
      </c>
      <c r="Y4390">
        <v>0.18529319999999999</v>
      </c>
      <c r="Z4390">
        <v>6.7334350000000003E-3</v>
      </c>
      <c r="AA4390">
        <v>0.98266019999999998</v>
      </c>
      <c r="AB4390">
        <v>36</v>
      </c>
      <c r="AC4390">
        <v>-16.188700000000001</v>
      </c>
      <c r="AD4390">
        <v>-1.1089828697599999</v>
      </c>
      <c r="AE4390">
        <v>3.35669999999998</v>
      </c>
      <c r="AF4390">
        <v>3.1214915638505301</v>
      </c>
      <c r="AG4390">
        <v>-1.1089828697599999</v>
      </c>
      <c r="AH4390">
        <v>16.160276861057099</v>
      </c>
      <c r="AI4390">
        <v>93.854680970999794</v>
      </c>
      <c r="AJ4390">
        <v>79.067482378399902</v>
      </c>
      <c r="AK4390">
        <v>16.496305671714101</v>
      </c>
      <c r="AL4390">
        <v>85.587707299645203</v>
      </c>
      <c r="AM4390">
        <v>93.657310695840906</v>
      </c>
      <c r="AN4390">
        <v>0.99999997233680504</v>
      </c>
    </row>
    <row r="4391" spans="1:40" x14ac:dyDescent="0.25">
      <c r="A4391" t="str">
        <f>"20190305135323181"</f>
        <v>20190305135323181</v>
      </c>
      <c r="B4391" t="str">
        <f>"1551765203174059"</f>
        <v>1551765203174059</v>
      </c>
      <c r="C4391" t="s">
        <v>40</v>
      </c>
      <c r="D4391">
        <v>4.1511139999999997</v>
      </c>
      <c r="E4391">
        <v>0.59694859999999905</v>
      </c>
      <c r="F4391" t="s">
        <v>42</v>
      </c>
      <c r="G4391">
        <v>-394.32600000000002</v>
      </c>
      <c r="H4391" s="1">
        <v>-3.726906E-6</v>
      </c>
      <c r="I4391">
        <v>144.81970000000001</v>
      </c>
      <c r="J4391">
        <v>-378.06529999999998</v>
      </c>
      <c r="K4391">
        <v>1.108967</v>
      </c>
      <c r="L4391">
        <v>141.42449999999999</v>
      </c>
      <c r="M4391">
        <v>-0.99979850000000003</v>
      </c>
      <c r="N4391">
        <v>-1.395709E-2</v>
      </c>
      <c r="O4391">
        <v>1.4440980000000001E-2</v>
      </c>
      <c r="P4391">
        <v>-0.99669629999999998</v>
      </c>
      <c r="Q4391">
        <v>6.2278699999999902E-2</v>
      </c>
      <c r="R4391">
        <v>-5.2137049999999997E-2</v>
      </c>
      <c r="S4391">
        <v>-3.0540769999999999</v>
      </c>
      <c r="T4391">
        <v>-0.20364360000000001</v>
      </c>
      <c r="U4391">
        <v>0.62457280000000004</v>
      </c>
      <c r="V4391">
        <v>-6.6385410000000006E-2</v>
      </c>
      <c r="W4391">
        <v>7.6294429999999996E-2</v>
      </c>
      <c r="X4391">
        <v>0.99487289999999995</v>
      </c>
      <c r="Y4391">
        <v>0.18572520000000001</v>
      </c>
      <c r="Z4391">
        <v>6.6808639999999999E-3</v>
      </c>
      <c r="AA4391">
        <v>0.98257899999999998</v>
      </c>
      <c r="AB4391">
        <v>36</v>
      </c>
      <c r="AC4391">
        <v>-16.2606999999999</v>
      </c>
      <c r="AD4391">
        <v>-1.1089707269059901</v>
      </c>
      <c r="AE4391">
        <v>3.3952000000000102</v>
      </c>
      <c r="AF4391">
        <v>3.1459814179330001</v>
      </c>
      <c r="AG4391">
        <v>-1.1089707269059901</v>
      </c>
      <c r="AH4391">
        <v>16.2356786887791</v>
      </c>
      <c r="AI4391">
        <v>93.836354673484905</v>
      </c>
      <c r="AJ4391">
        <v>79.033719412861899</v>
      </c>
      <c r="AK4391">
        <v>16.574808524999298</v>
      </c>
      <c r="AL4391">
        <v>85.624399083391495</v>
      </c>
      <c r="AM4391">
        <v>93.817546528802893</v>
      </c>
      <c r="AN4391">
        <v>0.99999997493215098</v>
      </c>
    </row>
    <row r="4392" spans="1:40" x14ac:dyDescent="0.25">
      <c r="A4392" t="str">
        <f>"20190305135323203"</f>
        <v>20190305135323203</v>
      </c>
      <c r="B4392" t="str">
        <f>"1551765203194558"</f>
        <v>1551765203194558</v>
      </c>
      <c r="C4392" t="s">
        <v>40</v>
      </c>
      <c r="D4392">
        <v>4.1244709999999998</v>
      </c>
      <c r="E4392">
        <v>0.60246169999999899</v>
      </c>
      <c r="F4392" t="s">
        <v>42</v>
      </c>
      <c r="G4392">
        <v>-394.61649999999997</v>
      </c>
      <c r="H4392" s="1">
        <v>-3.623466E-6</v>
      </c>
      <c r="I4392">
        <v>144.79399999999899</v>
      </c>
      <c r="J4392">
        <v>-378.4128</v>
      </c>
      <c r="K4392">
        <v>1.1089560000000001</v>
      </c>
      <c r="L4392">
        <v>141.43020000000001</v>
      </c>
      <c r="M4392">
        <v>-0.99978730000000005</v>
      </c>
      <c r="N4392">
        <v>-1.395529E-2</v>
      </c>
      <c r="O4392">
        <v>1.519072E-2</v>
      </c>
      <c r="P4392">
        <v>-0.99660919999999997</v>
      </c>
      <c r="Q4392">
        <v>6.0364019999999997E-2</v>
      </c>
      <c r="R4392">
        <v>-5.5913259999999999E-2</v>
      </c>
      <c r="S4392">
        <v>-3.055237</v>
      </c>
      <c r="T4392">
        <v>-0.20470869999999999</v>
      </c>
      <c r="U4392">
        <v>0.62200929999999999</v>
      </c>
      <c r="V4392">
        <v>-7.0910260000000003E-2</v>
      </c>
      <c r="W4392">
        <v>7.4383459999999998E-2</v>
      </c>
      <c r="X4392">
        <v>0.99470539999999996</v>
      </c>
      <c r="Y4392">
        <v>0.1841246</v>
      </c>
      <c r="Z4392">
        <v>6.6024769999999998E-3</v>
      </c>
      <c r="AA4392">
        <v>0.9828808</v>
      </c>
      <c r="AB4392">
        <v>36</v>
      </c>
      <c r="AC4392">
        <v>-16.203699999999898</v>
      </c>
      <c r="AD4392">
        <v>-1.108959623466</v>
      </c>
      <c r="AE4392">
        <v>3.3637999999999599</v>
      </c>
      <c r="AF4392">
        <v>3.1033070706092198</v>
      </c>
      <c r="AG4392">
        <v>-1.108959623466</v>
      </c>
      <c r="AH4392">
        <v>16.180278562723299</v>
      </c>
      <c r="AI4392">
        <v>93.850820632220604</v>
      </c>
      <c r="AJ4392">
        <v>79.1427671163583</v>
      </c>
      <c r="AK4392">
        <v>16.5124716680542</v>
      </c>
      <c r="AL4392">
        <v>85.734201780272699</v>
      </c>
      <c r="AM4392">
        <v>94.077586324354101</v>
      </c>
      <c r="AN4392">
        <v>0.99999999844199905</v>
      </c>
    </row>
    <row r="4393" spans="1:40" x14ac:dyDescent="0.25">
      <c r="A4393" t="str">
        <f>"20190305135323225"</f>
        <v>20190305135323225</v>
      </c>
      <c r="B4393" t="str">
        <f>"1551765203214075"</f>
        <v>1551765203214075</v>
      </c>
      <c r="C4393" t="s">
        <v>40</v>
      </c>
      <c r="D4393">
        <v>4.3538230000000002</v>
      </c>
      <c r="E4393">
        <v>0.60276759999999996</v>
      </c>
      <c r="F4393" t="s">
        <v>42</v>
      </c>
      <c r="G4393">
        <v>-393.91849999999999</v>
      </c>
      <c r="H4393" s="1">
        <v>-3.8526820000000003E-6</v>
      </c>
      <c r="I4393">
        <v>144.74700000000001</v>
      </c>
      <c r="J4393">
        <v>-378.75970000000001</v>
      </c>
      <c r="K4393">
        <v>1.108943</v>
      </c>
      <c r="L4393">
        <v>141.43620000000001</v>
      </c>
      <c r="M4393">
        <v>-0.99977570000000004</v>
      </c>
      <c r="N4393">
        <v>-1.395336E-2</v>
      </c>
      <c r="O4393">
        <v>1.5939200000000001E-2</v>
      </c>
      <c r="P4393">
        <v>-0.99634279999999997</v>
      </c>
      <c r="Q4393">
        <v>5.8758940000000003E-2</v>
      </c>
      <c r="R4393">
        <v>-6.2036510000000003E-2</v>
      </c>
      <c r="S4393">
        <v>-3.0601500000000001</v>
      </c>
      <c r="T4393">
        <v>-0.21886169999999999</v>
      </c>
      <c r="U4393">
        <v>0.65461729999999996</v>
      </c>
      <c r="V4393">
        <v>-7.7777219999999994E-2</v>
      </c>
      <c r="W4393">
        <v>7.2783730000000005E-2</v>
      </c>
      <c r="X4393">
        <v>0.99431040000000004</v>
      </c>
      <c r="Y4393">
        <v>0.1930279</v>
      </c>
      <c r="Z4393">
        <v>7.2753380000000001E-3</v>
      </c>
      <c r="AA4393">
        <v>0.98116630000000005</v>
      </c>
      <c r="AB4393">
        <v>36</v>
      </c>
      <c r="AC4393">
        <v>-15.1587999999999</v>
      </c>
      <c r="AD4393">
        <v>-1.1089468526819899</v>
      </c>
      <c r="AE4393">
        <v>3.3108</v>
      </c>
      <c r="AF4393">
        <v>3.0531411200625702</v>
      </c>
      <c r="AG4393">
        <v>-1.1089468526819899</v>
      </c>
      <c r="AH4393">
        <v>15.132353902515799</v>
      </c>
      <c r="AI4393">
        <v>94.108819247772999</v>
      </c>
      <c r="AJ4393">
        <v>78.593002279969099</v>
      </c>
      <c r="AK4393">
        <v>15.4770658864035</v>
      </c>
      <c r="AL4393">
        <v>85.826108601320598</v>
      </c>
      <c r="AM4393">
        <v>94.472698566788694</v>
      </c>
      <c r="AN4393">
        <v>0.99999996942589997</v>
      </c>
    </row>
    <row r="4394" spans="1:40" x14ac:dyDescent="0.25">
      <c r="A4394" t="str">
        <f>"20190305135323248"</f>
        <v>20190305135323248</v>
      </c>
      <c r="B4394" t="str">
        <f>"1551765203244332"</f>
        <v>1551765203244332</v>
      </c>
      <c r="C4394" t="s">
        <v>40</v>
      </c>
      <c r="D4394">
        <v>4.1628339999999904</v>
      </c>
      <c r="E4394">
        <v>0.60276759999999996</v>
      </c>
      <c r="F4394" t="s">
        <v>42</v>
      </c>
      <c r="G4394">
        <v>-394.09399999999999</v>
      </c>
      <c r="H4394" s="1">
        <v>-3.772996E-6</v>
      </c>
      <c r="I4394">
        <v>144.6345</v>
      </c>
      <c r="J4394">
        <v>-379.11689999999999</v>
      </c>
      <c r="K4394">
        <v>1.108943</v>
      </c>
      <c r="L4394">
        <v>141.4427</v>
      </c>
      <c r="M4394">
        <v>-0.99976299999999996</v>
      </c>
      <c r="N4394">
        <v>-1.395096E-2</v>
      </c>
      <c r="O4394">
        <v>1.671098E-2</v>
      </c>
      <c r="P4394">
        <v>-0.99574770000000001</v>
      </c>
      <c r="Q4394">
        <v>5.8184220000000002E-2</v>
      </c>
      <c r="R4394">
        <v>-7.1420600000000001E-2</v>
      </c>
      <c r="S4394">
        <v>-3.0638730000000001</v>
      </c>
      <c r="T4394">
        <v>-0.22157379999999999</v>
      </c>
      <c r="U4394">
        <v>0.63905330000000005</v>
      </c>
      <c r="V4394">
        <v>-8.7919590000000006E-2</v>
      </c>
      <c r="W4394">
        <v>7.22135E-2</v>
      </c>
      <c r="X4394">
        <v>0.99350660000000002</v>
      </c>
      <c r="Y4394">
        <v>0.18725890000000001</v>
      </c>
      <c r="Z4394">
        <v>7.0496839999999996E-3</v>
      </c>
      <c r="AA4394">
        <v>0.98228530000000003</v>
      </c>
      <c r="AB4394">
        <v>36</v>
      </c>
      <c r="AC4394">
        <v>-14.9771</v>
      </c>
      <c r="AD4394">
        <v>-1.1089467729960001</v>
      </c>
      <c r="AE4394">
        <v>3.1918000000000002</v>
      </c>
      <c r="AF4394">
        <v>2.9257049458784699</v>
      </c>
      <c r="AG4394">
        <v>-1.1089467729960001</v>
      </c>
      <c r="AH4394">
        <v>14.949951477380401</v>
      </c>
      <c r="AI4394">
        <v>94.163581252842505</v>
      </c>
      <c r="AJ4394">
        <v>78.9271603016348</v>
      </c>
      <c r="AK4394">
        <v>15.273852217161901</v>
      </c>
      <c r="AL4394">
        <v>85.858866721013598</v>
      </c>
      <c r="AM4394">
        <v>95.057171394090602</v>
      </c>
      <c r="AN4394">
        <v>1.0000000040657799</v>
      </c>
    </row>
    <row r="4395" spans="1:40" x14ac:dyDescent="0.25">
      <c r="A4395" t="str">
        <f>"20190305135323271"</f>
        <v>20190305135323271</v>
      </c>
      <c r="B4395" t="str">
        <f>"1551765203264827"</f>
        <v>1551765203264827</v>
      </c>
      <c r="C4395" t="s">
        <v>40</v>
      </c>
      <c r="D4395">
        <v>4.0466189999999997</v>
      </c>
      <c r="E4395">
        <v>0.43367660000000002</v>
      </c>
      <c r="F4395" t="s">
        <v>42</v>
      </c>
      <c r="G4395">
        <v>-394.45049999999998</v>
      </c>
      <c r="H4395" s="1">
        <v>-3.6266639999999998E-6</v>
      </c>
      <c r="I4395">
        <v>144.49350000000001</v>
      </c>
      <c r="J4395">
        <v>-379.48809999999997</v>
      </c>
      <c r="K4395">
        <v>1.108949</v>
      </c>
      <c r="L4395">
        <v>141.44970000000001</v>
      </c>
      <c r="M4395">
        <v>-0.99974940000000001</v>
      </c>
      <c r="N4395">
        <v>-1.394893E-2</v>
      </c>
      <c r="O4395">
        <v>1.7512690000000001E-2</v>
      </c>
      <c r="P4395">
        <v>-0.99487729999999996</v>
      </c>
      <c r="Q4395">
        <v>5.9218670000000001E-2</v>
      </c>
      <c r="R4395">
        <v>-8.1930160000000002E-2</v>
      </c>
      <c r="S4395">
        <v>-3.0696110000000001</v>
      </c>
      <c r="T4395">
        <v>-0.22199820000000001</v>
      </c>
      <c r="U4395">
        <v>0.61076350000000001</v>
      </c>
      <c r="V4395">
        <v>-9.9207699999999996E-2</v>
      </c>
      <c r="W4395">
        <v>7.3251209999999997E-2</v>
      </c>
      <c r="X4395">
        <v>0.99236690000000005</v>
      </c>
      <c r="Y4395">
        <v>0.17743239999999999</v>
      </c>
      <c r="Z4395">
        <v>6.5868999999999997E-3</v>
      </c>
      <c r="AA4395">
        <v>0.98411099999999996</v>
      </c>
      <c r="AB4395">
        <v>36</v>
      </c>
      <c r="AC4395">
        <v>-14.962400000000001</v>
      </c>
      <c r="AD4395">
        <v>-1.108952626664</v>
      </c>
      <c r="AE4395">
        <v>3.0438000000000001</v>
      </c>
      <c r="AF4395">
        <v>2.7666818458665499</v>
      </c>
      <c r="AG4395">
        <v>-1.108952626664</v>
      </c>
      <c r="AH4395">
        <v>14.9346368117416</v>
      </c>
      <c r="AI4395">
        <v>94.175840318668406</v>
      </c>
      <c r="AJ4395">
        <v>79.504782782205496</v>
      </c>
      <c r="AK4395">
        <v>15.2291720412851</v>
      </c>
      <c r="AL4395">
        <v>85.799252349802501</v>
      </c>
      <c r="AM4395">
        <v>95.708935924009594</v>
      </c>
      <c r="AN4395">
        <v>0.99999998586068195</v>
      </c>
    </row>
    <row r="4396" spans="1:40" x14ac:dyDescent="0.25">
      <c r="A4396" t="str">
        <f>"20190305135323293"</f>
        <v>20190305135323293</v>
      </c>
      <c r="B4396" t="str">
        <f>"1551765203284347"</f>
        <v>1551765203284347</v>
      </c>
      <c r="C4396" t="s">
        <v>40</v>
      </c>
      <c r="D4396">
        <v>4.017722</v>
      </c>
      <c r="E4396">
        <v>0.42059459999999999</v>
      </c>
      <c r="F4396" t="s">
        <v>78</v>
      </c>
      <c r="G4396">
        <v>-421.94810000000001</v>
      </c>
      <c r="H4396" s="1">
        <v>-6.3503959999999899E-6</v>
      </c>
      <c r="I4396">
        <v>130.4111</v>
      </c>
      <c r="J4396">
        <v>-379.8347</v>
      </c>
      <c r="K4396">
        <v>1.1089560000000001</v>
      </c>
      <c r="L4396">
        <v>141.45650000000001</v>
      </c>
      <c r="M4396">
        <v>-0.99973599999999996</v>
      </c>
      <c r="N4396">
        <v>-1.394717E-2</v>
      </c>
      <c r="O4396">
        <v>1.826146E-2</v>
      </c>
      <c r="P4396">
        <v>-0.99395389999999995</v>
      </c>
      <c r="Q4396">
        <v>6.021315E-2</v>
      </c>
      <c r="R4396">
        <v>-9.1814880000000001E-2</v>
      </c>
      <c r="S4396">
        <v>-2.9567260000000002</v>
      </c>
      <c r="T4396">
        <v>-7.7222699999999894E-2</v>
      </c>
      <c r="U4396">
        <v>-0.76867680000000005</v>
      </c>
      <c r="V4396">
        <v>-0.109816</v>
      </c>
      <c r="W4396">
        <v>7.4246530000000005E-2</v>
      </c>
      <c r="X4396">
        <v>0.99117500000000003</v>
      </c>
      <c r="Y4396">
        <v>-0.2691095</v>
      </c>
      <c r="Z4396">
        <v>-5.583083E-3</v>
      </c>
      <c r="AA4396">
        <v>0.96309339999999999</v>
      </c>
      <c r="AB4396">
        <v>36</v>
      </c>
      <c r="AC4396">
        <v>-42.113399999999999</v>
      </c>
      <c r="AD4396">
        <v>-1.108962350396</v>
      </c>
      <c r="AE4396">
        <v>-11.045400000000001</v>
      </c>
      <c r="AF4396">
        <v>-11.8050258006598</v>
      </c>
      <c r="AG4396">
        <v>-1.108962350396</v>
      </c>
      <c r="AH4396">
        <v>41.877481814576399</v>
      </c>
      <c r="AI4396">
        <v>91.460026341073402</v>
      </c>
      <c r="AJ4396">
        <v>105.742844731373</v>
      </c>
      <c r="AK4396">
        <v>43.5236937170895</v>
      </c>
      <c r="AL4396">
        <v>85.742069013413897</v>
      </c>
      <c r="AM4396">
        <v>96.322229694600296</v>
      </c>
      <c r="AN4396">
        <v>0.99999999084902003</v>
      </c>
    </row>
    <row r="4397" spans="1:40" x14ac:dyDescent="0.25">
      <c r="A4397" t="str">
        <f>"20190305135323315"</f>
        <v>20190305135323315</v>
      </c>
      <c r="B4397" t="str">
        <f>"1551765203303867"</f>
        <v>1551765203303867</v>
      </c>
      <c r="C4397" t="s">
        <v>40</v>
      </c>
      <c r="D4397">
        <v>3.9104969999999999</v>
      </c>
      <c r="E4397">
        <v>0.41684310000000002</v>
      </c>
      <c r="F4397" t="s">
        <v>78</v>
      </c>
      <c r="G4397">
        <v>-412.0016</v>
      </c>
      <c r="H4397" s="1">
        <v>-6.9919970000000003E-6</v>
      </c>
      <c r="I4397">
        <v>131.59129999999999</v>
      </c>
      <c r="J4397">
        <v>-380.18509999999998</v>
      </c>
      <c r="K4397">
        <v>1.1089580000000001</v>
      </c>
      <c r="L4397">
        <v>141.46360000000001</v>
      </c>
      <c r="M4397">
        <v>-0.99972190000000005</v>
      </c>
      <c r="N4397">
        <v>-1.394535E-2</v>
      </c>
      <c r="O4397">
        <v>1.9018460000000001E-2</v>
      </c>
      <c r="P4397">
        <v>-0.99304720000000002</v>
      </c>
      <c r="Q4397">
        <v>5.9789120000000001E-2</v>
      </c>
      <c r="R4397">
        <v>-0.10140250000000001</v>
      </c>
      <c r="S4397">
        <v>-2.9411320000000001</v>
      </c>
      <c r="T4397">
        <v>-0.10139629999999999</v>
      </c>
      <c r="U4397">
        <v>-0.90200809999999998</v>
      </c>
      <c r="V4397">
        <v>-0.1201368</v>
      </c>
      <c r="W4397">
        <v>7.3823299999999994E-2</v>
      </c>
      <c r="X4397">
        <v>0.99000869999999996</v>
      </c>
      <c r="Y4397">
        <v>-0.3110928</v>
      </c>
      <c r="Z4397">
        <v>-7.8415410000000005E-3</v>
      </c>
      <c r="AA4397">
        <v>0.95034719999999995</v>
      </c>
      <c r="AB4397">
        <v>36</v>
      </c>
      <c r="AC4397">
        <v>-31.816500000000001</v>
      </c>
      <c r="AD4397">
        <v>-1.1089649919969999</v>
      </c>
      <c r="AE4397">
        <v>-9.8723000000000205</v>
      </c>
      <c r="AF4397">
        <v>-10.464077673548999</v>
      </c>
      <c r="AG4397">
        <v>-1.1089649919969999</v>
      </c>
      <c r="AH4397">
        <v>31.587965014660099</v>
      </c>
      <c r="AI4397">
        <v>91.908744551409001</v>
      </c>
      <c r="AJ4397">
        <v>108.32837445919201</v>
      </c>
      <c r="AK4397">
        <v>33.294537970648101</v>
      </c>
      <c r="AL4397">
        <v>85.766384984647701</v>
      </c>
      <c r="AM4397">
        <v>96.918969372809897</v>
      </c>
      <c r="AN4397">
        <v>0.99999997820640896</v>
      </c>
    </row>
    <row r="4398" spans="1:40" x14ac:dyDescent="0.25">
      <c r="A4398" t="str">
        <f>"20190305135323338"</f>
        <v>20190305135323338</v>
      </c>
      <c r="B4398" t="str">
        <f>"1551765203324364"</f>
        <v>1551765203324364</v>
      </c>
      <c r="C4398" t="s">
        <v>40</v>
      </c>
      <c r="D4398">
        <v>3.9264640000000002</v>
      </c>
      <c r="E4398">
        <v>0.41627999999999998</v>
      </c>
      <c r="F4398" t="s">
        <v>78</v>
      </c>
      <c r="G4398">
        <v>-408.75330000000002</v>
      </c>
      <c r="H4398" s="1">
        <v>-6.6424150000000003E-6</v>
      </c>
      <c r="I4398">
        <v>132.101</v>
      </c>
      <c r="J4398">
        <v>-380.5566</v>
      </c>
      <c r="K4398">
        <v>1.1089530000000001</v>
      </c>
      <c r="L4398">
        <v>141.47139999999999</v>
      </c>
      <c r="M4398">
        <v>-0.9997064</v>
      </c>
      <c r="N4398">
        <v>-1.394339E-2</v>
      </c>
      <c r="O4398">
        <v>1.9820879999999999E-2</v>
      </c>
      <c r="P4398">
        <v>-0.99208680000000005</v>
      </c>
      <c r="Q4398">
        <v>5.737105E-2</v>
      </c>
      <c r="R4398">
        <v>-0.1116813</v>
      </c>
      <c r="S4398">
        <v>-2.9297789999999999</v>
      </c>
      <c r="T4398">
        <v>-0.1137286</v>
      </c>
      <c r="U4398">
        <v>-0.96017459999999999</v>
      </c>
      <c r="V4398">
        <v>-0.13119410000000001</v>
      </c>
      <c r="W4398">
        <v>7.1406399999999995E-2</v>
      </c>
      <c r="X4398">
        <v>0.98878169999999999</v>
      </c>
      <c r="Y4398">
        <v>-0.32988869999999998</v>
      </c>
      <c r="Z4398">
        <v>-9.0781509999999996E-3</v>
      </c>
      <c r="AA4398">
        <v>0.94397620000000004</v>
      </c>
      <c r="AB4398">
        <v>36</v>
      </c>
      <c r="AC4398">
        <v>-28.1967</v>
      </c>
      <c r="AD4398">
        <v>-1.1089596424149999</v>
      </c>
      <c r="AE4398">
        <v>-9.3703999999999894</v>
      </c>
      <c r="AF4398">
        <v>-9.9136870672527699</v>
      </c>
      <c r="AG4398">
        <v>-1.1089596424149999</v>
      </c>
      <c r="AH4398">
        <v>27.9664556647793</v>
      </c>
      <c r="AI4398">
        <v>92.140401856588895</v>
      </c>
      <c r="AJ4398">
        <v>109.518649630203</v>
      </c>
      <c r="AK4398">
        <v>29.692315928636901</v>
      </c>
      <c r="AL4398">
        <v>85.905229856206304</v>
      </c>
      <c r="AM4398">
        <v>97.558005705069107</v>
      </c>
      <c r="AN4398">
        <v>1.00000000804533</v>
      </c>
    </row>
    <row r="4399" spans="1:40" x14ac:dyDescent="0.25">
      <c r="A4399" t="str">
        <f>"20190305135323362"</f>
        <v>20190305135323362</v>
      </c>
      <c r="B4399" t="str">
        <f>"1551765203354344"</f>
        <v>1551765203354344</v>
      </c>
      <c r="C4399" t="s">
        <v>40</v>
      </c>
      <c r="D4399">
        <v>3.9034749999999998</v>
      </c>
      <c r="E4399">
        <v>0.41693989999999997</v>
      </c>
      <c r="F4399" t="s">
        <v>78</v>
      </c>
      <c r="G4399">
        <v>-406.08800000000002</v>
      </c>
      <c r="H4399" s="1">
        <v>-5.1406959999999996E-6</v>
      </c>
      <c r="I4399">
        <v>132.77379999999999</v>
      </c>
      <c r="J4399">
        <v>-380.92059999999998</v>
      </c>
      <c r="K4399">
        <v>1.108948</v>
      </c>
      <c r="L4399">
        <v>141.4794</v>
      </c>
      <c r="M4399">
        <v>-0.99969059999999998</v>
      </c>
      <c r="N4399">
        <v>-1.394136E-2</v>
      </c>
      <c r="O4399">
        <v>2.060733E-2</v>
      </c>
      <c r="P4399">
        <v>-0.99101850000000002</v>
      </c>
      <c r="Q4399">
        <v>5.6180569999999999E-2</v>
      </c>
      <c r="R4399">
        <v>-0.1213534</v>
      </c>
      <c r="S4399">
        <v>-2.9193120000000001</v>
      </c>
      <c r="T4399">
        <v>-0.12680079999999999</v>
      </c>
      <c r="U4399">
        <v>-0.99450680000000002</v>
      </c>
      <c r="V4399">
        <v>-0.14162279999999999</v>
      </c>
      <c r="W4399">
        <v>7.0213499999999998E-2</v>
      </c>
      <c r="X4399">
        <v>0.98742750000000001</v>
      </c>
      <c r="Y4399">
        <v>-0.34150819999999998</v>
      </c>
      <c r="Z4399">
        <v>-1.024916E-2</v>
      </c>
      <c r="AA4399">
        <v>0.93982290000000002</v>
      </c>
      <c r="AB4399">
        <v>36</v>
      </c>
      <c r="AC4399">
        <v>-25.167400000000001</v>
      </c>
      <c r="AD4399">
        <v>-1.108953140696</v>
      </c>
      <c r="AE4399">
        <v>-8.7056000000000004</v>
      </c>
      <c r="AF4399">
        <v>-9.2064695588335894</v>
      </c>
      <c r="AG4399">
        <v>-1.108953140696</v>
      </c>
      <c r="AH4399">
        <v>24.939391352705599</v>
      </c>
      <c r="AI4399">
        <v>92.388672647354198</v>
      </c>
      <c r="AJ4399">
        <v>110.26181336219101</v>
      </c>
      <c r="AK4399">
        <v>26.607557194327299</v>
      </c>
      <c r="AL4399">
        <v>85.973750002235903</v>
      </c>
      <c r="AM4399">
        <v>98.162042387983107</v>
      </c>
      <c r="AN4399">
        <v>1.00000001040917</v>
      </c>
    </row>
    <row r="4400" spans="1:40" x14ac:dyDescent="0.25">
      <c r="A4400" t="str">
        <f>"20190305135323383"</f>
        <v>20190305135323383</v>
      </c>
      <c r="B4400" t="str">
        <f>"1551765203374839"</f>
        <v>1551765203374839</v>
      </c>
      <c r="C4400" t="s">
        <v>40</v>
      </c>
      <c r="D4400">
        <v>3.914866</v>
      </c>
      <c r="E4400">
        <v>0.41793340000000001</v>
      </c>
      <c r="F4400" t="s">
        <v>78</v>
      </c>
      <c r="G4400">
        <v>-404.6816</v>
      </c>
      <c r="H4400" s="1">
        <v>-4.4326630000000004E-6</v>
      </c>
      <c r="I4400">
        <v>133.17080000000001</v>
      </c>
      <c r="J4400">
        <v>-381.26679999999999</v>
      </c>
      <c r="K4400">
        <v>1.1089560000000001</v>
      </c>
      <c r="L4400">
        <v>141.4872</v>
      </c>
      <c r="M4400">
        <v>-0.99967479999999997</v>
      </c>
      <c r="N4400">
        <v>-1.394287E-2</v>
      </c>
      <c r="O4400">
        <v>2.135339E-2</v>
      </c>
      <c r="P4400">
        <v>-0.98992100000000005</v>
      </c>
      <c r="Q4400">
        <v>5.6515309999999999E-2</v>
      </c>
      <c r="R4400">
        <v>-0.12985730000000001</v>
      </c>
      <c r="S4400">
        <v>-2.9103089999999998</v>
      </c>
      <c r="T4400">
        <v>-0.135826799999999</v>
      </c>
      <c r="U4400">
        <v>-1.0176540000000001</v>
      </c>
      <c r="V4400">
        <v>-0.150839</v>
      </c>
      <c r="W4400">
        <v>7.0546460000000005E-2</v>
      </c>
      <c r="X4400">
        <v>0.98603790000000002</v>
      </c>
      <c r="Y4400">
        <v>-0.34969670000000003</v>
      </c>
      <c r="Z4400">
        <v>-1.111038E-2</v>
      </c>
      <c r="AA4400">
        <v>0.93679710000000005</v>
      </c>
      <c r="AB4400">
        <v>35</v>
      </c>
      <c r="AC4400">
        <v>-23.4148</v>
      </c>
      <c r="AD4400">
        <v>-1.10896043266299</v>
      </c>
      <c r="AE4400">
        <v>-8.3163999999999803</v>
      </c>
      <c r="AF4400">
        <v>-8.7970151004035007</v>
      </c>
      <c r="AG4400">
        <v>-1.10896043266299</v>
      </c>
      <c r="AH4400">
        <v>23.185677389945401</v>
      </c>
      <c r="AI4400">
        <v>92.560500724904102</v>
      </c>
      <c r="AJ4400">
        <v>110.777542628837</v>
      </c>
      <c r="AK4400">
        <v>24.823233148576101</v>
      </c>
      <c r="AL4400">
        <v>85.9546252261907</v>
      </c>
      <c r="AM4400">
        <v>98.697388129787996</v>
      </c>
      <c r="AN4400">
        <v>0.99999997358796999</v>
      </c>
    </row>
    <row r="4401" spans="1:40" x14ac:dyDescent="0.25">
      <c r="A4401" t="str">
        <f>"20190305135323404"</f>
        <v>20190305135323404</v>
      </c>
      <c r="B4401" t="str">
        <f>"1551765203394360"</f>
        <v>1551765203394360</v>
      </c>
      <c r="C4401" t="s">
        <v>40</v>
      </c>
      <c r="D4401">
        <v>3.9236200000000001</v>
      </c>
      <c r="E4401">
        <v>0.41904910000000001</v>
      </c>
      <c r="F4401" t="s">
        <v>78</v>
      </c>
      <c r="G4401">
        <v>-404.81009999999998</v>
      </c>
      <c r="H4401" s="1">
        <v>-4.4558660000000003E-6</v>
      </c>
      <c r="I4401">
        <v>133.0985</v>
      </c>
      <c r="J4401">
        <v>-381.59739999999999</v>
      </c>
      <c r="K4401">
        <v>1.108975</v>
      </c>
      <c r="L4401">
        <v>141.4949</v>
      </c>
      <c r="M4401">
        <v>-0.99965899999999996</v>
      </c>
      <c r="N4401">
        <v>-1.3994090000000001E-2</v>
      </c>
      <c r="O4401">
        <v>2.2052800000000001E-2</v>
      </c>
      <c r="P4401">
        <v>-0.98882809999999999</v>
      </c>
      <c r="Q4401">
        <v>5.678221E-2</v>
      </c>
      <c r="R4401">
        <v>-0.1378228</v>
      </c>
      <c r="S4401">
        <v>-2.9026489999999998</v>
      </c>
      <c r="T4401">
        <v>-0.1367236</v>
      </c>
      <c r="U4401">
        <v>-1.034241</v>
      </c>
      <c r="V4401">
        <v>-0.1594691</v>
      </c>
      <c r="W4401">
        <v>7.0858959999999999E-2</v>
      </c>
      <c r="X4401">
        <v>0.98465659999999999</v>
      </c>
      <c r="Y4401">
        <v>-0.35585739999999999</v>
      </c>
      <c r="Z4401">
        <v>-1.1401710000000001E-2</v>
      </c>
      <c r="AA4401">
        <v>0.93447069999999999</v>
      </c>
      <c r="AB4401">
        <v>35</v>
      </c>
      <c r="AC4401">
        <v>-23.212699999999899</v>
      </c>
      <c r="AD4401">
        <v>-1.108979455866</v>
      </c>
      <c r="AE4401">
        <v>-8.3963999999999999</v>
      </c>
      <c r="AF4401">
        <v>-8.8883729563366902</v>
      </c>
      <c r="AG4401">
        <v>-1.108979455866</v>
      </c>
      <c r="AH4401">
        <v>22.975499043004</v>
      </c>
      <c r="AI4401">
        <v>92.577524380897302</v>
      </c>
      <c r="AJ4401">
        <v>111.14961548164401</v>
      </c>
      <c r="AK4401">
        <v>24.6598168184508</v>
      </c>
      <c r="AL4401">
        <v>85.936675493509</v>
      </c>
      <c r="AM4401">
        <v>99.199406361185297</v>
      </c>
      <c r="AN4401">
        <v>1.00000000299532</v>
      </c>
    </row>
    <row r="4402" spans="1:40" x14ac:dyDescent="0.25">
      <c r="A4402" t="str">
        <f>"20190305135323427"</f>
        <v>20190305135323427</v>
      </c>
      <c r="B4402" t="str">
        <f>"1551765203414856"</f>
        <v>1551765203414856</v>
      </c>
      <c r="C4402" t="s">
        <v>40</v>
      </c>
      <c r="D4402">
        <v>3.9271210000000001</v>
      </c>
      <c r="E4402">
        <v>0.4201722</v>
      </c>
      <c r="F4402" t="s">
        <v>78</v>
      </c>
      <c r="G4402">
        <v>-404.96100000000001</v>
      </c>
      <c r="H4402" s="1">
        <v>-4.4942339999999998E-6</v>
      </c>
      <c r="I4402">
        <v>133.03569999999999</v>
      </c>
      <c r="J4402">
        <v>-381.95549999999997</v>
      </c>
      <c r="K4402">
        <v>1.1090450000000001</v>
      </c>
      <c r="L4402">
        <v>141.50360000000001</v>
      </c>
      <c r="M4402">
        <v>-0.99963950000000001</v>
      </c>
      <c r="N4402">
        <v>-1.419226E-2</v>
      </c>
      <c r="O4402">
        <v>2.2792750000000001E-2</v>
      </c>
      <c r="P4402">
        <v>-0.98757910000000004</v>
      </c>
      <c r="Q4402">
        <v>5.644238E-2</v>
      </c>
      <c r="R4402">
        <v>-0.1466346</v>
      </c>
      <c r="S4402">
        <v>-2.8956909999999998</v>
      </c>
      <c r="T4402">
        <v>-0.13744719999999999</v>
      </c>
      <c r="U4402">
        <v>-1.0484469999999999</v>
      </c>
      <c r="V4402">
        <v>-0.16898239999999901</v>
      </c>
      <c r="W4402">
        <v>7.0704379999999997E-2</v>
      </c>
      <c r="X4402">
        <v>0.98307979999999995</v>
      </c>
      <c r="Y4402">
        <v>-0.36129739999999999</v>
      </c>
      <c r="Z4402">
        <v>-1.168693E-2</v>
      </c>
      <c r="AA4402">
        <v>0.93237740000000002</v>
      </c>
      <c r="AB4402">
        <v>35</v>
      </c>
      <c r="AC4402">
        <v>-23.005500000000001</v>
      </c>
      <c r="AD4402">
        <v>-1.1090494942339999</v>
      </c>
      <c r="AE4402">
        <v>-8.4679000000000109</v>
      </c>
      <c r="AF4402">
        <v>-8.9717484882398804</v>
      </c>
      <c r="AG4402">
        <v>-1.1090494942339999</v>
      </c>
      <c r="AH4402">
        <v>22.759913003537999</v>
      </c>
      <c r="AI4402">
        <v>92.595625885924306</v>
      </c>
      <c r="AJ4402">
        <v>111.513903034446</v>
      </c>
      <c r="AK4402">
        <v>24.4895059493963</v>
      </c>
      <c r="AL4402">
        <v>85.945554642787897</v>
      </c>
      <c r="AM4402">
        <v>99.753305749566195</v>
      </c>
      <c r="AN4402">
        <v>1.00000002701449</v>
      </c>
    </row>
    <row r="4403" spans="1:40" x14ac:dyDescent="0.25">
      <c r="A4403" t="str">
        <f>"20190305135323449"</f>
        <v>20190305135323449</v>
      </c>
      <c r="B4403" t="str">
        <f>"1551765203444135"</f>
        <v>1551765203444135</v>
      </c>
      <c r="C4403" t="s">
        <v>40</v>
      </c>
      <c r="D4403">
        <v>3.9208050000000001</v>
      </c>
      <c r="E4403">
        <v>0.42204390000000003</v>
      </c>
      <c r="F4403" t="s">
        <v>41</v>
      </c>
      <c r="G4403">
        <v>-383.08179999999999</v>
      </c>
      <c r="H4403">
        <v>1.0541419999999999</v>
      </c>
      <c r="I4403">
        <v>141.0882</v>
      </c>
      <c r="J4403">
        <v>-382.31290000000001</v>
      </c>
      <c r="K4403">
        <v>1.109162</v>
      </c>
      <c r="L4403">
        <v>141.51249999999999</v>
      </c>
      <c r="M4403">
        <v>-0.9996176</v>
      </c>
      <c r="N4403">
        <v>-1.455329E-2</v>
      </c>
      <c r="O4403">
        <v>2.3511649999999999E-2</v>
      </c>
      <c r="P4403">
        <v>-0.98637839999999999</v>
      </c>
      <c r="Q4403">
        <v>5.6900230000000003E-2</v>
      </c>
      <c r="R4403">
        <v>-0.15433729999999901</v>
      </c>
      <c r="S4403">
        <v>-2.8876650000000001</v>
      </c>
      <c r="T4403">
        <v>-0.14075850000000001</v>
      </c>
      <c r="U4403">
        <v>-1.0648500000000001</v>
      </c>
      <c r="V4403">
        <v>-0.17736459999999901</v>
      </c>
      <c r="W4403">
        <v>7.1500099999999997E-2</v>
      </c>
      <c r="X4403">
        <v>0.98154450000000004</v>
      </c>
      <c r="Y4403">
        <v>-0.36742560000000002</v>
      </c>
      <c r="Z4403">
        <v>-1.220508E-2</v>
      </c>
      <c r="AA4403">
        <v>0.92997280000000004</v>
      </c>
      <c r="AB4403">
        <v>35</v>
      </c>
      <c r="AC4403">
        <v>-0.76889999999997305</v>
      </c>
      <c r="AD4403">
        <v>-5.5019999999999999E-2</v>
      </c>
      <c r="AE4403">
        <v>-0.42429999999998802</v>
      </c>
      <c r="AF4403">
        <v>-0.4405335588557</v>
      </c>
      <c r="AG4403">
        <v>-5.5019999999999999E-2</v>
      </c>
      <c r="AH4403">
        <v>0.75574396686373302</v>
      </c>
      <c r="AI4403">
        <v>93.598973963920699</v>
      </c>
      <c r="AJ4403">
        <v>120.238497557844</v>
      </c>
      <c r="AK4403">
        <v>0.87649641204570805</v>
      </c>
      <c r="AL4403">
        <v>85.899847597087998</v>
      </c>
      <c r="AM4403">
        <v>100.242789570517</v>
      </c>
      <c r="AN4403">
        <v>1.0000000355567</v>
      </c>
    </row>
    <row r="4404" spans="1:40" x14ac:dyDescent="0.25">
      <c r="A4404" t="str">
        <f>"20190305135323472"</f>
        <v>20190305135323472</v>
      </c>
      <c r="B4404" t="str">
        <f>"1551765203464648"</f>
        <v>1551765203464648</v>
      </c>
      <c r="C4404" t="s">
        <v>40</v>
      </c>
      <c r="D4404">
        <v>4.3034990000000004</v>
      </c>
      <c r="E4404">
        <v>0.42277900000000002</v>
      </c>
      <c r="F4404" t="s">
        <v>78</v>
      </c>
      <c r="G4404">
        <v>-404.90719999999999</v>
      </c>
      <c r="H4404" s="1">
        <v>-4.5028100000000002E-6</v>
      </c>
      <c r="I4404">
        <v>133.10679999999999</v>
      </c>
      <c r="J4404">
        <v>-382.6671</v>
      </c>
      <c r="K4404">
        <v>1.1093</v>
      </c>
      <c r="L4404">
        <v>141.5215</v>
      </c>
      <c r="M4404">
        <v>-0.9995946</v>
      </c>
      <c r="N4404">
        <v>-1.500489E-2</v>
      </c>
      <c r="O4404">
        <v>2.4202379999999999E-2</v>
      </c>
      <c r="P4404">
        <v>-0.98521199999999998</v>
      </c>
      <c r="Q4404">
        <v>5.8552769999999997E-2</v>
      </c>
      <c r="R4404">
        <v>-0.16102549999999999</v>
      </c>
      <c r="S4404">
        <v>-2.8818359999999998</v>
      </c>
      <c r="T4404">
        <v>-0.14147079999999901</v>
      </c>
      <c r="U4404">
        <v>-1.0721130000000001</v>
      </c>
      <c r="V4404">
        <v>-0.1847027</v>
      </c>
      <c r="W4404">
        <v>7.3575070000000006E-2</v>
      </c>
      <c r="X4404">
        <v>0.98003660000000004</v>
      </c>
      <c r="Y4404">
        <v>-0.3707222</v>
      </c>
      <c r="Z4404">
        <v>-1.247272E-2</v>
      </c>
      <c r="AA4404">
        <v>0.92866000000000004</v>
      </c>
      <c r="AB4404">
        <v>35</v>
      </c>
      <c r="AC4404">
        <v>-22.240099999999899</v>
      </c>
      <c r="AD4404">
        <v>-1.1093045028099999</v>
      </c>
      <c r="AE4404">
        <v>-8.4146999999999998</v>
      </c>
      <c r="AF4404">
        <v>-8.9311214886532397</v>
      </c>
      <c r="AG4404">
        <v>-1.1093045028099999</v>
      </c>
      <c r="AH4404">
        <v>21.982065214826601</v>
      </c>
      <c r="AI4404">
        <v>92.676777617309398</v>
      </c>
      <c r="AJ4404">
        <v>112.111478603967</v>
      </c>
      <c r="AK4404">
        <v>23.7530351457224</v>
      </c>
      <c r="AL4404">
        <v>85.780646636297803</v>
      </c>
      <c r="AM4404">
        <v>100.673064334223</v>
      </c>
      <c r="AN4404">
        <v>1.0000000578261701</v>
      </c>
    </row>
    <row r="4405" spans="1:40" x14ac:dyDescent="0.25">
      <c r="A4405" t="str">
        <f>"20190305135323493"</f>
        <v>20190305135323493</v>
      </c>
      <c r="B4405" t="str">
        <f>"1551765203484152"</f>
        <v>1551765203484152</v>
      </c>
      <c r="C4405" t="s">
        <v>40</v>
      </c>
      <c r="D4405">
        <v>4.3458670000000001</v>
      </c>
      <c r="E4405">
        <v>0.42342629999999998</v>
      </c>
      <c r="F4405" t="s">
        <v>78</v>
      </c>
      <c r="G4405">
        <v>-405.50069999999999</v>
      </c>
      <c r="H4405" s="1">
        <v>-4.8004529999999998E-6</v>
      </c>
      <c r="I4405">
        <v>132.90309999999999</v>
      </c>
      <c r="J4405">
        <v>-383.00599999999997</v>
      </c>
      <c r="K4405">
        <v>1.1094170000000001</v>
      </c>
      <c r="L4405">
        <v>141.53030000000001</v>
      </c>
      <c r="M4405">
        <v>-0.99957249999999997</v>
      </c>
      <c r="N4405">
        <v>-1.546311E-2</v>
      </c>
      <c r="O4405">
        <v>2.482144E-2</v>
      </c>
      <c r="P4405">
        <v>-0.98425419999999997</v>
      </c>
      <c r="Q4405">
        <v>5.9089620000000002E-2</v>
      </c>
      <c r="R4405">
        <v>-0.16659170000000001</v>
      </c>
      <c r="S4405">
        <v>-2.8759459999999999</v>
      </c>
      <c r="T4405">
        <v>-0.13971979999999901</v>
      </c>
      <c r="U4405">
        <v>-1.08551</v>
      </c>
      <c r="V4405">
        <v>-0.1908543</v>
      </c>
      <c r="W4405">
        <v>7.4539899999999895E-2</v>
      </c>
      <c r="X4405">
        <v>0.97878410000000005</v>
      </c>
      <c r="Y4405">
        <v>-0.37570540000000002</v>
      </c>
      <c r="Z4405">
        <v>-1.2617369999999999E-2</v>
      </c>
      <c r="AA4405">
        <v>0.92665330000000001</v>
      </c>
      <c r="AB4405">
        <v>35</v>
      </c>
      <c r="AC4405">
        <v>-22.494700000000002</v>
      </c>
      <c r="AD4405">
        <v>-1.1094218004530001</v>
      </c>
      <c r="AE4405">
        <v>-8.6272000000000109</v>
      </c>
      <c r="AF4405">
        <v>-9.1635276737268399</v>
      </c>
      <c r="AG4405">
        <v>-1.1094218004530001</v>
      </c>
      <c r="AH4405">
        <v>22.226471666923899</v>
      </c>
      <c r="AI4405">
        <v>92.642120198481194</v>
      </c>
      <c r="AJ4405">
        <v>112.40536996711</v>
      </c>
      <c r="AK4405">
        <v>24.0669295698277</v>
      </c>
      <c r="AL4405">
        <v>85.725213214710394</v>
      </c>
      <c r="AM4405">
        <v>101.033724047815</v>
      </c>
      <c r="AN4405">
        <v>0.99999993746665305</v>
      </c>
    </row>
    <row r="4406" spans="1:40" x14ac:dyDescent="0.25">
      <c r="A4406" t="str">
        <f>"20190305135323516"</f>
        <v>20190305135323516</v>
      </c>
      <c r="B4406" t="str">
        <f>"1551765203504648"</f>
        <v>1551765203504648</v>
      </c>
      <c r="C4406" t="s">
        <v>40</v>
      </c>
      <c r="D4406">
        <v>3.93736</v>
      </c>
      <c r="E4406">
        <v>0.44490619999999997</v>
      </c>
      <c r="F4406" t="s">
        <v>78</v>
      </c>
      <c r="G4406">
        <v>-406.02690000000001</v>
      </c>
      <c r="H4406" s="1">
        <v>-5.0817629999999998E-6</v>
      </c>
      <c r="I4406">
        <v>132.73679999999999</v>
      </c>
      <c r="J4406">
        <v>-383.35210000000001</v>
      </c>
      <c r="K4406">
        <v>1.109532</v>
      </c>
      <c r="L4406">
        <v>141.5395</v>
      </c>
      <c r="M4406">
        <v>-0.99955070000000001</v>
      </c>
      <c r="N4406">
        <v>-1.5934609999999998E-2</v>
      </c>
      <c r="O4406">
        <v>2.5385850000000001E-2</v>
      </c>
      <c r="P4406">
        <v>-0.98332799999999998</v>
      </c>
      <c r="Q4406">
        <v>5.7910870000000003E-2</v>
      </c>
      <c r="R4406">
        <v>-0.17237189999999999</v>
      </c>
      <c r="S4406">
        <v>-2.8707280000000002</v>
      </c>
      <c r="T4406">
        <v>-0.138346</v>
      </c>
      <c r="U4406">
        <v>-1.0965579999999999</v>
      </c>
      <c r="V4406">
        <v>-0.19717080000000001</v>
      </c>
      <c r="W4406">
        <v>7.3795239999999998E-2</v>
      </c>
      <c r="X4406">
        <v>0.97758780000000001</v>
      </c>
      <c r="Y4406">
        <v>-0.3798956</v>
      </c>
      <c r="Z4406">
        <v>-1.276209E-2</v>
      </c>
      <c r="AA4406">
        <v>0.92494140000000002</v>
      </c>
      <c r="AB4406">
        <v>35</v>
      </c>
      <c r="AC4406">
        <v>-22.674800000000001</v>
      </c>
      <c r="AD4406">
        <v>-1.1095370817629999</v>
      </c>
      <c r="AE4406">
        <v>-8.8027000000000104</v>
      </c>
      <c r="AF4406">
        <v>-9.3560864367542607</v>
      </c>
      <c r="AG4406">
        <v>-1.1095370817629999</v>
      </c>
      <c r="AH4406">
        <v>22.397393764233701</v>
      </c>
      <c r="AI4406">
        <v>92.617208937617306</v>
      </c>
      <c r="AJ4406">
        <v>112.67180775390401</v>
      </c>
      <c r="AK4406">
        <v>24.298367710156199</v>
      </c>
      <c r="AL4406">
        <v>85.767997127187698</v>
      </c>
      <c r="AM4406">
        <v>101.403070670453</v>
      </c>
      <c r="AN4406">
        <v>0.999999984264068</v>
      </c>
    </row>
    <row r="4407" spans="1:40" x14ac:dyDescent="0.25">
      <c r="A4407" t="str">
        <f>"20190305135323539"</f>
        <v>20190305135323539</v>
      </c>
      <c r="B4407" t="str">
        <f>"1551765203534904"</f>
        <v>1551765203534904</v>
      </c>
      <c r="C4407" t="s">
        <v>40</v>
      </c>
      <c r="D4407">
        <v>3.9482379999999999</v>
      </c>
      <c r="E4407">
        <v>0.44424350000000001</v>
      </c>
      <c r="F4407" t="s">
        <v>78</v>
      </c>
      <c r="G4407">
        <v>-405.57069999999999</v>
      </c>
      <c r="H4407" s="1">
        <v>-5.4954809999999998E-6</v>
      </c>
      <c r="I4407">
        <v>134.2894</v>
      </c>
      <c r="J4407">
        <v>-383.70269999999999</v>
      </c>
      <c r="K4407">
        <v>1.1096520000000001</v>
      </c>
      <c r="L4407">
        <v>141.5489</v>
      </c>
      <c r="M4407">
        <v>-0.99953099999999995</v>
      </c>
      <c r="N4407">
        <v>-1.6397970000000001E-2</v>
      </c>
      <c r="O4407">
        <v>2.5865780000000001E-2</v>
      </c>
      <c r="P4407">
        <v>-0.98246849999999997</v>
      </c>
      <c r="Q4407">
        <v>5.713704E-2</v>
      </c>
      <c r="R4407">
        <v>-0.17745830000000001</v>
      </c>
      <c r="S4407">
        <v>-2.8938600000000001</v>
      </c>
      <c r="T4407">
        <v>-0.14451159999999999</v>
      </c>
      <c r="U4407">
        <v>-0.94429019999999997</v>
      </c>
      <c r="V4407">
        <v>-0.2027156</v>
      </c>
      <c r="W4407">
        <v>7.3433830000000005E-2</v>
      </c>
      <c r="X4407">
        <v>0.97648040000000003</v>
      </c>
      <c r="Y4407">
        <v>-0.334175099999999</v>
      </c>
      <c r="Z4407">
        <v>-1.178626E-2</v>
      </c>
      <c r="AA4407">
        <v>0.94243730000000003</v>
      </c>
      <c r="AB4407">
        <v>35</v>
      </c>
      <c r="AC4407">
        <v>-21.867999999999899</v>
      </c>
      <c r="AD4407">
        <v>-1.1096574954809999</v>
      </c>
      <c r="AE4407">
        <v>-7.2595000000000001</v>
      </c>
      <c r="AF4407">
        <v>-7.8046779941992401</v>
      </c>
      <c r="AG4407">
        <v>-1.1096574954809999</v>
      </c>
      <c r="AH4407">
        <v>21.622734037782202</v>
      </c>
      <c r="AI4407">
        <v>92.763569227980497</v>
      </c>
      <c r="AJ4407">
        <v>109.846935640418</v>
      </c>
      <c r="AK4407">
        <v>23.014929189964501</v>
      </c>
      <c r="AL4407">
        <v>85.788761037467097</v>
      </c>
      <c r="AM4407">
        <v>101.727916554266</v>
      </c>
      <c r="AN4407">
        <v>1.0000000567279901</v>
      </c>
    </row>
    <row r="4408" spans="1:40" x14ac:dyDescent="0.25">
      <c r="A4408" t="str">
        <f>"20190305135323561"</f>
        <v>20190305135323561</v>
      </c>
      <c r="B4408" t="str">
        <f>"1551765203554931"</f>
        <v>1551765203554931</v>
      </c>
      <c r="C4408" t="s">
        <v>40</v>
      </c>
      <c r="D4408">
        <v>3.9554279999999999</v>
      </c>
      <c r="E4408">
        <v>0.4447547</v>
      </c>
      <c r="F4408" t="s">
        <v>78</v>
      </c>
      <c r="G4408">
        <v>-405.62470000000002</v>
      </c>
      <c r="H4408" s="1">
        <v>-5.5040449999999999E-6</v>
      </c>
      <c r="I4408">
        <v>134.22880000000001</v>
      </c>
      <c r="J4408">
        <v>-384.06009999999998</v>
      </c>
      <c r="K4408">
        <v>1.109796</v>
      </c>
      <c r="L4408">
        <v>141.55860000000001</v>
      </c>
      <c r="M4408">
        <v>-0.99951400000000001</v>
      </c>
      <c r="N4408">
        <v>-1.6841709999999999E-2</v>
      </c>
      <c r="O4408">
        <v>2.623619E-2</v>
      </c>
      <c r="P4408">
        <v>-0.98167260000000001</v>
      </c>
      <c r="Q4408">
        <v>5.8098820000000002E-2</v>
      </c>
      <c r="R4408">
        <v>-0.181504</v>
      </c>
      <c r="S4408">
        <v>-2.8877869999999999</v>
      </c>
      <c r="T4408">
        <v>-0.14617550000000001</v>
      </c>
      <c r="U4408">
        <v>-0.9642792</v>
      </c>
      <c r="V4408">
        <v>-0.2071163</v>
      </c>
      <c r="W4408">
        <v>7.4771489999999996E-2</v>
      </c>
      <c r="X4408">
        <v>0.97545479999999996</v>
      </c>
      <c r="Y4408">
        <v>-0.34095540000000002</v>
      </c>
      <c r="Z4408">
        <v>-1.2209680000000001E-2</v>
      </c>
      <c r="AA4408">
        <v>0.94000019999999995</v>
      </c>
      <c r="AB4408">
        <v>35</v>
      </c>
      <c r="AC4408">
        <v>-21.564599999999999</v>
      </c>
      <c r="AD4408">
        <v>-1.109801504045</v>
      </c>
      <c r="AE4408">
        <v>-7.3297999999999996</v>
      </c>
      <c r="AF4408">
        <v>-7.8744334505517397</v>
      </c>
      <c r="AG4408">
        <v>-1.109801504045</v>
      </c>
      <c r="AH4408">
        <v>21.314236213773999</v>
      </c>
      <c r="AI4408">
        <v>92.796214462452497</v>
      </c>
      <c r="AJ4408">
        <v>110.276487846291</v>
      </c>
      <c r="AK4408">
        <v>22.749396188077199</v>
      </c>
      <c r="AL4408">
        <v>85.711907229264099</v>
      </c>
      <c r="AM4408">
        <v>101.987466133631</v>
      </c>
      <c r="AN4408">
        <v>1.00000000214277</v>
      </c>
    </row>
    <row r="4409" spans="1:40" x14ac:dyDescent="0.25">
      <c r="A4409" t="str">
        <f>"20190305135323583"</f>
        <v>20190305135323583</v>
      </c>
      <c r="B4409" t="str">
        <f>"1551765203574454"</f>
        <v>1551765203574454</v>
      </c>
      <c r="C4409" t="s">
        <v>40</v>
      </c>
      <c r="D4409">
        <v>3.9793400000000001</v>
      </c>
      <c r="E4409">
        <v>0.44532490000000002</v>
      </c>
      <c r="F4409" t="s">
        <v>78</v>
      </c>
      <c r="G4409">
        <v>-407.12540000000001</v>
      </c>
      <c r="H4409" s="1">
        <v>-6.318993E-6</v>
      </c>
      <c r="I4409">
        <v>133.7818</v>
      </c>
      <c r="J4409">
        <v>-384.38529999999997</v>
      </c>
      <c r="K4409">
        <v>1.1099479999999999</v>
      </c>
      <c r="L4409">
        <v>141.56739999999999</v>
      </c>
      <c r="M4409">
        <v>-0.99950159999999999</v>
      </c>
      <c r="N4409">
        <v>-1.7232230000000001E-2</v>
      </c>
      <c r="O4409">
        <v>2.6455969999999999E-2</v>
      </c>
      <c r="P4409">
        <v>-0.98108770000000001</v>
      </c>
      <c r="Q4409">
        <v>5.8727960000000003E-2</v>
      </c>
      <c r="R4409">
        <v>-0.18443989999999999</v>
      </c>
      <c r="S4409">
        <v>-2.88443</v>
      </c>
      <c r="T4409">
        <v>-0.1387862</v>
      </c>
      <c r="U4409">
        <v>-0.97253420000000002</v>
      </c>
      <c r="V4409">
        <v>-0.21026900000000001</v>
      </c>
      <c r="W4409">
        <v>7.5719599999999998E-2</v>
      </c>
      <c r="X4409">
        <v>0.97470690000000004</v>
      </c>
      <c r="Y4409">
        <v>-0.3439469</v>
      </c>
      <c r="Z4409">
        <v>-1.1889479999999999E-2</v>
      </c>
      <c r="AA4409">
        <v>0.93891380000000002</v>
      </c>
      <c r="AB4409">
        <v>35</v>
      </c>
      <c r="AC4409">
        <v>-22.740100000000002</v>
      </c>
      <c r="AD4409">
        <v>-1.1099543189929999</v>
      </c>
      <c r="AE4409">
        <v>-7.7855999999999801</v>
      </c>
      <c r="AF4409">
        <v>-8.3667327502793398</v>
      </c>
      <c r="AG4409">
        <v>-1.1099543189929999</v>
      </c>
      <c r="AH4409">
        <v>22.478197449939699</v>
      </c>
      <c r="AI4409">
        <v>92.649607466428407</v>
      </c>
      <c r="AJ4409">
        <v>110.41604487997699</v>
      </c>
      <c r="AK4409">
        <v>24.0104888768081</v>
      </c>
      <c r="AL4409">
        <v>85.657430186840898</v>
      </c>
      <c r="AM4409">
        <v>102.17359825060301</v>
      </c>
      <c r="AN4409">
        <v>1.0000000255463799</v>
      </c>
    </row>
    <row r="4410" spans="1:40" x14ac:dyDescent="0.25">
      <c r="A4410" t="str">
        <f>"20190305135323605"</f>
        <v>20190305135323605</v>
      </c>
      <c r="B4410" t="str">
        <f>"1551765203594947"</f>
        <v>1551765203594947</v>
      </c>
      <c r="C4410" t="s">
        <v>40</v>
      </c>
      <c r="D4410">
        <v>3.971508</v>
      </c>
      <c r="E4410">
        <v>0.44586740000000002</v>
      </c>
      <c r="F4410" t="s">
        <v>78</v>
      </c>
      <c r="G4410">
        <v>-408.28230000000002</v>
      </c>
      <c r="H4410" s="1">
        <v>-6.9470219999999897E-6</v>
      </c>
      <c r="I4410">
        <v>133.46860000000001</v>
      </c>
      <c r="J4410">
        <v>-384.72640000000001</v>
      </c>
      <c r="K4410">
        <v>1.1101209999999999</v>
      </c>
      <c r="L4410">
        <v>141.57660000000001</v>
      </c>
      <c r="M4410">
        <v>-0.99949209999999999</v>
      </c>
      <c r="N4410">
        <v>-1.764398E-2</v>
      </c>
      <c r="O4410">
        <v>2.6537459999999999E-2</v>
      </c>
      <c r="P4410">
        <v>-0.98057070000000002</v>
      </c>
      <c r="Q4410">
        <v>5.7946869999999998E-2</v>
      </c>
      <c r="R4410">
        <v>-0.18741240000000001</v>
      </c>
      <c r="S4410">
        <v>-2.8822019999999999</v>
      </c>
      <c r="T4410">
        <v>-0.13387109999999999</v>
      </c>
      <c r="U4410">
        <v>-0.97679139999999998</v>
      </c>
      <c r="V4410">
        <v>-0.2133304</v>
      </c>
      <c r="W4410">
        <v>7.5263620000000003E-2</v>
      </c>
      <c r="X4410">
        <v>0.97407670000000002</v>
      </c>
      <c r="Y4410">
        <v>-0.34551279999999901</v>
      </c>
      <c r="Z4410">
        <v>-1.168026E-2</v>
      </c>
      <c r="AA4410">
        <v>0.93834130000000004</v>
      </c>
      <c r="AB4410">
        <v>34</v>
      </c>
      <c r="AC4410">
        <v>-23.555900000000001</v>
      </c>
      <c r="AD4410">
        <v>-1.110127947022</v>
      </c>
      <c r="AE4410">
        <v>-8.1080000000000005</v>
      </c>
      <c r="AF4410">
        <v>-8.7130529368048695</v>
      </c>
      <c r="AG4410">
        <v>-1.110127947022</v>
      </c>
      <c r="AH4410">
        <v>23.2861622293163</v>
      </c>
      <c r="AI4410">
        <v>92.556559664955898</v>
      </c>
      <c r="AJ4410">
        <v>110.514491609684</v>
      </c>
      <c r="AK4410">
        <v>24.887648079084599</v>
      </c>
      <c r="AL4410">
        <v>85.683630331387207</v>
      </c>
      <c r="AM4410">
        <v>102.353183115541</v>
      </c>
      <c r="AN4410">
        <v>0.99999994477127496</v>
      </c>
    </row>
    <row r="4411" spans="1:40" x14ac:dyDescent="0.25">
      <c r="A4411" t="str">
        <f>"20190305135323628"</f>
        <v>20190305135323628</v>
      </c>
      <c r="B4411" t="str">
        <f>"1551765203614467"</f>
        <v>1551765203614467</v>
      </c>
      <c r="C4411" t="s">
        <v>40</v>
      </c>
      <c r="D4411">
        <v>3.9740829999999998</v>
      </c>
      <c r="E4411">
        <v>0.44645869999999999</v>
      </c>
      <c r="F4411" t="s">
        <v>78</v>
      </c>
      <c r="G4411">
        <v>-408.2602</v>
      </c>
      <c r="H4411" s="1">
        <v>-6.9730939999999996E-6</v>
      </c>
      <c r="I4411">
        <v>133.55969999999999</v>
      </c>
      <c r="J4411">
        <v>-385.06599999999997</v>
      </c>
      <c r="K4411">
        <v>1.1103149999999999</v>
      </c>
      <c r="L4411">
        <v>141.5856</v>
      </c>
      <c r="M4411">
        <v>-0.9994883</v>
      </c>
      <c r="N4411">
        <v>-1.8058609999999999E-2</v>
      </c>
      <c r="O4411">
        <v>2.640702E-2</v>
      </c>
      <c r="P4411">
        <v>-0.98017790000000005</v>
      </c>
      <c r="Q4411">
        <v>5.6985460000000002E-2</v>
      </c>
      <c r="R4411">
        <v>-0.1897488</v>
      </c>
      <c r="S4411">
        <v>-2.8799739999999998</v>
      </c>
      <c r="T4411">
        <v>-0.1358531</v>
      </c>
      <c r="U4411">
        <v>-0.98107909999999998</v>
      </c>
      <c r="V4411">
        <v>-0.21555669999999999</v>
      </c>
      <c r="W4411">
        <v>7.4619320000000003E-2</v>
      </c>
      <c r="X4411">
        <v>0.9736361</v>
      </c>
      <c r="Y4411">
        <v>-0.34684530000000002</v>
      </c>
      <c r="Z4411">
        <v>-1.192116E-2</v>
      </c>
      <c r="AA4411">
        <v>0.93784659999999997</v>
      </c>
      <c r="AB4411">
        <v>34</v>
      </c>
      <c r="AC4411">
        <v>-23.194199999999999</v>
      </c>
      <c r="AD4411">
        <v>-1.1103219730939999</v>
      </c>
      <c r="AE4411">
        <v>-8.0259</v>
      </c>
      <c r="AF4411">
        <v>-8.6180524492494595</v>
      </c>
      <c r="AG4411">
        <v>-1.1103219730939999</v>
      </c>
      <c r="AH4411">
        <v>22.927212545926299</v>
      </c>
      <c r="AI4411">
        <v>92.595522618083507</v>
      </c>
      <c r="AJ4411">
        <v>110.60061268934599</v>
      </c>
      <c r="AK4411">
        <v>24.518579037701802</v>
      </c>
      <c r="AL4411">
        <v>85.720650320198004</v>
      </c>
      <c r="AM4411">
        <v>102.483551732143</v>
      </c>
      <c r="AN4411">
        <v>0.99999999452768096</v>
      </c>
    </row>
    <row r="4412" spans="1:40" x14ac:dyDescent="0.25">
      <c r="A4412" t="str">
        <f>"20190305135323652"</f>
        <v>20190305135323652</v>
      </c>
      <c r="B4412" t="str">
        <f>"1551765203644723"</f>
        <v>1551765203644723</v>
      </c>
      <c r="C4412" t="s">
        <v>40</v>
      </c>
      <c r="D4412">
        <v>3.983851</v>
      </c>
      <c r="E4412">
        <v>0.44747969999999998</v>
      </c>
      <c r="F4412" t="s">
        <v>78</v>
      </c>
      <c r="G4412">
        <v>-407.94779999999997</v>
      </c>
      <c r="H4412" s="1">
        <v>-6.870296E-6</v>
      </c>
      <c r="I4412">
        <v>133.76949999999999</v>
      </c>
      <c r="J4412">
        <v>-385.43490000000003</v>
      </c>
      <c r="K4412">
        <v>1.11053</v>
      </c>
      <c r="L4412">
        <v>141.595</v>
      </c>
      <c r="M4412">
        <v>-0.99948970000000004</v>
      </c>
      <c r="N4412">
        <v>-1.84846E-2</v>
      </c>
      <c r="O4412">
        <v>2.605615E-2</v>
      </c>
      <c r="P4412">
        <v>-0.97995339999999997</v>
      </c>
      <c r="Q4412">
        <v>5.5905120000000003E-2</v>
      </c>
      <c r="R4412">
        <v>-0.19122349999999999</v>
      </c>
      <c r="S4412">
        <v>-2.878479</v>
      </c>
      <c r="T4412">
        <v>-0.1396761</v>
      </c>
      <c r="U4412">
        <v>-0.98324579999999995</v>
      </c>
      <c r="V4412">
        <v>-0.2167142</v>
      </c>
      <c r="W4412">
        <v>7.3858969999999996E-2</v>
      </c>
      <c r="X4412">
        <v>0.97343710000000006</v>
      </c>
      <c r="Y4412">
        <v>-0.34726849999999998</v>
      </c>
      <c r="Z4412">
        <v>-1.2251720000000001E-2</v>
      </c>
      <c r="AA4412">
        <v>0.93768569999999996</v>
      </c>
      <c r="AB4412">
        <v>34</v>
      </c>
      <c r="AC4412">
        <v>-22.512899999999899</v>
      </c>
      <c r="AD4412">
        <v>-1.1105368702959999</v>
      </c>
      <c r="AE4412">
        <v>-7.8254999999999999</v>
      </c>
      <c r="AF4412">
        <v>-8.3913240753329905</v>
      </c>
      <c r="AG4412">
        <v>-1.1105368702959999</v>
      </c>
      <c r="AH4412">
        <v>22.2530047853502</v>
      </c>
      <c r="AI4412">
        <v>92.673508138038301</v>
      </c>
      <c r="AJ4412">
        <v>110.66081908772099</v>
      </c>
      <c r="AK4412">
        <v>23.808482392928099</v>
      </c>
      <c r="AL4412">
        <v>85.764335698667097</v>
      </c>
      <c r="AM4412">
        <v>102.550952395786</v>
      </c>
      <c r="AN4412">
        <v>0.99999998979375504</v>
      </c>
    </row>
    <row r="4413" spans="1:40" x14ac:dyDescent="0.25">
      <c r="A4413" t="str">
        <f>"20190305135323673"</f>
        <v>20190305135323673</v>
      </c>
      <c r="B4413" t="str">
        <f>"1551765203664243"</f>
        <v>1551765203664243</v>
      </c>
      <c r="C4413" t="s">
        <v>40</v>
      </c>
      <c r="D4413">
        <v>4.0067130000000004</v>
      </c>
      <c r="E4413">
        <v>0.44793880000000003</v>
      </c>
      <c r="F4413" t="s">
        <v>78</v>
      </c>
      <c r="G4413">
        <v>-407.70460000000003</v>
      </c>
      <c r="H4413" s="1">
        <v>-6.8249499999999998E-6</v>
      </c>
      <c r="I4413">
        <v>134.01920000000001</v>
      </c>
      <c r="J4413">
        <v>-385.7466</v>
      </c>
      <c r="K4413">
        <v>1.110711</v>
      </c>
      <c r="L4413">
        <v>141.6027</v>
      </c>
      <c r="M4413">
        <v>-0.99949589999999999</v>
      </c>
      <c r="N4413">
        <v>-1.8820110000000001E-2</v>
      </c>
      <c r="O4413">
        <v>2.557191E-2</v>
      </c>
      <c r="P4413">
        <v>-0.97937459999999998</v>
      </c>
      <c r="Q4413">
        <v>5.602559E-2</v>
      </c>
      <c r="R4413">
        <v>-0.1941311</v>
      </c>
      <c r="S4413">
        <v>-2.878479</v>
      </c>
      <c r="T4413">
        <v>-0.143543</v>
      </c>
      <c r="U4413">
        <v>-0.97921749999999996</v>
      </c>
      <c r="V4413">
        <v>-0.2191623</v>
      </c>
      <c r="W4413">
        <v>7.4211810000000003E-2</v>
      </c>
      <c r="X4413">
        <v>0.972862</v>
      </c>
      <c r="Y4413">
        <v>-0.34561249999999999</v>
      </c>
      <c r="Z4413">
        <v>-1.249423E-2</v>
      </c>
      <c r="AA4413">
        <v>0.93829419999999997</v>
      </c>
      <c r="AB4413">
        <v>34</v>
      </c>
      <c r="AC4413">
        <v>-21.957999999999998</v>
      </c>
      <c r="AD4413">
        <v>-1.11071782495</v>
      </c>
      <c r="AE4413">
        <v>-7.5834999999999804</v>
      </c>
      <c r="AF4413">
        <v>-8.1240546755945697</v>
      </c>
      <c r="AG4413">
        <v>-1.11071782495</v>
      </c>
      <c r="AH4413">
        <v>21.707234250985</v>
      </c>
      <c r="AI4413">
        <v>92.743623520732896</v>
      </c>
      <c r="AJ4413">
        <v>110.518645045798</v>
      </c>
      <c r="AK4413">
        <v>23.204266359569399</v>
      </c>
      <c r="AL4413">
        <v>85.744063817278601</v>
      </c>
      <c r="AM4413">
        <v>102.695425284446</v>
      </c>
      <c r="AN4413">
        <v>0.99999998876438301</v>
      </c>
    </row>
    <row r="4414" spans="1:40" x14ac:dyDescent="0.25">
      <c r="A4414" t="str">
        <f>"20190305135323706"</f>
        <v>20190305135323706</v>
      </c>
      <c r="B4414" t="str">
        <f>"1551765203694499"</f>
        <v>1551765203694499</v>
      </c>
      <c r="C4414" t="s">
        <v>40</v>
      </c>
      <c r="D4414">
        <v>4.0492970000000001</v>
      </c>
      <c r="E4414">
        <v>0.44827630000000002</v>
      </c>
      <c r="F4414" t="s">
        <v>78</v>
      </c>
      <c r="G4414">
        <v>-407.8913</v>
      </c>
      <c r="H4414" s="1">
        <v>-6.9490419999999998E-6</v>
      </c>
      <c r="I4414">
        <v>134.0301</v>
      </c>
      <c r="J4414">
        <v>-386.23390000000001</v>
      </c>
      <c r="K4414">
        <v>1.11104</v>
      </c>
      <c r="L4414">
        <v>141.61410000000001</v>
      </c>
      <c r="M4414">
        <v>-0.9995155</v>
      </c>
      <c r="N4414">
        <v>-1.930927E-2</v>
      </c>
      <c r="O4414">
        <v>2.4414080000000001E-2</v>
      </c>
      <c r="P4414">
        <v>-0.97854189999999996</v>
      </c>
      <c r="Q4414">
        <v>5.5546430000000001E-2</v>
      </c>
      <c r="R4414">
        <v>-0.1984205</v>
      </c>
      <c r="S4414">
        <v>-2.876465</v>
      </c>
      <c r="T4414">
        <v>-0.14427570000000001</v>
      </c>
      <c r="U4414">
        <v>-0.98364260000000003</v>
      </c>
      <c r="V4414">
        <v>-0.22235279999999999</v>
      </c>
      <c r="W4414">
        <v>7.404107E-2</v>
      </c>
      <c r="X4414">
        <v>0.97215079999999998</v>
      </c>
      <c r="Y4414">
        <v>-0.34600979999999998</v>
      </c>
      <c r="Z4414">
        <v>-1.260199E-2</v>
      </c>
      <c r="AA4414">
        <v>0.93814629999999999</v>
      </c>
      <c r="AB4414">
        <v>34</v>
      </c>
      <c r="AC4414">
        <v>-21.657399999999999</v>
      </c>
      <c r="AD4414">
        <v>-1.1110469490420001</v>
      </c>
      <c r="AE4414">
        <v>-7.5839999999999996</v>
      </c>
      <c r="AF4414">
        <v>-8.0916133362680291</v>
      </c>
      <c r="AG4414">
        <v>-1.1110469490420001</v>
      </c>
      <c r="AH4414">
        <v>21.415546416974198</v>
      </c>
      <c r="AI4414">
        <v>92.778480873170594</v>
      </c>
      <c r="AJ4414">
        <v>110.69848451876599</v>
      </c>
      <c r="AK4414">
        <v>22.920171466291901</v>
      </c>
      <c r="AL4414">
        <v>85.753873589020003</v>
      </c>
      <c r="AM4414">
        <v>102.883229443419</v>
      </c>
      <c r="AN4414">
        <v>1.0000000128276101</v>
      </c>
    </row>
    <row r="4415" spans="1:40" x14ac:dyDescent="0.25">
      <c r="A4415" t="str">
        <f>"20190305135323728"</f>
        <v>20190305135323728</v>
      </c>
      <c r="B4415" t="str">
        <f>"1551765203724755"</f>
        <v>1551765203724755</v>
      </c>
      <c r="C4415" t="s">
        <v>40</v>
      </c>
      <c r="D4415">
        <v>4.0694540000000003</v>
      </c>
      <c r="E4415">
        <v>0.4486</v>
      </c>
      <c r="F4415" t="s">
        <v>78</v>
      </c>
      <c r="G4415">
        <v>-407.9008</v>
      </c>
      <c r="H4415" s="1">
        <v>-6.9952740000000003E-6</v>
      </c>
      <c r="I4415">
        <v>134.1224</v>
      </c>
      <c r="J4415">
        <v>-386.56560000000002</v>
      </c>
      <c r="K4415">
        <v>1.1112919999999999</v>
      </c>
      <c r="L4415">
        <v>141.62110000000001</v>
      </c>
      <c r="M4415">
        <v>-0.9995368</v>
      </c>
      <c r="N4415">
        <v>-1.9606470000000001E-2</v>
      </c>
      <c r="O4415">
        <v>2.3274E-2</v>
      </c>
      <c r="P4415">
        <v>-0.97776220000000003</v>
      </c>
      <c r="Q4415">
        <v>5.5313710000000002E-2</v>
      </c>
      <c r="R4415">
        <v>-0.20229040000000001</v>
      </c>
      <c r="S4415">
        <v>-2.8727420000000001</v>
      </c>
      <c r="T4415">
        <v>-0.14731029999999901</v>
      </c>
      <c r="U4415">
        <v>-0.9933014</v>
      </c>
      <c r="V4415">
        <v>-0.2251341</v>
      </c>
      <c r="W4415">
        <v>7.395881E-2</v>
      </c>
      <c r="X4415">
        <v>0.97151670000000001</v>
      </c>
      <c r="Y4415">
        <v>-0.34810489999999999</v>
      </c>
      <c r="Z4415">
        <v>-1.289733E-2</v>
      </c>
      <c r="AA4415">
        <v>0.9373669</v>
      </c>
      <c r="AB4415">
        <v>33</v>
      </c>
      <c r="AC4415">
        <v>-21.335199999999901</v>
      </c>
      <c r="AD4415">
        <v>-1.111298995274</v>
      </c>
      <c r="AE4415">
        <v>-7.4987000000000101</v>
      </c>
      <c r="AF4415">
        <v>-7.9740630840560396</v>
      </c>
      <c r="AG4415">
        <v>-1.111298995274</v>
      </c>
      <c r="AH4415">
        <v>21.103898355417801</v>
      </c>
      <c r="AI4415">
        <v>92.820075518110997</v>
      </c>
      <c r="AJ4415">
        <v>110.698965175672</v>
      </c>
      <c r="AK4415">
        <v>22.5875008206133</v>
      </c>
      <c r="AL4415">
        <v>85.758599572862394</v>
      </c>
      <c r="AM4415">
        <v>103.047124302911</v>
      </c>
      <c r="AN4415">
        <v>0.99999998346915797</v>
      </c>
    </row>
    <row r="4416" spans="1:40" x14ac:dyDescent="0.25">
      <c r="A4416" t="str">
        <f>"20190305135323752"</f>
        <v>20190305135323752</v>
      </c>
      <c r="B4416" t="str">
        <f>"1551765203744275"</f>
        <v>1551765203744275</v>
      </c>
      <c r="C4416" t="s">
        <v>40</v>
      </c>
      <c r="D4416">
        <v>4.1073959999999996</v>
      </c>
      <c r="E4416">
        <v>0.44876949999999999</v>
      </c>
      <c r="F4416" t="s">
        <v>78</v>
      </c>
      <c r="G4416">
        <v>-407.78309999999999</v>
      </c>
      <c r="H4416" s="1">
        <v>-6.9610809999999998E-6</v>
      </c>
      <c r="I4416">
        <v>134.21170000000001</v>
      </c>
      <c r="J4416">
        <v>-386.91269999999997</v>
      </c>
      <c r="K4416">
        <v>1.1115459999999999</v>
      </c>
      <c r="L4416">
        <v>141.6276</v>
      </c>
      <c r="M4416">
        <v>-0.9995638</v>
      </c>
      <c r="N4416">
        <v>-1.9898249999999999E-2</v>
      </c>
      <c r="O4416">
        <v>2.1828920000000002E-2</v>
      </c>
      <c r="P4416">
        <v>-0.97673180000000004</v>
      </c>
      <c r="Q4416">
        <v>5.4273259999999997E-2</v>
      </c>
      <c r="R4416">
        <v>-0.20748430000000001</v>
      </c>
      <c r="S4416">
        <v>-2.869415</v>
      </c>
      <c r="T4416">
        <v>-0.1502897</v>
      </c>
      <c r="U4416">
        <v>-1.0020290000000001</v>
      </c>
      <c r="V4416">
        <v>-0.22893769999999999</v>
      </c>
      <c r="W4416">
        <v>7.3050050000000005E-2</v>
      </c>
      <c r="X4416">
        <v>0.97069629999999996</v>
      </c>
      <c r="Y4416">
        <v>-0.34960289999999999</v>
      </c>
      <c r="Z4416">
        <v>-1.315759E-2</v>
      </c>
      <c r="AA4416">
        <v>0.93680560000000002</v>
      </c>
      <c r="AB4416">
        <v>33</v>
      </c>
      <c r="AC4416">
        <v>-20.8704</v>
      </c>
      <c r="AD4416">
        <v>-1.111552961081</v>
      </c>
      <c r="AE4416">
        <v>-7.4158999999999899</v>
      </c>
      <c r="AF4416">
        <v>-7.8500295778084999</v>
      </c>
      <c r="AG4416">
        <v>-1.111552961081</v>
      </c>
      <c r="AH4416">
        <v>20.651498951951002</v>
      </c>
      <c r="AI4416">
        <v>92.880242571962896</v>
      </c>
      <c r="AJ4416">
        <v>110.812754590745</v>
      </c>
      <c r="AK4416">
        <v>22.121096792885101</v>
      </c>
      <c r="AL4416">
        <v>85.810809172327694</v>
      </c>
      <c r="AM4416">
        <v>103.270637915634</v>
      </c>
      <c r="AN4416">
        <v>1.0000000435599901</v>
      </c>
    </row>
    <row r="4417" spans="1:40" x14ac:dyDescent="0.25">
      <c r="A4417" t="str">
        <f>"20190305135323773"</f>
        <v>20190305135323773</v>
      </c>
      <c r="B4417" t="str">
        <f>"1551765203764771"</f>
        <v>1551765203764771</v>
      </c>
      <c r="C4417" t="s">
        <v>40</v>
      </c>
      <c r="D4417">
        <v>4.1039919999999999</v>
      </c>
      <c r="E4417">
        <v>0.44889410000000002</v>
      </c>
      <c r="F4417" t="s">
        <v>78</v>
      </c>
      <c r="G4417">
        <v>-407.4171</v>
      </c>
      <c r="H4417" s="1">
        <v>-6.7870319999999996E-6</v>
      </c>
      <c r="I4417">
        <v>134.3579</v>
      </c>
      <c r="J4417">
        <v>-387.22890000000001</v>
      </c>
      <c r="K4417">
        <v>1.111775</v>
      </c>
      <c r="L4417">
        <v>141.63290000000001</v>
      </c>
      <c r="M4417">
        <v>-0.99959180000000003</v>
      </c>
      <c r="N4417">
        <v>-2.0145550000000002E-2</v>
      </c>
      <c r="O4417">
        <v>2.0262789999999999E-2</v>
      </c>
      <c r="P4417">
        <v>-0.97543429999999998</v>
      </c>
      <c r="Q4417">
        <v>5.4071510000000003E-2</v>
      </c>
      <c r="R4417">
        <v>-0.2135523</v>
      </c>
      <c r="S4417">
        <v>-2.8643800000000001</v>
      </c>
      <c r="T4417">
        <v>-0.1552789</v>
      </c>
      <c r="U4417">
        <v>-1.015549</v>
      </c>
      <c r="V4417">
        <v>-0.23349159999999999</v>
      </c>
      <c r="W4417">
        <v>7.293782E-2</v>
      </c>
      <c r="X4417">
        <v>0.96961940000000002</v>
      </c>
      <c r="Y4417">
        <v>-0.35253620000000002</v>
      </c>
      <c r="Z4417">
        <v>-1.3596759999999999E-2</v>
      </c>
      <c r="AA4417">
        <v>0.93569939999999996</v>
      </c>
      <c r="AB4417">
        <v>33</v>
      </c>
      <c r="AC4417">
        <v>-20.188199999999899</v>
      </c>
      <c r="AD4417">
        <v>-1.1117817870319999</v>
      </c>
      <c r="AE4417">
        <v>-7.2750000000000004</v>
      </c>
      <c r="AF4417">
        <v>-7.66209118674045</v>
      </c>
      <c r="AG4417">
        <v>-1.1117817870319999</v>
      </c>
      <c r="AH4417">
        <v>19.982972839328799</v>
      </c>
      <c r="AI4417">
        <v>92.973764046132302</v>
      </c>
      <c r="AJ4417">
        <v>110.978372034825</v>
      </c>
      <c r="AK4417">
        <v>21.430420051722098</v>
      </c>
      <c r="AL4417">
        <v>85.817256564954207</v>
      </c>
      <c r="AM4417">
        <v>103.53947047684299</v>
      </c>
      <c r="AN4417">
        <v>1.0000000168566301</v>
      </c>
    </row>
    <row r="4418" spans="1:40" x14ac:dyDescent="0.25">
      <c r="A4418" t="str">
        <f>"20190305135323795"</f>
        <v>20190305135323795</v>
      </c>
      <c r="B4418" t="str">
        <f>"1551765203784291"</f>
        <v>1551765203784291</v>
      </c>
      <c r="C4418" t="s">
        <v>40</v>
      </c>
      <c r="D4418">
        <v>4.2556479999999999</v>
      </c>
      <c r="E4418">
        <v>0.44871640000000002</v>
      </c>
      <c r="F4418" t="s">
        <v>78</v>
      </c>
      <c r="G4418">
        <v>-407.41030000000001</v>
      </c>
      <c r="H4418" s="1">
        <v>-6.7772559999999999E-6</v>
      </c>
      <c r="I4418">
        <v>134.34700000000001</v>
      </c>
      <c r="J4418">
        <v>-387.54109999999997</v>
      </c>
      <c r="K4418">
        <v>1.1120099999999999</v>
      </c>
      <c r="L4418">
        <v>141.63740000000001</v>
      </c>
      <c r="M4418">
        <v>-0.99962169999999895</v>
      </c>
      <c r="N4418">
        <v>-2.0385879999999999E-2</v>
      </c>
      <c r="O4418">
        <v>1.8466449999999999E-2</v>
      </c>
      <c r="P4418">
        <v>-0.97384709999999997</v>
      </c>
      <c r="Q4418">
        <v>5.6632660000000001E-2</v>
      </c>
      <c r="R4418">
        <v>-0.2200338</v>
      </c>
      <c r="S4418">
        <v>-2.8583980000000002</v>
      </c>
      <c r="T4418">
        <v>-0.157468</v>
      </c>
      <c r="U4418">
        <v>-1.031952</v>
      </c>
      <c r="V4418">
        <v>-0.23824300000000001</v>
      </c>
      <c r="W4418">
        <v>7.5572680000000003E-2</v>
      </c>
      <c r="X4418">
        <v>0.96826080000000003</v>
      </c>
      <c r="Y4418">
        <v>-0.35620249999999998</v>
      </c>
      <c r="Z4418">
        <v>-1.3872020000000001E-2</v>
      </c>
      <c r="AA4418">
        <v>0.93430579999999996</v>
      </c>
      <c r="AB4418">
        <v>33</v>
      </c>
      <c r="AC4418">
        <v>-19.869199999999999</v>
      </c>
      <c r="AD4418">
        <v>-1.1120167772559999</v>
      </c>
      <c r="AE4418">
        <v>-7.2904</v>
      </c>
      <c r="AF4418">
        <v>-7.6350685850064401</v>
      </c>
      <c r="AG4418">
        <v>-1.1120167772559999</v>
      </c>
      <c r="AH4418">
        <v>19.676834337032901</v>
      </c>
      <c r="AI4418">
        <v>93.015937641024706</v>
      </c>
      <c r="AJ4418">
        <v>111.207409362607</v>
      </c>
      <c r="AK4418">
        <v>21.1354835084908</v>
      </c>
      <c r="AL4418">
        <v>85.665872016839202</v>
      </c>
      <c r="AM4418">
        <v>103.82317640490901</v>
      </c>
      <c r="AN4418">
        <v>0.99999996691401005</v>
      </c>
    </row>
    <row r="4419" spans="1:40" x14ac:dyDescent="0.25">
      <c r="A4419" t="str">
        <f>"20190305135323818"</f>
        <v>20190305135323818</v>
      </c>
      <c r="B4419" t="str">
        <f>"1551765203814547"</f>
        <v>1551765203814547</v>
      </c>
      <c r="C4419" t="s">
        <v>40</v>
      </c>
      <c r="D4419">
        <v>4.1362949999999996</v>
      </c>
      <c r="E4419">
        <v>0.38480170000000002</v>
      </c>
      <c r="F4419" t="s">
        <v>78</v>
      </c>
      <c r="G4419">
        <v>-408.48790000000002</v>
      </c>
      <c r="H4419" s="1">
        <v>-7.2669239999999996E-6</v>
      </c>
      <c r="I4419">
        <v>133.90770000000001</v>
      </c>
      <c r="J4419">
        <v>-387.87110000000001</v>
      </c>
      <c r="K4419">
        <v>1.112274</v>
      </c>
      <c r="L4419">
        <v>141.6413</v>
      </c>
      <c r="M4419">
        <v>-0.99965389999999998</v>
      </c>
      <c r="N4419">
        <v>-2.0653649999999999E-2</v>
      </c>
      <c r="O4419">
        <v>1.6300149999999999E-2</v>
      </c>
      <c r="P4419">
        <v>-0.97226500000000005</v>
      </c>
      <c r="Q4419">
        <v>5.9311000000000003E-2</v>
      </c>
      <c r="R4419">
        <v>-0.22623699999999999</v>
      </c>
      <c r="S4419">
        <v>-2.8515929999999998</v>
      </c>
      <c r="T4419">
        <v>-0.15138509999999999</v>
      </c>
      <c r="U4419">
        <v>-1.052292</v>
      </c>
      <c r="V4419">
        <v>-0.2423699</v>
      </c>
      <c r="W4419">
        <v>7.8342969999999998E-2</v>
      </c>
      <c r="X4419">
        <v>0.96701559999999998</v>
      </c>
      <c r="Y4419">
        <v>-0.36079919999999999</v>
      </c>
      <c r="Z4419">
        <v>-1.3626269999999999E-2</v>
      </c>
      <c r="AA4419">
        <v>0.93254400000000004</v>
      </c>
      <c r="AB4419">
        <v>33</v>
      </c>
      <c r="AC4419">
        <v>-20.616800000000001</v>
      </c>
      <c r="AD4419">
        <v>-1.1122812669239901</v>
      </c>
      <c r="AE4419">
        <v>-7.7335999999999903</v>
      </c>
      <c r="AF4419">
        <v>-8.0481650357174992</v>
      </c>
      <c r="AG4419">
        <v>-1.1122812669239901</v>
      </c>
      <c r="AH4419">
        <v>20.4358300462786</v>
      </c>
      <c r="AI4419">
        <v>92.899108704102503</v>
      </c>
      <c r="AJ4419">
        <v>111.495819221</v>
      </c>
      <c r="AK4419">
        <v>21.991663869277399</v>
      </c>
      <c r="AL4419">
        <v>85.506673967496198</v>
      </c>
      <c r="AM4419">
        <v>104.070589437767</v>
      </c>
      <c r="AN4419">
        <v>0.99999998000889501</v>
      </c>
    </row>
    <row r="4420" spans="1:40" x14ac:dyDescent="0.25">
      <c r="A4420" t="str">
        <f>"20190305135323840"</f>
        <v>20190305135323840</v>
      </c>
      <c r="B4420" t="str">
        <f>"1551765203834067"</f>
        <v>1551765203834067</v>
      </c>
      <c r="C4420" t="s">
        <v>40</v>
      </c>
      <c r="D4420">
        <v>4.1102679999999996</v>
      </c>
      <c r="E4420">
        <v>0.38711679999999998</v>
      </c>
      <c r="F4420" t="s">
        <v>41</v>
      </c>
      <c r="G4420">
        <v>-388.7054</v>
      </c>
      <c r="H4420">
        <v>1.058389</v>
      </c>
      <c r="I4420">
        <v>141.16309999999999</v>
      </c>
      <c r="J4420">
        <v>-388.19470000000001</v>
      </c>
      <c r="K4420">
        <v>1.112528</v>
      </c>
      <c r="L4420">
        <v>141.64410000000001</v>
      </c>
      <c r="M4420">
        <v>-0.99968330000000005</v>
      </c>
      <c r="N4420">
        <v>-2.0967110000000001E-2</v>
      </c>
      <c r="O4420">
        <v>1.3924890000000001E-2</v>
      </c>
      <c r="P4420">
        <v>-0.97097500000000003</v>
      </c>
      <c r="Q4420">
        <v>5.8399390000000002E-2</v>
      </c>
      <c r="R4420">
        <v>-0.2319425</v>
      </c>
      <c r="S4420">
        <v>-2.7318730000000002</v>
      </c>
      <c r="T4420">
        <v>-0.17645229999999901</v>
      </c>
      <c r="U4420">
        <v>-1.5662689999999999</v>
      </c>
      <c r="V4420">
        <v>-0.24579309999999999</v>
      </c>
      <c r="W4420">
        <v>7.7577110000000005E-2</v>
      </c>
      <c r="X4420">
        <v>0.96621299999999999</v>
      </c>
      <c r="Y4420">
        <v>-0.50828079999999998</v>
      </c>
      <c r="Z4420">
        <v>-2.1515820000000001E-2</v>
      </c>
      <c r="AA4420">
        <v>0.86092259999999998</v>
      </c>
      <c r="AB4420">
        <v>32</v>
      </c>
      <c r="AC4420">
        <v>-0.51069999999998505</v>
      </c>
      <c r="AD4420">
        <v>-5.4138999999999902E-2</v>
      </c>
      <c r="AE4420">
        <v>-0.48100000000002302</v>
      </c>
      <c r="AF4420">
        <v>-0.48517699439898598</v>
      </c>
      <c r="AG4420">
        <v>-5.4138999999999902E-2</v>
      </c>
      <c r="AH4420">
        <v>0.50096772737451101</v>
      </c>
      <c r="AI4420">
        <v>94.438961667213405</v>
      </c>
      <c r="AJ4420">
        <v>134.082624466179</v>
      </c>
      <c r="AK4420">
        <v>0.69949725595302803</v>
      </c>
      <c r="AL4420">
        <v>85.550688601856095</v>
      </c>
      <c r="AM4420">
        <v>104.27262887853099</v>
      </c>
      <c r="AN4420">
        <v>1.0000000086862799</v>
      </c>
    </row>
    <row r="4421" spans="1:40" x14ac:dyDescent="0.25">
      <c r="A4421" t="str">
        <f>"20190305135323862"</f>
        <v>20190305135323862</v>
      </c>
      <c r="B4421" t="str">
        <f>"1551765203854567"</f>
        <v>1551765203854567</v>
      </c>
      <c r="C4421" t="s">
        <v>40</v>
      </c>
      <c r="D4421">
        <v>4.1056949999999999</v>
      </c>
      <c r="E4421">
        <v>0.38876699999999997</v>
      </c>
      <c r="F4421" t="s">
        <v>41</v>
      </c>
      <c r="G4421">
        <v>-389.02530000000002</v>
      </c>
      <c r="H4421">
        <v>1.0630869999999999</v>
      </c>
      <c r="I4421">
        <v>141.16720000000001</v>
      </c>
      <c r="J4421">
        <v>-388.51179999999999</v>
      </c>
      <c r="K4421">
        <v>1.112784</v>
      </c>
      <c r="L4421">
        <v>141.64580000000001</v>
      </c>
      <c r="M4421">
        <v>-0.99970820000000005</v>
      </c>
      <c r="N4421">
        <v>-2.1332190000000001E-2</v>
      </c>
      <c r="O4421">
        <v>1.1349100000000001E-2</v>
      </c>
      <c r="P4421">
        <v>-0.96957280000000001</v>
      </c>
      <c r="Q4421">
        <v>5.6146069999999999E-2</v>
      </c>
      <c r="R4421">
        <v>-0.23827809999999999</v>
      </c>
      <c r="S4421">
        <v>-2.725616</v>
      </c>
      <c r="T4421">
        <v>-0.16224479999999999</v>
      </c>
      <c r="U4421">
        <v>-1.5649869999999999</v>
      </c>
      <c r="V4421">
        <v>-0.24964739999999999</v>
      </c>
      <c r="W4421">
        <v>7.5517039999999994E-2</v>
      </c>
      <c r="X4421">
        <v>0.96538769999999996</v>
      </c>
      <c r="Y4421">
        <v>-0.50675769999999998</v>
      </c>
      <c r="Z4421">
        <v>-2.019845E-2</v>
      </c>
      <c r="AA4421">
        <v>0.86185179999999995</v>
      </c>
      <c r="AB4421">
        <v>32</v>
      </c>
      <c r="AC4421">
        <v>-0.51350000000002105</v>
      </c>
      <c r="AD4421">
        <v>-4.9696999999999797E-2</v>
      </c>
      <c r="AE4421">
        <v>-0.47860000000000003</v>
      </c>
      <c r="AF4421">
        <v>-0.48198238124271903</v>
      </c>
      <c r="AG4421">
        <v>-4.9696999999999797E-2</v>
      </c>
      <c r="AH4421">
        <v>0.50550024961610796</v>
      </c>
      <c r="AI4421">
        <v>94.069901547726104</v>
      </c>
      <c r="AJ4421">
        <v>133.63570266197101</v>
      </c>
      <c r="AK4421">
        <v>0.700219472736477</v>
      </c>
      <c r="AL4421">
        <v>85.669069361565505</v>
      </c>
      <c r="AM4421">
        <v>104.49895221936001</v>
      </c>
      <c r="AN4421">
        <v>1.0000000294842</v>
      </c>
    </row>
    <row r="4422" spans="1:40" x14ac:dyDescent="0.25">
      <c r="A4422" t="str">
        <f>"20190305135323883"</f>
        <v>20190305135323883</v>
      </c>
      <c r="B4422" t="str">
        <f>"1551765203874083"</f>
        <v>1551765203874083</v>
      </c>
      <c r="C4422" t="s">
        <v>40</v>
      </c>
      <c r="D4422">
        <v>4.1356320000000002</v>
      </c>
      <c r="E4422">
        <v>0.38958749999999998</v>
      </c>
      <c r="F4422" t="s">
        <v>41</v>
      </c>
      <c r="G4422">
        <v>-389.33539999999999</v>
      </c>
      <c r="H4422">
        <v>1.062694</v>
      </c>
      <c r="I4422">
        <v>141.16999999999999</v>
      </c>
      <c r="J4422">
        <v>-388.81509999999997</v>
      </c>
      <c r="K4422">
        <v>1.1130469999999999</v>
      </c>
      <c r="L4422">
        <v>141.6463</v>
      </c>
      <c r="M4422">
        <v>-0.99972669999999997</v>
      </c>
      <c r="N4422">
        <v>-2.1722129999999999E-2</v>
      </c>
      <c r="O4422">
        <v>8.6509819999999998E-3</v>
      </c>
      <c r="P4422">
        <v>-0.96777029999999997</v>
      </c>
      <c r="Q4422">
        <v>5.559418E-2</v>
      </c>
      <c r="R4422">
        <v>-0.2456218</v>
      </c>
      <c r="S4422">
        <v>-2.7178650000000002</v>
      </c>
      <c r="T4422">
        <v>-0.1652777</v>
      </c>
      <c r="U4422">
        <v>-1.57019</v>
      </c>
      <c r="V4422">
        <v>-0.25439980000000001</v>
      </c>
      <c r="W4422">
        <v>7.5171370000000001E-2</v>
      </c>
      <c r="X4422">
        <v>0.96417319999999995</v>
      </c>
      <c r="Y4422">
        <v>-0.50669259999999905</v>
      </c>
      <c r="Z4422">
        <v>-2.050747E-2</v>
      </c>
      <c r="AA4422">
        <v>0.86188279999999995</v>
      </c>
      <c r="AB4422">
        <v>32</v>
      </c>
      <c r="AC4422">
        <v>-0.52030000000001997</v>
      </c>
      <c r="AD4422">
        <v>-5.0352999999999801E-2</v>
      </c>
      <c r="AE4422">
        <v>-0.47630000000000899</v>
      </c>
      <c r="AF4422">
        <v>-0.47834688358252703</v>
      </c>
      <c r="AG4422">
        <v>-5.0352999999999801E-2</v>
      </c>
      <c r="AH4422">
        <v>0.51354229273560004</v>
      </c>
      <c r="AI4422">
        <v>94.103770459469899</v>
      </c>
      <c r="AJ4422">
        <v>132.967814578011</v>
      </c>
      <c r="AK4422">
        <v>0.70361697824189295</v>
      </c>
      <c r="AL4422">
        <v>85.688931019409793</v>
      </c>
      <c r="AM4422">
        <v>104.780792985029</v>
      </c>
      <c r="AN4422">
        <v>0.99999997635297799</v>
      </c>
    </row>
    <row r="4423" spans="1:40" x14ac:dyDescent="0.25">
      <c r="A4423" t="str">
        <f>"20190305135323907"</f>
        <v>20190305135323907</v>
      </c>
      <c r="B4423" t="str">
        <f>"1551765203894579"</f>
        <v>1551765203894579</v>
      </c>
      <c r="C4423" t="s">
        <v>40</v>
      </c>
      <c r="D4423">
        <v>4.178337</v>
      </c>
      <c r="E4423">
        <v>0.38983849999999998</v>
      </c>
      <c r="F4423" t="s">
        <v>41</v>
      </c>
      <c r="G4423">
        <v>-389.62209999999999</v>
      </c>
      <c r="H4423">
        <v>1.0627070000000001</v>
      </c>
      <c r="I4423">
        <v>141.17420000000001</v>
      </c>
      <c r="J4423">
        <v>-389.13420000000002</v>
      </c>
      <c r="K4423">
        <v>1.113318</v>
      </c>
      <c r="L4423">
        <v>141.64570000000001</v>
      </c>
      <c r="M4423">
        <v>-0.99973909999999999</v>
      </c>
      <c r="N4423">
        <v>-2.2155029999999999E-2</v>
      </c>
      <c r="O4423">
        <v>5.5583059999999998E-3</v>
      </c>
      <c r="P4423">
        <v>-0.96612129999999996</v>
      </c>
      <c r="Q4423">
        <v>5.5142610000000002E-2</v>
      </c>
      <c r="R4423">
        <v>-0.25212960000000001</v>
      </c>
      <c r="S4423">
        <v>-2.7074579999999999</v>
      </c>
      <c r="T4423">
        <v>-0.16888049999999999</v>
      </c>
      <c r="U4423">
        <v>-1.58432</v>
      </c>
      <c r="V4423">
        <v>-0.2579476</v>
      </c>
      <c r="W4423">
        <v>7.4969770000000005E-2</v>
      </c>
      <c r="X4423">
        <v>0.96324589999999999</v>
      </c>
      <c r="Y4423">
        <v>-0.50876729999999903</v>
      </c>
      <c r="Z4423">
        <v>-2.0953900000000001E-2</v>
      </c>
      <c r="AA4423">
        <v>0.860649</v>
      </c>
      <c r="AB4423">
        <v>32</v>
      </c>
      <c r="AC4423">
        <v>-0.48789999999996703</v>
      </c>
      <c r="AD4423">
        <v>-5.0610999999999899E-2</v>
      </c>
      <c r="AE4423">
        <v>-0.47149999999999098</v>
      </c>
      <c r="AF4423">
        <v>-0.47158135888097402</v>
      </c>
      <c r="AG4423">
        <v>-5.0610999999999899E-2</v>
      </c>
      <c r="AH4423">
        <v>0.48258592711077503</v>
      </c>
      <c r="AI4423">
        <v>94.289598566285406</v>
      </c>
      <c r="AJ4423">
        <v>134.339227648384</v>
      </c>
      <c r="AK4423">
        <v>0.67663847689175405</v>
      </c>
      <c r="AL4423">
        <v>85.700514840612101</v>
      </c>
      <c r="AM4423">
        <v>104.99148851605101</v>
      </c>
      <c r="AN4423">
        <v>1.00000004731321</v>
      </c>
    </row>
    <row r="4424" spans="1:40" x14ac:dyDescent="0.25">
      <c r="A4424" t="str">
        <f>"20190305135323929"</f>
        <v>20190305135323929</v>
      </c>
      <c r="B4424" t="str">
        <f>"1551765203924835"</f>
        <v>1551765203924835</v>
      </c>
      <c r="C4424" t="s">
        <v>40</v>
      </c>
      <c r="D4424">
        <v>4.2194269999999996</v>
      </c>
      <c r="E4424">
        <v>0.39035979999999998</v>
      </c>
      <c r="F4424" t="s">
        <v>41</v>
      </c>
      <c r="G4424">
        <v>-390.09280000000001</v>
      </c>
      <c r="H4424">
        <v>1.05189</v>
      </c>
      <c r="I4424">
        <v>141.07679999999999</v>
      </c>
      <c r="J4424">
        <v>-389.44940000000003</v>
      </c>
      <c r="K4424">
        <v>1.1135790000000001</v>
      </c>
      <c r="L4424">
        <v>141.6437</v>
      </c>
      <c r="M4424">
        <v>-0.99974209999999997</v>
      </c>
      <c r="N4424">
        <v>-2.2600700000000001E-2</v>
      </c>
      <c r="O4424">
        <v>2.2605699999999999E-3</v>
      </c>
      <c r="P4424">
        <v>-0.96442430000000001</v>
      </c>
      <c r="Q4424">
        <v>5.550658E-2</v>
      </c>
      <c r="R4424">
        <v>-0.25846659999999999</v>
      </c>
      <c r="S4424">
        <v>-2.6973569999999998</v>
      </c>
      <c r="T4424">
        <v>-0.17285590000000001</v>
      </c>
      <c r="U4424">
        <v>-1.6003270000000001</v>
      </c>
      <c r="V4424">
        <v>-0.26113740000000002</v>
      </c>
      <c r="W4424">
        <v>7.5602150000000007E-2</v>
      </c>
      <c r="X4424">
        <v>0.96233650000000004</v>
      </c>
      <c r="Y4424">
        <v>-0.51106260000000003</v>
      </c>
      <c r="Z4424">
        <v>-2.1434399999999999E-2</v>
      </c>
      <c r="AA4424">
        <v>0.85927619999999905</v>
      </c>
      <c r="AB4424">
        <v>31</v>
      </c>
      <c r="AC4424">
        <v>-0.64339999999998498</v>
      </c>
      <c r="AD4424">
        <v>-6.1689000000000098E-2</v>
      </c>
      <c r="AE4424">
        <v>-0.56690000000000396</v>
      </c>
      <c r="AF4424">
        <v>-0.56542717011679</v>
      </c>
      <c r="AG4424">
        <v>-6.1689000000000098E-2</v>
      </c>
      <c r="AH4424">
        <v>0.63881053376202701</v>
      </c>
      <c r="AI4424">
        <v>94.135928552536001</v>
      </c>
      <c r="AJ4424">
        <v>131.512844444781</v>
      </c>
      <c r="AK4424">
        <v>0.855331699092584</v>
      </c>
      <c r="AL4424">
        <v>85.664178735656705</v>
      </c>
      <c r="AM4424">
        <v>105.182054125413</v>
      </c>
      <c r="AN4424">
        <v>0.99999998299781601</v>
      </c>
    </row>
    <row r="4425" spans="1:40" x14ac:dyDescent="0.25">
      <c r="A4425" t="str">
        <f>"20190305135323953"</f>
        <v>20190305135323953</v>
      </c>
      <c r="B4425" t="str">
        <f>"1551765203944356"</f>
        <v>1551765203944356</v>
      </c>
      <c r="C4425" t="s">
        <v>40</v>
      </c>
      <c r="D4425">
        <v>4.233282</v>
      </c>
      <c r="E4425">
        <v>0.39071359999999999</v>
      </c>
      <c r="F4425" t="s">
        <v>41</v>
      </c>
      <c r="G4425">
        <v>-390.37060000000002</v>
      </c>
      <c r="H4425">
        <v>1.054989</v>
      </c>
      <c r="I4425">
        <v>141.09039999999999</v>
      </c>
      <c r="J4425">
        <v>-389.77080000000001</v>
      </c>
      <c r="K4425">
        <v>1.1138250000000001</v>
      </c>
      <c r="L4425">
        <v>141.6403</v>
      </c>
      <c r="M4425">
        <v>-0.99973330000000005</v>
      </c>
      <c r="N4425">
        <v>-2.305538E-2</v>
      </c>
      <c r="O4425">
        <v>-1.3128289999999999E-3</v>
      </c>
      <c r="P4425">
        <v>-0.96274930000000003</v>
      </c>
      <c r="Q4425">
        <v>5.7071450000000003E-2</v>
      </c>
      <c r="R4425">
        <v>-0.26430360000000003</v>
      </c>
      <c r="S4425">
        <v>-2.6878359999999999</v>
      </c>
      <c r="T4425">
        <v>-0.17094179999999901</v>
      </c>
      <c r="U4425">
        <v>-1.6145780000000001</v>
      </c>
      <c r="V4425">
        <v>-0.26357390000000003</v>
      </c>
      <c r="W4425">
        <v>7.7464450000000004E-2</v>
      </c>
      <c r="X4425">
        <v>0.96152380000000004</v>
      </c>
      <c r="Y4425">
        <v>-0.51269160000000003</v>
      </c>
      <c r="Z4425">
        <v>-2.1360690000000002E-2</v>
      </c>
      <c r="AA4425">
        <v>0.85830709999999999</v>
      </c>
      <c r="AB4425">
        <v>31</v>
      </c>
      <c r="AC4425">
        <v>-0.59980000000001599</v>
      </c>
      <c r="AD4425">
        <v>-5.8836000000000097E-2</v>
      </c>
      <c r="AE4425">
        <v>-0.54990000000000705</v>
      </c>
      <c r="AF4425">
        <v>-0.546256092385206</v>
      </c>
      <c r="AG4425">
        <v>-5.8836000000000097E-2</v>
      </c>
      <c r="AH4425">
        <v>0.59739844153161004</v>
      </c>
      <c r="AI4425">
        <v>94.157086884873493</v>
      </c>
      <c r="AJ4425">
        <v>132.43953284623001</v>
      </c>
      <c r="AK4425">
        <v>0.81162940515259296</v>
      </c>
      <c r="AL4425">
        <v>85.557162899296102</v>
      </c>
      <c r="AM4425">
        <v>105.329420571207</v>
      </c>
      <c r="AN4425">
        <v>0.99999997987072597</v>
      </c>
    </row>
    <row r="4426" spans="1:40" x14ac:dyDescent="0.25">
      <c r="A4426" t="str">
        <f>"20190305135323974"</f>
        <v>20190305135323974</v>
      </c>
      <c r="B4426" t="str">
        <f>"1551765203963875"</f>
        <v>1551765203963875</v>
      </c>
      <c r="C4426" t="s">
        <v>40</v>
      </c>
      <c r="D4426">
        <v>4.2397689999999999</v>
      </c>
      <c r="E4426">
        <v>0.39103100000000002</v>
      </c>
      <c r="F4426" t="s">
        <v>41</v>
      </c>
      <c r="G4426">
        <v>-390.64729999999997</v>
      </c>
      <c r="H4426">
        <v>1.058516</v>
      </c>
      <c r="I4426">
        <v>141.10759999999999</v>
      </c>
      <c r="J4426">
        <v>-390.06459999999998</v>
      </c>
      <c r="K4426">
        <v>1.1140080000000001</v>
      </c>
      <c r="L4426">
        <v>141.63589999999999</v>
      </c>
      <c r="M4426">
        <v>-0.99971339999999997</v>
      </c>
      <c r="N4426">
        <v>-2.3464249999999999E-2</v>
      </c>
      <c r="O4426">
        <v>-4.7660580000000001E-3</v>
      </c>
      <c r="P4426">
        <v>-0.9609666</v>
      </c>
      <c r="Q4426">
        <v>5.7753850000000002E-2</v>
      </c>
      <c r="R4426">
        <v>-0.27056910000000001</v>
      </c>
      <c r="S4426">
        <v>-2.6790470000000002</v>
      </c>
      <c r="T4426">
        <v>-0.1690644</v>
      </c>
      <c r="U4426">
        <v>-1.628403</v>
      </c>
      <c r="V4426">
        <v>-0.2665517</v>
      </c>
      <c r="W4426">
        <v>7.8414750000000005E-2</v>
      </c>
      <c r="X4426">
        <v>0.96062550000000002</v>
      </c>
      <c r="Y4426">
        <v>-0.51422060000000003</v>
      </c>
      <c r="Z4426">
        <v>-2.128068E-2</v>
      </c>
      <c r="AA4426">
        <v>0.85739390000000004</v>
      </c>
      <c r="AB4426">
        <v>31</v>
      </c>
      <c r="AC4426">
        <v>-0.58269999999998801</v>
      </c>
      <c r="AD4426">
        <v>-5.5491999999999798E-2</v>
      </c>
      <c r="AE4426">
        <v>-0.52830000000000099</v>
      </c>
      <c r="AF4426">
        <v>-0.52291318135508602</v>
      </c>
      <c r="AG4426">
        <v>-5.5491999999999798E-2</v>
      </c>
      <c r="AH4426">
        <v>0.58231343889253195</v>
      </c>
      <c r="AI4426">
        <v>94.055684346112997</v>
      </c>
      <c r="AJ4426">
        <v>131.92360574713101</v>
      </c>
      <c r="AK4426">
        <v>0.78460595104405395</v>
      </c>
      <c r="AL4426">
        <v>85.502548749766106</v>
      </c>
      <c r="AM4426">
        <v>105.508123016243</v>
      </c>
      <c r="AN4426">
        <v>1.00000001652035</v>
      </c>
    </row>
    <row r="4427" spans="1:40" x14ac:dyDescent="0.25">
      <c r="A4427" t="str">
        <f>"20190305135323996"</f>
        <v>20190305135323996</v>
      </c>
      <c r="B4427" t="str">
        <f>"1551765203984371"</f>
        <v>1551765203984371</v>
      </c>
      <c r="C4427" t="s">
        <v>40</v>
      </c>
      <c r="D4427">
        <v>4.2589540000000001</v>
      </c>
      <c r="E4427">
        <v>0.39122689999999999</v>
      </c>
      <c r="F4427" t="s">
        <v>41</v>
      </c>
      <c r="G4427">
        <v>-390.91879999999998</v>
      </c>
      <c r="H4427">
        <v>1.059793</v>
      </c>
      <c r="I4427">
        <v>141.1104</v>
      </c>
      <c r="J4427">
        <v>-390.35250000000002</v>
      </c>
      <c r="K4427">
        <v>1.114163</v>
      </c>
      <c r="L4427">
        <v>141.63040000000001</v>
      </c>
      <c r="M4427">
        <v>-0.99968020000000002</v>
      </c>
      <c r="N4427">
        <v>-2.387804E-2</v>
      </c>
      <c r="O4427">
        <v>-8.3305719999999996E-3</v>
      </c>
      <c r="P4427">
        <v>-0.95895090000000005</v>
      </c>
      <c r="Q4427">
        <v>5.5852529999999997E-2</v>
      </c>
      <c r="R4427">
        <v>-0.27801759999999998</v>
      </c>
      <c r="S4427">
        <v>-2.6692499999999999</v>
      </c>
      <c r="T4427">
        <v>-0.16940769999999999</v>
      </c>
      <c r="U4427">
        <v>-1.643707</v>
      </c>
      <c r="V4427">
        <v>-0.27059470000000002</v>
      </c>
      <c r="W4427">
        <v>7.6782219999999998E-2</v>
      </c>
      <c r="X4427">
        <v>0.95962650000000005</v>
      </c>
      <c r="Y4427">
        <v>-0.51611689999999999</v>
      </c>
      <c r="Z4427">
        <v>-2.1413959999999999E-2</v>
      </c>
      <c r="AA4427">
        <v>0.85625039999999997</v>
      </c>
      <c r="AB4427">
        <v>31</v>
      </c>
      <c r="AC4427">
        <v>-0.56629999999995495</v>
      </c>
      <c r="AD4427">
        <v>-5.4370000000000002E-2</v>
      </c>
      <c r="AE4427">
        <v>-0.52000000000001001</v>
      </c>
      <c r="AF4427">
        <v>-0.51269896629564704</v>
      </c>
      <c r="AG4427">
        <v>-5.4370000000000002E-2</v>
      </c>
      <c r="AH4427">
        <v>0.56777400697442704</v>
      </c>
      <c r="AI4427">
        <v>94.065275134350699</v>
      </c>
      <c r="AJ4427">
        <v>132.081982864797</v>
      </c>
      <c r="AK4427">
        <v>0.76693132022132404</v>
      </c>
      <c r="AL4427">
        <v>85.596368706259497</v>
      </c>
      <c r="AM4427">
        <v>105.747347229936</v>
      </c>
      <c r="AN4427">
        <v>1.0000000102392299</v>
      </c>
    </row>
    <row r="4428" spans="1:40" x14ac:dyDescent="0.25">
      <c r="A4428" t="str">
        <f>"20190305135324018"</f>
        <v>20190305135324018</v>
      </c>
      <c r="B4428" t="str">
        <f>"1551765204014627"</f>
        <v>1551765204014627</v>
      </c>
      <c r="C4428" t="s">
        <v>40</v>
      </c>
      <c r="D4428">
        <v>4.2781099999999999</v>
      </c>
      <c r="E4428">
        <v>0.3916134</v>
      </c>
      <c r="F4428" t="s">
        <v>41</v>
      </c>
      <c r="G4428">
        <v>-391.18680000000001</v>
      </c>
      <c r="H4428">
        <v>1.058181</v>
      </c>
      <c r="I4428">
        <v>141.10830000000001</v>
      </c>
      <c r="J4428">
        <v>-390.65710000000001</v>
      </c>
      <c r="K4428">
        <v>1.114333</v>
      </c>
      <c r="L4428">
        <v>141.6233</v>
      </c>
      <c r="M4428">
        <v>-0.99962839999999997</v>
      </c>
      <c r="N4428">
        <v>-2.4325099999999999E-2</v>
      </c>
      <c r="O4428">
        <v>-1.2300709999999999E-2</v>
      </c>
      <c r="P4428">
        <v>-0.95673209999999997</v>
      </c>
      <c r="Q4428">
        <v>5.3026480000000001E-2</v>
      </c>
      <c r="R4428">
        <v>-0.2860975</v>
      </c>
      <c r="S4428">
        <v>-2.6567989999999999</v>
      </c>
      <c r="T4428">
        <v>-0.17825750000000001</v>
      </c>
      <c r="U4428">
        <v>-1.6625369999999999</v>
      </c>
      <c r="V4428">
        <v>-0.27488489999999999</v>
      </c>
      <c r="W4428">
        <v>7.4249850000000006E-2</v>
      </c>
      <c r="X4428">
        <v>0.95860590000000001</v>
      </c>
      <c r="Y4428">
        <v>-0.51876509999999998</v>
      </c>
      <c r="Z4428">
        <v>-2.2311910000000001E-2</v>
      </c>
      <c r="AA4428">
        <v>0.85462559999999999</v>
      </c>
      <c r="AB4428">
        <v>30</v>
      </c>
      <c r="AC4428">
        <v>-0.52969999999999096</v>
      </c>
      <c r="AD4428">
        <v>-5.6151999999999903E-2</v>
      </c>
      <c r="AE4428">
        <v>-0.51499999999998602</v>
      </c>
      <c r="AF4428">
        <v>-0.50552306675636804</v>
      </c>
      <c r="AG4428">
        <v>-5.6151999999999903E-2</v>
      </c>
      <c r="AH4428">
        <v>0.53291805276077997</v>
      </c>
      <c r="AI4428">
        <v>94.371455595011199</v>
      </c>
      <c r="AJ4428">
        <v>133.48883766731001</v>
      </c>
      <c r="AK4428">
        <v>0.73668736183343397</v>
      </c>
      <c r="AL4428">
        <v>85.741878346590696</v>
      </c>
      <c r="AM4428">
        <v>106.00050155456201</v>
      </c>
      <c r="AN4428">
        <v>1.0000000099939199</v>
      </c>
    </row>
    <row r="4429" spans="1:40" x14ac:dyDescent="0.25">
      <c r="A4429" t="str">
        <f>"20190305135324040"</f>
        <v>20190305135324040</v>
      </c>
      <c r="B4429" t="str">
        <f>"1551765204034147"</f>
        <v>1551765204034147</v>
      </c>
      <c r="C4429" t="s">
        <v>40</v>
      </c>
      <c r="D4429">
        <v>4.2695049999999997</v>
      </c>
      <c r="E4429">
        <v>0.39179910000000001</v>
      </c>
      <c r="F4429" t="s">
        <v>41</v>
      </c>
      <c r="G4429">
        <v>-391.45499999999998</v>
      </c>
      <c r="H4429">
        <v>1.057677</v>
      </c>
      <c r="I4429">
        <v>141.11600000000001</v>
      </c>
      <c r="J4429">
        <v>-390.95479999999998</v>
      </c>
      <c r="K4429">
        <v>1.114498</v>
      </c>
      <c r="L4429">
        <v>141.6148</v>
      </c>
      <c r="M4429">
        <v>-0.99955919999999998</v>
      </c>
      <c r="N4429">
        <v>-2.4772929999999999E-2</v>
      </c>
      <c r="O4429">
        <v>-1.636288E-2</v>
      </c>
      <c r="P4429">
        <v>-0.95445919999999895</v>
      </c>
      <c r="Q4429">
        <v>5.0529549999999999E-2</v>
      </c>
      <c r="R4429">
        <v>-0.29403099999999999</v>
      </c>
      <c r="S4429">
        <v>-2.6432190000000002</v>
      </c>
      <c r="T4429">
        <v>-0.1877009</v>
      </c>
      <c r="U4429">
        <v>-1.681595</v>
      </c>
      <c r="V4429">
        <v>-0.27895379999999997</v>
      </c>
      <c r="W4429">
        <v>7.2047529999999999E-2</v>
      </c>
      <c r="X4429">
        <v>0.95759799999999995</v>
      </c>
      <c r="Y4429">
        <v>-0.521536</v>
      </c>
      <c r="Z4429">
        <v>-2.3259200000000001E-2</v>
      </c>
      <c r="AA4429">
        <v>0.85291219999999901</v>
      </c>
      <c r="AB4429">
        <v>30</v>
      </c>
      <c r="AC4429">
        <v>-0.50020000000000597</v>
      </c>
      <c r="AD4429">
        <v>-5.6821000000000003E-2</v>
      </c>
      <c r="AE4429">
        <v>-0.49879999999998798</v>
      </c>
      <c r="AF4429">
        <v>-0.48739244060751802</v>
      </c>
      <c r="AG4429">
        <v>-5.6821000000000003E-2</v>
      </c>
      <c r="AH4429">
        <v>0.50502967216151995</v>
      </c>
      <c r="AI4429">
        <v>94.628447777323899</v>
      </c>
      <c r="AJ4429">
        <v>133.98185202873699</v>
      </c>
      <c r="AK4429">
        <v>0.70415551333915305</v>
      </c>
      <c r="AL4429">
        <v>85.868400916735894</v>
      </c>
      <c r="AM4429">
        <v>106.241144894024</v>
      </c>
      <c r="AN4429">
        <v>0.99999999935877004</v>
      </c>
    </row>
    <row r="4430" spans="1:40" x14ac:dyDescent="0.25">
      <c r="A4430" t="str">
        <f>"20190305135324063"</f>
        <v>20190305135324063</v>
      </c>
      <c r="B4430" t="str">
        <f>"1551765204054643"</f>
        <v>1551765204054643</v>
      </c>
      <c r="C4430" t="s">
        <v>40</v>
      </c>
      <c r="D4430">
        <v>4.2692310000000004</v>
      </c>
      <c r="E4430">
        <v>0.39198309999999997</v>
      </c>
      <c r="F4430" t="s">
        <v>41</v>
      </c>
      <c r="G4430">
        <v>-391.72</v>
      </c>
      <c r="H4430">
        <v>1.0572490000000001</v>
      </c>
      <c r="I4430">
        <v>141.11969999999999</v>
      </c>
      <c r="J4430">
        <v>-391.24079999999998</v>
      </c>
      <c r="K4430">
        <v>1.114654</v>
      </c>
      <c r="L4430">
        <v>141.6053</v>
      </c>
      <c r="M4430">
        <v>-0.99947260000000004</v>
      </c>
      <c r="N4430">
        <v>-2.5239040000000001E-2</v>
      </c>
      <c r="O4430">
        <v>-2.043174E-2</v>
      </c>
      <c r="P4430">
        <v>-0.95196910000000001</v>
      </c>
      <c r="Q4430">
        <v>4.784571E-2</v>
      </c>
      <c r="R4430">
        <v>-0.30243300000000001</v>
      </c>
      <c r="S4430">
        <v>-2.6293329999999999</v>
      </c>
      <c r="T4430">
        <v>-0.19670670000000001</v>
      </c>
      <c r="U4430">
        <v>-1.7016450000000001</v>
      </c>
      <c r="V4430">
        <v>-0.28349669999999999</v>
      </c>
      <c r="W4430">
        <v>6.9675039999999994E-2</v>
      </c>
      <c r="X4430">
        <v>0.95643869999999997</v>
      </c>
      <c r="Y4430">
        <v>-0.52456950000000002</v>
      </c>
      <c r="Z4430">
        <v>-2.4179119999999998E-2</v>
      </c>
      <c r="AA4430">
        <v>0.85102420000000001</v>
      </c>
      <c r="AB4430">
        <v>30</v>
      </c>
      <c r="AC4430">
        <v>-0.47920000000004798</v>
      </c>
      <c r="AD4430">
        <v>-5.7405000000000102E-2</v>
      </c>
      <c r="AE4430">
        <v>-0.48560000000000503</v>
      </c>
      <c r="AF4430">
        <v>-0.47236022694504898</v>
      </c>
      <c r="AG4430">
        <v>-5.7405000000000102E-2</v>
      </c>
      <c r="AH4430">
        <v>0.48558674436484101</v>
      </c>
      <c r="AI4430">
        <v>94.843599272902395</v>
      </c>
      <c r="AJ4430">
        <v>134.208958848968</v>
      </c>
      <c r="AK4430">
        <v>0.67986322472054905</v>
      </c>
      <c r="AL4430">
        <v>86.0046771438505</v>
      </c>
      <c r="AM4430">
        <v>106.510278842901</v>
      </c>
      <c r="AN4430">
        <v>0.99999998848379001</v>
      </c>
    </row>
    <row r="4431" spans="1:40" x14ac:dyDescent="0.25">
      <c r="A4431" t="str">
        <f>"20190305135324084"</f>
        <v>20190305135324084</v>
      </c>
      <c r="B4431" t="str">
        <f>"1551765204074164"</f>
        <v>1551765204074164</v>
      </c>
      <c r="C4431" t="s">
        <v>40</v>
      </c>
      <c r="D4431">
        <v>4.2184609999999996</v>
      </c>
      <c r="E4431">
        <v>0.39212780000000003</v>
      </c>
      <c r="F4431" t="s">
        <v>41</v>
      </c>
      <c r="G4431">
        <v>-391.9812</v>
      </c>
      <c r="H4431">
        <v>1.0561609999999999</v>
      </c>
      <c r="I4431">
        <v>141.11750000000001</v>
      </c>
      <c r="J4431">
        <v>-391.52699999999999</v>
      </c>
      <c r="K4431">
        <v>1.114797</v>
      </c>
      <c r="L4431">
        <v>141.59440000000001</v>
      </c>
      <c r="M4431">
        <v>-0.99936429999999998</v>
      </c>
      <c r="N4431">
        <v>-2.5736910000000002E-2</v>
      </c>
      <c r="O4431">
        <v>-2.4675039999999999E-2</v>
      </c>
      <c r="P4431">
        <v>-0.94955840000000002</v>
      </c>
      <c r="Q4431">
        <v>4.5895829999999999E-2</v>
      </c>
      <c r="R4431">
        <v>-0.3102142</v>
      </c>
      <c r="S4431">
        <v>-2.6143800000000001</v>
      </c>
      <c r="T4431">
        <v>-0.2065554</v>
      </c>
      <c r="U4431">
        <v>-1.722961</v>
      </c>
      <c r="V4431">
        <v>-0.2872673</v>
      </c>
      <c r="W4431">
        <v>6.80843E-2</v>
      </c>
      <c r="X4431">
        <v>0.95542769999999999</v>
      </c>
      <c r="Y4431">
        <v>-0.52787819999999996</v>
      </c>
      <c r="Z4431">
        <v>-2.5181579999999999E-2</v>
      </c>
      <c r="AA4431">
        <v>0.8489468</v>
      </c>
      <c r="AB4431">
        <v>30</v>
      </c>
      <c r="AC4431">
        <v>-0.45420000000001398</v>
      </c>
      <c r="AD4431">
        <v>-5.8635999999999897E-2</v>
      </c>
      <c r="AE4431">
        <v>-0.47689999999999999</v>
      </c>
      <c r="AF4431">
        <v>-0.46188225111978498</v>
      </c>
      <c r="AG4431">
        <v>-5.8635999999999897E-2</v>
      </c>
      <c r="AH4431">
        <v>0.46216943063233101</v>
      </c>
      <c r="AI4431">
        <v>95.127951610247095</v>
      </c>
      <c r="AJ4431">
        <v>134.98219344888699</v>
      </c>
      <c r="AK4431">
        <v>0.65602894525050703</v>
      </c>
      <c r="AL4431">
        <v>86.096036993650898</v>
      </c>
      <c r="AM4431">
        <v>106.73439318583</v>
      </c>
      <c r="AN4431">
        <v>1.0000000317415301</v>
      </c>
    </row>
    <row r="4432" spans="1:40" x14ac:dyDescent="0.25">
      <c r="A4432" t="str">
        <f>"20190305135324110"</f>
        <v>20190305135324110</v>
      </c>
      <c r="B4432" t="str">
        <f>"1551765204104420"</f>
        <v>1551765204104420</v>
      </c>
      <c r="C4432" t="s">
        <v>40</v>
      </c>
      <c r="D4432">
        <v>4.2520509999999998</v>
      </c>
      <c r="E4432">
        <v>0.39250479999999999</v>
      </c>
      <c r="F4432" t="s">
        <v>41</v>
      </c>
      <c r="G4432">
        <v>-392.24020000000002</v>
      </c>
      <c r="H4432">
        <v>1.0562119999999999</v>
      </c>
      <c r="I4432">
        <v>141.1165</v>
      </c>
      <c r="J4432">
        <v>-391.83569999999997</v>
      </c>
      <c r="K4432">
        <v>1.1149530000000001</v>
      </c>
      <c r="L4432">
        <v>141.58080000000001</v>
      </c>
      <c r="M4432">
        <v>-0.99922</v>
      </c>
      <c r="N4432">
        <v>-2.6276000000000001E-2</v>
      </c>
      <c r="O4432">
        <v>-2.9478549999999999E-2</v>
      </c>
      <c r="P4432">
        <v>-0.94701930000000001</v>
      </c>
      <c r="Q4432">
        <v>4.5061209999999997E-2</v>
      </c>
      <c r="R4432">
        <v>-0.31800050000000002</v>
      </c>
      <c r="S4432">
        <v>-2.6003419999999999</v>
      </c>
      <c r="T4432">
        <v>-0.21361720000000001</v>
      </c>
      <c r="U4432">
        <v>-1.7427060000000001</v>
      </c>
      <c r="V4432">
        <v>-0.29053190000000001</v>
      </c>
      <c r="W4432">
        <v>6.7654220000000001E-2</v>
      </c>
      <c r="X4432">
        <v>0.95447059999999995</v>
      </c>
      <c r="Y4432">
        <v>-0.53024979999999999</v>
      </c>
      <c r="Z4432">
        <v>-2.5879249999999999E-2</v>
      </c>
      <c r="AA4432">
        <v>0.84744640000000004</v>
      </c>
      <c r="AB4432">
        <v>29</v>
      </c>
      <c r="AC4432">
        <v>-0.40450000000004099</v>
      </c>
      <c r="AD4432">
        <v>-5.8740999999999897E-2</v>
      </c>
      <c r="AE4432">
        <v>-0.46430000000000798</v>
      </c>
      <c r="AF4432">
        <v>-0.44809244617975102</v>
      </c>
      <c r="AG4432">
        <v>-5.8740999999999897E-2</v>
      </c>
      <c r="AH4432">
        <v>0.414246247740512</v>
      </c>
      <c r="AI4432">
        <v>95.498330091654594</v>
      </c>
      <c r="AJ4432">
        <v>137.247666083967</v>
      </c>
      <c r="AK4432">
        <v>0.61305570641781604</v>
      </c>
      <c r="AL4432">
        <v>86.120735597377205</v>
      </c>
      <c r="AM4432">
        <v>106.929757213111</v>
      </c>
      <c r="AN4432">
        <v>1.0000000023328799</v>
      </c>
    </row>
    <row r="4433" spans="1:40" x14ac:dyDescent="0.25">
      <c r="A4433" t="str">
        <f>"20190305135324130"</f>
        <v>20190305135324130</v>
      </c>
      <c r="B4433" t="str">
        <f>"1551765204123939"</f>
        <v>1551765204123939</v>
      </c>
      <c r="C4433" t="s">
        <v>40</v>
      </c>
      <c r="D4433">
        <v>4.2303050000000004</v>
      </c>
      <c r="E4433">
        <v>0.39270280000000002</v>
      </c>
      <c r="F4433" t="s">
        <v>41</v>
      </c>
      <c r="G4433">
        <v>-392.71730000000002</v>
      </c>
      <c r="H4433">
        <v>1.0409200000000001</v>
      </c>
      <c r="I4433">
        <v>140.98089999999999</v>
      </c>
      <c r="J4433">
        <v>-392.10359999999997</v>
      </c>
      <c r="K4433">
        <v>1.1150639999999901</v>
      </c>
      <c r="L4433">
        <v>141.5676</v>
      </c>
      <c r="M4433">
        <v>-0.99907040000000003</v>
      </c>
      <c r="N4433">
        <v>-2.672867E-2</v>
      </c>
      <c r="O4433">
        <v>-3.3825180000000003E-2</v>
      </c>
      <c r="P4433">
        <v>-0.94469550000000002</v>
      </c>
      <c r="Q4433">
        <v>4.4965089999999999E-2</v>
      </c>
      <c r="R4433">
        <v>-0.32485249999999999</v>
      </c>
      <c r="S4433">
        <v>-2.5869140000000002</v>
      </c>
      <c r="T4433">
        <v>-0.2172434</v>
      </c>
      <c r="U4433">
        <v>-1.7608029999999999</v>
      </c>
      <c r="V4433">
        <v>-0.29330840000000002</v>
      </c>
      <c r="W4433">
        <v>6.7903030000000003E-2</v>
      </c>
      <c r="X4433">
        <v>0.95360330000000004</v>
      </c>
      <c r="Y4433">
        <v>-0.53259019999999901</v>
      </c>
      <c r="Z4433">
        <v>-2.6281249999999999E-2</v>
      </c>
      <c r="AA4433">
        <v>0.84596510000000003</v>
      </c>
      <c r="AB4433">
        <v>29</v>
      </c>
      <c r="AC4433">
        <v>-0.61370000000005098</v>
      </c>
      <c r="AD4433">
        <v>-7.4143999999999696E-2</v>
      </c>
      <c r="AE4433">
        <v>-0.58670000000000699</v>
      </c>
      <c r="AF4433">
        <v>-0.56131735980549702</v>
      </c>
      <c r="AG4433">
        <v>-7.4143999999999696E-2</v>
      </c>
      <c r="AH4433">
        <v>0.62840849868044202</v>
      </c>
      <c r="AI4433">
        <v>95.028750894840499</v>
      </c>
      <c r="AJ4433">
        <v>131.77238915134501</v>
      </c>
      <c r="AK4433">
        <v>0.84585563329023306</v>
      </c>
      <c r="AL4433">
        <v>86.106446757960597</v>
      </c>
      <c r="AM4433">
        <v>107.09680097931999</v>
      </c>
      <c r="AN4433">
        <v>0.99999994638231404</v>
      </c>
    </row>
    <row r="4434" spans="1:40" x14ac:dyDescent="0.25">
      <c r="A4434" t="str">
        <f>"20190305135324153"</f>
        <v>20190305135324153</v>
      </c>
      <c r="B4434" t="str">
        <f>"1551765204144435"</f>
        <v>1551765204144435</v>
      </c>
      <c r="C4434" t="s">
        <v>40</v>
      </c>
      <c r="D4434">
        <v>4.2217929999999999</v>
      </c>
      <c r="E4434">
        <v>0.39286569999999998</v>
      </c>
      <c r="F4434" t="s">
        <v>41</v>
      </c>
      <c r="G4434">
        <v>-392.96629999999999</v>
      </c>
      <c r="H4434">
        <v>1.0423389999999999</v>
      </c>
      <c r="I4434">
        <v>140.97190000000001</v>
      </c>
      <c r="J4434">
        <v>-392.38299999999998</v>
      </c>
      <c r="K4434">
        <v>1.115162</v>
      </c>
      <c r="L4434">
        <v>141.55240000000001</v>
      </c>
      <c r="M4434">
        <v>-0.99888829999999995</v>
      </c>
      <c r="N4434">
        <v>-2.7191759999999999E-2</v>
      </c>
      <c r="O4434">
        <v>-3.8507859999999998E-2</v>
      </c>
      <c r="P4434">
        <v>-0.9423686</v>
      </c>
      <c r="Q4434">
        <v>4.4396459999999999E-2</v>
      </c>
      <c r="R4434">
        <v>-0.33161790000000002</v>
      </c>
      <c r="S4434">
        <v>-2.574554</v>
      </c>
      <c r="T4434">
        <v>-0.2170417</v>
      </c>
      <c r="U4434">
        <v>-1.7778929999999999</v>
      </c>
      <c r="V4434">
        <v>-0.29568270000000002</v>
      </c>
      <c r="W4434">
        <v>6.7708930000000001E-2</v>
      </c>
      <c r="X4434">
        <v>0.9528837</v>
      </c>
      <c r="Y4434">
        <v>-0.53431240000000002</v>
      </c>
      <c r="Z4434">
        <v>-2.6322060000000001E-2</v>
      </c>
      <c r="AA4434">
        <v>0.844877199999999</v>
      </c>
      <c r="AB4434">
        <v>28</v>
      </c>
      <c r="AC4434">
        <v>-0.58329999999995097</v>
      </c>
      <c r="AD4434">
        <v>-7.2822999999999999E-2</v>
      </c>
      <c r="AE4434">
        <v>-0.58050000000000002</v>
      </c>
      <c r="AF4434">
        <v>-0.55326664238336298</v>
      </c>
      <c r="AG4434">
        <v>-7.2822999999999999E-2</v>
      </c>
      <c r="AH4434">
        <v>0.600526502936782</v>
      </c>
      <c r="AI4434">
        <v>95.096437742445502</v>
      </c>
      <c r="AJ4434">
        <v>132.65445154028799</v>
      </c>
      <c r="AK4434">
        <v>0.819779999531973</v>
      </c>
      <c r="AL4434">
        <v>86.117593934062597</v>
      </c>
      <c r="AM4434">
        <v>107.239274974968</v>
      </c>
      <c r="AN4434">
        <v>1.0000000520033601</v>
      </c>
    </row>
    <row r="4435" spans="1:40" x14ac:dyDescent="0.25">
      <c r="A4435" t="str">
        <f>"20190305135324175"</f>
        <v>20190305135324175</v>
      </c>
      <c r="B4435" t="str">
        <f>"1551765204163955"</f>
        <v>1551765204163955</v>
      </c>
      <c r="C4435" t="s">
        <v>40</v>
      </c>
      <c r="D4435">
        <v>4.1911149999999999</v>
      </c>
      <c r="E4435">
        <v>0.39304020000000001</v>
      </c>
      <c r="F4435" t="s">
        <v>41</v>
      </c>
      <c r="G4435">
        <v>-393.21429999999998</v>
      </c>
      <c r="H4435">
        <v>1.0445899999999999</v>
      </c>
      <c r="I4435">
        <v>140.96969999999999</v>
      </c>
      <c r="J4435">
        <v>-392.6542</v>
      </c>
      <c r="K4435">
        <v>1.1152310000000001</v>
      </c>
      <c r="L4435">
        <v>141.53620000000001</v>
      </c>
      <c r="M4435">
        <v>-0.99868469999999998</v>
      </c>
      <c r="N4435">
        <v>-2.762355E-2</v>
      </c>
      <c r="O4435">
        <v>-4.319543E-2</v>
      </c>
      <c r="P4435">
        <v>-0.93989739999999999</v>
      </c>
      <c r="Q4435">
        <v>4.3970490000000001E-2</v>
      </c>
      <c r="R4435">
        <v>-0.33861479999999999</v>
      </c>
      <c r="S4435">
        <v>-2.5619200000000002</v>
      </c>
      <c r="T4435">
        <v>-0.21747030000000001</v>
      </c>
      <c r="U4435">
        <v>-1.795425</v>
      </c>
      <c r="V4435">
        <v>-0.2982998</v>
      </c>
      <c r="W4435">
        <v>6.7633760000000001E-2</v>
      </c>
      <c r="X4435">
        <v>0.9520729</v>
      </c>
      <c r="Y4435">
        <v>-0.53616079999999999</v>
      </c>
      <c r="Z4435">
        <v>-2.6414159999999999E-2</v>
      </c>
      <c r="AA4435">
        <v>0.84370249999999902</v>
      </c>
      <c r="AB4435">
        <v>28</v>
      </c>
      <c r="AC4435">
        <v>-0.56009999999997695</v>
      </c>
      <c r="AD4435">
        <v>-7.0640999999999898E-2</v>
      </c>
      <c r="AE4435">
        <v>-0.56650000000001899</v>
      </c>
      <c r="AF4435">
        <v>-0.53754114838171396</v>
      </c>
      <c r="AG4435">
        <v>-7.0640999999999898E-2</v>
      </c>
      <c r="AH4435">
        <v>0.57949975247742902</v>
      </c>
      <c r="AI4435">
        <v>95.107012859893501</v>
      </c>
      <c r="AJ4435">
        <v>132.84885115832</v>
      </c>
      <c r="AK4435">
        <v>0.79357457129493103</v>
      </c>
      <c r="AL4435">
        <v>86.121910362980998</v>
      </c>
      <c r="AM4435">
        <v>107.396615514548</v>
      </c>
      <c r="AN4435">
        <v>0.99999995154309196</v>
      </c>
    </row>
    <row r="4436" spans="1:40" x14ac:dyDescent="0.25">
      <c r="A4436" t="str">
        <f>"20190305135324197"</f>
        <v>20190305135324197</v>
      </c>
      <c r="B4436" t="str">
        <f>"1551765204194212"</f>
        <v>1551765204194212</v>
      </c>
      <c r="C4436" t="s">
        <v>40</v>
      </c>
      <c r="D4436">
        <v>4.2127840000000001</v>
      </c>
      <c r="E4436">
        <v>0.3933043</v>
      </c>
      <c r="F4436" t="s">
        <v>41</v>
      </c>
      <c r="G4436">
        <v>-393.459</v>
      </c>
      <c r="H4436">
        <v>1.046459</v>
      </c>
      <c r="I4436">
        <v>140.964</v>
      </c>
      <c r="J4436">
        <v>-392.91660000000002</v>
      </c>
      <c r="K4436">
        <v>1.1152879999999901</v>
      </c>
      <c r="L4436">
        <v>141.51920000000001</v>
      </c>
      <c r="M4436">
        <v>-0.99846089999999998</v>
      </c>
      <c r="N4436">
        <v>-2.8024110000000001E-2</v>
      </c>
      <c r="O4436">
        <v>-4.7858980000000002E-2</v>
      </c>
      <c r="P4436">
        <v>-0.93734010000000001</v>
      </c>
      <c r="Q4436">
        <v>4.4432190000000003E-2</v>
      </c>
      <c r="R4436">
        <v>-0.34557139999999997</v>
      </c>
      <c r="S4436">
        <v>-2.548889</v>
      </c>
      <c r="T4436">
        <v>-0.2178117</v>
      </c>
      <c r="U4436">
        <v>-1.812943</v>
      </c>
      <c r="V4436">
        <v>-0.30092289999999999</v>
      </c>
      <c r="W4436">
        <v>6.8420149999999999E-2</v>
      </c>
      <c r="X4436">
        <v>0.95119089999999995</v>
      </c>
      <c r="Y4436">
        <v>-0.53808679999999998</v>
      </c>
      <c r="Z4436">
        <v>-2.64993E-2</v>
      </c>
      <c r="AA4436">
        <v>0.84247280000000002</v>
      </c>
      <c r="AB4436">
        <v>28</v>
      </c>
      <c r="AC4436">
        <v>-0.542399999999986</v>
      </c>
      <c r="AD4436">
        <v>-6.8828999999999793E-2</v>
      </c>
      <c r="AE4436">
        <v>-0.55520000000001302</v>
      </c>
      <c r="AF4436">
        <v>-0.52447012370533996</v>
      </c>
      <c r="AG4436">
        <v>-6.8828999999999793E-2</v>
      </c>
      <c r="AH4436">
        <v>0.563925196593143</v>
      </c>
      <c r="AI4436">
        <v>95.107223703355601</v>
      </c>
      <c r="AJ4436">
        <v>132.92389799591601</v>
      </c>
      <c r="AK4436">
        <v>0.773186891542472</v>
      </c>
      <c r="AL4436">
        <v>86.076749177245503</v>
      </c>
      <c r="AM4436">
        <v>107.555515097737</v>
      </c>
      <c r="AN4436">
        <v>1.00000001845662</v>
      </c>
    </row>
    <row r="4437" spans="1:40" x14ac:dyDescent="0.25">
      <c r="A4437" t="str">
        <f>"20190305135324220"</f>
        <v>20190305135324220</v>
      </c>
      <c r="B4437" t="str">
        <f>"1551765204214707"</f>
        <v>1551765204214707</v>
      </c>
      <c r="C4437" t="s">
        <v>40</v>
      </c>
      <c r="D4437">
        <v>4.2109839999999998</v>
      </c>
      <c r="E4437">
        <v>0.39350940000000001</v>
      </c>
      <c r="F4437" t="s">
        <v>41</v>
      </c>
      <c r="G4437">
        <v>-393.69990000000001</v>
      </c>
      <c r="H4437">
        <v>1.048667</v>
      </c>
      <c r="I4437">
        <v>140.95429999999999</v>
      </c>
      <c r="J4437">
        <v>-393.19229999999999</v>
      </c>
      <c r="K4437">
        <v>1.115343</v>
      </c>
      <c r="L4437">
        <v>141.49979999999999</v>
      </c>
      <c r="M4437">
        <v>-0.99819539999999995</v>
      </c>
      <c r="N4437">
        <v>-2.8444980000000002E-2</v>
      </c>
      <c r="O4437">
        <v>-5.2885000000000001E-2</v>
      </c>
      <c r="P4437">
        <v>-0.93492929999999996</v>
      </c>
      <c r="Q4437">
        <v>4.4565130000000001E-2</v>
      </c>
      <c r="R4437">
        <v>-0.35202460000000002</v>
      </c>
      <c r="S4437">
        <v>-2.5362849999999999</v>
      </c>
      <c r="T4437">
        <v>-0.21570739999999999</v>
      </c>
      <c r="U4437">
        <v>-1.829453</v>
      </c>
      <c r="V4437">
        <v>-0.30269950000000001</v>
      </c>
      <c r="W4437">
        <v>6.8915850000000001E-2</v>
      </c>
      <c r="X4437">
        <v>0.95059119999999997</v>
      </c>
      <c r="Y4437">
        <v>-0.53945390000000004</v>
      </c>
      <c r="Z4437">
        <v>-2.6357220000000001E-2</v>
      </c>
      <c r="AA4437">
        <v>0.84160239999999997</v>
      </c>
      <c r="AB4437">
        <v>27</v>
      </c>
      <c r="AC4437">
        <v>-0.50760000000002403</v>
      </c>
      <c r="AD4437">
        <v>-6.6675999999999902E-2</v>
      </c>
      <c r="AE4437">
        <v>-0.54550000000000398</v>
      </c>
      <c r="AF4437">
        <v>-0.51376700861397295</v>
      </c>
      <c r="AG4437">
        <v>-6.6675999999999902E-2</v>
      </c>
      <c r="AH4437">
        <v>0.53149388849336898</v>
      </c>
      <c r="AI4437">
        <v>95.154023408855593</v>
      </c>
      <c r="AJ4437">
        <v>134.028397555748</v>
      </c>
      <c r="AK4437">
        <v>0.74221828434898696</v>
      </c>
      <c r="AL4437">
        <v>86.048280410187402</v>
      </c>
      <c r="AM4437">
        <v>107.66318598108801</v>
      </c>
      <c r="AN4437">
        <v>1.00000000559945</v>
      </c>
    </row>
    <row r="4438" spans="1:40" x14ac:dyDescent="0.25">
      <c r="A4438" t="str">
        <f>"20190305135324243"</f>
        <v>20190305135324243</v>
      </c>
      <c r="B4438" t="str">
        <f>"1551765204234227"</f>
        <v>1551765204234227</v>
      </c>
      <c r="C4438" t="s">
        <v>40</v>
      </c>
      <c r="D4438">
        <v>4.2116319999999998</v>
      </c>
      <c r="E4438">
        <v>0.39371679999999998</v>
      </c>
      <c r="F4438" t="s">
        <v>41</v>
      </c>
      <c r="G4438">
        <v>-393.94040000000001</v>
      </c>
      <c r="H4438">
        <v>1.0516270000000001</v>
      </c>
      <c r="I4438">
        <v>140.953</v>
      </c>
      <c r="J4438">
        <v>-393.46019999999999</v>
      </c>
      <c r="K4438">
        <v>1.1153820000000001</v>
      </c>
      <c r="L4438">
        <v>141.4795</v>
      </c>
      <c r="M4438">
        <v>-0.99790520000000005</v>
      </c>
      <c r="N4438">
        <v>-2.8854669999999999E-2</v>
      </c>
      <c r="O4438">
        <v>-5.7902019999999998E-2</v>
      </c>
      <c r="P4438">
        <v>-0.93319870000000005</v>
      </c>
      <c r="Q4438">
        <v>4.4010059999999997E-2</v>
      </c>
      <c r="R4438">
        <v>-0.35665580000000002</v>
      </c>
      <c r="S4438">
        <v>-2.5241699999999998</v>
      </c>
      <c r="T4438">
        <v>-0.21496380000000001</v>
      </c>
      <c r="U4438">
        <v>-1.8454900000000001</v>
      </c>
      <c r="V4438">
        <v>-0.30263089999999998</v>
      </c>
      <c r="W4438">
        <v>6.8750759999999994E-2</v>
      </c>
      <c r="X4438">
        <v>0.95062500000000005</v>
      </c>
      <c r="Y4438">
        <v>-0.54063030000000001</v>
      </c>
      <c r="Z4438">
        <v>-2.631037E-2</v>
      </c>
      <c r="AA4438">
        <v>0.84084869999999901</v>
      </c>
      <c r="AB4438">
        <v>27</v>
      </c>
      <c r="AC4438">
        <v>-0.480200000000024</v>
      </c>
      <c r="AD4438">
        <v>-6.3754999999999701E-2</v>
      </c>
      <c r="AE4438">
        <v>-0.52649999999999797</v>
      </c>
      <c r="AF4438">
        <v>-0.49384675172506498</v>
      </c>
      <c r="AG4438">
        <v>-6.3754999999999701E-2</v>
      </c>
      <c r="AH4438">
        <v>0.50584271611823395</v>
      </c>
      <c r="AI4438">
        <v>95.153261897031499</v>
      </c>
      <c r="AJ4438">
        <v>134.31250136536801</v>
      </c>
      <c r="AK4438">
        <v>0.70980713413170904</v>
      </c>
      <c r="AL4438">
        <v>86.057761874634096</v>
      </c>
      <c r="AM4438">
        <v>107.658842906825</v>
      </c>
      <c r="AN4438">
        <v>1.00000000963019</v>
      </c>
    </row>
    <row r="4439" spans="1:40" x14ac:dyDescent="0.25">
      <c r="A4439" t="str">
        <f>"20190305135324264"</f>
        <v>20190305135324264</v>
      </c>
      <c r="B4439" t="str">
        <f>"1551765204254723"</f>
        <v>1551765204254723</v>
      </c>
      <c r="C4439" t="s">
        <v>40</v>
      </c>
      <c r="D4439">
        <v>4.1881139999999997</v>
      </c>
      <c r="E4439">
        <v>0.3938991</v>
      </c>
      <c r="F4439" t="s">
        <v>41</v>
      </c>
      <c r="G4439">
        <v>-394.17770000000002</v>
      </c>
      <c r="H4439">
        <v>1.053841</v>
      </c>
      <c r="I4439">
        <v>140.94999999999999</v>
      </c>
      <c r="J4439">
        <v>-393.70549999999997</v>
      </c>
      <c r="K4439">
        <v>1.115408</v>
      </c>
      <c r="L4439">
        <v>141.45949999999999</v>
      </c>
      <c r="M4439">
        <v>-0.99760970000000004</v>
      </c>
      <c r="N4439">
        <v>-2.9207879999999999E-2</v>
      </c>
      <c r="O4439">
        <v>-6.2624899999999997E-2</v>
      </c>
      <c r="P4439">
        <v>-0.93115510000000001</v>
      </c>
      <c r="Q4439">
        <v>4.2548200000000001E-2</v>
      </c>
      <c r="R4439">
        <v>-0.36213230000000002</v>
      </c>
      <c r="S4439">
        <v>-2.5154719999999999</v>
      </c>
      <c r="T4439">
        <v>-0.21577689999999999</v>
      </c>
      <c r="U4439">
        <v>-1.856277</v>
      </c>
      <c r="V4439">
        <v>-0.303703</v>
      </c>
      <c r="W4439">
        <v>6.7606639999999996E-2</v>
      </c>
      <c r="X4439">
        <v>0.95036509999999996</v>
      </c>
      <c r="Y4439">
        <v>-0.54035829999999996</v>
      </c>
      <c r="Z4439">
        <v>-2.628583E-2</v>
      </c>
      <c r="AA4439">
        <v>0.84102429999999995</v>
      </c>
      <c r="AB4439">
        <v>27</v>
      </c>
      <c r="AC4439">
        <v>-0.47220000000004297</v>
      </c>
      <c r="AD4439">
        <v>-6.15669999999999E-2</v>
      </c>
      <c r="AE4439">
        <v>-0.50950000000000195</v>
      </c>
      <c r="AF4439">
        <v>-0.47518244607826499</v>
      </c>
      <c r="AG4439">
        <v>-6.15669999999999E-2</v>
      </c>
      <c r="AH4439">
        <v>0.49927160715374003</v>
      </c>
      <c r="AI4439">
        <v>95.1043508577945</v>
      </c>
      <c r="AJ4439">
        <v>133.583898125839</v>
      </c>
      <c r="AK4439">
        <v>0.69199782532881005</v>
      </c>
      <c r="AL4439">
        <v>86.123467964421195</v>
      </c>
      <c r="AM4439">
        <v>107.722037073545</v>
      </c>
      <c r="AN4439">
        <v>0.99999999663954897</v>
      </c>
    </row>
    <row r="4440" spans="1:40" x14ac:dyDescent="0.25">
      <c r="A4440" t="str">
        <f>"20190305135324287"</f>
        <v>20190305135324287</v>
      </c>
      <c r="B4440" t="str">
        <f>"1551765204284980"</f>
        <v>1551765204284980</v>
      </c>
      <c r="C4440" t="s">
        <v>40</v>
      </c>
      <c r="D4440">
        <v>4.2002550000000003</v>
      </c>
      <c r="E4440">
        <v>0.39415410000000001</v>
      </c>
      <c r="F4440" t="s">
        <v>41</v>
      </c>
      <c r="G4440">
        <v>-394.40879999999999</v>
      </c>
      <c r="H4440">
        <v>1.0537510000000001</v>
      </c>
      <c r="I4440">
        <v>140.93459999999999</v>
      </c>
      <c r="J4440">
        <v>-393.96539999999999</v>
      </c>
      <c r="K4440">
        <v>1.115434</v>
      </c>
      <c r="L4440">
        <v>141.43680000000001</v>
      </c>
      <c r="M4440">
        <v>-0.99726420000000005</v>
      </c>
      <c r="N4440">
        <v>-2.957011E-2</v>
      </c>
      <c r="O4440">
        <v>-6.7749920000000005E-2</v>
      </c>
      <c r="P4440">
        <v>-0.9291644</v>
      </c>
      <c r="Q4440">
        <v>4.1000370000000001E-2</v>
      </c>
      <c r="R4440">
        <v>-0.36738680000000001</v>
      </c>
      <c r="S4440">
        <v>-2.5047000000000001</v>
      </c>
      <c r="T4440">
        <v>-0.21957080000000001</v>
      </c>
      <c r="U4440">
        <v>-1.86972</v>
      </c>
      <c r="V4440">
        <v>-0.3041722</v>
      </c>
      <c r="W4440">
        <v>6.6400580000000001E-2</v>
      </c>
      <c r="X4440">
        <v>0.95030009999999998</v>
      </c>
      <c r="Y4440">
        <v>-0.54061040000000005</v>
      </c>
      <c r="Z4440">
        <v>-2.6495790000000002E-2</v>
      </c>
      <c r="AA4440">
        <v>0.84085580000000004</v>
      </c>
      <c r="AB4440">
        <v>26</v>
      </c>
      <c r="AC4440">
        <v>-0.44339999999999602</v>
      </c>
      <c r="AD4440">
        <v>-6.1682999999999898E-2</v>
      </c>
      <c r="AE4440">
        <v>-0.50220000000001597</v>
      </c>
      <c r="AF4440">
        <v>-0.46703236315243102</v>
      </c>
      <c r="AG4440">
        <v>-6.1682999999999898E-2</v>
      </c>
      <c r="AH4440">
        <v>0.47241429948407199</v>
      </c>
      <c r="AI4440">
        <v>95.304938529775697</v>
      </c>
      <c r="AJ4440">
        <v>134.67176543778001</v>
      </c>
      <c r="AK4440">
        <v>0.66715762086464303</v>
      </c>
      <c r="AL4440">
        <v>86.192725854848803</v>
      </c>
      <c r="AM4440">
        <v>107.74883729733401</v>
      </c>
      <c r="AN4440">
        <v>1.0000000221685901</v>
      </c>
    </row>
    <row r="4441" spans="1:40" x14ac:dyDescent="0.25">
      <c r="A4441" t="str">
        <f>"20190305135324310"</f>
        <v>20190305135324310</v>
      </c>
      <c r="B4441" t="str">
        <f>"1551765204304500"</f>
        <v>1551765204304500</v>
      </c>
      <c r="C4441" t="s">
        <v>40</v>
      </c>
      <c r="D4441">
        <v>4.1988519999999996</v>
      </c>
      <c r="E4441">
        <v>0.39432129999999999</v>
      </c>
      <c r="F4441" t="s">
        <v>41</v>
      </c>
      <c r="G4441">
        <v>-394.82810000000001</v>
      </c>
      <c r="H4441">
        <v>1.0382049999999901</v>
      </c>
      <c r="I4441">
        <v>140.78630000000001</v>
      </c>
      <c r="J4441">
        <v>-394.22039999999998</v>
      </c>
      <c r="K4441">
        <v>1.1154569999999999</v>
      </c>
      <c r="L4441">
        <v>141.41309999999999</v>
      </c>
      <c r="M4441">
        <v>-0.99689079999999997</v>
      </c>
      <c r="N4441">
        <v>-2.9914199999999998E-2</v>
      </c>
      <c r="O4441">
        <v>-7.2898039999999997E-2</v>
      </c>
      <c r="P4441">
        <v>-0.92707209999999995</v>
      </c>
      <c r="Q4441">
        <v>3.9910689999999999E-2</v>
      </c>
      <c r="R4441">
        <v>-0.3727531</v>
      </c>
      <c r="S4441">
        <v>-2.4944760000000001</v>
      </c>
      <c r="T4441">
        <v>-0.2232876</v>
      </c>
      <c r="U4441">
        <v>-1.8818820000000001</v>
      </c>
      <c r="V4441">
        <v>-0.30474800000000002</v>
      </c>
      <c r="W4441">
        <v>6.5640729999999994E-2</v>
      </c>
      <c r="X4441">
        <v>0.95016840000000002</v>
      </c>
      <c r="Y4441">
        <v>-0.54048130000000005</v>
      </c>
      <c r="Z4441">
        <v>-2.6659619999999998E-2</v>
      </c>
      <c r="AA4441">
        <v>0.84093359999999995</v>
      </c>
      <c r="AB4441">
        <v>26</v>
      </c>
      <c r="AC4441">
        <v>-0.607700000000022</v>
      </c>
      <c r="AD4441">
        <v>-7.7252000000000098E-2</v>
      </c>
      <c r="AE4441">
        <v>-0.62679999999997404</v>
      </c>
      <c r="AF4441">
        <v>-0.57629843888379095</v>
      </c>
      <c r="AG4441">
        <v>-7.7252000000000098E-2</v>
      </c>
      <c r="AH4441">
        <v>0.64673072664247999</v>
      </c>
      <c r="AI4441">
        <v>95.0961734774977</v>
      </c>
      <c r="AJ4441">
        <v>131.704068318613</v>
      </c>
      <c r="AK4441">
        <v>0.86968292782335599</v>
      </c>
      <c r="AL4441">
        <v>86.236357232242298</v>
      </c>
      <c r="AM4441">
        <v>107.782631104788</v>
      </c>
      <c r="AN4441">
        <v>1.0000000186487401</v>
      </c>
    </row>
    <row r="4442" spans="1:40" x14ac:dyDescent="0.25">
      <c r="A4442" t="str">
        <f>"20190305135324331"</f>
        <v>20190305135324331</v>
      </c>
      <c r="B4442" t="str">
        <f>"1551765204324019"</f>
        <v>1551765204324019</v>
      </c>
      <c r="C4442" t="s">
        <v>40</v>
      </c>
      <c r="D4442">
        <v>4.2022760000000003</v>
      </c>
      <c r="E4442">
        <v>0.39443440000000002</v>
      </c>
      <c r="F4442" t="s">
        <v>41</v>
      </c>
      <c r="G4442">
        <v>-395.0523</v>
      </c>
      <c r="H4442">
        <v>1.0398689999999999</v>
      </c>
      <c r="I4442">
        <v>140.7783</v>
      </c>
      <c r="J4442">
        <v>-394.47120000000001</v>
      </c>
      <c r="K4442">
        <v>1.1154660000000001</v>
      </c>
      <c r="L4442">
        <v>141.38820000000001</v>
      </c>
      <c r="M4442">
        <v>-0.99648990000000004</v>
      </c>
      <c r="N4442">
        <v>-3.0236840000000001E-2</v>
      </c>
      <c r="O4442">
        <v>-7.8062039999999999E-2</v>
      </c>
      <c r="P4442">
        <v>-0.92480050000000003</v>
      </c>
      <c r="Q4442">
        <v>4.0663730000000002E-2</v>
      </c>
      <c r="R4442">
        <v>-0.37827339999999998</v>
      </c>
      <c r="S4442">
        <v>-2.483673</v>
      </c>
      <c r="T4442">
        <v>-0.2256454</v>
      </c>
      <c r="U4442">
        <v>-1.8951420000000001</v>
      </c>
      <c r="V4442">
        <v>-0.30549700000000002</v>
      </c>
      <c r="W4442">
        <v>6.6707920000000004E-2</v>
      </c>
      <c r="X4442">
        <v>0.94985350000000002</v>
      </c>
      <c r="Y4442">
        <v>-0.54068700000000003</v>
      </c>
      <c r="Z4442">
        <v>-2.6732019999999999E-2</v>
      </c>
      <c r="AA4442">
        <v>0.84079899999999996</v>
      </c>
      <c r="AB4442">
        <v>25</v>
      </c>
      <c r="AC4442">
        <v>-0.58109999999999196</v>
      </c>
      <c r="AD4442">
        <v>-7.55969999999999E-2</v>
      </c>
      <c r="AE4442">
        <v>-0.60990000000000999</v>
      </c>
      <c r="AF4442">
        <v>-0.55815968440796104</v>
      </c>
      <c r="AG4442">
        <v>-7.55969999999999E-2</v>
      </c>
      <c r="AH4442">
        <v>0.62194836913834095</v>
      </c>
      <c r="AI4442">
        <v>95.168998631831997</v>
      </c>
      <c r="AJ4442">
        <v>131.905987435969</v>
      </c>
      <c r="AK4442">
        <v>0.839092911173272</v>
      </c>
      <c r="AL4442">
        <v>86.175077422605398</v>
      </c>
      <c r="AM4442">
        <v>107.829109087056</v>
      </c>
      <c r="AN4442">
        <v>1.00000001753098</v>
      </c>
    </row>
    <row r="4443" spans="1:40" x14ac:dyDescent="0.25">
      <c r="A4443" t="str">
        <f>"20190305135324354"</f>
        <v>20190305135324354</v>
      </c>
      <c r="B4443" t="str">
        <f>"1551765204344515"</f>
        <v>1551765204344515</v>
      </c>
      <c r="C4443" t="s">
        <v>40</v>
      </c>
      <c r="D4443">
        <v>4.2090069999999997</v>
      </c>
      <c r="E4443">
        <v>0.39453579999999999</v>
      </c>
      <c r="F4443" t="s">
        <v>41</v>
      </c>
      <c r="G4443">
        <v>-395.27350000000001</v>
      </c>
      <c r="H4443">
        <v>1.04328</v>
      </c>
      <c r="I4443">
        <v>140.76910000000001</v>
      </c>
      <c r="J4443">
        <v>-394.71179999999998</v>
      </c>
      <c r="K4443">
        <v>1.1154630000000001</v>
      </c>
      <c r="L4443">
        <v>141.3631</v>
      </c>
      <c r="M4443">
        <v>-0.99607380000000001</v>
      </c>
      <c r="N4443">
        <v>-3.054349E-2</v>
      </c>
      <c r="O4443">
        <v>-8.3091479999999995E-2</v>
      </c>
      <c r="P4443">
        <v>-0.92247650000000003</v>
      </c>
      <c r="Q4443">
        <v>4.1496529999999997E-2</v>
      </c>
      <c r="R4443">
        <v>-0.38381680000000001</v>
      </c>
      <c r="S4443">
        <v>-2.472931</v>
      </c>
      <c r="T4443">
        <v>-0.2225077</v>
      </c>
      <c r="U4443">
        <v>-1.908936</v>
      </c>
      <c r="V4443">
        <v>-0.30640849999999997</v>
      </c>
      <c r="W4443">
        <v>6.7848320000000004E-2</v>
      </c>
      <c r="X4443">
        <v>0.94947899999999996</v>
      </c>
      <c r="Y4443">
        <v>-0.54118569999999999</v>
      </c>
      <c r="Z4443">
        <v>-2.6447310000000002E-2</v>
      </c>
      <c r="AA4443">
        <v>0.84048709999999904</v>
      </c>
      <c r="AB4443">
        <v>25</v>
      </c>
      <c r="AC4443">
        <v>-0.56170000000002995</v>
      </c>
      <c r="AD4443">
        <v>-7.2182999999999803E-2</v>
      </c>
      <c r="AE4443">
        <v>-0.59399999999999398</v>
      </c>
      <c r="AF4443">
        <v>-0.54103184265049997</v>
      </c>
      <c r="AG4443">
        <v>-7.2182999999999803E-2</v>
      </c>
      <c r="AH4443">
        <v>0.60442308851260496</v>
      </c>
      <c r="AI4443">
        <v>95.084967477663696</v>
      </c>
      <c r="AJ4443">
        <v>131.832394185369</v>
      </c>
      <c r="AK4443">
        <v>0.81440353030786405</v>
      </c>
      <c r="AL4443">
        <v>86.109588738084597</v>
      </c>
      <c r="AM4443">
        <v>107.88552580538099</v>
      </c>
      <c r="AN4443">
        <v>0.99999996742003505</v>
      </c>
    </row>
    <row r="4444" spans="1:40" x14ac:dyDescent="0.25">
      <c r="A4444" t="str">
        <f>"20190305135324376"</f>
        <v>20190305135324376</v>
      </c>
      <c r="B4444" t="str">
        <f>"1551765204364037"</f>
        <v>1551765204364037</v>
      </c>
      <c r="C4444" t="s">
        <v>40</v>
      </c>
      <c r="D4444">
        <v>4.2145609999999998</v>
      </c>
      <c r="E4444">
        <v>0.39465139999999999</v>
      </c>
      <c r="F4444" t="s">
        <v>41</v>
      </c>
      <c r="G4444">
        <v>-395.49020000000002</v>
      </c>
      <c r="H4444">
        <v>1.046287</v>
      </c>
      <c r="I4444">
        <v>140.755</v>
      </c>
      <c r="J4444">
        <v>-394.94720000000001</v>
      </c>
      <c r="K4444">
        <v>1.1154550000000001</v>
      </c>
      <c r="L4444">
        <v>141.3372</v>
      </c>
      <c r="M4444">
        <v>-0.99563559999999995</v>
      </c>
      <c r="N4444">
        <v>-3.0873970000000001E-2</v>
      </c>
      <c r="O4444">
        <v>-8.8070229999999999E-2</v>
      </c>
      <c r="P4444">
        <v>-0.92022729999999997</v>
      </c>
      <c r="Q4444">
        <v>4.1354200000000001E-2</v>
      </c>
      <c r="R4444">
        <v>-0.38919330000000002</v>
      </c>
      <c r="S4444">
        <v>-2.4617610000000001</v>
      </c>
      <c r="T4444">
        <v>-0.2187644</v>
      </c>
      <c r="U4444">
        <v>-1.923035</v>
      </c>
      <c r="V4444">
        <v>-0.3071932</v>
      </c>
      <c r="W4444">
        <v>6.8053849999999999E-2</v>
      </c>
      <c r="X4444">
        <v>0.94921069999999996</v>
      </c>
      <c r="Y4444">
        <v>-0.54186669999999904</v>
      </c>
      <c r="Z4444">
        <v>-2.6158219999999999E-2</v>
      </c>
      <c r="AA4444">
        <v>0.84005730000000001</v>
      </c>
      <c r="AB4444">
        <v>25</v>
      </c>
      <c r="AC4444">
        <v>-0.54300000000000603</v>
      </c>
      <c r="AD4444">
        <v>-6.9167999999999605E-2</v>
      </c>
      <c r="AE4444">
        <v>-0.58220000000000005</v>
      </c>
      <c r="AF4444">
        <v>-0.52810428007939403</v>
      </c>
      <c r="AG4444">
        <v>-6.9167999999999605E-2</v>
      </c>
      <c r="AH4444">
        <v>0.58775040960756397</v>
      </c>
      <c r="AI4444">
        <v>95.002763940385506</v>
      </c>
      <c r="AJ4444">
        <v>131.94026272229999</v>
      </c>
      <c r="AK4444">
        <v>0.79317645379577095</v>
      </c>
      <c r="AL4444">
        <v>86.0977854678911</v>
      </c>
      <c r="AM4444">
        <v>107.93314451232401</v>
      </c>
      <c r="AN4444">
        <v>0.99999997081027503</v>
      </c>
    </row>
    <row r="4445" spans="1:40" x14ac:dyDescent="0.25">
      <c r="A4445" t="str">
        <f>"20190305135324398"</f>
        <v>20190305135324398</v>
      </c>
      <c r="B4445" t="str">
        <f>"1551765204394292"</f>
        <v>1551765204394292</v>
      </c>
      <c r="C4445" t="s">
        <v>40</v>
      </c>
      <c r="D4445">
        <v>4.2241759999999999</v>
      </c>
      <c r="E4445">
        <v>0.3948296</v>
      </c>
      <c r="F4445" t="s">
        <v>41</v>
      </c>
      <c r="G4445">
        <v>-395.70350000000002</v>
      </c>
      <c r="H4445">
        <v>1.048073</v>
      </c>
      <c r="I4445">
        <v>140.7397</v>
      </c>
      <c r="J4445">
        <v>-395.17809999999997</v>
      </c>
      <c r="K4445">
        <v>1.115429</v>
      </c>
      <c r="L4445">
        <v>141.31059999999999</v>
      </c>
      <c r="M4445">
        <v>-0.9951757</v>
      </c>
      <c r="N4445">
        <v>-3.1210709999999999E-2</v>
      </c>
      <c r="O4445">
        <v>-9.3012339999999999E-2</v>
      </c>
      <c r="P4445">
        <v>-0.91783289999999995</v>
      </c>
      <c r="Q4445">
        <v>4.0860050000000002E-2</v>
      </c>
      <c r="R4445">
        <v>-0.39485910000000002</v>
      </c>
      <c r="S4445">
        <v>-2.4506839999999999</v>
      </c>
      <c r="T4445">
        <v>-0.21833379999999999</v>
      </c>
      <c r="U4445">
        <v>-1.93689</v>
      </c>
      <c r="V4445">
        <v>-0.3083166</v>
      </c>
      <c r="W4445">
        <v>6.7917309999999995E-2</v>
      </c>
      <c r="X4445">
        <v>0.94885620000000004</v>
      </c>
      <c r="Y4445">
        <v>-0.5424641</v>
      </c>
      <c r="Z4445">
        <v>-2.6094050000000001E-2</v>
      </c>
      <c r="AA4445">
        <v>0.83967359999999902</v>
      </c>
      <c r="AB4445">
        <v>24</v>
      </c>
      <c r="AC4445">
        <v>-0.52540000000004705</v>
      </c>
      <c r="AD4445">
        <v>-6.7355999999999902E-2</v>
      </c>
      <c r="AE4445">
        <v>-0.57089999999999397</v>
      </c>
      <c r="AF4445">
        <v>-0.51564399447466103</v>
      </c>
      <c r="AG4445">
        <v>-6.7355999999999902E-2</v>
      </c>
      <c r="AH4445">
        <v>0.57193630359513803</v>
      </c>
      <c r="AI4445">
        <v>94.998822710277494</v>
      </c>
      <c r="AJ4445">
        <v>132.03705911498699</v>
      </c>
      <c r="AK4445">
        <v>0.77300497743795504</v>
      </c>
      <c r="AL4445">
        <v>86.105626841580303</v>
      </c>
      <c r="AM4445">
        <v>108.000793688646</v>
      </c>
      <c r="AN4445">
        <v>0.99999998755581798</v>
      </c>
    </row>
    <row r="4446" spans="1:40" x14ac:dyDescent="0.25">
      <c r="A4446" t="str">
        <f>"20190305135324421"</f>
        <v>20190305135324421</v>
      </c>
      <c r="B4446" t="str">
        <f>"1551765204414791"</f>
        <v>1551765204414791</v>
      </c>
      <c r="C4446" t="s">
        <v>40</v>
      </c>
      <c r="D4446">
        <v>4.2399719999999999</v>
      </c>
      <c r="E4446">
        <v>0.3949281</v>
      </c>
      <c r="F4446" t="s">
        <v>41</v>
      </c>
      <c r="G4446">
        <v>-395.91309999999999</v>
      </c>
      <c r="H4446">
        <v>1.0491779999999999</v>
      </c>
      <c r="I4446">
        <v>140.72290000000001</v>
      </c>
      <c r="J4446">
        <v>-395.41629999999998</v>
      </c>
      <c r="K4446">
        <v>1.115391</v>
      </c>
      <c r="L4446">
        <v>141.28190000000001</v>
      </c>
      <c r="M4446">
        <v>-0.99467039999999995</v>
      </c>
      <c r="N4446">
        <v>-3.1537919999999997E-2</v>
      </c>
      <c r="O4446">
        <v>-9.8163490000000006E-2</v>
      </c>
      <c r="P4446">
        <v>-0.91528580000000004</v>
      </c>
      <c r="Q4446">
        <v>4.0089800000000002E-2</v>
      </c>
      <c r="R4446">
        <v>-0.40080490000000002</v>
      </c>
      <c r="S4446">
        <v>-2.439362</v>
      </c>
      <c r="T4446">
        <v>-0.219884</v>
      </c>
      <c r="U4446">
        <v>-1.9502109999999999</v>
      </c>
      <c r="V4446">
        <v>-0.30953900000000001</v>
      </c>
      <c r="W4446">
        <v>6.7499610000000002E-2</v>
      </c>
      <c r="X4446">
        <v>0.94848790000000005</v>
      </c>
      <c r="Y4446">
        <v>-0.54278649999999995</v>
      </c>
      <c r="Z4446">
        <v>-2.6129349999999999E-2</v>
      </c>
      <c r="AA4446">
        <v>0.83946409999999905</v>
      </c>
      <c r="AB4446">
        <v>24</v>
      </c>
      <c r="AC4446">
        <v>-0.49680000000000701</v>
      </c>
      <c r="AD4446">
        <v>-6.62129999999998E-2</v>
      </c>
      <c r="AE4446">
        <v>-0.55899999999999705</v>
      </c>
      <c r="AF4446">
        <v>-0.50355832545044199</v>
      </c>
      <c r="AG4446">
        <v>-6.62129999999998E-2</v>
      </c>
      <c r="AH4446">
        <v>0.54502657042094305</v>
      </c>
      <c r="AI4446">
        <v>95.099050022274895</v>
      </c>
      <c r="AJ4446">
        <v>132.735311692696</v>
      </c>
      <c r="AK4446">
        <v>0.74498933614130902</v>
      </c>
      <c r="AL4446">
        <v>86.129614164790098</v>
      </c>
      <c r="AM4446">
        <v>108.074092189932</v>
      </c>
      <c r="AN4446">
        <v>0.99999994315877905</v>
      </c>
    </row>
    <row r="4447" spans="1:40" x14ac:dyDescent="0.25">
      <c r="A4447" t="str">
        <f>"20190305135324443"</f>
        <v>20190305135324443</v>
      </c>
      <c r="B4447" t="str">
        <f>"1551765204434307"</f>
        <v>1551765204434307</v>
      </c>
      <c r="C4447" t="s">
        <v>40</v>
      </c>
      <c r="D4447">
        <v>4.2154720000000001</v>
      </c>
      <c r="E4447">
        <v>0.39497070000000001</v>
      </c>
      <c r="F4447" t="s">
        <v>41</v>
      </c>
      <c r="G4447">
        <v>-396.12150000000003</v>
      </c>
      <c r="H4447">
        <v>1.050602</v>
      </c>
      <c r="I4447">
        <v>140.71119999999999</v>
      </c>
      <c r="J4447">
        <v>-395.6404</v>
      </c>
      <c r="K4447">
        <v>1.1153459999999999</v>
      </c>
      <c r="L4447">
        <v>141.25360000000001</v>
      </c>
      <c r="M4447">
        <v>-0.99416780000000005</v>
      </c>
      <c r="N4447">
        <v>-3.1817980000000003E-2</v>
      </c>
      <c r="O4447">
        <v>-0.1030433</v>
      </c>
      <c r="P4447">
        <v>-0.91290380000000004</v>
      </c>
      <c r="Q4447">
        <v>3.9727739999999997E-2</v>
      </c>
      <c r="R4447">
        <v>-0.4062366</v>
      </c>
      <c r="S4447">
        <v>-2.4270320000000001</v>
      </c>
      <c r="T4447">
        <v>-0.2230028</v>
      </c>
      <c r="U4447">
        <v>-1.9648589999999999</v>
      </c>
      <c r="V4447">
        <v>-0.310506</v>
      </c>
      <c r="W4447">
        <v>6.7448709999999995E-2</v>
      </c>
      <c r="X4447">
        <v>0.9481754</v>
      </c>
      <c r="Y4447">
        <v>-0.54376069999999999</v>
      </c>
      <c r="Z4447">
        <v>-2.6293279999999999E-2</v>
      </c>
      <c r="AA4447">
        <v>0.83882829999999997</v>
      </c>
      <c r="AB4447">
        <v>24</v>
      </c>
      <c r="AC4447">
        <v>-0.48110000000002601</v>
      </c>
      <c r="AD4447">
        <v>-6.4743999999999899E-2</v>
      </c>
      <c r="AE4447">
        <v>-0.54240000000001398</v>
      </c>
      <c r="AF4447">
        <v>-0.48603471664366299</v>
      </c>
      <c r="AG4447">
        <v>-6.4743999999999899E-2</v>
      </c>
      <c r="AH4447">
        <v>0.53022719509254601</v>
      </c>
      <c r="AI4447">
        <v>95.143425764396795</v>
      </c>
      <c r="AJ4447">
        <v>132.51004315703801</v>
      </c>
      <c r="AK4447">
        <v>0.722192778788735</v>
      </c>
      <c r="AL4447">
        <v>86.132537195887394</v>
      </c>
      <c r="AM4447">
        <v>108.132451165364</v>
      </c>
      <c r="AN4447">
        <v>0.99999994684090998</v>
      </c>
    </row>
    <row r="4448" spans="1:40" x14ac:dyDescent="0.25">
      <c r="A4448" t="str">
        <f>"20190305135324465"</f>
        <v>20190305135324465</v>
      </c>
      <c r="B4448" t="str">
        <f>"1551765204454803"</f>
        <v>1551765204454803</v>
      </c>
      <c r="C4448" t="s">
        <v>40</v>
      </c>
      <c r="D4448">
        <v>4.2367239999999997</v>
      </c>
      <c r="E4448">
        <v>0.395063</v>
      </c>
      <c r="F4448" t="s">
        <v>41</v>
      </c>
      <c r="G4448">
        <v>-396.32470000000001</v>
      </c>
      <c r="H4448">
        <v>1.0518369999999999</v>
      </c>
      <c r="I4448">
        <v>140.69319999999999</v>
      </c>
      <c r="J4448">
        <v>-395.85860000000002</v>
      </c>
      <c r="K4448">
        <v>1.115291</v>
      </c>
      <c r="L4448">
        <v>141.22499999999999</v>
      </c>
      <c r="M4448">
        <v>-0.99365490000000001</v>
      </c>
      <c r="N4448">
        <v>-3.2069390000000003E-2</v>
      </c>
      <c r="O4448">
        <v>-0.1078035</v>
      </c>
      <c r="P4448">
        <v>-0.91061599999999998</v>
      </c>
      <c r="Q4448">
        <v>3.974544E-2</v>
      </c>
      <c r="R4448">
        <v>-0.41133839999999999</v>
      </c>
      <c r="S4448">
        <v>-2.4154360000000001</v>
      </c>
      <c r="T4448">
        <v>-0.2241737</v>
      </c>
      <c r="U4448">
        <v>-1.9788669999999999</v>
      </c>
      <c r="V4448">
        <v>-0.31125799999999998</v>
      </c>
      <c r="W4448">
        <v>6.7757460000000005E-2</v>
      </c>
      <c r="X4448">
        <v>0.9479069</v>
      </c>
      <c r="Y4448">
        <v>-0.544604599999999</v>
      </c>
      <c r="Z4448">
        <v>-2.6317879999999998E-2</v>
      </c>
      <c r="AA4448">
        <v>0.83827989999999997</v>
      </c>
      <c r="AB4448">
        <v>23</v>
      </c>
      <c r="AC4448">
        <v>-0.46609999999998297</v>
      </c>
      <c r="AD4448">
        <v>-6.3453999999999899E-2</v>
      </c>
      <c r="AE4448">
        <v>-0.53180000000000305</v>
      </c>
      <c r="AF4448">
        <v>-0.47460308915066102</v>
      </c>
      <c r="AG4448">
        <v>-6.3453999999999899E-2</v>
      </c>
      <c r="AH4448">
        <v>0.51658083964898904</v>
      </c>
      <c r="AI4448">
        <v>95.168600444607506</v>
      </c>
      <c r="AJ4448">
        <v>132.57490871177399</v>
      </c>
      <c r="AK4448">
        <v>0.70436515121051002</v>
      </c>
      <c r="AL4448">
        <v>86.114806975538102</v>
      </c>
      <c r="AM4448">
        <v>108.17829095513601</v>
      </c>
      <c r="AN4448">
        <v>1.00000005350862</v>
      </c>
    </row>
    <row r="4449" spans="1:40" x14ac:dyDescent="0.25">
      <c r="A4449" t="str">
        <f>"20190305135324487"</f>
        <v>20190305135324487</v>
      </c>
      <c r="B4449" t="str">
        <f>"1551765204484085"</f>
        <v>1551765204484085</v>
      </c>
      <c r="C4449" t="s">
        <v>40</v>
      </c>
      <c r="D4449">
        <v>4.2419399999999996</v>
      </c>
      <c r="E4449">
        <v>0.39518639999999999</v>
      </c>
      <c r="F4449" t="s">
        <v>41</v>
      </c>
      <c r="G4449">
        <v>-396.52440000000001</v>
      </c>
      <c r="H4449">
        <v>1.0532520000000001</v>
      </c>
      <c r="I4449">
        <v>140.6738</v>
      </c>
      <c r="J4449">
        <v>-396.07530000000003</v>
      </c>
      <c r="K4449">
        <v>1.115219</v>
      </c>
      <c r="L4449">
        <v>141.19540000000001</v>
      </c>
      <c r="M4449">
        <v>-0.9931217</v>
      </c>
      <c r="N4449">
        <v>-3.2296770000000002E-2</v>
      </c>
      <c r="O4449">
        <v>-0.11254450000000001</v>
      </c>
      <c r="P4449">
        <v>-0.90844769999999997</v>
      </c>
      <c r="Q4449">
        <v>4.030678E-2</v>
      </c>
      <c r="R4449">
        <v>-0.41605110000000001</v>
      </c>
      <c r="S4449">
        <v>-2.404633</v>
      </c>
      <c r="T4449">
        <v>-0.22405050000000001</v>
      </c>
      <c r="U4449">
        <v>-1.9914400000000001</v>
      </c>
      <c r="V4449">
        <v>-0.31163770000000002</v>
      </c>
      <c r="W4449">
        <v>6.8601410000000002E-2</v>
      </c>
      <c r="X4449">
        <v>0.94772140000000005</v>
      </c>
      <c r="Y4449">
        <v>-0.54505059999999905</v>
      </c>
      <c r="Z4449">
        <v>-2.6230590000000002E-2</v>
      </c>
      <c r="AA4449">
        <v>0.83799279999999998</v>
      </c>
      <c r="AB4449">
        <v>23</v>
      </c>
      <c r="AC4449">
        <v>-0.44909999999998701</v>
      </c>
      <c r="AD4449">
        <v>-6.19669999999998E-2</v>
      </c>
      <c r="AE4449">
        <v>-0.52160000000000595</v>
      </c>
      <c r="AF4449">
        <v>-0.463952090109917</v>
      </c>
      <c r="AG4449">
        <v>-6.19669999999998E-2</v>
      </c>
      <c r="AH4449">
        <v>0.50091753906297798</v>
      </c>
      <c r="AI4449">
        <v>95.185883605554096</v>
      </c>
      <c r="AJ4449">
        <v>132.80599488242299</v>
      </c>
      <c r="AK4449">
        <v>0.68557263068712904</v>
      </c>
      <c r="AL4449">
        <v>86.066339333597696</v>
      </c>
      <c r="AM4449">
        <v>108.20233279062001</v>
      </c>
      <c r="AN4449">
        <v>1.0000000307666099</v>
      </c>
    </row>
    <row r="4450" spans="1:40" x14ac:dyDescent="0.25">
      <c r="A4450" t="str">
        <f>"20190305135324510"</f>
        <v>20190305135324510</v>
      </c>
      <c r="B4450" t="str">
        <f>"1551765204504579"</f>
        <v>1551765204504579</v>
      </c>
      <c r="C4450" t="s">
        <v>40</v>
      </c>
      <c r="D4450">
        <v>4.2894819999999996</v>
      </c>
      <c r="E4450">
        <v>0.39528160000000001</v>
      </c>
      <c r="F4450" t="s">
        <v>41</v>
      </c>
      <c r="G4450">
        <v>-396.87689999999998</v>
      </c>
      <c r="H4450">
        <v>1.041007</v>
      </c>
      <c r="I4450">
        <v>140.5249</v>
      </c>
      <c r="J4450">
        <v>-396.29809999999998</v>
      </c>
      <c r="K4450">
        <v>1.1151450000000001</v>
      </c>
      <c r="L4450">
        <v>141.16380000000001</v>
      </c>
      <c r="M4450">
        <v>-0.99254880000000001</v>
      </c>
      <c r="N4450">
        <v>-3.2505310000000003E-2</v>
      </c>
      <c r="O4450">
        <v>-0.1174325</v>
      </c>
      <c r="P4450">
        <v>-0.90642409999999995</v>
      </c>
      <c r="Q4450">
        <v>4.1163320000000003E-2</v>
      </c>
      <c r="R4450">
        <v>-0.42035840000000002</v>
      </c>
      <c r="S4450">
        <v>-2.3946529999999999</v>
      </c>
      <c r="T4450">
        <v>-0.22170190000000001</v>
      </c>
      <c r="U4450">
        <v>-2.003342</v>
      </c>
      <c r="V4450">
        <v>-0.31146299999999999</v>
      </c>
      <c r="W4450">
        <v>6.9740679999999999E-2</v>
      </c>
      <c r="X4450">
        <v>0.94769559999999997</v>
      </c>
      <c r="Y4450">
        <v>-0.54512399999999905</v>
      </c>
      <c r="Z4450">
        <v>-2.5978520000000001E-2</v>
      </c>
      <c r="AA4450">
        <v>0.8379529</v>
      </c>
      <c r="AB4450">
        <v>22</v>
      </c>
      <c r="AC4450">
        <v>-0.57880000000000098</v>
      </c>
      <c r="AD4450">
        <v>-7.4137999999999996E-2</v>
      </c>
      <c r="AE4450">
        <v>-0.63890000000000602</v>
      </c>
      <c r="AF4450">
        <v>-0.56231017863138999</v>
      </c>
      <c r="AG4450">
        <v>-7.4137999999999996E-2</v>
      </c>
      <c r="AH4450">
        <v>0.64508742369194905</v>
      </c>
      <c r="AI4450">
        <v>94.951387647865104</v>
      </c>
      <c r="AJ4450">
        <v>131.078030227146</v>
      </c>
      <c r="AK4450">
        <v>0.85896854671284895</v>
      </c>
      <c r="AL4450">
        <v>86.000906949995894</v>
      </c>
      <c r="AM4450">
        <v>108.19326378192299</v>
      </c>
      <c r="AN4450">
        <v>0.99999995653760998</v>
      </c>
    </row>
    <row r="4451" spans="1:40" x14ac:dyDescent="0.25">
      <c r="A4451" t="str">
        <f>"20190305135324532"</f>
        <v>20190305135324532</v>
      </c>
      <c r="B4451" t="str">
        <f>"1551765204524100"</f>
        <v>1551765204524100</v>
      </c>
      <c r="C4451" t="s">
        <v>40</v>
      </c>
      <c r="D4451">
        <v>4.4448869999999996</v>
      </c>
      <c r="E4451">
        <v>0.39531620000000001</v>
      </c>
      <c r="F4451" t="s">
        <v>41</v>
      </c>
      <c r="G4451">
        <v>-397.06950000000001</v>
      </c>
      <c r="H4451">
        <v>1.0447489999999999</v>
      </c>
      <c r="I4451">
        <v>140.51259999999999</v>
      </c>
      <c r="J4451">
        <v>-396.50599999999997</v>
      </c>
      <c r="K4451">
        <v>1.115065</v>
      </c>
      <c r="L4451">
        <v>141.13329999999999</v>
      </c>
      <c r="M4451">
        <v>-0.99199099999999996</v>
      </c>
      <c r="N4451">
        <v>-3.267631E-2</v>
      </c>
      <c r="O4451">
        <v>-0.1220079</v>
      </c>
      <c r="P4451">
        <v>-0.90440900000000002</v>
      </c>
      <c r="Q4451">
        <v>4.1115840000000001E-2</v>
      </c>
      <c r="R4451">
        <v>-0.42468129999999998</v>
      </c>
      <c r="S4451">
        <v>-2.3855900000000001</v>
      </c>
      <c r="T4451">
        <v>-0.2177153</v>
      </c>
      <c r="U4451">
        <v>-2.0140229999999999</v>
      </c>
      <c r="V4451">
        <v>-0.31159979999999998</v>
      </c>
      <c r="W4451">
        <v>6.9933819999999994E-2</v>
      </c>
      <c r="X4451">
        <v>0.94763640000000005</v>
      </c>
      <c r="Y4451">
        <v>-0.54507329999999998</v>
      </c>
      <c r="Z4451">
        <v>-2.5633800000000002E-2</v>
      </c>
      <c r="AA4451">
        <v>0.83799650000000003</v>
      </c>
      <c r="AB4451">
        <v>22</v>
      </c>
      <c r="AC4451">
        <v>-0.56350000000003297</v>
      </c>
      <c r="AD4451">
        <v>-7.0316000000000004E-2</v>
      </c>
      <c r="AE4451">
        <v>-0.62069999999999903</v>
      </c>
      <c r="AF4451">
        <v>-0.54344641130871796</v>
      </c>
      <c r="AG4451">
        <v>-7.0316000000000004E-2</v>
      </c>
      <c r="AH4451">
        <v>0.63061988644238598</v>
      </c>
      <c r="AI4451">
        <v>94.828093631001494</v>
      </c>
      <c r="AJ4451">
        <v>130.753626508027</v>
      </c>
      <c r="AK4451">
        <v>0.83543987395678698</v>
      </c>
      <c r="AL4451">
        <v>85.989813773691694</v>
      </c>
      <c r="AM4451">
        <v>108.201789918754</v>
      </c>
      <c r="AN4451">
        <v>0.99999996057239504</v>
      </c>
    </row>
    <row r="4452" spans="1:40" x14ac:dyDescent="0.25">
      <c r="A4452" t="str">
        <f>"20190305135324554"</f>
        <v>20190305135324554</v>
      </c>
      <c r="B4452" t="str">
        <f>"1551765204544596"</f>
        <v>1551765204544596</v>
      </c>
      <c r="C4452" t="s">
        <v>40</v>
      </c>
      <c r="D4452">
        <v>4.3805639999999997</v>
      </c>
      <c r="E4452">
        <v>0.39535500000000001</v>
      </c>
      <c r="F4452" t="s">
        <v>41</v>
      </c>
      <c r="G4452">
        <v>-397.25659999999999</v>
      </c>
      <c r="H4452">
        <v>1.0464209999999901</v>
      </c>
      <c r="I4452">
        <v>140.49379999999999</v>
      </c>
      <c r="J4452">
        <v>-396.7054</v>
      </c>
      <c r="K4452">
        <v>1.114976</v>
      </c>
      <c r="L4452">
        <v>141.10310000000001</v>
      </c>
      <c r="M4452">
        <v>-0.99143630000000005</v>
      </c>
      <c r="N4452">
        <v>-3.2823539999999998E-2</v>
      </c>
      <c r="O4452">
        <v>-0.12640029999999999</v>
      </c>
      <c r="P4452">
        <v>-0.90252900000000003</v>
      </c>
      <c r="Q4452">
        <v>4.0307290000000003E-2</v>
      </c>
      <c r="R4452">
        <v>-0.42873899999999998</v>
      </c>
      <c r="S4452">
        <v>-2.3758539999999999</v>
      </c>
      <c r="T4452">
        <v>-0.21727360000000001</v>
      </c>
      <c r="U4452">
        <v>-2.0255130000000001</v>
      </c>
      <c r="V4452">
        <v>-0.31163159999999901</v>
      </c>
      <c r="W4452">
        <v>6.9343959999999996E-2</v>
      </c>
      <c r="X4452">
        <v>0.94766930000000005</v>
      </c>
      <c r="Y4452">
        <v>-0.54540769999999905</v>
      </c>
      <c r="Z4452">
        <v>-2.551486E-2</v>
      </c>
      <c r="AA4452">
        <v>0.83778249999999999</v>
      </c>
      <c r="AB4452">
        <v>22</v>
      </c>
      <c r="AC4452">
        <v>-0.55119999999999403</v>
      </c>
      <c r="AD4452">
        <v>-6.8555000000000102E-2</v>
      </c>
      <c r="AE4452">
        <v>-0.60930000000001805</v>
      </c>
      <c r="AF4452">
        <v>-0.53100150707837002</v>
      </c>
      <c r="AG4452">
        <v>-6.8555000000000102E-2</v>
      </c>
      <c r="AH4452">
        <v>0.61951836870829902</v>
      </c>
      <c r="AI4452">
        <v>94.8026647754794</v>
      </c>
      <c r="AJ4452">
        <v>130.60053556920599</v>
      </c>
      <c r="AK4452">
        <v>0.81881951473538594</v>
      </c>
      <c r="AL4452">
        <v>86.023692552292502</v>
      </c>
      <c r="AM4452">
        <v>108.202934694286</v>
      </c>
      <c r="AN4452">
        <v>0.99999997053476497</v>
      </c>
    </row>
    <row r="4453" spans="1:40" x14ac:dyDescent="0.25">
      <c r="A4453" t="str">
        <f>"20190305135324577"</f>
        <v>20190305135324577</v>
      </c>
      <c r="B4453" t="str">
        <f>"1551765204574852"</f>
        <v>1551765204574852</v>
      </c>
      <c r="C4453" t="s">
        <v>40</v>
      </c>
      <c r="D4453">
        <v>4.4998459999999998</v>
      </c>
      <c r="E4453">
        <v>0.39538970000000001</v>
      </c>
      <c r="F4453" t="s">
        <v>41</v>
      </c>
      <c r="G4453">
        <v>-397.43939999999998</v>
      </c>
      <c r="H4453">
        <v>1.0472269999999999</v>
      </c>
      <c r="I4453">
        <v>140.47149999999999</v>
      </c>
      <c r="J4453">
        <v>-396.91109999999998</v>
      </c>
      <c r="K4453">
        <v>1.114906</v>
      </c>
      <c r="L4453">
        <v>141.071</v>
      </c>
      <c r="M4453">
        <v>-0.99084680000000003</v>
      </c>
      <c r="N4453">
        <v>-3.3124960000000002E-2</v>
      </c>
      <c r="O4453">
        <v>-0.13086339999999999</v>
      </c>
      <c r="P4453">
        <v>-0.900648</v>
      </c>
      <c r="Q4453">
        <v>3.9263859999999998E-2</v>
      </c>
      <c r="R4453">
        <v>-0.43277199999999999</v>
      </c>
      <c r="S4453">
        <v>-2.3665159999999998</v>
      </c>
      <c r="T4453">
        <v>-0.21843370000000001</v>
      </c>
      <c r="U4453">
        <v>-2.0360870000000002</v>
      </c>
      <c r="V4453">
        <v>-0.31156850000000003</v>
      </c>
      <c r="W4453">
        <v>6.8688940000000004E-2</v>
      </c>
      <c r="X4453">
        <v>0.94773779999999996</v>
      </c>
      <c r="Y4453">
        <v>-0.54539939999999998</v>
      </c>
      <c r="Z4453">
        <v>-2.5522779999999998E-2</v>
      </c>
      <c r="AA4453">
        <v>0.83778759999999997</v>
      </c>
      <c r="AB4453">
        <v>21</v>
      </c>
      <c r="AC4453">
        <v>-0.52830000000000099</v>
      </c>
      <c r="AD4453">
        <v>-6.7678999999999795E-2</v>
      </c>
      <c r="AE4453">
        <v>-0.59950000000000603</v>
      </c>
      <c r="AF4453">
        <v>-0.52142518367099799</v>
      </c>
      <c r="AG4453">
        <v>-6.7678999999999795E-2</v>
      </c>
      <c r="AH4453">
        <v>0.597957913386162</v>
      </c>
      <c r="AI4453">
        <v>94.875845908324806</v>
      </c>
      <c r="AJ4453">
        <v>131.08874841301301</v>
      </c>
      <c r="AK4453">
        <v>0.79625268312795405</v>
      </c>
      <c r="AL4453">
        <v>86.061312330285602</v>
      </c>
      <c r="AM4453">
        <v>108.198263193413</v>
      </c>
      <c r="AN4453">
        <v>1.0000000191097</v>
      </c>
    </row>
    <row r="4454" spans="1:40" x14ac:dyDescent="0.25">
      <c r="A4454" t="str">
        <f>"20190305135324600"</f>
        <v>20190305135324600</v>
      </c>
      <c r="B4454" t="str">
        <f>"1551765204594372"</f>
        <v>1551765204594372</v>
      </c>
      <c r="C4454" t="s">
        <v>40</v>
      </c>
      <c r="D4454">
        <v>4.326657</v>
      </c>
      <c r="E4454">
        <v>0.39545390000000002</v>
      </c>
      <c r="F4454" t="s">
        <v>41</v>
      </c>
      <c r="G4454">
        <v>-397.62049999999999</v>
      </c>
      <c r="H4454">
        <v>1.0481670000000001</v>
      </c>
      <c r="I4454">
        <v>140.4556</v>
      </c>
      <c r="J4454">
        <v>-397.11110000000002</v>
      </c>
      <c r="K4454">
        <v>1.1148530000000001</v>
      </c>
      <c r="L4454">
        <v>141.03899999999999</v>
      </c>
      <c r="M4454">
        <v>-0.99025569999999896</v>
      </c>
      <c r="N4454">
        <v>-3.3591999999999997E-2</v>
      </c>
      <c r="O4454">
        <v>-0.1351484</v>
      </c>
      <c r="P4454">
        <v>-0.89883449999999998</v>
      </c>
      <c r="Q4454">
        <v>3.8899410000000002E-2</v>
      </c>
      <c r="R4454">
        <v>-0.43655850000000002</v>
      </c>
      <c r="S4454">
        <v>-2.3573300000000001</v>
      </c>
      <c r="T4454">
        <v>-0.22179080000000001</v>
      </c>
      <c r="U4454">
        <v>-2.0463260000000001</v>
      </c>
      <c r="V4454">
        <v>-0.31142769999999997</v>
      </c>
      <c r="W4454">
        <v>6.8889199999999998E-2</v>
      </c>
      <c r="X4454">
        <v>0.94776950000000004</v>
      </c>
      <c r="Y4454">
        <v>-0.54540979999999994</v>
      </c>
      <c r="Z4454">
        <v>-2.5721069999999999E-2</v>
      </c>
      <c r="AA4454">
        <v>0.83777479999999904</v>
      </c>
      <c r="AB4454">
        <v>21</v>
      </c>
      <c r="AC4454">
        <v>-0.50939999999997099</v>
      </c>
      <c r="AD4454">
        <v>-6.6685999999999995E-2</v>
      </c>
      <c r="AE4454">
        <v>-0.58339999999998304</v>
      </c>
      <c r="AF4454">
        <v>-0.50541103695626299</v>
      </c>
      <c r="AG4454">
        <v>-6.6685999999999995E-2</v>
      </c>
      <c r="AH4454">
        <v>0.57931640372191195</v>
      </c>
      <c r="AI4454">
        <v>94.9574726065552</v>
      </c>
      <c r="AJ4454">
        <v>131.10230974533499</v>
      </c>
      <c r="AK4454">
        <v>0.77168311792762101</v>
      </c>
      <c r="AL4454">
        <v>86.049810877660093</v>
      </c>
      <c r="AM4454">
        <v>108.19001262392401</v>
      </c>
      <c r="AN4454">
        <v>0.99999997966708898</v>
      </c>
    </row>
    <row r="4455" spans="1:40" x14ac:dyDescent="0.25">
      <c r="A4455" t="str">
        <f>"20190305135324622"</f>
        <v>20190305135324622</v>
      </c>
      <c r="B4455" t="str">
        <f>"1551765204614868"</f>
        <v>1551765204614868</v>
      </c>
      <c r="C4455" t="s">
        <v>40</v>
      </c>
      <c r="D4455">
        <v>4.3355670000000002</v>
      </c>
      <c r="E4455">
        <v>0.39547969999999999</v>
      </c>
      <c r="F4455" t="s">
        <v>41</v>
      </c>
      <c r="G4455">
        <v>-397.79730000000001</v>
      </c>
      <c r="H4455">
        <v>1.049776</v>
      </c>
      <c r="I4455">
        <v>140.4383</v>
      </c>
      <c r="J4455">
        <v>-397.30470000000003</v>
      </c>
      <c r="K4455">
        <v>1.11476</v>
      </c>
      <c r="L4455">
        <v>141.00700000000001</v>
      </c>
      <c r="M4455">
        <v>-0.98965460000000005</v>
      </c>
      <c r="N4455">
        <v>-3.3821030000000002E-2</v>
      </c>
      <c r="O4455">
        <v>-0.13942739999999901</v>
      </c>
      <c r="P4455">
        <v>-0.89683049999999997</v>
      </c>
      <c r="Q4455">
        <v>3.8480920000000002E-2</v>
      </c>
      <c r="R4455">
        <v>-0.44069750000000002</v>
      </c>
      <c r="S4455">
        <v>-2.3488159999999998</v>
      </c>
      <c r="T4455">
        <v>-0.22274079999999999</v>
      </c>
      <c r="U4455">
        <v>-2.0557859999999999</v>
      </c>
      <c r="V4455">
        <v>-0.3116775</v>
      </c>
      <c r="W4455">
        <v>6.8766939999999999E-2</v>
      </c>
      <c r="X4455">
        <v>0.94769630000000005</v>
      </c>
      <c r="Y4455">
        <v>-0.54518900000000003</v>
      </c>
      <c r="Z4455">
        <v>-2.5674829999999999E-2</v>
      </c>
      <c r="AA4455">
        <v>0.83791990000000005</v>
      </c>
      <c r="AB4455">
        <v>20</v>
      </c>
      <c r="AC4455">
        <v>-0.492599999999981</v>
      </c>
      <c r="AD4455">
        <v>-6.4983999999999903E-2</v>
      </c>
      <c r="AE4455">
        <v>-0.56870000000000598</v>
      </c>
      <c r="AF4455">
        <v>-0.49075641821579102</v>
      </c>
      <c r="AG4455">
        <v>-6.4983999999999903E-2</v>
      </c>
      <c r="AH4455">
        <v>0.56292124242119601</v>
      </c>
      <c r="AI4455">
        <v>94.973104346727695</v>
      </c>
      <c r="AJ4455">
        <v>131.082015179504</v>
      </c>
      <c r="AK4455">
        <v>0.74962998035365103</v>
      </c>
      <c r="AL4455">
        <v>86.056832656979097</v>
      </c>
      <c r="AM4455">
        <v>108.204954489465</v>
      </c>
      <c r="AN4455">
        <v>1.0000000165384499</v>
      </c>
    </row>
    <row r="4456" spans="1:40" x14ac:dyDescent="0.25">
      <c r="A4456" t="str">
        <f>"20190305135324644"</f>
        <v>20190305135324644</v>
      </c>
      <c r="B4456" t="str">
        <f>"1551765204634388"</f>
        <v>1551765204634388</v>
      </c>
      <c r="C4456" t="s">
        <v>40</v>
      </c>
      <c r="D4456">
        <v>4.3656230000000003</v>
      </c>
      <c r="E4456">
        <v>0.39550730000000001</v>
      </c>
      <c r="F4456" t="s">
        <v>41</v>
      </c>
      <c r="G4456">
        <v>-397.97059999999999</v>
      </c>
      <c r="H4456">
        <v>1.051105</v>
      </c>
      <c r="I4456">
        <v>140.41890000000001</v>
      </c>
      <c r="J4456">
        <v>-397.48689999999999</v>
      </c>
      <c r="K4456">
        <v>1.114644</v>
      </c>
      <c r="L4456">
        <v>140.9761</v>
      </c>
      <c r="M4456">
        <v>-0.98907160000000005</v>
      </c>
      <c r="N4456">
        <v>-3.3621039999999998E-2</v>
      </c>
      <c r="O4456">
        <v>-0.1435515</v>
      </c>
      <c r="P4456">
        <v>-0.89485040000000005</v>
      </c>
      <c r="Q4456">
        <v>3.7869519999999997E-2</v>
      </c>
      <c r="R4456">
        <v>-0.44475730000000002</v>
      </c>
      <c r="S4456">
        <v>-2.339264</v>
      </c>
      <c r="T4456">
        <v>-0.2236146</v>
      </c>
      <c r="U4456">
        <v>-2.0664829999999998</v>
      </c>
      <c r="V4456">
        <v>-0.31201069999999997</v>
      </c>
      <c r="W4456">
        <v>6.7980100000000002E-2</v>
      </c>
      <c r="X4456">
        <v>0.94764340000000002</v>
      </c>
      <c r="Y4456">
        <v>-0.54554320000000001</v>
      </c>
      <c r="Z4456">
        <v>-2.5480360000000001E-2</v>
      </c>
      <c r="AA4456">
        <v>0.83769530000000003</v>
      </c>
      <c r="AB4456">
        <v>20</v>
      </c>
      <c r="AC4456">
        <v>-0.48369999999999802</v>
      </c>
      <c r="AD4456">
        <v>-6.3538999999999998E-2</v>
      </c>
      <c r="AE4456">
        <v>-0.55719999999999403</v>
      </c>
      <c r="AF4456">
        <v>-0.47839978305441899</v>
      </c>
      <c r="AG4456">
        <v>-6.3538999999999998E-2</v>
      </c>
      <c r="AH4456">
        <v>0.55460409372164099</v>
      </c>
      <c r="AI4456">
        <v>94.958058247059498</v>
      </c>
      <c r="AJ4456">
        <v>130.780953932806</v>
      </c>
      <c r="AK4456">
        <v>0.73517974517822304</v>
      </c>
      <c r="AL4456">
        <v>86.102020923832796</v>
      </c>
      <c r="AM4456">
        <v>108.22408101206901</v>
      </c>
      <c r="AN4456">
        <v>0.99999999223702996</v>
      </c>
    </row>
    <row r="4457" spans="1:40" x14ac:dyDescent="0.25">
      <c r="A4457" t="str">
        <f>"20190305135324666"</f>
        <v>20190305135324666</v>
      </c>
      <c r="B4457" t="str">
        <f>"1551765204654884"</f>
        <v>1551765204654884</v>
      </c>
      <c r="C4457" t="s">
        <v>40</v>
      </c>
      <c r="D4457">
        <v>4.3501640000000004</v>
      </c>
      <c r="E4457">
        <v>0.39553389999999999</v>
      </c>
      <c r="F4457" t="s">
        <v>41</v>
      </c>
      <c r="G4457">
        <v>-398.13990000000001</v>
      </c>
      <c r="H4457">
        <v>1.051617</v>
      </c>
      <c r="I4457">
        <v>140.39410000000001</v>
      </c>
      <c r="J4457">
        <v>-397.67250000000001</v>
      </c>
      <c r="K4457">
        <v>1.114522</v>
      </c>
      <c r="L4457">
        <v>140.94370000000001</v>
      </c>
      <c r="M4457">
        <v>-0.98847189999999996</v>
      </c>
      <c r="N4457">
        <v>-3.3248279999999998E-2</v>
      </c>
      <c r="O4457">
        <v>-0.14770949999999999</v>
      </c>
      <c r="P4457">
        <v>-0.89293089999999997</v>
      </c>
      <c r="Q4457">
        <v>3.6672209999999997E-2</v>
      </c>
      <c r="R4457">
        <v>-0.44869779999999998</v>
      </c>
      <c r="S4457">
        <v>-2.329742</v>
      </c>
      <c r="T4457">
        <v>-0.22486980000000001</v>
      </c>
      <c r="U4457">
        <v>-2.076965</v>
      </c>
      <c r="V4457">
        <v>-0.31218839999999998</v>
      </c>
      <c r="W4457">
        <v>6.6434370000000006E-2</v>
      </c>
      <c r="X4457">
        <v>0.9476945</v>
      </c>
      <c r="Y4457">
        <v>-0.54581990000000002</v>
      </c>
      <c r="Z4457">
        <v>-2.5216140000000001E-2</v>
      </c>
      <c r="AA4457">
        <v>0.83752299999999902</v>
      </c>
      <c r="AB4457">
        <v>20</v>
      </c>
      <c r="AC4457">
        <v>-0.46739999999999698</v>
      </c>
      <c r="AD4457">
        <v>-6.2904999999999905E-2</v>
      </c>
      <c r="AE4457">
        <v>-0.54959999999999798</v>
      </c>
      <c r="AF4457">
        <v>-0.47090715379367998</v>
      </c>
      <c r="AG4457">
        <v>-6.2904999999999905E-2</v>
      </c>
      <c r="AH4457">
        <v>0.53939283747333699</v>
      </c>
      <c r="AI4457">
        <v>95.020689059186296</v>
      </c>
      <c r="AJ4457">
        <v>131.121996606507</v>
      </c>
      <c r="AK4457">
        <v>0.71878732573453397</v>
      </c>
      <c r="AL4457">
        <v>86.190785438579596</v>
      </c>
      <c r="AM4457">
        <v>108.23285553437501</v>
      </c>
      <c r="AN4457">
        <v>0.99999999397105299</v>
      </c>
    </row>
    <row r="4458" spans="1:40" x14ac:dyDescent="0.25">
      <c r="A4458" t="str">
        <f>"20190305135324690"</f>
        <v>20190305135324690</v>
      </c>
      <c r="B4458" t="str">
        <f>"1551765204684164"</f>
        <v>1551765204684164</v>
      </c>
      <c r="C4458" t="s">
        <v>40</v>
      </c>
      <c r="D4458">
        <v>4.3503410000000002</v>
      </c>
      <c r="E4458">
        <v>0.39557870000000001</v>
      </c>
      <c r="F4458" t="s">
        <v>41</v>
      </c>
      <c r="G4458">
        <v>-398.43689999999998</v>
      </c>
      <c r="H4458">
        <v>1.0395449999999999</v>
      </c>
      <c r="I4458">
        <v>140.256</v>
      </c>
      <c r="J4458">
        <v>-397.86180000000002</v>
      </c>
      <c r="K4458">
        <v>1.1143970000000001</v>
      </c>
      <c r="L4458">
        <v>140.90969999999999</v>
      </c>
      <c r="M4458">
        <v>-0.98784079999999996</v>
      </c>
      <c r="N4458">
        <v>-3.2990779999999997E-2</v>
      </c>
      <c r="O4458">
        <v>-0.15192919999999999</v>
      </c>
      <c r="P4458">
        <v>-0.89085990000000004</v>
      </c>
      <c r="Q4458">
        <v>3.551766E-2</v>
      </c>
      <c r="R4458">
        <v>-0.4528877</v>
      </c>
      <c r="S4458">
        <v>-2.3201900000000002</v>
      </c>
      <c r="T4458">
        <v>-0.22757959999999999</v>
      </c>
      <c r="U4458">
        <v>-2.0873409999999999</v>
      </c>
      <c r="V4458">
        <v>-0.31256859999999997</v>
      </c>
      <c r="W4458">
        <v>6.5089259999999996E-2</v>
      </c>
      <c r="X4458">
        <v>0.94766249999999996</v>
      </c>
      <c r="Y4458">
        <v>-0.54600409999999999</v>
      </c>
      <c r="Z4458">
        <v>-2.5053579999999999E-2</v>
      </c>
      <c r="AA4458">
        <v>0.83740780000000004</v>
      </c>
      <c r="AB4458">
        <v>19</v>
      </c>
      <c r="AC4458">
        <v>-0.57509999999996297</v>
      </c>
      <c r="AD4458">
        <v>-7.4851999999999697E-2</v>
      </c>
      <c r="AE4458">
        <v>-0.65369999999998596</v>
      </c>
      <c r="AF4458">
        <v>-0.55458217620829597</v>
      </c>
      <c r="AG4458">
        <v>-7.4851999999999697E-2</v>
      </c>
      <c r="AH4458">
        <v>0.66288738392097402</v>
      </c>
      <c r="AI4458">
        <v>94.949814563726505</v>
      </c>
      <c r="AJ4458">
        <v>129.91639103120099</v>
      </c>
      <c r="AK4458">
        <v>0.86751593405165905</v>
      </c>
      <c r="AL4458">
        <v>86.268021699773797</v>
      </c>
      <c r="AM4458">
        <v>108.254164524809</v>
      </c>
      <c r="AN4458">
        <v>0.999999977689778</v>
      </c>
    </row>
    <row r="4459" spans="1:40" x14ac:dyDescent="0.25">
      <c r="A4459" t="str">
        <f>"20190305135324711"</f>
        <v>20190305135324711</v>
      </c>
      <c r="B4459" t="str">
        <f>"1551765204704660"</f>
        <v>1551765204704660</v>
      </c>
      <c r="C4459" t="s">
        <v>40</v>
      </c>
      <c r="D4459">
        <v>4.3758699999999999</v>
      </c>
      <c r="E4459">
        <v>0.395588</v>
      </c>
      <c r="F4459" t="s">
        <v>41</v>
      </c>
      <c r="G4459">
        <v>-398.60050000000001</v>
      </c>
      <c r="H4459">
        <v>1.040511</v>
      </c>
      <c r="I4459">
        <v>140.23910000000001</v>
      </c>
      <c r="J4459">
        <v>-398.03640000000001</v>
      </c>
      <c r="K4459">
        <v>1.114279</v>
      </c>
      <c r="L4459">
        <v>140.8776</v>
      </c>
      <c r="M4459">
        <v>-0.98722549999999998</v>
      </c>
      <c r="N4459">
        <v>-3.2860880000000002E-2</v>
      </c>
      <c r="O4459">
        <v>-0.15590409999999999</v>
      </c>
      <c r="P4459">
        <v>-0.88873809999999998</v>
      </c>
      <c r="Q4459">
        <v>3.503473E-2</v>
      </c>
      <c r="R4459">
        <v>-0.4570747</v>
      </c>
      <c r="S4459">
        <v>-2.3102420000000001</v>
      </c>
      <c r="T4459">
        <v>-0.23108090000000001</v>
      </c>
      <c r="U4459">
        <v>-2.097855</v>
      </c>
      <c r="V4459">
        <v>-0.3131892</v>
      </c>
      <c r="W4459">
        <v>6.4567749999999993E-2</v>
      </c>
      <c r="X4459">
        <v>0.94749329999999998</v>
      </c>
      <c r="Y4459">
        <v>-0.54647579999999996</v>
      </c>
      <c r="Z4459">
        <v>-2.5004780000000001E-2</v>
      </c>
      <c r="AA4459">
        <v>0.83710149999999905</v>
      </c>
      <c r="AB4459">
        <v>19</v>
      </c>
      <c r="AC4459">
        <v>-0.56409999999999605</v>
      </c>
      <c r="AD4459">
        <v>-7.3768E-2</v>
      </c>
      <c r="AE4459">
        <v>-0.63849999999999296</v>
      </c>
      <c r="AF4459">
        <v>-0.53865296827119702</v>
      </c>
      <c r="AG4459">
        <v>-7.3768E-2</v>
      </c>
      <c r="AH4459">
        <v>0.65190626275430796</v>
      </c>
      <c r="AI4459">
        <v>94.985406173321607</v>
      </c>
      <c r="AJ4459">
        <v>129.566025397917</v>
      </c>
      <c r="AK4459">
        <v>0.84886424914096903</v>
      </c>
      <c r="AL4459">
        <v>86.297965136035103</v>
      </c>
      <c r="AM4459">
        <v>108.29104647116699</v>
      </c>
      <c r="AN4459">
        <v>1.0000000114407901</v>
      </c>
    </row>
    <row r="4460" spans="1:40" x14ac:dyDescent="0.25">
      <c r="A4460" t="str">
        <f>"20190305135324733"</f>
        <v>20190305135324733</v>
      </c>
      <c r="B4460" t="str">
        <f>"1551765204724180"</f>
        <v>1551765204724180</v>
      </c>
      <c r="C4460" t="s">
        <v>40</v>
      </c>
      <c r="D4460">
        <v>4.3783099999999999</v>
      </c>
      <c r="E4460">
        <v>0.3956055</v>
      </c>
      <c r="F4460" t="s">
        <v>41</v>
      </c>
      <c r="G4460">
        <v>-398.7586</v>
      </c>
      <c r="H4460">
        <v>1.041258</v>
      </c>
      <c r="I4460">
        <v>140.2159</v>
      </c>
      <c r="J4460">
        <v>-398.21179999999998</v>
      </c>
      <c r="K4460">
        <v>1.114169</v>
      </c>
      <c r="L4460">
        <v>140.84469999999999</v>
      </c>
      <c r="M4460">
        <v>-0.98657689999999998</v>
      </c>
      <c r="N4460">
        <v>-3.2727609999999997E-2</v>
      </c>
      <c r="O4460">
        <v>-0.15998409999999999</v>
      </c>
      <c r="P4460">
        <v>-0.88685970000000003</v>
      </c>
      <c r="Q4460">
        <v>3.591457E-2</v>
      </c>
      <c r="R4460">
        <v>-0.46064100000000002</v>
      </c>
      <c r="S4460">
        <v>-2.300262</v>
      </c>
      <c r="T4460">
        <v>-0.23256859999999999</v>
      </c>
      <c r="U4460">
        <v>-2.1086269999999998</v>
      </c>
      <c r="V4460">
        <v>-0.31306889999999998</v>
      </c>
      <c r="W4460">
        <v>6.5412819999999997E-2</v>
      </c>
      <c r="X4460">
        <v>0.94747510000000001</v>
      </c>
      <c r="Y4460">
        <v>-0.54694140000000002</v>
      </c>
      <c r="Z4460">
        <v>-2.4851580000000002E-2</v>
      </c>
      <c r="AA4460">
        <v>0.83680189999999999</v>
      </c>
      <c r="AB4460">
        <v>18</v>
      </c>
      <c r="AC4460">
        <v>-0.54680000000001805</v>
      </c>
      <c r="AD4460">
        <v>-7.2910999999999906E-2</v>
      </c>
      <c r="AE4460">
        <v>-0.62879999999998304</v>
      </c>
      <c r="AF4460">
        <v>-0.52911507900811094</v>
      </c>
      <c r="AG4460">
        <v>-7.2910999999999906E-2</v>
      </c>
      <c r="AH4460">
        <v>0.63553579398917504</v>
      </c>
      <c r="AI4460">
        <v>95.038576243161799</v>
      </c>
      <c r="AJ4460">
        <v>129.77906021552599</v>
      </c>
      <c r="AK4460">
        <v>0.83017138362883303</v>
      </c>
      <c r="AL4460">
        <v>86.249443640149707</v>
      </c>
      <c r="AM4460">
        <v>108.284815972392</v>
      </c>
      <c r="AN4460">
        <v>1.0000000191437799</v>
      </c>
    </row>
    <row r="4461" spans="1:40" x14ac:dyDescent="0.25">
      <c r="A4461" t="str">
        <f>"20190305135324756"</f>
        <v>20190305135324756</v>
      </c>
      <c r="B4461" t="str">
        <f>"1551765204744676"</f>
        <v>1551765204744676</v>
      </c>
      <c r="C4461" t="s">
        <v>40</v>
      </c>
      <c r="D4461">
        <v>4.3612570000000002</v>
      </c>
      <c r="E4461">
        <v>0.39563340000000002</v>
      </c>
      <c r="F4461" t="s">
        <v>41</v>
      </c>
      <c r="G4461">
        <v>-398.91500000000002</v>
      </c>
      <c r="H4461">
        <v>1.043876</v>
      </c>
      <c r="I4461">
        <v>140.1951</v>
      </c>
      <c r="J4461">
        <v>-398.37979999999999</v>
      </c>
      <c r="K4461">
        <v>1.1140840000000001</v>
      </c>
      <c r="L4461">
        <v>140.8125</v>
      </c>
      <c r="M4461">
        <v>-0.98594610000000005</v>
      </c>
      <c r="N4461">
        <v>-3.2527260000000002E-2</v>
      </c>
      <c r="O4461">
        <v>-0.16386689999999901</v>
      </c>
      <c r="P4461">
        <v>-0.88509389999999999</v>
      </c>
      <c r="Q4461">
        <v>3.6733710000000003E-2</v>
      </c>
      <c r="R4461">
        <v>-0.46396090000000001</v>
      </c>
      <c r="S4461">
        <v>-2.291992</v>
      </c>
      <c r="T4461">
        <v>-0.2290711</v>
      </c>
      <c r="U4461">
        <v>-2.1178439999999998</v>
      </c>
      <c r="V4461">
        <v>-0.31288670000000002</v>
      </c>
      <c r="W4461">
        <v>6.6096559999999999E-2</v>
      </c>
      <c r="X4461">
        <v>0.94748779999999999</v>
      </c>
      <c r="Y4461">
        <v>-0.54702589999999995</v>
      </c>
      <c r="Z4461">
        <v>-2.4436719999999999E-2</v>
      </c>
      <c r="AA4461">
        <v>0.83675889999999997</v>
      </c>
      <c r="AB4461">
        <v>18</v>
      </c>
      <c r="AC4461">
        <v>-0.53520000000003098</v>
      </c>
      <c r="AD4461">
        <v>-7.0208000000000007E-2</v>
      </c>
      <c r="AE4461">
        <v>-0.61740000000000295</v>
      </c>
      <c r="AF4461">
        <v>-0.51747676015294997</v>
      </c>
      <c r="AG4461">
        <v>-7.0208000000000007E-2</v>
      </c>
      <c r="AH4461">
        <v>0.62457136480563902</v>
      </c>
      <c r="AI4461">
        <v>94.947177706202496</v>
      </c>
      <c r="AJ4461">
        <v>129.64280270212001</v>
      </c>
      <c r="AK4461">
        <v>0.81412575828158895</v>
      </c>
      <c r="AL4461">
        <v>86.210183134169498</v>
      </c>
      <c r="AM4461">
        <v>108.274653255975</v>
      </c>
      <c r="AN4461">
        <v>0.99999998671478096</v>
      </c>
    </row>
    <row r="4462" spans="1:40" x14ac:dyDescent="0.25">
      <c r="A4462" t="str">
        <f>"20190305135324778"</f>
        <v>20190305135324778</v>
      </c>
      <c r="B4462" t="str">
        <f>"1551765204774936"</f>
        <v>1551765204774936</v>
      </c>
      <c r="C4462" t="s">
        <v>40</v>
      </c>
      <c r="D4462">
        <v>4.3852080000000004</v>
      </c>
      <c r="E4462">
        <v>0.39568409999999998</v>
      </c>
      <c r="F4462" t="s">
        <v>41</v>
      </c>
      <c r="G4462">
        <v>-399.06799999999998</v>
      </c>
      <c r="H4462">
        <v>1.0458860000000001</v>
      </c>
      <c r="I4462">
        <v>140.17169999999999</v>
      </c>
      <c r="J4462">
        <v>-398.55070000000001</v>
      </c>
      <c r="K4462">
        <v>1.1140239999999999</v>
      </c>
      <c r="L4462">
        <v>140.77889999999999</v>
      </c>
      <c r="M4462">
        <v>-0.98530660000000003</v>
      </c>
      <c r="N4462">
        <v>-3.2251160000000001E-2</v>
      </c>
      <c r="O4462">
        <v>-0.1677227</v>
      </c>
      <c r="P4462">
        <v>-0.88301810000000003</v>
      </c>
      <c r="Q4462">
        <v>3.5875749999999998E-2</v>
      </c>
      <c r="R4462">
        <v>-0.46796599999999999</v>
      </c>
      <c r="S4462">
        <v>-2.2839969999999998</v>
      </c>
      <c r="T4462">
        <v>-0.22633909999999999</v>
      </c>
      <c r="U4462">
        <v>-2.1267239999999998</v>
      </c>
      <c r="V4462">
        <v>-0.31345729999999999</v>
      </c>
      <c r="W4462">
        <v>6.5003619999999998E-2</v>
      </c>
      <c r="X4462">
        <v>0.94737479999999996</v>
      </c>
      <c r="Y4462">
        <v>-0.54700700000000002</v>
      </c>
      <c r="Z4462">
        <v>-2.4018930000000001E-2</v>
      </c>
      <c r="AA4462">
        <v>0.83678339999999996</v>
      </c>
      <c r="AB4462">
        <v>18</v>
      </c>
      <c r="AC4462">
        <v>-0.51730000000003395</v>
      </c>
      <c r="AD4462">
        <v>-6.8137999999999796E-2</v>
      </c>
      <c r="AE4462">
        <v>-0.60720000000000596</v>
      </c>
      <c r="AF4462">
        <v>-0.50807417620291395</v>
      </c>
      <c r="AG4462">
        <v>-6.8137999999999796E-2</v>
      </c>
      <c r="AH4462">
        <v>0.607426405265033</v>
      </c>
      <c r="AI4462">
        <v>94.917825561231396</v>
      </c>
      <c r="AJ4462">
        <v>129.91037232247899</v>
      </c>
      <c r="AK4462">
        <v>0.79482639197592697</v>
      </c>
      <c r="AL4462">
        <v>86.2729389348371</v>
      </c>
      <c r="AM4462">
        <v>108.307797636923</v>
      </c>
      <c r="AN4462">
        <v>0.99999998060571604</v>
      </c>
    </row>
    <row r="4463" spans="1:40" x14ac:dyDescent="0.25">
      <c r="A4463" t="str">
        <f>"20190305135324812"</f>
        <v>20190305135324812</v>
      </c>
      <c r="B4463" t="str">
        <f>"1551765204804216"</f>
        <v>1551765204804216</v>
      </c>
      <c r="C4463" t="s">
        <v>40</v>
      </c>
      <c r="D4463">
        <v>4.5916009999999998</v>
      </c>
      <c r="E4463">
        <v>0.39570159999999999</v>
      </c>
      <c r="F4463" t="s">
        <v>41</v>
      </c>
      <c r="G4463">
        <v>-399.21960000000001</v>
      </c>
      <c r="H4463">
        <v>1.046878</v>
      </c>
      <c r="I4463">
        <v>140.1508</v>
      </c>
      <c r="J4463">
        <v>-398.79559999999998</v>
      </c>
      <c r="K4463">
        <v>1.1138840000000001</v>
      </c>
      <c r="L4463">
        <v>140.7295</v>
      </c>
      <c r="M4463">
        <v>-0.98436979999999996</v>
      </c>
      <c r="N4463">
        <v>-3.1757210000000001E-2</v>
      </c>
      <c r="O4463">
        <v>-0.17322689999999999</v>
      </c>
      <c r="P4463">
        <v>-0.87939279999999997</v>
      </c>
      <c r="Q4463">
        <v>3.6334640000000001E-2</v>
      </c>
      <c r="R4463">
        <v>-0.47470839999999997</v>
      </c>
      <c r="S4463">
        <v>-2.2744140000000002</v>
      </c>
      <c r="T4463">
        <v>-0.22833719999999999</v>
      </c>
      <c r="U4463">
        <v>-2.13652</v>
      </c>
      <c r="V4463">
        <v>-0.31540370000000001</v>
      </c>
      <c r="W4463">
        <v>6.5039299999999994E-2</v>
      </c>
      <c r="X4463">
        <v>0.94672610000000001</v>
      </c>
      <c r="Y4463">
        <v>-0.54600749999999998</v>
      </c>
      <c r="Z4463">
        <v>-2.354701E-2</v>
      </c>
      <c r="AA4463">
        <v>0.83744940000000001</v>
      </c>
      <c r="AB4463">
        <v>17</v>
      </c>
      <c r="AC4463">
        <v>-0.42400000000003402</v>
      </c>
      <c r="AD4463">
        <v>-6.7006000000000093E-2</v>
      </c>
      <c r="AE4463">
        <v>-0.57869999999999699</v>
      </c>
      <c r="AF4463">
        <v>-0.492163540670638</v>
      </c>
      <c r="AG4463">
        <v>-6.7006000000000093E-2</v>
      </c>
      <c r="AH4463">
        <v>0.51340167682172899</v>
      </c>
      <c r="AI4463">
        <v>95.382253439720202</v>
      </c>
      <c r="AJ4463">
        <v>133.79005890885901</v>
      </c>
      <c r="AK4463">
        <v>0.71435007983818499</v>
      </c>
      <c r="AL4463">
        <v>86.270890196035594</v>
      </c>
      <c r="AM4463">
        <v>108.425597988056</v>
      </c>
      <c r="AN4463">
        <v>0.99999995646969397</v>
      </c>
    </row>
    <row r="4464" spans="1:40" x14ac:dyDescent="0.25">
      <c r="A4464" t="str">
        <f>"20190305135324833"</f>
        <v>20190305135324833</v>
      </c>
      <c r="B4464" t="str">
        <f>"1551765204824712"</f>
        <v>1551765204824712</v>
      </c>
      <c r="C4464" t="s">
        <v>40</v>
      </c>
      <c r="D4464">
        <v>4.5251659999999996</v>
      </c>
      <c r="E4464">
        <v>0.44136530000000002</v>
      </c>
      <c r="F4464" t="s">
        <v>41</v>
      </c>
      <c r="G4464">
        <v>-399.49599999999998</v>
      </c>
      <c r="H4464">
        <v>1.043445</v>
      </c>
      <c r="I4464">
        <v>140.06139999999999</v>
      </c>
      <c r="J4464">
        <v>-398.95170000000002</v>
      </c>
      <c r="K4464">
        <v>1.113748</v>
      </c>
      <c r="L4464">
        <v>140.69730000000001</v>
      </c>
      <c r="M4464">
        <v>-0.98374189999999995</v>
      </c>
      <c r="N4464">
        <v>-3.1334939999999999E-2</v>
      </c>
      <c r="O4464">
        <v>-0.1768335</v>
      </c>
      <c r="P4464">
        <v>-0.87706229999999996</v>
      </c>
      <c r="Q4464">
        <v>3.8269560000000001E-2</v>
      </c>
      <c r="R4464">
        <v>-0.47885050000000001</v>
      </c>
      <c r="S4464">
        <v>-2.258057</v>
      </c>
      <c r="T4464">
        <v>-0.2271116</v>
      </c>
      <c r="U4464">
        <v>-2.1540370000000002</v>
      </c>
      <c r="V4464">
        <v>-0.31641059999999999</v>
      </c>
      <c r="W4464">
        <v>6.6618479999999994E-2</v>
      </c>
      <c r="X4464">
        <v>0.94628020000000002</v>
      </c>
      <c r="Y4464">
        <v>-0.54938379999999998</v>
      </c>
      <c r="Z4464">
        <v>-2.3358500000000001E-2</v>
      </c>
      <c r="AA4464">
        <v>0.83524359999999997</v>
      </c>
      <c r="AB4464">
        <v>17</v>
      </c>
      <c r="AC4464">
        <v>-0.54429999999996403</v>
      </c>
      <c r="AD4464">
        <v>-7.0302999999999699E-2</v>
      </c>
      <c r="AE4464">
        <v>-0.63590000000002</v>
      </c>
      <c r="AF4464">
        <v>-0.52586140662621705</v>
      </c>
      <c r="AG4464">
        <v>-7.0302999999999699E-2</v>
      </c>
      <c r="AH4464">
        <v>0.64367668986432902</v>
      </c>
      <c r="AI4464">
        <v>94.834729203080897</v>
      </c>
      <c r="AJ4464">
        <v>129.24762410444799</v>
      </c>
      <c r="AK4464">
        <v>0.83414172168918899</v>
      </c>
      <c r="AL4464">
        <v>86.180213136051805</v>
      </c>
      <c r="AM4464">
        <v>108.488546512222</v>
      </c>
      <c r="AN4464">
        <v>0.99999995329095404</v>
      </c>
    </row>
    <row r="4465" spans="1:40" x14ac:dyDescent="0.25">
      <c r="A4465" t="str">
        <f>"20190305135324855"</f>
        <v>20190305135324855</v>
      </c>
      <c r="B4465" t="str">
        <f>"1551765204844232"</f>
        <v>1551765204844232</v>
      </c>
      <c r="C4465" t="s">
        <v>40</v>
      </c>
      <c r="D4465">
        <v>4.5359669999999896</v>
      </c>
      <c r="E4465">
        <v>0.45466990000000002</v>
      </c>
      <c r="F4465" t="s">
        <v>41</v>
      </c>
      <c r="G4465">
        <v>-399.7047</v>
      </c>
      <c r="H4465">
        <v>1.047903</v>
      </c>
      <c r="I4465">
        <v>140.12370000000001</v>
      </c>
      <c r="J4465">
        <v>-399.1087</v>
      </c>
      <c r="K4465">
        <v>1.11359599999999</v>
      </c>
      <c r="L4465">
        <v>140.6643</v>
      </c>
      <c r="M4465">
        <v>-0.98308810000000002</v>
      </c>
      <c r="N4465">
        <v>-3.0779129999999998E-2</v>
      </c>
      <c r="O4465">
        <v>-0.18052860000000001</v>
      </c>
      <c r="P4465">
        <v>-0.8748918</v>
      </c>
      <c r="Q4465">
        <v>4.0360989999999999E-2</v>
      </c>
      <c r="R4465">
        <v>-0.48263410000000001</v>
      </c>
      <c r="S4465">
        <v>-2.4220579999999998</v>
      </c>
      <c r="T4465">
        <v>-0.21179439999999999</v>
      </c>
      <c r="U4465">
        <v>-1.8457030000000001</v>
      </c>
      <c r="V4465">
        <v>-0.31695869999999998</v>
      </c>
      <c r="W4465">
        <v>6.8222260000000007E-2</v>
      </c>
      <c r="X4465">
        <v>0.94598249999999995</v>
      </c>
      <c r="Y4465">
        <v>-0.45104080000000002</v>
      </c>
      <c r="Z4465">
        <v>-1.6530610000000001E-2</v>
      </c>
      <c r="AA4465">
        <v>0.89235030000000004</v>
      </c>
      <c r="AB4465">
        <v>17</v>
      </c>
      <c r="AC4465">
        <v>-0.59600000000000297</v>
      </c>
      <c r="AD4465">
        <v>-6.5692999999999696E-2</v>
      </c>
      <c r="AE4465">
        <v>-0.54059999999998298</v>
      </c>
      <c r="AF4465">
        <v>-0.42125545685106602</v>
      </c>
      <c r="AG4465">
        <v>-6.5692999999999696E-2</v>
      </c>
      <c r="AH4465">
        <v>0.67931038063533</v>
      </c>
      <c r="AI4465">
        <v>94.698334653896097</v>
      </c>
      <c r="AJ4465">
        <v>121.80397056118299</v>
      </c>
      <c r="AK4465">
        <v>0.802018904649209</v>
      </c>
      <c r="AL4465">
        <v>86.088113891622498</v>
      </c>
      <c r="AM4465">
        <v>108.523820689148</v>
      </c>
      <c r="AN4465">
        <v>0.99999999228572301</v>
      </c>
    </row>
    <row r="4466" spans="1:40" x14ac:dyDescent="0.25">
      <c r="A4466" t="str">
        <f>"20190305135324878"</f>
        <v>20190305135324878</v>
      </c>
      <c r="B4466" t="str">
        <f>"1551765204874489"</f>
        <v>1551765204874489</v>
      </c>
      <c r="C4466" t="s">
        <v>40</v>
      </c>
      <c r="D4466">
        <v>4.5046869999999997</v>
      </c>
      <c r="E4466">
        <v>0.46171810000000002</v>
      </c>
      <c r="F4466" t="s">
        <v>78</v>
      </c>
      <c r="G4466">
        <v>-414.06420000000003</v>
      </c>
      <c r="H4466" s="1">
        <v>-6.208033E-6</v>
      </c>
      <c r="I4466">
        <v>129.96039999999999</v>
      </c>
      <c r="J4466">
        <v>-399.2645</v>
      </c>
      <c r="K4466">
        <v>1.1135090000000001</v>
      </c>
      <c r="L4466">
        <v>140.631</v>
      </c>
      <c r="M4466">
        <v>-0.982433</v>
      </c>
      <c r="N4466">
        <v>-3.056714E-2</v>
      </c>
      <c r="O4466">
        <v>-0.18409510000000001</v>
      </c>
      <c r="P4466">
        <v>-0.87282819999999905</v>
      </c>
      <c r="Q4466">
        <v>3.9766910000000003E-2</v>
      </c>
      <c r="R4466">
        <v>-0.48640499999999998</v>
      </c>
      <c r="S4466">
        <v>-2.4644469999999998</v>
      </c>
      <c r="T4466">
        <v>-0.18350469999999999</v>
      </c>
      <c r="U4466">
        <v>-1.7638400000000001</v>
      </c>
      <c r="V4466">
        <v>-0.31758449999999999</v>
      </c>
      <c r="W4466">
        <v>6.7500080000000004E-2</v>
      </c>
      <c r="X4466">
        <v>0.94582440000000001</v>
      </c>
      <c r="Y4466">
        <v>-0.42118800000000001</v>
      </c>
      <c r="Z4466">
        <v>-1.4270909999999999E-2</v>
      </c>
      <c r="AA4466">
        <v>0.90686109999999998</v>
      </c>
      <c r="AB4466">
        <v>16</v>
      </c>
      <c r="AC4466">
        <v>-14.7997</v>
      </c>
      <c r="AD4466">
        <v>-1.113515208033</v>
      </c>
      <c r="AE4466">
        <v>-10.6706</v>
      </c>
      <c r="AF4466">
        <v>-7.7334202135696097</v>
      </c>
      <c r="AG4466">
        <v>-1.113515208033</v>
      </c>
      <c r="AH4466">
        <v>16.450562007521999</v>
      </c>
      <c r="AI4466">
        <v>93.505410013594499</v>
      </c>
      <c r="AJ4466">
        <v>115.178248674399</v>
      </c>
      <c r="AK4466">
        <v>18.211718608673198</v>
      </c>
      <c r="AL4466">
        <v>86.129587338488705</v>
      </c>
      <c r="AM4466">
        <v>108.560780926574</v>
      </c>
      <c r="AN4466">
        <v>0.999999985537808</v>
      </c>
    </row>
    <row r="4467" spans="1:40" x14ac:dyDescent="0.25">
      <c r="A4467" t="str">
        <f>"20190305135324900"</f>
        <v>20190305135324900</v>
      </c>
      <c r="B4467" t="str">
        <f>"1551765204894009"</f>
        <v>1551765204894009</v>
      </c>
      <c r="C4467" t="s">
        <v>40</v>
      </c>
      <c r="D4467">
        <v>4.5202119999999999</v>
      </c>
      <c r="E4467">
        <v>0.46382050000000002</v>
      </c>
      <c r="F4467" t="s">
        <v>78</v>
      </c>
      <c r="G4467">
        <v>-415.22719999999998</v>
      </c>
      <c r="H4467" s="1">
        <v>-5.9612099999999996E-6</v>
      </c>
      <c r="I4467">
        <v>129.5395</v>
      </c>
      <c r="J4467">
        <v>-399.4178</v>
      </c>
      <c r="K4467">
        <v>1.113491</v>
      </c>
      <c r="L4467">
        <v>140.59780000000001</v>
      </c>
      <c r="M4467">
        <v>-0.98178639999999995</v>
      </c>
      <c r="N4467">
        <v>-3.0888570000000001E-2</v>
      </c>
      <c r="O4467">
        <v>-0.18746080000000001</v>
      </c>
      <c r="P4467">
        <v>-0.87116249999999995</v>
      </c>
      <c r="Q4467">
        <v>3.6954720000000003E-2</v>
      </c>
      <c r="R4467">
        <v>-0.48960229999999999</v>
      </c>
      <c r="S4467">
        <v>-2.483368</v>
      </c>
      <c r="T4467">
        <v>-0.17323329999999901</v>
      </c>
      <c r="U4467">
        <v>-1.7255549999999999</v>
      </c>
      <c r="V4467">
        <v>-0.31775120000000001</v>
      </c>
      <c r="W4467">
        <v>6.5123050000000002E-2</v>
      </c>
      <c r="X4467">
        <v>0.94593510000000003</v>
      </c>
      <c r="Y4467">
        <v>-0.40550310000000001</v>
      </c>
      <c r="Z4467">
        <v>-1.340972E-2</v>
      </c>
      <c r="AA4467">
        <v>0.91399529999999995</v>
      </c>
      <c r="AB4467">
        <v>16</v>
      </c>
      <c r="AC4467">
        <v>-15.809399999999901</v>
      </c>
      <c r="AD4467">
        <v>-1.1134969612100001</v>
      </c>
      <c r="AE4467">
        <v>-11.058299999999999</v>
      </c>
      <c r="AF4467">
        <v>-7.8707955817067896</v>
      </c>
      <c r="AG4467">
        <v>-1.1134969612100001</v>
      </c>
      <c r="AH4467">
        <v>17.544409037457601</v>
      </c>
      <c r="AI4467">
        <v>93.314129673819394</v>
      </c>
      <c r="AJ4467">
        <v>114.16202019454801</v>
      </c>
      <c r="AK4467">
        <v>19.2612457293204</v>
      </c>
      <c r="AL4467">
        <v>86.266081736220798</v>
      </c>
      <c r="AM4467">
        <v>108.567831378042</v>
      </c>
      <c r="AN4467">
        <v>1.00000002507737</v>
      </c>
    </row>
    <row r="4468" spans="1:40" x14ac:dyDescent="0.25">
      <c r="A4468" t="str">
        <f>"20190305135324923"</f>
        <v>20190305135324923</v>
      </c>
      <c r="B4468" t="str">
        <f>"1551765204914508"</f>
        <v>1551765204914508</v>
      </c>
      <c r="C4468" t="s">
        <v>40</v>
      </c>
      <c r="D4468">
        <v>4.530672</v>
      </c>
      <c r="E4468">
        <v>0.46506009999999998</v>
      </c>
      <c r="F4468" t="s">
        <v>78</v>
      </c>
      <c r="G4468">
        <v>-414.82810000000001</v>
      </c>
      <c r="H4468" s="1">
        <v>-6.152125E-6</v>
      </c>
      <c r="I4468">
        <v>129.93199999999999</v>
      </c>
      <c r="J4468">
        <v>-399.56229999999999</v>
      </c>
      <c r="K4468">
        <v>1.113502</v>
      </c>
      <c r="L4468">
        <v>140.5659</v>
      </c>
      <c r="M4468">
        <v>-0.98115980000000003</v>
      </c>
      <c r="N4468">
        <v>-3.1111079999999999E-2</v>
      </c>
      <c r="O4468">
        <v>-0.19067629999999999</v>
      </c>
      <c r="P4468">
        <v>-0.8700753</v>
      </c>
      <c r="Q4468">
        <v>3.3696320000000002E-2</v>
      </c>
      <c r="R4468">
        <v>-0.49176579999999898</v>
      </c>
      <c r="S4468">
        <v>-2.484772</v>
      </c>
      <c r="T4468">
        <v>-0.17954129999999999</v>
      </c>
      <c r="U4468">
        <v>-1.719757</v>
      </c>
      <c r="V4468">
        <v>-0.31695240000000002</v>
      </c>
      <c r="W4468">
        <v>6.2153130000000001E-2</v>
      </c>
      <c r="X4468">
        <v>0.94640270000000004</v>
      </c>
      <c r="Y4468">
        <v>-0.400781</v>
      </c>
      <c r="Z4468">
        <v>-1.31997E-2</v>
      </c>
      <c r="AA4468">
        <v>0.91607879999999997</v>
      </c>
      <c r="AB4468">
        <v>16</v>
      </c>
      <c r="AC4468">
        <v>-15.2658</v>
      </c>
      <c r="AD4468">
        <v>-1.1135081521250001</v>
      </c>
      <c r="AE4468">
        <v>-10.633899999999899</v>
      </c>
      <c r="AF4468">
        <v>-7.49950754195077</v>
      </c>
      <c r="AG4468">
        <v>-1.1135081521250001</v>
      </c>
      <c r="AH4468">
        <v>16.953327878771301</v>
      </c>
      <c r="AI4468">
        <v>93.437410134129195</v>
      </c>
      <c r="AJ4468">
        <v>113.862776233147</v>
      </c>
      <c r="AK4468">
        <v>18.571425361068801</v>
      </c>
      <c r="AL4468">
        <v>86.436591035445701</v>
      </c>
      <c r="AM4468">
        <v>108.515814127578</v>
      </c>
      <c r="AN4468">
        <v>0.99999995300092204</v>
      </c>
    </row>
    <row r="4469" spans="1:40" x14ac:dyDescent="0.25">
      <c r="A4469" t="str">
        <f>"20190305135324951"</f>
        <v>20190305135324951</v>
      </c>
      <c r="B4469" t="str">
        <f>"1551765204944761"</f>
        <v>1551765204944761</v>
      </c>
      <c r="C4469" t="s">
        <v>40</v>
      </c>
      <c r="D4469">
        <v>4.5062049999999996</v>
      </c>
      <c r="E4469">
        <v>0.4663834</v>
      </c>
      <c r="F4469" t="s">
        <v>78</v>
      </c>
      <c r="G4469">
        <v>-414.2278</v>
      </c>
      <c r="H4469" s="1">
        <v>-6.3916300000000003E-6</v>
      </c>
      <c r="I4469">
        <v>130.43450000000001</v>
      </c>
      <c r="J4469">
        <v>-399.72410000000002</v>
      </c>
      <c r="K4469">
        <v>1.1134109999999999</v>
      </c>
      <c r="L4469">
        <v>140.52950000000001</v>
      </c>
      <c r="M4469">
        <v>-0.98040289999999997</v>
      </c>
      <c r="N4469">
        <v>-3.0265549999999999E-2</v>
      </c>
      <c r="O4469">
        <v>-0.19466449999999999</v>
      </c>
      <c r="P4469">
        <v>-0.8686798</v>
      </c>
      <c r="Q4469">
        <v>3.2781289999999998E-2</v>
      </c>
      <c r="R4469">
        <v>-0.49428840000000002</v>
      </c>
      <c r="S4469">
        <v>-2.4850159999999999</v>
      </c>
      <c r="T4469">
        <v>-0.18867990000000001</v>
      </c>
      <c r="U4469">
        <v>-1.716736</v>
      </c>
      <c r="V4469">
        <v>-0.31585730000000001</v>
      </c>
      <c r="W4469">
        <v>6.037025E-2</v>
      </c>
      <c r="X4469">
        <v>0.94688419999999895</v>
      </c>
      <c r="Y4469">
        <v>-0.39622210000000002</v>
      </c>
      <c r="Z4469">
        <v>-1.252984E-2</v>
      </c>
      <c r="AA4469">
        <v>0.91806920000000003</v>
      </c>
      <c r="AB4469">
        <v>15</v>
      </c>
      <c r="AC4469">
        <v>-14.503699999999901</v>
      </c>
      <c r="AD4469">
        <v>-1.1134173916299901</v>
      </c>
      <c r="AE4469">
        <v>-10.095000000000001</v>
      </c>
      <c r="AF4469">
        <v>-7.0490685736368697</v>
      </c>
      <c r="AG4469">
        <v>-1.1134173916299901</v>
      </c>
      <c r="AH4469">
        <v>16.1279961993624</v>
      </c>
      <c r="AI4469">
        <v>93.619599315709493</v>
      </c>
      <c r="AJ4469">
        <v>113.608711119196</v>
      </c>
      <c r="AK4469">
        <v>17.6363637819837</v>
      </c>
      <c r="AL4469">
        <v>86.538935099187995</v>
      </c>
      <c r="AM4469">
        <v>108.447431694256</v>
      </c>
      <c r="AN4469">
        <v>1.0000000446289901</v>
      </c>
    </row>
    <row r="4470" spans="1:40" x14ac:dyDescent="0.25">
      <c r="A4470" t="str">
        <f>"20190305135324968"</f>
        <v>20190305135324968</v>
      </c>
      <c r="B4470" t="str">
        <f>"1551765204964281"</f>
        <v>1551765204964281</v>
      </c>
      <c r="C4470" t="s">
        <v>40</v>
      </c>
      <c r="D4470">
        <v>4.4220839999999999</v>
      </c>
      <c r="E4470">
        <v>0.46696650000000001</v>
      </c>
      <c r="F4470" t="s">
        <v>78</v>
      </c>
      <c r="G4470">
        <v>-414.21660000000003</v>
      </c>
      <c r="H4470" s="1">
        <v>-6.4294849999999998E-6</v>
      </c>
      <c r="I4470">
        <v>130.5258</v>
      </c>
      <c r="J4470">
        <v>-399.85180000000003</v>
      </c>
      <c r="K4470">
        <v>1.1133120000000001</v>
      </c>
      <c r="L4470">
        <v>140.5</v>
      </c>
      <c r="M4470">
        <v>-0.97978319999999997</v>
      </c>
      <c r="N4470">
        <v>-2.909281E-2</v>
      </c>
      <c r="O4470">
        <v>-0.1979358</v>
      </c>
      <c r="P4470">
        <v>-0.86764779999999997</v>
      </c>
      <c r="Q4470">
        <v>3.2136999999999999E-2</v>
      </c>
      <c r="R4470">
        <v>-0.49614019999999998</v>
      </c>
      <c r="S4470">
        <v>-2.4848020000000002</v>
      </c>
      <c r="T4470">
        <v>-0.1908995</v>
      </c>
      <c r="U4470">
        <v>-1.7151639999999999</v>
      </c>
      <c r="V4470">
        <v>-0.3147335</v>
      </c>
      <c r="W4470">
        <v>5.8505799999999997E-2</v>
      </c>
      <c r="X4470">
        <v>0.94737530000000003</v>
      </c>
      <c r="Y4470">
        <v>-0.39282590000000001</v>
      </c>
      <c r="Z4470">
        <v>-1.177078E-2</v>
      </c>
      <c r="AA4470">
        <v>0.91953750000000001</v>
      </c>
      <c r="AB4470">
        <v>15</v>
      </c>
      <c r="AC4470">
        <v>-14.364800000000001</v>
      </c>
      <c r="AD4470">
        <v>-1.113318429485</v>
      </c>
      <c r="AE4470">
        <v>-9.9741999999999909</v>
      </c>
      <c r="AF4470">
        <v>-6.9041980208998597</v>
      </c>
      <c r="AG4470">
        <v>-1.113318429485</v>
      </c>
      <c r="AH4470">
        <v>15.9906293678085</v>
      </c>
      <c r="AI4470">
        <v>93.6573506031812</v>
      </c>
      <c r="AJ4470">
        <v>113.353008476385</v>
      </c>
      <c r="AK4470">
        <v>17.453012800541</v>
      </c>
      <c r="AL4470">
        <v>86.645949384890699</v>
      </c>
      <c r="AM4470">
        <v>108.37732744787</v>
      </c>
      <c r="AN4470">
        <v>1.00000003185298</v>
      </c>
    </row>
    <row r="4471" spans="1:40" x14ac:dyDescent="0.25">
      <c r="A4471" t="str">
        <f>"20190305135324991"</f>
        <v>20190305135324991</v>
      </c>
      <c r="B4471" t="str">
        <f>"1551765204984776"</f>
        <v>1551765204984776</v>
      </c>
      <c r="C4471" t="s">
        <v>40</v>
      </c>
      <c r="D4471">
        <v>4.5180350000000002</v>
      </c>
      <c r="E4471">
        <v>0.46755150000000001</v>
      </c>
      <c r="F4471" t="s">
        <v>78</v>
      </c>
      <c r="G4471">
        <v>-414.09589999999997</v>
      </c>
      <c r="H4471" s="1">
        <v>-6.4891999999999996E-6</v>
      </c>
      <c r="I4471">
        <v>130.65530000000001</v>
      </c>
      <c r="J4471">
        <v>-400.00049999999999</v>
      </c>
      <c r="K4471">
        <v>1.113194</v>
      </c>
      <c r="L4471">
        <v>140.4648</v>
      </c>
      <c r="M4471">
        <v>-0.97902849999999997</v>
      </c>
      <c r="N4471">
        <v>-2.795545E-2</v>
      </c>
      <c r="O4471">
        <v>-0.20179610000000001</v>
      </c>
      <c r="P4471">
        <v>-0.8663225</v>
      </c>
      <c r="Q4471">
        <v>3.2498039999999999E-2</v>
      </c>
      <c r="R4471">
        <v>-0.49842690000000001</v>
      </c>
      <c r="S4471">
        <v>-2.483368</v>
      </c>
      <c r="T4471">
        <v>-0.19409999999999999</v>
      </c>
      <c r="U4471">
        <v>-1.71637</v>
      </c>
      <c r="V4471">
        <v>-0.31351380000000001</v>
      </c>
      <c r="W4471">
        <v>5.7743179999999998E-2</v>
      </c>
      <c r="X4471">
        <v>0.94782630000000001</v>
      </c>
      <c r="Y4471">
        <v>-0.38976929999999999</v>
      </c>
      <c r="Z4471">
        <v>-1.100834E-2</v>
      </c>
      <c r="AA4471">
        <v>0.92084679999999997</v>
      </c>
      <c r="AB4471">
        <v>15</v>
      </c>
      <c r="AC4471">
        <v>-14.0953999999999</v>
      </c>
      <c r="AD4471">
        <v>-1.1132004892</v>
      </c>
      <c r="AE4471">
        <v>-9.8094999999999803</v>
      </c>
      <c r="AF4471">
        <v>-6.7337306597721804</v>
      </c>
      <c r="AG4471">
        <v>-1.1132004892</v>
      </c>
      <c r="AH4471">
        <v>15.7194327779071</v>
      </c>
      <c r="AI4471">
        <v>93.724453694951706</v>
      </c>
      <c r="AJ4471">
        <v>113.188831143513</v>
      </c>
      <c r="AK4471">
        <v>17.137179195732699</v>
      </c>
      <c r="AL4471">
        <v>86.689717973498205</v>
      </c>
      <c r="AM4471">
        <v>108.302736517414</v>
      </c>
      <c r="AN4471">
        <v>0.99999993629931905</v>
      </c>
    </row>
    <row r="4472" spans="1:40" x14ac:dyDescent="0.25">
      <c r="A4472" t="str">
        <f>"20190305135325013"</f>
        <v>20190305135325013</v>
      </c>
      <c r="B4472" t="str">
        <f>"1551765205004296"</f>
        <v>1551765205004296</v>
      </c>
      <c r="C4472" t="s">
        <v>40</v>
      </c>
      <c r="D4472">
        <v>4.5148429999999999</v>
      </c>
      <c r="E4472">
        <v>0.46801959999999998</v>
      </c>
      <c r="F4472" t="s">
        <v>78</v>
      </c>
      <c r="G4472">
        <v>-414.5025</v>
      </c>
      <c r="H4472" s="1">
        <v>-6.3689599999999899E-6</v>
      </c>
      <c r="I4472">
        <v>130.41800000000001</v>
      </c>
      <c r="J4472">
        <v>-400.1354</v>
      </c>
      <c r="K4472">
        <v>1.113086</v>
      </c>
      <c r="L4472">
        <v>140.4323</v>
      </c>
      <c r="M4472">
        <v>-0.97830019999999995</v>
      </c>
      <c r="N4472">
        <v>-2.7184739999999999E-2</v>
      </c>
      <c r="O4472">
        <v>-0.20540169999999999</v>
      </c>
      <c r="P4472">
        <v>-0.86456010000000005</v>
      </c>
      <c r="Q4472">
        <v>3.331448E-2</v>
      </c>
      <c r="R4472">
        <v>-0.50142399999999998</v>
      </c>
      <c r="S4472">
        <v>-2.4811100000000001</v>
      </c>
      <c r="T4472">
        <v>-0.19045519999999999</v>
      </c>
      <c r="U4472">
        <v>-1.7188869999999901</v>
      </c>
      <c r="V4472">
        <v>-0.31331029999999999</v>
      </c>
      <c r="W4472">
        <v>5.7854589999999997E-2</v>
      </c>
      <c r="X4472">
        <v>0.94788689999999998</v>
      </c>
      <c r="Y4472">
        <v>-0.38745659999999998</v>
      </c>
      <c r="Z4472">
        <v>-1.0444159999999999E-2</v>
      </c>
      <c r="AA4472">
        <v>0.9218288</v>
      </c>
      <c r="AB4472">
        <v>15</v>
      </c>
      <c r="AC4472">
        <v>-14.367099999999899</v>
      </c>
      <c r="AD4472">
        <v>-1.1130923689600001</v>
      </c>
      <c r="AE4472">
        <v>-10.014299999999899</v>
      </c>
      <c r="AF4472">
        <v>-6.8209408916200296</v>
      </c>
      <c r="AG4472">
        <v>-1.1130923689600001</v>
      </c>
      <c r="AH4472">
        <v>16.053395833648999</v>
      </c>
      <c r="AI4472">
        <v>93.651400717541804</v>
      </c>
      <c r="AJ4472">
        <v>113.020194415316</v>
      </c>
      <c r="AK4472">
        <v>17.477863915840299</v>
      </c>
      <c r="AL4472">
        <v>86.683324293557703</v>
      </c>
      <c r="AM4472">
        <v>108.290555904275</v>
      </c>
      <c r="AN4472">
        <v>1.0000000364308801</v>
      </c>
    </row>
    <row r="4473" spans="1:40" x14ac:dyDescent="0.25">
      <c r="A4473" t="str">
        <f>"20190305135325034"</f>
        <v>20190305135325034</v>
      </c>
      <c r="B4473" t="str">
        <f>"1551765205024792"</f>
        <v>1551765205024792</v>
      </c>
      <c r="C4473" t="s">
        <v>40</v>
      </c>
      <c r="D4473">
        <v>4.5166979999999999</v>
      </c>
      <c r="E4473">
        <v>0.46848250000000002</v>
      </c>
      <c r="F4473" t="s">
        <v>78</v>
      </c>
      <c r="G4473">
        <v>-414.94979999999998</v>
      </c>
      <c r="H4473" s="1">
        <v>-6.2239760000000002E-6</v>
      </c>
      <c r="I4473">
        <v>130.1258</v>
      </c>
      <c r="J4473">
        <v>-400.2715</v>
      </c>
      <c r="K4473">
        <v>1.1128530000000001</v>
      </c>
      <c r="L4473">
        <v>140.399</v>
      </c>
      <c r="M4473">
        <v>-0.97750630000000005</v>
      </c>
      <c r="N4473">
        <v>-2.5963650000000001E-2</v>
      </c>
      <c r="O4473">
        <v>-0.2093023</v>
      </c>
      <c r="P4473">
        <v>-0.86256679999999997</v>
      </c>
      <c r="Q4473">
        <v>3.5959409999999997E-2</v>
      </c>
      <c r="R4473">
        <v>-0.50466390000000005</v>
      </c>
      <c r="S4473">
        <v>-2.4774780000000001</v>
      </c>
      <c r="T4473">
        <v>-0.1861467</v>
      </c>
      <c r="U4473">
        <v>-1.7236020000000001</v>
      </c>
      <c r="V4473">
        <v>-0.31311319999999998</v>
      </c>
      <c r="W4473">
        <v>5.9374509999999998E-2</v>
      </c>
      <c r="X4473">
        <v>0.94785799999999998</v>
      </c>
      <c r="Y4473">
        <v>-0.38566499999999998</v>
      </c>
      <c r="Z4473">
        <v>-9.7226610000000005E-3</v>
      </c>
      <c r="AA4473">
        <v>0.92258759999999995</v>
      </c>
      <c r="AB4473">
        <v>15</v>
      </c>
      <c r="AC4473">
        <v>-14.678299999999901</v>
      </c>
      <c r="AD4473">
        <v>-1.112859223976</v>
      </c>
      <c r="AE4473">
        <v>-10.273199999999999</v>
      </c>
      <c r="AF4473">
        <v>-6.9454685802775504</v>
      </c>
      <c r="AG4473">
        <v>-1.112859223976</v>
      </c>
      <c r="AH4473">
        <v>16.4404667012587</v>
      </c>
      <c r="AI4473">
        <v>93.568016227725707</v>
      </c>
      <c r="AJ4473">
        <v>112.902198896803</v>
      </c>
      <c r="AK4473">
        <v>17.882028263237</v>
      </c>
      <c r="AL4473">
        <v>86.596089173068293</v>
      </c>
      <c r="AM4473">
        <v>108.28033509258501</v>
      </c>
      <c r="AN4473">
        <v>0.99999999830799002</v>
      </c>
    </row>
    <row r="4474" spans="1:40" x14ac:dyDescent="0.25">
      <c r="A4474" t="str">
        <f>"20190305135325057"</f>
        <v>20190305135325057</v>
      </c>
      <c r="B4474" t="str">
        <f>"1551765205044313"</f>
        <v>1551765205044313</v>
      </c>
      <c r="C4474" t="s">
        <v>40</v>
      </c>
      <c r="D4474">
        <v>4.4944470000000001</v>
      </c>
      <c r="E4474">
        <v>0.46890379999999998</v>
      </c>
      <c r="F4474" t="s">
        <v>78</v>
      </c>
      <c r="G4474">
        <v>-415.82929999999999</v>
      </c>
      <c r="H4474" s="1">
        <v>-5.9156590000000003E-6</v>
      </c>
      <c r="I4474">
        <v>129.51859999999999</v>
      </c>
      <c r="J4474">
        <v>-400.41489999999999</v>
      </c>
      <c r="K4474">
        <v>1.1124689999999999</v>
      </c>
      <c r="L4474">
        <v>140.36340000000001</v>
      </c>
      <c r="M4474">
        <v>-0.97662879999999996</v>
      </c>
      <c r="N4474">
        <v>-2.3825140000000002E-2</v>
      </c>
      <c r="O4474">
        <v>-0.21360899999999999</v>
      </c>
      <c r="P4474">
        <v>-0.86054710000000001</v>
      </c>
      <c r="Q4474">
        <v>3.9032169999999998E-2</v>
      </c>
      <c r="R4474">
        <v>-0.50787329999999997</v>
      </c>
      <c r="S4474">
        <v>-2.473328</v>
      </c>
      <c r="T4474">
        <v>-0.17691979999999999</v>
      </c>
      <c r="U4474">
        <v>-1.7297359999999999</v>
      </c>
      <c r="V4474">
        <v>-0.31251410000000002</v>
      </c>
      <c r="W4474">
        <v>6.0397399999999997E-2</v>
      </c>
      <c r="X4474">
        <v>0.94799109999999998</v>
      </c>
      <c r="Y4474">
        <v>-0.3839842</v>
      </c>
      <c r="Z4474">
        <v>-8.6530210000000003E-3</v>
      </c>
      <c r="AA4474">
        <v>0.92329910000000004</v>
      </c>
      <c r="AB4474">
        <v>15</v>
      </c>
      <c r="AC4474">
        <v>-15.414400000000001</v>
      </c>
      <c r="AD4474">
        <v>-1.1124749156589999</v>
      </c>
      <c r="AE4474">
        <v>-10.844799999999999</v>
      </c>
      <c r="AF4474">
        <v>-7.2754126018118503</v>
      </c>
      <c r="AG4474">
        <v>-1.1124749156589999</v>
      </c>
      <c r="AH4474">
        <v>17.3152955779202</v>
      </c>
      <c r="AI4474">
        <v>93.389780303078197</v>
      </c>
      <c r="AJ4474">
        <v>112.79081112802</v>
      </c>
      <c r="AK4474">
        <v>18.814587157716598</v>
      </c>
      <c r="AL4474">
        <v>86.537376579824198</v>
      </c>
      <c r="AM4474">
        <v>108.245285479335</v>
      </c>
      <c r="AN4474">
        <v>1.00000001715238</v>
      </c>
    </row>
    <row r="4475" spans="1:40" x14ac:dyDescent="0.25">
      <c r="A4475" t="str">
        <f>"20190305135325080"</f>
        <v>20190305135325080</v>
      </c>
      <c r="B4475" t="str">
        <f>"1551765205074572"</f>
        <v>1551765205074572</v>
      </c>
      <c r="C4475" t="s">
        <v>40</v>
      </c>
      <c r="D4475">
        <v>4.8835439999999997</v>
      </c>
      <c r="E4475">
        <v>0.46925</v>
      </c>
      <c r="F4475" t="s">
        <v>78</v>
      </c>
      <c r="G4475">
        <v>-416.94630000000001</v>
      </c>
      <c r="H4475" s="1">
        <v>-5.4530640000000002E-6</v>
      </c>
      <c r="I4475">
        <v>128.738</v>
      </c>
      <c r="J4475">
        <v>-400.56220000000002</v>
      </c>
      <c r="K4475">
        <v>1.112206</v>
      </c>
      <c r="L4475">
        <v>140.32599999999999</v>
      </c>
      <c r="M4475">
        <v>-0.97571770000000002</v>
      </c>
      <c r="N4475">
        <v>-2.1763709999999999E-2</v>
      </c>
      <c r="O4475">
        <v>-0.21794849999999999</v>
      </c>
      <c r="P4475">
        <v>-0.85841509999999999</v>
      </c>
      <c r="Q4475">
        <v>4.0786900000000001E-2</v>
      </c>
      <c r="R4475">
        <v>-0.5113318</v>
      </c>
      <c r="S4475">
        <v>-2.4689939999999999</v>
      </c>
      <c r="T4475">
        <v>-0.16614999999999999</v>
      </c>
      <c r="U4475">
        <v>-1.73626699999999</v>
      </c>
      <c r="V4475">
        <v>-0.31215090000000001</v>
      </c>
      <c r="W4475">
        <v>6.0142269999999998E-2</v>
      </c>
      <c r="X4475">
        <v>0.94812700000000005</v>
      </c>
      <c r="Y4475">
        <v>-0.38239719999999999</v>
      </c>
      <c r="Z4475">
        <v>-7.6497550000000003E-3</v>
      </c>
      <c r="AA4475">
        <v>0.92396630000000002</v>
      </c>
      <c r="AB4475">
        <v>15</v>
      </c>
      <c r="AC4475">
        <v>-16.384099999999901</v>
      </c>
      <c r="AD4475">
        <v>-1.1122114530639999</v>
      </c>
      <c r="AE4475">
        <v>-11.5879999999999</v>
      </c>
      <c r="AF4475">
        <v>-7.7138642158793598</v>
      </c>
      <c r="AG4475">
        <v>-1.1122114530639999</v>
      </c>
      <c r="AH4475">
        <v>18.459525983521001</v>
      </c>
      <c r="AI4475">
        <v>93.181949545486503</v>
      </c>
      <c r="AJ4475">
        <v>112.67906783094701</v>
      </c>
      <c r="AK4475">
        <v>20.0373355263029</v>
      </c>
      <c r="AL4475">
        <v>86.552021161501997</v>
      </c>
      <c r="AM4475">
        <v>108.223043766939</v>
      </c>
      <c r="AN4475">
        <v>1.00000004257028</v>
      </c>
    </row>
    <row r="4476" spans="1:40" x14ac:dyDescent="0.25">
      <c r="A4476" t="str">
        <f>"20190305135325102"</f>
        <v>20190305135325102</v>
      </c>
      <c r="B4476" t="str">
        <f>"1551765205094088"</f>
        <v>1551765205094088</v>
      </c>
      <c r="C4476" t="s">
        <v>40</v>
      </c>
      <c r="D4476">
        <v>4.5250760000000003</v>
      </c>
      <c r="E4476">
        <v>0.469414</v>
      </c>
      <c r="F4476" t="s">
        <v>78</v>
      </c>
      <c r="G4476">
        <v>-417.76839999999999</v>
      </c>
      <c r="H4476" s="1">
        <v>-5.1025389999999999E-6</v>
      </c>
      <c r="I4476">
        <v>128.1437</v>
      </c>
      <c r="J4476">
        <v>-400.70699999999999</v>
      </c>
      <c r="K4476">
        <v>1.112134</v>
      </c>
      <c r="L4476">
        <v>140.2886</v>
      </c>
      <c r="M4476">
        <v>-0.97482139999999995</v>
      </c>
      <c r="N4476">
        <v>-2.0501269999999999E-2</v>
      </c>
      <c r="O4476">
        <v>-0.2220425</v>
      </c>
      <c r="P4476">
        <v>-0.85560849999999899</v>
      </c>
      <c r="Q4476">
        <v>4.0400270000000002E-2</v>
      </c>
      <c r="R4476">
        <v>-0.51604459999999996</v>
      </c>
      <c r="S4476">
        <v>-2.4634399999999999</v>
      </c>
      <c r="T4476">
        <v>-0.15923670000000001</v>
      </c>
      <c r="U4476">
        <v>-1.744156</v>
      </c>
      <c r="V4476">
        <v>-0.31338519999999997</v>
      </c>
      <c r="W4476">
        <v>5.852388E-2</v>
      </c>
      <c r="X4476">
        <v>0.94782100000000002</v>
      </c>
      <c r="Y4476">
        <v>-0.38154349999999998</v>
      </c>
      <c r="Z4476">
        <v>-7.0042680000000001E-3</v>
      </c>
      <c r="AA4476">
        <v>0.92432429999999999</v>
      </c>
      <c r="AB4476">
        <v>15</v>
      </c>
      <c r="AC4476">
        <v>-17.0613999999999</v>
      </c>
      <c r="AD4476">
        <v>-1.1121391025389999</v>
      </c>
      <c r="AE4476">
        <v>-12.1449</v>
      </c>
      <c r="AF4476">
        <v>-8.0298005964810404</v>
      </c>
      <c r="AG4476">
        <v>-1.1121391025389999</v>
      </c>
      <c r="AH4476">
        <v>19.278199770912298</v>
      </c>
      <c r="AI4476">
        <v>93.048353755738304</v>
      </c>
      <c r="AJ4476">
        <v>112.61281783172601</v>
      </c>
      <c r="AK4476">
        <v>20.913238329102601</v>
      </c>
      <c r="AL4476">
        <v>86.644911552149296</v>
      </c>
      <c r="AM4476">
        <v>108.295824551723</v>
      </c>
      <c r="AN4476">
        <v>0.99999998807514701</v>
      </c>
    </row>
    <row r="4477" spans="1:40" x14ac:dyDescent="0.25">
      <c r="A4477" t="str">
        <f>"20190305135325124"</f>
        <v>20190305135325124</v>
      </c>
      <c r="B4477" t="str">
        <f>"1551765205114584"</f>
        <v>1551765205114584</v>
      </c>
      <c r="C4477" t="s">
        <v>40</v>
      </c>
      <c r="D4477">
        <v>4.4284059999999998</v>
      </c>
      <c r="E4477">
        <v>0.46966059999999998</v>
      </c>
      <c r="F4477" t="s">
        <v>78</v>
      </c>
      <c r="G4477">
        <v>-417.58859999999999</v>
      </c>
      <c r="H4477" s="1">
        <v>-5.1454739999999998E-6</v>
      </c>
      <c r="I4477">
        <v>128.20750000000001</v>
      </c>
      <c r="J4477">
        <v>-400.8451</v>
      </c>
      <c r="K4477">
        <v>1.112133</v>
      </c>
      <c r="L4477">
        <v>140.25219999999999</v>
      </c>
      <c r="M4477">
        <v>-0.97393099999999999</v>
      </c>
      <c r="N4477">
        <v>-1.9731930000000002E-2</v>
      </c>
      <c r="O4477">
        <v>-0.22598460000000001</v>
      </c>
      <c r="P4477">
        <v>-0.85272700000000001</v>
      </c>
      <c r="Q4477">
        <v>3.7809629999999997E-2</v>
      </c>
      <c r="R4477">
        <v>-0.52098670000000002</v>
      </c>
      <c r="S4477">
        <v>-2.454529</v>
      </c>
      <c r="T4477">
        <v>-0.16170119999999999</v>
      </c>
      <c r="U4477">
        <v>-1.7565459999999999</v>
      </c>
      <c r="V4477">
        <v>-0.31499759999999999</v>
      </c>
      <c r="W4477">
        <v>5.5193800000000001E-2</v>
      </c>
      <c r="X4477">
        <v>0.94748619999999995</v>
      </c>
      <c r="Y4477">
        <v>-0.3824825</v>
      </c>
      <c r="Z4477">
        <v>-6.5522330000000002E-3</v>
      </c>
      <c r="AA4477">
        <v>0.92393950000000002</v>
      </c>
      <c r="AB4477">
        <v>15</v>
      </c>
      <c r="AC4477">
        <v>-16.743499999999901</v>
      </c>
      <c r="AD4477">
        <v>-1.112138145474</v>
      </c>
      <c r="AE4477">
        <v>-12.044699999999899</v>
      </c>
      <c r="AF4477">
        <v>-7.9254389907818297</v>
      </c>
      <c r="AG4477">
        <v>-1.112138145474</v>
      </c>
      <c r="AH4477">
        <v>18.9774616561618</v>
      </c>
      <c r="AI4477">
        <v>93.095356312514696</v>
      </c>
      <c r="AJ4477">
        <v>112.66657468556301</v>
      </c>
      <c r="AK4477">
        <v>20.595957986030001</v>
      </c>
      <c r="AL4477">
        <v>86.836020290830405</v>
      </c>
      <c r="AM4477">
        <v>108.389703138455</v>
      </c>
      <c r="AN4477">
        <v>0.999999971377319</v>
      </c>
    </row>
    <row r="4478" spans="1:40" x14ac:dyDescent="0.25">
      <c r="A4478" t="str">
        <f>"20190305135325146"</f>
        <v>20190305135325146</v>
      </c>
      <c r="B4478" t="str">
        <f>"1551765205134105"</f>
        <v>1551765205134105</v>
      </c>
      <c r="C4478" t="s">
        <v>40</v>
      </c>
      <c r="D4478">
        <v>4.4665549999999996</v>
      </c>
      <c r="E4478">
        <v>0.47000819999999999</v>
      </c>
      <c r="F4478" t="s">
        <v>78</v>
      </c>
      <c r="G4478">
        <v>-416.94589999999999</v>
      </c>
      <c r="H4478" s="1">
        <v>-5.3867499999999997E-6</v>
      </c>
      <c r="I4478">
        <v>128.6078</v>
      </c>
      <c r="J4478">
        <v>-400.98520000000002</v>
      </c>
      <c r="K4478">
        <v>1.1121190000000001</v>
      </c>
      <c r="L4478">
        <v>140.21459999999999</v>
      </c>
      <c r="M4478">
        <v>-0.97295589999999998</v>
      </c>
      <c r="N4478">
        <v>-1.887142E-2</v>
      </c>
      <c r="O4478">
        <v>-0.2302189</v>
      </c>
      <c r="P4478">
        <v>-0.84999799999999903</v>
      </c>
      <c r="Q4478">
        <v>3.6680839999999999E-2</v>
      </c>
      <c r="R4478">
        <v>-0.52550759999999996</v>
      </c>
      <c r="S4478">
        <v>-2.4451900000000002</v>
      </c>
      <c r="T4478">
        <v>-0.16889799999999999</v>
      </c>
      <c r="U4478">
        <v>-1.768402</v>
      </c>
      <c r="V4478">
        <v>-0.31589509999999998</v>
      </c>
      <c r="W4478">
        <v>5.3227839999999998E-2</v>
      </c>
      <c r="X4478">
        <v>0.94729989999999997</v>
      </c>
      <c r="Y4478">
        <v>-0.3830636</v>
      </c>
      <c r="Z4478">
        <v>-5.965644E-3</v>
      </c>
      <c r="AA4478">
        <v>0.92370269999999999</v>
      </c>
      <c r="AB4478">
        <v>15</v>
      </c>
      <c r="AC4478">
        <v>-15.9606999999999</v>
      </c>
      <c r="AD4478">
        <v>-1.1121243867499999</v>
      </c>
      <c r="AE4478">
        <v>-11.6067999999999</v>
      </c>
      <c r="AF4478">
        <v>-7.5956847220676904</v>
      </c>
      <c r="AG4478">
        <v>-1.1121243867499999</v>
      </c>
      <c r="AH4478">
        <v>18.146774278455801</v>
      </c>
      <c r="AI4478">
        <v>93.235627997507393</v>
      </c>
      <c r="AJ4478">
        <v>112.712694544762</v>
      </c>
      <c r="AK4478">
        <v>19.703722078883501</v>
      </c>
      <c r="AL4478">
        <v>86.948827519015893</v>
      </c>
      <c r="AM4478">
        <v>108.44194161210299</v>
      </c>
      <c r="AN4478">
        <v>1.00000000884754</v>
      </c>
    </row>
    <row r="4479" spans="1:40" x14ac:dyDescent="0.25">
      <c r="A4479" t="str">
        <f>"20190305135325169"</f>
        <v>20190305135325169</v>
      </c>
      <c r="B4479" t="str">
        <f>"1551765205164372"</f>
        <v>1551765205164372</v>
      </c>
      <c r="C4479" t="s">
        <v>40</v>
      </c>
      <c r="D4479">
        <v>4.384995</v>
      </c>
      <c r="E4479">
        <v>0.48734</v>
      </c>
      <c r="F4479" t="s">
        <v>78</v>
      </c>
      <c r="G4479">
        <v>-416.75139999999999</v>
      </c>
      <c r="H4479" s="1">
        <v>-5.4491769999999999E-6</v>
      </c>
      <c r="I4479">
        <v>128.70820000000001</v>
      </c>
      <c r="J4479">
        <v>-401.12970000000001</v>
      </c>
      <c r="K4479">
        <v>1.1121030000000001</v>
      </c>
      <c r="L4479">
        <v>140.17509999999999</v>
      </c>
      <c r="M4479">
        <v>-0.97190540000000003</v>
      </c>
      <c r="N4479">
        <v>-1.786248E-2</v>
      </c>
      <c r="O4479">
        <v>-0.23469309999999999</v>
      </c>
      <c r="P4479">
        <v>-0.84722199999999903</v>
      </c>
      <c r="Q4479">
        <v>3.6859860000000001E-2</v>
      </c>
      <c r="R4479">
        <v>-0.52995859999999995</v>
      </c>
      <c r="S4479">
        <v>-2.4371640000000001</v>
      </c>
      <c r="T4479">
        <v>-0.17191409999999999</v>
      </c>
      <c r="U4479">
        <v>-1.7786869999999999</v>
      </c>
      <c r="V4479">
        <v>-0.31651750000000001</v>
      </c>
      <c r="W4479">
        <v>5.2390249999999999E-2</v>
      </c>
      <c r="X4479">
        <v>0.94713879999999995</v>
      </c>
      <c r="Y4479">
        <v>-0.38281799999999999</v>
      </c>
      <c r="Z4479">
        <v>-5.3000340000000003E-3</v>
      </c>
      <c r="AA4479">
        <v>0.92380859999999998</v>
      </c>
      <c r="AB4479">
        <v>15</v>
      </c>
      <c r="AC4479">
        <v>-15.621699999999899</v>
      </c>
      <c r="AD4479">
        <v>-1.1121084491769999</v>
      </c>
      <c r="AE4479">
        <v>-11.4668999999999</v>
      </c>
      <c r="AF4479">
        <v>-7.45507706646843</v>
      </c>
      <c r="AG4479">
        <v>-1.1121084491769999</v>
      </c>
      <c r="AH4479">
        <v>17.818185331411399</v>
      </c>
      <c r="AI4479">
        <v>93.2953212496015</v>
      </c>
      <c r="AJ4479">
        <v>112.70429288946301</v>
      </c>
      <c r="AK4479">
        <v>19.346903829146399</v>
      </c>
      <c r="AL4479">
        <v>86.996884882098698</v>
      </c>
      <c r="AM4479">
        <v>108.47874163191</v>
      </c>
      <c r="AN4479">
        <v>0.99999998628337605</v>
      </c>
    </row>
    <row r="4480" spans="1:40" x14ac:dyDescent="0.25">
      <c r="A4480" t="str">
        <f>"20190305135325191"</f>
        <v>20190305135325191</v>
      </c>
      <c r="B4480" t="str">
        <f>"1551765205184869"</f>
        <v>1551765205184869</v>
      </c>
      <c r="C4480" t="s">
        <v>40</v>
      </c>
      <c r="D4480">
        <v>4.4425689999999998</v>
      </c>
      <c r="E4480">
        <v>0.50582159999999998</v>
      </c>
      <c r="F4480" t="s">
        <v>78</v>
      </c>
      <c r="G4480">
        <v>-416.87079999999997</v>
      </c>
      <c r="H4480" s="1">
        <v>-5.912961E-6</v>
      </c>
      <c r="I4480">
        <v>129.63589999999999</v>
      </c>
      <c r="J4480">
        <v>-401.27510000000001</v>
      </c>
      <c r="K4480">
        <v>1.1121399999999999</v>
      </c>
      <c r="L4480">
        <v>140.1344</v>
      </c>
      <c r="M4480">
        <v>-0.97084139999999997</v>
      </c>
      <c r="N4480">
        <v>-1.7005260000000001E-2</v>
      </c>
      <c r="O4480">
        <v>-0.23911950000000001</v>
      </c>
      <c r="P4480">
        <v>-0.8446726</v>
      </c>
      <c r="Q4480">
        <v>3.7429370000000003E-2</v>
      </c>
      <c r="R4480">
        <v>-0.53397359999999905</v>
      </c>
      <c r="S4480">
        <v>-2.50116</v>
      </c>
      <c r="T4480">
        <v>-0.1767068</v>
      </c>
      <c r="U4480">
        <v>-1.674606</v>
      </c>
      <c r="V4480">
        <v>-0.31671640000000001</v>
      </c>
      <c r="W4480">
        <v>5.2076919999999999E-2</v>
      </c>
      <c r="X4480">
        <v>0.94708959999999998</v>
      </c>
      <c r="Y4480">
        <v>-0.34094279999999999</v>
      </c>
      <c r="Z4480">
        <v>-2.9521199999999999E-3</v>
      </c>
      <c r="AA4480">
        <v>0.94007940000000001</v>
      </c>
      <c r="AB4480">
        <v>15</v>
      </c>
      <c r="AC4480">
        <v>-15.5956999999999</v>
      </c>
      <c r="AD4480">
        <v>-1.1121459129609901</v>
      </c>
      <c r="AE4480">
        <v>-10.4985</v>
      </c>
      <c r="AF4480">
        <v>-6.4415340973464001</v>
      </c>
      <c r="AG4480">
        <v>-1.1121459129609901</v>
      </c>
      <c r="AH4480">
        <v>17.592333187617701</v>
      </c>
      <c r="AI4480">
        <v>93.397282386167504</v>
      </c>
      <c r="AJ4480">
        <v>110.110495439153</v>
      </c>
      <c r="AK4480">
        <v>18.767536253945199</v>
      </c>
      <c r="AL4480">
        <v>87.014861941652896</v>
      </c>
      <c r="AM4480">
        <v>108.490459568237</v>
      </c>
      <c r="AN4480">
        <v>0.99999999702690301</v>
      </c>
    </row>
    <row r="4481" spans="1:40" x14ac:dyDescent="0.25">
      <c r="A4481" t="str">
        <f>"20190305135325214"</f>
        <v>20190305135325214</v>
      </c>
      <c r="B4481" t="str">
        <f>"1551765205204389"</f>
        <v>1551765205204389</v>
      </c>
      <c r="C4481" t="s">
        <v>40</v>
      </c>
      <c r="D4481">
        <v>4.4114430000000002</v>
      </c>
      <c r="E4481">
        <v>0.50417579999999995</v>
      </c>
      <c r="F4481" t="s">
        <v>78</v>
      </c>
      <c r="G4481">
        <v>-421.63709999999998</v>
      </c>
      <c r="H4481" s="1">
        <v>-5.1534200000000002E-6</v>
      </c>
      <c r="I4481">
        <v>127.76220000000001</v>
      </c>
      <c r="J4481">
        <v>-401.41210000000001</v>
      </c>
      <c r="K4481">
        <v>1.11219</v>
      </c>
      <c r="L4481">
        <v>140.09540000000001</v>
      </c>
      <c r="M4481">
        <v>-0.96982179999999996</v>
      </c>
      <c r="N4481">
        <v>-1.6419349999999999E-2</v>
      </c>
      <c r="O4481">
        <v>-0.24326220000000001</v>
      </c>
      <c r="P4481">
        <v>-0.84181870000000003</v>
      </c>
      <c r="Q4481">
        <v>3.7789660000000003E-2</v>
      </c>
      <c r="R4481">
        <v>-0.53843609999999997</v>
      </c>
      <c r="S4481">
        <v>-2.5705260000000001</v>
      </c>
      <c r="T4481">
        <v>-0.140399</v>
      </c>
      <c r="U4481">
        <v>-1.56189</v>
      </c>
      <c r="V4481">
        <v>-0.31769760000000002</v>
      </c>
      <c r="W4481">
        <v>5.1830250000000001E-2</v>
      </c>
      <c r="X4481">
        <v>0.94677449999999996</v>
      </c>
      <c r="Y4481">
        <v>-0.29543150000000001</v>
      </c>
      <c r="Z4481">
        <v>-1.88915E-3</v>
      </c>
      <c r="AA4481">
        <v>0.95536209999999999</v>
      </c>
      <c r="AB4481">
        <v>15</v>
      </c>
      <c r="AC4481">
        <v>-20.224999999999898</v>
      </c>
      <c r="AD4481">
        <v>-1.1121951534200001</v>
      </c>
      <c r="AE4481">
        <v>-12.3332</v>
      </c>
      <c r="AF4481">
        <v>-7.0264873734615696</v>
      </c>
      <c r="AG4481">
        <v>-1.1121951534200001</v>
      </c>
      <c r="AH4481">
        <v>22.568143974574198</v>
      </c>
      <c r="AI4481">
        <v>92.693995972180701</v>
      </c>
      <c r="AJ4481">
        <v>107.29373567791301</v>
      </c>
      <c r="AK4481">
        <v>23.662832149297301</v>
      </c>
      <c r="AL4481">
        <v>87.0290143524592</v>
      </c>
      <c r="AM4481">
        <v>108.54958119212</v>
      </c>
      <c r="AN4481">
        <v>1.0000000468555299</v>
      </c>
    </row>
    <row r="4482" spans="1:40" x14ac:dyDescent="0.25">
      <c r="A4482" t="str">
        <f>"20190305135325236"</f>
        <v>20190305135325236</v>
      </c>
      <c r="B4482" t="str">
        <f>"1551765205224885"</f>
        <v>1551765205224885</v>
      </c>
      <c r="C4482" t="s">
        <v>40</v>
      </c>
      <c r="D4482">
        <v>4.460909</v>
      </c>
      <c r="E4482">
        <v>0.50080539999999996</v>
      </c>
      <c r="F4482" t="s">
        <v>78</v>
      </c>
      <c r="G4482">
        <v>-419.58749999999998</v>
      </c>
      <c r="H4482" s="1">
        <v>-5.339322E-6</v>
      </c>
      <c r="I4482">
        <v>128.81559999999999</v>
      </c>
      <c r="J4482">
        <v>-401.55579999999998</v>
      </c>
      <c r="K4482">
        <v>1.1122209999999999</v>
      </c>
      <c r="L4482">
        <v>140.05359999999999</v>
      </c>
      <c r="M4482">
        <v>-0.9687036</v>
      </c>
      <c r="N4482">
        <v>-1.592845E-2</v>
      </c>
      <c r="O4482">
        <v>-0.2477084</v>
      </c>
      <c r="P4482">
        <v>-0.8387521</v>
      </c>
      <c r="Q4482">
        <v>3.8108700000000002E-2</v>
      </c>
      <c r="R4482">
        <v>-0.5431781</v>
      </c>
      <c r="S4482">
        <v>-2.5560909999999999</v>
      </c>
      <c r="T4482">
        <v>-0.1564132</v>
      </c>
      <c r="U4482">
        <v>-1.586319</v>
      </c>
      <c r="V4482">
        <v>-0.31870609999999999</v>
      </c>
      <c r="W4482">
        <v>5.1656430000000003E-2</v>
      </c>
      <c r="X4482">
        <v>0.94644490000000003</v>
      </c>
      <c r="Y4482">
        <v>-0.30001499999999998</v>
      </c>
      <c r="Z4482">
        <v>-1.174221E-3</v>
      </c>
      <c r="AA4482">
        <v>0.95393380000000005</v>
      </c>
      <c r="AB4482">
        <v>15</v>
      </c>
      <c r="AC4482">
        <v>-18.031700000000001</v>
      </c>
      <c r="AD4482">
        <v>-1.112226339322</v>
      </c>
      <c r="AE4482">
        <v>-11.238</v>
      </c>
      <c r="AF4482">
        <v>-6.4029568371958003</v>
      </c>
      <c r="AG4482">
        <v>-1.112226339322</v>
      </c>
      <c r="AH4482">
        <v>20.198342264283099</v>
      </c>
      <c r="AI4482">
        <v>93.004749859839293</v>
      </c>
      <c r="AJ4482">
        <v>107.58882732741699</v>
      </c>
      <c r="AK4482">
        <v>21.218103918917901</v>
      </c>
      <c r="AL4482">
        <v>87.0389865966294</v>
      </c>
      <c r="AM4482">
        <v>108.610451071066</v>
      </c>
      <c r="AN4482">
        <v>0.999999956836781</v>
      </c>
    </row>
    <row r="4483" spans="1:40" x14ac:dyDescent="0.25">
      <c r="A4483" t="str">
        <f>"20190305135325258"</f>
        <v>20190305135325258</v>
      </c>
      <c r="B4483" t="str">
        <f>"1551765205254165"</f>
        <v>1551765205254165</v>
      </c>
      <c r="C4483" t="s">
        <v>40</v>
      </c>
      <c r="D4483">
        <v>4.4083069999999998</v>
      </c>
      <c r="E4483">
        <v>0.49881779999999998</v>
      </c>
      <c r="F4483" t="s">
        <v>78</v>
      </c>
      <c r="G4483">
        <v>-416.42880000000002</v>
      </c>
      <c r="H4483" s="1">
        <v>-6.302308E-6</v>
      </c>
      <c r="I4483">
        <v>130.52879999999999</v>
      </c>
      <c r="J4483">
        <v>-401.69349999999997</v>
      </c>
      <c r="K4483">
        <v>1.112212</v>
      </c>
      <c r="L4483">
        <v>140.0128</v>
      </c>
      <c r="M4483">
        <v>-0.96757680000000001</v>
      </c>
      <c r="N4483">
        <v>-1.548334E-2</v>
      </c>
      <c r="O4483">
        <v>-0.25210199999999999</v>
      </c>
      <c r="P4483">
        <v>-0.83593580000000001</v>
      </c>
      <c r="Q4483">
        <v>3.7265609999999998E-2</v>
      </c>
      <c r="R4483">
        <v>-0.54756050000000001</v>
      </c>
      <c r="S4483">
        <v>-2.5343019999999998</v>
      </c>
      <c r="T4483">
        <v>-0.18951889999999999</v>
      </c>
      <c r="U4483">
        <v>-1.6229709999999999</v>
      </c>
      <c r="V4483">
        <v>-0.31935150000000001</v>
      </c>
      <c r="W4483">
        <v>5.038161E-2</v>
      </c>
      <c r="X4483">
        <v>0.94629609999999997</v>
      </c>
      <c r="Y4483">
        <v>-0.30908059999999998</v>
      </c>
      <c r="Z4483" s="1">
        <v>-6.1233529999999998E-5</v>
      </c>
      <c r="AA4483">
        <v>0.95103590000000005</v>
      </c>
      <c r="AB4483">
        <v>15</v>
      </c>
      <c r="AC4483">
        <v>-14.735300000000001</v>
      </c>
      <c r="AD4483">
        <v>-1.1122183023079999</v>
      </c>
      <c r="AE4483">
        <v>-9.484</v>
      </c>
      <c r="AF4483">
        <v>-5.4404381306333702</v>
      </c>
      <c r="AG4483">
        <v>-1.1122183023079999</v>
      </c>
      <c r="AH4483">
        <v>16.5836596043874</v>
      </c>
      <c r="AI4483">
        <v>93.646274577140204</v>
      </c>
      <c r="AJ4483">
        <v>108.16260284819001</v>
      </c>
      <c r="AK4483">
        <v>17.4886581097415</v>
      </c>
      <c r="AL4483">
        <v>87.112123777207202</v>
      </c>
      <c r="AM4483">
        <v>108.64826498118801</v>
      </c>
      <c r="AN4483">
        <v>0.99999999802682504</v>
      </c>
    </row>
    <row r="4484" spans="1:40" x14ac:dyDescent="0.25">
      <c r="A4484" t="str">
        <f>"20190305135325281"</f>
        <v>20190305135325281</v>
      </c>
      <c r="B4484" t="str">
        <f>"1551765205274662"</f>
        <v>1551765205274662</v>
      </c>
      <c r="C4484" t="s">
        <v>40</v>
      </c>
      <c r="D4484">
        <v>4.4257569999999999</v>
      </c>
      <c r="E4484">
        <v>0.49888480000000002</v>
      </c>
      <c r="F4484" t="s">
        <v>78</v>
      </c>
      <c r="G4484">
        <v>-415.26409999999998</v>
      </c>
      <c r="H4484" s="1">
        <v>-6.6130979999999998E-6</v>
      </c>
      <c r="I4484">
        <v>131.1259</v>
      </c>
      <c r="J4484">
        <v>-401.84010000000001</v>
      </c>
      <c r="K4484">
        <v>1.1122019999999999</v>
      </c>
      <c r="L4484">
        <v>139.96860000000001</v>
      </c>
      <c r="M4484">
        <v>-0.96633020000000003</v>
      </c>
      <c r="N4484">
        <v>-1.503838E-2</v>
      </c>
      <c r="O4484">
        <v>-0.25686490000000001</v>
      </c>
      <c r="P4484">
        <v>-0.83266130000000005</v>
      </c>
      <c r="Q4484">
        <v>3.6447899999999998E-2</v>
      </c>
      <c r="R4484">
        <v>-0.5525814</v>
      </c>
      <c r="S4484">
        <v>-2.517944</v>
      </c>
      <c r="T4484">
        <v>-0.20636650000000001</v>
      </c>
      <c r="U4484">
        <v>-1.648911</v>
      </c>
      <c r="V4484">
        <v>-0.32037259999999901</v>
      </c>
      <c r="W4484">
        <v>4.9130029999999998E-2</v>
      </c>
      <c r="X4484">
        <v>0.94601670000000004</v>
      </c>
      <c r="Y4484">
        <v>-0.31403229999999999</v>
      </c>
      <c r="Z4484">
        <v>7.2540250000000005E-4</v>
      </c>
      <c r="AA4484">
        <v>0.94941200000000003</v>
      </c>
      <c r="AB4484">
        <v>15</v>
      </c>
      <c r="AC4484">
        <v>-13.4239999999999</v>
      </c>
      <c r="AD4484">
        <v>-1.112208613098</v>
      </c>
      <c r="AE4484">
        <v>-8.8427000000000007</v>
      </c>
      <c r="AF4484">
        <v>-5.0731044684434297</v>
      </c>
      <c r="AG4484">
        <v>-1.112208613098</v>
      </c>
      <c r="AH4484">
        <v>15.172487178095601</v>
      </c>
      <c r="AI4484">
        <v>93.976865915680605</v>
      </c>
      <c r="AJ4484">
        <v>108.487981327534</v>
      </c>
      <c r="AK4484">
        <v>16.036762893934199</v>
      </c>
      <c r="AL4484">
        <v>87.1839229116882</v>
      </c>
      <c r="AM4484">
        <v>108.708890212414</v>
      </c>
      <c r="AN4484">
        <v>0.999999979678725</v>
      </c>
    </row>
    <row r="4485" spans="1:40" x14ac:dyDescent="0.25">
      <c r="A4485" t="str">
        <f>"20190305135325302"</f>
        <v>20190305135325302</v>
      </c>
      <c r="B4485" t="str">
        <f>"1551765205294181"</f>
        <v>1551765205294181</v>
      </c>
      <c r="C4485" t="s">
        <v>40</v>
      </c>
      <c r="D4485">
        <v>4.4931890000000001</v>
      </c>
      <c r="E4485">
        <v>0.49802679999999999</v>
      </c>
      <c r="F4485" t="s">
        <v>78</v>
      </c>
      <c r="G4485">
        <v>-415.5247</v>
      </c>
      <c r="H4485" s="1">
        <v>-6.5024800000000003E-6</v>
      </c>
      <c r="I4485">
        <v>130.89150000000001</v>
      </c>
      <c r="J4485">
        <v>-401.97579999999999</v>
      </c>
      <c r="K4485">
        <v>1.1122050000000001</v>
      </c>
      <c r="L4485">
        <v>139.92699999999999</v>
      </c>
      <c r="M4485">
        <v>-0.96514520000000004</v>
      </c>
      <c r="N4485">
        <v>-1.468916E-2</v>
      </c>
      <c r="O4485">
        <v>-0.2613027</v>
      </c>
      <c r="P4485">
        <v>-0.82951569999999997</v>
      </c>
      <c r="Q4485">
        <v>3.6549730000000002E-2</v>
      </c>
      <c r="R4485">
        <v>-0.55728639999999996</v>
      </c>
      <c r="S4485">
        <v>-2.5078740000000002</v>
      </c>
      <c r="T4485">
        <v>-0.2038267</v>
      </c>
      <c r="U4485">
        <v>-1.6634979999999999</v>
      </c>
      <c r="V4485">
        <v>-0.32138410000000001</v>
      </c>
      <c r="W4485">
        <v>4.8880949999999999E-2</v>
      </c>
      <c r="X4485">
        <v>0.94568649999999999</v>
      </c>
      <c r="Y4485">
        <v>-0.31528040000000002</v>
      </c>
      <c r="Z4485">
        <v>9.8252020000000003E-4</v>
      </c>
      <c r="AA4485">
        <v>0.94899800000000001</v>
      </c>
      <c r="AB4485">
        <v>15</v>
      </c>
      <c r="AC4485">
        <v>-13.5489</v>
      </c>
      <c r="AD4485">
        <v>-1.1122115024799999</v>
      </c>
      <c r="AE4485">
        <v>-9.0355000000000096</v>
      </c>
      <c r="AF4485">
        <v>-5.1567118332053203</v>
      </c>
      <c r="AG4485">
        <v>-1.1122115024799999</v>
      </c>
      <c r="AH4485">
        <v>15.367642884259901</v>
      </c>
      <c r="AI4485">
        <v>93.925124594099699</v>
      </c>
      <c r="AJ4485">
        <v>108.549510423622</v>
      </c>
      <c r="AK4485">
        <v>16.247865680608999</v>
      </c>
      <c r="AL4485">
        <v>87.198211429830806</v>
      </c>
      <c r="AM4485">
        <v>108.769924046413</v>
      </c>
      <c r="AN4485">
        <v>1.0000000216439799</v>
      </c>
    </row>
    <row r="4486" spans="1:40" x14ac:dyDescent="0.25">
      <c r="A4486" t="str">
        <f>"20190305135325325"</f>
        <v>20190305135325325</v>
      </c>
      <c r="B4486" t="str">
        <f>"1551765205314678"</f>
        <v>1551765205314678</v>
      </c>
      <c r="C4486" t="s">
        <v>40</v>
      </c>
      <c r="D4486">
        <v>4.4646699999999999</v>
      </c>
      <c r="E4486">
        <v>0.49785620000000003</v>
      </c>
      <c r="F4486" t="s">
        <v>78</v>
      </c>
      <c r="G4486">
        <v>-415.54649999999998</v>
      </c>
      <c r="H4486" s="1">
        <v>-6.4518429999999999E-6</v>
      </c>
      <c r="I4486">
        <v>130.77029999999999</v>
      </c>
      <c r="J4486">
        <v>-402.1164</v>
      </c>
      <c r="K4486">
        <v>1.1122160000000001</v>
      </c>
      <c r="L4486">
        <v>139.88299999999899</v>
      </c>
      <c r="M4486">
        <v>-0.9638814</v>
      </c>
      <c r="N4486">
        <v>-1.4391849999999999E-2</v>
      </c>
      <c r="O4486">
        <v>-0.26594289999999998</v>
      </c>
      <c r="P4486">
        <v>-0.82659499999999997</v>
      </c>
      <c r="Q4486">
        <v>3.6321510000000001E-2</v>
      </c>
      <c r="R4486">
        <v>-0.56162419999999902</v>
      </c>
      <c r="S4486">
        <v>-2.4946899999999999</v>
      </c>
      <c r="T4486">
        <v>-0.204457</v>
      </c>
      <c r="U4486">
        <v>-1.683273</v>
      </c>
      <c r="V4486">
        <v>-0.32178790000000002</v>
      </c>
      <c r="W4486">
        <v>4.8347519999999998E-2</v>
      </c>
      <c r="X4486">
        <v>0.94557650000000004</v>
      </c>
      <c r="Y4486">
        <v>-0.31821280000000002</v>
      </c>
      <c r="Z4486">
        <v>1.2677509999999999E-3</v>
      </c>
      <c r="AA4486">
        <v>0.94801840000000004</v>
      </c>
      <c r="AB4486">
        <v>15</v>
      </c>
      <c r="AC4486">
        <v>-13.4300999999999</v>
      </c>
      <c r="AD4486">
        <v>-1.1122224518429999</v>
      </c>
      <c r="AE4486">
        <v>-9.1126999999999896</v>
      </c>
      <c r="AF4486">
        <v>-5.1880971683233597</v>
      </c>
      <c r="AG4486">
        <v>-1.1122224518429999</v>
      </c>
      <c r="AH4486">
        <v>15.2982279173367</v>
      </c>
      <c r="AI4486">
        <v>93.938664765766205</v>
      </c>
      <c r="AJ4486">
        <v>108.733369984231</v>
      </c>
      <c r="AK4486">
        <v>16.1922564338985</v>
      </c>
      <c r="AL4486">
        <v>87.228810632737094</v>
      </c>
      <c r="AM4486">
        <v>108.79388565104701</v>
      </c>
      <c r="AN4486">
        <v>0.99999992631440204</v>
      </c>
    </row>
    <row r="4487" spans="1:40" x14ac:dyDescent="0.25">
      <c r="A4487" t="str">
        <f>"20190305135325347"</f>
        <v>20190305135325347</v>
      </c>
      <c r="B4487" t="str">
        <f>"1551765205334197"</f>
        <v>1551765205334197</v>
      </c>
      <c r="C4487" t="s">
        <v>40</v>
      </c>
      <c r="D4487">
        <v>4.5046819999999999</v>
      </c>
      <c r="E4487">
        <v>0.49766490000000002</v>
      </c>
      <c r="F4487" t="s">
        <v>78</v>
      </c>
      <c r="G4487">
        <v>-415.7491</v>
      </c>
      <c r="H4487" s="1">
        <v>-6.3601759999999999E-6</v>
      </c>
      <c r="I4487">
        <v>130.57409999999999</v>
      </c>
      <c r="J4487">
        <v>-402.25529999999998</v>
      </c>
      <c r="K4487">
        <v>1.112247</v>
      </c>
      <c r="L4487">
        <v>139.83879999999999</v>
      </c>
      <c r="M4487">
        <v>-0.96259430000000001</v>
      </c>
      <c r="N4487">
        <v>-1.422996E-2</v>
      </c>
      <c r="O4487">
        <v>-0.27057310000000001</v>
      </c>
      <c r="P4487">
        <v>-0.82376970000000005</v>
      </c>
      <c r="Q4487">
        <v>3.56946E-2</v>
      </c>
      <c r="R4487">
        <v>-0.56579969999999902</v>
      </c>
      <c r="S4487">
        <v>-2.4852289999999999</v>
      </c>
      <c r="T4487">
        <v>-0.20275589999999999</v>
      </c>
      <c r="U4487">
        <v>-1.697006</v>
      </c>
      <c r="V4487">
        <v>-0.32201839999999998</v>
      </c>
      <c r="W4487">
        <v>4.7554489999999998E-2</v>
      </c>
      <c r="X4487">
        <v>0.94553830000000005</v>
      </c>
      <c r="Y4487">
        <v>-0.31892330000000002</v>
      </c>
      <c r="Z4487">
        <v>1.5082190000000001E-3</v>
      </c>
      <c r="AA4487">
        <v>0.94777940000000005</v>
      </c>
      <c r="AB4487">
        <v>15</v>
      </c>
      <c r="AC4487">
        <v>-13.4938</v>
      </c>
      <c r="AD4487">
        <v>-1.1122533601760001</v>
      </c>
      <c r="AE4487">
        <v>-9.2646999999999995</v>
      </c>
      <c r="AF4487">
        <v>-5.2434098212988101</v>
      </c>
      <c r="AG4487">
        <v>-1.1122533601760001</v>
      </c>
      <c r="AH4487">
        <v>15.426171755293201</v>
      </c>
      <c r="AI4487">
        <v>93.905291302769001</v>
      </c>
      <c r="AJ4487">
        <v>108.77307712767001</v>
      </c>
      <c r="AK4487">
        <v>16.3308673717939</v>
      </c>
      <c r="AL4487">
        <v>87.274300377807705</v>
      </c>
      <c r="AM4487">
        <v>108.807108277653</v>
      </c>
      <c r="AN4487">
        <v>0.99999997811230401</v>
      </c>
    </row>
    <row r="4488" spans="1:40" x14ac:dyDescent="0.25">
      <c r="A4488" t="str">
        <f>"20190305135325371"</f>
        <v>20190305135325371</v>
      </c>
      <c r="B4488" t="str">
        <f>"1551765205364453"</f>
        <v>1551765205364453</v>
      </c>
      <c r="C4488" t="s">
        <v>40</v>
      </c>
      <c r="D4488">
        <v>4.5016230000000004</v>
      </c>
      <c r="E4488">
        <v>0.49768600000000002</v>
      </c>
      <c r="F4488" t="s">
        <v>78</v>
      </c>
      <c r="G4488">
        <v>-415.69240000000002</v>
      </c>
      <c r="H4488" s="1">
        <v>-6.3547349999999901E-6</v>
      </c>
      <c r="I4488">
        <v>130.55260000000001</v>
      </c>
      <c r="J4488">
        <v>-402.3963</v>
      </c>
      <c r="K4488">
        <v>1.1122909999999999</v>
      </c>
      <c r="L4488">
        <v>139.79320000000001</v>
      </c>
      <c r="M4488">
        <v>-0.96137289999999997</v>
      </c>
      <c r="N4488">
        <v>-1.5219709999999999E-2</v>
      </c>
      <c r="O4488">
        <v>-0.27482810000000002</v>
      </c>
      <c r="P4488">
        <v>-0.82141390000000003</v>
      </c>
      <c r="Q4488">
        <v>3.3953419999999998E-2</v>
      </c>
      <c r="R4488">
        <v>-0.56932119999999997</v>
      </c>
      <c r="S4488">
        <v>-2.4755859999999998</v>
      </c>
      <c r="T4488">
        <v>-0.2049154</v>
      </c>
      <c r="U4488">
        <v>-1.710831</v>
      </c>
      <c r="V4488">
        <v>-0.321826</v>
      </c>
      <c r="W4488">
        <v>4.6956739999999997E-2</v>
      </c>
      <c r="X4488">
        <v>0.94563370000000002</v>
      </c>
      <c r="Y4488">
        <v>-0.32000790000000001</v>
      </c>
      <c r="Z4488">
        <v>1.3595289999999999E-3</v>
      </c>
      <c r="AA4488">
        <v>0.94741390000000003</v>
      </c>
      <c r="AB4488">
        <v>15</v>
      </c>
      <c r="AC4488">
        <v>-13.296099999999999</v>
      </c>
      <c r="AD4488">
        <v>-1.1122973547349999</v>
      </c>
      <c r="AE4488">
        <v>-9.2406000000000006</v>
      </c>
      <c r="AF4488">
        <v>-5.2055612882348896</v>
      </c>
      <c r="AG4488">
        <v>-1.1122973547349999</v>
      </c>
      <c r="AH4488">
        <v>15.251888080380301</v>
      </c>
      <c r="AI4488">
        <v>93.9482473916255</v>
      </c>
      <c r="AJ4488">
        <v>108.84508224529201</v>
      </c>
      <c r="AK4488">
        <v>16.154106714621101</v>
      </c>
      <c r="AL4488">
        <v>87.308587300267405</v>
      </c>
      <c r="AM4488">
        <v>108.79489751217901</v>
      </c>
      <c r="AN4488">
        <v>1.00000000214155</v>
      </c>
    </row>
    <row r="4489" spans="1:40" x14ac:dyDescent="0.25">
      <c r="A4489" t="str">
        <f>"20190305135325404"</f>
        <v>20190305135325404</v>
      </c>
      <c r="B4489" t="str">
        <f>"1551765205394709"</f>
        <v>1551765205394709</v>
      </c>
      <c r="C4489" t="s">
        <v>40</v>
      </c>
      <c r="D4489">
        <v>4.4263599999999999</v>
      </c>
      <c r="E4489">
        <v>0.49822610000000001</v>
      </c>
      <c r="F4489" t="s">
        <v>78</v>
      </c>
      <c r="G4489">
        <v>-415.5231</v>
      </c>
      <c r="H4489" s="1">
        <v>-6.4008419999999997E-6</v>
      </c>
      <c r="I4489">
        <v>130.64169999999999</v>
      </c>
      <c r="J4489">
        <v>-402.5933</v>
      </c>
      <c r="K4489">
        <v>1.112309</v>
      </c>
      <c r="L4489">
        <v>139.72909999999999</v>
      </c>
      <c r="M4489">
        <v>-0.95976039999999996</v>
      </c>
      <c r="N4489">
        <v>-1.7446690000000001E-2</v>
      </c>
      <c r="O4489">
        <v>-0.28027800000000003</v>
      </c>
      <c r="P4489">
        <v>-0.81847550000000002</v>
      </c>
      <c r="Q4489">
        <v>3.2285370000000001E-2</v>
      </c>
      <c r="R4489">
        <v>-0.57363399999999998</v>
      </c>
      <c r="S4489">
        <v>-2.4682309999999998</v>
      </c>
      <c r="T4489">
        <v>-0.20914569999999999</v>
      </c>
      <c r="U4489">
        <v>-1.720764</v>
      </c>
      <c r="V4489">
        <v>-0.321347099999999</v>
      </c>
      <c r="W4489">
        <v>4.7811220000000001E-2</v>
      </c>
      <c r="X4489">
        <v>0.94575379999999998</v>
      </c>
      <c r="Y4489">
        <v>-0.31845570000000001</v>
      </c>
      <c r="Z4489">
        <v>9.3607879999999997E-4</v>
      </c>
      <c r="AA4489">
        <v>0.94793729999999998</v>
      </c>
      <c r="AB4489">
        <v>14</v>
      </c>
      <c r="AC4489">
        <v>-12.9298</v>
      </c>
      <c r="AD4489">
        <v>-1.112315400842</v>
      </c>
      <c r="AE4489">
        <v>-9.0874000000000006</v>
      </c>
      <c r="AF4489">
        <v>-5.0734313775082898</v>
      </c>
      <c r="AG4489">
        <v>-1.112315400842</v>
      </c>
      <c r="AH4489">
        <v>14.8850473961856</v>
      </c>
      <c r="AI4489">
        <v>94.045870982756099</v>
      </c>
      <c r="AJ4489">
        <v>108.82120426370599</v>
      </c>
      <c r="AK4489">
        <v>15.7652017900161</v>
      </c>
      <c r="AL4489">
        <v>87.259574308028604</v>
      </c>
      <c r="AM4489">
        <v>108.766672384214</v>
      </c>
      <c r="AN4489">
        <v>1.0000000608253601</v>
      </c>
    </row>
    <row r="4490" spans="1:40" x14ac:dyDescent="0.25">
      <c r="A4490" t="str">
        <f>"20190305135325425"</f>
        <v>20190305135325425</v>
      </c>
      <c r="B4490" t="str">
        <f>"1551765205414230"</f>
        <v>1551765205414230</v>
      </c>
      <c r="C4490" t="s">
        <v>40</v>
      </c>
      <c r="D4490">
        <v>4.4699090000000004</v>
      </c>
      <c r="E4490">
        <v>0.49819750000000002</v>
      </c>
      <c r="F4490" t="s">
        <v>78</v>
      </c>
      <c r="G4490">
        <v>-415.97109999999998</v>
      </c>
      <c r="H4490" s="1">
        <v>-6.2455029999999996E-6</v>
      </c>
      <c r="I4490">
        <v>130.32419999999999</v>
      </c>
      <c r="J4490">
        <v>-402.71409999999997</v>
      </c>
      <c r="K4490">
        <v>1.112374</v>
      </c>
      <c r="L4490">
        <v>139.68950000000001</v>
      </c>
      <c r="M4490">
        <v>-0.95885350000000003</v>
      </c>
      <c r="N4490">
        <v>-1.9006660000000002E-2</v>
      </c>
      <c r="O4490">
        <v>-0.28326509999999999</v>
      </c>
      <c r="P4490">
        <v>-0.81710609999999995</v>
      </c>
      <c r="Q4490">
        <v>3.1674729999999998E-2</v>
      </c>
      <c r="R4490">
        <v>-0.57561680000000004</v>
      </c>
      <c r="S4490">
        <v>-2.4609070000000002</v>
      </c>
      <c r="T4490">
        <v>-0.2046152</v>
      </c>
      <c r="U4490">
        <v>-1.7300869999999999</v>
      </c>
      <c r="V4490">
        <v>-0.32065460000000001</v>
      </c>
      <c r="W4490">
        <v>4.8869509999999998E-2</v>
      </c>
      <c r="X4490">
        <v>0.94593470000000002</v>
      </c>
      <c r="Y4490">
        <v>-0.3192045</v>
      </c>
      <c r="Z4490">
        <v>1.952965E-4</v>
      </c>
      <c r="AA4490">
        <v>0.94768580000000002</v>
      </c>
      <c r="AB4490">
        <v>14</v>
      </c>
      <c r="AC4490">
        <v>-13.257</v>
      </c>
      <c r="AD4490">
        <v>-1.1123802455030001</v>
      </c>
      <c r="AE4490">
        <v>-9.3653000000000102</v>
      </c>
      <c r="AF4490">
        <v>-5.2012193715986301</v>
      </c>
      <c r="AG4490">
        <v>-1.1123802455030001</v>
      </c>
      <c r="AH4490">
        <v>15.2953181425924</v>
      </c>
      <c r="AI4490">
        <v>93.938865878164407</v>
      </c>
      <c r="AJ4490">
        <v>108.780757041181</v>
      </c>
      <c r="AK4490">
        <v>16.193728102113901</v>
      </c>
      <c r="AL4490">
        <v>87.198867698685504</v>
      </c>
      <c r="AM4490">
        <v>108.72572099446801</v>
      </c>
      <c r="AN4490">
        <v>1.0000000290864399</v>
      </c>
    </row>
    <row r="4491" spans="1:40" x14ac:dyDescent="0.25">
      <c r="A4491" t="str">
        <f>"20190305135325448"</f>
        <v>20190305135325448</v>
      </c>
      <c r="B4491" t="str">
        <f>"1551765205434726"</f>
        <v>1551765205434726</v>
      </c>
      <c r="C4491" t="s">
        <v>40</v>
      </c>
      <c r="D4491">
        <v>4.4907089999999998</v>
      </c>
      <c r="E4491">
        <v>0.49820330000000002</v>
      </c>
      <c r="F4491" t="s">
        <v>78</v>
      </c>
      <c r="G4491">
        <v>-415.85719999999998</v>
      </c>
      <c r="H4491" s="1">
        <v>-6.28190799999999E-6</v>
      </c>
      <c r="I4491">
        <v>130.3973</v>
      </c>
      <c r="J4491">
        <v>-402.83870000000002</v>
      </c>
      <c r="K4491">
        <v>1.1124989999999999</v>
      </c>
      <c r="L4491">
        <v>139.64840000000001</v>
      </c>
      <c r="M4491">
        <v>-0.95793050000000002</v>
      </c>
      <c r="N4491">
        <v>-2.0669549999999998E-2</v>
      </c>
      <c r="O4491">
        <v>-0.28625489999999998</v>
      </c>
      <c r="P4491">
        <v>-0.81570019999999999</v>
      </c>
      <c r="Q4491">
        <v>3.0972989999999999E-2</v>
      </c>
      <c r="R4491">
        <v>-0.57764510000000002</v>
      </c>
      <c r="S4491">
        <v>-2.456207</v>
      </c>
      <c r="T4491">
        <v>-0.2078836</v>
      </c>
      <c r="U4491">
        <v>-1.73654199999999</v>
      </c>
      <c r="V4491">
        <v>-0.3200209</v>
      </c>
      <c r="W4491">
        <v>4.9858699999999999E-2</v>
      </c>
      <c r="X4491">
        <v>0.94609759999999998</v>
      </c>
      <c r="Y4491">
        <v>-0.31870700000000002</v>
      </c>
      <c r="Z4491">
        <v>-2.196794E-4</v>
      </c>
      <c r="AA4491">
        <v>0.94785330000000001</v>
      </c>
      <c r="AB4491">
        <v>13</v>
      </c>
      <c r="AC4491">
        <v>-13.0184999999999</v>
      </c>
      <c r="AD4491">
        <v>-1.1125052819079999</v>
      </c>
      <c r="AE4491">
        <v>-9.2510999999999992</v>
      </c>
      <c r="AF4491">
        <v>-5.1115955184719004</v>
      </c>
      <c r="AG4491">
        <v>-1.1125052819079999</v>
      </c>
      <c r="AH4491">
        <v>15.049197644666</v>
      </c>
      <c r="AI4491">
        <v>94.004003468665601</v>
      </c>
      <c r="AJ4491">
        <v>108.760518408398</v>
      </c>
      <c r="AK4491">
        <v>15.9324959279755</v>
      </c>
      <c r="AL4491">
        <v>87.142121928473898</v>
      </c>
      <c r="AM4491">
        <v>108.688291635548</v>
      </c>
      <c r="AN4491">
        <v>0.99999996756412901</v>
      </c>
    </row>
    <row r="4492" spans="1:40" x14ac:dyDescent="0.25">
      <c r="A4492" t="str">
        <f>"20190305135325472"</f>
        <v>20190305135325472</v>
      </c>
      <c r="B4492" t="str">
        <f>"1551765205464005"</f>
        <v>1551765205464005</v>
      </c>
      <c r="C4492" t="s">
        <v>40</v>
      </c>
      <c r="D4492">
        <v>4.4961710000000004</v>
      </c>
      <c r="E4492">
        <v>0.4982125</v>
      </c>
      <c r="F4492" t="s">
        <v>78</v>
      </c>
      <c r="G4492">
        <v>-415.74209999999999</v>
      </c>
      <c r="H4492" s="1">
        <v>-6.3226880000000001E-6</v>
      </c>
      <c r="I4492">
        <v>130.48099999999999</v>
      </c>
      <c r="J4492">
        <v>-402.9674</v>
      </c>
      <c r="K4492">
        <v>1.1127290000000001</v>
      </c>
      <c r="L4492">
        <v>139.6053</v>
      </c>
      <c r="M4492">
        <v>-0.95681830000000001</v>
      </c>
      <c r="N4492">
        <v>-2.2196670000000002E-2</v>
      </c>
      <c r="O4492">
        <v>-0.28983829999999999</v>
      </c>
      <c r="P4492">
        <v>-0.81344799999999995</v>
      </c>
      <c r="Q4492">
        <v>2.957707E-2</v>
      </c>
      <c r="R4492">
        <v>-0.5808856</v>
      </c>
      <c r="S4492">
        <v>-2.4521480000000002</v>
      </c>
      <c r="T4492">
        <v>-0.21141979999999999</v>
      </c>
      <c r="U4492">
        <v>-1.742157</v>
      </c>
      <c r="V4492">
        <v>-0.3202276</v>
      </c>
      <c r="W4492">
        <v>4.985299E-2</v>
      </c>
      <c r="X4492">
        <v>0.94602799999999998</v>
      </c>
      <c r="Y4492">
        <v>-0.3172912</v>
      </c>
      <c r="Z4492">
        <v>-4.8849869999999999E-4</v>
      </c>
      <c r="AA4492">
        <v>0.94832799999999995</v>
      </c>
      <c r="AB4492">
        <v>13</v>
      </c>
      <c r="AC4492">
        <v>-12.7746999999999</v>
      </c>
      <c r="AD4492">
        <v>-1.1127353226879999</v>
      </c>
      <c r="AE4492">
        <v>-9.1242999999999999</v>
      </c>
      <c r="AF4492">
        <v>-5.0037985958337297</v>
      </c>
      <c r="AG4492">
        <v>-1.1127353226879999</v>
      </c>
      <c r="AH4492">
        <v>14.796958760214199</v>
      </c>
      <c r="AI4492">
        <v>94.074715087376603</v>
      </c>
      <c r="AJ4492">
        <v>108.683685341182</v>
      </c>
      <c r="AK4492">
        <v>15.659698874419799</v>
      </c>
      <c r="AL4492">
        <v>87.142449606375394</v>
      </c>
      <c r="AM4492">
        <v>108.700803580146</v>
      </c>
      <c r="AN4492">
        <v>1.0000000065988499</v>
      </c>
    </row>
    <row r="4493" spans="1:40" x14ac:dyDescent="0.25">
      <c r="A4493" t="str">
        <f>"20190305135325493"</f>
        <v>20190305135325493</v>
      </c>
      <c r="B4493" t="str">
        <f>"1551765205484505"</f>
        <v>1551765205484505</v>
      </c>
      <c r="C4493" t="s">
        <v>40</v>
      </c>
      <c r="D4493">
        <v>4.4239579999999998</v>
      </c>
      <c r="E4493">
        <v>0.49855159999999998</v>
      </c>
      <c r="F4493" t="s">
        <v>78</v>
      </c>
      <c r="G4493">
        <v>-415.50670000000002</v>
      </c>
      <c r="H4493" s="1">
        <v>-6.3944659999999998E-6</v>
      </c>
      <c r="I4493">
        <v>130.62370000000001</v>
      </c>
      <c r="J4493">
        <v>-403.07369999999997</v>
      </c>
      <c r="K4493">
        <v>1.1130009999999999</v>
      </c>
      <c r="L4493">
        <v>139.56880000000001</v>
      </c>
      <c r="M4493">
        <v>-0.95563019999999999</v>
      </c>
      <c r="N4493">
        <v>-2.2741870000000001E-2</v>
      </c>
      <c r="O4493">
        <v>-0.293689799999999</v>
      </c>
      <c r="P4493">
        <v>-0.81110260000000001</v>
      </c>
      <c r="Q4493">
        <v>2.8612559999999999E-2</v>
      </c>
      <c r="R4493">
        <v>-0.58420419999999995</v>
      </c>
      <c r="S4493">
        <v>-2.4451900000000002</v>
      </c>
      <c r="T4493">
        <v>-0.2169867</v>
      </c>
      <c r="U4493">
        <v>-1.7514339999999999</v>
      </c>
      <c r="V4493">
        <v>-0.32030989999999998</v>
      </c>
      <c r="W4493">
        <v>4.9130500000000001E-2</v>
      </c>
      <c r="X4493">
        <v>0.94603789999999999</v>
      </c>
      <c r="Y4493">
        <v>-0.31709389999999998</v>
      </c>
      <c r="Z4493">
        <v>-2.657976E-4</v>
      </c>
      <c r="AA4493">
        <v>0.94839410000000002</v>
      </c>
      <c r="AB4493">
        <v>13</v>
      </c>
      <c r="AC4493">
        <v>-12.433</v>
      </c>
      <c r="AD4493">
        <v>-1.1130073944659999</v>
      </c>
      <c r="AE4493">
        <v>-8.9450999999999894</v>
      </c>
      <c r="AF4493">
        <v>-4.87230086976487</v>
      </c>
      <c r="AG4493">
        <v>-1.1130073944659999</v>
      </c>
      <c r="AH4493">
        <v>14.4359586949654</v>
      </c>
      <c r="AI4493">
        <v>94.178096607625406</v>
      </c>
      <c r="AJ4493">
        <v>108.650125987766</v>
      </c>
      <c r="AK4493">
        <v>15.276616270247599</v>
      </c>
      <c r="AL4493">
        <v>87.183895931718098</v>
      </c>
      <c r="AM4493">
        <v>108.70509338704601</v>
      </c>
      <c r="AN4493">
        <v>0.99999997315233402</v>
      </c>
    </row>
    <row r="4494" spans="1:40" x14ac:dyDescent="0.25">
      <c r="A4494" t="str">
        <f>"20190305135325514"</f>
        <v>20190305135325514</v>
      </c>
      <c r="B4494" t="str">
        <f>"1551765205504997"</f>
        <v>1551765205504997</v>
      </c>
      <c r="C4494" t="s">
        <v>40</v>
      </c>
      <c r="D4494">
        <v>4.4133239999999896</v>
      </c>
      <c r="E4494">
        <v>0.49873190000000001</v>
      </c>
      <c r="F4494" t="s">
        <v>78</v>
      </c>
      <c r="G4494">
        <v>-415.53339999999997</v>
      </c>
      <c r="H4494" s="1">
        <v>-6.3772599999999997E-6</v>
      </c>
      <c r="I4494">
        <v>130.58529999999999</v>
      </c>
      <c r="J4494">
        <v>-403.19049999999999</v>
      </c>
      <c r="K4494">
        <v>1.113273</v>
      </c>
      <c r="L4494">
        <v>139.5274</v>
      </c>
      <c r="M4494">
        <v>-0.95411069999999998</v>
      </c>
      <c r="N4494">
        <v>-2.2164400000000001E-2</v>
      </c>
      <c r="O4494">
        <v>-0.29863279999999998</v>
      </c>
      <c r="P4494">
        <v>-0.80769099999999905</v>
      </c>
      <c r="Q4494">
        <v>2.863665E-2</v>
      </c>
      <c r="R4494">
        <v>-0.5889105</v>
      </c>
      <c r="S4494">
        <v>-2.4394840000000002</v>
      </c>
      <c r="T4494">
        <v>-0.21791640000000001</v>
      </c>
      <c r="U4494">
        <v>-1.758896</v>
      </c>
      <c r="V4494">
        <v>-0.32099179999999999</v>
      </c>
      <c r="W4494">
        <v>4.8099379999999997E-2</v>
      </c>
      <c r="X4494">
        <v>0.94585980000000003</v>
      </c>
      <c r="Y4494">
        <v>-0.31517329999999999</v>
      </c>
      <c r="Z4494">
        <v>4.028743E-4</v>
      </c>
      <c r="AA4494">
        <v>0.94903400000000004</v>
      </c>
      <c r="AB4494">
        <v>12</v>
      </c>
      <c r="AC4494">
        <v>-12.342899999999901</v>
      </c>
      <c r="AD4494">
        <v>-1.11327937726</v>
      </c>
      <c r="AE4494">
        <v>-8.9420999999999999</v>
      </c>
      <c r="AF4494">
        <v>-4.8212273280807096</v>
      </c>
      <c r="AG4494">
        <v>-1.11327937726</v>
      </c>
      <c r="AH4494">
        <v>14.3737613247902</v>
      </c>
      <c r="AI4494">
        <v>94.199779329904302</v>
      </c>
      <c r="AJ4494">
        <v>108.54241228481099</v>
      </c>
      <c r="AK4494">
        <v>15.201599867872501</v>
      </c>
      <c r="AL4494">
        <v>87.243044837231807</v>
      </c>
      <c r="AM4494">
        <v>108.745418963869</v>
      </c>
      <c r="AN4494">
        <v>1.0000000236398301</v>
      </c>
    </row>
    <row r="4495" spans="1:40" x14ac:dyDescent="0.25">
      <c r="A4495" t="str">
        <f>"20190305135325537"</f>
        <v>20190305135325537</v>
      </c>
      <c r="B4495" t="str">
        <f>"1551765205524518"</f>
        <v>1551765205524518</v>
      </c>
      <c r="C4495" t="s">
        <v>40</v>
      </c>
      <c r="D4495">
        <v>4.4166179999999997</v>
      </c>
      <c r="E4495">
        <v>0.49907119999999999</v>
      </c>
      <c r="F4495" t="s">
        <v>78</v>
      </c>
      <c r="G4495">
        <v>-415.6671</v>
      </c>
      <c r="H4495" s="1">
        <v>-6.305836E-6</v>
      </c>
      <c r="I4495">
        <v>130.429</v>
      </c>
      <c r="J4495">
        <v>-403.3073</v>
      </c>
      <c r="K4495">
        <v>1.1134059999999999</v>
      </c>
      <c r="L4495">
        <v>139.48410000000001</v>
      </c>
      <c r="M4495">
        <v>-0.95254709999999998</v>
      </c>
      <c r="N4495">
        <v>-2.1072230000000001E-2</v>
      </c>
      <c r="O4495">
        <v>-0.30366110000000002</v>
      </c>
      <c r="P4495">
        <v>-0.80394670000000001</v>
      </c>
      <c r="Q4495">
        <v>2.868886E-2</v>
      </c>
      <c r="R4495">
        <v>-0.59400889999999995</v>
      </c>
      <c r="S4495">
        <v>-2.4299620000000002</v>
      </c>
      <c r="T4495">
        <v>-0.21682419999999999</v>
      </c>
      <c r="U4495">
        <v>-1.7720180000000001</v>
      </c>
      <c r="V4495">
        <v>-0.32205529999999999</v>
      </c>
      <c r="W4495">
        <v>4.6668090000000002E-2</v>
      </c>
      <c r="X4495">
        <v>0.94556989999999996</v>
      </c>
      <c r="Y4495">
        <v>-0.31532949999999998</v>
      </c>
      <c r="Z4495">
        <v>1.1182570000000001E-3</v>
      </c>
      <c r="AA4495">
        <v>0.94898159999999998</v>
      </c>
      <c r="AB4495">
        <v>13</v>
      </c>
      <c r="AC4495">
        <v>-12.3598</v>
      </c>
      <c r="AD4495">
        <v>-1.1134123058359999</v>
      </c>
      <c r="AE4495">
        <v>-9.0551000000000101</v>
      </c>
      <c r="AF4495">
        <v>-4.8477015703822603</v>
      </c>
      <c r="AG4495">
        <v>-1.1134123058359999</v>
      </c>
      <c r="AH4495">
        <v>14.4498930572242</v>
      </c>
      <c r="AI4495">
        <v>94.178146180470407</v>
      </c>
      <c r="AJ4495">
        <v>108.54575624919001</v>
      </c>
      <c r="AK4495">
        <v>15.281992895021601</v>
      </c>
      <c r="AL4495">
        <v>87.325143822358996</v>
      </c>
      <c r="AM4495">
        <v>108.80852746908</v>
      </c>
      <c r="AN4495">
        <v>0.999999981334173</v>
      </c>
    </row>
    <row r="4496" spans="1:40" x14ac:dyDescent="0.25">
      <c r="A4496" t="str">
        <f>"20190305135325560"</f>
        <v>20190305135325560</v>
      </c>
      <c r="B4496" t="str">
        <f>"1551765205554773"</f>
        <v>1551765205554773</v>
      </c>
      <c r="C4496" t="s">
        <v>40</v>
      </c>
      <c r="D4496">
        <v>4.4583389999999996</v>
      </c>
      <c r="E4496">
        <v>0.49923780000000001</v>
      </c>
      <c r="F4496" t="s">
        <v>78</v>
      </c>
      <c r="G4496">
        <v>-415.84859999999998</v>
      </c>
      <c r="H4496" s="1">
        <v>-6.2146569999999998E-6</v>
      </c>
      <c r="I4496">
        <v>130.23099999999999</v>
      </c>
      <c r="J4496">
        <v>-403.42860000000002</v>
      </c>
      <c r="K4496">
        <v>1.1133379999999999</v>
      </c>
      <c r="L4496">
        <v>139.43780000000001</v>
      </c>
      <c r="M4496">
        <v>-0.95091199999999998</v>
      </c>
      <c r="N4496">
        <v>-2.0129459999999998E-2</v>
      </c>
      <c r="O4496">
        <v>-0.30880649999999998</v>
      </c>
      <c r="P4496">
        <v>-0.799849699999999</v>
      </c>
      <c r="Q4496">
        <v>2.8771209999999998E-2</v>
      </c>
      <c r="R4496">
        <v>-0.59951080000000001</v>
      </c>
      <c r="S4496">
        <v>-2.4199830000000002</v>
      </c>
      <c r="T4496">
        <v>-0.2148465</v>
      </c>
      <c r="U4496">
        <v>-1.785507</v>
      </c>
      <c r="V4496">
        <v>-0.32345829999999998</v>
      </c>
      <c r="W4496">
        <v>4.5663990000000002E-2</v>
      </c>
      <c r="X4496">
        <v>0.94513990000000003</v>
      </c>
      <c r="Y4496">
        <v>-0.31553700000000001</v>
      </c>
      <c r="Z4496">
        <v>1.730706E-3</v>
      </c>
      <c r="AA4496">
        <v>0.94891170000000002</v>
      </c>
      <c r="AB4496">
        <v>13</v>
      </c>
      <c r="AC4496">
        <v>-12.4199999999999</v>
      </c>
      <c r="AD4496">
        <v>-1.1133442146569901</v>
      </c>
      <c r="AE4496">
        <v>-9.2068000000000101</v>
      </c>
      <c r="AF4496">
        <v>-4.8950908404235101</v>
      </c>
      <c r="AG4496">
        <v>-1.1133442146569901</v>
      </c>
      <c r="AH4496">
        <v>14.580800148072401</v>
      </c>
      <c r="AI4496">
        <v>94.140216955054399</v>
      </c>
      <c r="AJ4496">
        <v>108.558018839406</v>
      </c>
      <c r="AK4496">
        <v>15.420803566427301</v>
      </c>
      <c r="AL4496">
        <v>87.382735845002102</v>
      </c>
      <c r="AM4496">
        <v>108.892651918791</v>
      </c>
      <c r="AN4496">
        <v>0.99999995119680796</v>
      </c>
    </row>
    <row r="4497" spans="1:40" x14ac:dyDescent="0.25">
      <c r="A4497" t="str">
        <f>"20190305135325583"</f>
        <v>20190305135325583</v>
      </c>
      <c r="B4497" t="str">
        <f>"1551765205574301"</f>
        <v>1551765205574301</v>
      </c>
      <c r="C4497" t="s">
        <v>40</v>
      </c>
      <c r="D4497">
        <v>4.4737650000000002</v>
      </c>
      <c r="E4497">
        <v>0.4993013</v>
      </c>
      <c r="F4497" t="s">
        <v>78</v>
      </c>
      <c r="G4497">
        <v>-415.87619999999998</v>
      </c>
      <c r="H4497" s="1">
        <v>-6.1719610000000004E-6</v>
      </c>
      <c r="I4497">
        <v>130.1301</v>
      </c>
      <c r="J4497">
        <v>-403.54559999999998</v>
      </c>
      <c r="K4497">
        <v>1.1130469999999999</v>
      </c>
      <c r="L4497">
        <v>139.3921</v>
      </c>
      <c r="M4497">
        <v>-0.94925970000000004</v>
      </c>
      <c r="N4497">
        <v>-1.949294E-2</v>
      </c>
      <c r="O4497">
        <v>-0.31388880000000002</v>
      </c>
      <c r="P4497">
        <v>-0.79562759999999999</v>
      </c>
      <c r="Q4497">
        <v>2.8878060000000001E-2</v>
      </c>
      <c r="R4497">
        <v>-0.60509749999999995</v>
      </c>
      <c r="S4497">
        <v>-2.408569</v>
      </c>
      <c r="T4497">
        <v>-0.21542810000000001</v>
      </c>
      <c r="U4497">
        <v>-1.80100999999999</v>
      </c>
      <c r="V4497">
        <v>-0.32500830000000003</v>
      </c>
      <c r="W4497">
        <v>4.5261000000000003E-2</v>
      </c>
      <c r="X4497">
        <v>0.94462749999999995</v>
      </c>
      <c r="Y4497">
        <v>-0.3165579</v>
      </c>
      <c r="Z4497">
        <v>2.2963609999999998E-3</v>
      </c>
      <c r="AA4497">
        <v>0.94857040000000004</v>
      </c>
      <c r="AB4497">
        <v>13</v>
      </c>
      <c r="AC4497">
        <v>-12.3306</v>
      </c>
      <c r="AD4497">
        <v>-1.113053171961</v>
      </c>
      <c r="AE4497">
        <v>-9.2620000000000005</v>
      </c>
      <c r="AF4497">
        <v>-4.8970316378446004</v>
      </c>
      <c r="AG4497">
        <v>-1.113053171961</v>
      </c>
      <c r="AH4497">
        <v>14.5392184755827</v>
      </c>
      <c r="AI4497">
        <v>94.149568449904294</v>
      </c>
      <c r="AJ4497">
        <v>108.614314103872</v>
      </c>
      <c r="AK4497">
        <v>15.382089588426799</v>
      </c>
      <c r="AL4497">
        <v>87.405849584374593</v>
      </c>
      <c r="AM4497">
        <v>108.986278097539</v>
      </c>
      <c r="AN4497">
        <v>1.0000000334730601</v>
      </c>
    </row>
    <row r="4498" spans="1:40" x14ac:dyDescent="0.25">
      <c r="A4498" t="str">
        <f>"20190305135325605"</f>
        <v>20190305135325605</v>
      </c>
      <c r="B4498" t="str">
        <f>"1551765205594789"</f>
        <v>1551765205594789</v>
      </c>
      <c r="C4498" t="s">
        <v>40</v>
      </c>
      <c r="D4498">
        <v>4.4177720000000003</v>
      </c>
      <c r="E4498">
        <v>0.4996099</v>
      </c>
      <c r="F4498" t="s">
        <v>78</v>
      </c>
      <c r="G4498">
        <v>-415.8759</v>
      </c>
      <c r="H4498" s="1">
        <v>-6.1353030000000002E-6</v>
      </c>
      <c r="I4498">
        <v>130.04</v>
      </c>
      <c r="J4498">
        <v>-403.65710000000001</v>
      </c>
      <c r="K4498">
        <v>1.112595</v>
      </c>
      <c r="L4498">
        <v>139.34809999999999</v>
      </c>
      <c r="M4498">
        <v>-0.94754280000000002</v>
      </c>
      <c r="N4498">
        <v>-1.8932000000000001E-2</v>
      </c>
      <c r="O4498">
        <v>-0.31906800000000002</v>
      </c>
      <c r="P4498">
        <v>-0.79151450000000001</v>
      </c>
      <c r="Q4498">
        <v>2.8844680000000001E-2</v>
      </c>
      <c r="R4498">
        <v>-0.6104695</v>
      </c>
      <c r="S4498">
        <v>-2.396271</v>
      </c>
      <c r="T4498">
        <v>-0.21631030000000001</v>
      </c>
      <c r="U4498">
        <v>-1.817474</v>
      </c>
      <c r="V4498">
        <v>-0.32620559999999998</v>
      </c>
      <c r="W4498">
        <v>4.4963759999999998E-2</v>
      </c>
      <c r="X4498">
        <v>0.94422890000000004</v>
      </c>
      <c r="Y4498">
        <v>-0.3178781</v>
      </c>
      <c r="Z4498">
        <v>2.8434749999999998E-3</v>
      </c>
      <c r="AA4498">
        <v>0.94812730000000001</v>
      </c>
      <c r="AB4498">
        <v>13</v>
      </c>
      <c r="AC4498">
        <v>-12.2187999999999</v>
      </c>
      <c r="AD4498">
        <v>-1.1126011353030001</v>
      </c>
      <c r="AE4498">
        <v>-9.3080999999999907</v>
      </c>
      <c r="AF4498">
        <v>-4.8963874362854103</v>
      </c>
      <c r="AG4498">
        <v>-1.1126011353030001</v>
      </c>
      <c r="AH4498">
        <v>14.474417955016399</v>
      </c>
      <c r="AI4498">
        <v>94.164552915098398</v>
      </c>
      <c r="AJ4498">
        <v>108.689583663175</v>
      </c>
      <c r="AK4498">
        <v>15.3206157300871</v>
      </c>
      <c r="AL4498">
        <v>87.422897514153604</v>
      </c>
      <c r="AM4498">
        <v>109.058649640943</v>
      </c>
      <c r="AN4498">
        <v>1.0000000243899501</v>
      </c>
    </row>
    <row r="4499" spans="1:40" x14ac:dyDescent="0.25">
      <c r="A4499" t="str">
        <f>"20190305135325627"</f>
        <v>20190305135325627</v>
      </c>
      <c r="B4499" t="str">
        <f>"1551765205614309"</f>
        <v>1551765205614309</v>
      </c>
      <c r="C4499" t="s">
        <v>40</v>
      </c>
      <c r="D4499">
        <v>4.4103089999999998</v>
      </c>
      <c r="E4499">
        <v>0.4999807</v>
      </c>
      <c r="F4499" t="s">
        <v>78</v>
      </c>
      <c r="G4499">
        <v>-416.01940000000002</v>
      </c>
      <c r="H4499" s="1">
        <v>-6.0528470000000001E-6</v>
      </c>
      <c r="I4499">
        <v>129.858</v>
      </c>
      <c r="J4499">
        <v>-403.77359999999999</v>
      </c>
      <c r="K4499">
        <v>1.112125</v>
      </c>
      <c r="L4499">
        <v>139.30179999999999</v>
      </c>
      <c r="M4499">
        <v>-0.94564749999999997</v>
      </c>
      <c r="N4499">
        <v>-1.8285800000000001E-2</v>
      </c>
      <c r="O4499">
        <v>-0.32467950000000001</v>
      </c>
      <c r="P4499">
        <v>-0.78720140000000005</v>
      </c>
      <c r="Q4499">
        <v>2.7783459999999999E-2</v>
      </c>
      <c r="R4499">
        <v>-0.61607000000000001</v>
      </c>
      <c r="S4499">
        <v>-2.3855900000000001</v>
      </c>
      <c r="T4499">
        <v>-0.21470139999999999</v>
      </c>
      <c r="U4499">
        <v>-1.8313140000000001</v>
      </c>
      <c r="V4499">
        <v>-0.32725120000000002</v>
      </c>
      <c r="W4499">
        <v>4.3577049999999999E-2</v>
      </c>
      <c r="X4499">
        <v>0.94393210000000005</v>
      </c>
      <c r="Y4499">
        <v>-0.31780310000000001</v>
      </c>
      <c r="Z4499">
        <v>3.3912840000000001E-3</v>
      </c>
      <c r="AA4499">
        <v>0.94815070000000001</v>
      </c>
      <c r="AB4499">
        <v>13</v>
      </c>
      <c r="AC4499">
        <v>-12.245799999999999</v>
      </c>
      <c r="AD4499">
        <v>-1.1121310528470001</v>
      </c>
      <c r="AE4499">
        <v>-9.44379999999998</v>
      </c>
      <c r="AF4499">
        <v>-4.9298764647067399</v>
      </c>
      <c r="AG4499">
        <v>-1.1121310528470001</v>
      </c>
      <c r="AH4499">
        <v>14.5734924460032</v>
      </c>
      <c r="AI4499">
        <v>94.1346004127535</v>
      </c>
      <c r="AJ4499">
        <v>108.689492777558</v>
      </c>
      <c r="AK4499">
        <v>15.424888962637199</v>
      </c>
      <c r="AL4499">
        <v>87.502428206781104</v>
      </c>
      <c r="AM4499">
        <v>109.12088621209899</v>
      </c>
      <c r="AN4499">
        <v>1.0000000582992701</v>
      </c>
    </row>
    <row r="4500" spans="1:40" x14ac:dyDescent="0.25">
      <c r="A4500" t="str">
        <f>"20190305135325650"</f>
        <v>20190305135325650</v>
      </c>
      <c r="B4500" t="str">
        <f>"1551765205644566"</f>
        <v>1551765205644566</v>
      </c>
      <c r="C4500" t="s">
        <v>40</v>
      </c>
      <c r="D4500">
        <v>4.4654809999999996</v>
      </c>
      <c r="E4500">
        <v>0.50025370000000002</v>
      </c>
      <c r="F4500" t="s">
        <v>78</v>
      </c>
      <c r="G4500">
        <v>-416.03440000000001</v>
      </c>
      <c r="H4500" s="1">
        <v>-6.0170150000000004E-6</v>
      </c>
      <c r="I4500">
        <v>129.7722</v>
      </c>
      <c r="J4500">
        <v>-403.89069999999998</v>
      </c>
      <c r="K4500">
        <v>1.1118239999999999</v>
      </c>
      <c r="L4500">
        <v>139.255</v>
      </c>
      <c r="M4500">
        <v>-0.9437584</v>
      </c>
      <c r="N4500">
        <v>-1.763671E-2</v>
      </c>
      <c r="O4500">
        <v>-0.33016499999999999</v>
      </c>
      <c r="P4500">
        <v>-0.78309709999999999</v>
      </c>
      <c r="Q4500">
        <v>2.8363960000000001E-2</v>
      </c>
      <c r="R4500">
        <v>-0.62125269999999899</v>
      </c>
      <c r="S4500">
        <v>-2.3743289999999999</v>
      </c>
      <c r="T4500">
        <v>-0.21536620000000001</v>
      </c>
      <c r="U4500">
        <v>-1.8454280000000001</v>
      </c>
      <c r="V4500">
        <v>-0.32798929999999998</v>
      </c>
      <c r="W4500">
        <v>4.3701860000000002E-2</v>
      </c>
      <c r="X4500">
        <v>0.94367009999999996</v>
      </c>
      <c r="Y4500">
        <v>-0.31801689999999999</v>
      </c>
      <c r="Z4500">
        <v>4.0545310000000001E-3</v>
      </c>
      <c r="AA4500">
        <v>0.94807640000000004</v>
      </c>
      <c r="AB4500">
        <v>13</v>
      </c>
      <c r="AC4500">
        <v>-12.143700000000001</v>
      </c>
      <c r="AD4500">
        <v>-1.1118300170149999</v>
      </c>
      <c r="AE4500">
        <v>-9.4827999999999903</v>
      </c>
      <c r="AF4500">
        <v>-4.9152213661699804</v>
      </c>
      <c r="AG4500">
        <v>-1.1118300170149999</v>
      </c>
      <c r="AH4500">
        <v>14.5182778031272</v>
      </c>
      <c r="AI4500">
        <v>94.148802586371303</v>
      </c>
      <c r="AJ4500">
        <v>108.703737037222</v>
      </c>
      <c r="AK4500">
        <v>15.3680173553379</v>
      </c>
      <c r="AL4500">
        <v>87.495270270006898</v>
      </c>
      <c r="AM4500">
        <v>109.16580318421001</v>
      </c>
      <c r="AN4500">
        <v>1.0000000455579701</v>
      </c>
    </row>
    <row r="4501" spans="1:40" x14ac:dyDescent="0.25">
      <c r="A4501" t="str">
        <f>"20190305135325672"</f>
        <v>20190305135325672</v>
      </c>
      <c r="B4501" t="str">
        <f>"1551765205664086"</f>
        <v>1551765205664086</v>
      </c>
      <c r="C4501" t="s">
        <v>40</v>
      </c>
      <c r="D4501">
        <v>4.3554009999999996</v>
      </c>
      <c r="E4501">
        <v>0.50058389999999997</v>
      </c>
      <c r="F4501" t="s">
        <v>78</v>
      </c>
      <c r="G4501">
        <v>-416.20780000000002</v>
      </c>
      <c r="H4501" s="1">
        <v>-5.9171810000000004E-6</v>
      </c>
      <c r="I4501">
        <v>129.56469999999999</v>
      </c>
      <c r="J4501">
        <v>-404.00420000000003</v>
      </c>
      <c r="K4501">
        <v>1.1117319999999999</v>
      </c>
      <c r="L4501">
        <v>139.209</v>
      </c>
      <c r="M4501">
        <v>-0.94199250000000001</v>
      </c>
      <c r="N4501">
        <v>-1.707206E-2</v>
      </c>
      <c r="O4501">
        <v>-0.33519979999999999</v>
      </c>
      <c r="P4501">
        <v>-0.77954730000000005</v>
      </c>
      <c r="Q4501">
        <v>2.9045970000000001E-2</v>
      </c>
      <c r="R4501">
        <v>-0.625669699999999</v>
      </c>
      <c r="S4501">
        <v>-2.3635250000000001</v>
      </c>
      <c r="T4501">
        <v>-0.21334900000000001</v>
      </c>
      <c r="U4501">
        <v>-1.859467</v>
      </c>
      <c r="V4501">
        <v>-0.32829509999999901</v>
      </c>
      <c r="W4501">
        <v>4.3870970000000002E-2</v>
      </c>
      <c r="X4501">
        <v>0.9435559</v>
      </c>
      <c r="Y4501">
        <v>-0.31856810000000002</v>
      </c>
      <c r="Z4501">
        <v>4.4813370000000002E-3</v>
      </c>
      <c r="AA4501">
        <v>0.94788939999999999</v>
      </c>
      <c r="AB4501">
        <v>13</v>
      </c>
      <c r="AC4501">
        <v>-12.2035999999999</v>
      </c>
      <c r="AD4501">
        <v>-1.111737917181</v>
      </c>
      <c r="AE4501">
        <v>-9.6443000000000101</v>
      </c>
      <c r="AF4501">
        <v>-4.9695542166570696</v>
      </c>
      <c r="AG4501">
        <v>-1.111737917181</v>
      </c>
      <c r="AH4501">
        <v>14.655742819841899</v>
      </c>
      <c r="AI4501">
        <v>94.109021283234298</v>
      </c>
      <c r="AJ4501">
        <v>108.73106779528899</v>
      </c>
      <c r="AK4501">
        <v>15.515257906658899</v>
      </c>
      <c r="AL4501">
        <v>87.485571654232899</v>
      </c>
      <c r="AM4501">
        <v>109.184519249332</v>
      </c>
      <c r="AN4501">
        <v>1.0000000355587699</v>
      </c>
    </row>
    <row r="4502" spans="1:40" x14ac:dyDescent="0.25">
      <c r="A4502" t="str">
        <f>"20190305135325694"</f>
        <v>20190305135325694</v>
      </c>
      <c r="B4502" t="str">
        <f>"1551765205684582"</f>
        <v>1551765205684582</v>
      </c>
      <c r="C4502" t="s">
        <v>40</v>
      </c>
      <c r="D4502">
        <v>4.368843</v>
      </c>
      <c r="E4502">
        <v>0.50091129999999995</v>
      </c>
      <c r="F4502" t="s">
        <v>78</v>
      </c>
      <c r="G4502">
        <v>-416.49470000000002</v>
      </c>
      <c r="H4502" s="1">
        <v>-5.7576569999999998E-6</v>
      </c>
      <c r="I4502">
        <v>129.2843</v>
      </c>
      <c r="J4502">
        <v>-404.11689999999999</v>
      </c>
      <c r="K4502">
        <v>1.1117649999999999</v>
      </c>
      <c r="L4502">
        <v>139.1626</v>
      </c>
      <c r="M4502">
        <v>-0.94027479999999997</v>
      </c>
      <c r="N4502">
        <v>-1.6541279999999998E-2</v>
      </c>
      <c r="O4502">
        <v>-0.3400145</v>
      </c>
      <c r="P4502">
        <v>-0.77671669999999904</v>
      </c>
      <c r="Q4502">
        <v>2.90984E-2</v>
      </c>
      <c r="R4502">
        <v>-0.62917769999999995</v>
      </c>
      <c r="S4502">
        <v>-2.354584</v>
      </c>
      <c r="T4502">
        <v>-0.20957419999999999</v>
      </c>
      <c r="U4502">
        <v>-1.870911</v>
      </c>
      <c r="V4502">
        <v>-0.32773180000000002</v>
      </c>
      <c r="W4502">
        <v>4.3361240000000002E-2</v>
      </c>
      <c r="X4502">
        <v>0.94377520000000004</v>
      </c>
      <c r="Y4502">
        <v>-0.31833030000000001</v>
      </c>
      <c r="Z4502">
        <v>4.8044289999999998E-3</v>
      </c>
      <c r="AA4502">
        <v>0.94796769999999997</v>
      </c>
      <c r="AB4502">
        <v>13</v>
      </c>
      <c r="AC4502">
        <v>-12.377800000000001</v>
      </c>
      <c r="AD4502">
        <v>-1.111770757657</v>
      </c>
      <c r="AE4502">
        <v>-9.8782999999999905</v>
      </c>
      <c r="AF4502">
        <v>-5.0554636213384203</v>
      </c>
      <c r="AG4502">
        <v>-1.111770757657</v>
      </c>
      <c r="AH4502">
        <v>14.925787050256501</v>
      </c>
      <c r="AI4502">
        <v>94.0355090921705</v>
      </c>
      <c r="AJ4502">
        <v>108.71158327031399</v>
      </c>
      <c r="AK4502">
        <v>15.797875354422301</v>
      </c>
      <c r="AL4502">
        <v>87.514804709891294</v>
      </c>
      <c r="AM4502">
        <v>109.14987532834699</v>
      </c>
      <c r="AN4502">
        <v>0.99999997900030801</v>
      </c>
    </row>
    <row r="4503" spans="1:40" x14ac:dyDescent="0.25">
      <c r="A4503" t="str">
        <f>"20190305135325716"</f>
        <v>20190305135325716</v>
      </c>
      <c r="B4503" t="str">
        <f>"1551765205704103"</f>
        <v>1551765205704103</v>
      </c>
      <c r="C4503" t="s">
        <v>40</v>
      </c>
      <c r="D4503">
        <v>4.4245320000000001</v>
      </c>
      <c r="E4503">
        <v>0.50106890000000004</v>
      </c>
      <c r="F4503" t="s">
        <v>78</v>
      </c>
      <c r="G4503">
        <v>-416.65589999999997</v>
      </c>
      <c r="H4503" s="1">
        <v>-5.6660469999999999E-6</v>
      </c>
      <c r="I4503">
        <v>129.12289999999999</v>
      </c>
      <c r="J4503">
        <v>-404.22890000000001</v>
      </c>
      <c r="K4503">
        <v>1.1118239999999999</v>
      </c>
      <c r="L4503">
        <v>139.1157</v>
      </c>
      <c r="M4503">
        <v>-0.93855169999999999</v>
      </c>
      <c r="N4503">
        <v>-1.5991669999999999E-2</v>
      </c>
      <c r="O4503">
        <v>-0.34476800000000002</v>
      </c>
      <c r="P4503">
        <v>-0.77393849999999997</v>
      </c>
      <c r="Q4503">
        <v>2.7309079999999999E-2</v>
      </c>
      <c r="R4503">
        <v>-0.63267150000000005</v>
      </c>
      <c r="S4503">
        <v>-2.3475649999999999</v>
      </c>
      <c r="T4503">
        <v>-0.2081481</v>
      </c>
      <c r="U4503">
        <v>-1.8796539999999999</v>
      </c>
      <c r="V4503">
        <v>-0.32719199999999998</v>
      </c>
      <c r="W4503">
        <v>4.0964880000000002E-2</v>
      </c>
      <c r="X4503">
        <v>0.94406959999999995</v>
      </c>
      <c r="Y4503">
        <v>-0.31709870000000001</v>
      </c>
      <c r="Z4503">
        <v>5.3178749999999997E-3</v>
      </c>
      <c r="AA4503">
        <v>0.94837760000000004</v>
      </c>
      <c r="AB4503">
        <v>13</v>
      </c>
      <c r="AC4503">
        <v>-12.4269999999999</v>
      </c>
      <c r="AD4503">
        <v>-1.111829666047</v>
      </c>
      <c r="AE4503">
        <v>-9.9928000000000097</v>
      </c>
      <c r="AF4503">
        <v>-5.0703305553185896</v>
      </c>
      <c r="AG4503">
        <v>-1.111829666047</v>
      </c>
      <c r="AH4503">
        <v>15.0374103651575</v>
      </c>
      <c r="AI4503">
        <v>94.007710722747404</v>
      </c>
      <c r="AJ4503">
        <v>108.633133928395</v>
      </c>
      <c r="AK4503">
        <v>15.908115150345299</v>
      </c>
      <c r="AL4503">
        <v>87.6522284738991</v>
      </c>
      <c r="AM4503">
        <v>109.11509598337599</v>
      </c>
      <c r="AN4503">
        <v>1.0000000679507799</v>
      </c>
    </row>
    <row r="4504" spans="1:40" x14ac:dyDescent="0.25">
      <c r="A4504" t="str">
        <f>"20190305135325738"</f>
        <v>20190305135325738</v>
      </c>
      <c r="B4504" t="str">
        <f>"1551765205724598"</f>
        <v>1551765205724598</v>
      </c>
      <c r="C4504" t="s">
        <v>40</v>
      </c>
      <c r="D4504">
        <v>4.3578099999999997</v>
      </c>
      <c r="E4504">
        <v>0.50137609999999999</v>
      </c>
      <c r="F4504" t="s">
        <v>78</v>
      </c>
      <c r="G4504">
        <v>-416.35300000000001</v>
      </c>
      <c r="H4504" s="1">
        <v>-5.7869179999999997E-6</v>
      </c>
      <c r="I4504">
        <v>129.32560000000001</v>
      </c>
      <c r="J4504">
        <v>-404.34190000000001</v>
      </c>
      <c r="K4504">
        <v>1.1118539999999999</v>
      </c>
      <c r="L4504">
        <v>139.0675</v>
      </c>
      <c r="M4504">
        <v>-0.93675109999999995</v>
      </c>
      <c r="N4504">
        <v>-1.541529E-2</v>
      </c>
      <c r="O4504">
        <v>-0.34965689999999999</v>
      </c>
      <c r="P4504">
        <v>-0.77074960000000003</v>
      </c>
      <c r="Q4504">
        <v>2.4446610000000001E-2</v>
      </c>
      <c r="R4504">
        <v>-0.63666929999999999</v>
      </c>
      <c r="S4504">
        <v>-2.3395079999999999</v>
      </c>
      <c r="T4504">
        <v>-0.2145427</v>
      </c>
      <c r="U4504">
        <v>-1.88913</v>
      </c>
      <c r="V4504">
        <v>-0.32712010000000002</v>
      </c>
      <c r="W4504">
        <v>3.7481889999999997E-2</v>
      </c>
      <c r="X4504">
        <v>0.9442391</v>
      </c>
      <c r="Y4504">
        <v>-0.31609219999999999</v>
      </c>
      <c r="Z4504">
        <v>6.3558659999999999E-3</v>
      </c>
      <c r="AA4504">
        <v>0.94870719999999997</v>
      </c>
      <c r="AB4504">
        <v>13</v>
      </c>
      <c r="AC4504">
        <v>-12.011100000000001</v>
      </c>
      <c r="AD4504">
        <v>-1.111859786918</v>
      </c>
      <c r="AE4504">
        <v>-9.7418999999999798</v>
      </c>
      <c r="AF4504">
        <v>-4.9012229065372903</v>
      </c>
      <c r="AG4504">
        <v>-1.111859786918</v>
      </c>
      <c r="AH4504">
        <v>14.584091565269601</v>
      </c>
      <c r="AI4504">
        <v>94.133357453262406</v>
      </c>
      <c r="AJ4504">
        <v>108.57576608813</v>
      </c>
      <c r="AK4504">
        <v>15.4257558955631</v>
      </c>
      <c r="AL4504">
        <v>87.851942654345393</v>
      </c>
      <c r="AM4504">
        <v>109.108018346601</v>
      </c>
      <c r="AN4504">
        <v>0.999999964935395</v>
      </c>
    </row>
    <row r="4505" spans="1:40" x14ac:dyDescent="0.25">
      <c r="A4505" t="str">
        <f>"20190305135325761"</f>
        <v>20190305135325761</v>
      </c>
      <c r="B4505" t="str">
        <f>"1551765205754853"</f>
        <v>1551765205754853</v>
      </c>
      <c r="C4505" t="s">
        <v>40</v>
      </c>
      <c r="D4505">
        <v>4.4527320000000001</v>
      </c>
      <c r="E4505">
        <v>0.50160280000000002</v>
      </c>
      <c r="F4505" t="s">
        <v>78</v>
      </c>
      <c r="G4505">
        <v>-416.02949999999998</v>
      </c>
      <c r="H4505" s="1">
        <v>-5.9173509999999996E-6</v>
      </c>
      <c r="I4505">
        <v>129.54480000000001</v>
      </c>
      <c r="J4505">
        <v>-404.45870000000002</v>
      </c>
      <c r="K4505">
        <v>1.1118479999999999</v>
      </c>
      <c r="L4505">
        <v>139.01679999999999</v>
      </c>
      <c r="M4505">
        <v>-0.93481550000000002</v>
      </c>
      <c r="N4505">
        <v>-1.483889E-2</v>
      </c>
      <c r="O4505">
        <v>-0.35482390000000003</v>
      </c>
      <c r="P4505">
        <v>-0.76701439999999999</v>
      </c>
      <c r="Q4505">
        <v>2.363036E-2</v>
      </c>
      <c r="R4505">
        <v>-0.64119510000000002</v>
      </c>
      <c r="S4505">
        <v>-2.3306879999999999</v>
      </c>
      <c r="T4505">
        <v>-0.22172130000000001</v>
      </c>
      <c r="U4505">
        <v>-1.8989720000000001</v>
      </c>
      <c r="V4505">
        <v>-0.32745669999999999</v>
      </c>
      <c r="W4505">
        <v>3.6073790000000001E-2</v>
      </c>
      <c r="X4505">
        <v>0.9441773</v>
      </c>
      <c r="Y4505">
        <v>-0.31503779999999998</v>
      </c>
      <c r="Z4505">
        <v>7.4973399999999999E-3</v>
      </c>
      <c r="AA4505">
        <v>0.94904949999999999</v>
      </c>
      <c r="AB4505">
        <v>13</v>
      </c>
      <c r="AC4505">
        <v>-11.570799999999901</v>
      </c>
      <c r="AD4505">
        <v>-1.111853917351</v>
      </c>
      <c r="AE4505">
        <v>-9.47199999999998</v>
      </c>
      <c r="AF4505">
        <v>-4.7233845045241996</v>
      </c>
      <c r="AG4505">
        <v>-1.111853917351</v>
      </c>
      <c r="AH4505">
        <v>14.1010549594941</v>
      </c>
      <c r="AI4505">
        <v>94.275820898962095</v>
      </c>
      <c r="AJ4505">
        <v>108.519136430175</v>
      </c>
      <c r="AK4505">
        <v>14.9126232193327</v>
      </c>
      <c r="AL4505">
        <v>87.932675523935202</v>
      </c>
      <c r="AM4505">
        <v>109.127413252027</v>
      </c>
      <c r="AN4505">
        <v>0.999999991267572</v>
      </c>
    </row>
    <row r="4506" spans="1:40" x14ac:dyDescent="0.25">
      <c r="A4506" t="str">
        <f>"20190305135325784"</f>
        <v>20190305135325784</v>
      </c>
      <c r="B4506" t="str">
        <f>"1551765205774373"</f>
        <v>1551765205774373</v>
      </c>
      <c r="C4506" t="s">
        <v>40</v>
      </c>
      <c r="D4506">
        <v>4.4258280000000001</v>
      </c>
      <c r="E4506">
        <v>0.50175439999999905</v>
      </c>
      <c r="F4506" t="s">
        <v>78</v>
      </c>
      <c r="G4506">
        <v>-415.99369999999999</v>
      </c>
      <c r="H4506" s="1">
        <v>-5.9061939999999997E-6</v>
      </c>
      <c r="I4506">
        <v>129.5188</v>
      </c>
      <c r="J4506">
        <v>-404.57299999999998</v>
      </c>
      <c r="K4506">
        <v>1.1118239999999999</v>
      </c>
      <c r="L4506">
        <v>138.96639999999999</v>
      </c>
      <c r="M4506">
        <v>-0.9328573</v>
      </c>
      <c r="N4506">
        <v>-1.4313879999999999E-2</v>
      </c>
      <c r="O4506">
        <v>-0.35996159999999999</v>
      </c>
      <c r="P4506">
        <v>-0.76361969999999901</v>
      </c>
      <c r="Q4506">
        <v>2.310328E-2</v>
      </c>
      <c r="R4506">
        <v>-0.64525259999999995</v>
      </c>
      <c r="S4506">
        <v>-2.3207089999999999</v>
      </c>
      <c r="T4506">
        <v>-0.2236918</v>
      </c>
      <c r="U4506">
        <v>-1.9108890000000001</v>
      </c>
      <c r="V4506">
        <v>-0.327262099999999</v>
      </c>
      <c r="W4506">
        <v>3.5040660000000001E-2</v>
      </c>
      <c r="X4506">
        <v>0.94428369999999995</v>
      </c>
      <c r="Y4506">
        <v>-0.31474819999999998</v>
      </c>
      <c r="Z4506">
        <v>8.2461310000000003E-3</v>
      </c>
      <c r="AA4506">
        <v>0.94913939999999997</v>
      </c>
      <c r="AB4506">
        <v>13</v>
      </c>
      <c r="AC4506">
        <v>-11.420699999999901</v>
      </c>
      <c r="AD4506">
        <v>-1.111829906194</v>
      </c>
      <c r="AE4506">
        <v>-9.4475999999999907</v>
      </c>
      <c r="AF4506">
        <v>-4.6764173918878997</v>
      </c>
      <c r="AG4506">
        <v>-1.111829906194</v>
      </c>
      <c r="AH4506">
        <v>13.97744736842</v>
      </c>
      <c r="AI4506">
        <v>94.313913465739603</v>
      </c>
      <c r="AJ4506">
        <v>108.498632036619</v>
      </c>
      <c r="AK4506">
        <v>14.780868726174701</v>
      </c>
      <c r="AL4506">
        <v>87.991907025008999</v>
      </c>
      <c r="AM4506">
        <v>109.114873781009</v>
      </c>
      <c r="AN4506">
        <v>1.00000001801766</v>
      </c>
    </row>
    <row r="4507" spans="1:40" x14ac:dyDescent="0.25">
      <c r="A4507" t="str">
        <f>"20190305135325806"</f>
        <v>20190305135325806</v>
      </c>
      <c r="B4507" t="str">
        <f>"1551765205794869"</f>
        <v>1551765205794869</v>
      </c>
      <c r="C4507" t="s">
        <v>40</v>
      </c>
      <c r="D4507">
        <v>4.4266129999999997</v>
      </c>
      <c r="E4507">
        <v>0.50191149999999995</v>
      </c>
      <c r="F4507" t="s">
        <v>78</v>
      </c>
      <c r="G4507">
        <v>-415.94420000000002</v>
      </c>
      <c r="H4507" s="1">
        <v>-5.9047119999999999E-6</v>
      </c>
      <c r="I4507">
        <v>129.5102</v>
      </c>
      <c r="J4507">
        <v>-404.68450000000001</v>
      </c>
      <c r="K4507">
        <v>1.11178</v>
      </c>
      <c r="L4507">
        <v>138.91650000000001</v>
      </c>
      <c r="M4507">
        <v>-0.93089379999999999</v>
      </c>
      <c r="N4507">
        <v>-1.3813239999999999E-2</v>
      </c>
      <c r="O4507">
        <v>-0.3650292</v>
      </c>
      <c r="P4507">
        <v>-0.75989960000000001</v>
      </c>
      <c r="Q4507">
        <v>2.229308E-2</v>
      </c>
      <c r="R4507">
        <v>-0.64965850000000003</v>
      </c>
      <c r="S4507">
        <v>-2.31134</v>
      </c>
      <c r="T4507">
        <v>-0.22599340000000001</v>
      </c>
      <c r="U4507">
        <v>-1.9220889999999999</v>
      </c>
      <c r="V4507">
        <v>-0.32757560000000002</v>
      </c>
      <c r="W4507">
        <v>3.3754439999999997E-2</v>
      </c>
      <c r="X4507">
        <v>0.94422189999999995</v>
      </c>
      <c r="Y4507">
        <v>-0.31422240000000001</v>
      </c>
      <c r="Z4507">
        <v>9.0239719999999999E-3</v>
      </c>
      <c r="AA4507">
        <v>0.94930650000000005</v>
      </c>
      <c r="AB4507">
        <v>13</v>
      </c>
      <c r="AC4507">
        <v>-11.2597</v>
      </c>
      <c r="AD4507">
        <v>-1.111785904712</v>
      </c>
      <c r="AE4507">
        <v>-9.4063000000000105</v>
      </c>
      <c r="AF4507">
        <v>-4.62006004839282</v>
      </c>
      <c r="AG4507">
        <v>-1.111785904712</v>
      </c>
      <c r="AH4507">
        <v>13.837028749503601</v>
      </c>
      <c r="AI4507">
        <v>94.358236136237593</v>
      </c>
      <c r="AJ4507">
        <v>108.463703303508</v>
      </c>
      <c r="AK4507">
        <v>14.6302558885093</v>
      </c>
      <c r="AL4507">
        <v>88.065645735883805</v>
      </c>
      <c r="AM4507">
        <v>109.133015486025</v>
      </c>
      <c r="AN4507">
        <v>1.0000000661873301</v>
      </c>
    </row>
    <row r="4508" spans="1:40" x14ac:dyDescent="0.25">
      <c r="A4508" t="str">
        <f>"20190305135325829"</f>
        <v>20190305135325829</v>
      </c>
      <c r="B4508" t="str">
        <f>"1551765205824150"</f>
        <v>1551765205824150</v>
      </c>
      <c r="C4508" t="s">
        <v>40</v>
      </c>
      <c r="D4508">
        <v>4.344265</v>
      </c>
      <c r="E4508">
        <v>0.50218819999999997</v>
      </c>
      <c r="F4508" t="s">
        <v>78</v>
      </c>
      <c r="G4508">
        <v>-415.86700000000002</v>
      </c>
      <c r="H4508" s="1">
        <v>-5.9115750000000002E-6</v>
      </c>
      <c r="I4508">
        <v>129.51490000000001</v>
      </c>
      <c r="J4508">
        <v>-404.80130000000003</v>
      </c>
      <c r="K4508">
        <v>1.111726</v>
      </c>
      <c r="L4508">
        <v>138.86340000000001</v>
      </c>
      <c r="M4508">
        <v>-0.9287841</v>
      </c>
      <c r="N4508">
        <v>-1.326546E-2</v>
      </c>
      <c r="O4508">
        <v>-0.3703842</v>
      </c>
      <c r="P4508">
        <v>-0.75596669999999999</v>
      </c>
      <c r="Q4508">
        <v>2.0580680000000001E-2</v>
      </c>
      <c r="R4508">
        <v>-0.6542869</v>
      </c>
      <c r="S4508">
        <v>-2.3008419999999998</v>
      </c>
      <c r="T4508">
        <v>-0.22875429999999999</v>
      </c>
      <c r="U4508">
        <v>-1.934402</v>
      </c>
      <c r="V4508">
        <v>-0.32787870000000002</v>
      </c>
      <c r="W4508">
        <v>3.1519270000000002E-2</v>
      </c>
      <c r="X4508">
        <v>0.94419390000000003</v>
      </c>
      <c r="Y4508">
        <v>-0.31389270000000002</v>
      </c>
      <c r="Z4508">
        <v>9.8846149999999994E-3</v>
      </c>
      <c r="AA4508">
        <v>0.949407</v>
      </c>
      <c r="AB4508">
        <v>13</v>
      </c>
      <c r="AC4508">
        <v>-11.0656999999999</v>
      </c>
      <c r="AD4508">
        <v>-1.111731911575</v>
      </c>
      <c r="AE4508">
        <v>-9.3484999999999996</v>
      </c>
      <c r="AF4508">
        <v>-4.5577360323696103</v>
      </c>
      <c r="AG4508">
        <v>-1.111731911575</v>
      </c>
      <c r="AH4508">
        <v>13.660929092039799</v>
      </c>
      <c r="AI4508">
        <v>94.414323704484403</v>
      </c>
      <c r="AJ4508">
        <v>108.450397375088</v>
      </c>
      <c r="AK4508">
        <v>14.444026074530401</v>
      </c>
      <c r="AL4508">
        <v>88.193779726661404</v>
      </c>
      <c r="AM4508">
        <v>109.14995676367199</v>
      </c>
      <c r="AN4508">
        <v>1.00000001354611</v>
      </c>
    </row>
    <row r="4509" spans="1:40" x14ac:dyDescent="0.25">
      <c r="A4509" t="str">
        <f>"20190305135325850"</f>
        <v>20190305135325850</v>
      </c>
      <c r="B4509" t="str">
        <f>"1551765205844646"</f>
        <v>1551765205844646</v>
      </c>
      <c r="C4509" t="s">
        <v>40</v>
      </c>
      <c r="D4509">
        <v>4.436814</v>
      </c>
      <c r="E4509">
        <v>0.50239049999999996</v>
      </c>
      <c r="F4509" t="s">
        <v>78</v>
      </c>
      <c r="G4509">
        <v>-415.63040000000001</v>
      </c>
      <c r="H4509" s="1">
        <v>-5.9953120000000003E-6</v>
      </c>
      <c r="I4509">
        <v>129.66130000000001</v>
      </c>
      <c r="J4509">
        <v>-404.9153</v>
      </c>
      <c r="K4509">
        <v>1.1116729999999999</v>
      </c>
      <c r="L4509">
        <v>138.8107</v>
      </c>
      <c r="M4509">
        <v>-0.92667069999999996</v>
      </c>
      <c r="N4509">
        <v>-1.271797E-2</v>
      </c>
      <c r="O4509">
        <v>-0.37565870000000001</v>
      </c>
      <c r="P4509">
        <v>-0.75211569999999905</v>
      </c>
      <c r="Q4509">
        <v>2.068323E-2</v>
      </c>
      <c r="R4509">
        <v>-0.65870640000000003</v>
      </c>
      <c r="S4509">
        <v>-2.290375</v>
      </c>
      <c r="T4509">
        <v>-0.23513310000000001</v>
      </c>
      <c r="U4509">
        <v>-1.9462429999999999</v>
      </c>
      <c r="V4509">
        <v>-0.32804739999999999</v>
      </c>
      <c r="W4509">
        <v>3.1093180000000002E-2</v>
      </c>
      <c r="X4509">
        <v>0.94414940000000003</v>
      </c>
      <c r="Y4509">
        <v>-0.3135114</v>
      </c>
      <c r="Z4509">
        <v>1.1030999999999999E-2</v>
      </c>
      <c r="AA4509">
        <v>0.94952029999999998</v>
      </c>
      <c r="AB4509">
        <v>13</v>
      </c>
      <c r="AC4509">
        <v>-10.7151</v>
      </c>
      <c r="AD4509">
        <v>-1.1116789953120001</v>
      </c>
      <c r="AE4509">
        <v>-9.1493999999999804</v>
      </c>
      <c r="AF4509">
        <v>-4.4260684630025899</v>
      </c>
      <c r="AG4509">
        <v>-1.1116789953120001</v>
      </c>
      <c r="AH4509">
        <v>13.2848046744932</v>
      </c>
      <c r="AI4509">
        <v>94.539204412638497</v>
      </c>
      <c r="AJ4509">
        <v>108.42640981923201</v>
      </c>
      <c r="AK4509">
        <v>14.0467771202949</v>
      </c>
      <c r="AL4509">
        <v>88.218204808341596</v>
      </c>
      <c r="AM4509">
        <v>109.159928905112</v>
      </c>
      <c r="AN4509">
        <v>0.99999998600481599</v>
      </c>
    </row>
    <row r="4510" spans="1:40" x14ac:dyDescent="0.25">
      <c r="A4510" t="str">
        <f>"20190305135325872"</f>
        <v>20190305135325872</v>
      </c>
      <c r="B4510" t="str">
        <f>"1551765205864166"</f>
        <v>1551765205864166</v>
      </c>
      <c r="C4510" t="s">
        <v>40</v>
      </c>
      <c r="D4510">
        <v>4.4299879999999998</v>
      </c>
      <c r="E4510">
        <v>0.50259240000000005</v>
      </c>
      <c r="F4510" t="s">
        <v>78</v>
      </c>
      <c r="G4510">
        <v>-415.69380000000001</v>
      </c>
      <c r="H4510" s="1">
        <v>-5.9403139999999997E-6</v>
      </c>
      <c r="I4510">
        <v>129.55160000000001</v>
      </c>
      <c r="J4510">
        <v>-405.03219999999999</v>
      </c>
      <c r="K4510">
        <v>1.111631</v>
      </c>
      <c r="L4510">
        <v>138.756</v>
      </c>
      <c r="M4510">
        <v>-0.92445290000000002</v>
      </c>
      <c r="N4510">
        <v>-1.213974E-2</v>
      </c>
      <c r="O4510">
        <v>-0.38110270000000002</v>
      </c>
      <c r="P4510">
        <v>-0.74812509999999999</v>
      </c>
      <c r="Q4510">
        <v>2.169652E-2</v>
      </c>
      <c r="R4510">
        <v>-0.66320310000000005</v>
      </c>
      <c r="S4510">
        <v>-2.279938</v>
      </c>
      <c r="T4510">
        <v>-0.23514930000000001</v>
      </c>
      <c r="U4510">
        <v>-1.958542</v>
      </c>
      <c r="V4510">
        <v>-0.32817109999999999</v>
      </c>
      <c r="W4510">
        <v>3.1539280000000003E-2</v>
      </c>
      <c r="X4510">
        <v>0.94409160000000003</v>
      </c>
      <c r="Y4510">
        <v>-0.31305630000000001</v>
      </c>
      <c r="Z4510">
        <v>1.17471E-2</v>
      </c>
      <c r="AA4510">
        <v>0.94966189999999995</v>
      </c>
      <c r="AB4510">
        <v>13</v>
      </c>
      <c r="AC4510">
        <v>-10.6616</v>
      </c>
      <c r="AD4510">
        <v>-1.1116369403139901</v>
      </c>
      <c r="AE4510">
        <v>-9.2043999999999908</v>
      </c>
      <c r="AF4510">
        <v>-4.4186747386778498</v>
      </c>
      <c r="AG4510">
        <v>-1.1116369403139901</v>
      </c>
      <c r="AH4510">
        <v>13.282222528214801</v>
      </c>
      <c r="AI4510">
        <v>94.540578673526596</v>
      </c>
      <c r="AJ4510">
        <v>108.40103848891501</v>
      </c>
      <c r="AK4510">
        <v>14.0420033621388</v>
      </c>
      <c r="AL4510">
        <v>88.192632594763097</v>
      </c>
      <c r="AM4510">
        <v>109.167714582058</v>
      </c>
      <c r="AN4510">
        <v>0.99999997312434297</v>
      </c>
    </row>
    <row r="4511" spans="1:40" x14ac:dyDescent="0.25">
      <c r="A4511" t="str">
        <f>"20190305135325894"</f>
        <v>20190305135325894</v>
      </c>
      <c r="B4511" t="str">
        <f>"1551765205884661"</f>
        <v>1551765205884661</v>
      </c>
      <c r="C4511" t="s">
        <v>40</v>
      </c>
      <c r="D4511">
        <v>4.401789</v>
      </c>
      <c r="E4511">
        <v>0.50281019999999998</v>
      </c>
      <c r="F4511" t="s">
        <v>78</v>
      </c>
      <c r="G4511">
        <v>-415.92180000000002</v>
      </c>
      <c r="H4511" s="1">
        <v>-5.7979729999999997E-6</v>
      </c>
      <c r="I4511">
        <v>129.29820000000001</v>
      </c>
      <c r="J4511">
        <v>-405.14249999999998</v>
      </c>
      <c r="K4511">
        <v>1.111599</v>
      </c>
      <c r="L4511">
        <v>138.70359999999999</v>
      </c>
      <c r="M4511">
        <v>-0.9223074</v>
      </c>
      <c r="N4511">
        <v>-1.155632E-2</v>
      </c>
      <c r="O4511">
        <v>-0.38628459999999998</v>
      </c>
      <c r="P4511">
        <v>-0.74462469999999903</v>
      </c>
      <c r="Q4511">
        <v>2.2677699999999999E-2</v>
      </c>
      <c r="R4511">
        <v>-0.66709859999999999</v>
      </c>
      <c r="S4511">
        <v>-2.2694399999999999</v>
      </c>
      <c r="T4511">
        <v>-0.23167099999999999</v>
      </c>
      <c r="U4511">
        <v>-1.9710540000000001</v>
      </c>
      <c r="V4511">
        <v>-0.32781979999999999</v>
      </c>
      <c r="W4511">
        <v>3.1941999999999998E-2</v>
      </c>
      <c r="X4511">
        <v>0.94420020000000005</v>
      </c>
      <c r="Y4511">
        <v>-0.312921</v>
      </c>
      <c r="Z4511">
        <v>1.216186E-2</v>
      </c>
      <c r="AA4511">
        <v>0.94970129999999997</v>
      </c>
      <c r="AB4511">
        <v>13</v>
      </c>
      <c r="AC4511">
        <v>-10.779299999999999</v>
      </c>
      <c r="AD4511">
        <v>-1.1116047979729999</v>
      </c>
      <c r="AE4511">
        <v>-9.4053999999999807</v>
      </c>
      <c r="AF4511">
        <v>-4.4840194174808401</v>
      </c>
      <c r="AG4511">
        <v>-1.1116047979729999</v>
      </c>
      <c r="AH4511">
        <v>13.494417376306499</v>
      </c>
      <c r="AI4511">
        <v>94.469860829608294</v>
      </c>
      <c r="AJ4511">
        <v>108.380976273111</v>
      </c>
      <c r="AK4511">
        <v>14.263288389750199</v>
      </c>
      <c r="AL4511">
        <v>88.169546974150904</v>
      </c>
      <c r="AM4511">
        <v>109.14664868951699</v>
      </c>
      <c r="AN4511">
        <v>1.0000000651580301</v>
      </c>
    </row>
    <row r="4512" spans="1:40" x14ac:dyDescent="0.25">
      <c r="A4512" t="str">
        <f>"20190305135325916"</f>
        <v>20190305135325916</v>
      </c>
      <c r="B4512" t="str">
        <f>"1551765205904182"</f>
        <v>1551765205904182</v>
      </c>
      <c r="C4512" t="s">
        <v>40</v>
      </c>
      <c r="D4512">
        <v>4.3828379999999996</v>
      </c>
      <c r="E4512">
        <v>0.50293509999999997</v>
      </c>
      <c r="F4512" t="s">
        <v>78</v>
      </c>
      <c r="G4512">
        <v>-416.13479999999998</v>
      </c>
      <c r="H4512" s="1">
        <v>-5.6660719999999999E-6</v>
      </c>
      <c r="I4512">
        <v>129.06360000000001</v>
      </c>
      <c r="J4512">
        <v>-405.25959999999998</v>
      </c>
      <c r="K4512">
        <v>1.1115649999999999</v>
      </c>
      <c r="L4512">
        <v>138.64709999999999</v>
      </c>
      <c r="M4512">
        <v>-0.91997410000000002</v>
      </c>
      <c r="N4512">
        <v>-1.088857E-2</v>
      </c>
      <c r="O4512">
        <v>-0.39182820000000002</v>
      </c>
      <c r="P4512">
        <v>-0.74098549999999996</v>
      </c>
      <c r="Q4512">
        <v>2.3664000000000001E-2</v>
      </c>
      <c r="R4512">
        <v>-0.67110429999999999</v>
      </c>
      <c r="S4512">
        <v>-2.260132</v>
      </c>
      <c r="T4512">
        <v>-0.22855690000000001</v>
      </c>
      <c r="U4512">
        <v>-1.9820709999999999</v>
      </c>
      <c r="V4512">
        <v>-0.32724999999999999</v>
      </c>
      <c r="W4512">
        <v>3.2258460000000003E-2</v>
      </c>
      <c r="X4512">
        <v>0.94438699999999998</v>
      </c>
      <c r="Y4512">
        <v>-0.3118012</v>
      </c>
      <c r="Z4512">
        <v>1.2712660000000001E-2</v>
      </c>
      <c r="AA4512">
        <v>0.95006230000000003</v>
      </c>
      <c r="AB4512">
        <v>13</v>
      </c>
      <c r="AC4512">
        <v>-10.8752</v>
      </c>
      <c r="AD4512">
        <v>-1.1115706660719999</v>
      </c>
      <c r="AE4512">
        <v>-9.5834999999999795</v>
      </c>
      <c r="AF4512">
        <v>-4.5289981144604701</v>
      </c>
      <c r="AG4512">
        <v>-1.1115706660719999</v>
      </c>
      <c r="AH4512">
        <v>13.680353539501199</v>
      </c>
      <c r="AI4512">
        <v>94.410827561636793</v>
      </c>
      <c r="AJ4512">
        <v>108.317567354003</v>
      </c>
      <c r="AK4512">
        <v>14.453355535383499</v>
      </c>
      <c r="AL4512">
        <v>88.151405661696998</v>
      </c>
      <c r="AM4512">
        <v>109.112279235066</v>
      </c>
      <c r="AN4512">
        <v>0.99999998825528502</v>
      </c>
    </row>
    <row r="4513" spans="1:40" x14ac:dyDescent="0.25">
      <c r="A4513" t="str">
        <f>"20190305135325939"</f>
        <v>20190305135325939</v>
      </c>
      <c r="B4513" t="str">
        <f>"1551765205934441"</f>
        <v>1551765205934441</v>
      </c>
      <c r="C4513" t="s">
        <v>40</v>
      </c>
      <c r="D4513">
        <v>4.3944210000000004</v>
      </c>
      <c r="E4513">
        <v>0.50330929999999996</v>
      </c>
      <c r="F4513" t="s">
        <v>78</v>
      </c>
      <c r="G4513">
        <v>-416.3365</v>
      </c>
      <c r="H4513" s="1">
        <v>-5.5356720000000003E-6</v>
      </c>
      <c r="I4513">
        <v>128.83070000000001</v>
      </c>
      <c r="J4513">
        <v>-405.37830000000002</v>
      </c>
      <c r="K4513">
        <v>1.111531</v>
      </c>
      <c r="L4513">
        <v>138.5889</v>
      </c>
      <c r="M4513">
        <v>-0.91755229999999999</v>
      </c>
      <c r="N4513">
        <v>-1.018115E-2</v>
      </c>
      <c r="O4513">
        <v>-0.39748509999999998</v>
      </c>
      <c r="P4513">
        <v>-0.7375488</v>
      </c>
      <c r="Q4513">
        <v>2.2879159999999999E-2</v>
      </c>
      <c r="R4513">
        <v>-0.67490649999999996</v>
      </c>
      <c r="S4513">
        <v>-2.2499690000000001</v>
      </c>
      <c r="T4513">
        <v>-0.2257836</v>
      </c>
      <c r="U4513">
        <v>-1.993927</v>
      </c>
      <c r="V4513">
        <v>-0.32628269999999998</v>
      </c>
      <c r="W4513">
        <v>3.0761460000000001E-2</v>
      </c>
      <c r="X4513">
        <v>0.94477160000000004</v>
      </c>
      <c r="Y4513">
        <v>-0.31092540000000002</v>
      </c>
      <c r="Z4513">
        <v>1.3304150000000001E-2</v>
      </c>
      <c r="AA4513">
        <v>0.9503412</v>
      </c>
      <c r="AB4513">
        <v>13</v>
      </c>
      <c r="AC4513">
        <v>-10.9581999999999</v>
      </c>
      <c r="AD4513">
        <v>-1.1115365356719999</v>
      </c>
      <c r="AE4513">
        <v>-9.7581999999999791</v>
      </c>
      <c r="AF4513">
        <v>-4.5719394799554696</v>
      </c>
      <c r="AG4513">
        <v>-1.1115365356719999</v>
      </c>
      <c r="AH4513">
        <v>13.854676651755501</v>
      </c>
      <c r="AI4513">
        <v>94.356789493771402</v>
      </c>
      <c r="AJ4513">
        <v>108.26250277776499</v>
      </c>
      <c r="AK4513">
        <v>14.6318218005554</v>
      </c>
      <c r="AL4513">
        <v>88.237220124277002</v>
      </c>
      <c r="AM4513">
        <v>109.052668726371</v>
      </c>
      <c r="AN4513">
        <v>1.0000000219535901</v>
      </c>
    </row>
    <row r="4514" spans="1:40" x14ac:dyDescent="0.25">
      <c r="A4514" t="str">
        <f>"20190305135325961"</f>
        <v>20190305135325961</v>
      </c>
      <c r="B4514" t="str">
        <f>"1551765205954933"</f>
        <v>1551765205954933</v>
      </c>
      <c r="C4514" t="s">
        <v>40</v>
      </c>
      <c r="D4514">
        <v>4.4139999999999997</v>
      </c>
      <c r="E4514">
        <v>0.51369430000000005</v>
      </c>
      <c r="F4514" t="s">
        <v>78</v>
      </c>
      <c r="G4514">
        <v>-416.3177</v>
      </c>
      <c r="H4514" s="1">
        <v>-5.5275300000000004E-6</v>
      </c>
      <c r="I4514">
        <v>128.8125</v>
      </c>
      <c r="J4514">
        <v>-405.49880000000002</v>
      </c>
      <c r="K4514">
        <v>1.1114999999999999</v>
      </c>
      <c r="L4514">
        <v>138.529</v>
      </c>
      <c r="M4514">
        <v>-0.91504419999999997</v>
      </c>
      <c r="N4514">
        <v>-9.4692869999999998E-3</v>
      </c>
      <c r="O4514">
        <v>-0.40324199999999999</v>
      </c>
      <c r="P4514">
        <v>-0.73407129999999998</v>
      </c>
      <c r="Q4514">
        <v>2.1611439999999999E-2</v>
      </c>
      <c r="R4514">
        <v>-0.67872840000000001</v>
      </c>
      <c r="S4514">
        <v>-2.2415159999999998</v>
      </c>
      <c r="T4514">
        <v>-0.2277566</v>
      </c>
      <c r="U4514">
        <v>-2.0032040000000002</v>
      </c>
      <c r="V4514">
        <v>-0.32523629999999998</v>
      </c>
      <c r="W4514">
        <v>2.8773460000000001E-2</v>
      </c>
      <c r="X4514">
        <v>0.94519489999999995</v>
      </c>
      <c r="Y4514">
        <v>-0.30896400000000002</v>
      </c>
      <c r="Z4514">
        <v>1.435347E-2</v>
      </c>
      <c r="AA4514">
        <v>0.95096539999999996</v>
      </c>
      <c r="AB4514">
        <v>13</v>
      </c>
      <c r="AC4514">
        <v>-10.8188999999999</v>
      </c>
      <c r="AD4514">
        <v>-1.1115055275300001</v>
      </c>
      <c r="AE4514">
        <v>-9.7164999999999893</v>
      </c>
      <c r="AF4514">
        <v>-4.5022913486801004</v>
      </c>
      <c r="AG4514">
        <v>-1.1115055275300001</v>
      </c>
      <c r="AH4514">
        <v>13.738229132951799</v>
      </c>
      <c r="AI4514">
        <v>94.396404694617502</v>
      </c>
      <c r="AJ4514">
        <v>108.14500059676401</v>
      </c>
      <c r="AK4514">
        <v>14.499827986414701</v>
      </c>
      <c r="AL4514">
        <v>88.351174581417496</v>
      </c>
      <c r="AM4514">
        <v>108.988054837687</v>
      </c>
      <c r="AN4514">
        <v>0.99999998091203501</v>
      </c>
    </row>
    <row r="4515" spans="1:40" x14ac:dyDescent="0.25">
      <c r="A4515" t="str">
        <f>"20190305135325984"</f>
        <v>20190305135325984</v>
      </c>
      <c r="B4515" t="str">
        <f>"1551765205974454"</f>
        <v>1551765205974454</v>
      </c>
      <c r="C4515" t="s">
        <v>40</v>
      </c>
      <c r="D4515">
        <v>4.4051929999999997</v>
      </c>
      <c r="E4515">
        <v>0.51421589999999995</v>
      </c>
      <c r="F4515" t="s">
        <v>78</v>
      </c>
      <c r="G4515">
        <v>-418.03870000000001</v>
      </c>
      <c r="H4515" s="1">
        <v>-4.91721099999999E-6</v>
      </c>
      <c r="I4515">
        <v>127.8108</v>
      </c>
      <c r="J4515">
        <v>-405.61720000000003</v>
      </c>
      <c r="K4515">
        <v>1.11147</v>
      </c>
      <c r="L4515">
        <v>138.4691</v>
      </c>
      <c r="M4515">
        <v>-0.9125297</v>
      </c>
      <c r="N4515">
        <v>-8.799645E-3</v>
      </c>
      <c r="O4515">
        <v>-0.4089159</v>
      </c>
      <c r="P4515">
        <v>-0.7303655</v>
      </c>
      <c r="Q4515">
        <v>2.0209270000000001E-2</v>
      </c>
      <c r="R4515">
        <v>-0.68275799999999998</v>
      </c>
      <c r="S4515">
        <v>-2.2861020000000001</v>
      </c>
      <c r="T4515">
        <v>-0.2026336</v>
      </c>
      <c r="U4515">
        <v>-1.9539949999999999</v>
      </c>
      <c r="V4515">
        <v>-0.3245478</v>
      </c>
      <c r="W4515">
        <v>2.6688099999999999E-2</v>
      </c>
      <c r="X4515">
        <v>0.94549269999999996</v>
      </c>
      <c r="Y4515">
        <v>-0.28202759999999999</v>
      </c>
      <c r="Z4515">
        <v>1.3926640000000001E-2</v>
      </c>
      <c r="AA4515">
        <v>0.95930519999999997</v>
      </c>
      <c r="AB4515">
        <v>13</v>
      </c>
      <c r="AC4515">
        <v>-12.421499999999901</v>
      </c>
      <c r="AD4515">
        <v>-1.1114749172109999</v>
      </c>
      <c r="AE4515">
        <v>-10.658299999999899</v>
      </c>
      <c r="AF4515">
        <v>-4.6255157754370497</v>
      </c>
      <c r="AG4515">
        <v>-1.1114749172109999</v>
      </c>
      <c r="AH4515">
        <v>15.6219031534054</v>
      </c>
      <c r="AI4515">
        <v>93.902719440634499</v>
      </c>
      <c r="AJ4515">
        <v>106.493584063893</v>
      </c>
      <c r="AK4515">
        <v>16.3301754679729</v>
      </c>
      <c r="AL4515">
        <v>88.470702909445393</v>
      </c>
      <c r="AM4515">
        <v>108.945186231224</v>
      </c>
      <c r="AN4515">
        <v>0.99999998745986896</v>
      </c>
    </row>
    <row r="4516" spans="1:40" x14ac:dyDescent="0.25">
      <c r="A4516" t="str">
        <f>"20190305135326007"</f>
        <v>20190305135326007</v>
      </c>
      <c r="B4516" t="str">
        <f>"1551765205994950"</f>
        <v>1551765205994950</v>
      </c>
      <c r="C4516" t="s">
        <v>40</v>
      </c>
      <c r="D4516">
        <v>4.4217700000000004</v>
      </c>
      <c r="E4516">
        <v>0.51460470000000003</v>
      </c>
      <c r="F4516" t="s">
        <v>78</v>
      </c>
      <c r="G4516">
        <v>-417.75049999999999</v>
      </c>
      <c r="H4516" s="1">
        <v>-5.0364039999999999E-6</v>
      </c>
      <c r="I4516">
        <v>128.0119</v>
      </c>
      <c r="J4516">
        <v>-405.73809999999997</v>
      </c>
      <c r="K4516">
        <v>1.111467</v>
      </c>
      <c r="L4516">
        <v>138.40710000000001</v>
      </c>
      <c r="M4516">
        <v>-0.90991369999999905</v>
      </c>
      <c r="N4516">
        <v>-8.1521709999999997E-3</v>
      </c>
      <c r="O4516">
        <v>-0.41471789999999997</v>
      </c>
      <c r="P4516">
        <v>-0.72645009999999999</v>
      </c>
      <c r="Q4516">
        <v>1.8473529999999998E-2</v>
      </c>
      <c r="R4516">
        <v>-0.6869712</v>
      </c>
      <c r="S4516">
        <v>-2.2780149999999999</v>
      </c>
      <c r="T4516">
        <v>-0.20867939999999999</v>
      </c>
      <c r="U4516">
        <v>-1.9633480000000001</v>
      </c>
      <c r="V4516">
        <v>-0.32397110000000001</v>
      </c>
      <c r="W4516">
        <v>2.428895E-2</v>
      </c>
      <c r="X4516">
        <v>0.94575509999999996</v>
      </c>
      <c r="Y4516">
        <v>-0.27990419999999999</v>
      </c>
      <c r="Z4516">
        <v>1.5295970000000001E-2</v>
      </c>
      <c r="AA4516">
        <v>0.95990609999999998</v>
      </c>
      <c r="AB4516">
        <v>14</v>
      </c>
      <c r="AC4516">
        <v>-12.0124</v>
      </c>
      <c r="AD4516">
        <v>-1.1114720364040001</v>
      </c>
      <c r="AE4516">
        <v>-10.395200000000001</v>
      </c>
      <c r="AF4516">
        <v>-4.4553154668615802</v>
      </c>
      <c r="AG4516">
        <v>-1.1114720364040001</v>
      </c>
      <c r="AH4516">
        <v>15.167576786450599</v>
      </c>
      <c r="AI4516">
        <v>94.021790208663205</v>
      </c>
      <c r="AJ4516">
        <v>106.369593761601</v>
      </c>
      <c r="AK4516">
        <v>15.847415927205301</v>
      </c>
      <c r="AL4516">
        <v>88.608208760114096</v>
      </c>
      <c r="AM4516">
        <v>108.90904188802099</v>
      </c>
      <c r="AN4516">
        <v>0.99999996795166002</v>
      </c>
    </row>
    <row r="4517" spans="1:40" x14ac:dyDescent="0.25">
      <c r="A4517" t="str">
        <f>"20190305135326031"</f>
        <v>20190305135326031</v>
      </c>
      <c r="B4517" t="str">
        <f>"1551765206024229"</f>
        <v>1551765206024229</v>
      </c>
      <c r="C4517" t="s">
        <v>40</v>
      </c>
      <c r="D4517">
        <v>4.4161020000000004</v>
      </c>
      <c r="E4517">
        <v>0.51489750000000001</v>
      </c>
      <c r="F4517" t="s">
        <v>78</v>
      </c>
      <c r="G4517">
        <v>-417.66250000000002</v>
      </c>
      <c r="H4517" s="1">
        <v>-5.0500580000000003E-6</v>
      </c>
      <c r="I4517">
        <v>128.02869999999999</v>
      </c>
      <c r="J4517">
        <v>-405.86689999999999</v>
      </c>
      <c r="K4517">
        <v>1.111462</v>
      </c>
      <c r="L4517">
        <v>138.3398</v>
      </c>
      <c r="M4517">
        <v>-0.90706569999999997</v>
      </c>
      <c r="N4517">
        <v>-7.4893310000000001E-3</v>
      </c>
      <c r="O4517">
        <v>-0.42092230000000003</v>
      </c>
      <c r="P4517">
        <v>-0.72202270000000002</v>
      </c>
      <c r="Q4517">
        <v>1.7738360000000002E-2</v>
      </c>
      <c r="R4517">
        <v>-0.69164190000000003</v>
      </c>
      <c r="S4517">
        <v>-2.2681879999999999</v>
      </c>
      <c r="T4517">
        <v>-0.21141760000000001</v>
      </c>
      <c r="U4517">
        <v>-1.974121</v>
      </c>
      <c r="V4517">
        <v>-0.32360220000000001</v>
      </c>
      <c r="W4517">
        <v>2.2871229999999999E-2</v>
      </c>
      <c r="X4517">
        <v>0.9459168</v>
      </c>
      <c r="Y4517">
        <v>-0.27804099999999998</v>
      </c>
      <c r="Z4517">
        <v>1.6407990000000001E-2</v>
      </c>
      <c r="AA4517">
        <v>0.96042910000000004</v>
      </c>
      <c r="AB4517">
        <v>14</v>
      </c>
      <c r="AC4517">
        <v>-11.7956</v>
      </c>
      <c r="AD4517">
        <v>-1.111467050058</v>
      </c>
      <c r="AE4517">
        <v>-10.3111</v>
      </c>
      <c r="AF4517">
        <v>-4.3659638186599796</v>
      </c>
      <c r="AG4517">
        <v>-1.111467050058</v>
      </c>
      <c r="AH4517">
        <v>14.964662794666699</v>
      </c>
      <c r="AI4517">
        <v>94.078301059297502</v>
      </c>
      <c r="AJ4517">
        <v>106.264687660777</v>
      </c>
      <c r="AK4517">
        <v>15.6281199005925</v>
      </c>
      <c r="AL4517">
        <v>88.689460821672299</v>
      </c>
      <c r="AM4517">
        <v>108.886037710672</v>
      </c>
      <c r="AN4517">
        <v>1.00000003476439</v>
      </c>
    </row>
    <row r="4518" spans="1:40" x14ac:dyDescent="0.25">
      <c r="A4518" t="str">
        <f>"20190305135326051"</f>
        <v>20190305135326051</v>
      </c>
      <c r="B4518" t="str">
        <f>"1551765206044726"</f>
        <v>1551765206044726</v>
      </c>
      <c r="C4518" t="s">
        <v>40</v>
      </c>
      <c r="D4518">
        <v>4.7448579999999998</v>
      </c>
      <c r="E4518">
        <v>0.49794909999999998</v>
      </c>
      <c r="F4518" t="s">
        <v>78</v>
      </c>
      <c r="G4518">
        <v>-417.79160000000002</v>
      </c>
      <c r="H4518" s="1">
        <v>-4.9455689999999999E-6</v>
      </c>
      <c r="I4518">
        <v>127.8383</v>
      </c>
      <c r="J4518">
        <v>-405.98540000000003</v>
      </c>
      <c r="K4518">
        <v>1.1114550000000001</v>
      </c>
      <c r="L4518">
        <v>138.27690000000001</v>
      </c>
      <c r="M4518">
        <v>-0.90439449999999999</v>
      </c>
      <c r="N4518">
        <v>-6.9044969999999999E-3</v>
      </c>
      <c r="O4518">
        <v>-0.4266414</v>
      </c>
      <c r="P4518">
        <v>-0.71744929999999996</v>
      </c>
      <c r="Q4518">
        <v>1.7513270000000001E-2</v>
      </c>
      <c r="R4518">
        <v>-0.69639090000000003</v>
      </c>
      <c r="S4518">
        <v>-2.2565309999999998</v>
      </c>
      <c r="T4518">
        <v>-0.21032500000000001</v>
      </c>
      <c r="U4518">
        <v>-1.9872129999999999</v>
      </c>
      <c r="V4518">
        <v>-0.32386900000000002</v>
      </c>
      <c r="W4518">
        <v>2.2038410000000001E-2</v>
      </c>
      <c r="X4518">
        <v>0.94584520000000005</v>
      </c>
      <c r="Y4518">
        <v>-0.27760390000000001</v>
      </c>
      <c r="Z4518">
        <v>1.7029530000000001E-2</v>
      </c>
      <c r="AA4518">
        <v>0.96054470000000003</v>
      </c>
      <c r="AB4518">
        <v>14</v>
      </c>
      <c r="AC4518">
        <v>-11.806199999999899</v>
      </c>
      <c r="AD4518">
        <v>-1.111459945569</v>
      </c>
      <c r="AE4518">
        <v>-10.438599999999999</v>
      </c>
      <c r="AF4518">
        <v>-4.3819073389418701</v>
      </c>
      <c r="AG4518">
        <v>-1.111459945569</v>
      </c>
      <c r="AH4518">
        <v>15.0564684781439</v>
      </c>
      <c r="AI4518">
        <v>94.054272601766797</v>
      </c>
      <c r="AJ4518">
        <v>106.226662349091</v>
      </c>
      <c r="AK4518">
        <v>15.720486575517199</v>
      </c>
      <c r="AL4518">
        <v>88.737189859716295</v>
      </c>
      <c r="AM4518">
        <v>108.9018329865</v>
      </c>
      <c r="AN4518">
        <v>0.99999998151968394</v>
      </c>
    </row>
    <row r="4519" spans="1:40" x14ac:dyDescent="0.25">
      <c r="A4519" t="str">
        <f>"20190305135326074"</f>
        <v>20190305135326074</v>
      </c>
      <c r="B4519" t="str">
        <f>"1551765206064247"</f>
        <v>1551765206064247</v>
      </c>
      <c r="C4519" t="s">
        <v>40</v>
      </c>
      <c r="D4519">
        <v>4.3528460000000004</v>
      </c>
      <c r="E4519">
        <v>0.48520669999999999</v>
      </c>
      <c r="F4519" t="s">
        <v>78</v>
      </c>
      <c r="G4519">
        <v>-417.46960000000001</v>
      </c>
      <c r="H4519" s="1">
        <v>-4.5669329999999997E-6</v>
      </c>
      <c r="I4519">
        <v>127.0585</v>
      </c>
      <c r="J4519">
        <v>-406.10770000000002</v>
      </c>
      <c r="K4519">
        <v>1.111445</v>
      </c>
      <c r="L4519">
        <v>138.21090000000001</v>
      </c>
      <c r="M4519">
        <v>-0.90157969999999998</v>
      </c>
      <c r="N4519">
        <v>-6.3314419999999996E-3</v>
      </c>
      <c r="O4519">
        <v>-0.43256709999999898</v>
      </c>
      <c r="P4519">
        <v>-0.71203629999999996</v>
      </c>
      <c r="Q4519">
        <v>1.7664269999999999E-2</v>
      </c>
      <c r="R4519">
        <v>-0.70192100000000002</v>
      </c>
      <c r="S4519">
        <v>-2.1489560000000001</v>
      </c>
      <c r="T4519">
        <v>-0.2079792</v>
      </c>
      <c r="U4519">
        <v>-2.0992130000000002</v>
      </c>
      <c r="V4519">
        <v>-0.32498460000000001</v>
      </c>
      <c r="W4519">
        <v>2.1584570000000001E-2</v>
      </c>
      <c r="X4519">
        <v>0.94547300000000001</v>
      </c>
      <c r="Y4519">
        <v>-0.32056390000000001</v>
      </c>
      <c r="Z4519">
        <v>1.5968220000000002E-2</v>
      </c>
      <c r="AA4519">
        <v>0.9470923</v>
      </c>
      <c r="AB4519">
        <v>14</v>
      </c>
      <c r="AC4519">
        <v>-11.361899999999901</v>
      </c>
      <c r="AD4519">
        <v>-1.111449566933</v>
      </c>
      <c r="AE4519">
        <v>-11.1524</v>
      </c>
      <c r="AF4519">
        <v>-5.1151659021053701</v>
      </c>
      <c r="AG4519">
        <v>-1.111449566933</v>
      </c>
      <c r="AH4519">
        <v>14.995038506434801</v>
      </c>
      <c r="AI4519">
        <v>94.012829333255596</v>
      </c>
      <c r="AJ4519">
        <v>108.83573510531301</v>
      </c>
      <c r="AK4519">
        <v>15.882424945686299</v>
      </c>
      <c r="AL4519">
        <v>88.763199235451296</v>
      </c>
      <c r="AM4519">
        <v>108.96922937388</v>
      </c>
      <c r="AN4519">
        <v>1.0000000388141199</v>
      </c>
    </row>
    <row r="4520" spans="1:40" x14ac:dyDescent="0.25">
      <c r="A4520" t="str">
        <f>"20190305135326096"</f>
        <v>20190305135326096</v>
      </c>
      <c r="B4520" t="str">
        <f>"1551765206084742"</f>
        <v>1551765206084742</v>
      </c>
      <c r="C4520" t="s">
        <v>40</v>
      </c>
      <c r="D4520">
        <v>4.384099</v>
      </c>
      <c r="E4520">
        <v>0.42172159999999898</v>
      </c>
      <c r="F4520" t="s">
        <v>78</v>
      </c>
      <c r="G4520">
        <v>-416.48750000000001</v>
      </c>
      <c r="H4520" s="1">
        <v>-4.6928199999999999E-6</v>
      </c>
      <c r="I4520">
        <v>127.19370000000001</v>
      </c>
      <c r="J4520">
        <v>-406.23230000000001</v>
      </c>
      <c r="K4520">
        <v>1.1114470000000001</v>
      </c>
      <c r="L4520">
        <v>138.14269999999999</v>
      </c>
      <c r="M4520">
        <v>-0.89865010000000001</v>
      </c>
      <c r="N4520">
        <v>-5.7821189999999996E-3</v>
      </c>
      <c r="O4520">
        <v>-0.43862820000000002</v>
      </c>
      <c r="P4520">
        <v>-0.70683039999999997</v>
      </c>
      <c r="Q4520">
        <v>1.7920160000000001E-2</v>
      </c>
      <c r="R4520">
        <v>-0.70715609999999995</v>
      </c>
      <c r="S4520">
        <v>-2.0616150000000002</v>
      </c>
      <c r="T4520">
        <v>-0.22075359999999999</v>
      </c>
      <c r="U4520">
        <v>-2.1882169999999999</v>
      </c>
      <c r="V4520">
        <v>-0.32560129999999998</v>
      </c>
      <c r="W4520">
        <v>2.12561E-2</v>
      </c>
      <c r="X4520">
        <v>0.9452682</v>
      </c>
      <c r="Y4520">
        <v>-0.353242</v>
      </c>
      <c r="Z4520">
        <v>1.665123E-2</v>
      </c>
      <c r="AA4520">
        <v>0.93538379999999999</v>
      </c>
      <c r="AB4520">
        <v>14</v>
      </c>
      <c r="AC4520">
        <v>-10.2552</v>
      </c>
      <c r="AD4520">
        <v>-1.11145169281999</v>
      </c>
      <c r="AE4520">
        <v>-10.9489999999999</v>
      </c>
      <c r="AF4520">
        <v>-5.3120305885840997</v>
      </c>
      <c r="AG4520">
        <v>-1.11145169281999</v>
      </c>
      <c r="AH4520">
        <v>13.9420803327206</v>
      </c>
      <c r="AI4520">
        <v>94.260395326887704</v>
      </c>
      <c r="AJ4520">
        <v>110.857192218126</v>
      </c>
      <c r="AK4520">
        <v>14.961102828453599</v>
      </c>
      <c r="AL4520">
        <v>88.7820234502434</v>
      </c>
      <c r="AM4520">
        <v>109.006467521933</v>
      </c>
      <c r="AN4520">
        <v>0.99999999914006998</v>
      </c>
    </row>
    <row r="4521" spans="1:40" x14ac:dyDescent="0.25">
      <c r="A4521" t="str">
        <f>"20190305135326117"</f>
        <v>20190305135326117</v>
      </c>
      <c r="B4521" t="str">
        <f>"1551765206114998"</f>
        <v>1551765206114998</v>
      </c>
      <c r="C4521" t="s">
        <v>40</v>
      </c>
      <c r="D4521">
        <v>4.3284849999999997</v>
      </c>
      <c r="E4521">
        <v>0.42562230000000001</v>
      </c>
      <c r="F4521" t="s">
        <v>41</v>
      </c>
      <c r="G4521">
        <v>-406.73390000000001</v>
      </c>
      <c r="H4521">
        <v>1.040726</v>
      </c>
      <c r="I4521">
        <v>137.3819</v>
      </c>
      <c r="J4521">
        <v>-406.3596</v>
      </c>
      <c r="K4521">
        <v>1.1114679999999999</v>
      </c>
      <c r="L4521">
        <v>138.0719</v>
      </c>
      <c r="M4521">
        <v>-0.89558859999999996</v>
      </c>
      <c r="N4521">
        <v>-5.2604130000000002E-3</v>
      </c>
      <c r="O4521">
        <v>-0.44485209999999997</v>
      </c>
      <c r="P4521">
        <v>-0.70125289999999996</v>
      </c>
      <c r="Q4521">
        <v>1.7702889999999999E-2</v>
      </c>
      <c r="R4521">
        <v>-0.71269289999999996</v>
      </c>
      <c r="S4521">
        <v>-1.6877139999999999</v>
      </c>
      <c r="T4521">
        <v>-0.2379975</v>
      </c>
      <c r="U4521">
        <v>-2.5614319999999999</v>
      </c>
      <c r="V4521">
        <v>-0.32647559999999998</v>
      </c>
      <c r="W4521">
        <v>2.0471880000000001E-2</v>
      </c>
      <c r="X4521">
        <v>0.94498400000000005</v>
      </c>
      <c r="Y4521">
        <v>-0.50265280000000001</v>
      </c>
      <c r="Z4521">
        <v>1.2147760000000001E-2</v>
      </c>
      <c r="AA4521">
        <v>0.86440309999999898</v>
      </c>
      <c r="AB4521">
        <v>15</v>
      </c>
      <c r="AC4521">
        <v>-0.37430000000000502</v>
      </c>
      <c r="AD4521">
        <v>-7.0741999999999999E-2</v>
      </c>
      <c r="AE4521">
        <v>-0.68999999999999695</v>
      </c>
      <c r="AF4521">
        <v>-0.44781732053127998</v>
      </c>
      <c r="AG4521">
        <v>-7.0741999999999999E-2</v>
      </c>
      <c r="AH4521">
        <v>0.63700227526151898</v>
      </c>
      <c r="AI4521">
        <v>95.191121270839801</v>
      </c>
      <c r="AJ4521">
        <v>125.10750250066501</v>
      </c>
      <c r="AK4521">
        <v>0.78186743238234901</v>
      </c>
      <c r="AL4521">
        <v>88.826965834503895</v>
      </c>
      <c r="AM4521">
        <v>109.059144361004</v>
      </c>
      <c r="AN4521">
        <v>1.00000008776104</v>
      </c>
    </row>
    <row r="4522" spans="1:40" x14ac:dyDescent="0.25">
      <c r="A4522" t="str">
        <f>"20190305135326141"</f>
        <v>20190305135326141</v>
      </c>
      <c r="B4522" t="str">
        <f>"1551765206134518"</f>
        <v>1551765206134518</v>
      </c>
      <c r="C4522" t="s">
        <v>40</v>
      </c>
      <c r="D4522">
        <v>4.2980099999999997</v>
      </c>
      <c r="E4522">
        <v>0.42651909999999998</v>
      </c>
      <c r="F4522" t="s">
        <v>41</v>
      </c>
      <c r="G4522">
        <v>-406.8526</v>
      </c>
      <c r="H4522">
        <v>1.039917</v>
      </c>
      <c r="I4522">
        <v>137.32679999999999</v>
      </c>
      <c r="J4522">
        <v>-406.49270000000001</v>
      </c>
      <c r="K4522">
        <v>1.111507</v>
      </c>
      <c r="L4522">
        <v>137.9967</v>
      </c>
      <c r="M4522">
        <v>-0.89231530000000003</v>
      </c>
      <c r="N4522">
        <v>-4.7624620000000003E-3</v>
      </c>
      <c r="O4522">
        <v>-0.4513876</v>
      </c>
      <c r="P4522">
        <v>-0.69569060000000005</v>
      </c>
      <c r="Q4522">
        <v>1.6709580000000002E-2</v>
      </c>
      <c r="R4522">
        <v>-0.71814699999999998</v>
      </c>
      <c r="S4522">
        <v>-1.68936199999999</v>
      </c>
      <c r="T4522">
        <v>-0.2451845</v>
      </c>
      <c r="U4522">
        <v>-2.5532680000000001</v>
      </c>
      <c r="V4522">
        <v>-0.32693149999999999</v>
      </c>
      <c r="W4522">
        <v>1.8927220000000002E-2</v>
      </c>
      <c r="X4522">
        <v>0.94485850000000005</v>
      </c>
      <c r="Y4522">
        <v>-0.49469489999999999</v>
      </c>
      <c r="Z4522">
        <v>1.393235E-2</v>
      </c>
      <c r="AA4522">
        <v>0.86895509999999998</v>
      </c>
      <c r="AB4522">
        <v>15</v>
      </c>
      <c r="AC4522">
        <v>-0.35989999999998101</v>
      </c>
      <c r="AD4522">
        <v>-7.1590000000000001E-2</v>
      </c>
      <c r="AE4522">
        <v>-0.66990000000001204</v>
      </c>
      <c r="AF4522">
        <v>-0.43148848526386102</v>
      </c>
      <c r="AG4522">
        <v>-7.1590000000000001E-2</v>
      </c>
      <c r="AH4522">
        <v>0.61805834887895805</v>
      </c>
      <c r="AI4522">
        <v>95.425401442075596</v>
      </c>
      <c r="AJ4522">
        <v>124.920261423239</v>
      </c>
      <c r="AK4522">
        <v>0.75716812111596798</v>
      </c>
      <c r="AL4522">
        <v>88.9154854332931</v>
      </c>
      <c r="AM4522">
        <v>109.086186496674</v>
      </c>
      <c r="AN4522">
        <v>1.00000001518571</v>
      </c>
    </row>
    <row r="4523" spans="1:40" x14ac:dyDescent="0.25">
      <c r="A4523" t="str">
        <f>"20190305135326162"</f>
        <v>20190305135326162</v>
      </c>
      <c r="B4523" t="str">
        <f>"1551765206154037"</f>
        <v>1551765206154037</v>
      </c>
      <c r="C4523" t="s">
        <v>40</v>
      </c>
      <c r="D4523">
        <v>4.3188180000000003</v>
      </c>
      <c r="E4523">
        <v>0.42734290000000003</v>
      </c>
      <c r="F4523" t="s">
        <v>41</v>
      </c>
      <c r="G4523">
        <v>-406.9699</v>
      </c>
      <c r="H4523">
        <v>1.043104</v>
      </c>
      <c r="I4523">
        <v>137.267</v>
      </c>
      <c r="J4523">
        <v>-406.61900000000003</v>
      </c>
      <c r="K4523">
        <v>1.1115679999999999</v>
      </c>
      <c r="L4523">
        <v>137.92400000000001</v>
      </c>
      <c r="M4523">
        <v>-0.88913399999999998</v>
      </c>
      <c r="N4523">
        <v>-4.3384010000000004E-3</v>
      </c>
      <c r="O4523">
        <v>-0.45762629999999999</v>
      </c>
      <c r="P4523">
        <v>-0.69070739999999997</v>
      </c>
      <c r="Q4523">
        <v>1.7712749999999999E-2</v>
      </c>
      <c r="R4523">
        <v>-0.72291729999999998</v>
      </c>
      <c r="S4523">
        <v>-1.674194</v>
      </c>
      <c r="T4523">
        <v>-0.23999880000000001</v>
      </c>
      <c r="U4523">
        <v>-2.5611419999999998</v>
      </c>
      <c r="V4523">
        <v>-0.32683679999999998</v>
      </c>
      <c r="W4523">
        <v>1.945117E-2</v>
      </c>
      <c r="X4523">
        <v>0.94488059999999996</v>
      </c>
      <c r="Y4523">
        <v>-0.49348199999999998</v>
      </c>
      <c r="Z4523">
        <v>1.445634E-2</v>
      </c>
      <c r="AA4523">
        <v>0.86963590000000002</v>
      </c>
      <c r="AB4523">
        <v>15</v>
      </c>
      <c r="AC4523">
        <v>-0.35089999999996702</v>
      </c>
      <c r="AD4523">
        <v>-6.8463999999999997E-2</v>
      </c>
      <c r="AE4523">
        <v>-0.65700000000001002</v>
      </c>
      <c r="AF4523">
        <v>-0.42003510710925501</v>
      </c>
      <c r="AG4523">
        <v>-6.8463999999999997E-2</v>
      </c>
      <c r="AH4523">
        <v>0.60753038185046504</v>
      </c>
      <c r="AI4523">
        <v>95.295893504131399</v>
      </c>
      <c r="AJ4523">
        <v>124.65925456513</v>
      </c>
      <c r="AK4523">
        <v>0.74176140056736295</v>
      </c>
      <c r="AL4523">
        <v>88.8854597586773</v>
      </c>
      <c r="AM4523">
        <v>109.08064376521</v>
      </c>
      <c r="AN4523">
        <v>0.99999999505248405</v>
      </c>
    </row>
    <row r="4524" spans="1:40" x14ac:dyDescent="0.25">
      <c r="A4524" t="str">
        <f>"20190305135326185"</f>
        <v>20190305135326185</v>
      </c>
      <c r="B4524" t="str">
        <f>"1551765206174534"</f>
        <v>1551765206174534</v>
      </c>
      <c r="C4524" t="s">
        <v>40</v>
      </c>
      <c r="D4524">
        <v>4.3747989999999897</v>
      </c>
      <c r="E4524">
        <v>0.42787740000000002</v>
      </c>
      <c r="F4524" t="s">
        <v>41</v>
      </c>
      <c r="G4524">
        <v>-407.08609999999999</v>
      </c>
      <c r="H4524">
        <v>1.045712</v>
      </c>
      <c r="I4524">
        <v>137.20160000000001</v>
      </c>
      <c r="J4524">
        <v>-406.74799999999999</v>
      </c>
      <c r="K4524">
        <v>1.1116490000000001</v>
      </c>
      <c r="L4524">
        <v>137.8485</v>
      </c>
      <c r="M4524">
        <v>-0.88580930000000002</v>
      </c>
      <c r="N4524">
        <v>-3.954132E-3</v>
      </c>
      <c r="O4524">
        <v>-0.46403270000000002</v>
      </c>
      <c r="P4524">
        <v>-0.68537000000000003</v>
      </c>
      <c r="Q4524">
        <v>1.9999220000000002E-2</v>
      </c>
      <c r="R4524">
        <v>-0.72792060000000003</v>
      </c>
      <c r="S4524">
        <v>-1.6611020000000001</v>
      </c>
      <c r="T4524">
        <v>-0.23415830000000001</v>
      </c>
      <c r="U4524">
        <v>-2.5684969999999998</v>
      </c>
      <c r="V4524">
        <v>-0.32693630000000001</v>
      </c>
      <c r="W4524">
        <v>2.1288519999999998E-2</v>
      </c>
      <c r="X4524">
        <v>0.94480660000000005</v>
      </c>
      <c r="Y4524">
        <v>-0.49151</v>
      </c>
      <c r="Z4524">
        <v>1.4924929999999999E-2</v>
      </c>
      <c r="AA4524">
        <v>0.87074399999999996</v>
      </c>
      <c r="AB4524">
        <v>15</v>
      </c>
      <c r="AC4524">
        <v>-0.33809999999994</v>
      </c>
      <c r="AD4524">
        <v>-6.5936999999999898E-2</v>
      </c>
      <c r="AE4524">
        <v>-0.64689999999998704</v>
      </c>
      <c r="AF4524">
        <v>-0.41277547882253401</v>
      </c>
      <c r="AG4524">
        <v>-6.5936999999999898E-2</v>
      </c>
      <c r="AH4524">
        <v>0.59482563490756402</v>
      </c>
      <c r="AI4524">
        <v>95.203630648428401</v>
      </c>
      <c r="AJ4524">
        <v>124.758469286474</v>
      </c>
      <c r="AK4524">
        <v>0.72701363111660999</v>
      </c>
      <c r="AL4524">
        <v>88.780165536314996</v>
      </c>
      <c r="AM4524">
        <v>109.087419031595</v>
      </c>
      <c r="AN4524">
        <v>1.0000000283725199</v>
      </c>
    </row>
    <row r="4525" spans="1:40" x14ac:dyDescent="0.25">
      <c r="A4525" t="str">
        <f>"20190305135326207"</f>
        <v>20190305135326207</v>
      </c>
      <c r="B4525" t="str">
        <f>"1551765206204790"</f>
        <v>1551765206204790</v>
      </c>
      <c r="C4525" t="s">
        <v>40</v>
      </c>
      <c r="D4525">
        <v>4.3117359999999998</v>
      </c>
      <c r="E4525">
        <v>0.42870019999999998</v>
      </c>
      <c r="F4525" t="s">
        <v>41</v>
      </c>
      <c r="G4525">
        <v>-407.20699999999999</v>
      </c>
      <c r="H4525">
        <v>1.0451629999999901</v>
      </c>
      <c r="I4525">
        <v>137.13</v>
      </c>
      <c r="J4525">
        <v>-406.87909999999999</v>
      </c>
      <c r="K4525">
        <v>1.1117360000000001</v>
      </c>
      <c r="L4525">
        <v>137.7704</v>
      </c>
      <c r="M4525">
        <v>-0.88235160000000001</v>
      </c>
      <c r="N4525">
        <v>-3.6175769999999999E-3</v>
      </c>
      <c r="O4525">
        <v>-0.47057690000000002</v>
      </c>
      <c r="P4525">
        <v>-0.68031739999999996</v>
      </c>
      <c r="Q4525">
        <v>2.1422549999999999E-2</v>
      </c>
      <c r="R4525">
        <v>-0.73260429999999999</v>
      </c>
      <c r="S4525">
        <v>-1.6460570000000001</v>
      </c>
      <c r="T4525">
        <v>-0.23848430000000001</v>
      </c>
      <c r="U4525">
        <v>-2.5780029999999998</v>
      </c>
      <c r="V4525">
        <v>-0.32645819999999998</v>
      </c>
      <c r="W4525">
        <v>2.23111E-2</v>
      </c>
      <c r="X4525">
        <v>0.94494829999999996</v>
      </c>
      <c r="Y4525">
        <v>-0.4901529</v>
      </c>
      <c r="Z4525">
        <v>1.6104879999999999E-2</v>
      </c>
      <c r="AA4525">
        <v>0.87148769999999998</v>
      </c>
      <c r="AB4525">
        <v>15</v>
      </c>
      <c r="AC4525">
        <v>-0.32789999999999903</v>
      </c>
      <c r="AD4525">
        <v>-6.6573000000000201E-2</v>
      </c>
      <c r="AE4525">
        <v>-0.64039999999999897</v>
      </c>
      <c r="AF4525">
        <v>-0.407271409521824</v>
      </c>
      <c r="AG4525">
        <v>-6.6573000000000201E-2</v>
      </c>
      <c r="AH4525">
        <v>0.58566986795138998</v>
      </c>
      <c r="AI4525">
        <v>95.331597434137393</v>
      </c>
      <c r="AJ4525">
        <v>124.814526073229</v>
      </c>
      <c r="AK4525">
        <v>0.71645736758658096</v>
      </c>
      <c r="AL4525">
        <v>88.721562074113805</v>
      </c>
      <c r="AM4525">
        <v>109.058869929232</v>
      </c>
      <c r="AN4525">
        <v>1.00000001560166</v>
      </c>
    </row>
    <row r="4526" spans="1:40" x14ac:dyDescent="0.25">
      <c r="A4526" t="str">
        <f>"20190305135326232"</f>
        <v>20190305135326232</v>
      </c>
      <c r="B4526" t="str">
        <f>"1551765206224310"</f>
        <v>1551765206224310</v>
      </c>
      <c r="C4526" t="s">
        <v>40</v>
      </c>
      <c r="D4526">
        <v>4.2897049999999997</v>
      </c>
      <c r="E4526">
        <v>0.42928339999999998</v>
      </c>
      <c r="F4526" t="s">
        <v>41</v>
      </c>
      <c r="G4526">
        <v>-407.39710000000002</v>
      </c>
      <c r="H4526">
        <v>1.0384409999999999</v>
      </c>
      <c r="I4526">
        <v>136.95060000000001</v>
      </c>
      <c r="J4526">
        <v>-407.02379999999999</v>
      </c>
      <c r="K4526">
        <v>1.1118140000000001</v>
      </c>
      <c r="L4526">
        <v>137.6825</v>
      </c>
      <c r="M4526">
        <v>-0.87843839999999995</v>
      </c>
      <c r="N4526">
        <v>-3.299845E-3</v>
      </c>
      <c r="O4526">
        <v>-0.47784409999999999</v>
      </c>
      <c r="P4526">
        <v>-0.67411369999999904</v>
      </c>
      <c r="Q4526">
        <v>2.1607870000000001E-2</v>
      </c>
      <c r="R4526">
        <v>-0.73831159999999996</v>
      </c>
      <c r="S4526">
        <v>-1.6329039999999999</v>
      </c>
      <c r="T4526">
        <v>-0.23105510000000001</v>
      </c>
      <c r="U4526">
        <v>-2.5854029999999999</v>
      </c>
      <c r="V4526">
        <v>-0.32662999999999998</v>
      </c>
      <c r="W4526">
        <v>2.210324E-2</v>
      </c>
      <c r="X4526">
        <v>0.94489380000000001</v>
      </c>
      <c r="Y4526">
        <v>-0.48729860000000003</v>
      </c>
      <c r="Z4526">
        <v>1.6479029999999999E-2</v>
      </c>
      <c r="AA4526">
        <v>0.87307990000000002</v>
      </c>
      <c r="AB4526">
        <v>16</v>
      </c>
      <c r="AC4526">
        <v>-0.373300000000028</v>
      </c>
      <c r="AD4526">
        <v>-7.3372999999999897E-2</v>
      </c>
      <c r="AE4526">
        <v>-0.731899999999996</v>
      </c>
      <c r="AF4526">
        <v>-0.46087676746950201</v>
      </c>
      <c r="AG4526">
        <v>-7.3372999999999897E-2</v>
      </c>
      <c r="AH4526">
        <v>0.67229707927008098</v>
      </c>
      <c r="AI4526">
        <v>95.143730171519707</v>
      </c>
      <c r="AJ4526">
        <v>124.43163004600601</v>
      </c>
      <c r="AK4526">
        <v>0.81839743078605798</v>
      </c>
      <c r="AL4526">
        <v>88.733474494788993</v>
      </c>
      <c r="AM4526">
        <v>109.069195944676</v>
      </c>
      <c r="AN4526">
        <v>1.00000000169846</v>
      </c>
    </row>
    <row r="4527" spans="1:40" x14ac:dyDescent="0.25">
      <c r="A4527" t="str">
        <f>"20190305135326253"</f>
        <v>20190305135326253</v>
      </c>
      <c r="B4527" t="str">
        <f>"1551765206244807"</f>
        <v>1551765206244807</v>
      </c>
      <c r="C4527" t="s">
        <v>40</v>
      </c>
      <c r="D4527">
        <v>4.2908589999999904</v>
      </c>
      <c r="E4527">
        <v>0.42979509999999999</v>
      </c>
      <c r="F4527" t="s">
        <v>41</v>
      </c>
      <c r="G4527">
        <v>-407.51990000000001</v>
      </c>
      <c r="H4527">
        <v>1.0415049999999999</v>
      </c>
      <c r="I4527">
        <v>136.88409999999999</v>
      </c>
      <c r="J4527">
        <v>-407.15100000000001</v>
      </c>
      <c r="K4527">
        <v>1.1118650000000001</v>
      </c>
      <c r="L4527">
        <v>137.60390000000001</v>
      </c>
      <c r="M4527">
        <v>-0.87492049999999999</v>
      </c>
      <c r="N4527">
        <v>-3.059979E-3</v>
      </c>
      <c r="O4527">
        <v>-0.48425699999999999</v>
      </c>
      <c r="P4527">
        <v>-0.6682593</v>
      </c>
      <c r="Q4527">
        <v>2.0006320000000001E-2</v>
      </c>
      <c r="R4527">
        <v>-0.74365969999999904</v>
      </c>
      <c r="S4527">
        <v>-1.6139220000000001</v>
      </c>
      <c r="T4527">
        <v>-0.2286832</v>
      </c>
      <c r="U4527">
        <v>-2.5963590000000001</v>
      </c>
      <c r="V4527">
        <v>-0.32721309999999998</v>
      </c>
      <c r="W4527">
        <v>2.0195359999999999E-2</v>
      </c>
      <c r="X4527">
        <v>0.94473479999999999</v>
      </c>
      <c r="Y4527">
        <v>-0.48719170000000001</v>
      </c>
      <c r="Z4527">
        <v>1.6995389999999999E-2</v>
      </c>
      <c r="AA4527">
        <v>0.87312969999999901</v>
      </c>
      <c r="AB4527">
        <v>16</v>
      </c>
      <c r="AC4527">
        <v>-0.36889999999999601</v>
      </c>
      <c r="AD4527">
        <v>-7.0359999999999895E-2</v>
      </c>
      <c r="AE4527">
        <v>-0.71980000000001998</v>
      </c>
      <c r="AF4527">
        <v>-0.44773927842261102</v>
      </c>
      <c r="AG4527">
        <v>-7.0359999999999895E-2</v>
      </c>
      <c r="AH4527">
        <v>0.66628746996737598</v>
      </c>
      <c r="AI4527">
        <v>95.009092751930694</v>
      </c>
      <c r="AJ4527">
        <v>123.900751147226</v>
      </c>
      <c r="AK4527">
        <v>0.80582875580232805</v>
      </c>
      <c r="AL4527">
        <v>88.842812499169199</v>
      </c>
      <c r="AM4527">
        <v>109.10375515985599</v>
      </c>
      <c r="AN4527">
        <v>1.0000000538540801</v>
      </c>
    </row>
    <row r="4528" spans="1:40" x14ac:dyDescent="0.25">
      <c r="A4528" t="str">
        <f>"20190305135326275"</f>
        <v>20190305135326275</v>
      </c>
      <c r="B4528" t="str">
        <f>"1551765206264327"</f>
        <v>1551765206264327</v>
      </c>
      <c r="C4528" t="s">
        <v>40</v>
      </c>
      <c r="D4528">
        <v>4.2797580000000002</v>
      </c>
      <c r="E4528">
        <v>0.43021599999999999</v>
      </c>
      <c r="F4528" t="s">
        <v>41</v>
      </c>
      <c r="G4528">
        <v>-407.63780000000003</v>
      </c>
      <c r="H4528">
        <v>1.041307</v>
      </c>
      <c r="I4528">
        <v>136.8091</v>
      </c>
      <c r="J4528">
        <v>-407.28190000000001</v>
      </c>
      <c r="K4528">
        <v>1.111915</v>
      </c>
      <c r="L4528">
        <v>137.5215</v>
      </c>
      <c r="M4528">
        <v>-0.87122239999999995</v>
      </c>
      <c r="N4528">
        <v>-2.85002E-3</v>
      </c>
      <c r="O4528">
        <v>-0.49088039999999999</v>
      </c>
      <c r="P4528">
        <v>-0.66119289999999997</v>
      </c>
      <c r="Q4528">
        <v>1.8757719999999999E-2</v>
      </c>
      <c r="R4528">
        <v>-0.74998169999999897</v>
      </c>
      <c r="S4528">
        <v>-1.5957030000000001</v>
      </c>
      <c r="T4528">
        <v>-0.23132069999999999</v>
      </c>
      <c r="U4528">
        <v>-2.6063839999999998</v>
      </c>
      <c r="V4528">
        <v>-0.32900580000000001</v>
      </c>
      <c r="W4528">
        <v>1.8662629999999999E-2</v>
      </c>
      <c r="X4528">
        <v>0.94414350000000002</v>
      </c>
      <c r="Y4528">
        <v>-0.48651949999999999</v>
      </c>
      <c r="Z4528">
        <v>1.795654E-2</v>
      </c>
      <c r="AA4528">
        <v>0.87348519999999896</v>
      </c>
      <c r="AB4528">
        <v>16</v>
      </c>
      <c r="AC4528">
        <v>-0.35590000000001898</v>
      </c>
      <c r="AD4528">
        <v>-7.0608000000000004E-2</v>
      </c>
      <c r="AE4528">
        <v>-0.71240000000000203</v>
      </c>
      <c r="AF4528">
        <v>-0.44247781294524502</v>
      </c>
      <c r="AG4528">
        <v>-7.0608000000000004E-2</v>
      </c>
      <c r="AH4528">
        <v>0.65462762934122098</v>
      </c>
      <c r="AI4528">
        <v>95.106455105667493</v>
      </c>
      <c r="AJ4528">
        <v>124.05566173624599</v>
      </c>
      <c r="AK4528">
        <v>0.79329026069258801</v>
      </c>
      <c r="AL4528">
        <v>88.930648016921097</v>
      </c>
      <c r="AM4528">
        <v>109.211919386131</v>
      </c>
      <c r="AN4528">
        <v>1.0000000293922</v>
      </c>
    </row>
    <row r="4529" spans="1:40" x14ac:dyDescent="0.25">
      <c r="A4529" t="str">
        <f>"20190305135326297"</f>
        <v>20190305135326297</v>
      </c>
      <c r="B4529" t="str">
        <f>"1551765206284823"</f>
        <v>1551765206284823</v>
      </c>
      <c r="C4529" t="s">
        <v>40</v>
      </c>
      <c r="D4529">
        <v>4.2921719999999999</v>
      </c>
      <c r="E4529">
        <v>0.43066320000000002</v>
      </c>
      <c r="F4529" t="s">
        <v>41</v>
      </c>
      <c r="G4529">
        <v>-407.7561</v>
      </c>
      <c r="H4529">
        <v>1.041801</v>
      </c>
      <c r="I4529">
        <v>136.73220000000001</v>
      </c>
      <c r="J4529">
        <v>-407.41559999999998</v>
      </c>
      <c r="K4529">
        <v>1.1119650000000001</v>
      </c>
      <c r="L4529">
        <v>137.43600000000001</v>
      </c>
      <c r="M4529">
        <v>-0.86736780000000002</v>
      </c>
      <c r="N4529">
        <v>-2.6701540000000001E-3</v>
      </c>
      <c r="O4529">
        <v>-0.49766070000000001</v>
      </c>
      <c r="P4529">
        <v>-0.65402660000000001</v>
      </c>
      <c r="Q4529">
        <v>1.8681469999999999E-2</v>
      </c>
      <c r="R4529">
        <v>-0.75624099999999905</v>
      </c>
      <c r="S4529">
        <v>-1.5729059999999999</v>
      </c>
      <c r="T4529">
        <v>-0.23258880000000001</v>
      </c>
      <c r="U4529">
        <v>-2.6192470000000001</v>
      </c>
      <c r="V4529">
        <v>-0.33062799999999998</v>
      </c>
      <c r="W4529">
        <v>1.833605E-2</v>
      </c>
      <c r="X4529">
        <v>0.94358299999999995</v>
      </c>
      <c r="Y4529">
        <v>-0.48720140000000001</v>
      </c>
      <c r="Z4529">
        <v>1.874731E-2</v>
      </c>
      <c r="AA4529">
        <v>0.87308839999999999</v>
      </c>
      <c r="AB4529">
        <v>16</v>
      </c>
      <c r="AC4529">
        <v>-0.34050000000002001</v>
      </c>
      <c r="AD4529">
        <v>-7.0163999999999893E-2</v>
      </c>
      <c r="AE4529">
        <v>-0.70380000000000098</v>
      </c>
      <c r="AF4529">
        <v>-0.43747822418916299</v>
      </c>
      <c r="AG4529">
        <v>-7.0163999999999893E-2</v>
      </c>
      <c r="AH4529">
        <v>0.64043672518705697</v>
      </c>
      <c r="AI4529">
        <v>95.169182312260105</v>
      </c>
      <c r="AJ4529">
        <v>124.33673262871601</v>
      </c>
      <c r="AK4529">
        <v>0.77876144133105696</v>
      </c>
      <c r="AL4529">
        <v>88.949362824431503</v>
      </c>
      <c r="AM4529">
        <v>109.310272499964</v>
      </c>
      <c r="AN4529">
        <v>0.99999998150130098</v>
      </c>
    </row>
    <row r="4530" spans="1:40" x14ac:dyDescent="0.25">
      <c r="A4530" t="str">
        <f>"20190305135326318"</f>
        <v>20190305135326318</v>
      </c>
      <c r="B4530" t="str">
        <f>"1551765206314102"</f>
        <v>1551765206314102</v>
      </c>
      <c r="C4530" t="s">
        <v>40</v>
      </c>
      <c r="D4530">
        <v>4.2952050000000002</v>
      </c>
      <c r="E4530">
        <v>0.43128379999999999</v>
      </c>
      <c r="F4530" t="s">
        <v>41</v>
      </c>
      <c r="G4530">
        <v>-407.87630000000001</v>
      </c>
      <c r="H4530">
        <v>1.0431600000000001</v>
      </c>
      <c r="I4530">
        <v>136.65479999999999</v>
      </c>
      <c r="J4530">
        <v>-407.55239999999998</v>
      </c>
      <c r="K4530">
        <v>1.112028</v>
      </c>
      <c r="L4530">
        <v>137.34700000000001</v>
      </c>
      <c r="M4530">
        <v>-0.86334429999999995</v>
      </c>
      <c r="N4530">
        <v>-2.5166170000000001E-3</v>
      </c>
      <c r="O4530">
        <v>-0.50460919999999998</v>
      </c>
      <c r="P4530">
        <v>-0.6466731</v>
      </c>
      <c r="Q4530">
        <v>1.8984419999999998E-2</v>
      </c>
      <c r="R4530">
        <v>-0.76253090000000001</v>
      </c>
      <c r="S4530">
        <v>-1.550629</v>
      </c>
      <c r="T4530">
        <v>-0.231658</v>
      </c>
      <c r="U4530">
        <v>-2.6316679999999999</v>
      </c>
      <c r="V4530">
        <v>-0.3321865</v>
      </c>
      <c r="W4530">
        <v>1.8418520000000001E-2</v>
      </c>
      <c r="X4530">
        <v>0.94303389999999998</v>
      </c>
      <c r="Y4530">
        <v>-0.48749680000000001</v>
      </c>
      <c r="Z4530">
        <v>1.935858E-2</v>
      </c>
      <c r="AA4530">
        <v>0.87291010000000002</v>
      </c>
      <c r="AB4530">
        <v>16</v>
      </c>
      <c r="AC4530">
        <v>-0.32390000000003699</v>
      </c>
      <c r="AD4530">
        <v>-6.8867999999999902E-2</v>
      </c>
      <c r="AE4530">
        <v>-0.69220000000001303</v>
      </c>
      <c r="AF4530">
        <v>-0.430668099770041</v>
      </c>
      <c r="AG4530">
        <v>-6.8867999999999902E-2</v>
      </c>
      <c r="AH4530">
        <v>0.62386355758066503</v>
      </c>
      <c r="AI4530">
        <v>95.190823891720498</v>
      </c>
      <c r="AJ4530">
        <v>124.61825696115901</v>
      </c>
      <c r="AK4530">
        <v>0.76119875989175201</v>
      </c>
      <c r="AL4530">
        <v>88.944636888794307</v>
      </c>
      <c r="AM4530">
        <v>109.404964136754</v>
      </c>
      <c r="AN4530">
        <v>1.0000000246052201</v>
      </c>
    </row>
    <row r="4531" spans="1:40" x14ac:dyDescent="0.25">
      <c r="A4531" t="str">
        <f>"20190305135326342"</f>
        <v>20190305135326342</v>
      </c>
      <c r="B4531" t="str">
        <f>"1551765206334604"</f>
        <v>1551765206334604</v>
      </c>
      <c r="C4531" t="s">
        <v>40</v>
      </c>
      <c r="D4531">
        <v>4.2665300000000004</v>
      </c>
      <c r="E4531">
        <v>0.4314308</v>
      </c>
      <c r="F4531" t="s">
        <v>41</v>
      </c>
      <c r="G4531">
        <v>-407.9982</v>
      </c>
      <c r="H4531">
        <v>1.045701</v>
      </c>
      <c r="I4531">
        <v>136.57669999999999</v>
      </c>
      <c r="J4531">
        <v>-407.69650000000001</v>
      </c>
      <c r="K4531">
        <v>1.112074</v>
      </c>
      <c r="L4531">
        <v>137.2516</v>
      </c>
      <c r="M4531">
        <v>-0.85902140000000005</v>
      </c>
      <c r="N4531">
        <v>-2.3823799999999999E-3</v>
      </c>
      <c r="O4531">
        <v>-0.51193429999999995</v>
      </c>
      <c r="P4531">
        <v>-0.63905940000000006</v>
      </c>
      <c r="Q4531">
        <v>1.9124849999999999E-2</v>
      </c>
      <c r="R4531">
        <v>-0.76891969999999898</v>
      </c>
      <c r="S4531">
        <v>-1.528778</v>
      </c>
      <c r="T4531">
        <v>-0.22752710000000001</v>
      </c>
      <c r="U4531">
        <v>-2.6434479999999998</v>
      </c>
      <c r="V4531">
        <v>-0.33354230000000001</v>
      </c>
      <c r="W4531">
        <v>1.8358929999999999E-2</v>
      </c>
      <c r="X4531">
        <v>0.94255639999999996</v>
      </c>
      <c r="Y4531">
        <v>-0.48718519999999998</v>
      </c>
      <c r="Z4531">
        <v>1.9711530000000001E-2</v>
      </c>
      <c r="AA4531">
        <v>0.87307619999999897</v>
      </c>
      <c r="AB4531">
        <v>17</v>
      </c>
      <c r="AC4531">
        <v>-0.30169999999998198</v>
      </c>
      <c r="AD4531">
        <v>-6.6373000000000001E-2</v>
      </c>
      <c r="AE4531">
        <v>-0.67490000000000705</v>
      </c>
      <c r="AF4531">
        <v>-0.42190322415528497</v>
      </c>
      <c r="AG4531">
        <v>-6.6373000000000001E-2</v>
      </c>
      <c r="AH4531">
        <v>0.59983766071831301</v>
      </c>
      <c r="AI4531">
        <v>95.171529427741106</v>
      </c>
      <c r="AJ4531">
        <v>125.121110176607</v>
      </c>
      <c r="AK4531">
        <v>0.73635108806712701</v>
      </c>
      <c r="AL4531">
        <v>88.948051739590298</v>
      </c>
      <c r="AM4531">
        <v>109.487336614974</v>
      </c>
      <c r="AN4531">
        <v>1.0000000416904899</v>
      </c>
    </row>
    <row r="4532" spans="1:40" x14ac:dyDescent="0.25">
      <c r="A4532" t="str">
        <f>"20190305135326364"</f>
        <v>20190305135326364</v>
      </c>
      <c r="B4532" t="str">
        <f>"1551765206354118"</f>
        <v>1551765206354118</v>
      </c>
      <c r="C4532" t="s">
        <v>40</v>
      </c>
      <c r="D4532">
        <v>4.278378</v>
      </c>
      <c r="E4532">
        <v>0.43202639999999998</v>
      </c>
      <c r="F4532" t="s">
        <v>41</v>
      </c>
      <c r="G4532">
        <v>-408.12299999999999</v>
      </c>
      <c r="H4532">
        <v>1.0484020000000001</v>
      </c>
      <c r="I4532">
        <v>136.49770000000001</v>
      </c>
      <c r="J4532">
        <v>-407.8306</v>
      </c>
      <c r="K4532">
        <v>1.1121289999999999</v>
      </c>
      <c r="L4532">
        <v>137.16130000000001</v>
      </c>
      <c r="M4532">
        <v>-0.85492780000000002</v>
      </c>
      <c r="N4532">
        <v>-2.2795910000000001E-3</v>
      </c>
      <c r="O4532">
        <v>-0.51874189999999998</v>
      </c>
      <c r="P4532">
        <v>-0.63255509999999904</v>
      </c>
      <c r="Q4532">
        <v>1.8599839999999999E-2</v>
      </c>
      <c r="R4532">
        <v>-0.77429190000000003</v>
      </c>
      <c r="S4532">
        <v>-1.5032350000000001</v>
      </c>
      <c r="T4532">
        <v>-0.22444649999999999</v>
      </c>
      <c r="U4532">
        <v>-2.657791</v>
      </c>
      <c r="V4532">
        <v>-0.33400849999999999</v>
      </c>
      <c r="W4532">
        <v>1.7677640000000001E-2</v>
      </c>
      <c r="X4532">
        <v>0.94240429999999997</v>
      </c>
      <c r="Y4532">
        <v>-0.48863909999999999</v>
      </c>
      <c r="Z4532">
        <v>2.000584E-2</v>
      </c>
      <c r="AA4532">
        <v>0.87225659999999905</v>
      </c>
      <c r="AB4532">
        <v>17</v>
      </c>
      <c r="AC4532">
        <v>-0.29240000000004301</v>
      </c>
      <c r="AD4532">
        <v>-6.3727000000000006E-2</v>
      </c>
      <c r="AE4532">
        <v>-0.66360000000000197</v>
      </c>
      <c r="AF4532">
        <v>-0.41246566933940498</v>
      </c>
      <c r="AG4532">
        <v>-6.3727000000000006E-2</v>
      </c>
      <c r="AH4532">
        <v>0.58966571956032798</v>
      </c>
      <c r="AI4532">
        <v>95.060803953386895</v>
      </c>
      <c r="AJ4532">
        <v>124.97242997426299</v>
      </c>
      <c r="AK4532">
        <v>0.72242281230398897</v>
      </c>
      <c r="AL4532">
        <v>88.987093097298398</v>
      </c>
      <c r="AM4532">
        <v>109.515429354866</v>
      </c>
      <c r="AN4532">
        <v>1.0000000208433499</v>
      </c>
    </row>
    <row r="4533" spans="1:40" x14ac:dyDescent="0.25">
      <c r="A4533" t="str">
        <f>"20190305135326386"</f>
        <v>20190305135326386</v>
      </c>
      <c r="B4533" t="str">
        <f>"1551765206374615"</f>
        <v>1551765206374615</v>
      </c>
      <c r="C4533" t="s">
        <v>40</v>
      </c>
      <c r="D4533">
        <v>4.3081750000000003</v>
      </c>
      <c r="E4533">
        <v>0.43269200000000002</v>
      </c>
      <c r="F4533" t="s">
        <v>41</v>
      </c>
      <c r="G4533">
        <v>-408.24619999999999</v>
      </c>
      <c r="H4533">
        <v>1.0487679999999999</v>
      </c>
      <c r="I4533">
        <v>136.41399999999999</v>
      </c>
      <c r="J4533">
        <v>-407.96769999999998</v>
      </c>
      <c r="K4533">
        <v>1.1121920000000001</v>
      </c>
      <c r="L4533">
        <v>137.06729999999999</v>
      </c>
      <c r="M4533">
        <v>-0.85066239999999904</v>
      </c>
      <c r="N4533">
        <v>-2.1915910000000001E-3</v>
      </c>
      <c r="O4533">
        <v>-0.52570779999999995</v>
      </c>
      <c r="P4533">
        <v>-0.62633329999999998</v>
      </c>
      <c r="Q4533">
        <v>1.876597E-2</v>
      </c>
      <c r="R4533">
        <v>-0.77932959999999996</v>
      </c>
      <c r="S4533">
        <v>-1.484192</v>
      </c>
      <c r="T4533">
        <v>-0.22621369999999999</v>
      </c>
      <c r="U4533">
        <v>-2.6674039999999999</v>
      </c>
      <c r="V4533">
        <v>-0.33385949999999998</v>
      </c>
      <c r="W4533">
        <v>1.7707199999999999E-2</v>
      </c>
      <c r="X4533">
        <v>0.94245650000000003</v>
      </c>
      <c r="Y4533">
        <v>-0.487618</v>
      </c>
      <c r="Z4533">
        <v>2.0873059999999999E-2</v>
      </c>
      <c r="AA4533">
        <v>0.87280749999999996</v>
      </c>
      <c r="AB4533">
        <v>17</v>
      </c>
      <c r="AC4533">
        <v>-0.27850000000000802</v>
      </c>
      <c r="AD4533">
        <v>-6.3424000000000105E-2</v>
      </c>
      <c r="AE4533">
        <v>-0.65330000000000099</v>
      </c>
      <c r="AF4533">
        <v>-0.40609028620825</v>
      </c>
      <c r="AG4533">
        <v>-6.3424000000000105E-2</v>
      </c>
      <c r="AH4533">
        <v>0.57576370730006499</v>
      </c>
      <c r="AI4533">
        <v>95.143818488859495</v>
      </c>
      <c r="AJ4533">
        <v>125.195592278858</v>
      </c>
      <c r="AK4533">
        <v>0.70741485068707299</v>
      </c>
      <c r="AL4533">
        <v>88.985399130077695</v>
      </c>
      <c r="AM4533">
        <v>109.506382184459</v>
      </c>
      <c r="AN4533">
        <v>0.99999998253216904</v>
      </c>
    </row>
    <row r="4534" spans="1:40" x14ac:dyDescent="0.25">
      <c r="A4534" t="str">
        <f>"20190305135326410"</f>
        <v>20190305135326410</v>
      </c>
      <c r="B4534" t="str">
        <f>"1551765206404871"</f>
        <v>1551765206404871</v>
      </c>
      <c r="C4534" t="s">
        <v>40</v>
      </c>
      <c r="D4534">
        <v>4.2293059999999896</v>
      </c>
      <c r="E4534">
        <v>0.43357790000000002</v>
      </c>
      <c r="F4534" t="s">
        <v>41</v>
      </c>
      <c r="G4534">
        <v>-408.44470000000001</v>
      </c>
      <c r="H4534">
        <v>1.038867</v>
      </c>
      <c r="I4534">
        <v>136.19649999999999</v>
      </c>
      <c r="J4534">
        <v>-408.10910000000001</v>
      </c>
      <c r="K4534">
        <v>1.1122559999999999</v>
      </c>
      <c r="L4534">
        <v>136.96850000000001</v>
      </c>
      <c r="M4534">
        <v>-0.84618309999999997</v>
      </c>
      <c r="N4534">
        <v>-2.1133300000000001E-3</v>
      </c>
      <c r="O4534">
        <v>-0.53288829999999998</v>
      </c>
      <c r="P4534">
        <v>-0.6204906</v>
      </c>
      <c r="Q4534">
        <v>1.9546810000000001E-2</v>
      </c>
      <c r="R4534">
        <v>-0.78397039999999996</v>
      </c>
      <c r="S4534">
        <v>-1.466858</v>
      </c>
      <c r="T4534">
        <v>-0.22541140000000001</v>
      </c>
      <c r="U4534">
        <v>-2.6760250000000001</v>
      </c>
      <c r="V4534">
        <v>-0.33292110000000003</v>
      </c>
      <c r="W4534">
        <v>1.8366090000000002E-2</v>
      </c>
      <c r="X4534">
        <v>0.94277580000000005</v>
      </c>
      <c r="Y4534">
        <v>-0.48577979999999998</v>
      </c>
      <c r="Z4534">
        <v>2.1532559999999999E-2</v>
      </c>
      <c r="AA4534">
        <v>0.87381600000000004</v>
      </c>
      <c r="AB4534">
        <v>17</v>
      </c>
      <c r="AC4534">
        <v>-0.33559999999999901</v>
      </c>
      <c r="AD4534">
        <v>-7.3388999999999899E-2</v>
      </c>
      <c r="AE4534">
        <v>-0.772000000000019</v>
      </c>
      <c r="AF4534">
        <v>-0.47083833805676001</v>
      </c>
      <c r="AG4534">
        <v>-7.3388999999999899E-2</v>
      </c>
      <c r="AH4534">
        <v>0.69012484872208701</v>
      </c>
      <c r="AI4534">
        <v>95.020241655830702</v>
      </c>
      <c r="AJ4534">
        <v>124.303800703444</v>
      </c>
      <c r="AK4534">
        <v>0.83865785200446097</v>
      </c>
      <c r="AL4534">
        <v>88.947641378849795</v>
      </c>
      <c r="AM4534">
        <v>109.449583427894</v>
      </c>
      <c r="AN4534">
        <v>0.99999999057636901</v>
      </c>
    </row>
    <row r="4535" spans="1:40" x14ac:dyDescent="0.25">
      <c r="A4535" t="str">
        <f>"20190305135326432"</f>
        <v>20190305135326432</v>
      </c>
      <c r="B4535" t="str">
        <f>"1551765206424390"</f>
        <v>1551765206424390</v>
      </c>
      <c r="C4535" t="s">
        <v>40</v>
      </c>
      <c r="D4535">
        <v>4.2998900000000004</v>
      </c>
      <c r="E4535">
        <v>0.43422430000000001</v>
      </c>
      <c r="F4535" t="s">
        <v>41</v>
      </c>
      <c r="G4535">
        <v>-408.5729</v>
      </c>
      <c r="H4535">
        <v>1.041077</v>
      </c>
      <c r="I4535">
        <v>136.11279999999999</v>
      </c>
      <c r="J4535">
        <v>-408.25540000000001</v>
      </c>
      <c r="K4535">
        <v>1.112309</v>
      </c>
      <c r="L4535">
        <v>136.86449999999999</v>
      </c>
      <c r="M4535">
        <v>-0.84146790000000005</v>
      </c>
      <c r="N4535">
        <v>-2.0409009999999999E-3</v>
      </c>
      <c r="O4535">
        <v>-0.54030339999999999</v>
      </c>
      <c r="P4535">
        <v>-0.61427129999999996</v>
      </c>
      <c r="Q4535">
        <v>2.0486250000000001E-2</v>
      </c>
      <c r="R4535">
        <v>-0.78882929999999996</v>
      </c>
      <c r="S4535">
        <v>-1.4529110000000001</v>
      </c>
      <c r="T4535">
        <v>-0.22304930000000001</v>
      </c>
      <c r="U4535">
        <v>-2.6822509999999999</v>
      </c>
      <c r="V4535">
        <v>-0.3320842</v>
      </c>
      <c r="W4535">
        <v>1.9187050000000001E-2</v>
      </c>
      <c r="X4535">
        <v>0.94305459999999997</v>
      </c>
      <c r="Y4535">
        <v>-0.48247960000000001</v>
      </c>
      <c r="Z4535">
        <v>2.209904E-2</v>
      </c>
      <c r="AA4535">
        <v>0.87562839999999997</v>
      </c>
      <c r="AB4535">
        <v>17</v>
      </c>
      <c r="AC4535">
        <v>-0.31749999999999501</v>
      </c>
      <c r="AD4535">
        <v>-7.1231999999999907E-2</v>
      </c>
      <c r="AE4535">
        <v>-0.75169999999999904</v>
      </c>
      <c r="AF4535">
        <v>-0.45749976296275502</v>
      </c>
      <c r="AG4535">
        <v>-7.1231999999999907E-2</v>
      </c>
      <c r="AH4535">
        <v>0.66822147441303403</v>
      </c>
      <c r="AI4535">
        <v>95.026748823385802</v>
      </c>
      <c r="AJ4535">
        <v>124.39760480895499</v>
      </c>
      <c r="AK4535">
        <v>0.81295754489500005</v>
      </c>
      <c r="AL4535">
        <v>88.900595570873094</v>
      </c>
      <c r="AM4535">
        <v>109.39904060165701</v>
      </c>
      <c r="AN4535">
        <v>1.0000000186792499</v>
      </c>
    </row>
    <row r="4536" spans="1:40" x14ac:dyDescent="0.25">
      <c r="A4536" t="str">
        <f>"20190305135326454"</f>
        <v>20190305135326454</v>
      </c>
      <c r="B4536" t="str">
        <f>"1551765206444888"</f>
        <v>1551765206444888</v>
      </c>
      <c r="C4536" t="s">
        <v>40</v>
      </c>
      <c r="D4536">
        <v>4.2948690000000003</v>
      </c>
      <c r="E4536">
        <v>0.43482569999999998</v>
      </c>
      <c r="F4536" t="s">
        <v>41</v>
      </c>
      <c r="G4536">
        <v>-408.702</v>
      </c>
      <c r="H4536">
        <v>1.0439529999999999</v>
      </c>
      <c r="I4536">
        <v>136.0275</v>
      </c>
      <c r="J4536">
        <v>-408.39519999999999</v>
      </c>
      <c r="K4536">
        <v>1.112352</v>
      </c>
      <c r="L4536">
        <v>136.76339999999999</v>
      </c>
      <c r="M4536">
        <v>-0.83688770000000001</v>
      </c>
      <c r="N4536">
        <v>-1.9751970000000002E-3</v>
      </c>
      <c r="O4536">
        <v>-0.54737130000000001</v>
      </c>
      <c r="P4536">
        <v>-0.6077804</v>
      </c>
      <c r="Q4536">
        <v>2.0672139999999999E-2</v>
      </c>
      <c r="R4536">
        <v>-0.79383619999999899</v>
      </c>
      <c r="S4536">
        <v>-1.4361269999999999</v>
      </c>
      <c r="T4536">
        <v>-0.2197866</v>
      </c>
      <c r="U4536">
        <v>-2.6905209999999999</v>
      </c>
      <c r="V4536">
        <v>-0.33187729999999999</v>
      </c>
      <c r="W4536">
        <v>1.9258089999999999E-2</v>
      </c>
      <c r="X4536">
        <v>0.94312600000000002</v>
      </c>
      <c r="Y4536">
        <v>-0.4804889</v>
      </c>
      <c r="Z4536">
        <v>2.2465280000000001E-2</v>
      </c>
      <c r="AA4536">
        <v>0.87671299999999996</v>
      </c>
      <c r="AB4536">
        <v>18</v>
      </c>
      <c r="AC4536">
        <v>-0.30680000000000901</v>
      </c>
      <c r="AD4536">
        <v>-6.8398999999999793E-2</v>
      </c>
      <c r="AE4536">
        <v>-0.73589999999998601</v>
      </c>
      <c r="AF4536">
        <v>-0.444660359573544</v>
      </c>
      <c r="AG4536">
        <v>-6.8398999999999793E-2</v>
      </c>
      <c r="AH4536">
        <v>0.65475007460426604</v>
      </c>
      <c r="AI4536">
        <v>94.939258000534196</v>
      </c>
      <c r="AJ4536">
        <v>124.18159885894001</v>
      </c>
      <c r="AK4536">
        <v>0.79441734546229903</v>
      </c>
      <c r="AL4536">
        <v>88.896524543559494</v>
      </c>
      <c r="AM4536">
        <v>109.38649800045199</v>
      </c>
      <c r="AN4536">
        <v>1.0000000340808599</v>
      </c>
    </row>
    <row r="4537" spans="1:40" x14ac:dyDescent="0.25">
      <c r="A4537" t="str">
        <f>"20190305135326475"</f>
        <v>20190305135326475</v>
      </c>
      <c r="B4537" t="str">
        <f>"1551765206464407"</f>
        <v>1551765206464407</v>
      </c>
      <c r="C4537" t="s">
        <v>40</v>
      </c>
      <c r="D4537">
        <v>4.3070170000000001</v>
      </c>
      <c r="E4537">
        <v>0.43540580000000001</v>
      </c>
      <c r="F4537" t="s">
        <v>41</v>
      </c>
      <c r="G4537">
        <v>-408.82920000000001</v>
      </c>
      <c r="H4537">
        <v>1.0452999999999999</v>
      </c>
      <c r="I4537">
        <v>135.9375</v>
      </c>
      <c r="J4537">
        <v>-408.53219999999999</v>
      </c>
      <c r="K4537">
        <v>1.112382</v>
      </c>
      <c r="L4537">
        <v>136.6627</v>
      </c>
      <c r="M4537">
        <v>-0.83232969999999895</v>
      </c>
      <c r="N4537">
        <v>-1.904918E-3</v>
      </c>
      <c r="O4537">
        <v>-0.55427760000000004</v>
      </c>
      <c r="P4537">
        <v>-0.60020419999999997</v>
      </c>
      <c r="Q4537">
        <v>2.0450059999999999E-2</v>
      </c>
      <c r="R4537">
        <v>-0.79958530000000005</v>
      </c>
      <c r="S4537">
        <v>-1.417664</v>
      </c>
      <c r="T4537">
        <v>-0.21908130000000001</v>
      </c>
      <c r="U4537">
        <v>-2.6994479999999998</v>
      </c>
      <c r="V4537">
        <v>-0.3330458</v>
      </c>
      <c r="W4537">
        <v>1.890768E-2</v>
      </c>
      <c r="X4537">
        <v>0.94272109999999998</v>
      </c>
      <c r="Y4537">
        <v>-0.47914020000000002</v>
      </c>
      <c r="Z4537">
        <v>2.3066E-2</v>
      </c>
      <c r="AA4537">
        <v>0.87743530000000003</v>
      </c>
      <c r="AB4537">
        <v>18</v>
      </c>
      <c r="AC4537">
        <v>-0.29700000000002502</v>
      </c>
      <c r="AD4537">
        <v>-6.7082000000000003E-2</v>
      </c>
      <c r="AE4537">
        <v>-0.72520000000000095</v>
      </c>
      <c r="AF4537">
        <v>-0.43579257352374801</v>
      </c>
      <c r="AG4537">
        <v>-6.7082000000000003E-2</v>
      </c>
      <c r="AH4537">
        <v>0.64444305169719196</v>
      </c>
      <c r="AI4537">
        <v>94.928313902367194</v>
      </c>
      <c r="AJ4537">
        <v>124.067788966866</v>
      </c>
      <c r="AK4537">
        <v>0.78084698164444599</v>
      </c>
      <c r="AL4537">
        <v>88.916605218801394</v>
      </c>
      <c r="AM4537">
        <v>109.457365461469</v>
      </c>
      <c r="AN4537">
        <v>1.00000003882291</v>
      </c>
    </row>
    <row r="4538" spans="1:40" x14ac:dyDescent="0.25">
      <c r="A4538" t="str">
        <f>"20190305135326498"</f>
        <v>20190305135326498</v>
      </c>
      <c r="B4538" t="str">
        <f>"1551765206484903"</f>
        <v>1551765206484903</v>
      </c>
      <c r="C4538" t="s">
        <v>40</v>
      </c>
      <c r="D4538">
        <v>4.2859259999999999</v>
      </c>
      <c r="E4538">
        <v>0.43600410000000001</v>
      </c>
      <c r="F4538" t="s">
        <v>41</v>
      </c>
      <c r="G4538">
        <v>-408.95440000000002</v>
      </c>
      <c r="H4538">
        <v>1.045777</v>
      </c>
      <c r="I4538">
        <v>135.84309999999999</v>
      </c>
      <c r="J4538">
        <v>-408.67840000000001</v>
      </c>
      <c r="K4538">
        <v>1.1124019999999999</v>
      </c>
      <c r="L4538">
        <v>136.55330000000001</v>
      </c>
      <c r="M4538">
        <v>-0.82739390000000002</v>
      </c>
      <c r="N4538">
        <v>-1.8149189999999999E-3</v>
      </c>
      <c r="O4538">
        <v>-0.56161930000000004</v>
      </c>
      <c r="P4538">
        <v>-0.59125830000000001</v>
      </c>
      <c r="Q4538">
        <v>2.0869039999999998E-2</v>
      </c>
      <c r="R4538">
        <v>-0.80621229999999999</v>
      </c>
      <c r="S4538">
        <v>-1.3962399999999999</v>
      </c>
      <c r="T4538">
        <v>-0.22020670000000001</v>
      </c>
      <c r="U4538">
        <v>-2.7095180000000001</v>
      </c>
      <c r="V4538">
        <v>-0.33520539999999999</v>
      </c>
      <c r="W4538">
        <v>1.9173229999999999E-2</v>
      </c>
      <c r="X4538">
        <v>0.94194999999999995</v>
      </c>
      <c r="Y4538">
        <v>-0.47819990000000001</v>
      </c>
      <c r="Z4538">
        <v>2.3912030000000001E-2</v>
      </c>
      <c r="AA4538">
        <v>0.87792549999999903</v>
      </c>
      <c r="AB4538">
        <v>18</v>
      </c>
      <c r="AC4538">
        <v>-0.27600000000001002</v>
      </c>
      <c r="AD4538">
        <v>-6.6625000000000101E-2</v>
      </c>
      <c r="AE4538">
        <v>-0.71020000000001404</v>
      </c>
      <c r="AF4538">
        <v>-0.429326314512947</v>
      </c>
      <c r="AG4538">
        <v>-6.6625000000000101E-2</v>
      </c>
      <c r="AH4538">
        <v>0.62246442781994404</v>
      </c>
      <c r="AI4538">
        <v>95.0352859048634</v>
      </c>
      <c r="AJ4538">
        <v>124.594815063387</v>
      </c>
      <c r="AK4538">
        <v>0.75909283942050199</v>
      </c>
      <c r="AL4538">
        <v>88.901387565139004</v>
      </c>
      <c r="AM4538">
        <v>109.588775937506</v>
      </c>
      <c r="AN4538">
        <v>1.00000003771889</v>
      </c>
    </row>
    <row r="4539" spans="1:40" x14ac:dyDescent="0.25">
      <c r="A4539" t="str">
        <f>"20190305135326521"</f>
        <v>20190305135326521</v>
      </c>
      <c r="B4539" t="str">
        <f>"1551765206514182"</f>
        <v>1551765206514182</v>
      </c>
      <c r="C4539" t="s">
        <v>40</v>
      </c>
      <c r="D4539">
        <v>4.5229480000000004</v>
      </c>
      <c r="E4539">
        <v>0.43638440000000001</v>
      </c>
      <c r="F4539" t="s">
        <v>41</v>
      </c>
      <c r="G4539">
        <v>-409.08330000000001</v>
      </c>
      <c r="H4539">
        <v>1.04765</v>
      </c>
      <c r="I4539">
        <v>135.74940000000001</v>
      </c>
      <c r="J4539">
        <v>-408.822</v>
      </c>
      <c r="K4539">
        <v>1.1124080000000001</v>
      </c>
      <c r="L4539">
        <v>136.44399999999999</v>
      </c>
      <c r="M4539">
        <v>-0.82248849999999996</v>
      </c>
      <c r="N4539">
        <v>-1.70988E-3</v>
      </c>
      <c r="O4539">
        <v>-0.56877929999999999</v>
      </c>
      <c r="P4539">
        <v>-0.58332799999999996</v>
      </c>
      <c r="Q4539">
        <v>1.936703E-2</v>
      </c>
      <c r="R4539">
        <v>-0.81200600000000001</v>
      </c>
      <c r="S4539">
        <v>-1.370239</v>
      </c>
      <c r="T4539">
        <v>-0.2191979</v>
      </c>
      <c r="U4539">
        <v>-2.7218930000000001</v>
      </c>
      <c r="V4539">
        <v>-0.3362791</v>
      </c>
      <c r="W4539">
        <v>1.7524120000000001E-2</v>
      </c>
      <c r="X4539">
        <v>0.94159930000000003</v>
      </c>
      <c r="Y4539">
        <v>-0.47888330000000001</v>
      </c>
      <c r="Z4539">
        <v>2.4452209999999999E-2</v>
      </c>
      <c r="AA4539">
        <v>0.87753799999999904</v>
      </c>
      <c r="AB4539">
        <v>18</v>
      </c>
      <c r="AC4539">
        <v>-0.26130000000006198</v>
      </c>
      <c r="AD4539">
        <v>-6.4758000000000093E-2</v>
      </c>
      <c r="AE4539">
        <v>-0.69459999999997901</v>
      </c>
      <c r="AF4539">
        <v>-0.41948494763133698</v>
      </c>
      <c r="AG4539">
        <v>-6.4758000000000093E-2</v>
      </c>
      <c r="AH4539">
        <v>0.605381584802275</v>
      </c>
      <c r="AI4539">
        <v>95.024802468434103</v>
      </c>
      <c r="AJ4539">
        <v>124.719114531432</v>
      </c>
      <c r="AK4539">
        <v>0.73935653312253902</v>
      </c>
      <c r="AL4539">
        <v>88.995890471803705</v>
      </c>
      <c r="AM4539">
        <v>109.65348060221601</v>
      </c>
      <c r="AN4539">
        <v>0.999999984819537</v>
      </c>
    </row>
    <row r="4540" spans="1:40" x14ac:dyDescent="0.25">
      <c r="A4540" t="str">
        <f>"20190305135326543"</f>
        <v>20190305135326543</v>
      </c>
      <c r="B4540" t="str">
        <f>"1551765206534678"</f>
        <v>1551765206534678</v>
      </c>
      <c r="C4540" t="s">
        <v>40</v>
      </c>
      <c r="D4540">
        <v>4.2798790000000002</v>
      </c>
      <c r="E4540">
        <v>0.4370194</v>
      </c>
      <c r="F4540" t="s">
        <v>41</v>
      </c>
      <c r="G4540">
        <v>-409.21199999999999</v>
      </c>
      <c r="H4540">
        <v>1.0469219999999999</v>
      </c>
      <c r="I4540">
        <v>135.6516</v>
      </c>
      <c r="J4540">
        <v>-408.97030000000001</v>
      </c>
      <c r="K4540">
        <v>1.112387</v>
      </c>
      <c r="L4540">
        <v>136.32939999999999</v>
      </c>
      <c r="M4540">
        <v>-0.81737599999999999</v>
      </c>
      <c r="N4540">
        <v>-1.5880720000000001E-3</v>
      </c>
      <c r="O4540">
        <v>-0.57610260000000002</v>
      </c>
      <c r="P4540">
        <v>-0.57599309999999904</v>
      </c>
      <c r="Q4540">
        <v>1.7554609999999998E-2</v>
      </c>
      <c r="R4540">
        <v>-0.81726650000000001</v>
      </c>
      <c r="S4540">
        <v>-1.3454280000000001</v>
      </c>
      <c r="T4540">
        <v>-0.22588530000000001</v>
      </c>
      <c r="U4540">
        <v>-2.7334749999999999</v>
      </c>
      <c r="V4540">
        <v>-0.3363623</v>
      </c>
      <c r="W4540">
        <v>1.556841E-2</v>
      </c>
      <c r="X4540">
        <v>0.941604</v>
      </c>
      <c r="Y4540">
        <v>-0.47894379999999998</v>
      </c>
      <c r="Z4540">
        <v>2.5963030000000002E-2</v>
      </c>
      <c r="AA4540">
        <v>0.87746159999999995</v>
      </c>
      <c r="AB4540">
        <v>18</v>
      </c>
      <c r="AC4540">
        <v>-0.24169999999997999</v>
      </c>
      <c r="AD4540">
        <v>-6.5465000000000106E-2</v>
      </c>
      <c r="AE4540">
        <v>-0.67779999999998997</v>
      </c>
      <c r="AF4540">
        <v>-0.41136935994303397</v>
      </c>
      <c r="AG4540">
        <v>-6.5465000000000106E-2</v>
      </c>
      <c r="AH4540">
        <v>0.58321599074934605</v>
      </c>
      <c r="AI4540">
        <v>95.240869991016496</v>
      </c>
      <c r="AJ4540">
        <v>125.19709622398</v>
      </c>
      <c r="AK4540">
        <v>0.71669471073162205</v>
      </c>
      <c r="AL4540">
        <v>89.107959805053198</v>
      </c>
      <c r="AM4540">
        <v>109.657879866326</v>
      </c>
      <c r="AN4540">
        <v>1.0000000325336</v>
      </c>
    </row>
    <row r="4541" spans="1:40" x14ac:dyDescent="0.25">
      <c r="A4541" t="str">
        <f>"20190305135326564"</f>
        <v>20190305135326564</v>
      </c>
      <c r="B4541" t="str">
        <f>"1551765206554199"</f>
        <v>1551765206554199</v>
      </c>
      <c r="C4541" t="s">
        <v>40</v>
      </c>
      <c r="D4541">
        <v>4.2936110000000003</v>
      </c>
      <c r="E4541">
        <v>0.43763459999999899</v>
      </c>
      <c r="F4541" t="s">
        <v>41</v>
      </c>
      <c r="G4541">
        <v>-409.35410000000002</v>
      </c>
      <c r="H4541">
        <v>1.045598</v>
      </c>
      <c r="I4541">
        <v>135.53489999999999</v>
      </c>
      <c r="J4541">
        <v>-409.11099999999999</v>
      </c>
      <c r="K4541">
        <v>1.1123609999999999</v>
      </c>
      <c r="L4541">
        <v>136.21879999999999</v>
      </c>
      <c r="M4541">
        <v>-0.81249930000000004</v>
      </c>
      <c r="N4541">
        <v>-1.466106E-3</v>
      </c>
      <c r="O4541">
        <v>-0.58296020000000004</v>
      </c>
      <c r="P4541">
        <v>-0.56920729999999997</v>
      </c>
      <c r="Q4541">
        <v>1.5979380000000001E-2</v>
      </c>
      <c r="R4541">
        <v>-0.82203890000000002</v>
      </c>
      <c r="S4541">
        <v>-1.3244929999999999</v>
      </c>
      <c r="T4541">
        <v>-0.2304958</v>
      </c>
      <c r="U4541">
        <v>-2.7423099999999998</v>
      </c>
      <c r="V4541">
        <v>-0.33624359999999998</v>
      </c>
      <c r="W4541">
        <v>1.385961E-2</v>
      </c>
      <c r="X4541">
        <v>0.94167299999999998</v>
      </c>
      <c r="Y4541">
        <v>-0.47811239999999999</v>
      </c>
      <c r="Z4541">
        <v>2.7258020000000001E-2</v>
      </c>
      <c r="AA4541">
        <v>0.87787559999999998</v>
      </c>
      <c r="AB4541">
        <v>19</v>
      </c>
      <c r="AC4541">
        <v>-0.24310000000002599</v>
      </c>
      <c r="AD4541">
        <v>-6.67630000000001E-2</v>
      </c>
      <c r="AE4541">
        <v>-0.68389999999999396</v>
      </c>
      <c r="AF4541">
        <v>-0.410478142715474</v>
      </c>
      <c r="AG4541">
        <v>-6.67630000000001E-2</v>
      </c>
      <c r="AH4541">
        <v>0.59120368077042795</v>
      </c>
      <c r="AI4541">
        <v>95.2996436043248</v>
      </c>
      <c r="AJ4541">
        <v>124.772602446929</v>
      </c>
      <c r="AK4541">
        <v>0.72282182864980504</v>
      </c>
      <c r="AL4541">
        <v>89.205877371079595</v>
      </c>
      <c r="AM4541">
        <v>109.65014455077601</v>
      </c>
      <c r="AN4541">
        <v>0.99999994312965401</v>
      </c>
    </row>
    <row r="4542" spans="1:40" x14ac:dyDescent="0.25">
      <c r="A4542" t="str">
        <f>"20190305135326607"</f>
        <v>20190305135326607</v>
      </c>
      <c r="B4542" t="str">
        <f>"1551765206604950"</f>
        <v>1551765206604950</v>
      </c>
      <c r="C4542" t="s">
        <v>40</v>
      </c>
      <c r="D4542">
        <v>4.3578749999999999</v>
      </c>
      <c r="E4542">
        <v>0.4693677</v>
      </c>
      <c r="F4542" t="s">
        <v>41</v>
      </c>
      <c r="G4542">
        <v>-409.49380000000002</v>
      </c>
      <c r="H4542">
        <v>1.0435490000000001</v>
      </c>
      <c r="I4542">
        <v>135.41239999999999</v>
      </c>
      <c r="J4542">
        <v>-409.38560000000001</v>
      </c>
      <c r="K4542">
        <v>1.1123240000000001</v>
      </c>
      <c r="L4542">
        <v>135.99789999999999</v>
      </c>
      <c r="M4542">
        <v>-0.80295319999999903</v>
      </c>
      <c r="N4542">
        <v>-1.232927E-3</v>
      </c>
      <c r="O4542">
        <v>-0.59604099999999904</v>
      </c>
      <c r="P4542">
        <v>-0.55628949999999999</v>
      </c>
      <c r="Q4542">
        <v>1.51764E-2</v>
      </c>
      <c r="R4542">
        <v>-0.83085030000000004</v>
      </c>
      <c r="S4542">
        <v>-1.30545</v>
      </c>
      <c r="T4542">
        <v>-0.23462949999999999</v>
      </c>
      <c r="U4542">
        <v>-2.750092</v>
      </c>
      <c r="V4542">
        <v>-0.33571570000000001</v>
      </c>
      <c r="W4542">
        <v>1.2816859999999999E-2</v>
      </c>
      <c r="X4542">
        <v>0.94187619999999905</v>
      </c>
      <c r="Y4542">
        <v>-0.46983999999999998</v>
      </c>
      <c r="Z4542">
        <v>2.9453480000000001E-2</v>
      </c>
      <c r="AA4542">
        <v>0.88226009999999999</v>
      </c>
      <c r="AB4542">
        <v>19</v>
      </c>
      <c r="AC4542">
        <v>-0.10820000000001</v>
      </c>
      <c r="AD4542">
        <v>-6.8774999999999795E-2</v>
      </c>
      <c r="AE4542">
        <v>-0.58549999999999602</v>
      </c>
      <c r="AF4542">
        <v>-0.40029692945071599</v>
      </c>
      <c r="AG4542">
        <v>-6.8774999999999795E-2</v>
      </c>
      <c r="AH4542">
        <v>0.43012308525915799</v>
      </c>
      <c r="AI4542">
        <v>96.676038087973396</v>
      </c>
      <c r="AJ4542">
        <v>132.942994464523</v>
      </c>
      <c r="AK4542">
        <v>0.59158558199598599</v>
      </c>
      <c r="AL4542">
        <v>89.265627937439803</v>
      </c>
      <c r="AM4542">
        <v>109.617741800253</v>
      </c>
      <c r="AN4542">
        <v>1.00000003962659</v>
      </c>
    </row>
    <row r="4543" spans="1:40" x14ac:dyDescent="0.25">
      <c r="A4543" t="str">
        <f>"20190305135326634"</f>
        <v>20190305135326634</v>
      </c>
      <c r="B4543" t="str">
        <f>"1551765206624470"</f>
        <v>1551765206624470</v>
      </c>
      <c r="C4543" t="s">
        <v>40</v>
      </c>
      <c r="D4543">
        <v>4.3403099999999997</v>
      </c>
      <c r="E4543">
        <v>0.47409069999999998</v>
      </c>
      <c r="F4543" t="s">
        <v>78</v>
      </c>
      <c r="G4543">
        <v>-416.87779999999998</v>
      </c>
      <c r="H4543" s="1">
        <v>-2.3335939999999998E-6</v>
      </c>
      <c r="I4543">
        <v>122.613</v>
      </c>
      <c r="J4543">
        <v>-409.56220000000002</v>
      </c>
      <c r="K4543">
        <v>1.1123289999999999</v>
      </c>
      <c r="L4543">
        <v>135.85210000000001</v>
      </c>
      <c r="M4543">
        <v>-0.79679699999999998</v>
      </c>
      <c r="N4543">
        <v>-1.1023459999999999E-3</v>
      </c>
      <c r="O4543">
        <v>-0.60424619999999996</v>
      </c>
      <c r="P4543">
        <v>-0.55099489999999995</v>
      </c>
      <c r="Q4543">
        <v>1.4339920000000001E-2</v>
      </c>
      <c r="R4543">
        <v>-0.83438559999999995</v>
      </c>
      <c r="S4543">
        <v>-1.4718020000000001</v>
      </c>
      <c r="T4543">
        <v>-0.21850919999999999</v>
      </c>
      <c r="U4543">
        <v>-2.6293790000000001</v>
      </c>
      <c r="V4543">
        <v>-0.3320437</v>
      </c>
      <c r="W4543">
        <v>1.187184E-2</v>
      </c>
      <c r="X4543">
        <v>0.94318930000000001</v>
      </c>
      <c r="Y4543">
        <v>-0.40037299999999998</v>
      </c>
      <c r="Z4543">
        <v>3.0839370000000001E-2</v>
      </c>
      <c r="AA4543">
        <v>0.91583320000000001</v>
      </c>
      <c r="AB4543">
        <v>19</v>
      </c>
      <c r="AC4543">
        <v>-7.3155999999999599</v>
      </c>
      <c r="AD4543">
        <v>-1.1123313335939999</v>
      </c>
      <c r="AE4543">
        <v>-13.239100000000001</v>
      </c>
      <c r="AF4543">
        <v>-6.0954911897235204</v>
      </c>
      <c r="AG4543">
        <v>-1.1123313335939999</v>
      </c>
      <c r="AH4543">
        <v>13.7543493779581</v>
      </c>
      <c r="AI4543">
        <v>94.2285298201448</v>
      </c>
      <c r="AJ4543">
        <v>113.901401487481</v>
      </c>
      <c r="AK4543">
        <v>15.085569947822</v>
      </c>
      <c r="AL4543">
        <v>89.3197776988968</v>
      </c>
      <c r="AM4543">
        <v>109.394288113565</v>
      </c>
      <c r="AN4543">
        <v>1.0000000074645801</v>
      </c>
    </row>
    <row r="4544" spans="1:40" x14ac:dyDescent="0.25">
      <c r="A4544" t="str">
        <f>"20190305135326656"</f>
        <v>20190305135326656</v>
      </c>
      <c r="B4544" t="str">
        <f>"1551765206643990"</f>
        <v>1551765206643990</v>
      </c>
      <c r="C4544" t="s">
        <v>40</v>
      </c>
      <c r="D4544">
        <v>4.3246359999999999</v>
      </c>
      <c r="E4544">
        <v>0.47624660000000002</v>
      </c>
      <c r="F4544" t="s">
        <v>78</v>
      </c>
      <c r="G4544">
        <v>-417.56130000000002</v>
      </c>
      <c r="H4544" s="1">
        <v>-1.6958130000000001E-6</v>
      </c>
      <c r="I4544">
        <v>121.7593</v>
      </c>
      <c r="J4544">
        <v>-409.7199</v>
      </c>
      <c r="K4544">
        <v>1.112363</v>
      </c>
      <c r="L4544">
        <v>135.71979999999999</v>
      </c>
      <c r="M4544">
        <v>-0.79126819999999998</v>
      </c>
      <c r="N4544">
        <v>-1.003103E-3</v>
      </c>
      <c r="O4544">
        <v>-0.61146859999999903</v>
      </c>
      <c r="P4544">
        <v>-0.54486689999999904</v>
      </c>
      <c r="Q4544">
        <v>1.41429E-2</v>
      </c>
      <c r="R4544">
        <v>-0.83840360000000003</v>
      </c>
      <c r="S4544">
        <v>-1.48587</v>
      </c>
      <c r="T4544">
        <v>-0.2066209</v>
      </c>
      <c r="U4544">
        <v>-2.6178129999999999</v>
      </c>
      <c r="V4544">
        <v>-0.33037529999999998</v>
      </c>
      <c r="W4544">
        <v>1.1564299999999901E-2</v>
      </c>
      <c r="X4544">
        <v>0.94377880000000003</v>
      </c>
      <c r="Y4544">
        <v>-0.38654759999999999</v>
      </c>
      <c r="Z4544">
        <v>3.0227529999999999E-2</v>
      </c>
      <c r="AA4544">
        <v>0.92177399999999998</v>
      </c>
      <c r="AB4544">
        <v>20</v>
      </c>
      <c r="AC4544">
        <v>-7.8414000000000197</v>
      </c>
      <c r="AD4544">
        <v>-1.112364695813</v>
      </c>
      <c r="AE4544">
        <v>-13.9604999999999</v>
      </c>
      <c r="AF4544">
        <v>-6.2217051160421599</v>
      </c>
      <c r="AG4544">
        <v>-1.112364695813</v>
      </c>
      <c r="AH4544">
        <v>14.670262090090599</v>
      </c>
      <c r="AI4544">
        <v>93.993117873097304</v>
      </c>
      <c r="AJ4544">
        <v>112.981956283846</v>
      </c>
      <c r="AK4544">
        <v>15.973839850187099</v>
      </c>
      <c r="AL4544">
        <v>89.337399646238893</v>
      </c>
      <c r="AM4544">
        <v>109.292897460022</v>
      </c>
      <c r="AN4544">
        <v>0.99999999760700997</v>
      </c>
    </row>
    <row r="4545" spans="1:40" x14ac:dyDescent="0.25">
      <c r="A4545" t="str">
        <f>"20190305135326680"</f>
        <v>20190305135326680</v>
      </c>
      <c r="B4545" t="str">
        <f>"1551765206674247"</f>
        <v>1551765206674247</v>
      </c>
      <c r="C4545" t="s">
        <v>40</v>
      </c>
      <c r="D4545">
        <v>4.3018700000000001</v>
      </c>
      <c r="E4545">
        <v>0.4771686</v>
      </c>
      <c r="F4545" t="s">
        <v>78</v>
      </c>
      <c r="G4545">
        <v>-417.98439999999999</v>
      </c>
      <c r="H4545" s="1">
        <v>-1.2186840000000001E-6</v>
      </c>
      <c r="I4545">
        <v>121.10129999999999</v>
      </c>
      <c r="J4545">
        <v>-409.8569</v>
      </c>
      <c r="K4545">
        <v>1.1123989999999999</v>
      </c>
      <c r="L4545">
        <v>135.60299999999901</v>
      </c>
      <c r="M4545">
        <v>-0.78644060000000005</v>
      </c>
      <c r="N4545">
        <v>-9.3059960000000004E-4</v>
      </c>
      <c r="O4545">
        <v>-0.61766529999999997</v>
      </c>
      <c r="P4545">
        <v>-0.53931499999999999</v>
      </c>
      <c r="Q4545">
        <v>1.5429740000000001E-2</v>
      </c>
      <c r="R4545">
        <v>-0.84196289999999996</v>
      </c>
      <c r="S4545">
        <v>-1.480774</v>
      </c>
      <c r="T4545">
        <v>-0.19930610000000001</v>
      </c>
      <c r="U4545">
        <v>-2.6192319999999998</v>
      </c>
      <c r="V4545">
        <v>-0.3291944</v>
      </c>
      <c r="W4545">
        <v>1.276155E-2</v>
      </c>
      <c r="X4545">
        <v>0.94417600000000002</v>
      </c>
      <c r="Y4545">
        <v>-0.3808687</v>
      </c>
      <c r="Z4545">
        <v>2.983941E-2</v>
      </c>
      <c r="AA4545">
        <v>0.92414750000000001</v>
      </c>
      <c r="AB4545">
        <v>20</v>
      </c>
      <c r="AC4545">
        <v>-8.1274999999999906</v>
      </c>
      <c r="AD4545">
        <v>-1.1124002186840001</v>
      </c>
      <c r="AE4545">
        <v>-14.5016999999999</v>
      </c>
      <c r="AF4545">
        <v>-6.3561922966401001</v>
      </c>
      <c r="AG4545">
        <v>-1.1124002186840001</v>
      </c>
      <c r="AH4545">
        <v>15.2805770173761</v>
      </c>
      <c r="AI4545">
        <v>93.845361176240999</v>
      </c>
      <c r="AJ4545">
        <v>112.5856236226</v>
      </c>
      <c r="AK4545">
        <v>16.5871832672807</v>
      </c>
      <c r="AL4545">
        <v>89.268797244314896</v>
      </c>
      <c r="AM4545">
        <v>109.221511590495</v>
      </c>
      <c r="AN4545">
        <v>1.0000000645628699</v>
      </c>
    </row>
    <row r="4546" spans="1:40" x14ac:dyDescent="0.25">
      <c r="A4546" t="str">
        <f>"20190305135326700"</f>
        <v>20190305135326700</v>
      </c>
      <c r="B4546" t="str">
        <f>"1551765206694743"</f>
        <v>1551765206694743</v>
      </c>
      <c r="C4546" t="s">
        <v>40</v>
      </c>
      <c r="D4546">
        <v>4.2879290000000001</v>
      </c>
      <c r="E4546">
        <v>0.47793600000000003</v>
      </c>
      <c r="F4546" t="s">
        <v>78</v>
      </c>
      <c r="G4546">
        <v>-418.25189999999998</v>
      </c>
      <c r="H4546" s="1">
        <v>-8.6753159999999896E-7</v>
      </c>
      <c r="I4546">
        <v>120.6075</v>
      </c>
      <c r="J4546">
        <v>-410.0068</v>
      </c>
      <c r="K4546">
        <v>1.1124350000000001</v>
      </c>
      <c r="L4546">
        <v>135.47319999999999</v>
      </c>
      <c r="M4546">
        <v>-0.78112209999999904</v>
      </c>
      <c r="N4546">
        <v>-8.6356679999999904E-4</v>
      </c>
      <c r="O4546">
        <v>-0.62437759999999998</v>
      </c>
      <c r="P4546">
        <v>-0.53265399999999996</v>
      </c>
      <c r="Q4546">
        <v>1.6224829999999999E-2</v>
      </c>
      <c r="R4546">
        <v>-0.84617779999999998</v>
      </c>
      <c r="S4546">
        <v>-1.4696959999999999</v>
      </c>
      <c r="T4546">
        <v>-0.19474540000000001</v>
      </c>
      <c r="U4546">
        <v>-2.625229</v>
      </c>
      <c r="V4546">
        <v>-0.3285573</v>
      </c>
      <c r="W4546">
        <v>1.346053E-2</v>
      </c>
      <c r="X4546">
        <v>0.94438809999999995</v>
      </c>
      <c r="Y4546">
        <v>-0.37681940000000003</v>
      </c>
      <c r="Z4546">
        <v>2.9808930000000001E-2</v>
      </c>
      <c r="AA4546">
        <v>0.92580700000000005</v>
      </c>
      <c r="AB4546">
        <v>20</v>
      </c>
      <c r="AC4546">
        <v>-8.2450999999999794</v>
      </c>
      <c r="AD4546">
        <v>-1.1124358675316</v>
      </c>
      <c r="AE4546">
        <v>-14.865699999999901</v>
      </c>
      <c r="AF4546">
        <v>-6.4363104668350104</v>
      </c>
      <c r="AG4546">
        <v>-1.1124358675316</v>
      </c>
      <c r="AH4546">
        <v>15.655203593920801</v>
      </c>
      <c r="AI4546">
        <v>93.760126749441199</v>
      </c>
      <c r="AJ4546">
        <v>112.34899221672001</v>
      </c>
      <c r="AK4546">
        <v>16.963166141731001</v>
      </c>
      <c r="AL4546">
        <v>89.228745137633695</v>
      </c>
      <c r="AM4546">
        <v>109.183039068111</v>
      </c>
      <c r="AN4546">
        <v>0.99999998433639004</v>
      </c>
    </row>
    <row r="4547" spans="1:40" x14ac:dyDescent="0.25">
      <c r="A4547" t="str">
        <f>"20190305135326723"</f>
        <v>20190305135326723</v>
      </c>
      <c r="B4547" t="str">
        <f>"1551765206714263"</f>
        <v>1551765206714263</v>
      </c>
      <c r="C4547" t="s">
        <v>40</v>
      </c>
      <c r="D4547">
        <v>4.2664629999999999</v>
      </c>
      <c r="E4547">
        <v>0.47848039999999997</v>
      </c>
      <c r="F4547" t="s">
        <v>78</v>
      </c>
      <c r="G4547">
        <v>-418.42860000000002</v>
      </c>
      <c r="H4547" s="1">
        <v>-6.3997129999999998E-7</v>
      </c>
      <c r="I4547">
        <v>120.2266</v>
      </c>
      <c r="J4547">
        <v>-410.16329999999999</v>
      </c>
      <c r="K4547">
        <v>1.112468</v>
      </c>
      <c r="L4547">
        <v>135.3355</v>
      </c>
      <c r="M4547">
        <v>-0.77552219999999905</v>
      </c>
      <c r="N4547">
        <v>-8.0602219999999995E-4</v>
      </c>
      <c r="O4547">
        <v>-0.63131990000000004</v>
      </c>
      <c r="P4547">
        <v>-0.52497479999999996</v>
      </c>
      <c r="Q4547">
        <v>1.536594E-2</v>
      </c>
      <c r="R4547">
        <v>-0.85097929999999999</v>
      </c>
      <c r="S4547">
        <v>-1.45462</v>
      </c>
      <c r="T4547">
        <v>-0.19214000000000001</v>
      </c>
      <c r="U4547">
        <v>-2.6333920000000002</v>
      </c>
      <c r="V4547">
        <v>-0.32868439999999999</v>
      </c>
      <c r="W4547">
        <v>1.2501689999999999E-2</v>
      </c>
      <c r="X4547">
        <v>0.94435709999999995</v>
      </c>
      <c r="Y4547">
        <v>-0.37383810000000001</v>
      </c>
      <c r="Z4547">
        <v>3.0040089999999998E-2</v>
      </c>
      <c r="AA4547">
        <v>0.92700740000000004</v>
      </c>
      <c r="AB4547">
        <v>20</v>
      </c>
      <c r="AC4547">
        <v>-8.2653000000000194</v>
      </c>
      <c r="AD4547">
        <v>-1.1124686399713</v>
      </c>
      <c r="AE4547">
        <v>-15.108899999999901</v>
      </c>
      <c r="AF4547">
        <v>-6.4722341858623302</v>
      </c>
      <c r="AG4547">
        <v>-1.1124686399713</v>
      </c>
      <c r="AH4547">
        <v>15.882205808302601</v>
      </c>
      <c r="AI4547">
        <v>93.711330172962604</v>
      </c>
      <c r="AJ4547">
        <v>112.17162366005</v>
      </c>
      <c r="AK4547">
        <v>17.186385983354501</v>
      </c>
      <c r="AL4547">
        <v>89.283687287638102</v>
      </c>
      <c r="AM4547">
        <v>109.190501211922</v>
      </c>
      <c r="AN4547">
        <v>1.00000002968831</v>
      </c>
    </row>
    <row r="4548" spans="1:40" x14ac:dyDescent="0.25">
      <c r="A4548" t="str">
        <f>"20190305135326743"</f>
        <v>20190305135326743</v>
      </c>
      <c r="B4548" t="str">
        <f>"1551765206734759"</f>
        <v>1551765206734759</v>
      </c>
      <c r="C4548" t="s">
        <v>40</v>
      </c>
      <c r="D4548">
        <v>4.2597019999999999</v>
      </c>
      <c r="E4548">
        <v>0.47898289999999999</v>
      </c>
      <c r="F4548" t="s">
        <v>78</v>
      </c>
      <c r="G4548">
        <v>-418.38049999999998</v>
      </c>
      <c r="H4548" s="1">
        <v>-6.3824689999999997E-7</v>
      </c>
      <c r="I4548">
        <v>120.18859999999999</v>
      </c>
      <c r="J4548">
        <v>-410.30790000000002</v>
      </c>
      <c r="K4548">
        <v>1.112509</v>
      </c>
      <c r="L4548">
        <v>135.20609999999999</v>
      </c>
      <c r="M4548">
        <v>-0.77029539999999996</v>
      </c>
      <c r="N4548">
        <v>-7.642282E-4</v>
      </c>
      <c r="O4548">
        <v>-0.63768669999999905</v>
      </c>
      <c r="P4548">
        <v>-0.51758379999999904</v>
      </c>
      <c r="Q4548">
        <v>1.4458769999999999E-2</v>
      </c>
      <c r="R4548">
        <v>-0.855510199999999</v>
      </c>
      <c r="S4548">
        <v>-1.4343870000000001</v>
      </c>
      <c r="T4548">
        <v>-0.1941909</v>
      </c>
      <c r="U4548">
        <v>-2.644028</v>
      </c>
      <c r="V4548">
        <v>-0.32908860000000001</v>
      </c>
      <c r="W4548">
        <v>1.1507079999999999E-2</v>
      </c>
      <c r="X4548">
        <v>0.94422890000000004</v>
      </c>
      <c r="Y4548">
        <v>-0.37325589999999997</v>
      </c>
      <c r="Z4548">
        <v>3.0890830000000001E-2</v>
      </c>
      <c r="AA4548">
        <v>0.92721399999999998</v>
      </c>
      <c r="AB4548">
        <v>20</v>
      </c>
      <c r="AC4548">
        <v>-8.0725999999999605</v>
      </c>
      <c r="AD4548">
        <v>-1.11250963824689</v>
      </c>
      <c r="AE4548">
        <v>-15.017499999999901</v>
      </c>
      <c r="AF4548">
        <v>-6.3929046462175396</v>
      </c>
      <c r="AG4548">
        <v>-1.11250963824689</v>
      </c>
      <c r="AH4548">
        <v>15.7277878763509</v>
      </c>
      <c r="AI4548">
        <v>93.749164007169696</v>
      </c>
      <c r="AJ4548">
        <v>112.120362961287</v>
      </c>
      <c r="AK4548">
        <v>17.013824349461</v>
      </c>
      <c r="AL4548">
        <v>89.340678309102401</v>
      </c>
      <c r="AM4548">
        <v>109.21478933323</v>
      </c>
      <c r="AN4548">
        <v>0.99999996756764697</v>
      </c>
    </row>
    <row r="4549" spans="1:40" x14ac:dyDescent="0.25">
      <c r="A4549" t="str">
        <f>"20190305135326766"</f>
        <v>20190305135326766</v>
      </c>
      <c r="B4549" t="str">
        <f>"1551765206754279"</f>
        <v>1551765206754279</v>
      </c>
      <c r="C4549" t="s">
        <v>40</v>
      </c>
      <c r="D4549">
        <v>4.248176</v>
      </c>
      <c r="E4549">
        <v>0.47941669999999997</v>
      </c>
      <c r="F4549" t="s">
        <v>78</v>
      </c>
      <c r="G4549">
        <v>-418.32499999999999</v>
      </c>
      <c r="H4549" s="1">
        <v>-6.4436729999999999E-7</v>
      </c>
      <c r="I4549">
        <v>120.16589999999999</v>
      </c>
      <c r="J4549">
        <v>-410.45940000000002</v>
      </c>
      <c r="K4549">
        <v>1.1125529999999999</v>
      </c>
      <c r="L4549">
        <v>135.0686</v>
      </c>
      <c r="M4549">
        <v>-0.76476769999999905</v>
      </c>
      <c r="N4549">
        <v>-7.3157970000000002E-4</v>
      </c>
      <c r="O4549">
        <v>-0.64430580000000004</v>
      </c>
      <c r="P4549">
        <v>-0.50941729999999996</v>
      </c>
      <c r="Q4549">
        <v>1.3235190000000001E-2</v>
      </c>
      <c r="R4549">
        <v>-0.86041789999999996</v>
      </c>
      <c r="S4549">
        <v>-1.4147339999999999</v>
      </c>
      <c r="T4549">
        <v>-0.19631979999999999</v>
      </c>
      <c r="U4549">
        <v>-2.654083</v>
      </c>
      <c r="V4549">
        <v>-0.32993600000000001</v>
      </c>
      <c r="W4549">
        <v>1.0194430000000001E-2</v>
      </c>
      <c r="X4549">
        <v>0.94394829999999996</v>
      </c>
      <c r="Y4549">
        <v>-0.37207560000000001</v>
      </c>
      <c r="Z4549">
        <v>3.1795499999999997E-2</v>
      </c>
      <c r="AA4549">
        <v>0.92765770000000003</v>
      </c>
      <c r="AB4549">
        <v>21</v>
      </c>
      <c r="AC4549">
        <v>-7.8655999999999704</v>
      </c>
      <c r="AD4549">
        <v>-1.1125536443673001</v>
      </c>
      <c r="AE4549">
        <v>-14.902699999999999</v>
      </c>
      <c r="AF4549">
        <v>-6.3017836497352304</v>
      </c>
      <c r="AG4549">
        <v>-1.1125536443673001</v>
      </c>
      <c r="AH4549">
        <v>15.5494757182496</v>
      </c>
      <c r="AI4549">
        <v>93.793762007722805</v>
      </c>
      <c r="AJ4549">
        <v>112.061386918157</v>
      </c>
      <c r="AK4549">
        <v>16.8147687433428</v>
      </c>
      <c r="AL4549">
        <v>89.415892093196106</v>
      </c>
      <c r="AM4549">
        <v>109.265930825129</v>
      </c>
      <c r="AN4549">
        <v>1.00000004178595</v>
      </c>
    </row>
    <row r="4550" spans="1:40" x14ac:dyDescent="0.25">
      <c r="A4550" t="str">
        <f>"20190305135326788"</f>
        <v>20190305135326788</v>
      </c>
      <c r="B4550" t="str">
        <f>"1551765206784534"</f>
        <v>1551765206784534</v>
      </c>
      <c r="C4550" t="s">
        <v>40</v>
      </c>
      <c r="D4550">
        <v>4.2445019999999998</v>
      </c>
      <c r="E4550">
        <v>0.48018749999999999</v>
      </c>
      <c r="F4550" t="s">
        <v>78</v>
      </c>
      <c r="G4550">
        <v>-418.24250000000001</v>
      </c>
      <c r="H4550" s="1">
        <v>-6.6649849999999995E-7</v>
      </c>
      <c r="I4550">
        <v>120.1664</v>
      </c>
      <c r="J4550">
        <v>-410.6105</v>
      </c>
      <c r="K4550">
        <v>1.1126069999999999</v>
      </c>
      <c r="L4550">
        <v>134.9288</v>
      </c>
      <c r="M4550">
        <v>-0.75918850000000004</v>
      </c>
      <c r="N4550">
        <v>-7.1019349999999998E-4</v>
      </c>
      <c r="O4550">
        <v>-0.65087039999999996</v>
      </c>
      <c r="P4550">
        <v>-0.50118989999999997</v>
      </c>
      <c r="Q4550">
        <v>1.2053940000000001E-2</v>
      </c>
      <c r="R4550">
        <v>-0.86525359999999996</v>
      </c>
      <c r="S4550">
        <v>-1.3921509999999999</v>
      </c>
      <c r="T4550">
        <v>-0.1989996</v>
      </c>
      <c r="U4550">
        <v>-2.6655120000000001</v>
      </c>
      <c r="V4550">
        <v>-0.33080500000000002</v>
      </c>
      <c r="W4550">
        <v>8.9303890000000004E-3</v>
      </c>
      <c r="X4550">
        <v>0.94365690000000002</v>
      </c>
      <c r="Y4550">
        <v>-0.3719018</v>
      </c>
      <c r="Z4550">
        <v>3.2763189999999998E-2</v>
      </c>
      <c r="AA4550">
        <v>0.92769369999999995</v>
      </c>
      <c r="AB4550">
        <v>21</v>
      </c>
      <c r="AC4550">
        <v>-7.6319999999999997</v>
      </c>
      <c r="AD4550">
        <v>-1.1126076664984901</v>
      </c>
      <c r="AE4550">
        <v>-14.7624</v>
      </c>
      <c r="AF4550">
        <v>-6.2121585229254404</v>
      </c>
      <c r="AG4550">
        <v>-1.1126076664984901</v>
      </c>
      <c r="AH4550">
        <v>15.3338096845855</v>
      </c>
      <c r="AI4550">
        <v>93.847340817838003</v>
      </c>
      <c r="AJ4550">
        <v>112.05425683616799</v>
      </c>
      <c r="AK4550">
        <v>16.581752886127401</v>
      </c>
      <c r="AL4550">
        <v>89.4883196109528</v>
      </c>
      <c r="AM4550">
        <v>109.318443476474</v>
      </c>
      <c r="AN4550">
        <v>1.00000002239515</v>
      </c>
    </row>
    <row r="4551" spans="1:40" x14ac:dyDescent="0.25">
      <c r="A4551" t="str">
        <f>"20190305135326812"</f>
        <v>20190305135326812</v>
      </c>
      <c r="B4551" t="str">
        <f>"1551765206804054"</f>
        <v>1551765206804054</v>
      </c>
      <c r="C4551" t="s">
        <v>40</v>
      </c>
      <c r="D4551">
        <v>4.2600939999999996</v>
      </c>
      <c r="E4551">
        <v>0.48075820000000002</v>
      </c>
      <c r="F4551" t="s">
        <v>78</v>
      </c>
      <c r="G4551">
        <v>-418.17410000000001</v>
      </c>
      <c r="H4551" s="1">
        <v>-6.9105829999999997E-7</v>
      </c>
      <c r="I4551">
        <v>120.1831</v>
      </c>
      <c r="J4551">
        <v>-410.77550000000002</v>
      </c>
      <c r="K4551">
        <v>1.112676</v>
      </c>
      <c r="L4551">
        <v>134.77379999999999</v>
      </c>
      <c r="M4551">
        <v>-0.75302690000000005</v>
      </c>
      <c r="N4551">
        <v>-6.9758339999999904E-4</v>
      </c>
      <c r="O4551">
        <v>-0.65798939999999995</v>
      </c>
      <c r="P4551">
        <v>-0.49218899999999999</v>
      </c>
      <c r="Q4551">
        <v>1.08848E-2</v>
      </c>
      <c r="R4551">
        <v>-0.87042019999999998</v>
      </c>
      <c r="S4551">
        <v>-1.3721920000000001</v>
      </c>
      <c r="T4551">
        <v>-0.20185110000000001</v>
      </c>
      <c r="U4551">
        <v>-2.6752009999999999</v>
      </c>
      <c r="V4551">
        <v>-0.33170690000000003</v>
      </c>
      <c r="W4551">
        <v>7.6744430000000004E-3</v>
      </c>
      <c r="X4551">
        <v>0.9433513</v>
      </c>
      <c r="Y4551">
        <v>-0.37002400000000002</v>
      </c>
      <c r="Z4551">
        <v>3.3861370000000002E-2</v>
      </c>
      <c r="AA4551">
        <v>0.92840489999999998</v>
      </c>
      <c r="AB4551">
        <v>21</v>
      </c>
      <c r="AC4551">
        <v>-7.3985999999999796</v>
      </c>
      <c r="AD4551">
        <v>-1.1126766910582999</v>
      </c>
      <c r="AE4551">
        <v>-14.590699999999901</v>
      </c>
      <c r="AF4551">
        <v>-6.0908143735091302</v>
      </c>
      <c r="AG4551">
        <v>-1.1126766910582999</v>
      </c>
      <c r="AH4551">
        <v>15.102011991989601</v>
      </c>
      <c r="AI4551">
        <v>93.908911988132502</v>
      </c>
      <c r="AJ4551">
        <v>111.964784713664</v>
      </c>
      <c r="AK4551">
        <v>16.321974003090698</v>
      </c>
      <c r="AL4551">
        <v>89.560282498317704</v>
      </c>
      <c r="AM4551">
        <v>109.37300305498999</v>
      </c>
      <c r="AN4551">
        <v>1.00000001989733</v>
      </c>
    </row>
    <row r="4552" spans="1:40" x14ac:dyDescent="0.25">
      <c r="A4552" t="str">
        <f>"20190305135326834"</f>
        <v>20190305135326834</v>
      </c>
      <c r="B4552" t="str">
        <f>"1551765206824551"</f>
        <v>1551765206824551</v>
      </c>
      <c r="C4552" t="s">
        <v>40</v>
      </c>
      <c r="D4552">
        <v>4.2699860000000003</v>
      </c>
      <c r="E4552">
        <v>0.4812304</v>
      </c>
      <c r="F4552" t="s">
        <v>78</v>
      </c>
      <c r="G4552">
        <v>-418.09589999999997</v>
      </c>
      <c r="H4552" s="1">
        <v>-7.1247060000000003E-7</v>
      </c>
      <c r="I4552">
        <v>120.18470000000001</v>
      </c>
      <c r="J4552">
        <v>-410.92219999999998</v>
      </c>
      <c r="K4552">
        <v>1.1127370000000001</v>
      </c>
      <c r="L4552">
        <v>134.6335</v>
      </c>
      <c r="M4552">
        <v>-0.74747299999999905</v>
      </c>
      <c r="N4552">
        <v>-6.9460059999999996E-4</v>
      </c>
      <c r="O4552">
        <v>-0.66429169999999904</v>
      </c>
      <c r="P4552">
        <v>-0.48492390000000002</v>
      </c>
      <c r="Q4552">
        <v>1.049362E-2</v>
      </c>
      <c r="R4552">
        <v>-0.87449339999999998</v>
      </c>
      <c r="S4552">
        <v>-1.3481749999999999</v>
      </c>
      <c r="T4552">
        <v>-0.20491599999999999</v>
      </c>
      <c r="U4552">
        <v>-2.686798</v>
      </c>
      <c r="V4552">
        <v>-0.33163779999999998</v>
      </c>
      <c r="W4552">
        <v>7.2209850000000001E-3</v>
      </c>
      <c r="X4552">
        <v>0.94337919999999997</v>
      </c>
      <c r="Y4552">
        <v>-0.37047150000000001</v>
      </c>
      <c r="Z4552">
        <v>3.487527E-2</v>
      </c>
      <c r="AA4552">
        <v>0.92818889999999998</v>
      </c>
      <c r="AB4552">
        <v>21</v>
      </c>
      <c r="AC4552">
        <v>-7.1736999999999904</v>
      </c>
      <c r="AD4552">
        <v>-1.1127377124705999</v>
      </c>
      <c r="AE4552">
        <v>-14.448799999999901</v>
      </c>
      <c r="AF4552">
        <v>-6.0060832622350899</v>
      </c>
      <c r="AG4552">
        <v>-1.1127377124705999</v>
      </c>
      <c r="AH4552">
        <v>14.889524811311899</v>
      </c>
      <c r="AI4552">
        <v>93.964646762740998</v>
      </c>
      <c r="AJ4552">
        <v>111.967986454548</v>
      </c>
      <c r="AK4552">
        <v>16.0937618497457</v>
      </c>
      <c r="AL4552">
        <v>89.586264458182498</v>
      </c>
      <c r="AM4552">
        <v>109.368737709314</v>
      </c>
      <c r="AN4552">
        <v>1.00000004400292</v>
      </c>
    </row>
    <row r="4553" spans="1:40" x14ac:dyDescent="0.25">
      <c r="A4553" t="str">
        <f>"20190305135326855"</f>
        <v>20190305135326855</v>
      </c>
      <c r="B4553" t="str">
        <f>"1551765206844070"</f>
        <v>1551765206844070</v>
      </c>
      <c r="C4553" t="s">
        <v>40</v>
      </c>
      <c r="D4553">
        <v>4.2733249999999998</v>
      </c>
      <c r="E4553">
        <v>0.48150510000000002</v>
      </c>
      <c r="F4553" t="s">
        <v>78</v>
      </c>
      <c r="G4553">
        <v>-418.13959999999997</v>
      </c>
      <c r="H4553" s="1">
        <v>-6.2937049999999999E-7</v>
      </c>
      <c r="I4553">
        <v>119.9975</v>
      </c>
      <c r="J4553">
        <v>-411.07470000000001</v>
      </c>
      <c r="K4553">
        <v>1.1128129999999901</v>
      </c>
      <c r="L4553">
        <v>134.48519999999999</v>
      </c>
      <c r="M4553">
        <v>-0.74163250000000003</v>
      </c>
      <c r="N4553">
        <v>-6.9864720000000001E-4</v>
      </c>
      <c r="O4553">
        <v>-0.67080629999999997</v>
      </c>
      <c r="P4553">
        <v>-0.47817019999999999</v>
      </c>
      <c r="Q4553">
        <v>1.000901E-2</v>
      </c>
      <c r="R4553">
        <v>-0.87821039999999995</v>
      </c>
      <c r="S4553">
        <v>-1.3293759999999999</v>
      </c>
      <c r="T4553">
        <v>-0.204957</v>
      </c>
      <c r="U4553">
        <v>-2.6958160000000002</v>
      </c>
      <c r="V4553">
        <v>-0.33065420000000001</v>
      </c>
      <c r="W4553">
        <v>6.6888479999999998E-3</v>
      </c>
      <c r="X4553">
        <v>0.94372829999999996</v>
      </c>
      <c r="Y4553">
        <v>-0.36879190000000001</v>
      </c>
      <c r="Z4553">
        <v>3.544601E-2</v>
      </c>
      <c r="AA4553">
        <v>0.92883590000000005</v>
      </c>
      <c r="AB4553">
        <v>22</v>
      </c>
      <c r="AC4553">
        <v>-7.0648999999999598</v>
      </c>
      <c r="AD4553">
        <v>-1.11281362937049</v>
      </c>
      <c r="AE4553">
        <v>-14.487699999999901</v>
      </c>
      <c r="AF4553">
        <v>-5.9768816486681198</v>
      </c>
      <c r="AG4553">
        <v>-1.11281362937049</v>
      </c>
      <c r="AH4553">
        <v>14.887042570925299</v>
      </c>
      <c r="AI4553">
        <v>93.968169607659505</v>
      </c>
      <c r="AJ4553">
        <v>111.874579061261</v>
      </c>
      <c r="AK4553">
        <v>16.0805940476227</v>
      </c>
      <c r="AL4553">
        <v>89.616754390581804</v>
      </c>
      <c r="AM4553">
        <v>109.308936201018</v>
      </c>
      <c r="AN4553">
        <v>1.0000000224430401</v>
      </c>
    </row>
    <row r="4554" spans="1:40" x14ac:dyDescent="0.25">
      <c r="A4554" t="str">
        <f>"20190305135326879"</f>
        <v>20190305135326879</v>
      </c>
      <c r="B4554" t="str">
        <f>"1551765206874327"</f>
        <v>1551765206874327</v>
      </c>
      <c r="C4554" t="s">
        <v>40</v>
      </c>
      <c r="D4554">
        <v>4.2210150000000004</v>
      </c>
      <c r="E4554">
        <v>0.49020609999999998</v>
      </c>
      <c r="F4554" t="s">
        <v>78</v>
      </c>
      <c r="G4554">
        <v>-418.1696</v>
      </c>
      <c r="H4554" s="1">
        <v>-5.5875519999999996E-7</v>
      </c>
      <c r="I4554">
        <v>119.8336</v>
      </c>
      <c r="J4554">
        <v>-411.2303</v>
      </c>
      <c r="K4554">
        <v>1.1128880000000001</v>
      </c>
      <c r="L4554">
        <v>134.33150000000001</v>
      </c>
      <c r="M4554">
        <v>-0.73560400000000004</v>
      </c>
      <c r="N4554">
        <v>-7.0904200000000001E-4</v>
      </c>
      <c r="O4554">
        <v>-0.6774114</v>
      </c>
      <c r="P4554">
        <v>-0.47132289999999999</v>
      </c>
      <c r="Q4554">
        <v>9.8549020000000005E-3</v>
      </c>
      <c r="R4554">
        <v>-0.88190599999999997</v>
      </c>
      <c r="S4554">
        <v>-1.3099369999999999</v>
      </c>
      <c r="T4554">
        <v>-0.20545910000000001</v>
      </c>
      <c r="U4554">
        <v>-2.705139</v>
      </c>
      <c r="V4554">
        <v>-0.32955820000000002</v>
      </c>
      <c r="W4554">
        <v>6.4952559999999996E-3</v>
      </c>
      <c r="X4554">
        <v>0.94411290000000003</v>
      </c>
      <c r="Y4554">
        <v>-0.3671529</v>
      </c>
      <c r="Z4554">
        <v>3.6098810000000002E-2</v>
      </c>
      <c r="AA4554">
        <v>0.92945990000000001</v>
      </c>
      <c r="AB4554">
        <v>22</v>
      </c>
      <c r="AC4554">
        <v>-6.9393000000000002</v>
      </c>
      <c r="AD4554">
        <v>-1.1128885587552</v>
      </c>
      <c r="AE4554">
        <v>-14.4979</v>
      </c>
      <c r="AF4554">
        <v>-5.9354985979203798</v>
      </c>
      <c r="AG4554">
        <v>-1.1128885587552</v>
      </c>
      <c r="AH4554">
        <v>14.854410220048001</v>
      </c>
      <c r="AI4554">
        <v>93.979731961798706</v>
      </c>
      <c r="AJ4554">
        <v>111.78057285875801</v>
      </c>
      <c r="AK4554">
        <v>16.0350293899197</v>
      </c>
      <c r="AL4554">
        <v>89.627846620760707</v>
      </c>
      <c r="AM4554">
        <v>109.242384485164</v>
      </c>
      <c r="AN4554">
        <v>0.99999998174207705</v>
      </c>
    </row>
    <row r="4555" spans="1:40" x14ac:dyDescent="0.25">
      <c r="A4555" t="str">
        <f>"20190305135326901"</f>
        <v>20190305135326901</v>
      </c>
      <c r="B4555" t="str">
        <f>"1551765206894822"</f>
        <v>1551765206894822</v>
      </c>
      <c r="C4555" t="s">
        <v>40</v>
      </c>
      <c r="D4555">
        <v>4.2886499999999996</v>
      </c>
      <c r="E4555">
        <v>0.49159910000000001</v>
      </c>
      <c r="F4555" t="s">
        <v>42</v>
      </c>
      <c r="G4555">
        <v>-418.84930000000003</v>
      </c>
      <c r="H4555" s="1">
        <v>-4.3031539999999997E-6</v>
      </c>
      <c r="I4555">
        <v>119.18770000000001</v>
      </c>
      <c r="J4555">
        <v>-411.38569999999999</v>
      </c>
      <c r="K4555">
        <v>1.1129560000000001</v>
      </c>
      <c r="L4555">
        <v>134.1754</v>
      </c>
      <c r="M4555">
        <v>-0.72951080000000001</v>
      </c>
      <c r="N4555">
        <v>-7.2482509999999896E-4</v>
      </c>
      <c r="O4555">
        <v>-0.68396919999999894</v>
      </c>
      <c r="P4555">
        <v>-0.4640341</v>
      </c>
      <c r="Q4555">
        <v>1.066892E-2</v>
      </c>
      <c r="R4555">
        <v>-0.88575329999999997</v>
      </c>
      <c r="S4555">
        <v>-1.34964</v>
      </c>
      <c r="T4555">
        <v>-0.19714010000000001</v>
      </c>
      <c r="U4555">
        <v>-2.6826020000000002</v>
      </c>
      <c r="V4555">
        <v>-0.32889679999999999</v>
      </c>
      <c r="W4555">
        <v>7.2734359999999899E-3</v>
      </c>
      <c r="X4555">
        <v>0.9443378</v>
      </c>
      <c r="Y4555">
        <v>-0.34462569999999998</v>
      </c>
      <c r="Z4555">
        <v>3.5740340000000002E-2</v>
      </c>
      <c r="AA4555">
        <v>0.93805959999999999</v>
      </c>
      <c r="AB4555">
        <v>22</v>
      </c>
      <c r="AC4555">
        <v>-7.4636000000000404</v>
      </c>
      <c r="AD4555">
        <v>-1.1129603031540001</v>
      </c>
      <c r="AE4555">
        <v>-14.987699999999901</v>
      </c>
      <c r="AF4555">
        <v>-5.8031752457512997</v>
      </c>
      <c r="AG4555">
        <v>-1.1129603031540001</v>
      </c>
      <c r="AH4555">
        <v>15.626854941333599</v>
      </c>
      <c r="AI4555">
        <v>93.819734293234404</v>
      </c>
      <c r="AJ4555">
        <v>110.37293875516799</v>
      </c>
      <c r="AK4555">
        <v>16.706708799963501</v>
      </c>
      <c r="AL4555">
        <v>89.583259116873407</v>
      </c>
      <c r="AM4555">
        <v>109.202358385003</v>
      </c>
      <c r="AN4555">
        <v>0.99999994421516103</v>
      </c>
    </row>
    <row r="4556" spans="1:40" x14ac:dyDescent="0.25">
      <c r="A4556" t="str">
        <f>"20190305135326923"</f>
        <v>20190305135326923</v>
      </c>
      <c r="B4556" t="str">
        <f>"1551765206914343"</f>
        <v>1551765206914343</v>
      </c>
      <c r="C4556" t="s">
        <v>40</v>
      </c>
      <c r="D4556">
        <v>4.2708000000000004</v>
      </c>
      <c r="E4556">
        <v>0.490728</v>
      </c>
      <c r="F4556" t="s">
        <v>42</v>
      </c>
      <c r="G4556">
        <v>-419.0684</v>
      </c>
      <c r="H4556" s="1">
        <v>-4.0689530000000001E-6</v>
      </c>
      <c r="I4556">
        <v>118.7324</v>
      </c>
      <c r="J4556">
        <v>-411.53739999999999</v>
      </c>
      <c r="K4556">
        <v>1.1130070000000001</v>
      </c>
      <c r="L4556">
        <v>134.02029999999999</v>
      </c>
      <c r="M4556">
        <v>-0.72348760000000001</v>
      </c>
      <c r="N4556">
        <v>-7.4490630000000003E-4</v>
      </c>
      <c r="O4556">
        <v>-0.69033719999999998</v>
      </c>
      <c r="P4556">
        <v>-0.45676949999999999</v>
      </c>
      <c r="Q4556">
        <v>1.018531E-2</v>
      </c>
      <c r="R4556">
        <v>-0.8895267</v>
      </c>
      <c r="S4556">
        <v>-1.3375239999999999</v>
      </c>
      <c r="T4556">
        <v>-0.19376080000000001</v>
      </c>
      <c r="U4556">
        <v>-2.6885530000000002</v>
      </c>
      <c r="V4556">
        <v>-0.32834760000000002</v>
      </c>
      <c r="W4556">
        <v>6.7618009999999996E-3</v>
      </c>
      <c r="X4556">
        <v>0.94453279999999995</v>
      </c>
      <c r="Y4556">
        <v>-0.3406093</v>
      </c>
      <c r="Z4556">
        <v>3.568325E-2</v>
      </c>
      <c r="AA4556">
        <v>0.93952760000000002</v>
      </c>
      <c r="AB4556">
        <v>22</v>
      </c>
      <c r="AC4556">
        <v>-7.5309999999999997</v>
      </c>
      <c r="AD4556">
        <v>-1.1130110689529999</v>
      </c>
      <c r="AE4556">
        <v>-15.287899999999899</v>
      </c>
      <c r="AF4556">
        <v>-5.8367817614548096</v>
      </c>
      <c r="AG4556">
        <v>-1.1130110689529999</v>
      </c>
      <c r="AH4556">
        <v>15.9344281535018</v>
      </c>
      <c r="AI4556">
        <v>93.752527424804498</v>
      </c>
      <c r="AJ4556">
        <v>110.117784830346</v>
      </c>
      <c r="AK4556">
        <v>17.0062581289822</v>
      </c>
      <c r="AL4556">
        <v>89.612574403681705</v>
      </c>
      <c r="AM4556">
        <v>109.168966749777</v>
      </c>
      <c r="AN4556">
        <v>1.00000003932718</v>
      </c>
    </row>
    <row r="4557" spans="1:40" x14ac:dyDescent="0.25">
      <c r="A4557" t="str">
        <f>"20190305135326944"</f>
        <v>20190305135326944</v>
      </c>
      <c r="B4557" t="str">
        <f>"1551765206934839"</f>
        <v>1551765206934839</v>
      </c>
      <c r="C4557" t="s">
        <v>40</v>
      </c>
      <c r="D4557">
        <v>4.2837339999999999</v>
      </c>
      <c r="E4557">
        <v>0.46143729999999999</v>
      </c>
      <c r="F4557" t="s">
        <v>42</v>
      </c>
      <c r="G4557">
        <v>-418.99220000000003</v>
      </c>
      <c r="H4557" s="1">
        <v>-4.0409310000000004E-6</v>
      </c>
      <c r="I4557">
        <v>118.6356</v>
      </c>
      <c r="J4557">
        <v>-411.68740000000003</v>
      </c>
      <c r="K4557">
        <v>1.1130690000000001</v>
      </c>
      <c r="L4557">
        <v>133.86439999999999</v>
      </c>
      <c r="M4557">
        <v>-0.71746299999999996</v>
      </c>
      <c r="N4557">
        <v>-7.6900380000000004E-4</v>
      </c>
      <c r="O4557">
        <v>-0.6965962</v>
      </c>
      <c r="P4557">
        <v>-0.44809399999999999</v>
      </c>
      <c r="Q4557">
        <v>8.5881150000000003E-3</v>
      </c>
      <c r="R4557">
        <v>-0.89394509999999905</v>
      </c>
      <c r="S4557">
        <v>-1.3094790000000001</v>
      </c>
      <c r="T4557">
        <v>-0.1955065</v>
      </c>
      <c r="U4557">
        <v>-2.7024080000000001</v>
      </c>
      <c r="V4557">
        <v>-0.32932400000000001</v>
      </c>
      <c r="W4557">
        <v>5.1219890000000004E-3</v>
      </c>
      <c r="X4557">
        <v>0.94420309999999996</v>
      </c>
      <c r="Y4557">
        <v>-0.3422384</v>
      </c>
      <c r="Z4557">
        <v>3.6417659999999998E-2</v>
      </c>
      <c r="AA4557">
        <v>0.93890709999999999</v>
      </c>
      <c r="AB4557">
        <v>22</v>
      </c>
      <c r="AC4557">
        <v>-7.3048000000000002</v>
      </c>
      <c r="AD4557">
        <v>-1.1130730409309999</v>
      </c>
      <c r="AE4557">
        <v>-15.2287999999999</v>
      </c>
      <c r="AF4557">
        <v>-5.8123636933120499</v>
      </c>
      <c r="AG4557">
        <v>-1.1130730409309999</v>
      </c>
      <c r="AH4557">
        <v>15.780718182312199</v>
      </c>
      <c r="AI4557">
        <v>93.786712916002301</v>
      </c>
      <c r="AJ4557">
        <v>110.219791940466</v>
      </c>
      <c r="AK4557">
        <v>16.853888858282499</v>
      </c>
      <c r="AL4557">
        <v>89.706530368178505</v>
      </c>
      <c r="AM4557">
        <v>109.22801206939501</v>
      </c>
      <c r="AN4557">
        <v>1.0000000128984601</v>
      </c>
    </row>
    <row r="4558" spans="1:40" x14ac:dyDescent="0.25">
      <c r="A4558" t="str">
        <f>"20190305135326968"</f>
        <v>20190305135326968</v>
      </c>
      <c r="B4558" t="str">
        <f>"1551765206964627"</f>
        <v>1551765206964627</v>
      </c>
      <c r="C4558" t="s">
        <v>40</v>
      </c>
      <c r="D4558">
        <v>4.2153219999999996</v>
      </c>
      <c r="E4558">
        <v>0.45695380000000002</v>
      </c>
      <c r="F4558" t="s">
        <v>78</v>
      </c>
      <c r="G4558">
        <v>-416.7321</v>
      </c>
      <c r="H4558" s="1">
        <v>-1.245761E-6</v>
      </c>
      <c r="I4558">
        <v>120.63079999999999</v>
      </c>
      <c r="J4558">
        <v>-411.84840000000003</v>
      </c>
      <c r="K4558">
        <v>1.1131420000000001</v>
      </c>
      <c r="L4558">
        <v>133.69409999999999</v>
      </c>
      <c r="M4558">
        <v>-0.71091499999999996</v>
      </c>
      <c r="N4558">
        <v>-7.9982399999999998E-4</v>
      </c>
      <c r="O4558">
        <v>-0.7032775</v>
      </c>
      <c r="P4558">
        <v>-0.4381989</v>
      </c>
      <c r="Q4558">
        <v>7.9795130000000006E-3</v>
      </c>
      <c r="R4558">
        <v>-0.89884279999999905</v>
      </c>
      <c r="S4558">
        <v>-1.0747679999999999</v>
      </c>
      <c r="T4558">
        <v>-0.2371403</v>
      </c>
      <c r="U4558">
        <v>-2.8194270000000001</v>
      </c>
      <c r="V4558">
        <v>-0.3309107</v>
      </c>
      <c r="W4558">
        <v>4.4630069999999997E-3</v>
      </c>
      <c r="X4558">
        <v>0.94365149999999998</v>
      </c>
      <c r="Y4558">
        <v>-0.41408739999999999</v>
      </c>
      <c r="Z4558">
        <v>4.2374120000000001E-2</v>
      </c>
      <c r="AA4558">
        <v>0.90925029999999996</v>
      </c>
      <c r="AB4558">
        <v>22</v>
      </c>
      <c r="AC4558">
        <v>-4.88369999999997</v>
      </c>
      <c r="AD4558">
        <v>-1.113143245761</v>
      </c>
      <c r="AE4558">
        <v>-13.0632999999999</v>
      </c>
      <c r="AF4558">
        <v>-5.8152546264972296</v>
      </c>
      <c r="AG4558">
        <v>-1.113143245761</v>
      </c>
      <c r="AH4558">
        <v>12.5788891462044</v>
      </c>
      <c r="AI4558">
        <v>94.592403455154496</v>
      </c>
      <c r="AJ4558">
        <v>114.811228964896</v>
      </c>
      <c r="AK4558">
        <v>13.9026877404724</v>
      </c>
      <c r="AL4558">
        <v>89.744287681362096</v>
      </c>
      <c r="AM4558">
        <v>109.32426105737299</v>
      </c>
      <c r="AN4558">
        <v>0.99999998162910997</v>
      </c>
    </row>
    <row r="4559" spans="1:40" x14ac:dyDescent="0.25">
      <c r="A4559" t="str">
        <f>"20190305135326990"</f>
        <v>20190305135326990</v>
      </c>
      <c r="B4559" t="str">
        <f>"1551765206984145"</f>
        <v>1551765206984145</v>
      </c>
      <c r="C4559" t="s">
        <v>40</v>
      </c>
      <c r="D4559">
        <v>4.2206029999999997</v>
      </c>
      <c r="E4559">
        <v>0.45701180000000002</v>
      </c>
      <c r="F4559" t="s">
        <v>41</v>
      </c>
      <c r="G4559">
        <v>-412.1857</v>
      </c>
      <c r="H4559">
        <v>1.031774</v>
      </c>
      <c r="I4559">
        <v>132.74520000000001</v>
      </c>
      <c r="J4559">
        <v>-411.99939999999998</v>
      </c>
      <c r="K4559">
        <v>1.1132249999999999</v>
      </c>
      <c r="L4559">
        <v>133.53139999999999</v>
      </c>
      <c r="M4559">
        <v>-0.70468469999999905</v>
      </c>
      <c r="N4559">
        <v>-8.3330250000000002E-4</v>
      </c>
      <c r="O4559">
        <v>-0.70951999999999904</v>
      </c>
      <c r="P4559">
        <v>-0.4291972</v>
      </c>
      <c r="Q4559">
        <v>9.3727259999999996E-3</v>
      </c>
      <c r="R4559">
        <v>-0.90316220000000003</v>
      </c>
      <c r="S4559">
        <v>-1.0119020000000001</v>
      </c>
      <c r="T4559">
        <v>-0.24406749999999999</v>
      </c>
      <c r="U4559">
        <v>-2.8464809999999998</v>
      </c>
      <c r="V4559">
        <v>-0.33202540000000003</v>
      </c>
      <c r="W4559">
        <v>5.815298E-3</v>
      </c>
      <c r="X4559">
        <v>0.94325250000000005</v>
      </c>
      <c r="Y4559">
        <v>-0.42660789999999998</v>
      </c>
      <c r="Z4559">
        <v>4.3735780000000002E-2</v>
      </c>
      <c r="AA4559">
        <v>0.90337860000000003</v>
      </c>
      <c r="AB4559">
        <v>23</v>
      </c>
      <c r="AC4559">
        <v>-0.18630000000001601</v>
      </c>
      <c r="AD4559">
        <v>-8.1450999999999898E-2</v>
      </c>
      <c r="AE4559">
        <v>-0.78619999999997903</v>
      </c>
      <c r="AF4559">
        <v>-0.41759589397340402</v>
      </c>
      <c r="AG4559">
        <v>-8.1450999999999898E-2</v>
      </c>
      <c r="AH4559">
        <v>0.68217506878961498</v>
      </c>
      <c r="AI4559">
        <v>95.814597667151006</v>
      </c>
      <c r="AJ4559">
        <v>121.473032561906</v>
      </c>
      <c r="AK4559">
        <v>0.80397973888809104</v>
      </c>
      <c r="AL4559">
        <v>89.666806083780898</v>
      </c>
      <c r="AM4559">
        <v>109.392096614819</v>
      </c>
      <c r="AN4559">
        <v>0.999999981346119</v>
      </c>
    </row>
    <row r="4560" spans="1:40" x14ac:dyDescent="0.25">
      <c r="A4560" t="str">
        <f>"20190305135327012"</f>
        <v>20190305135327012</v>
      </c>
      <c r="B4560" t="str">
        <f>"1551765207004641"</f>
        <v>1551765207004641</v>
      </c>
      <c r="C4560" t="s">
        <v>40</v>
      </c>
      <c r="D4560">
        <v>4.2590579999999996</v>
      </c>
      <c r="E4560">
        <v>0.45761420000000003</v>
      </c>
      <c r="F4560" t="s">
        <v>41</v>
      </c>
      <c r="G4560">
        <v>-412.32569999999998</v>
      </c>
      <c r="H4560">
        <v>1.0345979999999999</v>
      </c>
      <c r="I4560">
        <v>132.58330000000001</v>
      </c>
      <c r="J4560">
        <v>-412.15750000000003</v>
      </c>
      <c r="K4560">
        <v>1.113321</v>
      </c>
      <c r="L4560">
        <v>133.358</v>
      </c>
      <c r="M4560">
        <v>-0.69806519999999905</v>
      </c>
      <c r="N4560">
        <v>-8.7333560000000003E-4</v>
      </c>
      <c r="O4560">
        <v>-0.7160339</v>
      </c>
      <c r="P4560">
        <v>-0.42011419999999999</v>
      </c>
      <c r="Q4560">
        <v>1.148455E-2</v>
      </c>
      <c r="R4560">
        <v>-0.90739879999999995</v>
      </c>
      <c r="S4560">
        <v>-0.98355099999999995</v>
      </c>
      <c r="T4560">
        <v>-0.2369493</v>
      </c>
      <c r="U4560">
        <v>-2.856735</v>
      </c>
      <c r="V4560">
        <v>-0.33274160000000003</v>
      </c>
      <c r="W4560">
        <v>7.8894919999999997E-3</v>
      </c>
      <c r="X4560">
        <v>0.94298510000000002</v>
      </c>
      <c r="Y4560">
        <v>-0.4272125</v>
      </c>
      <c r="Z4560">
        <v>4.300739E-2</v>
      </c>
      <c r="AA4560">
        <v>0.90312780000000004</v>
      </c>
      <c r="AB4560">
        <v>23</v>
      </c>
      <c r="AC4560">
        <v>-0.168199999999956</v>
      </c>
      <c r="AD4560">
        <v>-7.8723000000000098E-2</v>
      </c>
      <c r="AE4560">
        <v>-0.77469999999999495</v>
      </c>
      <c r="AF4560">
        <v>-0.416249561254252</v>
      </c>
      <c r="AG4560">
        <v>-7.8723000000000098E-2</v>
      </c>
      <c r="AH4560">
        <v>0.66556289680376701</v>
      </c>
      <c r="AI4560">
        <v>95.726649446496396</v>
      </c>
      <c r="AJ4560">
        <v>122.02226464688</v>
      </c>
      <c r="AK4560">
        <v>0.78894548453944402</v>
      </c>
      <c r="AL4560">
        <v>89.547960742408506</v>
      </c>
      <c r="AM4560">
        <v>109.435892236192</v>
      </c>
      <c r="AN4560">
        <v>1.0000000576382899</v>
      </c>
    </row>
    <row r="4561" spans="1:40" x14ac:dyDescent="0.25">
      <c r="A4561" t="str">
        <f>"20190305135327034"</f>
        <v>20190305135327034</v>
      </c>
      <c r="B4561" t="str">
        <f>"1551765207024162"</f>
        <v>1551765207024162</v>
      </c>
      <c r="C4561" t="s">
        <v>40</v>
      </c>
      <c r="D4561">
        <v>4.4948689999999996</v>
      </c>
      <c r="E4561">
        <v>0.45799430000000002</v>
      </c>
      <c r="F4561" t="s">
        <v>41</v>
      </c>
      <c r="G4561">
        <v>-412.4821</v>
      </c>
      <c r="H4561">
        <v>1.0358419999999999</v>
      </c>
      <c r="I4561">
        <v>132.38849999999999</v>
      </c>
      <c r="J4561">
        <v>-412.31029999999998</v>
      </c>
      <c r="K4561">
        <v>1.11341</v>
      </c>
      <c r="L4561">
        <v>133.1876</v>
      </c>
      <c r="M4561">
        <v>-0.69156899999999999</v>
      </c>
      <c r="N4561">
        <v>-9.1622120000000001E-4</v>
      </c>
      <c r="O4561">
        <v>-0.7223098</v>
      </c>
      <c r="P4561">
        <v>-0.4112402</v>
      </c>
      <c r="Q4561">
        <v>1.259383E-2</v>
      </c>
      <c r="R4561">
        <v>-0.91144009999999998</v>
      </c>
      <c r="S4561">
        <v>-0.95898439999999996</v>
      </c>
      <c r="T4561">
        <v>-0.2289311</v>
      </c>
      <c r="U4561">
        <v>-2.8650669999999998</v>
      </c>
      <c r="V4561">
        <v>-0.33343230000000001</v>
      </c>
      <c r="W4561">
        <v>8.9618609999999998E-3</v>
      </c>
      <c r="X4561">
        <v>0.9427314</v>
      </c>
      <c r="Y4561">
        <v>-0.42678870000000002</v>
      </c>
      <c r="Z4561">
        <v>4.208837E-2</v>
      </c>
      <c r="AA4561">
        <v>0.90337149999999999</v>
      </c>
      <c r="AB4561">
        <v>23</v>
      </c>
      <c r="AC4561">
        <v>-0.17180000000001799</v>
      </c>
      <c r="AD4561">
        <v>-7.7567999999999998E-2</v>
      </c>
      <c r="AE4561">
        <v>-0.79910000000000903</v>
      </c>
      <c r="AF4561">
        <v>-0.42471510202902801</v>
      </c>
      <c r="AG4561">
        <v>-7.7567999999999998E-2</v>
      </c>
      <c r="AH4561">
        <v>0.68979719990697597</v>
      </c>
      <c r="AI4561">
        <v>95.469705828913703</v>
      </c>
      <c r="AJ4561">
        <v>121.621026678181</v>
      </c>
      <c r="AK4561">
        <v>0.81376894110984099</v>
      </c>
      <c r="AL4561">
        <v>89.486516290470007</v>
      </c>
      <c r="AM4561">
        <v>109.47804983235</v>
      </c>
      <c r="AN4561">
        <v>0.99999995309091505</v>
      </c>
    </row>
    <row r="4562" spans="1:40" x14ac:dyDescent="0.25">
      <c r="A4562" t="str">
        <f>"20190305135327057"</f>
        <v>20190305135327057</v>
      </c>
      <c r="B4562" t="str">
        <f>"1551765207044657"</f>
        <v>1551765207044657</v>
      </c>
      <c r="C4562" t="s">
        <v>40</v>
      </c>
      <c r="D4562">
        <v>4.2558720000000001</v>
      </c>
      <c r="E4562">
        <v>0.45891769999999998</v>
      </c>
      <c r="F4562" t="s">
        <v>41</v>
      </c>
      <c r="G4562">
        <v>-412.63060000000002</v>
      </c>
      <c r="H4562">
        <v>1.0364</v>
      </c>
      <c r="I4562">
        <v>132.2022</v>
      </c>
      <c r="J4562">
        <v>-412.46350000000001</v>
      </c>
      <c r="K4562">
        <v>1.1134949999999999</v>
      </c>
      <c r="L4562">
        <v>133.0136</v>
      </c>
      <c r="M4562">
        <v>-0.68494560000000004</v>
      </c>
      <c r="N4562">
        <v>-9.631978E-4</v>
      </c>
      <c r="O4562">
        <v>-0.72859370000000001</v>
      </c>
      <c r="P4562">
        <v>-0.40225290000000002</v>
      </c>
      <c r="Q4562">
        <v>1.268527E-2</v>
      </c>
      <c r="R4562">
        <v>-0.9154409</v>
      </c>
      <c r="S4562">
        <v>-0.93368530000000005</v>
      </c>
      <c r="T4562">
        <v>-0.22451650000000001</v>
      </c>
      <c r="U4562">
        <v>-2.8733059999999999</v>
      </c>
      <c r="V4562">
        <v>-0.33410329999999999</v>
      </c>
      <c r="W4562">
        <v>9.0166940000000004E-3</v>
      </c>
      <c r="X4562">
        <v>0.94249340000000004</v>
      </c>
      <c r="Y4562">
        <v>-0.42648419999999998</v>
      </c>
      <c r="Z4562">
        <v>4.180503E-2</v>
      </c>
      <c r="AA4562">
        <v>0.90352849999999996</v>
      </c>
      <c r="AB4562">
        <v>23</v>
      </c>
      <c r="AC4562">
        <v>-0.167100000000004</v>
      </c>
      <c r="AD4562">
        <v>-7.7095000000000094E-2</v>
      </c>
      <c r="AE4562">
        <v>-0.81139999999999102</v>
      </c>
      <c r="AF4562">
        <v>-0.430290481128417</v>
      </c>
      <c r="AG4562">
        <v>-7.7095000000000094E-2</v>
      </c>
      <c r="AH4562">
        <v>0.69957691104736697</v>
      </c>
      <c r="AI4562">
        <v>95.362515662803204</v>
      </c>
      <c r="AJ4562">
        <v>121.594527297357</v>
      </c>
      <c r="AK4562">
        <v>0.82492508244403595</v>
      </c>
      <c r="AL4562">
        <v>89.483374520395998</v>
      </c>
      <c r="AM4562">
        <v>109.518843696272</v>
      </c>
      <c r="AN4562">
        <v>1.00000006244256</v>
      </c>
    </row>
    <row r="4563" spans="1:40" x14ac:dyDescent="0.25">
      <c r="A4563" t="str">
        <f>"20190305135327079"</f>
        <v>20190305135327079</v>
      </c>
      <c r="B4563" t="str">
        <f>"1551765207074447"</f>
        <v>1551765207074447</v>
      </c>
      <c r="C4563" t="s">
        <v>40</v>
      </c>
      <c r="D4563">
        <v>4.2318319999999998</v>
      </c>
      <c r="E4563">
        <v>0.46002949999999998</v>
      </c>
      <c r="F4563" t="s">
        <v>42</v>
      </c>
      <c r="G4563">
        <v>-417.01299999999998</v>
      </c>
      <c r="H4563" s="1">
        <v>-4.3991930000000002E-6</v>
      </c>
      <c r="I4563">
        <v>118.6523</v>
      </c>
      <c r="J4563">
        <v>-412.61540000000002</v>
      </c>
      <c r="K4563">
        <v>1.1135889999999999</v>
      </c>
      <c r="L4563">
        <v>132.83799999999999</v>
      </c>
      <c r="M4563">
        <v>-0.67826850000000005</v>
      </c>
      <c r="N4563">
        <v>-1.0132780000000001E-3</v>
      </c>
      <c r="O4563">
        <v>-0.73481359999999996</v>
      </c>
      <c r="P4563">
        <v>-0.39329219999999998</v>
      </c>
      <c r="Q4563">
        <v>1.262924E-2</v>
      </c>
      <c r="R4563">
        <v>-0.91932689999999995</v>
      </c>
      <c r="S4563">
        <v>-0.91217040000000005</v>
      </c>
      <c r="T4563">
        <v>-0.2232538</v>
      </c>
      <c r="U4563">
        <v>-2.8793950000000001</v>
      </c>
      <c r="V4563">
        <v>-0.33471060000000002</v>
      </c>
      <c r="W4563">
        <v>8.9260980000000004E-3</v>
      </c>
      <c r="X4563">
        <v>0.94227870000000002</v>
      </c>
      <c r="Y4563">
        <v>-0.42491820000000002</v>
      </c>
      <c r="Z4563">
        <v>4.214267E-2</v>
      </c>
      <c r="AA4563">
        <v>0.90425029999999995</v>
      </c>
      <c r="AB4563">
        <v>24</v>
      </c>
      <c r="AC4563">
        <v>-4.3976000000000104</v>
      </c>
      <c r="AD4563">
        <v>-1.113593399193</v>
      </c>
      <c r="AE4563">
        <v>-14.185699999999899</v>
      </c>
      <c r="AF4563">
        <v>-6.35457352922844</v>
      </c>
      <c r="AG4563">
        <v>-1.113593399193</v>
      </c>
      <c r="AH4563">
        <v>13.331652003841199</v>
      </c>
      <c r="AI4563">
        <v>94.312081036624903</v>
      </c>
      <c r="AJ4563">
        <v>115.48494901308101</v>
      </c>
      <c r="AK4563">
        <v>14.810592160633499</v>
      </c>
      <c r="AL4563">
        <v>89.488565467899804</v>
      </c>
      <c r="AM4563">
        <v>109.555751349543</v>
      </c>
      <c r="AN4563">
        <v>1.00000000472577</v>
      </c>
    </row>
    <row r="4564" spans="1:40" x14ac:dyDescent="0.25">
      <c r="A4564" t="str">
        <f>"20190305135327101"</f>
        <v>20190305135327101</v>
      </c>
      <c r="B4564" t="str">
        <f>"1551765207094942"</f>
        <v>1551765207094942</v>
      </c>
      <c r="C4564" t="s">
        <v>40</v>
      </c>
      <c r="D4564">
        <v>4.2331479999999999</v>
      </c>
      <c r="E4564">
        <v>0.46104479999999998</v>
      </c>
      <c r="F4564" t="s">
        <v>42</v>
      </c>
      <c r="G4564">
        <v>-417.06490000000002</v>
      </c>
      <c r="H4564" s="1">
        <v>-4.3052139999999998E-6</v>
      </c>
      <c r="I4564">
        <v>118.4547</v>
      </c>
      <c r="J4564">
        <v>-412.7724</v>
      </c>
      <c r="K4564">
        <v>1.1136760000000001</v>
      </c>
      <c r="L4564">
        <v>132.6533</v>
      </c>
      <c r="M4564">
        <v>-0.67124340000000005</v>
      </c>
      <c r="N4564">
        <v>-1.068306E-3</v>
      </c>
      <c r="O4564">
        <v>-0.74123629999999996</v>
      </c>
      <c r="P4564">
        <v>-0.38458589999999998</v>
      </c>
      <c r="Q4564">
        <v>1.3014649999999999E-2</v>
      </c>
      <c r="R4564">
        <v>-0.92299750000000003</v>
      </c>
      <c r="S4564">
        <v>-0.8923645</v>
      </c>
      <c r="T4564">
        <v>-0.2233309</v>
      </c>
      <c r="U4564">
        <v>-2.8845670000000001</v>
      </c>
      <c r="V4564">
        <v>-0.33465200000000001</v>
      </c>
      <c r="W4564">
        <v>9.2880040000000007E-3</v>
      </c>
      <c r="X4564">
        <v>0.94229600000000002</v>
      </c>
      <c r="Y4564">
        <v>-0.4224311</v>
      </c>
      <c r="Z4564">
        <v>4.2778990000000003E-2</v>
      </c>
      <c r="AA4564">
        <v>0.905385</v>
      </c>
      <c r="AB4564">
        <v>24</v>
      </c>
      <c r="AC4564">
        <v>-4.2925000000000102</v>
      </c>
      <c r="AD4564">
        <v>-1.1136803052140001</v>
      </c>
      <c r="AE4564">
        <v>-14.198600000000001</v>
      </c>
      <c r="AF4564">
        <v>-6.3133745938609298</v>
      </c>
      <c r="AG4564">
        <v>-1.1136803052140001</v>
      </c>
      <c r="AH4564">
        <v>13.330692017881701</v>
      </c>
      <c r="AI4564">
        <v>94.317818445667996</v>
      </c>
      <c r="AJ4564">
        <v>115.342090661116</v>
      </c>
      <c r="AK4564">
        <v>14.7921037131385</v>
      </c>
      <c r="AL4564">
        <v>89.467828913652099</v>
      </c>
      <c r="AM4564">
        <v>109.55225555711201</v>
      </c>
      <c r="AN4564">
        <v>0.99999998986915195</v>
      </c>
    </row>
    <row r="4565" spans="1:40" x14ac:dyDescent="0.25">
      <c r="A4565" t="str">
        <f>"20190305135327123"</f>
        <v>20190305135327123</v>
      </c>
      <c r="B4565" t="str">
        <f>"1551765207114463"</f>
        <v>1551765207114463</v>
      </c>
      <c r="C4565" t="s">
        <v>40</v>
      </c>
      <c r="D4565">
        <v>4.250432</v>
      </c>
      <c r="E4565">
        <v>0.4614781</v>
      </c>
      <c r="F4565" t="s">
        <v>42</v>
      </c>
      <c r="G4565">
        <v>-417.1268</v>
      </c>
      <c r="H4565" s="1">
        <v>-4.2021370000000004E-6</v>
      </c>
      <c r="I4565">
        <v>118.2401</v>
      </c>
      <c r="J4565">
        <v>-412.9205</v>
      </c>
      <c r="K4565">
        <v>1.113767</v>
      </c>
      <c r="L4565">
        <v>132.47569999999999</v>
      </c>
      <c r="M4565">
        <v>-0.66449579999999997</v>
      </c>
      <c r="N4565">
        <v>-1.124405E-3</v>
      </c>
      <c r="O4565">
        <v>-0.74729119999999905</v>
      </c>
      <c r="P4565">
        <v>-0.37641530000000001</v>
      </c>
      <c r="Q4565">
        <v>1.2195599999999999E-2</v>
      </c>
      <c r="R4565">
        <v>-0.92637100000000006</v>
      </c>
      <c r="S4565">
        <v>-0.87301640000000003</v>
      </c>
      <c r="T4565">
        <v>-0.22327849999999999</v>
      </c>
      <c r="U4565">
        <v>-2.8896639999999998</v>
      </c>
      <c r="V4565">
        <v>-0.334433799999999</v>
      </c>
      <c r="W4565">
        <v>8.4516639999999994E-3</v>
      </c>
      <c r="X4565">
        <v>0.94238129999999998</v>
      </c>
      <c r="Y4565">
        <v>-0.42021560000000002</v>
      </c>
      <c r="Z4565">
        <v>4.3345580000000002E-2</v>
      </c>
      <c r="AA4565">
        <v>0.90638850000000004</v>
      </c>
      <c r="AB4565">
        <v>24</v>
      </c>
      <c r="AC4565">
        <v>-4.2062999999999899</v>
      </c>
      <c r="AD4565">
        <v>-1.1137712021370001</v>
      </c>
      <c r="AE4565">
        <v>-14.2355999999999</v>
      </c>
      <c r="AF4565">
        <v>-6.2808098883791796</v>
      </c>
      <c r="AG4565">
        <v>-1.1137712021370001</v>
      </c>
      <c r="AH4565">
        <v>13.358013186528099</v>
      </c>
      <c r="AI4565">
        <v>94.315018853469496</v>
      </c>
      <c r="AJ4565">
        <v>115.182460318278</v>
      </c>
      <c r="AK4565">
        <v>14.8028907797136</v>
      </c>
      <c r="AL4565">
        <v>89.515749536411903</v>
      </c>
      <c r="AM4565">
        <v>109.53883841638201</v>
      </c>
      <c r="AN4565">
        <v>0.99999995589824797</v>
      </c>
    </row>
    <row r="4566" spans="1:40" x14ac:dyDescent="0.25">
      <c r="A4566" t="str">
        <f>"20190305135327145"</f>
        <v>20190305135327145</v>
      </c>
      <c r="B4566" t="str">
        <f>"1551765207134959"</f>
        <v>1551765207134959</v>
      </c>
      <c r="C4566" t="s">
        <v>40</v>
      </c>
      <c r="D4566">
        <v>4.249987</v>
      </c>
      <c r="E4566">
        <v>0.46230349999999998</v>
      </c>
      <c r="F4566" t="s">
        <v>42</v>
      </c>
      <c r="G4566">
        <v>-417.07150000000001</v>
      </c>
      <c r="H4566" s="1">
        <v>-4.2533509999999999E-6</v>
      </c>
      <c r="I4566">
        <v>118.3365</v>
      </c>
      <c r="J4566">
        <v>-413.0718</v>
      </c>
      <c r="K4566">
        <v>1.113853</v>
      </c>
      <c r="L4566">
        <v>132.29079999999999</v>
      </c>
      <c r="M4566">
        <v>-0.65747959999999905</v>
      </c>
      <c r="N4566">
        <v>-1.188298E-3</v>
      </c>
      <c r="O4566">
        <v>-0.75347180000000002</v>
      </c>
      <c r="P4566">
        <v>-0.36836259999999998</v>
      </c>
      <c r="Q4566">
        <v>1.1767329999999999E-2</v>
      </c>
      <c r="R4566">
        <v>-0.92960810000000005</v>
      </c>
      <c r="S4566">
        <v>-0.85021970000000002</v>
      </c>
      <c r="T4566">
        <v>-0.2281244</v>
      </c>
      <c r="U4566">
        <v>-2.8959959999999998</v>
      </c>
      <c r="V4566">
        <v>-0.33379999999999999</v>
      </c>
      <c r="W4566">
        <v>8.0182329999999996E-3</v>
      </c>
      <c r="X4566">
        <v>0.94260980000000005</v>
      </c>
      <c r="Y4566">
        <v>-0.41885109999999998</v>
      </c>
      <c r="Z4566">
        <v>4.4869520000000003E-2</v>
      </c>
      <c r="AA4566">
        <v>0.90694560000000002</v>
      </c>
      <c r="AB4566">
        <v>24</v>
      </c>
      <c r="AC4566">
        <v>-3.99970000000001</v>
      </c>
      <c r="AD4566">
        <v>-1.1138572533510001</v>
      </c>
      <c r="AE4566">
        <v>-13.9542999999999</v>
      </c>
      <c r="AF4566">
        <v>-6.1249464895629302</v>
      </c>
      <c r="AG4566">
        <v>-1.1138572533510001</v>
      </c>
      <c r="AH4566">
        <v>13.066962421808199</v>
      </c>
      <c r="AI4566">
        <v>94.413555032693907</v>
      </c>
      <c r="AJ4566">
        <v>115.114144139885</v>
      </c>
      <c r="AK4566">
        <v>14.474154704638201</v>
      </c>
      <c r="AL4566">
        <v>89.540584159505599</v>
      </c>
      <c r="AM4566">
        <v>109.500235659711</v>
      </c>
      <c r="AN4566">
        <v>0.99999998355824105</v>
      </c>
    </row>
    <row r="4567" spans="1:40" x14ac:dyDescent="0.25">
      <c r="A4567" t="str">
        <f>"20190305135327168"</f>
        <v>20190305135327168</v>
      </c>
      <c r="B4567" t="str">
        <f>"1551765207164747"</f>
        <v>1551765207164747</v>
      </c>
      <c r="C4567" t="s">
        <v>40</v>
      </c>
      <c r="D4567">
        <v>4.2171190000000003</v>
      </c>
      <c r="E4567">
        <v>0.46381299999999998</v>
      </c>
      <c r="F4567" t="s">
        <v>41</v>
      </c>
      <c r="G4567">
        <v>-413.35890000000001</v>
      </c>
      <c r="H4567">
        <v>1.034592</v>
      </c>
      <c r="I4567">
        <v>131.29</v>
      </c>
      <c r="J4567">
        <v>-413.22930000000002</v>
      </c>
      <c r="K4567">
        <v>1.113953</v>
      </c>
      <c r="L4567">
        <v>132.09450000000001</v>
      </c>
      <c r="M4567">
        <v>-0.650038</v>
      </c>
      <c r="N4567">
        <v>-1.262881E-3</v>
      </c>
      <c r="O4567">
        <v>-0.75990080000000004</v>
      </c>
      <c r="P4567">
        <v>-0.3592012</v>
      </c>
      <c r="Q4567">
        <v>1.195035E-2</v>
      </c>
      <c r="R4567">
        <v>-0.93318380000000001</v>
      </c>
      <c r="S4567">
        <v>-0.83163449999999906</v>
      </c>
      <c r="T4567">
        <v>-0.2296648</v>
      </c>
      <c r="U4567">
        <v>-2.9005429999999999</v>
      </c>
      <c r="V4567">
        <v>-0.3338062</v>
      </c>
      <c r="W4567">
        <v>8.1927519999999993E-3</v>
      </c>
      <c r="X4567">
        <v>0.9426061</v>
      </c>
      <c r="Y4567">
        <v>-0.41567579999999998</v>
      </c>
      <c r="Z4567">
        <v>4.5821210000000001E-2</v>
      </c>
      <c r="AA4567">
        <v>0.90835790000000005</v>
      </c>
      <c r="AB4567">
        <v>25</v>
      </c>
      <c r="AC4567">
        <v>-0.12959999999998201</v>
      </c>
      <c r="AD4567">
        <v>-7.9361000000000001E-2</v>
      </c>
      <c r="AE4567">
        <v>-0.80450000000001798</v>
      </c>
      <c r="AF4567">
        <v>-0.42048444104214899</v>
      </c>
      <c r="AG4567">
        <v>-7.9361000000000001E-2</v>
      </c>
      <c r="AH4567">
        <v>0.68904998507040605</v>
      </c>
      <c r="AI4567">
        <v>95.614961427648495</v>
      </c>
      <c r="AJ4567">
        <v>121.39312569362799</v>
      </c>
      <c r="AK4567">
        <v>0.81110740065977405</v>
      </c>
      <c r="AL4567">
        <v>89.530584627051994</v>
      </c>
      <c r="AM4567">
        <v>109.500641296997</v>
      </c>
      <c r="AN4567">
        <v>0.99999998005049096</v>
      </c>
    </row>
    <row r="4568" spans="1:40" x14ac:dyDescent="0.25">
      <c r="A4568" t="str">
        <f>"20190305135327191"</f>
        <v>20190305135327191</v>
      </c>
      <c r="B4568" t="str">
        <f>"1551765207184266"</f>
        <v>1551765207184266</v>
      </c>
      <c r="C4568" t="s">
        <v>40</v>
      </c>
      <c r="D4568">
        <v>4.2816580000000002</v>
      </c>
      <c r="E4568">
        <v>0.46426620000000002</v>
      </c>
      <c r="F4568" t="s">
        <v>41</v>
      </c>
      <c r="G4568">
        <v>-413.51659999999998</v>
      </c>
      <c r="H4568">
        <v>1.033061</v>
      </c>
      <c r="I4568">
        <v>131.07140000000001</v>
      </c>
      <c r="J4568">
        <v>-413.37889999999999</v>
      </c>
      <c r="K4568">
        <v>1.114044</v>
      </c>
      <c r="L4568">
        <v>131.90450000000001</v>
      </c>
      <c r="M4568">
        <v>-0.64284039999999998</v>
      </c>
      <c r="N4568">
        <v>-1.338695E-3</v>
      </c>
      <c r="O4568">
        <v>-0.76599910000000004</v>
      </c>
      <c r="P4568">
        <v>-0.35028599999999999</v>
      </c>
      <c r="Q4568">
        <v>1.245306E-2</v>
      </c>
      <c r="R4568">
        <v>-0.93656019999999895</v>
      </c>
      <c r="S4568">
        <v>-0.81445310000000004</v>
      </c>
      <c r="T4568">
        <v>-0.2295277</v>
      </c>
      <c r="U4568">
        <v>-2.9042210000000002</v>
      </c>
      <c r="V4568">
        <v>-0.3339087</v>
      </c>
      <c r="W4568">
        <v>8.6915029999999997E-3</v>
      </c>
      <c r="X4568">
        <v>0.94256530000000005</v>
      </c>
      <c r="Y4568">
        <v>-0.41237990000000002</v>
      </c>
      <c r="Z4568">
        <v>4.641224E-2</v>
      </c>
      <c r="AA4568">
        <v>0.909829</v>
      </c>
      <c r="AB4568">
        <v>25</v>
      </c>
      <c r="AC4568">
        <v>-0.13769999999999499</v>
      </c>
      <c r="AD4568">
        <v>-8.0982999999999999E-2</v>
      </c>
      <c r="AE4568">
        <v>-0.83310000000000095</v>
      </c>
      <c r="AF4568">
        <v>-0.42615290032138298</v>
      </c>
      <c r="AG4568">
        <v>-8.0982999999999999E-2</v>
      </c>
      <c r="AH4568">
        <v>0.72005061268130399</v>
      </c>
      <c r="AI4568">
        <v>95.528308231689294</v>
      </c>
      <c r="AJ4568">
        <v>120.618634691241</v>
      </c>
      <c r="AK4568">
        <v>0.84061728840421102</v>
      </c>
      <c r="AL4568">
        <v>89.5020072672515</v>
      </c>
      <c r="AM4568">
        <v>109.50695782951099</v>
      </c>
      <c r="AN4568">
        <v>0.99999995346208803</v>
      </c>
    </row>
    <row r="4569" spans="1:40" x14ac:dyDescent="0.25">
      <c r="A4569" t="str">
        <f>"20190305135327212"</f>
        <v>20190305135327212</v>
      </c>
      <c r="B4569" t="str">
        <f>"1551765207204766"</f>
        <v>1551765207204766</v>
      </c>
      <c r="C4569" t="s">
        <v>40</v>
      </c>
      <c r="D4569">
        <v>4.5775459999999999</v>
      </c>
      <c r="E4569">
        <v>0.49601519999999999</v>
      </c>
      <c r="F4569" t="s">
        <v>41</v>
      </c>
      <c r="G4569">
        <v>-413.66210000000001</v>
      </c>
      <c r="H4569">
        <v>1.032456</v>
      </c>
      <c r="I4569">
        <v>130.86170000000001</v>
      </c>
      <c r="J4569">
        <v>-413.52769999999998</v>
      </c>
      <c r="K4569">
        <v>1.114147</v>
      </c>
      <c r="L4569">
        <v>131.71170000000001</v>
      </c>
      <c r="M4569">
        <v>-0.63554359999999999</v>
      </c>
      <c r="N4569">
        <v>-1.4172430000000001E-3</v>
      </c>
      <c r="O4569">
        <v>-0.77206370000000002</v>
      </c>
      <c r="P4569">
        <v>-0.34172039999999998</v>
      </c>
      <c r="Q4569">
        <v>1.2237960000000001E-2</v>
      </c>
      <c r="R4569">
        <v>-0.9397221</v>
      </c>
      <c r="S4569">
        <v>-0.79037480000000004</v>
      </c>
      <c r="T4569">
        <v>-0.22770879999999999</v>
      </c>
      <c r="U4569">
        <v>-2.9106139999999998</v>
      </c>
      <c r="V4569">
        <v>-0.33357310000000001</v>
      </c>
      <c r="W4569">
        <v>8.4826569999999994E-3</v>
      </c>
      <c r="X4569">
        <v>0.94268609999999997</v>
      </c>
      <c r="Y4569">
        <v>-0.41125139999999999</v>
      </c>
      <c r="Z4569">
        <v>4.6569480000000003E-2</v>
      </c>
      <c r="AA4569">
        <v>0.91033160000000002</v>
      </c>
      <c r="AB4569">
        <v>25</v>
      </c>
      <c r="AC4569">
        <v>-0.134400000000027</v>
      </c>
      <c r="AD4569">
        <v>-8.1690999999999903E-2</v>
      </c>
      <c r="AE4569">
        <v>-0.84999999999999398</v>
      </c>
      <c r="AF4569">
        <v>-0.43254930943015601</v>
      </c>
      <c r="AG4569">
        <v>-8.1690999999999903E-2</v>
      </c>
      <c r="AH4569">
        <v>0.73504821646872398</v>
      </c>
      <c r="AI4569">
        <v>95.471279125126401</v>
      </c>
      <c r="AJ4569">
        <v>120.47527318656</v>
      </c>
      <c r="AK4569">
        <v>0.85677780381109203</v>
      </c>
      <c r="AL4569">
        <v>89.513973738567003</v>
      </c>
      <c r="AM4569">
        <v>109.486521146548</v>
      </c>
      <c r="AN4569">
        <v>1.00000002582329</v>
      </c>
    </row>
    <row r="4570" spans="1:40" x14ac:dyDescent="0.25">
      <c r="A4570" t="str">
        <f>"20190305135327235"</f>
        <v>20190305135327235</v>
      </c>
      <c r="B4570" t="str">
        <f>"1551765207224283"</f>
        <v>1551765207224283</v>
      </c>
      <c r="C4570" t="s">
        <v>40</v>
      </c>
      <c r="D4570">
        <v>4.2136760000000004</v>
      </c>
      <c r="E4570">
        <v>0.49998510000000002</v>
      </c>
      <c r="F4570" t="s">
        <v>42</v>
      </c>
      <c r="G4570">
        <v>-418.38010000000003</v>
      </c>
      <c r="H4570" s="1">
        <v>-3.8776830000000003E-6</v>
      </c>
      <c r="I4570">
        <v>118.00190000000001</v>
      </c>
      <c r="J4570">
        <v>-413.68279999999999</v>
      </c>
      <c r="K4570">
        <v>1.114244</v>
      </c>
      <c r="L4570">
        <v>131.5069</v>
      </c>
      <c r="M4570">
        <v>-0.62779459999999998</v>
      </c>
      <c r="N4570">
        <v>-1.500824E-3</v>
      </c>
      <c r="O4570">
        <v>-0.7783776</v>
      </c>
      <c r="P4570">
        <v>-0.3329782</v>
      </c>
      <c r="Q4570">
        <v>1.286941E-2</v>
      </c>
      <c r="R4570">
        <v>-0.94284670000000004</v>
      </c>
      <c r="S4570">
        <v>-1.002014</v>
      </c>
      <c r="T4570">
        <v>-0.23006989999999999</v>
      </c>
      <c r="U4570">
        <v>-2.8310390000000001</v>
      </c>
      <c r="V4570">
        <v>-0.33291349999999997</v>
      </c>
      <c r="W4570">
        <v>9.1301760000000003E-3</v>
      </c>
      <c r="X4570">
        <v>0.94291320000000001</v>
      </c>
      <c r="Y4570">
        <v>-0.33255750000000001</v>
      </c>
      <c r="Z4570">
        <v>4.9948869999999999E-2</v>
      </c>
      <c r="AA4570">
        <v>0.94175929999999997</v>
      </c>
      <c r="AB4570">
        <v>25</v>
      </c>
      <c r="AC4570">
        <v>-4.6973000000000402</v>
      </c>
      <c r="AD4570">
        <v>-1.114247877683</v>
      </c>
      <c r="AE4570">
        <v>-13.5049999999999</v>
      </c>
      <c r="AF4570">
        <v>-4.7929923043271803</v>
      </c>
      <c r="AG4570">
        <v>-1.114247877683</v>
      </c>
      <c r="AH4570">
        <v>13.379694206170299</v>
      </c>
      <c r="AI4570">
        <v>94.482839028974794</v>
      </c>
      <c r="AJ4570">
        <v>109.70898846921899</v>
      </c>
      <c r="AK4570">
        <v>14.2558949425453</v>
      </c>
      <c r="AL4570">
        <v>89.476872196859802</v>
      </c>
      <c r="AM4570">
        <v>109.44655135899301</v>
      </c>
      <c r="AN4570">
        <v>1.00000003066514</v>
      </c>
    </row>
    <row r="4571" spans="1:40" x14ac:dyDescent="0.25">
      <c r="A4571" t="str">
        <f>"20190305135327258"</f>
        <v>20190305135327258</v>
      </c>
      <c r="B4571" t="str">
        <f>"1551765207254539"</f>
        <v>1551765207254539</v>
      </c>
      <c r="C4571" t="s">
        <v>40</v>
      </c>
      <c r="D4571">
        <v>4.168444</v>
      </c>
      <c r="E4571">
        <v>0.5025037</v>
      </c>
      <c r="F4571" t="s">
        <v>42</v>
      </c>
      <c r="G4571">
        <v>-418.916</v>
      </c>
      <c r="H4571" s="1">
        <v>-3.2566170000000001E-6</v>
      </c>
      <c r="I4571">
        <v>116.7758</v>
      </c>
      <c r="J4571">
        <v>-413.83010000000002</v>
      </c>
      <c r="K4571">
        <v>1.1143299999999901</v>
      </c>
      <c r="L4571">
        <v>131.30850000000001</v>
      </c>
      <c r="M4571">
        <v>-0.62029769999999995</v>
      </c>
      <c r="N4571">
        <v>-1.5807919999999999E-3</v>
      </c>
      <c r="O4571">
        <v>-0.78436510000000004</v>
      </c>
      <c r="P4571">
        <v>-0.32473449999999998</v>
      </c>
      <c r="Q4571">
        <v>1.291776E-2</v>
      </c>
      <c r="R4571">
        <v>-0.94571729999999998</v>
      </c>
      <c r="S4571">
        <v>-1.00528</v>
      </c>
      <c r="T4571">
        <v>-0.21404229999999999</v>
      </c>
      <c r="U4571">
        <v>-2.8297729999999999</v>
      </c>
      <c r="V4571">
        <v>-0.33210109999999998</v>
      </c>
      <c r="W4571">
        <v>9.2002690000000005E-3</v>
      </c>
      <c r="X4571">
        <v>0.94319889999999995</v>
      </c>
      <c r="Y4571">
        <v>-0.3223414</v>
      </c>
      <c r="Z4571">
        <v>4.7082800000000001E-2</v>
      </c>
      <c r="AA4571">
        <v>0.94545190000000001</v>
      </c>
      <c r="AB4571">
        <v>25</v>
      </c>
      <c r="AC4571">
        <v>-5.0858999999999801</v>
      </c>
      <c r="AD4571">
        <v>-1.1143332566169999</v>
      </c>
      <c r="AE4571">
        <v>-14.5327</v>
      </c>
      <c r="AF4571">
        <v>-4.9992176794919096</v>
      </c>
      <c r="AG4571">
        <v>-1.1143332566169999</v>
      </c>
      <c r="AH4571">
        <v>14.477895930952</v>
      </c>
      <c r="AI4571">
        <v>94.161095770821802</v>
      </c>
      <c r="AJ4571">
        <v>109.04979414808</v>
      </c>
      <c r="AK4571">
        <v>15.357193317830699</v>
      </c>
      <c r="AL4571">
        <v>89.472855966018003</v>
      </c>
      <c r="AM4571">
        <v>109.39720774576401</v>
      </c>
      <c r="AN4571">
        <v>0.999999975266045</v>
      </c>
    </row>
    <row r="4572" spans="1:40" x14ac:dyDescent="0.25">
      <c r="A4572" t="str">
        <f>"20190305135327280"</f>
        <v>20190305135327280</v>
      </c>
      <c r="B4572" t="str">
        <f>"1551765207274566"</f>
        <v>1551765207274566</v>
      </c>
      <c r="C4572" t="s">
        <v>40</v>
      </c>
      <c r="D4572">
        <v>4.1609809999999996</v>
      </c>
      <c r="E4572">
        <v>0.50345309999999999</v>
      </c>
      <c r="F4572" t="s">
        <v>42</v>
      </c>
      <c r="G4572">
        <v>-419.21969999999999</v>
      </c>
      <c r="H4572" s="1">
        <v>-2.8884709999999998E-6</v>
      </c>
      <c r="I4572">
        <v>116.0432</v>
      </c>
      <c r="J4572">
        <v>-413.97949999999997</v>
      </c>
      <c r="K4572">
        <v>1.114409</v>
      </c>
      <c r="L4572">
        <v>131.10329999999999</v>
      </c>
      <c r="M4572">
        <v>-0.61255760000000004</v>
      </c>
      <c r="N4572">
        <v>-1.6615169999999999E-3</v>
      </c>
      <c r="O4572">
        <v>-0.79042449999999997</v>
      </c>
      <c r="P4572">
        <v>-0.3157565</v>
      </c>
      <c r="Q4572">
        <v>1.246951E-2</v>
      </c>
      <c r="R4572">
        <v>-0.94875869999999995</v>
      </c>
      <c r="S4572">
        <v>-0.99978639999999996</v>
      </c>
      <c r="T4572">
        <v>-0.20671200000000001</v>
      </c>
      <c r="U4572">
        <v>-2.8317410000000001</v>
      </c>
      <c r="V4572">
        <v>-0.33176909999999998</v>
      </c>
      <c r="W4572">
        <v>8.7697019999999903E-3</v>
      </c>
      <c r="X4572">
        <v>0.94331989999999999</v>
      </c>
      <c r="Y4572">
        <v>-0.31484450000000003</v>
      </c>
      <c r="Z4572">
        <v>4.6027970000000001E-2</v>
      </c>
      <c r="AA4572">
        <v>0.94802649999999999</v>
      </c>
      <c r="AB4572">
        <v>25</v>
      </c>
      <c r="AC4572">
        <v>-5.2402000000000104</v>
      </c>
      <c r="AD4572">
        <v>-1.1144118884709999</v>
      </c>
      <c r="AE4572">
        <v>-15.060099999999901</v>
      </c>
      <c r="AF4572">
        <v>-5.0584948586889196</v>
      </c>
      <c r="AG4572">
        <v>-1.1144118884709999</v>
      </c>
      <c r="AH4572">
        <v>15.0403520557965</v>
      </c>
      <c r="AI4572">
        <v>94.017237840626805</v>
      </c>
      <c r="AJ4572">
        <v>108.58924483019101</v>
      </c>
      <c r="AK4572">
        <v>15.9073088250291</v>
      </c>
      <c r="AL4572">
        <v>89.497526666373005</v>
      </c>
      <c r="AM4572">
        <v>109.37696200630501</v>
      </c>
      <c r="AN4572">
        <v>1.00000003856199</v>
      </c>
    </row>
    <row r="4573" spans="1:40" x14ac:dyDescent="0.25">
      <c r="A4573" t="str">
        <f>"20190305135327302"</f>
        <v>20190305135327302</v>
      </c>
      <c r="B4573" t="str">
        <f>"1551765207295062"</f>
        <v>1551765207295062</v>
      </c>
      <c r="C4573" t="s">
        <v>40</v>
      </c>
      <c r="D4573">
        <v>4.1460949999999999</v>
      </c>
      <c r="E4573">
        <v>0.50385550000000001</v>
      </c>
      <c r="F4573" t="s">
        <v>42</v>
      </c>
      <c r="G4573">
        <v>-419.23899999999998</v>
      </c>
      <c r="H4573" s="1">
        <v>-2.8096600000000001E-6</v>
      </c>
      <c r="I4573">
        <v>115.86750000000001</v>
      </c>
      <c r="J4573">
        <v>-414.12819999999999</v>
      </c>
      <c r="K4573">
        <v>1.1144750000000001</v>
      </c>
      <c r="L4573">
        <v>130.89490000000001</v>
      </c>
      <c r="M4573">
        <v>-0.60471119999999901</v>
      </c>
      <c r="N4573">
        <v>-1.740849E-3</v>
      </c>
      <c r="O4573">
        <v>-0.79644300000000001</v>
      </c>
      <c r="P4573">
        <v>-0.30621720000000002</v>
      </c>
      <c r="Q4573">
        <v>1.118273E-2</v>
      </c>
      <c r="R4573">
        <v>-0.95189610000000002</v>
      </c>
      <c r="S4573">
        <v>-0.9799194</v>
      </c>
      <c r="T4573">
        <v>-0.20762810000000001</v>
      </c>
      <c r="U4573">
        <v>-2.8386079999999998</v>
      </c>
      <c r="V4573">
        <v>-0.33190170000000002</v>
      </c>
      <c r="W4573">
        <v>7.4956349999999996E-3</v>
      </c>
      <c r="X4573">
        <v>0.94328420000000002</v>
      </c>
      <c r="Y4573">
        <v>-0.31210209999999999</v>
      </c>
      <c r="Z4573">
        <v>4.6725650000000001E-2</v>
      </c>
      <c r="AA4573">
        <v>0.94889889999999999</v>
      </c>
      <c r="AB4573">
        <v>26</v>
      </c>
      <c r="AC4573">
        <v>-5.1108000000000402</v>
      </c>
      <c r="AD4573">
        <v>-1.1144778096600001</v>
      </c>
      <c r="AE4573">
        <v>-15.0274</v>
      </c>
      <c r="AF4573">
        <v>-4.9921724608957598</v>
      </c>
      <c r="AG4573">
        <v>-1.1144778096600001</v>
      </c>
      <c r="AH4573">
        <v>14.985171662103999</v>
      </c>
      <c r="AI4573">
        <v>94.036077363156593</v>
      </c>
      <c r="AJ4573">
        <v>108.425021362699</v>
      </c>
      <c r="AK4573">
        <v>15.834115586614701</v>
      </c>
      <c r="AL4573">
        <v>89.570527729116804</v>
      </c>
      <c r="AM4573">
        <v>109.384807946143</v>
      </c>
      <c r="AN4573">
        <v>1.00000000248829</v>
      </c>
    </row>
    <row r="4574" spans="1:40" x14ac:dyDescent="0.25">
      <c r="A4574" t="str">
        <f>"20190305135327324"</f>
        <v>20190305135327324</v>
      </c>
      <c r="B4574" t="str">
        <f>"1551765207314583"</f>
        <v>1551765207314583</v>
      </c>
      <c r="C4574" t="s">
        <v>40</v>
      </c>
      <c r="D4574">
        <v>4.1425929999999997</v>
      </c>
      <c r="E4574">
        <v>0.50454690000000002</v>
      </c>
      <c r="F4574" t="s">
        <v>42</v>
      </c>
      <c r="G4574">
        <v>-419.0093</v>
      </c>
      <c r="H4574" s="1">
        <v>-3.0554489999999999E-6</v>
      </c>
      <c r="I4574">
        <v>116.3455</v>
      </c>
      <c r="J4574">
        <v>-414.2697</v>
      </c>
      <c r="K4574">
        <v>1.1145370000000001</v>
      </c>
      <c r="L4574">
        <v>130.6926</v>
      </c>
      <c r="M4574">
        <v>-0.59712559999999903</v>
      </c>
      <c r="N4574">
        <v>-1.816626E-3</v>
      </c>
      <c r="O4574">
        <v>-0.80214580000000002</v>
      </c>
      <c r="P4574">
        <v>-0.29655199999999998</v>
      </c>
      <c r="Q4574">
        <v>9.2185449999999999E-3</v>
      </c>
      <c r="R4574">
        <v>-0.95497240000000005</v>
      </c>
      <c r="S4574">
        <v>-0.95510859999999997</v>
      </c>
      <c r="T4574">
        <v>-0.2180735</v>
      </c>
      <c r="U4574">
        <v>-2.846924</v>
      </c>
      <c r="V4574">
        <v>-0.33249459999999997</v>
      </c>
      <c r="W4574">
        <v>5.540644E-3</v>
      </c>
      <c r="X4574">
        <v>0.94308890000000001</v>
      </c>
      <c r="Y4574">
        <v>-0.3113995</v>
      </c>
      <c r="Z4574">
        <v>4.9588E-2</v>
      </c>
      <c r="AA4574">
        <v>0.94898439999999995</v>
      </c>
      <c r="AB4574">
        <v>26</v>
      </c>
      <c r="AC4574">
        <v>-4.7395999999999896</v>
      </c>
      <c r="AD4574">
        <v>-1.1145400554489999</v>
      </c>
      <c r="AE4574">
        <v>-14.3470999999999</v>
      </c>
      <c r="AF4574">
        <v>-4.7393908513126703</v>
      </c>
      <c r="AG4574">
        <v>-1.1145400554489999</v>
      </c>
      <c r="AH4574">
        <v>14.2610305453587</v>
      </c>
      <c r="AI4574">
        <v>94.241550552865903</v>
      </c>
      <c r="AJ4574">
        <v>108.383276830371</v>
      </c>
      <c r="AK4574">
        <v>15.0692075900613</v>
      </c>
      <c r="AL4574">
        <v>89.682542863677298</v>
      </c>
      <c r="AM4574">
        <v>109.420567430814</v>
      </c>
      <c r="AN4574">
        <v>1.00000001553415</v>
      </c>
    </row>
    <row r="4575" spans="1:40" x14ac:dyDescent="0.25">
      <c r="A4575" t="str">
        <f>"20190305135327350"</f>
        <v>20190305135327350</v>
      </c>
      <c r="B4575" t="str">
        <f>"1551765207344838"</f>
        <v>1551765207344838</v>
      </c>
      <c r="C4575" t="s">
        <v>40</v>
      </c>
      <c r="D4575">
        <v>4.1648149999999999</v>
      </c>
      <c r="E4575">
        <v>0.50559929999999997</v>
      </c>
      <c r="F4575" t="s">
        <v>42</v>
      </c>
      <c r="G4575">
        <v>-418.9325</v>
      </c>
      <c r="H4575" s="1">
        <v>-3.0947720000000001E-6</v>
      </c>
      <c r="I4575">
        <v>116.4054</v>
      </c>
      <c r="J4575">
        <v>-414.41719999999998</v>
      </c>
      <c r="K4575">
        <v>1.114598</v>
      </c>
      <c r="L4575">
        <v>130.47720000000001</v>
      </c>
      <c r="M4575">
        <v>-0.58909060000000002</v>
      </c>
      <c r="N4575">
        <v>-1.896867E-3</v>
      </c>
      <c r="O4575">
        <v>-0.80806469999999997</v>
      </c>
      <c r="P4575">
        <v>-0.28605150000000001</v>
      </c>
      <c r="Q4575">
        <v>8.262887E-3</v>
      </c>
      <c r="R4575">
        <v>-0.9581788</v>
      </c>
      <c r="S4575">
        <v>-0.93154910000000002</v>
      </c>
      <c r="T4575">
        <v>-0.22266459999999999</v>
      </c>
      <c r="U4575">
        <v>-2.8543240000000001</v>
      </c>
      <c r="V4575">
        <v>-0.33342650000000001</v>
      </c>
      <c r="W4575">
        <v>4.5946119999999997E-3</v>
      </c>
      <c r="X4575">
        <v>0.94276490000000002</v>
      </c>
      <c r="Y4575">
        <v>-0.30974269999999998</v>
      </c>
      <c r="Z4575">
        <v>5.1159450000000002E-2</v>
      </c>
      <c r="AA4575">
        <v>0.94944309999999998</v>
      </c>
      <c r="AB4575">
        <v>26</v>
      </c>
      <c r="AC4575">
        <v>-4.5153000000000203</v>
      </c>
      <c r="AD4575">
        <v>-1.114601094772</v>
      </c>
      <c r="AE4575">
        <v>-14.0718</v>
      </c>
      <c r="AF4575">
        <v>-4.61466972755803</v>
      </c>
      <c r="AG4575">
        <v>-1.114601094772</v>
      </c>
      <c r="AH4575">
        <v>13.951511816301799</v>
      </c>
      <c r="AI4575">
        <v>94.337554112273196</v>
      </c>
      <c r="AJ4575">
        <v>108.30240004826901</v>
      </c>
      <c r="AK4575">
        <v>14.7371026411339</v>
      </c>
      <c r="AL4575">
        <v>89.736747197404199</v>
      </c>
      <c r="AM4575">
        <v>109.477096506853</v>
      </c>
      <c r="AN4575">
        <v>0.999999999016845</v>
      </c>
    </row>
    <row r="4576" spans="1:40" x14ac:dyDescent="0.25">
      <c r="A4576" t="str">
        <f>"20190305135327370"</f>
        <v>20190305135327370</v>
      </c>
      <c r="B4576" t="str">
        <f>"1551765207364866"</f>
        <v>1551765207364866</v>
      </c>
      <c r="C4576" t="s">
        <v>40</v>
      </c>
      <c r="D4576">
        <v>4.1783960000000002</v>
      </c>
      <c r="E4576">
        <v>0.50629650000000004</v>
      </c>
      <c r="F4576" t="s">
        <v>42</v>
      </c>
      <c r="G4576">
        <v>-418.98520000000002</v>
      </c>
      <c r="H4576" s="1">
        <v>-2.9535449999999999E-6</v>
      </c>
      <c r="I4576">
        <v>116.0979</v>
      </c>
      <c r="J4576">
        <v>-414.56869999999998</v>
      </c>
      <c r="K4576">
        <v>1.114662</v>
      </c>
      <c r="L4576">
        <v>130.25120000000001</v>
      </c>
      <c r="M4576">
        <v>-0.58070669999999902</v>
      </c>
      <c r="N4576">
        <v>-1.9798020000000001E-3</v>
      </c>
      <c r="O4576">
        <v>-0.81411060000000002</v>
      </c>
      <c r="P4576">
        <v>-0.2754432</v>
      </c>
      <c r="Q4576">
        <v>8.3135150000000005E-3</v>
      </c>
      <c r="R4576">
        <v>-0.96128170000000002</v>
      </c>
      <c r="S4576">
        <v>-0.90902709999999998</v>
      </c>
      <c r="T4576">
        <v>-0.22180469999999999</v>
      </c>
      <c r="U4576">
        <v>-2.8614649999999999</v>
      </c>
      <c r="V4576">
        <v>-0.33410459999999997</v>
      </c>
      <c r="W4576">
        <v>4.6637520000000002E-3</v>
      </c>
      <c r="X4576">
        <v>0.94252440000000004</v>
      </c>
      <c r="Y4576">
        <v>-0.30738690000000002</v>
      </c>
      <c r="Z4576">
        <v>5.147297E-2</v>
      </c>
      <c r="AA4576">
        <v>0.95019149999999997</v>
      </c>
      <c r="AB4576">
        <v>26</v>
      </c>
      <c r="AC4576">
        <v>-4.4165000000000401</v>
      </c>
      <c r="AD4576">
        <v>-1.1146649535449999</v>
      </c>
      <c r="AE4576">
        <v>-14.1533</v>
      </c>
      <c r="AF4576">
        <v>-4.59741952221502</v>
      </c>
      <c r="AG4576">
        <v>-1.1146649535449999</v>
      </c>
      <c r="AH4576">
        <v>14.007892830824099</v>
      </c>
      <c r="AI4576">
        <v>94.323688129852997</v>
      </c>
      <c r="AJ4576">
        <v>108.16994337087699</v>
      </c>
      <c r="AK4576">
        <v>14.7851210945923</v>
      </c>
      <c r="AL4576">
        <v>89.732785708843195</v>
      </c>
      <c r="AM4576">
        <v>109.518320446495</v>
      </c>
      <c r="AN4576">
        <v>0.99999993945961696</v>
      </c>
    </row>
    <row r="4577" spans="1:40" x14ac:dyDescent="0.25">
      <c r="A4577" t="str">
        <f>"20190305135327392"</f>
        <v>20190305135327392</v>
      </c>
      <c r="B4577" t="str">
        <f>"1551765207384389"</f>
        <v>1551765207384389</v>
      </c>
      <c r="C4577" t="s">
        <v>40</v>
      </c>
      <c r="D4577">
        <v>4.1517809999999997</v>
      </c>
      <c r="E4577">
        <v>0.50716510000000004</v>
      </c>
      <c r="F4577" t="s">
        <v>42</v>
      </c>
      <c r="G4577">
        <v>-419.03019999999998</v>
      </c>
      <c r="H4577" s="1">
        <v>-2.7907190000000001E-6</v>
      </c>
      <c r="I4577">
        <v>115.73699999999999</v>
      </c>
      <c r="J4577">
        <v>-414.70909999999998</v>
      </c>
      <c r="K4577">
        <v>1.114714</v>
      </c>
      <c r="L4577">
        <v>130.03729999999999</v>
      </c>
      <c r="M4577">
        <v>-0.5728124</v>
      </c>
      <c r="N4577">
        <v>-2.0572199999999998E-3</v>
      </c>
      <c r="O4577">
        <v>-0.81968390000000002</v>
      </c>
      <c r="P4577">
        <v>-0.266634599999999</v>
      </c>
      <c r="Q4577">
        <v>9.5702949999999995E-3</v>
      </c>
      <c r="R4577">
        <v>-0.96375029999999995</v>
      </c>
      <c r="S4577">
        <v>-0.88220209999999999</v>
      </c>
      <c r="T4577">
        <v>-0.22040870000000001</v>
      </c>
      <c r="U4577">
        <v>-2.8699650000000001</v>
      </c>
      <c r="V4577">
        <v>-0.3336385</v>
      </c>
      <c r="W4577">
        <v>5.957871E-3</v>
      </c>
      <c r="X4577">
        <v>0.94268229999999997</v>
      </c>
      <c r="Y4577">
        <v>-0.30709419999999998</v>
      </c>
      <c r="Z4577">
        <v>5.1563869999999998E-2</v>
      </c>
      <c r="AA4577">
        <v>0.95028120000000005</v>
      </c>
      <c r="AB4577">
        <v>26</v>
      </c>
      <c r="AC4577">
        <v>-4.3211000000000004</v>
      </c>
      <c r="AD4577">
        <v>-1.1147167907190001</v>
      </c>
      <c r="AE4577">
        <v>-14.300299999999901</v>
      </c>
      <c r="AF4577">
        <v>-4.6237185075807101</v>
      </c>
      <c r="AG4577">
        <v>-1.1147167907190001</v>
      </c>
      <c r="AH4577">
        <v>14.118325975260801</v>
      </c>
      <c r="AI4577">
        <v>94.291085278748497</v>
      </c>
      <c r="AJ4577">
        <v>108.133499567131</v>
      </c>
      <c r="AK4577">
        <v>14.897935920944899</v>
      </c>
      <c r="AL4577">
        <v>89.658637128143297</v>
      </c>
      <c r="AM4577">
        <v>109.49012634743799</v>
      </c>
      <c r="AN4577">
        <v>1.0000000318211899</v>
      </c>
    </row>
    <row r="4578" spans="1:40" x14ac:dyDescent="0.25">
      <c r="A4578" t="str">
        <f>"20190305135327413"</f>
        <v>20190305135327413</v>
      </c>
      <c r="B4578" t="str">
        <f>"1551765207404896"</f>
        <v>1551765207404896</v>
      </c>
      <c r="C4578" t="s">
        <v>40</v>
      </c>
      <c r="D4578">
        <v>4.1837210000000002</v>
      </c>
      <c r="E4578">
        <v>0.50832900000000003</v>
      </c>
      <c r="F4578" t="s">
        <v>42</v>
      </c>
      <c r="G4578">
        <v>-419.1866</v>
      </c>
      <c r="H4578" s="1">
        <v>-2.4942120000000001E-6</v>
      </c>
      <c r="I4578">
        <v>115.1105</v>
      </c>
      <c r="J4578">
        <v>-414.8476</v>
      </c>
      <c r="K4578">
        <v>1.1147670000000001</v>
      </c>
      <c r="L4578">
        <v>129.82220000000001</v>
      </c>
      <c r="M4578">
        <v>-0.564917</v>
      </c>
      <c r="N4578">
        <v>-2.1335130000000001E-3</v>
      </c>
      <c r="O4578">
        <v>-0.82514509999999996</v>
      </c>
      <c r="P4578">
        <v>-0.25859660000000001</v>
      </c>
      <c r="Q4578">
        <v>1.092189E-2</v>
      </c>
      <c r="R4578">
        <v>-0.96592389999999995</v>
      </c>
      <c r="S4578">
        <v>-0.86276249999999999</v>
      </c>
      <c r="T4578">
        <v>-0.21479580000000001</v>
      </c>
      <c r="U4578">
        <v>-2.8762660000000002</v>
      </c>
      <c r="V4578">
        <v>-0.33245780000000003</v>
      </c>
      <c r="W4578">
        <v>7.3621249999999997E-3</v>
      </c>
      <c r="X4578">
        <v>0.94308939999999997</v>
      </c>
      <c r="Y4578">
        <v>-0.30440620000000002</v>
      </c>
      <c r="Z4578">
        <v>5.0662159999999998E-2</v>
      </c>
      <c r="AA4578">
        <v>0.95119410000000004</v>
      </c>
      <c r="AB4578">
        <v>27</v>
      </c>
      <c r="AC4578">
        <v>-4.3389999999999898</v>
      </c>
      <c r="AD4578">
        <v>-1.1147694942119999</v>
      </c>
      <c r="AE4578">
        <v>-14.7117</v>
      </c>
      <c r="AF4578">
        <v>-4.7057381684898498</v>
      </c>
      <c r="AG4578">
        <v>-1.1147694942119999</v>
      </c>
      <c r="AH4578">
        <v>14.5138278660753</v>
      </c>
      <c r="AI4578">
        <v>94.178782047346004</v>
      </c>
      <c r="AJ4578">
        <v>107.96396295097</v>
      </c>
      <c r="AK4578">
        <v>15.298296704590101</v>
      </c>
      <c r="AL4578">
        <v>89.578177499945895</v>
      </c>
      <c r="AM4578">
        <v>109.41856933226001</v>
      </c>
      <c r="AN4578">
        <v>1.0000000030288501</v>
      </c>
    </row>
    <row r="4579" spans="1:40" x14ac:dyDescent="0.25">
      <c r="A4579" t="str">
        <f>"20190305135327437"</f>
        <v>20190305135327437</v>
      </c>
      <c r="B4579" t="str">
        <f>"1551765207424402"</f>
        <v>1551765207424402</v>
      </c>
      <c r="C4579" t="s">
        <v>40</v>
      </c>
      <c r="D4579">
        <v>4.1446350000000001</v>
      </c>
      <c r="E4579">
        <v>0.50914380000000004</v>
      </c>
      <c r="F4579" t="s">
        <v>42</v>
      </c>
      <c r="G4579">
        <v>-419.3802</v>
      </c>
      <c r="H4579" s="1">
        <v>-2.162781E-6</v>
      </c>
      <c r="I4579">
        <v>114.41800000000001</v>
      </c>
      <c r="J4579">
        <v>-414.99380000000002</v>
      </c>
      <c r="K4579">
        <v>1.1148070000000001</v>
      </c>
      <c r="L4579">
        <v>129.59039999999999</v>
      </c>
      <c r="M4579">
        <v>-0.55646790000000002</v>
      </c>
      <c r="N4579">
        <v>-2.212636E-3</v>
      </c>
      <c r="O4579">
        <v>-0.8308662</v>
      </c>
      <c r="P4579">
        <v>-0.24982070000000001</v>
      </c>
      <c r="Q4579">
        <v>1.0288220000000001E-2</v>
      </c>
      <c r="R4579">
        <v>-0.96823720000000002</v>
      </c>
      <c r="S4579">
        <v>-0.84777829999999998</v>
      </c>
      <c r="T4579">
        <v>-0.20850850000000001</v>
      </c>
      <c r="U4579">
        <v>-2.8812410000000002</v>
      </c>
      <c r="V4579">
        <v>-0.33138830000000002</v>
      </c>
      <c r="W4579">
        <v>6.7856419999999997E-3</v>
      </c>
      <c r="X4579">
        <v>0.94347009999999998</v>
      </c>
      <c r="Y4579">
        <v>-0.29966350000000003</v>
      </c>
      <c r="Z4579">
        <v>4.9626669999999998E-2</v>
      </c>
      <c r="AA4579">
        <v>0.95275339999999997</v>
      </c>
      <c r="AB4579">
        <v>27</v>
      </c>
      <c r="AC4579">
        <v>-4.3863999999999796</v>
      </c>
      <c r="AD4579">
        <v>-1.114809162781</v>
      </c>
      <c r="AE4579">
        <v>-15.1723999999999</v>
      </c>
      <c r="AF4579">
        <v>-4.7746647854262703</v>
      </c>
      <c r="AG4579">
        <v>-1.114809162781</v>
      </c>
      <c r="AH4579">
        <v>14.972563487285599</v>
      </c>
      <c r="AI4579">
        <v>94.0576044514291</v>
      </c>
      <c r="AJ4579">
        <v>107.687184626232</v>
      </c>
      <c r="AK4579">
        <v>15.7549319472795</v>
      </c>
      <c r="AL4579">
        <v>89.611208383960701</v>
      </c>
      <c r="AM4579">
        <v>109.353523846204</v>
      </c>
      <c r="AN4579">
        <v>1.00000003995412</v>
      </c>
    </row>
    <row r="4580" spans="1:40" x14ac:dyDescent="0.25">
      <c r="A4580" t="str">
        <f>"20190305135327460"</f>
        <v>20190305135327460</v>
      </c>
      <c r="B4580" t="str">
        <f>"1551765207454657"</f>
        <v>1551765207454657</v>
      </c>
      <c r="C4580" t="s">
        <v>40</v>
      </c>
      <c r="D4580">
        <v>4.1593470000000003</v>
      </c>
      <c r="E4580">
        <v>0.52113039999999999</v>
      </c>
      <c r="F4580" t="s">
        <v>42</v>
      </c>
      <c r="G4580">
        <v>-419.43169999999998</v>
      </c>
      <c r="H4580" s="1">
        <v>-2.0228829999999999E-6</v>
      </c>
      <c r="I4580">
        <v>114.11320000000001</v>
      </c>
      <c r="J4580">
        <v>-415.13499999999999</v>
      </c>
      <c r="K4580">
        <v>1.11483</v>
      </c>
      <c r="L4580">
        <v>129.36170000000001</v>
      </c>
      <c r="M4580">
        <v>-0.54820909999999901</v>
      </c>
      <c r="N4580">
        <v>-2.2859930000000001E-3</v>
      </c>
      <c r="O4580">
        <v>-0.83633829999999998</v>
      </c>
      <c r="P4580">
        <v>-0.24134330000000001</v>
      </c>
      <c r="Q4580">
        <v>8.3208190000000001E-3</v>
      </c>
      <c r="R4580">
        <v>-0.97040409999999999</v>
      </c>
      <c r="S4580">
        <v>-0.82781979999999999</v>
      </c>
      <c r="T4580">
        <v>-0.20794899999999999</v>
      </c>
      <c r="U4580">
        <v>-2.8870239999999998</v>
      </c>
      <c r="V4580">
        <v>-0.33027099999999998</v>
      </c>
      <c r="W4580">
        <v>4.8840489999999997E-3</v>
      </c>
      <c r="X4580">
        <v>0.94387350000000003</v>
      </c>
      <c r="Y4580">
        <v>-0.29680440000000002</v>
      </c>
      <c r="Z4580">
        <v>4.9937280000000001E-2</v>
      </c>
      <c r="AA4580">
        <v>0.95363169999999997</v>
      </c>
      <c r="AB4580">
        <v>27</v>
      </c>
      <c r="AC4580">
        <v>-4.29669999999998</v>
      </c>
      <c r="AD4580">
        <v>-1.114832022883</v>
      </c>
      <c r="AE4580">
        <v>-15.2485</v>
      </c>
      <c r="AF4580">
        <v>-4.7423992109017901</v>
      </c>
      <c r="AG4580">
        <v>-1.114832022883</v>
      </c>
      <c r="AH4580">
        <v>15.0339839926895</v>
      </c>
      <c r="AI4580">
        <v>94.045170256311906</v>
      </c>
      <c r="AJ4580">
        <v>107.507633770075</v>
      </c>
      <c r="AK4580">
        <v>15.803603241262801</v>
      </c>
      <c r="AL4580">
        <v>89.720163488818898</v>
      </c>
      <c r="AM4580">
        <v>109.285464312698</v>
      </c>
      <c r="AN4580">
        <v>0.99999998568894199</v>
      </c>
    </row>
    <row r="4581" spans="1:40" x14ac:dyDescent="0.25">
      <c r="A4581" t="str">
        <f>"20190305135327481"</f>
        <v>20190305135327481</v>
      </c>
      <c r="B4581" t="str">
        <f>"1551765207474688"</f>
        <v>1551765207474688</v>
      </c>
      <c r="C4581" t="s">
        <v>40</v>
      </c>
      <c r="D4581">
        <v>4.1559150000000002</v>
      </c>
      <c r="E4581">
        <v>0.52146110000000001</v>
      </c>
      <c r="F4581" t="s">
        <v>42</v>
      </c>
      <c r="G4581">
        <v>-420.41300000000001</v>
      </c>
      <c r="H4581" s="1">
        <v>-1.3202169999999999E-6</v>
      </c>
      <c r="I4581">
        <v>112.4104</v>
      </c>
      <c r="J4581">
        <v>-415.27350000000001</v>
      </c>
      <c r="K4581">
        <v>1.1148260000000001</v>
      </c>
      <c r="L4581">
        <v>129.1326</v>
      </c>
      <c r="M4581">
        <v>-0.54003819999999902</v>
      </c>
      <c r="N4581">
        <v>-2.3551980000000002E-3</v>
      </c>
      <c r="O4581">
        <v>-0.84163739999999998</v>
      </c>
      <c r="P4581">
        <v>-0.23288239999999999</v>
      </c>
      <c r="Q4581">
        <v>5.6532539999999999E-3</v>
      </c>
      <c r="R4581">
        <v>-0.97248889999999999</v>
      </c>
      <c r="S4581">
        <v>-0.89385990000000004</v>
      </c>
      <c r="T4581">
        <v>-0.18880269999999999</v>
      </c>
      <c r="U4581">
        <v>-2.8707889999999998</v>
      </c>
      <c r="V4581">
        <v>-0.32926569999999999</v>
      </c>
      <c r="W4581">
        <v>2.292456E-3</v>
      </c>
      <c r="X4581">
        <v>0.94423449999999998</v>
      </c>
      <c r="Y4581">
        <v>-0.26574579999999998</v>
      </c>
      <c r="Z4581">
        <v>4.6026959999999999E-2</v>
      </c>
      <c r="AA4581">
        <v>0.96294369999999996</v>
      </c>
      <c r="AB4581">
        <v>27</v>
      </c>
      <c r="AC4581">
        <v>-5.1394999999999902</v>
      </c>
      <c r="AD4581">
        <v>-1.114827320217</v>
      </c>
      <c r="AE4581">
        <v>-16.722200000000001</v>
      </c>
      <c r="AF4581">
        <v>-4.6860139940634102</v>
      </c>
      <c r="AG4581">
        <v>-1.114827320217</v>
      </c>
      <c r="AH4581">
        <v>16.781450646490299</v>
      </c>
      <c r="AI4581">
        <v>93.661044716759605</v>
      </c>
      <c r="AJ4581">
        <v>105.601738164124</v>
      </c>
      <c r="AK4581">
        <v>17.4590564724171</v>
      </c>
      <c r="AL4581">
        <v>89.868651827988302</v>
      </c>
      <c r="AM4581">
        <v>109.22426556456099</v>
      </c>
      <c r="AN4581">
        <v>0.99999997377062499</v>
      </c>
    </row>
    <row r="4582" spans="1:40" x14ac:dyDescent="0.25">
      <c r="A4582" t="str">
        <f>"20190305135327502"</f>
        <v>20190305135327502</v>
      </c>
      <c r="B4582" t="str">
        <f>"1551765207494204"</f>
        <v>1551765207494204</v>
      </c>
      <c r="C4582" t="s">
        <v>40</v>
      </c>
      <c r="D4582">
        <v>4.1833330000000002</v>
      </c>
      <c r="E4582">
        <v>0.5219414</v>
      </c>
      <c r="F4582" t="s">
        <v>42</v>
      </c>
      <c r="G4582">
        <v>-420.13310000000001</v>
      </c>
      <c r="H4582" s="1">
        <v>-1.5360950000000001E-6</v>
      </c>
      <c r="I4582">
        <v>113.0872</v>
      </c>
      <c r="J4582">
        <v>-415.40750000000003</v>
      </c>
      <c r="K4582">
        <v>1.1148039999999999</v>
      </c>
      <c r="L4582">
        <v>128.90639999999999</v>
      </c>
      <c r="M4582">
        <v>-0.53209069999999903</v>
      </c>
      <c r="N4582">
        <v>-2.4203380000000002E-3</v>
      </c>
      <c r="O4582">
        <v>-0.84668410000000005</v>
      </c>
      <c r="P4582">
        <v>-0.22395309999999999</v>
      </c>
      <c r="Q4582">
        <v>4.0717959999999999E-3</v>
      </c>
      <c r="R4582">
        <v>-0.97459169999999995</v>
      </c>
      <c r="S4582">
        <v>-0.87146000000000001</v>
      </c>
      <c r="T4582">
        <v>-0.19991729999999999</v>
      </c>
      <c r="U4582">
        <v>-2.8773499999999999</v>
      </c>
      <c r="V4582">
        <v>-0.32901530000000001</v>
      </c>
      <c r="W4582">
        <v>7.8565250000000003E-4</v>
      </c>
      <c r="X4582">
        <v>0.94432430000000001</v>
      </c>
      <c r="Y4582">
        <v>-0.26419019999999999</v>
      </c>
      <c r="Z4582">
        <v>4.9224909999999997E-2</v>
      </c>
      <c r="AA4582">
        <v>0.9632136</v>
      </c>
      <c r="AB4582">
        <v>27</v>
      </c>
      <c r="AC4582">
        <v>-4.7255999999999796</v>
      </c>
      <c r="AD4582">
        <v>-1.114805536095</v>
      </c>
      <c r="AE4582">
        <v>-15.819199999999899</v>
      </c>
      <c r="AF4582">
        <v>-4.3961273483598102</v>
      </c>
      <c r="AG4582">
        <v>-1.114805536095</v>
      </c>
      <c r="AH4582">
        <v>15.8361536343339</v>
      </c>
      <c r="AI4582">
        <v>93.880493078878402</v>
      </c>
      <c r="AJ4582">
        <v>105.51469158213</v>
      </c>
      <c r="AK4582">
        <v>16.472780244285801</v>
      </c>
      <c r="AL4582">
        <v>89.954985424495902</v>
      </c>
      <c r="AM4582">
        <v>109.209024591522</v>
      </c>
      <c r="AN4582">
        <v>1.00000003422721</v>
      </c>
    </row>
    <row r="4583" spans="1:40" x14ac:dyDescent="0.25">
      <c r="A4583" t="str">
        <f>"20190305135327526"</f>
        <v>20190305135327526</v>
      </c>
      <c r="B4583" t="str">
        <f>"1551765207514700"</f>
        <v>1551765207514700</v>
      </c>
      <c r="C4583" t="s">
        <v>40</v>
      </c>
      <c r="D4583">
        <v>4.1553630000000004</v>
      </c>
      <c r="E4583">
        <v>0.52308670000000002</v>
      </c>
      <c r="F4583" t="s">
        <v>42</v>
      </c>
      <c r="G4583">
        <v>-420.04180000000002</v>
      </c>
      <c r="H4583" s="1">
        <v>-1.5434670000000001E-6</v>
      </c>
      <c r="I4583">
        <v>113.161</v>
      </c>
      <c r="J4583">
        <v>-415.54390000000001</v>
      </c>
      <c r="K4583">
        <v>1.1147659999999999</v>
      </c>
      <c r="L4583">
        <v>128.67150000000001</v>
      </c>
      <c r="M4583">
        <v>-0.52398100000000003</v>
      </c>
      <c r="N4583">
        <v>-2.4842879999999999E-3</v>
      </c>
      <c r="O4583">
        <v>-0.85172669999999995</v>
      </c>
      <c r="P4583">
        <v>-0.21513309999999999</v>
      </c>
      <c r="Q4583">
        <v>3.196281E-3</v>
      </c>
      <c r="R4583">
        <v>-0.9765798</v>
      </c>
      <c r="S4583">
        <v>-0.8488464</v>
      </c>
      <c r="T4583">
        <v>-0.2041944</v>
      </c>
      <c r="U4583">
        <v>-2.8840180000000002</v>
      </c>
      <c r="V4583">
        <v>-0.32852229999999999</v>
      </c>
      <c r="W4583" s="1">
        <v>5.64614299999999E-6</v>
      </c>
      <c r="X4583">
        <v>0.94449620000000001</v>
      </c>
      <c r="Y4583">
        <v>-0.26255270000000003</v>
      </c>
      <c r="Z4583">
        <v>5.0701339999999998E-2</v>
      </c>
      <c r="AA4583">
        <v>0.96358469999999996</v>
      </c>
      <c r="AB4583">
        <v>27</v>
      </c>
      <c r="AC4583">
        <v>-4.4979000000000102</v>
      </c>
      <c r="AD4583">
        <v>-1.1147675434669999</v>
      </c>
      <c r="AE4583">
        <v>-15.5105</v>
      </c>
      <c r="AF4583">
        <v>-4.2758637983221401</v>
      </c>
      <c r="AG4583">
        <v>-1.1147675434669999</v>
      </c>
      <c r="AH4583">
        <v>15.493738795272501</v>
      </c>
      <c r="AI4583">
        <v>93.967501275266599</v>
      </c>
      <c r="AJ4583">
        <v>105.428102679167</v>
      </c>
      <c r="AK4583">
        <v>16.111538093984102</v>
      </c>
      <c r="AL4583">
        <v>89.999676499831196</v>
      </c>
      <c r="AM4583">
        <v>109.179109904462</v>
      </c>
      <c r="AN4583">
        <v>0.99999998672180401</v>
      </c>
    </row>
    <row r="4584" spans="1:40" x14ac:dyDescent="0.25">
      <c r="A4584" t="str">
        <f>"20190305135327548"</f>
        <v>20190305135327548</v>
      </c>
      <c r="B4584" t="str">
        <f>"1551765207544957"</f>
        <v>1551765207544957</v>
      </c>
      <c r="C4584" t="s">
        <v>40</v>
      </c>
      <c r="D4584">
        <v>4.212224</v>
      </c>
      <c r="E4584">
        <v>0.52323090000000005</v>
      </c>
      <c r="F4584" t="s">
        <v>42</v>
      </c>
      <c r="G4584">
        <v>-420.07400000000001</v>
      </c>
      <c r="H4584" s="1">
        <v>-1.456234E-6</v>
      </c>
      <c r="I4584">
        <v>112.93770000000001</v>
      </c>
      <c r="J4584">
        <v>-415.68119999999999</v>
      </c>
      <c r="K4584">
        <v>1.114719</v>
      </c>
      <c r="L4584">
        <v>128.4299</v>
      </c>
      <c r="M4584">
        <v>-0.5158277</v>
      </c>
      <c r="N4584">
        <v>-2.5452750000000001E-3</v>
      </c>
      <c r="O4584">
        <v>-0.85668869999999897</v>
      </c>
      <c r="P4584">
        <v>-0.2068535</v>
      </c>
      <c r="Q4584">
        <v>3.231491E-3</v>
      </c>
      <c r="R4584">
        <v>-0.97836699999999999</v>
      </c>
      <c r="S4584">
        <v>-0.83190919999999902</v>
      </c>
      <c r="T4584">
        <v>-0.20471510000000001</v>
      </c>
      <c r="U4584">
        <v>-2.8893430000000002</v>
      </c>
      <c r="V4584">
        <v>-0.32750960000000001</v>
      </c>
      <c r="W4584">
        <v>1.6004269999999999E-4</v>
      </c>
      <c r="X4584">
        <v>0.94484780000000002</v>
      </c>
      <c r="Y4584">
        <v>-0.2590364</v>
      </c>
      <c r="Z4584">
        <v>5.1241429999999998E-2</v>
      </c>
      <c r="AA4584">
        <v>0.96450729999999996</v>
      </c>
      <c r="AB4584">
        <v>28</v>
      </c>
      <c r="AC4584">
        <v>-4.3928000000000198</v>
      </c>
      <c r="AD4584">
        <v>-1.1147204562340001</v>
      </c>
      <c r="AE4584">
        <v>-15.492199999999899</v>
      </c>
      <c r="AF4584">
        <v>-4.2078925744552302</v>
      </c>
      <c r="AG4584">
        <v>-1.1147204562340001</v>
      </c>
      <c r="AH4584">
        <v>15.4638656141084</v>
      </c>
      <c r="AI4584">
        <v>93.978876562348404</v>
      </c>
      <c r="AJ4584">
        <v>105.222264265495</v>
      </c>
      <c r="AK4584">
        <v>16.064871656658401</v>
      </c>
      <c r="AL4584">
        <v>89.990830228382805</v>
      </c>
      <c r="AM4584">
        <v>109.11768882803</v>
      </c>
      <c r="AN4584">
        <v>0.99999996443533201</v>
      </c>
    </row>
    <row r="4585" spans="1:40" x14ac:dyDescent="0.25">
      <c r="A4585" t="str">
        <f>"20190305135327570"</f>
        <v>20190305135327570</v>
      </c>
      <c r="B4585" t="str">
        <f>"1551765207564984"</f>
        <v>1551765207564984</v>
      </c>
      <c r="C4585" t="s">
        <v>40</v>
      </c>
      <c r="D4585">
        <v>4.2081920000000004</v>
      </c>
      <c r="E4585">
        <v>0.52346269999999995</v>
      </c>
      <c r="F4585" t="s">
        <v>42</v>
      </c>
      <c r="G4585">
        <v>-419.71210000000002</v>
      </c>
      <c r="H4585" s="1">
        <v>-1.9228130000000002E-6</v>
      </c>
      <c r="I4585">
        <v>113.9958</v>
      </c>
      <c r="J4585">
        <v>-415.81959999999998</v>
      </c>
      <c r="K4585">
        <v>1.114684</v>
      </c>
      <c r="L4585">
        <v>128.18119999999999</v>
      </c>
      <c r="M4585">
        <v>-0.50760070000000002</v>
      </c>
      <c r="N4585">
        <v>-2.6066459999999998E-3</v>
      </c>
      <c r="O4585">
        <v>-0.86158869999999899</v>
      </c>
      <c r="P4585">
        <v>-0.1994465</v>
      </c>
      <c r="Q4585">
        <v>4.3337710000000002E-3</v>
      </c>
      <c r="R4585">
        <v>-0.97989939999999998</v>
      </c>
      <c r="S4585">
        <v>-0.80877690000000002</v>
      </c>
      <c r="T4585">
        <v>-0.22365979999999999</v>
      </c>
      <c r="U4585">
        <v>-2.8960720000000002</v>
      </c>
      <c r="V4585">
        <v>-0.32562590000000002</v>
      </c>
      <c r="W4585">
        <v>1.3983870000000001E-3</v>
      </c>
      <c r="X4585">
        <v>0.9454977</v>
      </c>
      <c r="Y4585">
        <v>-0.25759530000000003</v>
      </c>
      <c r="Z4585">
        <v>5.6581670000000001E-2</v>
      </c>
      <c r="AA4585">
        <v>0.96459479999999997</v>
      </c>
      <c r="AB4585">
        <v>28</v>
      </c>
      <c r="AC4585">
        <v>-3.89250000000004</v>
      </c>
      <c r="AD4585">
        <v>-1.1146859228129999</v>
      </c>
      <c r="AE4585">
        <v>-14.1853999999999</v>
      </c>
      <c r="AF4585">
        <v>-3.8248336079090302</v>
      </c>
      <c r="AG4585">
        <v>-1.1146859228129999</v>
      </c>
      <c r="AH4585">
        <v>14.116797454821899</v>
      </c>
      <c r="AI4585">
        <v>94.3583034859397</v>
      </c>
      <c r="AJ4585">
        <v>105.15986957835899</v>
      </c>
      <c r="AK4585">
        <v>14.668191681839099</v>
      </c>
      <c r="AL4585">
        <v>89.919878303983893</v>
      </c>
      <c r="AM4585">
        <v>109.003517730033</v>
      </c>
      <c r="AN4585">
        <v>1.0000000414711501</v>
      </c>
    </row>
    <row r="4586" spans="1:40" x14ac:dyDescent="0.25">
      <c r="A4586" t="str">
        <f>"20190305135327593"</f>
        <v>20190305135327593</v>
      </c>
      <c r="B4586" t="str">
        <f>"1551765207584508"</f>
        <v>1551765207584508</v>
      </c>
      <c r="C4586" t="s">
        <v>40</v>
      </c>
      <c r="D4586">
        <v>4.2086209999999999</v>
      </c>
      <c r="E4586">
        <v>0.52375320000000003</v>
      </c>
      <c r="F4586" t="s">
        <v>42</v>
      </c>
      <c r="G4586">
        <v>-419.6302</v>
      </c>
      <c r="H4586" s="1">
        <v>-2.011673E-6</v>
      </c>
      <c r="I4586">
        <v>114.1691</v>
      </c>
      <c r="J4586">
        <v>-415.95069999999998</v>
      </c>
      <c r="K4586">
        <v>1.1146450000000001</v>
      </c>
      <c r="L4586">
        <v>127.94110000000001</v>
      </c>
      <c r="M4586">
        <v>-0.49982490000000002</v>
      </c>
      <c r="N4586">
        <v>-2.6648890000000001E-3</v>
      </c>
      <c r="O4586">
        <v>-0.86612239999999996</v>
      </c>
      <c r="P4586">
        <v>-0.1926967</v>
      </c>
      <c r="Q4586">
        <v>5.4711839999999996E-3</v>
      </c>
      <c r="R4586">
        <v>-0.98124310000000003</v>
      </c>
      <c r="S4586">
        <v>-0.78918459999999901</v>
      </c>
      <c r="T4586">
        <v>-0.23085359999999999</v>
      </c>
      <c r="U4586">
        <v>-2.901932</v>
      </c>
      <c r="V4586">
        <v>-0.32363969999999997</v>
      </c>
      <c r="W4586">
        <v>2.6715409999999999E-3</v>
      </c>
      <c r="X4586">
        <v>0.94617660000000003</v>
      </c>
      <c r="Y4586">
        <v>-0.25548999999999999</v>
      </c>
      <c r="Z4586">
        <v>5.886595E-2</v>
      </c>
      <c r="AA4586">
        <v>0.96501800000000004</v>
      </c>
      <c r="AB4586">
        <v>28</v>
      </c>
      <c r="AC4586">
        <v>-3.6795000000000102</v>
      </c>
      <c r="AD4586">
        <v>-1.1146470116730001</v>
      </c>
      <c r="AE4586">
        <v>-13.772</v>
      </c>
      <c r="AF4586">
        <v>-3.6742393160070801</v>
      </c>
      <c r="AG4586">
        <v>-1.1146470116730001</v>
      </c>
      <c r="AH4586">
        <v>13.6837275181239</v>
      </c>
      <c r="AI4586">
        <v>94.498261046691695</v>
      </c>
      <c r="AJ4586">
        <v>105.030059788717</v>
      </c>
      <c r="AK4586">
        <v>14.212208530069701</v>
      </c>
      <c r="AL4586">
        <v>89.8469317900703</v>
      </c>
      <c r="AM4586">
        <v>108.88325239892301</v>
      </c>
      <c r="AN4586">
        <v>0.99999997546748198</v>
      </c>
    </row>
    <row r="4587" spans="1:40" x14ac:dyDescent="0.25">
      <c r="A4587" t="str">
        <f>"20190305135327614"</f>
        <v>20190305135327614</v>
      </c>
      <c r="B4587" t="str">
        <f>"1551765207605000"</f>
        <v>1551765207605000</v>
      </c>
      <c r="C4587" t="s">
        <v>40</v>
      </c>
      <c r="D4587">
        <v>4.2168900000000002</v>
      </c>
      <c r="E4587">
        <v>0.52423750000000002</v>
      </c>
      <c r="F4587" t="s">
        <v>42</v>
      </c>
      <c r="G4587">
        <v>-419.61709999999999</v>
      </c>
      <c r="H4587" s="1">
        <v>-1.9912979999999998E-6</v>
      </c>
      <c r="I4587">
        <v>114.11620000000001</v>
      </c>
      <c r="J4587">
        <v>-416.07979999999998</v>
      </c>
      <c r="K4587">
        <v>1.1145940000000001</v>
      </c>
      <c r="L4587">
        <v>127.7002</v>
      </c>
      <c r="M4587">
        <v>-0.49221589999999998</v>
      </c>
      <c r="N4587">
        <v>-2.7205279999999998E-3</v>
      </c>
      <c r="O4587">
        <v>-0.87046900000000005</v>
      </c>
      <c r="P4587">
        <v>-0.1865</v>
      </c>
      <c r="Q4587">
        <v>5.8657359999999999E-3</v>
      </c>
      <c r="R4587">
        <v>-0.98243760000000002</v>
      </c>
      <c r="S4587">
        <v>-0.77099609999999996</v>
      </c>
      <c r="T4587">
        <v>-0.23439940000000001</v>
      </c>
      <c r="U4587">
        <v>-2.9072420000000001</v>
      </c>
      <c r="V4587">
        <v>-0.32132509999999997</v>
      </c>
      <c r="W4587">
        <v>3.216563E-3</v>
      </c>
      <c r="X4587">
        <v>0.94696349999999996</v>
      </c>
      <c r="Y4587">
        <v>-0.25311460000000002</v>
      </c>
      <c r="Z4587">
        <v>6.0197470000000003E-2</v>
      </c>
      <c r="AA4587">
        <v>0.96556160000000002</v>
      </c>
      <c r="AB4587">
        <v>28</v>
      </c>
      <c r="AC4587">
        <v>-3.5373000000000099</v>
      </c>
      <c r="AD4587">
        <v>-1.1145959912979999</v>
      </c>
      <c r="AE4587">
        <v>-13.5839999999999</v>
      </c>
      <c r="AF4587">
        <v>-3.58456311221242</v>
      </c>
      <c r="AG4587">
        <v>-1.1145959912979999</v>
      </c>
      <c r="AH4587">
        <v>13.480619746381301</v>
      </c>
      <c r="AI4587">
        <v>94.568498703623305</v>
      </c>
      <c r="AJ4587">
        <v>104.89066215966901</v>
      </c>
      <c r="AK4587">
        <v>13.993517273215399</v>
      </c>
      <c r="AL4587">
        <v>89.815704201128597</v>
      </c>
      <c r="AM4587">
        <v>108.74318047512899</v>
      </c>
      <c r="AN4587">
        <v>1.00000001824989</v>
      </c>
    </row>
    <row r="4588" spans="1:40" x14ac:dyDescent="0.25">
      <c r="A4588" t="str">
        <f>"20190305135327638"</f>
        <v>20190305135327638</v>
      </c>
      <c r="B4588" t="str">
        <f>"1551765207624521"</f>
        <v>1551765207624521</v>
      </c>
      <c r="C4588" t="s">
        <v>40</v>
      </c>
      <c r="D4588">
        <v>4.2016980000000004</v>
      </c>
      <c r="E4588">
        <v>0.52486840000000001</v>
      </c>
      <c r="F4588" t="s">
        <v>42</v>
      </c>
      <c r="G4588">
        <v>-419.6234</v>
      </c>
      <c r="H4588" s="1">
        <v>-1.9700070000000002E-6</v>
      </c>
      <c r="I4588">
        <v>114.0692</v>
      </c>
      <c r="J4588">
        <v>-416.21379999999999</v>
      </c>
      <c r="K4588">
        <v>1.1145039999999999</v>
      </c>
      <c r="L4588">
        <v>127.44499999999999</v>
      </c>
      <c r="M4588">
        <v>-0.48438530000000002</v>
      </c>
      <c r="N4588">
        <v>-2.774599E-3</v>
      </c>
      <c r="O4588">
        <v>-0.87485049999999998</v>
      </c>
      <c r="P4588">
        <v>-0.1803728</v>
      </c>
      <c r="Q4588">
        <v>7.0746569999999998E-3</v>
      </c>
      <c r="R4588">
        <v>-0.98357309999999998</v>
      </c>
      <c r="S4588">
        <v>-0.7568665</v>
      </c>
      <c r="T4588">
        <v>-0.23805950000000001</v>
      </c>
      <c r="U4588">
        <v>-2.911362</v>
      </c>
      <c r="V4588">
        <v>-0.31874520000000001</v>
      </c>
      <c r="W4588">
        <v>4.598904E-3</v>
      </c>
      <c r="X4588">
        <v>0.94782929999999999</v>
      </c>
      <c r="Y4588">
        <v>-0.24917539999999999</v>
      </c>
      <c r="Z4588">
        <v>6.1610159999999997E-2</v>
      </c>
      <c r="AA4588">
        <v>0.96649660000000004</v>
      </c>
      <c r="AB4588">
        <v>28</v>
      </c>
      <c r="AC4588">
        <v>-3.40960000000001</v>
      </c>
      <c r="AD4588">
        <v>-1.1145059700069999</v>
      </c>
      <c r="AE4588">
        <v>-13.3757999999999</v>
      </c>
      <c r="AF4588">
        <v>-3.4735196515818498</v>
      </c>
      <c r="AG4588">
        <v>-1.1145059700069999</v>
      </c>
      <c r="AH4588">
        <v>13.2669474591063</v>
      </c>
      <c r="AI4588">
        <v>94.646046673168399</v>
      </c>
      <c r="AJ4588">
        <v>104.67171680395801</v>
      </c>
      <c r="AK4588">
        <v>13.759337091945699</v>
      </c>
      <c r="AL4588">
        <v>89.736501286108705</v>
      </c>
      <c r="AM4588">
        <v>108.587260294446</v>
      </c>
      <c r="AN4588">
        <v>1.0000000171897601</v>
      </c>
    </row>
    <row r="4589" spans="1:40" x14ac:dyDescent="0.25">
      <c r="A4589" t="str">
        <f>"20190305135327662"</f>
        <v>20190305135327662</v>
      </c>
      <c r="B4589" t="str">
        <f>"1551765207654777"</f>
        <v>1551765207654777</v>
      </c>
      <c r="C4589" t="s">
        <v>40</v>
      </c>
      <c r="D4589">
        <v>4.1440489999999999</v>
      </c>
      <c r="E4589">
        <v>0.52529899999999996</v>
      </c>
      <c r="F4589" t="s">
        <v>42</v>
      </c>
      <c r="G4589">
        <v>-419.67809999999997</v>
      </c>
      <c r="H4589" s="1">
        <v>-1.8742119999999999E-6</v>
      </c>
      <c r="I4589">
        <v>113.8685</v>
      </c>
      <c r="J4589">
        <v>-416.3526</v>
      </c>
      <c r="K4589">
        <v>1.1143809999999901</v>
      </c>
      <c r="L4589">
        <v>127.17570000000001</v>
      </c>
      <c r="M4589">
        <v>-0.47639049999999999</v>
      </c>
      <c r="N4589">
        <v>-2.8267129999999998E-3</v>
      </c>
      <c r="O4589">
        <v>-0.87922939999999905</v>
      </c>
      <c r="P4589">
        <v>-0.1743316</v>
      </c>
      <c r="Q4589">
        <v>7.8900569999999903E-3</v>
      </c>
      <c r="R4589">
        <v>-0.98465539999999996</v>
      </c>
      <c r="S4589">
        <v>-0.743927</v>
      </c>
      <c r="T4589">
        <v>-0.23932800000000001</v>
      </c>
      <c r="U4589">
        <v>-2.9154049999999998</v>
      </c>
      <c r="V4589">
        <v>-0.31593139999999997</v>
      </c>
      <c r="W4589">
        <v>5.6107400000000003E-3</v>
      </c>
      <c r="X4589">
        <v>0.94876550000000004</v>
      </c>
      <c r="Y4589">
        <v>-0.24470520000000001</v>
      </c>
      <c r="Z4589">
        <v>6.2396170000000001E-2</v>
      </c>
      <c r="AA4589">
        <v>0.9675878</v>
      </c>
      <c r="AB4589">
        <v>28</v>
      </c>
      <c r="AC4589">
        <v>-3.3254999999999701</v>
      </c>
      <c r="AD4589">
        <v>-1.1143828742120001</v>
      </c>
      <c r="AE4589">
        <v>-13.3072</v>
      </c>
      <c r="AF4589">
        <v>-3.3931624655461201</v>
      </c>
      <c r="AG4589">
        <v>-1.1143828742120001</v>
      </c>
      <c r="AH4589">
        <v>13.197259130814601</v>
      </c>
      <c r="AI4589">
        <v>94.675280708568295</v>
      </c>
      <c r="AJ4589">
        <v>104.41906907629399</v>
      </c>
      <c r="AK4589">
        <v>13.671980444463699</v>
      </c>
      <c r="AL4589">
        <v>89.678526608054895</v>
      </c>
      <c r="AM4589">
        <v>108.41735003161</v>
      </c>
      <c r="AN4589">
        <v>1.00000005194977</v>
      </c>
    </row>
    <row r="4590" spans="1:40" x14ac:dyDescent="0.25">
      <c r="A4590" t="str">
        <f>"20190305135327684"</f>
        <v>20190305135327684</v>
      </c>
      <c r="B4590" t="str">
        <f>"1551765207674297"</f>
        <v>1551765207674297</v>
      </c>
      <c r="C4590" t="s">
        <v>40</v>
      </c>
      <c r="D4590">
        <v>4.3074149999999998</v>
      </c>
      <c r="E4590">
        <v>0.52545109999999995</v>
      </c>
      <c r="F4590" t="s">
        <v>42</v>
      </c>
      <c r="G4590">
        <v>-419.78370000000001</v>
      </c>
      <c r="H4590" s="1">
        <v>-1.6689809999999999E-6</v>
      </c>
      <c r="I4590">
        <v>113.43380000000001</v>
      </c>
      <c r="J4590">
        <v>-416.47829999999999</v>
      </c>
      <c r="K4590">
        <v>1.1142399999999999</v>
      </c>
      <c r="L4590">
        <v>126.9272</v>
      </c>
      <c r="M4590">
        <v>-0.46927170000000001</v>
      </c>
      <c r="N4590">
        <v>-2.8717719999999999E-3</v>
      </c>
      <c r="O4590">
        <v>-0.88304919999999998</v>
      </c>
      <c r="P4590">
        <v>-0.16902</v>
      </c>
      <c r="Q4590">
        <v>7.9264230000000001E-3</v>
      </c>
      <c r="R4590">
        <v>-0.98558080000000003</v>
      </c>
      <c r="S4590">
        <v>-0.72897339999999999</v>
      </c>
      <c r="T4590">
        <v>-0.23676050000000001</v>
      </c>
      <c r="U4590">
        <v>-2.9196010000000001</v>
      </c>
      <c r="V4590">
        <v>-0.31338059999999901</v>
      </c>
      <c r="W4590">
        <v>5.8353249999999997E-3</v>
      </c>
      <c r="X4590">
        <v>0.9496097</v>
      </c>
      <c r="Y4590">
        <v>-0.24185619999999999</v>
      </c>
      <c r="Z4590">
        <v>6.2068320000000003E-2</v>
      </c>
      <c r="AA4590">
        <v>0.96832490000000004</v>
      </c>
      <c r="AB4590">
        <v>29</v>
      </c>
      <c r="AC4590">
        <v>-3.3054000000000201</v>
      </c>
      <c r="AD4590">
        <v>-1.114241668981</v>
      </c>
      <c r="AE4590">
        <v>-13.4933999999999</v>
      </c>
      <c r="AF4590">
        <v>-3.3914371049163199</v>
      </c>
      <c r="AG4590">
        <v>-1.114241668981</v>
      </c>
      <c r="AH4590">
        <v>13.3804467128968</v>
      </c>
      <c r="AI4590">
        <v>94.614985849566494</v>
      </c>
      <c r="AJ4590">
        <v>104.222790064321</v>
      </c>
      <c r="AK4590">
        <v>13.848456028387</v>
      </c>
      <c r="AL4590">
        <v>89.665658613602204</v>
      </c>
      <c r="AM4590">
        <v>108.263401347791</v>
      </c>
      <c r="AN4590">
        <v>1.0000000169041501</v>
      </c>
    </row>
    <row r="4591" spans="1:40" x14ac:dyDescent="0.25">
      <c r="A4591" t="str">
        <f>"20190305135327705"</f>
        <v>20190305135327705</v>
      </c>
      <c r="B4591" t="str">
        <f>"1551765207694793"</f>
        <v>1551765207694793</v>
      </c>
      <c r="C4591" t="s">
        <v>40</v>
      </c>
      <c r="D4591">
        <v>4.1920859999999998</v>
      </c>
      <c r="E4591">
        <v>0.49880370000000002</v>
      </c>
      <c r="F4591" t="s">
        <v>42</v>
      </c>
      <c r="G4591">
        <v>-419.89769999999999</v>
      </c>
      <c r="H4591" s="1">
        <v>-1.440637E-6</v>
      </c>
      <c r="I4591">
        <v>112.9486</v>
      </c>
      <c r="J4591">
        <v>-416.60120000000001</v>
      </c>
      <c r="K4591">
        <v>1.1140939999999999</v>
      </c>
      <c r="L4591">
        <v>126.6801</v>
      </c>
      <c r="M4591">
        <v>-0.46243840000000003</v>
      </c>
      <c r="N4591">
        <v>-2.9153170000000002E-3</v>
      </c>
      <c r="O4591">
        <v>-0.88664679999999996</v>
      </c>
      <c r="P4591">
        <v>-0.1638859</v>
      </c>
      <c r="Q4591">
        <v>6.9894839999999998E-3</v>
      </c>
      <c r="R4591">
        <v>-0.98645490000000002</v>
      </c>
      <c r="S4591">
        <v>-0.71505739999999995</v>
      </c>
      <c r="T4591">
        <v>-0.2330064</v>
      </c>
      <c r="U4591">
        <v>-2.9231569999999998</v>
      </c>
      <c r="V4591">
        <v>-0.31097819999999998</v>
      </c>
      <c r="W4591">
        <v>5.0876559999999899E-3</v>
      </c>
      <c r="X4591">
        <v>0.95040349999999996</v>
      </c>
      <c r="Y4591">
        <v>-0.23897119999999999</v>
      </c>
      <c r="Z4591">
        <v>6.1393509999999998E-2</v>
      </c>
      <c r="AA4591">
        <v>0.9690839</v>
      </c>
      <c r="AB4591">
        <v>29</v>
      </c>
      <c r="AC4591">
        <v>-3.29649999999998</v>
      </c>
      <c r="AD4591">
        <v>-1.1140954406370001</v>
      </c>
      <c r="AE4591">
        <v>-13.731499999999899</v>
      </c>
      <c r="AF4591">
        <v>-3.40595684172655</v>
      </c>
      <c r="AG4591">
        <v>-1.1140954406370001</v>
      </c>
      <c r="AH4591">
        <v>13.614735782282301</v>
      </c>
      <c r="AI4591">
        <v>94.538835922039198</v>
      </c>
      <c r="AJ4591">
        <v>104.04524563373</v>
      </c>
      <c r="AK4591">
        <v>14.078450947455501</v>
      </c>
      <c r="AL4591">
        <v>89.708497546126594</v>
      </c>
      <c r="AM4591">
        <v>108.118432588084</v>
      </c>
      <c r="AN4591">
        <v>1.00000006896552</v>
      </c>
    </row>
    <row r="4592" spans="1:40" x14ac:dyDescent="0.25">
      <c r="A4592" t="str">
        <f>"20190305135327727"</f>
        <v>20190305135327727</v>
      </c>
      <c r="B4592" t="str">
        <f>"1551765207725048"</f>
        <v>1551765207725048</v>
      </c>
      <c r="C4592" t="s">
        <v>40</v>
      </c>
      <c r="D4592">
        <v>4.1288359999999997</v>
      </c>
      <c r="E4592">
        <v>0.49074580000000001</v>
      </c>
      <c r="F4592" t="s">
        <v>42</v>
      </c>
      <c r="G4592">
        <v>-419.98399999999998</v>
      </c>
      <c r="H4592" s="1">
        <v>-3.0905150000000001E-6</v>
      </c>
      <c r="I4592">
        <v>106.13849999999999</v>
      </c>
      <c r="J4592">
        <v>-416.72800000000001</v>
      </c>
      <c r="K4592">
        <v>1.1139410000000001</v>
      </c>
      <c r="L4592">
        <v>126.4204</v>
      </c>
      <c r="M4592">
        <v>-0.45554210000000001</v>
      </c>
      <c r="N4592">
        <v>-2.9605090000000001E-3</v>
      </c>
      <c r="O4592">
        <v>-0.89020940000000004</v>
      </c>
      <c r="P4592">
        <v>-0.15879309999999999</v>
      </c>
      <c r="Q4592">
        <v>5.2743800000000004E-3</v>
      </c>
      <c r="R4592">
        <v>-0.98729820000000001</v>
      </c>
      <c r="S4592">
        <v>-0.48767090000000002</v>
      </c>
      <c r="T4592">
        <v>-0.160611</v>
      </c>
      <c r="U4592">
        <v>-2.961319</v>
      </c>
      <c r="V4592">
        <v>-0.30848350000000002</v>
      </c>
      <c r="W4592">
        <v>3.5703739999999999E-3</v>
      </c>
      <c r="X4592">
        <v>0.95122300000000004</v>
      </c>
      <c r="Y4592">
        <v>-0.30494680000000002</v>
      </c>
      <c r="Z4592">
        <v>4.0932099999999999E-2</v>
      </c>
      <c r="AA4592">
        <v>0.95148929999999998</v>
      </c>
      <c r="AB4592">
        <v>29</v>
      </c>
      <c r="AC4592">
        <v>-3.2560000000000202</v>
      </c>
      <c r="AD4592">
        <v>-1.113944090515</v>
      </c>
      <c r="AE4592">
        <v>-20.2819</v>
      </c>
      <c r="AF4592">
        <v>-6.32217288748837</v>
      </c>
      <c r="AG4592">
        <v>-1.113944090515</v>
      </c>
      <c r="AH4592">
        <v>19.4811779736281</v>
      </c>
      <c r="AI4592">
        <v>93.113146281344896</v>
      </c>
      <c r="AJ4592">
        <v>107.97965871324401</v>
      </c>
      <c r="AK4592">
        <v>20.511631741435401</v>
      </c>
      <c r="AL4592">
        <v>89.795432205228494</v>
      </c>
      <c r="AM4592">
        <v>107.967981217155</v>
      </c>
      <c r="AN4592">
        <v>1.0000000065358701</v>
      </c>
    </row>
    <row r="4593" spans="1:40" x14ac:dyDescent="0.25">
      <c r="A4593" t="str">
        <f>"20190305135327750"</f>
        <v>20190305135327750</v>
      </c>
      <c r="B4593" t="str">
        <f>"1551765207744568"</f>
        <v>1551765207744568</v>
      </c>
      <c r="C4593" t="s">
        <v>40</v>
      </c>
      <c r="D4593">
        <v>4.1475679999999997</v>
      </c>
      <c r="E4593">
        <v>0.4906006</v>
      </c>
      <c r="F4593" t="s">
        <v>42</v>
      </c>
      <c r="G4593">
        <v>-420.34899999999999</v>
      </c>
      <c r="H4593" s="1">
        <v>-2.993079E-7</v>
      </c>
      <c r="I4593">
        <v>100.0283</v>
      </c>
      <c r="J4593">
        <v>-416.85300000000001</v>
      </c>
      <c r="K4593">
        <v>1.1137980000000001</v>
      </c>
      <c r="L4593">
        <v>126.16</v>
      </c>
      <c r="M4593">
        <v>-0.44888509999999998</v>
      </c>
      <c r="N4593">
        <v>-3.0064219999999999E-3</v>
      </c>
      <c r="O4593">
        <v>-0.893584499999999</v>
      </c>
      <c r="P4593">
        <v>-0.15367549999999999</v>
      </c>
      <c r="Q4593">
        <v>4.6322389999999998E-3</v>
      </c>
      <c r="R4593">
        <v>-0.9881105</v>
      </c>
      <c r="S4593">
        <v>-0.4079895</v>
      </c>
      <c r="T4593">
        <v>-0.12551019999999999</v>
      </c>
      <c r="U4593">
        <v>-2.9736479999999998</v>
      </c>
      <c r="V4593">
        <v>-0.3063032</v>
      </c>
      <c r="W4593">
        <v>3.1159510000000001E-3</v>
      </c>
      <c r="X4593">
        <v>0.95192889999999997</v>
      </c>
      <c r="Y4593">
        <v>-0.323297099999999</v>
      </c>
      <c r="Z4593">
        <v>3.1311930000000002E-2</v>
      </c>
      <c r="AA4593">
        <v>0.94577929999999999</v>
      </c>
      <c r="AB4593">
        <v>29</v>
      </c>
      <c r="AC4593">
        <v>-3.49599999999998</v>
      </c>
      <c r="AD4593">
        <v>-1.1137982993078901</v>
      </c>
      <c r="AE4593">
        <v>-26.131699999999899</v>
      </c>
      <c r="AF4593">
        <v>-8.5908652812809194</v>
      </c>
      <c r="AG4593">
        <v>-1.1137982993078901</v>
      </c>
      <c r="AH4593">
        <v>24.875898529939299</v>
      </c>
      <c r="AI4593">
        <v>92.423397650828605</v>
      </c>
      <c r="AJ4593">
        <v>109.05229888055</v>
      </c>
      <c r="AK4593">
        <v>26.341105531175</v>
      </c>
      <c r="AL4593">
        <v>89.821468868751495</v>
      </c>
      <c r="AM4593">
        <v>107.83667431665199</v>
      </c>
      <c r="AN4593">
        <v>0.99999999506804205</v>
      </c>
    </row>
    <row r="4594" spans="1:40" x14ac:dyDescent="0.25">
      <c r="A4594" t="str">
        <f>"20190305135327772"</f>
        <v>20190305135327772</v>
      </c>
      <c r="B4594" t="str">
        <f>"1551765207765065"</f>
        <v>1551765207765065</v>
      </c>
      <c r="C4594" t="s">
        <v>40</v>
      </c>
      <c r="D4594">
        <v>4.1324339999999999</v>
      </c>
      <c r="E4594">
        <v>0.49155290000000001</v>
      </c>
      <c r="F4594" t="s">
        <v>42</v>
      </c>
      <c r="G4594">
        <v>-420.48970000000003</v>
      </c>
      <c r="H4594" s="1">
        <v>-3.9486359999999999E-6</v>
      </c>
      <c r="I4594">
        <v>98.489739999999998</v>
      </c>
      <c r="J4594">
        <v>-416.98160000000001</v>
      </c>
      <c r="K4594">
        <v>1.11368</v>
      </c>
      <c r="L4594">
        <v>125.8877</v>
      </c>
      <c r="M4594">
        <v>-0.44214829999999999</v>
      </c>
      <c r="N4594">
        <v>-3.0575099999999998E-3</v>
      </c>
      <c r="O4594">
        <v>-0.89693699999999998</v>
      </c>
      <c r="P4594">
        <v>-0.1482754</v>
      </c>
      <c r="Q4594">
        <v>4.0588059999999999E-3</v>
      </c>
      <c r="R4594">
        <v>-0.98893799999999998</v>
      </c>
      <c r="S4594">
        <v>-0.3911133</v>
      </c>
      <c r="T4594">
        <v>-0.1197845</v>
      </c>
      <c r="U4594">
        <v>-2.9758149999999999</v>
      </c>
      <c r="V4594">
        <v>-0.30433250000000001</v>
      </c>
      <c r="W4594">
        <v>2.7163619999999999E-3</v>
      </c>
      <c r="X4594">
        <v>0.95256200000000002</v>
      </c>
      <c r="Y4594">
        <v>-0.3215325</v>
      </c>
      <c r="Z4594">
        <v>2.9894230000000001E-2</v>
      </c>
      <c r="AA4594">
        <v>0.94642649999999995</v>
      </c>
      <c r="AB4594">
        <v>29</v>
      </c>
      <c r="AC4594">
        <v>-3.50810000000001</v>
      </c>
      <c r="AD4594">
        <v>-1.113683948636</v>
      </c>
      <c r="AE4594">
        <v>-27.397960000000001</v>
      </c>
      <c r="AF4594">
        <v>-8.9529024303136406</v>
      </c>
      <c r="AG4594">
        <v>-1.113683948636</v>
      </c>
      <c r="AH4594">
        <v>26.083059017281698</v>
      </c>
      <c r="AI4594">
        <v>92.312621914050595</v>
      </c>
      <c r="AJ4594">
        <v>108.94457199644501</v>
      </c>
      <c r="AK4594">
        <v>27.5992884249425</v>
      </c>
      <c r="AL4594">
        <v>89.844363731386395</v>
      </c>
      <c r="AM4594">
        <v>107.718077438921</v>
      </c>
      <c r="AN4594">
        <v>1.0000000065113801</v>
      </c>
    </row>
    <row r="4595" spans="1:40" x14ac:dyDescent="0.25">
      <c r="A4595" t="str">
        <f>"20190305135327794"</f>
        <v>20190305135327794</v>
      </c>
      <c r="B4595" t="str">
        <f>"1551765207784588"</f>
        <v>1551765207784588</v>
      </c>
      <c r="C4595" t="s">
        <v>40</v>
      </c>
      <c r="D4595">
        <v>4.1322989999999997</v>
      </c>
      <c r="E4595">
        <v>0.49224889999999999</v>
      </c>
      <c r="F4595" t="s">
        <v>42</v>
      </c>
      <c r="G4595">
        <v>-420.57119999999998</v>
      </c>
      <c r="H4595" s="1">
        <v>-3.7184970000000002E-6</v>
      </c>
      <c r="I4595">
        <v>97.902730000000005</v>
      </c>
      <c r="J4595">
        <v>-417.1003</v>
      </c>
      <c r="K4595">
        <v>1.1135949999999999</v>
      </c>
      <c r="L4595">
        <v>125.63200000000001</v>
      </c>
      <c r="M4595">
        <v>-0.43602190000000002</v>
      </c>
      <c r="N4595">
        <v>-3.1079929999999999E-3</v>
      </c>
      <c r="O4595">
        <v>-0.89993089999999998</v>
      </c>
      <c r="P4595">
        <v>-0.1429754</v>
      </c>
      <c r="Q4595">
        <v>4.497877E-3</v>
      </c>
      <c r="R4595">
        <v>-0.98971629999999999</v>
      </c>
      <c r="S4595">
        <v>-0.38183590000000001</v>
      </c>
      <c r="T4595">
        <v>-0.1184636</v>
      </c>
      <c r="U4595">
        <v>-2.976791</v>
      </c>
      <c r="V4595">
        <v>-0.30294490000000002</v>
      </c>
      <c r="W4595">
        <v>3.3033469999999999E-3</v>
      </c>
      <c r="X4595">
        <v>0.95300229999999997</v>
      </c>
      <c r="Y4595">
        <v>-0.31801380000000001</v>
      </c>
      <c r="Z4595">
        <v>2.9673080000000001E-2</v>
      </c>
      <c r="AA4595">
        <v>0.94762159999999995</v>
      </c>
      <c r="AB4595">
        <v>30</v>
      </c>
      <c r="AC4595">
        <v>-3.4708999999999701</v>
      </c>
      <c r="AD4595">
        <v>-1.113598718497</v>
      </c>
      <c r="AE4595">
        <v>-27.72927</v>
      </c>
      <c r="AF4595">
        <v>-8.9528240506313992</v>
      </c>
      <c r="AG4595">
        <v>-1.113598718497</v>
      </c>
      <c r="AH4595">
        <v>26.425975742049999</v>
      </c>
      <c r="AI4595">
        <v>92.285576243654006</v>
      </c>
      <c r="AJ4595">
        <v>108.715803514812</v>
      </c>
      <c r="AK4595">
        <v>27.923562711567001</v>
      </c>
      <c r="AL4595">
        <v>89.810731805738797</v>
      </c>
      <c r="AM4595">
        <v>107.634667015676</v>
      </c>
      <c r="AN4595">
        <v>0.99999995417135001</v>
      </c>
    </row>
    <row r="4596" spans="1:40" x14ac:dyDescent="0.25">
      <c r="A4596" t="str">
        <f>"20190305135327822"</f>
        <v>20190305135327822</v>
      </c>
      <c r="B4596" t="str">
        <f>"1551765207814840"</f>
        <v>1551765207814840</v>
      </c>
      <c r="C4596" t="s">
        <v>40</v>
      </c>
      <c r="D4596">
        <v>4.1356020000000004</v>
      </c>
      <c r="E4596">
        <v>0.4931256</v>
      </c>
      <c r="F4596" t="s">
        <v>42</v>
      </c>
      <c r="G4596">
        <v>-420.6986</v>
      </c>
      <c r="H4596" s="1">
        <v>-3.276559E-6</v>
      </c>
      <c r="I4596">
        <v>96.793530000000004</v>
      </c>
      <c r="J4596">
        <v>-417.22269999999997</v>
      </c>
      <c r="K4596">
        <v>1.113505</v>
      </c>
      <c r="L4596">
        <v>125.3643</v>
      </c>
      <c r="M4596">
        <v>-0.42982189999999998</v>
      </c>
      <c r="N4596">
        <v>-3.1613489999999999E-3</v>
      </c>
      <c r="O4596">
        <v>-0.90290809999999999</v>
      </c>
      <c r="P4596">
        <v>-0.136786299999999</v>
      </c>
      <c r="Q4596">
        <v>6.5851959999999998E-3</v>
      </c>
      <c r="R4596">
        <v>-0.99057890000000004</v>
      </c>
      <c r="S4596">
        <v>-0.37158200000000002</v>
      </c>
      <c r="T4596">
        <v>-0.114996</v>
      </c>
      <c r="U4596">
        <v>-2.9780120000000001</v>
      </c>
      <c r="V4596">
        <v>-0.30237019999999998</v>
      </c>
      <c r="W4596">
        <v>5.5320619999999999E-3</v>
      </c>
      <c r="X4596">
        <v>0.95317450000000004</v>
      </c>
      <c r="Y4596">
        <v>-0.31474930000000001</v>
      </c>
      <c r="Z4596">
        <v>2.8844390000000001E-2</v>
      </c>
      <c r="AA4596">
        <v>0.94873649999999998</v>
      </c>
      <c r="AB4596">
        <v>30</v>
      </c>
      <c r="AC4596">
        <v>-3.4759000000000202</v>
      </c>
      <c r="AD4596">
        <v>-1.1135082765590001</v>
      </c>
      <c r="AE4596">
        <v>-28.57077</v>
      </c>
      <c r="AF4596">
        <v>-9.1283073368749594</v>
      </c>
      <c r="AG4596">
        <v>-1.1135082765590001</v>
      </c>
      <c r="AH4596">
        <v>27.2501475141095</v>
      </c>
      <c r="AI4596">
        <v>92.218891512379798</v>
      </c>
      <c r="AJ4596">
        <v>108.519919227835</v>
      </c>
      <c r="AK4596">
        <v>28.759979747196301</v>
      </c>
      <c r="AL4596">
        <v>89.683034573749893</v>
      </c>
      <c r="AM4596">
        <v>107.60029699307201</v>
      </c>
      <c r="AN4596">
        <v>0.99999998450412997</v>
      </c>
    </row>
    <row r="4597" spans="1:40" x14ac:dyDescent="0.25">
      <c r="A4597" t="str">
        <f>"20190305135327840"</f>
        <v>20190305135327840</v>
      </c>
      <c r="B4597" t="str">
        <f>"1551765207834361"</f>
        <v>1551765207834361</v>
      </c>
      <c r="C4597" t="s">
        <v>40</v>
      </c>
      <c r="D4597">
        <v>4.3449540000000004</v>
      </c>
      <c r="E4597">
        <v>0.49336000000000002</v>
      </c>
      <c r="F4597" t="s">
        <v>42</v>
      </c>
      <c r="G4597">
        <v>-420.9975</v>
      </c>
      <c r="H4597" s="1">
        <v>-2.2036069999999999E-6</v>
      </c>
      <c r="I4597">
        <v>94.107089999999999</v>
      </c>
      <c r="J4597">
        <v>-417.34710000000001</v>
      </c>
      <c r="K4597">
        <v>1.1134109999999999</v>
      </c>
      <c r="L4597">
        <v>125.08750000000001</v>
      </c>
      <c r="M4597">
        <v>-0.42364619999999997</v>
      </c>
      <c r="N4597">
        <v>-3.2151530000000001E-3</v>
      </c>
      <c r="O4597">
        <v>-0.90582229999999997</v>
      </c>
      <c r="P4597">
        <v>-0.1307248</v>
      </c>
      <c r="Q4597">
        <v>8.3767979999999995E-3</v>
      </c>
      <c r="R4597">
        <v>-0.99138380000000004</v>
      </c>
      <c r="S4597">
        <v>-0.35983280000000001</v>
      </c>
      <c r="T4597">
        <v>-0.10614369999999999</v>
      </c>
      <c r="U4597">
        <v>-2.9795530000000001</v>
      </c>
      <c r="V4597">
        <v>-0.30170819999999998</v>
      </c>
      <c r="W4597">
        <v>7.4770390000000004E-3</v>
      </c>
      <c r="X4597">
        <v>0.95337099999999997</v>
      </c>
      <c r="Y4597">
        <v>-0.31200630000000001</v>
      </c>
      <c r="Z4597">
        <v>2.649321E-2</v>
      </c>
      <c r="AA4597">
        <v>0.94971059999999996</v>
      </c>
      <c r="AB4597">
        <v>30</v>
      </c>
      <c r="AC4597">
        <v>-3.6503999999999901</v>
      </c>
      <c r="AD4597">
        <v>-1.1134132036069999</v>
      </c>
      <c r="AE4597">
        <v>-30.980409999999999</v>
      </c>
      <c r="AF4597">
        <v>-9.8056757617734096</v>
      </c>
      <c r="AG4597">
        <v>-1.1134132036069999</v>
      </c>
      <c r="AH4597">
        <v>29.5716975959484</v>
      </c>
      <c r="AI4597">
        <v>92.0467551089978</v>
      </c>
      <c r="AJ4597">
        <v>108.344998766047</v>
      </c>
      <c r="AK4597">
        <v>31.174930069098998</v>
      </c>
      <c r="AL4597">
        <v>89.571593231872001</v>
      </c>
      <c r="AM4597">
        <v>107.560737283024</v>
      </c>
      <c r="AN4597">
        <v>1.0000000038502199</v>
      </c>
    </row>
    <row r="4598" spans="1:40" x14ac:dyDescent="0.25">
      <c r="A4598" t="str">
        <f>"20190305135327863"</f>
        <v>20190305135327863</v>
      </c>
      <c r="B4598" t="str">
        <f>"1551765207854856"</f>
        <v>1551765207854856</v>
      </c>
      <c r="C4598" t="s">
        <v>40</v>
      </c>
      <c r="D4598">
        <v>4.0929989999999998</v>
      </c>
      <c r="E4598">
        <v>0.49378630000000001</v>
      </c>
      <c r="F4598" t="s">
        <v>42</v>
      </c>
      <c r="G4598">
        <v>-421.1617</v>
      </c>
      <c r="H4598" s="1">
        <v>-1.330761E-6</v>
      </c>
      <c r="I4598">
        <v>91.970609999999994</v>
      </c>
      <c r="J4598">
        <v>-417.47460000000001</v>
      </c>
      <c r="K4598">
        <v>1.113286</v>
      </c>
      <c r="L4598">
        <v>124.7993</v>
      </c>
      <c r="M4598">
        <v>-0.41746630000000001</v>
      </c>
      <c r="N4598">
        <v>-3.2694270000000001E-3</v>
      </c>
      <c r="O4598">
        <v>-0.90868660000000001</v>
      </c>
      <c r="P4598">
        <v>-0.12472179999999999</v>
      </c>
      <c r="Q4598">
        <v>9.4483329999999997E-3</v>
      </c>
      <c r="R4598">
        <v>-0.9921468</v>
      </c>
      <c r="S4598">
        <v>-0.34344479999999999</v>
      </c>
      <c r="T4598">
        <v>-0.1002449</v>
      </c>
      <c r="U4598">
        <v>-2.9816440000000002</v>
      </c>
      <c r="V4598">
        <v>-0.3009927</v>
      </c>
      <c r="W4598">
        <v>8.7182059999999992E-3</v>
      </c>
      <c r="X4598">
        <v>0.95358659999999995</v>
      </c>
      <c r="Y4598">
        <v>-0.31075839999999999</v>
      </c>
      <c r="Z4598">
        <v>2.4927089999999999E-2</v>
      </c>
      <c r="AA4598">
        <v>0.95016199999999995</v>
      </c>
      <c r="AB4598">
        <v>30</v>
      </c>
      <c r="AC4598">
        <v>-3.6870999999999801</v>
      </c>
      <c r="AD4598">
        <v>-1.1132873307610001</v>
      </c>
      <c r="AE4598">
        <v>-32.828690000000002</v>
      </c>
      <c r="AF4598">
        <v>-10.3427617446397</v>
      </c>
      <c r="AG4598">
        <v>-1.1132873307610001</v>
      </c>
      <c r="AH4598">
        <v>31.334809271153802</v>
      </c>
      <c r="AI4598">
        <v>91.932335654024001</v>
      </c>
      <c r="AJ4598">
        <v>108.266640666171</v>
      </c>
      <c r="AK4598">
        <v>33.016395945754098</v>
      </c>
      <c r="AL4598">
        <v>89.500477267321003</v>
      </c>
      <c r="AM4598">
        <v>107.51792389504899</v>
      </c>
      <c r="AN4598">
        <v>1.0000000081343501</v>
      </c>
    </row>
    <row r="4599" spans="1:40" x14ac:dyDescent="0.25">
      <c r="A4599" t="str">
        <f>"20190305135327886"</f>
        <v>20190305135327886</v>
      </c>
      <c r="B4599" t="str">
        <f>"1551765207874377"</f>
        <v>1551765207874377</v>
      </c>
      <c r="C4599" t="s">
        <v>40</v>
      </c>
      <c r="D4599">
        <v>4.0955949999999897</v>
      </c>
      <c r="E4599">
        <v>0.49436750000000002</v>
      </c>
      <c r="F4599" t="s">
        <v>42</v>
      </c>
      <c r="G4599">
        <v>-421.21800000000002</v>
      </c>
      <c r="H4599" s="1">
        <v>-8.7018829999999996E-7</v>
      </c>
      <c r="I4599">
        <v>90.862080000000006</v>
      </c>
      <c r="J4599">
        <v>-417.59480000000002</v>
      </c>
      <c r="K4599">
        <v>1.113151</v>
      </c>
      <c r="L4599">
        <v>124.52379999999999</v>
      </c>
      <c r="M4599">
        <v>-0.4118077</v>
      </c>
      <c r="N4599">
        <v>-3.3200650000000001E-3</v>
      </c>
      <c r="O4599">
        <v>-0.91126470000000004</v>
      </c>
      <c r="P4599">
        <v>-0.1191123</v>
      </c>
      <c r="Q4599">
        <v>1.049247E-2</v>
      </c>
      <c r="R4599">
        <v>-0.99282530000000002</v>
      </c>
      <c r="S4599">
        <v>-0.329071</v>
      </c>
      <c r="T4599">
        <v>-9.7865820000000006E-2</v>
      </c>
      <c r="U4599">
        <v>-2.9833219999999998</v>
      </c>
      <c r="V4599">
        <v>-0.30045860000000002</v>
      </c>
      <c r="W4599">
        <v>9.9297970000000006E-3</v>
      </c>
      <c r="X4599">
        <v>0.95374320000000001</v>
      </c>
      <c r="Y4599">
        <v>-0.30942770000000003</v>
      </c>
      <c r="Z4599">
        <v>2.4329010000000002E-2</v>
      </c>
      <c r="AA4599">
        <v>0.95061169999999995</v>
      </c>
      <c r="AB4599">
        <v>30</v>
      </c>
      <c r="AC4599">
        <v>-3.62319999999999</v>
      </c>
      <c r="AD4599">
        <v>-1.1131518701883001</v>
      </c>
      <c r="AE4599">
        <v>-33.661719999999903</v>
      </c>
      <c r="AF4599">
        <v>-10.549115851463799</v>
      </c>
      <c r="AG4599">
        <v>-1.1131518701883001</v>
      </c>
      <c r="AH4599">
        <v>32.132241205561499</v>
      </c>
      <c r="AI4599">
        <v>91.885176148583</v>
      </c>
      <c r="AJ4599">
        <v>108.175170887764</v>
      </c>
      <c r="AK4599">
        <v>33.8379059225906</v>
      </c>
      <c r="AL4599">
        <v>89.431055208320203</v>
      </c>
      <c r="AM4599">
        <v>107.486039100233</v>
      </c>
      <c r="AN4599">
        <v>1.00000003136433</v>
      </c>
    </row>
    <row r="4600" spans="1:40" x14ac:dyDescent="0.25">
      <c r="A4600" t="str">
        <f>"20190305135327906"</f>
        <v>20190305135327906</v>
      </c>
      <c r="B4600" t="str">
        <f>"1551765207894873"</f>
        <v>1551765207894873</v>
      </c>
      <c r="C4600" t="s">
        <v>40</v>
      </c>
      <c r="D4600">
        <v>4.0917440000000003</v>
      </c>
      <c r="E4600">
        <v>0.50662370000000001</v>
      </c>
      <c r="F4600" t="s">
        <v>42</v>
      </c>
      <c r="G4600">
        <v>-421.30619999999999</v>
      </c>
      <c r="H4600" s="1">
        <v>-4.5061260000000002E-6</v>
      </c>
      <c r="I4600">
        <v>89.547380000000004</v>
      </c>
      <c r="J4600">
        <v>-417.70819999999998</v>
      </c>
      <c r="K4600">
        <v>1.1130070000000001</v>
      </c>
      <c r="L4600">
        <v>124.2597</v>
      </c>
      <c r="M4600">
        <v>-0.4066188</v>
      </c>
      <c r="N4600">
        <v>-3.3681359999999999E-3</v>
      </c>
      <c r="O4600">
        <v>-0.91359179999999995</v>
      </c>
      <c r="P4600">
        <v>-0.1136876</v>
      </c>
      <c r="Q4600">
        <v>1.126719E-2</v>
      </c>
      <c r="R4600">
        <v>-0.99345280000000002</v>
      </c>
      <c r="S4600">
        <v>-0.31671139999999998</v>
      </c>
      <c r="T4600">
        <v>-9.4989539999999997E-2</v>
      </c>
      <c r="U4600">
        <v>-2.9846650000000001</v>
      </c>
      <c r="V4600">
        <v>-0.30024650000000003</v>
      </c>
      <c r="W4600">
        <v>1.0863869999999999E-2</v>
      </c>
      <c r="X4600">
        <v>0.95379979999999998</v>
      </c>
      <c r="Y4600">
        <v>-0.3079557</v>
      </c>
      <c r="Z4600">
        <v>2.3578289999999998E-2</v>
      </c>
      <c r="AA4600">
        <v>0.95110850000000002</v>
      </c>
      <c r="AB4600">
        <v>30</v>
      </c>
      <c r="AC4600">
        <v>-3.5980000000000101</v>
      </c>
      <c r="AD4600">
        <v>-1.113011506126</v>
      </c>
      <c r="AE4600">
        <v>-34.712319999999899</v>
      </c>
      <c r="AF4600">
        <v>-10.816636810575901</v>
      </c>
      <c r="AG4600">
        <v>-1.113011506126</v>
      </c>
      <c r="AH4600">
        <v>33.142379481812803</v>
      </c>
      <c r="AI4600">
        <v>91.828572390214006</v>
      </c>
      <c r="AJ4600">
        <v>108.075064265764</v>
      </c>
      <c r="AK4600">
        <v>34.880592658685799</v>
      </c>
      <c r="AL4600">
        <v>89.377533868478395</v>
      </c>
      <c r="AM4600">
        <v>107.473473068104</v>
      </c>
      <c r="AN4600">
        <v>1.0000000214568301</v>
      </c>
    </row>
    <row r="4601" spans="1:40" x14ac:dyDescent="0.25">
      <c r="A4601" t="str">
        <f>"20190305135327928"</f>
        <v>20190305135327928</v>
      </c>
      <c r="B4601" t="str">
        <f>"1551765207924154"</f>
        <v>1551765207924154</v>
      </c>
      <c r="C4601" t="s">
        <v>40</v>
      </c>
      <c r="D4601">
        <v>3.9855119999999999</v>
      </c>
      <c r="E4601">
        <v>0.50319970000000003</v>
      </c>
      <c r="F4601" t="s">
        <v>42</v>
      </c>
      <c r="G4601">
        <v>-421.7878</v>
      </c>
      <c r="H4601" s="1">
        <v>-2.2745640000000001E-6</v>
      </c>
      <c r="I4601">
        <v>93.782309999999995</v>
      </c>
      <c r="J4601">
        <v>-417.82389999999998</v>
      </c>
      <c r="K4601">
        <v>1.1128629999999999</v>
      </c>
      <c r="L4601">
        <v>123.9863</v>
      </c>
      <c r="M4601">
        <v>-0.40146310000000002</v>
      </c>
      <c r="N4601">
        <v>-3.4183989999999999E-3</v>
      </c>
      <c r="O4601">
        <v>-0.91586880000000004</v>
      </c>
      <c r="P4601">
        <v>-0.1080726</v>
      </c>
      <c r="Q4601">
        <v>1.141614E-2</v>
      </c>
      <c r="R4601">
        <v>-0.99407749999999995</v>
      </c>
      <c r="S4601">
        <v>-0.3982849</v>
      </c>
      <c r="T4601">
        <v>-0.1086597</v>
      </c>
      <c r="U4601">
        <v>-2.9754179999999999</v>
      </c>
      <c r="V4601">
        <v>-0.30025780000000002</v>
      </c>
      <c r="W4601">
        <v>1.116903E-2</v>
      </c>
      <c r="X4601">
        <v>0.95379270000000005</v>
      </c>
      <c r="Y4601">
        <v>-0.2764336</v>
      </c>
      <c r="Z4601">
        <v>2.7761259999999999E-2</v>
      </c>
      <c r="AA4601">
        <v>0.96063200000000004</v>
      </c>
      <c r="AB4601">
        <v>31</v>
      </c>
      <c r="AC4601">
        <v>-3.9639000000000202</v>
      </c>
      <c r="AD4601">
        <v>-1.112865274564</v>
      </c>
      <c r="AE4601">
        <v>-30.203990000000001</v>
      </c>
      <c r="AF4601">
        <v>-8.4841023077269906</v>
      </c>
      <c r="AG4601">
        <v>-1.112865274564</v>
      </c>
      <c r="AH4601">
        <v>29.215433157381099</v>
      </c>
      <c r="AI4601">
        <v>92.094972657713001</v>
      </c>
      <c r="AJ4601">
        <v>106.193189577797</v>
      </c>
      <c r="AK4601">
        <v>30.442733051759902</v>
      </c>
      <c r="AL4601">
        <v>89.360048416554704</v>
      </c>
      <c r="AM4601">
        <v>107.47421282851199</v>
      </c>
      <c r="AN4601">
        <v>1.00000000413263</v>
      </c>
    </row>
    <row r="4602" spans="1:40" x14ac:dyDescent="0.25">
      <c r="A4602" t="str">
        <f>"20190305135327951"</f>
        <v>20190305135327951</v>
      </c>
      <c r="B4602" t="str">
        <f>"1551765207944652"</f>
        <v>1551765207944652</v>
      </c>
      <c r="C4602" t="s">
        <v>40</v>
      </c>
      <c r="D4602">
        <v>4.0957210000000002</v>
      </c>
      <c r="E4602">
        <v>0.50253459999999905</v>
      </c>
      <c r="F4602" t="s">
        <v>42</v>
      </c>
      <c r="G4602">
        <v>-420.6241</v>
      </c>
      <c r="H4602" s="1">
        <v>-5.8514619999999905E-7</v>
      </c>
      <c r="I4602">
        <v>100.4782</v>
      </c>
      <c r="J4602">
        <v>-417.94900000000001</v>
      </c>
      <c r="K4602">
        <v>1.1127309999999999</v>
      </c>
      <c r="L4602">
        <v>123.6867</v>
      </c>
      <c r="M4602">
        <v>-0.39601370000000002</v>
      </c>
      <c r="N4602">
        <v>-3.4760770000000002E-3</v>
      </c>
      <c r="O4602">
        <v>-0.9182382</v>
      </c>
      <c r="P4602">
        <v>-0.1023781</v>
      </c>
      <c r="Q4602">
        <v>1.1240679999999999E-2</v>
      </c>
      <c r="R4602">
        <v>-0.99468239999999997</v>
      </c>
      <c r="S4602">
        <v>-0.355072</v>
      </c>
      <c r="T4602">
        <v>-0.14111360000000001</v>
      </c>
      <c r="U4602">
        <v>-2.9808810000000001</v>
      </c>
      <c r="V4602">
        <v>-0.30004819999999999</v>
      </c>
      <c r="W4602">
        <v>1.114709E-2</v>
      </c>
      <c r="X4602">
        <v>0.95385889999999995</v>
      </c>
      <c r="Y4602">
        <v>-0.28467870000000001</v>
      </c>
      <c r="Z4602">
        <v>3.7027589999999999E-2</v>
      </c>
      <c r="AA4602">
        <v>0.95790759999999997</v>
      </c>
      <c r="AB4602">
        <v>31</v>
      </c>
      <c r="AC4602">
        <v>-2.67509999999998</v>
      </c>
      <c r="AD4602">
        <v>-1.1127315851462001</v>
      </c>
      <c r="AE4602">
        <v>-23.208500000000001</v>
      </c>
      <c r="AF4602">
        <v>-6.7193012429478696</v>
      </c>
      <c r="AG4602">
        <v>-1.1127315851462001</v>
      </c>
      <c r="AH4602">
        <v>22.319804684968599</v>
      </c>
      <c r="AI4602">
        <v>92.733093878350701</v>
      </c>
      <c r="AJ4602">
        <v>106.754242670734</v>
      </c>
      <c r="AK4602">
        <v>23.335827860806901</v>
      </c>
      <c r="AL4602">
        <v>89.361305555521199</v>
      </c>
      <c r="AM4602">
        <v>107.461618105366</v>
      </c>
      <c r="AN4602">
        <v>0.99999999052395905</v>
      </c>
    </row>
    <row r="4603" spans="1:40" x14ac:dyDescent="0.25">
      <c r="A4603" t="str">
        <f>"20190305135327972"</f>
        <v>20190305135327972</v>
      </c>
      <c r="B4603" t="str">
        <f>"1551765207965145"</f>
        <v>1551765207965145</v>
      </c>
      <c r="C4603" t="s">
        <v>40</v>
      </c>
      <c r="D4603">
        <v>4.076479</v>
      </c>
      <c r="E4603">
        <v>0.49933349999999999</v>
      </c>
      <c r="F4603" t="s">
        <v>42</v>
      </c>
      <c r="G4603">
        <v>-420.78190000000001</v>
      </c>
      <c r="H4603" s="1">
        <v>-3.917071E-6</v>
      </c>
      <c r="I4603">
        <v>98.234939999999995</v>
      </c>
      <c r="J4603">
        <v>-418.06020000000001</v>
      </c>
      <c r="K4603">
        <v>1.11264599999999</v>
      </c>
      <c r="L4603">
        <v>123.4165</v>
      </c>
      <c r="M4603">
        <v>-0.39124910000000002</v>
      </c>
      <c r="N4603">
        <v>-3.5306259999999998E-3</v>
      </c>
      <c r="O4603">
        <v>-0.92027829999999999</v>
      </c>
      <c r="P4603">
        <v>-9.7666840000000005E-2</v>
      </c>
      <c r="Q4603">
        <v>1.033508E-2</v>
      </c>
      <c r="R4603">
        <v>-0.99516579999999999</v>
      </c>
      <c r="S4603">
        <v>-0.33206180000000002</v>
      </c>
      <c r="T4603">
        <v>-0.13042970000000001</v>
      </c>
      <c r="U4603">
        <v>-2.9833370000000001</v>
      </c>
      <c r="V4603">
        <v>-0.29961310000000002</v>
      </c>
      <c r="W4603">
        <v>1.036751E-2</v>
      </c>
      <c r="X4603">
        <v>0.95400450000000003</v>
      </c>
      <c r="Y4603">
        <v>-0.28708289999999997</v>
      </c>
      <c r="Z4603">
        <v>3.4012300000000002E-2</v>
      </c>
      <c r="AA4603">
        <v>0.95730170000000003</v>
      </c>
      <c r="AB4603">
        <v>31</v>
      </c>
      <c r="AC4603">
        <v>-2.72169999999999</v>
      </c>
      <c r="AD4603">
        <v>-1.11264991707099</v>
      </c>
      <c r="AE4603">
        <v>-25.181559999999902</v>
      </c>
      <c r="AF4603">
        <v>-7.3334333812476604</v>
      </c>
      <c r="AG4603">
        <v>-1.11264991707099</v>
      </c>
      <c r="AH4603">
        <v>24.192365300603999</v>
      </c>
      <c r="AI4603">
        <v>92.520191936684796</v>
      </c>
      <c r="AJ4603">
        <v>106.863634077348</v>
      </c>
      <c r="AK4603">
        <v>25.303908271905801</v>
      </c>
      <c r="AL4603">
        <v>89.405974815175099</v>
      </c>
      <c r="AM4603">
        <v>107.435332853782</v>
      </c>
      <c r="AN4603">
        <v>1.0000000404877201</v>
      </c>
    </row>
    <row r="4604" spans="1:40" x14ac:dyDescent="0.25">
      <c r="A4604" t="str">
        <f>"20190305135327994"</f>
        <v>20190305135327994</v>
      </c>
      <c r="B4604" t="str">
        <f>"1551765207984665"</f>
        <v>1551765207984665</v>
      </c>
      <c r="C4604" t="s">
        <v>40</v>
      </c>
      <c r="D4604">
        <v>4.0873039999999996</v>
      </c>
      <c r="E4604">
        <v>0.49739559999999999</v>
      </c>
      <c r="F4604" t="s">
        <v>42</v>
      </c>
      <c r="G4604">
        <v>-420.86090000000002</v>
      </c>
      <c r="H4604" s="1">
        <v>-2.4557040000000002E-6</v>
      </c>
      <c r="I4604">
        <v>94.779439999999994</v>
      </c>
      <c r="J4604">
        <v>-418.17399999999998</v>
      </c>
      <c r="K4604">
        <v>1.1125689999999999</v>
      </c>
      <c r="L4604">
        <v>123.13630000000001</v>
      </c>
      <c r="M4604">
        <v>-0.38643870000000002</v>
      </c>
      <c r="N4604">
        <v>-3.5890620000000001E-3</v>
      </c>
      <c r="O4604">
        <v>-0.92230809999999996</v>
      </c>
      <c r="P4604">
        <v>-9.3271519999999997E-2</v>
      </c>
      <c r="Q4604">
        <v>9.3570860000000006E-3</v>
      </c>
      <c r="R4604">
        <v>-0.99559660000000005</v>
      </c>
      <c r="S4604">
        <v>-0.29214479999999998</v>
      </c>
      <c r="T4604">
        <v>-0.1160598</v>
      </c>
      <c r="U4604">
        <v>-2.9871219999999998</v>
      </c>
      <c r="V4604">
        <v>-0.2988363</v>
      </c>
      <c r="W4604">
        <v>9.5106740000000002E-3</v>
      </c>
      <c r="X4604">
        <v>0.95425700000000002</v>
      </c>
      <c r="Y4604">
        <v>-0.294848</v>
      </c>
      <c r="Z4604">
        <v>2.987103E-2</v>
      </c>
      <c r="AA4604">
        <v>0.95507719999999896</v>
      </c>
      <c r="AB4604">
        <v>31</v>
      </c>
      <c r="AC4604">
        <v>-2.6868999999999699</v>
      </c>
      <c r="AD4604">
        <v>-1.1125714557040001</v>
      </c>
      <c r="AE4604">
        <v>-28.356860000000001</v>
      </c>
      <c r="AF4604">
        <v>-8.4671751453135702</v>
      </c>
      <c r="AG4604">
        <v>-1.1125714557040001</v>
      </c>
      <c r="AH4604">
        <v>27.150836252190601</v>
      </c>
      <c r="AI4604">
        <v>92.240227983594707</v>
      </c>
      <c r="AJ4604">
        <v>107.320448847965</v>
      </c>
      <c r="AK4604">
        <v>28.462234265403801</v>
      </c>
      <c r="AL4604">
        <v>89.455070306681904</v>
      </c>
      <c r="AM4604">
        <v>107.388533437867</v>
      </c>
      <c r="AN4604">
        <v>1.00000000458331</v>
      </c>
    </row>
    <row r="4605" spans="1:40" x14ac:dyDescent="0.25">
      <c r="A4605" t="str">
        <f>"20190305135328017"</f>
        <v>20190305135328017</v>
      </c>
      <c r="B4605" t="str">
        <f>"1551765208004185"</f>
        <v>1551765208004185</v>
      </c>
      <c r="C4605" t="s">
        <v>40</v>
      </c>
      <c r="D4605">
        <v>4.05877</v>
      </c>
      <c r="E4605">
        <v>0.4966373</v>
      </c>
      <c r="F4605" t="s">
        <v>42</v>
      </c>
      <c r="G4605">
        <v>-421.09359999999998</v>
      </c>
      <c r="H4605" s="1">
        <v>-4.1674719999999998E-7</v>
      </c>
      <c r="I4605">
        <v>89.882269999999906</v>
      </c>
      <c r="J4605">
        <v>-418.29090000000002</v>
      </c>
      <c r="K4605">
        <v>1.1125119999999999</v>
      </c>
      <c r="L4605">
        <v>122.84439999999999</v>
      </c>
      <c r="M4605">
        <v>-0.3815422</v>
      </c>
      <c r="N4605">
        <v>-3.6513169999999998E-3</v>
      </c>
      <c r="O4605">
        <v>-0.92434439999999995</v>
      </c>
      <c r="P4605">
        <v>-8.850653E-2</v>
      </c>
      <c r="Q4605">
        <v>8.8619079999999999E-3</v>
      </c>
      <c r="R4605">
        <v>-0.99603649999999999</v>
      </c>
      <c r="S4605">
        <v>-0.26248169999999998</v>
      </c>
      <c r="T4605">
        <v>-0.1000229</v>
      </c>
      <c r="U4605">
        <v>-2.9896240000000001</v>
      </c>
      <c r="V4605">
        <v>-0.29833769999999998</v>
      </c>
      <c r="W4605">
        <v>9.1254089999999993E-3</v>
      </c>
      <c r="X4605">
        <v>0.95441679999999995</v>
      </c>
      <c r="Y4605">
        <v>-0.29924200000000001</v>
      </c>
      <c r="Z4605">
        <v>2.5257999999999999E-2</v>
      </c>
      <c r="AA4605">
        <v>0.95384290000000005</v>
      </c>
      <c r="AB4605">
        <v>31</v>
      </c>
      <c r="AC4605">
        <v>-2.80269999999995</v>
      </c>
      <c r="AD4605">
        <v>-1.1125124167472</v>
      </c>
      <c r="AE4605">
        <v>-32.962130000000002</v>
      </c>
      <c r="AF4605">
        <v>-9.9745674289963606</v>
      </c>
      <c r="AG4605">
        <v>-1.1125124167472</v>
      </c>
      <c r="AH4605">
        <v>31.502285175822401</v>
      </c>
      <c r="AI4605">
        <v>91.928301071495397</v>
      </c>
      <c r="AJ4605">
        <v>107.56934751931099</v>
      </c>
      <c r="AK4605">
        <v>33.062420518949502</v>
      </c>
      <c r="AL4605">
        <v>89.477145343256197</v>
      </c>
      <c r="AM4605">
        <v>107.358533822578</v>
      </c>
      <c r="AN4605">
        <v>1.0000000422264701</v>
      </c>
    </row>
    <row r="4606" spans="1:40" x14ac:dyDescent="0.25">
      <c r="A4606" t="str">
        <f>"20190305135328040"</f>
        <v>20190305135328040</v>
      </c>
      <c r="B4606" t="str">
        <f>"1551765208034442"</f>
        <v>1551765208034442</v>
      </c>
      <c r="C4606" t="s">
        <v>40</v>
      </c>
      <c r="D4606">
        <v>4.0494300000000001</v>
      </c>
      <c r="E4606">
        <v>0.49678329999999998</v>
      </c>
      <c r="F4606" t="s">
        <v>42</v>
      </c>
      <c r="G4606">
        <v>-421.36290000000002</v>
      </c>
      <c r="H4606" s="1">
        <v>-2.6132779999999999E-6</v>
      </c>
      <c r="I4606">
        <v>84.835419999999999</v>
      </c>
      <c r="J4606">
        <v>-418.40789999999998</v>
      </c>
      <c r="K4606">
        <v>1.1124769999999999</v>
      </c>
      <c r="L4606">
        <v>122.5479</v>
      </c>
      <c r="M4606">
        <v>-0.37665520000000002</v>
      </c>
      <c r="N4606">
        <v>-3.715964E-3</v>
      </c>
      <c r="O4606">
        <v>-0.92634609999999995</v>
      </c>
      <c r="P4606">
        <v>-8.4217319999999998E-2</v>
      </c>
      <c r="Q4606">
        <v>7.9813660000000002E-3</v>
      </c>
      <c r="R4606">
        <v>-0.99641559999999996</v>
      </c>
      <c r="S4606">
        <v>-0.24176030000000001</v>
      </c>
      <c r="T4606">
        <v>-8.7552909999999998E-2</v>
      </c>
      <c r="U4606">
        <v>-2.991241</v>
      </c>
      <c r="V4606">
        <v>-0.29739890000000002</v>
      </c>
      <c r="W4606">
        <v>8.3505790000000003E-3</v>
      </c>
      <c r="X4606">
        <v>0.95471680000000003</v>
      </c>
      <c r="Y4606">
        <v>-0.30080410000000002</v>
      </c>
      <c r="Z4606">
        <v>2.1667309999999999E-2</v>
      </c>
      <c r="AA4606">
        <v>0.95343979999999995</v>
      </c>
      <c r="AB4606">
        <v>31</v>
      </c>
      <c r="AC4606">
        <v>-2.95500000000004</v>
      </c>
      <c r="AD4606">
        <v>-1.1124796132779999</v>
      </c>
      <c r="AE4606">
        <v>-37.712479999999999</v>
      </c>
      <c r="AF4606">
        <v>-11.457418598081199</v>
      </c>
      <c r="AG4606">
        <v>-1.1124796132779999</v>
      </c>
      <c r="AH4606">
        <v>36.016922654401299</v>
      </c>
      <c r="AI4606">
        <v>91.685972712902</v>
      </c>
      <c r="AJ4606">
        <v>107.64649638100001</v>
      </c>
      <c r="AK4606">
        <v>37.811754380281599</v>
      </c>
      <c r="AL4606">
        <v>89.521541507499094</v>
      </c>
      <c r="AM4606">
        <v>107.30206405818301</v>
      </c>
      <c r="AN4606">
        <v>1.0000000030465399</v>
      </c>
    </row>
    <row r="4607" spans="1:40" x14ac:dyDescent="0.25">
      <c r="A4607" t="str">
        <f>"20190305135328064"</f>
        <v>20190305135328064</v>
      </c>
      <c r="B4607" t="str">
        <f>"1551765208054936"</f>
        <v>1551765208054936</v>
      </c>
      <c r="C4607" t="s">
        <v>40</v>
      </c>
      <c r="D4607">
        <v>4.0638290000000001</v>
      </c>
      <c r="E4607">
        <v>0.49673840000000002</v>
      </c>
      <c r="F4607" t="s">
        <v>42</v>
      </c>
      <c r="G4607">
        <v>-421.73110000000003</v>
      </c>
      <c r="H4607" s="1">
        <v>-4.4960060000000004E-6</v>
      </c>
      <c r="I4607">
        <v>79.296139999999994</v>
      </c>
      <c r="J4607">
        <v>-418.52850000000001</v>
      </c>
      <c r="K4607">
        <v>1.112452</v>
      </c>
      <c r="L4607">
        <v>122.2381</v>
      </c>
      <c r="M4607">
        <v>-0.37161420000000001</v>
      </c>
      <c r="N4607">
        <v>-3.7849580000000002E-3</v>
      </c>
      <c r="O4607">
        <v>-0.92837970000000003</v>
      </c>
      <c r="P4607">
        <v>-7.944379E-2</v>
      </c>
      <c r="Q4607">
        <v>7.7853009999999997E-3</v>
      </c>
      <c r="R4607">
        <v>-0.99680930000000001</v>
      </c>
      <c r="S4607">
        <v>-0.22988890000000001</v>
      </c>
      <c r="T4607">
        <v>-7.6956750000000004E-2</v>
      </c>
      <c r="U4607">
        <v>-2.9919739999999999</v>
      </c>
      <c r="V4607">
        <v>-0.29678080000000001</v>
      </c>
      <c r="W4607">
        <v>8.2494909999999994E-3</v>
      </c>
      <c r="X4607">
        <v>0.95491000000000004</v>
      </c>
      <c r="Y4607">
        <v>-0.29939569999999999</v>
      </c>
      <c r="Z4607">
        <v>1.8613350000000001E-2</v>
      </c>
      <c r="AA4607">
        <v>0.95394749999999995</v>
      </c>
      <c r="AB4607">
        <v>31</v>
      </c>
      <c r="AC4607">
        <v>-3.2026000000000101</v>
      </c>
      <c r="AD4607">
        <v>-1.1124564960059999</v>
      </c>
      <c r="AE4607">
        <v>-42.941960000000002</v>
      </c>
      <c r="AF4607">
        <v>-12.9760439451822</v>
      </c>
      <c r="AG4607">
        <v>-1.1124564960059999</v>
      </c>
      <c r="AH4607">
        <v>41.029479837098897</v>
      </c>
      <c r="AI4607">
        <v>91.480854492577294</v>
      </c>
      <c r="AJ4607">
        <v>107.550156568391</v>
      </c>
      <c r="AK4607">
        <v>43.046875515253298</v>
      </c>
      <c r="AL4607">
        <v>89.527333622605894</v>
      </c>
      <c r="AM4607">
        <v>107.264958590639</v>
      </c>
      <c r="AN4607">
        <v>1.0000000027251901</v>
      </c>
    </row>
    <row r="4608" spans="1:40" x14ac:dyDescent="0.25">
      <c r="A4608" t="str">
        <f>"20190305135328084"</f>
        <v>20190305135328084</v>
      </c>
      <c r="B4608" t="str">
        <f>"1551765208074457"</f>
        <v>1551765208074457</v>
      </c>
      <c r="C4608" t="s">
        <v>40</v>
      </c>
      <c r="D4608">
        <v>4.0633929999999996</v>
      </c>
      <c r="E4608">
        <v>0.49677460000000001</v>
      </c>
      <c r="F4608" t="s">
        <v>42</v>
      </c>
      <c r="G4608">
        <v>-421.84629999999999</v>
      </c>
      <c r="H4608" s="1">
        <v>-3.256956E-6</v>
      </c>
      <c r="I4608">
        <v>76.036000000000001</v>
      </c>
      <c r="J4608">
        <v>-418.63189999999997</v>
      </c>
      <c r="K4608">
        <v>1.112449</v>
      </c>
      <c r="L4608">
        <v>121.9683</v>
      </c>
      <c r="M4608">
        <v>-0.36726500000000001</v>
      </c>
      <c r="N4608">
        <v>-3.8461559999999999E-3</v>
      </c>
      <c r="O4608">
        <v>-0.9301085</v>
      </c>
      <c r="P4608">
        <v>-7.5773599999999997E-2</v>
      </c>
      <c r="Q4608">
        <v>7.8527500000000004E-3</v>
      </c>
      <c r="R4608">
        <v>-0.99709409999999998</v>
      </c>
      <c r="S4608">
        <v>-0.2149353</v>
      </c>
      <c r="T4608">
        <v>-7.2066549999999993E-2</v>
      </c>
      <c r="U4608">
        <v>-2.993042</v>
      </c>
      <c r="V4608">
        <v>-0.29582770000000003</v>
      </c>
      <c r="W4608">
        <v>8.3953999999999904E-3</v>
      </c>
      <c r="X4608">
        <v>0.95520439999999995</v>
      </c>
      <c r="Y4608">
        <v>-0.29969499999999999</v>
      </c>
      <c r="Z4608">
        <v>1.7186099999999999E-2</v>
      </c>
      <c r="AA4608">
        <v>0.95388030000000001</v>
      </c>
      <c r="AB4608">
        <v>31</v>
      </c>
      <c r="AC4608">
        <v>-3.2144000000000101</v>
      </c>
      <c r="AD4608">
        <v>-1.112452256956</v>
      </c>
      <c r="AE4608">
        <v>-45.932299999999998</v>
      </c>
      <c r="AF4608">
        <v>-13.8715895793462</v>
      </c>
      <c r="AG4608">
        <v>-1.112452256956</v>
      </c>
      <c r="AH4608">
        <v>43.877267674813801</v>
      </c>
      <c r="AI4608">
        <v>91.384821565660602</v>
      </c>
      <c r="AJ4608">
        <v>107.544102281576</v>
      </c>
      <c r="AK4608">
        <v>46.031219472105001</v>
      </c>
      <c r="AL4608">
        <v>89.518973351447002</v>
      </c>
      <c r="AM4608">
        <v>107.207802253427</v>
      </c>
      <c r="AN4608">
        <v>0.99999997830390397</v>
      </c>
    </row>
    <row r="4609" spans="1:40" x14ac:dyDescent="0.25">
      <c r="A4609" t="str">
        <f>"20190305135328107"</f>
        <v>20190305135328107</v>
      </c>
      <c r="B4609" t="str">
        <f>"1551765208094953"</f>
        <v>1551765208094953</v>
      </c>
      <c r="C4609" t="s">
        <v>40</v>
      </c>
      <c r="D4609">
        <v>4.1068499999999997</v>
      </c>
      <c r="E4609">
        <v>0.49736979999999997</v>
      </c>
      <c r="F4609" t="s">
        <v>42</v>
      </c>
      <c r="G4609">
        <v>-422.02460000000002</v>
      </c>
      <c r="H4609" s="1">
        <v>-1.6471939999999999E-6</v>
      </c>
      <c r="I4609">
        <v>72.173019999999994</v>
      </c>
      <c r="J4609">
        <v>-418.74299999999999</v>
      </c>
      <c r="K4609">
        <v>1.1124639999999999</v>
      </c>
      <c r="L4609">
        <v>121.6739</v>
      </c>
      <c r="M4609">
        <v>-0.36254579999999997</v>
      </c>
      <c r="N4609">
        <v>-3.913667E-3</v>
      </c>
      <c r="O4609">
        <v>-0.93195779999999995</v>
      </c>
      <c r="P4609">
        <v>-7.1416540000000001E-2</v>
      </c>
      <c r="Q4609">
        <v>8.0488980000000005E-3</v>
      </c>
      <c r="R4609">
        <v>-0.99741429999999998</v>
      </c>
      <c r="S4609">
        <v>-0.20397950000000001</v>
      </c>
      <c r="T4609">
        <v>-6.6882369999999997E-2</v>
      </c>
      <c r="U4609">
        <v>-2.9937740000000002</v>
      </c>
      <c r="V4609">
        <v>-0.29516199999999998</v>
      </c>
      <c r="W4609">
        <v>8.6648019999999992E-3</v>
      </c>
      <c r="X4609">
        <v>0.95540789999999998</v>
      </c>
      <c r="Y4609">
        <v>-0.29834889999999997</v>
      </c>
      <c r="Z4609">
        <v>1.5670980000000001E-2</v>
      </c>
      <c r="AA4609">
        <v>0.95432819999999996</v>
      </c>
      <c r="AB4609">
        <v>32</v>
      </c>
      <c r="AC4609">
        <v>-3.2815999999999601</v>
      </c>
      <c r="AD4609">
        <v>-1.112465647194</v>
      </c>
      <c r="AE4609">
        <v>-49.500880000000002</v>
      </c>
      <c r="AF4609">
        <v>-14.880653775132799</v>
      </c>
      <c r="AG4609">
        <v>-1.112465647194</v>
      </c>
      <c r="AH4609">
        <v>47.299036656636098</v>
      </c>
      <c r="AI4609">
        <v>91.285255761097503</v>
      </c>
      <c r="AJ4609">
        <v>107.463990792825</v>
      </c>
      <c r="AK4609">
        <v>49.597079603917898</v>
      </c>
      <c r="AL4609">
        <v>89.503537187856693</v>
      </c>
      <c r="AM4609">
        <v>107.16791687006599</v>
      </c>
      <c r="AN4609">
        <v>0.99999997021005405</v>
      </c>
    </row>
    <row r="4610" spans="1:40" x14ac:dyDescent="0.25">
      <c r="A4610" t="str">
        <f>"20190305135328129"</f>
        <v>20190305135328129</v>
      </c>
      <c r="B4610" t="str">
        <f>"1551765208124233"</f>
        <v>1551765208124233</v>
      </c>
      <c r="C4610" t="s">
        <v>40</v>
      </c>
      <c r="D4610">
        <v>4.0750570000000002</v>
      </c>
      <c r="E4610">
        <v>0.49805519999999998</v>
      </c>
      <c r="F4610" t="s">
        <v>42</v>
      </c>
      <c r="G4610">
        <v>-422.0822</v>
      </c>
      <c r="H4610" s="1">
        <v>-9.7769150000000006E-7</v>
      </c>
      <c r="I4610">
        <v>70.576650000000001</v>
      </c>
      <c r="J4610">
        <v>-418.85469999999998</v>
      </c>
      <c r="K4610">
        <v>1.1124879999999999</v>
      </c>
      <c r="L4610">
        <v>121.3734</v>
      </c>
      <c r="M4610">
        <v>-0.35774899999999998</v>
      </c>
      <c r="N4610">
        <v>-3.982808E-3</v>
      </c>
      <c r="O4610">
        <v>-0.93380929999999995</v>
      </c>
      <c r="P4610">
        <v>-6.6718529999999998E-2</v>
      </c>
      <c r="Q4610">
        <v>9.1859200000000002E-3</v>
      </c>
      <c r="R4610">
        <v>-0.99772969999999905</v>
      </c>
      <c r="S4610">
        <v>-0.19567870000000001</v>
      </c>
      <c r="T4610">
        <v>-6.5190670000000006E-2</v>
      </c>
      <c r="U4610">
        <v>-2.9943080000000002</v>
      </c>
      <c r="V4610">
        <v>-0.29475829999999997</v>
      </c>
      <c r="W4610">
        <v>9.8663810000000005E-3</v>
      </c>
      <c r="X4610">
        <v>0.95552090000000001</v>
      </c>
      <c r="Y4610">
        <v>-0.2960856</v>
      </c>
      <c r="Z4610">
        <v>1.5171759999999999E-2</v>
      </c>
      <c r="AA4610">
        <v>0.95504089999999997</v>
      </c>
      <c r="AB4610">
        <v>32</v>
      </c>
      <c r="AC4610">
        <v>-3.22750000000002</v>
      </c>
      <c r="AD4610">
        <v>-1.1124889776914999</v>
      </c>
      <c r="AE4610">
        <v>-50.796750000000003</v>
      </c>
      <c r="AF4610">
        <v>-15.1514989751406</v>
      </c>
      <c r="AG4610">
        <v>-1.1124889776914999</v>
      </c>
      <c r="AH4610">
        <v>48.566296489936803</v>
      </c>
      <c r="AI4610">
        <v>91.252696233263606</v>
      </c>
      <c r="AJ4610">
        <v>107.326647217161</v>
      </c>
      <c r="AK4610">
        <v>50.887038700121103</v>
      </c>
      <c r="AL4610">
        <v>89.434688835152699</v>
      </c>
      <c r="AM4610">
        <v>107.14390491749</v>
      </c>
      <c r="AN4610">
        <v>0.99999999561486796</v>
      </c>
    </row>
    <row r="4611" spans="1:40" x14ac:dyDescent="0.25">
      <c r="A4611" t="str">
        <f>"20190305135328152"</f>
        <v>20190305135328152</v>
      </c>
      <c r="B4611" t="str">
        <f>"1551765208144732"</f>
        <v>1551765208144732</v>
      </c>
      <c r="C4611" t="s">
        <v>40</v>
      </c>
      <c r="D4611">
        <v>4.0954329999999999</v>
      </c>
      <c r="E4611">
        <v>0.4984672</v>
      </c>
      <c r="F4611" t="s">
        <v>42</v>
      </c>
      <c r="G4611">
        <v>-422.20089999999999</v>
      </c>
      <c r="H4611" s="1">
        <v>-4.0536079999999998E-6</v>
      </c>
      <c r="I4611">
        <v>67.751279999999994</v>
      </c>
      <c r="J4611">
        <v>-418.96980000000002</v>
      </c>
      <c r="K4611">
        <v>1.1125149999999999</v>
      </c>
      <c r="L4611">
        <v>121.05889999999999</v>
      </c>
      <c r="M4611">
        <v>-0.35274299999999997</v>
      </c>
      <c r="N4611">
        <v>-4.0550689999999997E-3</v>
      </c>
      <c r="O4611">
        <v>-0.93571159999999998</v>
      </c>
      <c r="P4611">
        <v>-6.1235329999999998E-2</v>
      </c>
      <c r="Q4611">
        <v>9.5231320000000001E-3</v>
      </c>
      <c r="R4611">
        <v>-0.99807809999999997</v>
      </c>
      <c r="S4611">
        <v>-0.18688959999999999</v>
      </c>
      <c r="T4611">
        <v>-6.2134979999999999E-2</v>
      </c>
      <c r="U4611">
        <v>-2.994904</v>
      </c>
      <c r="V4611">
        <v>-0.29489480000000001</v>
      </c>
      <c r="W4611">
        <v>1.025975E-2</v>
      </c>
      <c r="X4611">
        <v>0.95547470000000001</v>
      </c>
      <c r="Y4611">
        <v>-0.29377300000000001</v>
      </c>
      <c r="Z4611">
        <v>1.426616E-2</v>
      </c>
      <c r="AA4611">
        <v>0.95576879999999997</v>
      </c>
      <c r="AB4611">
        <v>32</v>
      </c>
      <c r="AC4611">
        <v>-3.2310999999999601</v>
      </c>
      <c r="AD4611">
        <v>-1.1125190536080001</v>
      </c>
      <c r="AE4611">
        <v>-53.307619999999901</v>
      </c>
      <c r="AF4611">
        <v>-15.773794596076</v>
      </c>
      <c r="AG4611">
        <v>-1.1125190536080001</v>
      </c>
      <c r="AH4611">
        <v>50.998587964834996</v>
      </c>
      <c r="AI4611">
        <v>91.193905766611806</v>
      </c>
      <c r="AJ4611">
        <v>107.186767865145</v>
      </c>
      <c r="AK4611">
        <v>53.393878572462398</v>
      </c>
      <c r="AL4611">
        <v>89.412149344439399</v>
      </c>
      <c r="AM4611">
        <v>107.152159006136</v>
      </c>
      <c r="AN4611">
        <v>1.00000005393859</v>
      </c>
    </row>
    <row r="4612" spans="1:40" x14ac:dyDescent="0.25">
      <c r="A4612" t="str">
        <f>"20190305135328174"</f>
        <v>20190305135328174</v>
      </c>
      <c r="B4612" t="str">
        <f>"1551765208164249"</f>
        <v>1551765208164249</v>
      </c>
      <c r="C4612" t="s">
        <v>40</v>
      </c>
      <c r="D4612">
        <v>4.0899479999999997</v>
      </c>
      <c r="E4612">
        <v>0.49887039999999999</v>
      </c>
      <c r="F4612" t="s">
        <v>42</v>
      </c>
      <c r="G4612">
        <v>-422.2398</v>
      </c>
      <c r="H4612" s="1">
        <v>-2.781316E-6</v>
      </c>
      <c r="I4612">
        <v>64.683210000000003</v>
      </c>
      <c r="J4612">
        <v>-419.07279999999997</v>
      </c>
      <c r="K4612">
        <v>1.112549</v>
      </c>
      <c r="L4612">
        <v>120.773</v>
      </c>
      <c r="M4612">
        <v>-0.348199599999999</v>
      </c>
      <c r="N4612">
        <v>-4.1433009999999899E-3</v>
      </c>
      <c r="O4612">
        <v>-0.9374112</v>
      </c>
      <c r="P4612">
        <v>-5.5908760000000002E-2</v>
      </c>
      <c r="Q4612">
        <v>9.5662739999999996E-3</v>
      </c>
      <c r="R4612">
        <v>-0.99839009999999995</v>
      </c>
      <c r="S4612">
        <v>-0.17376710000000001</v>
      </c>
      <c r="T4612">
        <v>-5.9117320000000001E-2</v>
      </c>
      <c r="U4612">
        <v>-2.9957120000000002</v>
      </c>
      <c r="V4612">
        <v>-0.2953595</v>
      </c>
      <c r="W4612">
        <v>1.036656E-2</v>
      </c>
      <c r="X4612">
        <v>0.95533000000000001</v>
      </c>
      <c r="Y4612">
        <v>-0.29332340000000001</v>
      </c>
      <c r="Z4612">
        <v>1.3336260000000001E-2</v>
      </c>
      <c r="AA4612">
        <v>0.95592029999999995</v>
      </c>
      <c r="AB4612">
        <v>32</v>
      </c>
      <c r="AC4612">
        <v>-3.16700000000003</v>
      </c>
      <c r="AD4612">
        <v>-1.112551781316</v>
      </c>
      <c r="AE4612">
        <v>-56.089790000000001</v>
      </c>
      <c r="AF4612">
        <v>-16.5553115345142</v>
      </c>
      <c r="AG4612">
        <v>-1.112551781316</v>
      </c>
      <c r="AH4612">
        <v>53.6613641631522</v>
      </c>
      <c r="AI4612">
        <v>91.134962081309794</v>
      </c>
      <c r="AJ4612">
        <v>107.14575548409501</v>
      </c>
      <c r="AK4612">
        <v>56.168123658542903</v>
      </c>
      <c r="AL4612">
        <v>89.406029257324704</v>
      </c>
      <c r="AM4612">
        <v>107.180046701675</v>
      </c>
      <c r="AN4612">
        <v>1.0000000543532399</v>
      </c>
    </row>
    <row r="4613" spans="1:40" x14ac:dyDescent="0.25">
      <c r="A4613" t="str">
        <f>"20190305135328196"</f>
        <v>20190305135328196</v>
      </c>
      <c r="B4613" t="str">
        <f>"1551765208184745"</f>
        <v>1551765208184745</v>
      </c>
      <c r="C4613" t="s">
        <v>40</v>
      </c>
      <c r="D4613">
        <v>4.0887149999999997</v>
      </c>
      <c r="E4613">
        <v>0.49920249999999999</v>
      </c>
      <c r="F4613" t="s">
        <v>42</v>
      </c>
      <c r="G4613">
        <v>-422.21780000000001</v>
      </c>
      <c r="H4613" s="1">
        <v>-1.6676900000000001E-6</v>
      </c>
      <c r="I4613">
        <v>62.101010000000002</v>
      </c>
      <c r="J4613">
        <v>-419.18</v>
      </c>
      <c r="K4613">
        <v>1.112619</v>
      </c>
      <c r="L4613">
        <v>120.4708</v>
      </c>
      <c r="M4613">
        <v>-0.34341630000000001</v>
      </c>
      <c r="N4613">
        <v>-4.336421E-3</v>
      </c>
      <c r="O4613">
        <v>-0.93917329999999999</v>
      </c>
      <c r="P4613">
        <v>-5.0181169999999997E-2</v>
      </c>
      <c r="Q4613">
        <v>9.2068259999999996E-3</v>
      </c>
      <c r="R4613">
        <v>-0.99869779999999997</v>
      </c>
      <c r="S4613">
        <v>-0.16061400000000001</v>
      </c>
      <c r="T4613">
        <v>-5.681837E-2</v>
      </c>
      <c r="U4613">
        <v>-2.9963989999999998</v>
      </c>
      <c r="V4613">
        <v>-0.29597010000000001</v>
      </c>
      <c r="W4613">
        <v>1.0158189999999999E-2</v>
      </c>
      <c r="X4613">
        <v>0.95514319999999997</v>
      </c>
      <c r="Y4613">
        <v>-0.29264499999999999</v>
      </c>
      <c r="Z4613">
        <v>1.2512870000000001E-2</v>
      </c>
      <c r="AA4613">
        <v>0.95613930000000003</v>
      </c>
      <c r="AB4613">
        <v>32</v>
      </c>
      <c r="AC4613">
        <v>-3.0377999999999998</v>
      </c>
      <c r="AD4613">
        <v>-1.1126206676899999</v>
      </c>
      <c r="AE4613">
        <v>-58.369790000000002</v>
      </c>
      <c r="AF4613">
        <v>-17.1860503251084</v>
      </c>
      <c r="AG4613">
        <v>-1.1126206676899999</v>
      </c>
      <c r="AH4613">
        <v>55.842866897118</v>
      </c>
      <c r="AI4613">
        <v>91.090935601813698</v>
      </c>
      <c r="AJ4613">
        <v>107.10613099522</v>
      </c>
      <c r="AK4613">
        <v>58.438206969555097</v>
      </c>
      <c r="AL4613">
        <v>89.417968581593897</v>
      </c>
      <c r="AM4613">
        <v>107.21663377611701</v>
      </c>
      <c r="AN4613">
        <v>1.00000001071216</v>
      </c>
    </row>
    <row r="4614" spans="1:40" x14ac:dyDescent="0.25">
      <c r="A4614" t="str">
        <f>"20190305135328218"</f>
        <v>20190305135328218</v>
      </c>
      <c r="B4614" t="str">
        <f>"1551765208215003"</f>
        <v>1551765208215003</v>
      </c>
      <c r="C4614" t="s">
        <v>40</v>
      </c>
      <c r="D4614">
        <v>4.1169789999999997</v>
      </c>
      <c r="E4614">
        <v>0.49999690000000002</v>
      </c>
      <c r="F4614" t="s">
        <v>42</v>
      </c>
      <c r="G4614">
        <v>-422.12380000000002</v>
      </c>
      <c r="H4614" s="1">
        <v>-8.3314719999999897E-7</v>
      </c>
      <c r="I4614">
        <v>60.213929999999998</v>
      </c>
      <c r="J4614">
        <v>-419.28859999999997</v>
      </c>
      <c r="K4614">
        <v>1.1127479999999901</v>
      </c>
      <c r="L4614">
        <v>120.15940000000001</v>
      </c>
      <c r="M4614">
        <v>-0.3385013</v>
      </c>
      <c r="N4614">
        <v>-4.7235289999999997E-3</v>
      </c>
      <c r="O4614">
        <v>-0.94095439999999997</v>
      </c>
      <c r="P4614">
        <v>-4.5171080000000002E-2</v>
      </c>
      <c r="Q4614">
        <v>8.1023950000000001E-3</v>
      </c>
      <c r="R4614">
        <v>-0.99894669999999997</v>
      </c>
      <c r="S4614">
        <v>-0.14642330000000001</v>
      </c>
      <c r="T4614">
        <v>-5.5339689999999997E-2</v>
      </c>
      <c r="U4614">
        <v>-2.9970699999999999</v>
      </c>
      <c r="V4614">
        <v>-0.29576409999999997</v>
      </c>
      <c r="W4614">
        <v>9.3886109999999998E-3</v>
      </c>
      <c r="X4614">
        <v>0.95521489999999998</v>
      </c>
      <c r="Y4614">
        <v>-0.29217110000000002</v>
      </c>
      <c r="Z4614">
        <v>1.173592E-2</v>
      </c>
      <c r="AA4614">
        <v>0.95629410000000004</v>
      </c>
      <c r="AB4614">
        <v>32</v>
      </c>
      <c r="AC4614">
        <v>-2.8352000000000399</v>
      </c>
      <c r="AD4614">
        <v>-1.11274883314719</v>
      </c>
      <c r="AE4614">
        <v>-59.945469999999901</v>
      </c>
      <c r="AF4614">
        <v>-17.617959588354001</v>
      </c>
      <c r="AG4614">
        <v>-1.11274883314719</v>
      </c>
      <c r="AH4614">
        <v>57.346578704337503</v>
      </c>
      <c r="AI4614">
        <v>91.062619291573697</v>
      </c>
      <c r="AJ4614">
        <v>107.077953463988</v>
      </c>
      <c r="AK4614">
        <v>60.002173286601199</v>
      </c>
      <c r="AL4614">
        <v>89.462064325735199</v>
      </c>
      <c r="AM4614">
        <v>107.204143215711</v>
      </c>
      <c r="AN4614">
        <v>1.00000002702366</v>
      </c>
    </row>
    <row r="4615" spans="1:40" x14ac:dyDescent="0.25">
      <c r="A4615" t="str">
        <f>"20190305135328242"</f>
        <v>20190305135328242</v>
      </c>
      <c r="B4615" t="str">
        <f>"1551765208234520"</f>
        <v>1551765208234520</v>
      </c>
      <c r="C4615" t="s">
        <v>40</v>
      </c>
      <c r="D4615">
        <v>4.1673030000000004</v>
      </c>
      <c r="E4615">
        <v>0.50061449999999996</v>
      </c>
      <c r="F4615" t="s">
        <v>42</v>
      </c>
      <c r="G4615">
        <v>-422.11169999999998</v>
      </c>
      <c r="H4615" s="1">
        <v>-4.2552250000000004E-6</v>
      </c>
      <c r="I4615">
        <v>58.390239999999999</v>
      </c>
      <c r="J4615">
        <v>-419.39600000000002</v>
      </c>
      <c r="K4615">
        <v>1.1129629999999999</v>
      </c>
      <c r="L4615">
        <v>119.846</v>
      </c>
      <c r="M4615">
        <v>-0.33355750000000001</v>
      </c>
      <c r="N4615">
        <v>-5.3663239999999996E-3</v>
      </c>
      <c r="O4615">
        <v>-0.94271450000000001</v>
      </c>
      <c r="P4615">
        <v>-4.0713810000000003E-2</v>
      </c>
      <c r="Q4615">
        <v>6.9115670000000004E-3</v>
      </c>
      <c r="R4615">
        <v>-0.99914689999999995</v>
      </c>
      <c r="S4615">
        <v>-0.13699339999999999</v>
      </c>
      <c r="T4615">
        <v>-5.3997040000000003E-2</v>
      </c>
      <c r="U4615">
        <v>-2.9973909999999999</v>
      </c>
      <c r="V4615">
        <v>-0.29501139999999998</v>
      </c>
      <c r="W4615">
        <v>8.7615969999999994E-3</v>
      </c>
      <c r="X4615">
        <v>0.95545360000000001</v>
      </c>
      <c r="Y4615">
        <v>-0.29015570000000002</v>
      </c>
      <c r="Z4615">
        <v>1.074892E-2</v>
      </c>
      <c r="AA4615">
        <v>0.95691910000000002</v>
      </c>
      <c r="AB4615">
        <v>32</v>
      </c>
      <c r="AC4615">
        <v>-2.71570000000002</v>
      </c>
      <c r="AD4615">
        <v>-1.1129672552249901</v>
      </c>
      <c r="AE4615">
        <v>-61.455759999999998</v>
      </c>
      <c r="AF4615">
        <v>-17.933287724863199</v>
      </c>
      <c r="AG4615">
        <v>-1.1129672552249901</v>
      </c>
      <c r="AH4615">
        <v>58.822669768528201</v>
      </c>
      <c r="AI4615">
        <v>91.036844285782095</v>
      </c>
      <c r="AJ4615">
        <v>106.954909283641</v>
      </c>
      <c r="AK4615">
        <v>61.5056744002637</v>
      </c>
      <c r="AL4615">
        <v>89.497991065571298</v>
      </c>
      <c r="AM4615">
        <v>107.158899357666</v>
      </c>
      <c r="AN4615">
        <v>1.00000003673245</v>
      </c>
    </row>
    <row r="4616" spans="1:40" x14ac:dyDescent="0.25">
      <c r="A4616" t="str">
        <f>"20190305135328264"</f>
        <v>20190305135328264</v>
      </c>
      <c r="B4616" t="str">
        <f>"1551765208255017"</f>
        <v>1551765208255017</v>
      </c>
      <c r="C4616" t="s">
        <v>40</v>
      </c>
      <c r="D4616">
        <v>4.1608390000000002</v>
      </c>
      <c r="E4616">
        <v>0.50102369999999996</v>
      </c>
      <c r="F4616" t="s">
        <v>42</v>
      </c>
      <c r="G4616">
        <v>-421.98860000000002</v>
      </c>
      <c r="H4616" s="1">
        <v>-4.6205869999999997E-6</v>
      </c>
      <c r="I4616">
        <v>59.528060000000004</v>
      </c>
      <c r="J4616">
        <v>-419.49900000000002</v>
      </c>
      <c r="K4616">
        <v>1.113178</v>
      </c>
      <c r="L4616">
        <v>119.5401</v>
      </c>
      <c r="M4616">
        <v>-0.32862740000000001</v>
      </c>
      <c r="N4616">
        <v>-5.9709849999999998E-3</v>
      </c>
      <c r="O4616">
        <v>-0.94444090000000003</v>
      </c>
      <c r="P4616">
        <v>-3.7051220000000003E-2</v>
      </c>
      <c r="Q4616">
        <v>5.8394010000000001E-3</v>
      </c>
      <c r="R4616">
        <v>-0.99929650000000003</v>
      </c>
      <c r="S4616">
        <v>-0.12884519999999999</v>
      </c>
      <c r="T4616">
        <v>-5.5312510000000002E-2</v>
      </c>
      <c r="U4616">
        <v>-2.9976959999999999</v>
      </c>
      <c r="V4616">
        <v>-0.29352080000000003</v>
      </c>
      <c r="W4616">
        <v>8.2084849999999997E-3</v>
      </c>
      <c r="X4616">
        <v>0.95591740000000003</v>
      </c>
      <c r="Y4616">
        <v>-0.28775329999999999</v>
      </c>
      <c r="Z4616">
        <v>1.0590459999999999E-2</v>
      </c>
      <c r="AA4616">
        <v>0.957646</v>
      </c>
      <c r="AB4616">
        <v>32</v>
      </c>
      <c r="AC4616">
        <v>-2.48959999999999</v>
      </c>
      <c r="AD4616">
        <v>-1.1131826205869999</v>
      </c>
      <c r="AE4616">
        <v>-60.012039999999999</v>
      </c>
      <c r="AF4616">
        <v>-17.364663709624601</v>
      </c>
      <c r="AG4616">
        <v>-1.1131826205869999</v>
      </c>
      <c r="AH4616">
        <v>57.4772514358</v>
      </c>
      <c r="AI4616">
        <v>91.062127531277795</v>
      </c>
      <c r="AJ4616">
        <v>106.810284732485</v>
      </c>
      <c r="AK4616">
        <v>60.053352561778802</v>
      </c>
      <c r="AL4616">
        <v>89.5296831515886</v>
      </c>
      <c r="AM4616">
        <v>107.0694527057</v>
      </c>
      <c r="AN4616">
        <v>0.99999995744069603</v>
      </c>
    </row>
    <row r="4617" spans="1:40" x14ac:dyDescent="0.25">
      <c r="A4617" t="str">
        <f>"20190305135328308"</f>
        <v>20190305135328308</v>
      </c>
      <c r="B4617" t="str">
        <f>"1551765208304793"</f>
        <v>1551765208304793</v>
      </c>
      <c r="C4617" t="s">
        <v>40</v>
      </c>
      <c r="D4617">
        <v>4.6808540000000001</v>
      </c>
      <c r="E4617">
        <v>0.50190069999999998</v>
      </c>
      <c r="F4617" t="s">
        <v>42</v>
      </c>
      <c r="G4617">
        <v>-421.86939999999998</v>
      </c>
      <c r="H4617" s="1">
        <v>-8.9977859999999897E-7</v>
      </c>
      <c r="I4617">
        <v>60.52704</v>
      </c>
      <c r="J4617">
        <v>-419.69470000000001</v>
      </c>
      <c r="K4617">
        <v>1.1136360000000001</v>
      </c>
      <c r="L4617">
        <v>118.94119999999999</v>
      </c>
      <c r="M4617">
        <v>-0.31868239999999998</v>
      </c>
      <c r="N4617">
        <v>-7.1967330000000003E-3</v>
      </c>
      <c r="O4617">
        <v>-0.94783430000000002</v>
      </c>
      <c r="P4617">
        <v>-2.921928E-2</v>
      </c>
      <c r="Q4617">
        <v>2.9930669999999999E-3</v>
      </c>
      <c r="R4617">
        <v>-0.99956860000000003</v>
      </c>
      <c r="S4617">
        <v>-0.1204224</v>
      </c>
      <c r="T4617">
        <v>-5.6551459999999998E-2</v>
      </c>
      <c r="U4617">
        <v>-2.9979710000000002</v>
      </c>
      <c r="V4617">
        <v>-0.29095510000000002</v>
      </c>
      <c r="W4617">
        <v>6.3832009999999998E-3</v>
      </c>
      <c r="X4617">
        <v>0.95671539999999999</v>
      </c>
      <c r="Y4617">
        <v>-0.28036499999999998</v>
      </c>
      <c r="Z4617">
        <v>9.8542779999999993E-3</v>
      </c>
      <c r="AA4617">
        <v>0.95984290000000005</v>
      </c>
      <c r="AB4617">
        <v>32</v>
      </c>
      <c r="AC4617">
        <v>-2.1746999999999699</v>
      </c>
      <c r="AD4617">
        <v>-1.1136368997785999</v>
      </c>
      <c r="AE4617">
        <v>-58.414160000000003</v>
      </c>
      <c r="AF4617">
        <v>-16.548730730168199</v>
      </c>
      <c r="AG4617">
        <v>-1.1136368997785999</v>
      </c>
      <c r="AH4617">
        <v>56.041091131951198</v>
      </c>
      <c r="AI4617">
        <v>91.091823352401505</v>
      </c>
      <c r="AJ4617">
        <v>106.451679225109</v>
      </c>
      <c r="AK4617">
        <v>58.444029388670799</v>
      </c>
      <c r="AL4617">
        <v>89.634267034132606</v>
      </c>
      <c r="AM4617">
        <v>106.915500348709</v>
      </c>
      <c r="AN4617">
        <v>0.99999998603408802</v>
      </c>
    </row>
    <row r="4618" spans="1:40" x14ac:dyDescent="0.25">
      <c r="A4618" t="str">
        <f>"20190305135328332"</f>
        <v>20190305135328332</v>
      </c>
      <c r="B4618" t="str">
        <f>"1551765208324313"</f>
        <v>1551765208324313</v>
      </c>
      <c r="C4618" t="s">
        <v>40</v>
      </c>
      <c r="D4618">
        <v>4.2330769999999998</v>
      </c>
      <c r="E4618">
        <v>0.50264439999999999</v>
      </c>
      <c r="F4618" t="s">
        <v>42</v>
      </c>
      <c r="G4618">
        <v>-421.45269999999999</v>
      </c>
      <c r="H4618" s="1">
        <v>-4.0986839999999998E-6</v>
      </c>
      <c r="I4618">
        <v>68.273740000000004</v>
      </c>
      <c r="J4618">
        <v>-419.79680000000002</v>
      </c>
      <c r="K4618">
        <v>1.1138539999999999</v>
      </c>
      <c r="L4618">
        <v>118.619</v>
      </c>
      <c r="M4618">
        <v>-0.31310650000000001</v>
      </c>
      <c r="N4618">
        <v>-7.8769340000000004E-3</v>
      </c>
      <c r="O4618">
        <v>-0.94968549999999996</v>
      </c>
      <c r="P4618">
        <v>-2.4184529999999999E-2</v>
      </c>
      <c r="Q4618">
        <v>2.2803200000000002E-3</v>
      </c>
      <c r="R4618">
        <v>-0.99970530000000002</v>
      </c>
      <c r="S4618">
        <v>-0.1040344</v>
      </c>
      <c r="T4618">
        <v>-6.5904019999999994E-2</v>
      </c>
      <c r="U4618">
        <v>-2.9984440000000001</v>
      </c>
      <c r="V4618">
        <v>-0.29015419999999997</v>
      </c>
      <c r="W4618">
        <v>6.2468280000000003E-3</v>
      </c>
      <c r="X4618">
        <v>0.95695949999999996</v>
      </c>
      <c r="Y4618">
        <v>-0.27996379999999998</v>
      </c>
      <c r="Z4618">
        <v>1.2042580000000001E-2</v>
      </c>
      <c r="AA4618">
        <v>0.95993499999999998</v>
      </c>
      <c r="AB4618">
        <v>32</v>
      </c>
      <c r="AC4618">
        <v>-1.65589999999997</v>
      </c>
      <c r="AD4618">
        <v>-1.1138580986839901</v>
      </c>
      <c r="AE4618">
        <v>-50.345260000000003</v>
      </c>
      <c r="AF4618">
        <v>-14.184346667929001</v>
      </c>
      <c r="AG4618">
        <v>-1.1138580986839901</v>
      </c>
      <c r="AH4618">
        <v>48.308508338540697</v>
      </c>
      <c r="AI4618">
        <v>91.267361728719493</v>
      </c>
      <c r="AJ4618">
        <v>106.363296548028</v>
      </c>
      <c r="AK4618">
        <v>50.360186140986997</v>
      </c>
      <c r="AL4618">
        <v>89.642080786535502</v>
      </c>
      <c r="AM4618">
        <v>106.867527221546</v>
      </c>
      <c r="AN4618">
        <v>0.99999998363897502</v>
      </c>
    </row>
    <row r="4619" spans="1:40" x14ac:dyDescent="0.25">
      <c r="A4619" t="str">
        <f>"20190305135328352"</f>
        <v>20190305135328352</v>
      </c>
      <c r="B4619" t="str">
        <f>"1551765208344812"</f>
        <v>1551765208344812</v>
      </c>
      <c r="C4619" t="s">
        <v>40</v>
      </c>
      <c r="D4619">
        <v>4.4561500000000001</v>
      </c>
      <c r="E4619">
        <v>0.50312259999999998</v>
      </c>
      <c r="F4619" t="s">
        <v>42</v>
      </c>
      <c r="G4619">
        <v>-421.3922</v>
      </c>
      <c r="H4619" s="1">
        <v>-4.0725219999999997E-6</v>
      </c>
      <c r="I4619">
        <v>68.228399999999993</v>
      </c>
      <c r="J4619">
        <v>-419.88819999999998</v>
      </c>
      <c r="K4619">
        <v>1.114036</v>
      </c>
      <c r="L4619">
        <v>118.3245</v>
      </c>
      <c r="M4619">
        <v>-0.30786720000000001</v>
      </c>
      <c r="N4619">
        <v>-8.4552240000000008E-3</v>
      </c>
      <c r="O4619">
        <v>-0.95139209999999996</v>
      </c>
      <c r="P4619">
        <v>-1.8963629999999999E-2</v>
      </c>
      <c r="Q4619">
        <v>2.662944E-3</v>
      </c>
      <c r="R4619">
        <v>-0.99981679999999995</v>
      </c>
      <c r="S4619">
        <v>-9.4940189999999994E-2</v>
      </c>
      <c r="T4619">
        <v>-6.6285849999999993E-2</v>
      </c>
      <c r="U4619">
        <v>-2.9987490000000001</v>
      </c>
      <c r="V4619">
        <v>-0.28989150000000002</v>
      </c>
      <c r="W4619">
        <v>7.111315E-3</v>
      </c>
      <c r="X4619">
        <v>0.95703309999999997</v>
      </c>
      <c r="Y4619">
        <v>-0.27758119999999997</v>
      </c>
      <c r="Z4619">
        <v>1.164071E-2</v>
      </c>
      <c r="AA4619">
        <v>0.96063169999999998</v>
      </c>
      <c r="AB4619">
        <v>32</v>
      </c>
      <c r="AC4619">
        <v>-1.50400000000001</v>
      </c>
      <c r="AD4619">
        <v>-1.1140400725220001</v>
      </c>
      <c r="AE4619">
        <v>-50.0961</v>
      </c>
      <c r="AF4619">
        <v>-13.985637971340299</v>
      </c>
      <c r="AG4619">
        <v>-1.1140400725220001</v>
      </c>
      <c r="AH4619">
        <v>48.102004631569699</v>
      </c>
      <c r="AI4619">
        <v>91.273992400256006</v>
      </c>
      <c r="AJ4619">
        <v>106.211767486982</v>
      </c>
      <c r="AK4619">
        <v>50.106307031392099</v>
      </c>
      <c r="AL4619">
        <v>89.592548230909102</v>
      </c>
      <c r="AM4619">
        <v>106.851899176857</v>
      </c>
      <c r="AN4619">
        <v>1.0000000035344401</v>
      </c>
    </row>
    <row r="4620" spans="1:40" x14ac:dyDescent="0.25">
      <c r="A4620" t="str">
        <f>"20190305135328375"</f>
        <v>20190305135328375</v>
      </c>
      <c r="B4620" t="str">
        <f>"1551765208364329"</f>
        <v>1551765208364329</v>
      </c>
      <c r="C4620" t="s">
        <v>40</v>
      </c>
      <c r="D4620">
        <v>4.3430140000000002</v>
      </c>
      <c r="E4620">
        <v>0.50319459999999905</v>
      </c>
      <c r="F4620" t="s">
        <v>42</v>
      </c>
      <c r="G4620">
        <v>-421.29520000000002</v>
      </c>
      <c r="H4620" s="1">
        <v>-3.6615279999999999E-6</v>
      </c>
      <c r="I4620">
        <v>67.320920000000001</v>
      </c>
      <c r="J4620">
        <v>-419.98110000000003</v>
      </c>
      <c r="K4620">
        <v>1.114212</v>
      </c>
      <c r="L4620">
        <v>118.0188</v>
      </c>
      <c r="M4620">
        <v>-0.30229299999999998</v>
      </c>
      <c r="N4620">
        <v>-9.0033030000000007E-3</v>
      </c>
      <c r="O4620">
        <v>-0.95317280000000004</v>
      </c>
      <c r="P4620">
        <v>-1.346202E-2</v>
      </c>
      <c r="Q4620">
        <v>4.694401E-3</v>
      </c>
      <c r="R4620">
        <v>-0.99989870000000003</v>
      </c>
      <c r="S4620">
        <v>-8.2733150000000005E-2</v>
      </c>
      <c r="T4620">
        <v>-6.5508839999999999E-2</v>
      </c>
      <c r="U4620">
        <v>-2.999161</v>
      </c>
      <c r="V4620">
        <v>-0.28958929999999999</v>
      </c>
      <c r="W4620">
        <v>9.5893509999999994E-3</v>
      </c>
      <c r="X4620">
        <v>0.95710300000000004</v>
      </c>
      <c r="Y4620">
        <v>-0.27586680000000002</v>
      </c>
      <c r="Z4620">
        <v>1.091577E-2</v>
      </c>
      <c r="AA4620">
        <v>0.96113389999999999</v>
      </c>
      <c r="AB4620">
        <v>32</v>
      </c>
      <c r="AC4620">
        <v>-1.3140999999999901</v>
      </c>
      <c r="AD4620">
        <v>-1.1142156615279999</v>
      </c>
      <c r="AE4620">
        <v>-50.697879999999998</v>
      </c>
      <c r="AF4620">
        <v>-14.0668268273943</v>
      </c>
      <c r="AG4620">
        <v>-1.1142156615279999</v>
      </c>
      <c r="AH4620">
        <v>48.699539236176697</v>
      </c>
      <c r="AI4620">
        <v>91.259203430653201</v>
      </c>
      <c r="AJ4620">
        <v>106.11132357964701</v>
      </c>
      <c r="AK4620">
        <v>50.7026844984386</v>
      </c>
      <c r="AL4620">
        <v>89.450562258047796</v>
      </c>
      <c r="AM4620">
        <v>106.83416608338599</v>
      </c>
      <c r="AN4620">
        <v>1.0000000354680401</v>
      </c>
    </row>
    <row r="4621" spans="1:40" x14ac:dyDescent="0.25">
      <c r="A4621" t="str">
        <f>"20190305135328397"</f>
        <v>20190305135328397</v>
      </c>
      <c r="B4621" t="str">
        <f>"1551765208384825"</f>
        <v>1551765208384825</v>
      </c>
      <c r="C4621" t="s">
        <v>40</v>
      </c>
      <c r="D4621">
        <v>4.3473350000000002</v>
      </c>
      <c r="E4621">
        <v>0.50302259999999999</v>
      </c>
      <c r="F4621" t="s">
        <v>42</v>
      </c>
      <c r="G4621">
        <v>-421.23140000000001</v>
      </c>
      <c r="H4621" s="1">
        <v>-1.3188660000000001E-6</v>
      </c>
      <c r="I4621">
        <v>61.899630000000002</v>
      </c>
      <c r="J4621">
        <v>-420.07139999999998</v>
      </c>
      <c r="K4621">
        <v>1.114371</v>
      </c>
      <c r="L4621">
        <v>117.7146</v>
      </c>
      <c r="M4621">
        <v>-0.29661159999999998</v>
      </c>
      <c r="N4621">
        <v>-9.4974880000000001E-3</v>
      </c>
      <c r="O4621">
        <v>-0.95495099999999999</v>
      </c>
      <c r="P4621">
        <v>-7.9544879999999991E-3</v>
      </c>
      <c r="Q4621">
        <v>6.4489789999999996E-3</v>
      </c>
      <c r="R4621">
        <v>-0.99994760000000005</v>
      </c>
      <c r="S4621">
        <v>-6.6833500000000004E-2</v>
      </c>
      <c r="T4621">
        <v>-5.9557199999999998E-2</v>
      </c>
      <c r="U4621">
        <v>-2.999695</v>
      </c>
      <c r="V4621">
        <v>-0.28919240000000002</v>
      </c>
      <c r="W4621">
        <v>1.1737859999999999E-2</v>
      </c>
      <c r="X4621">
        <v>0.95719900000000002</v>
      </c>
      <c r="Y4621">
        <v>-0.27523999999999998</v>
      </c>
      <c r="Z4621">
        <v>8.6619939999999992E-3</v>
      </c>
      <c r="AA4621">
        <v>0.96133650000000004</v>
      </c>
      <c r="AB4621">
        <v>32</v>
      </c>
      <c r="AC4621">
        <v>-1.1600000000000199</v>
      </c>
      <c r="AD4621">
        <v>-1.114372318866</v>
      </c>
      <c r="AE4621">
        <v>-55.814969999999903</v>
      </c>
      <c r="AF4621">
        <v>-15.442167814662</v>
      </c>
      <c r="AG4621">
        <v>-1.114372318866</v>
      </c>
      <c r="AH4621">
        <v>53.625681921774998</v>
      </c>
      <c r="AI4621">
        <v>91.143994066747297</v>
      </c>
      <c r="AJ4621">
        <v>106.064399106794</v>
      </c>
      <c r="AK4621">
        <v>55.815912910716001</v>
      </c>
      <c r="AL4621">
        <v>89.327454699532296</v>
      </c>
      <c r="AM4621">
        <v>106.81080535679</v>
      </c>
      <c r="AN4621">
        <v>0.99999997358806902</v>
      </c>
    </row>
    <row r="4622" spans="1:40" x14ac:dyDescent="0.25">
      <c r="A4622" t="str">
        <f>"20190305135328420"</f>
        <v>20190305135328420</v>
      </c>
      <c r="B4622" t="str">
        <f>"1551765208415081"</f>
        <v>1551765208415081</v>
      </c>
      <c r="C4622" t="s">
        <v>40</v>
      </c>
      <c r="D4622">
        <v>4.334238</v>
      </c>
      <c r="E4622">
        <v>0.48705890000000002</v>
      </c>
      <c r="F4622" t="s">
        <v>42</v>
      </c>
      <c r="G4622">
        <v>-421.07400000000001</v>
      </c>
      <c r="H4622" s="1">
        <v>-3.4574090000000002E-6</v>
      </c>
      <c r="I4622">
        <v>56.982280000000003</v>
      </c>
      <c r="J4622">
        <v>-420.16289999999998</v>
      </c>
      <c r="K4622">
        <v>1.1145210000000001</v>
      </c>
      <c r="L4622">
        <v>117.39879999999999</v>
      </c>
      <c r="M4622">
        <v>-0.29056179999999998</v>
      </c>
      <c r="N4622">
        <v>-9.9582539999999997E-3</v>
      </c>
      <c r="O4622">
        <v>-0.9568044</v>
      </c>
      <c r="P4622">
        <v>-2.8220179999999999E-3</v>
      </c>
      <c r="Q4622">
        <v>5.6433400000000002E-3</v>
      </c>
      <c r="R4622">
        <v>-0.99998019999999999</v>
      </c>
      <c r="S4622">
        <v>-4.9530030000000003E-2</v>
      </c>
      <c r="T4622">
        <v>-5.5049059999999997E-2</v>
      </c>
      <c r="U4622">
        <v>-3.0001220000000002</v>
      </c>
      <c r="V4622">
        <v>-0.28804849999999999</v>
      </c>
      <c r="W4622">
        <v>1.13011E-2</v>
      </c>
      <c r="X4622">
        <v>0.95754919999999999</v>
      </c>
      <c r="Y4622">
        <v>-0.274702</v>
      </c>
      <c r="Z4622">
        <v>6.8724140000000003E-3</v>
      </c>
      <c r="AA4622">
        <v>0.9615049</v>
      </c>
      <c r="AB4622">
        <v>32</v>
      </c>
      <c r="AC4622">
        <v>-0.91110000000003299</v>
      </c>
      <c r="AD4622">
        <v>-1.1145244574090001</v>
      </c>
      <c r="AE4622">
        <v>-60.416519999999899</v>
      </c>
      <c r="AF4622">
        <v>-16.678141329941401</v>
      </c>
      <c r="AG4622">
        <v>-1.1145244574090001</v>
      </c>
      <c r="AH4622">
        <v>58.054651249029199</v>
      </c>
      <c r="AI4622">
        <v>91.057074525207696</v>
      </c>
      <c r="AJ4622">
        <v>106.02848325619</v>
      </c>
      <c r="AK4622">
        <v>60.413120219320497</v>
      </c>
      <c r="AL4622">
        <v>89.352480922706306</v>
      </c>
      <c r="AM4622">
        <v>106.742258166038</v>
      </c>
      <c r="AN4622">
        <v>1.0000000618170399</v>
      </c>
    </row>
    <row r="4623" spans="1:40" x14ac:dyDescent="0.25">
      <c r="A4623" t="str">
        <f>"20190305135328442"</f>
        <v>20190305135328442</v>
      </c>
      <c r="B4623" t="str">
        <f>"1551765208434604"</f>
        <v>1551765208434604</v>
      </c>
      <c r="C4623" t="s">
        <v>40</v>
      </c>
      <c r="D4623">
        <v>4.3613879999999998</v>
      </c>
      <c r="E4623">
        <v>0.48826789999999998</v>
      </c>
      <c r="F4623" t="s">
        <v>42</v>
      </c>
      <c r="G4623">
        <v>-419.28210000000001</v>
      </c>
      <c r="H4623" s="1">
        <v>-4.0856740000000002E-6</v>
      </c>
      <c r="I4623">
        <v>88.859740000000002</v>
      </c>
      <c r="J4623">
        <v>-420.25080000000003</v>
      </c>
      <c r="K4623">
        <v>1.1146529999999999</v>
      </c>
      <c r="L4623">
        <v>117.0878</v>
      </c>
      <c r="M4623">
        <v>-0.28444360000000002</v>
      </c>
      <c r="N4623">
        <v>-1.0361810000000001E-2</v>
      </c>
      <c r="O4623">
        <v>-0.95863679999999996</v>
      </c>
      <c r="P4623">
        <v>3.0725330000000001E-3</v>
      </c>
      <c r="Q4623">
        <v>3.1174100000000001E-3</v>
      </c>
      <c r="R4623">
        <v>-0.99999059999999995</v>
      </c>
      <c r="S4623">
        <v>9.2620850000000005E-2</v>
      </c>
      <c r="T4623">
        <v>-0.11719640000000001</v>
      </c>
      <c r="U4623">
        <v>-3.0009920000000001</v>
      </c>
      <c r="V4623">
        <v>-0.28755449999999999</v>
      </c>
      <c r="W4623">
        <v>9.0801100000000006E-3</v>
      </c>
      <c r="X4623">
        <v>0.95772120000000005</v>
      </c>
      <c r="Y4623">
        <v>-0.31380049999999998</v>
      </c>
      <c r="Z4623">
        <v>2.5205249999999998E-2</v>
      </c>
      <c r="AA4623">
        <v>0.94915430000000001</v>
      </c>
      <c r="AB4623">
        <v>32</v>
      </c>
      <c r="AC4623">
        <v>0.968700000000012</v>
      </c>
      <c r="AD4623">
        <v>-1.1146570856739999</v>
      </c>
      <c r="AE4623">
        <v>-28.228059999999999</v>
      </c>
      <c r="AF4623">
        <v>-8.9444727983309509</v>
      </c>
      <c r="AG4623">
        <v>-1.1146570856739999</v>
      </c>
      <c r="AH4623">
        <v>26.744700964698001</v>
      </c>
      <c r="AI4623">
        <v>92.263482574728798</v>
      </c>
      <c r="AJ4623">
        <v>108.49194830523901</v>
      </c>
      <c r="AK4623">
        <v>28.222775975262302</v>
      </c>
      <c r="AL4623">
        <v>89.479740853528298</v>
      </c>
      <c r="AM4623">
        <v>106.712313754503</v>
      </c>
      <c r="AN4623">
        <v>0.99999996789864998</v>
      </c>
    </row>
    <row r="4624" spans="1:40" x14ac:dyDescent="0.25">
      <c r="A4624" t="str">
        <f>"20190305135328465"</f>
        <v>20190305135328465</v>
      </c>
      <c r="B4624" t="str">
        <f>"1551765208455097"</f>
        <v>1551765208455097</v>
      </c>
      <c r="C4624" t="s">
        <v>40</v>
      </c>
      <c r="D4624">
        <v>4.3535830000000004</v>
      </c>
      <c r="E4624">
        <v>0.48908309999999999</v>
      </c>
      <c r="F4624" t="s">
        <v>42</v>
      </c>
      <c r="G4624">
        <v>-419.3501</v>
      </c>
      <c r="H4624" s="1">
        <v>-4.238862E-7</v>
      </c>
      <c r="I4624">
        <v>90.352130000000002</v>
      </c>
      <c r="J4624">
        <v>-420.33659999999998</v>
      </c>
      <c r="K4624">
        <v>1.114784</v>
      </c>
      <c r="L4624">
        <v>116.776</v>
      </c>
      <c r="M4624">
        <v>-0.27815440000000002</v>
      </c>
      <c r="N4624">
        <v>-1.0719680000000001E-2</v>
      </c>
      <c r="O4624">
        <v>-0.96047660000000001</v>
      </c>
      <c r="P4624">
        <v>9.1146579999999994E-3</v>
      </c>
      <c r="Q4624">
        <v>8.2122899999999895E-4</v>
      </c>
      <c r="R4624">
        <v>-0.99995820000000002</v>
      </c>
      <c r="S4624">
        <v>0.1010742</v>
      </c>
      <c r="T4624">
        <v>-0.12507939999999901</v>
      </c>
      <c r="U4624">
        <v>-3.0001069999999999</v>
      </c>
      <c r="V4624">
        <v>-0.2870413</v>
      </c>
      <c r="W4624">
        <v>7.0474200000000004E-3</v>
      </c>
      <c r="X4624">
        <v>0.95789230000000003</v>
      </c>
      <c r="Y4624">
        <v>-0.3102472</v>
      </c>
      <c r="Z4624">
        <v>2.7383629999999999E-2</v>
      </c>
      <c r="AA4624">
        <v>0.95026149999999998</v>
      </c>
      <c r="AB4624">
        <v>32</v>
      </c>
      <c r="AC4624">
        <v>0.98649999999997795</v>
      </c>
      <c r="AD4624">
        <v>-1.1147844238861999</v>
      </c>
      <c r="AE4624">
        <v>-26.423870000000001</v>
      </c>
      <c r="AF4624">
        <v>-8.2831798265112795</v>
      </c>
      <c r="AG4624">
        <v>-1.1147844238861999</v>
      </c>
      <c r="AH4624">
        <v>25.062005950038401</v>
      </c>
      <c r="AI4624">
        <v>92.418398462197004</v>
      </c>
      <c r="AJ4624">
        <v>108.289105732355</v>
      </c>
      <c r="AK4624">
        <v>26.418893894139899</v>
      </c>
      <c r="AL4624">
        <v>89.596209241591097</v>
      </c>
      <c r="AM4624">
        <v>106.68133170060599</v>
      </c>
      <c r="AN4624">
        <v>1.0000000162168099</v>
      </c>
    </row>
    <row r="4625" spans="1:40" x14ac:dyDescent="0.25">
      <c r="A4625" t="str">
        <f>"20190305135328487"</f>
        <v>20190305135328487</v>
      </c>
      <c r="B4625" t="str">
        <f>"1551765208474617"</f>
        <v>1551765208474617</v>
      </c>
      <c r="C4625" t="s">
        <v>40</v>
      </c>
      <c r="D4625">
        <v>4.3595660000000001</v>
      </c>
      <c r="E4625">
        <v>0.48973410000000001</v>
      </c>
      <c r="F4625" t="s">
        <v>42</v>
      </c>
      <c r="G4625">
        <v>-419.39069999999998</v>
      </c>
      <c r="H4625" s="1">
        <v>-9.6836129999999992E-7</v>
      </c>
      <c r="I4625">
        <v>91.638109999999998</v>
      </c>
      <c r="J4625">
        <v>-420.41669999999999</v>
      </c>
      <c r="K4625">
        <v>1.114905</v>
      </c>
      <c r="L4625">
        <v>116.47669999999999</v>
      </c>
      <c r="M4625">
        <v>-0.27196029999999999</v>
      </c>
      <c r="N4625">
        <v>-1.1020189999999999E-2</v>
      </c>
      <c r="O4625">
        <v>-0.96224560000000003</v>
      </c>
      <c r="P4625">
        <v>1.498006E-2</v>
      </c>
      <c r="Q4625" s="1">
        <v>6.0337739999999999E-5</v>
      </c>
      <c r="R4625">
        <v>-0.9998882</v>
      </c>
      <c r="S4625">
        <v>0.112854</v>
      </c>
      <c r="T4625">
        <v>-0.13300439999999999</v>
      </c>
      <c r="U4625">
        <v>-2.9991910000000002</v>
      </c>
      <c r="V4625">
        <v>-0.28648469999999998</v>
      </c>
      <c r="W4625">
        <v>6.5024080000000003E-3</v>
      </c>
      <c r="X4625">
        <v>0.95806279999999999</v>
      </c>
      <c r="Y4625">
        <v>-0.307849599999999</v>
      </c>
      <c r="Z4625">
        <v>2.9634919999999999E-2</v>
      </c>
      <c r="AA4625">
        <v>0.95097339999999997</v>
      </c>
      <c r="AB4625">
        <v>32</v>
      </c>
      <c r="AC4625">
        <v>1.02600000000001</v>
      </c>
      <c r="AD4625">
        <v>-1.1149059683613001</v>
      </c>
      <c r="AE4625">
        <v>-24.83859</v>
      </c>
      <c r="AF4625">
        <v>-7.7273007196144601</v>
      </c>
      <c r="AG4625">
        <v>-1.1149059683613001</v>
      </c>
      <c r="AH4625">
        <v>23.575803324581599</v>
      </c>
      <c r="AI4625">
        <v>92.573026669503705</v>
      </c>
      <c r="AJ4625">
        <v>108.147283690929</v>
      </c>
      <c r="AK4625">
        <v>24.8349087803639</v>
      </c>
      <c r="AL4625">
        <v>89.627436856883307</v>
      </c>
      <c r="AM4625">
        <v>106.64797809961</v>
      </c>
      <c r="AN4625">
        <v>1.0000000466938599</v>
      </c>
    </row>
    <row r="4626" spans="1:40" x14ac:dyDescent="0.25">
      <c r="A4626" t="str">
        <f>"20190305135328509"</f>
        <v>20190305135328509</v>
      </c>
      <c r="B4626" t="str">
        <f>"1551765208504873"</f>
        <v>1551765208504873</v>
      </c>
      <c r="C4626" t="s">
        <v>40</v>
      </c>
      <c r="D4626">
        <v>4.3807019999999897</v>
      </c>
      <c r="E4626">
        <v>0.49643890000000002</v>
      </c>
      <c r="F4626" t="s">
        <v>42</v>
      </c>
      <c r="G4626">
        <v>-419.39249999999998</v>
      </c>
      <c r="H4626" s="1">
        <v>-1.0965739999999999E-6</v>
      </c>
      <c r="I4626">
        <v>91.937700000000007</v>
      </c>
      <c r="J4626">
        <v>-420.49849999999998</v>
      </c>
      <c r="K4626">
        <v>1.1150389999999999</v>
      </c>
      <c r="L4626">
        <v>116.1619</v>
      </c>
      <c r="M4626">
        <v>-0.26529770000000003</v>
      </c>
      <c r="N4626">
        <v>-1.129727E-2</v>
      </c>
      <c r="O4626">
        <v>-0.96410039999999997</v>
      </c>
      <c r="P4626">
        <v>2.0942929999999998E-2</v>
      </c>
      <c r="Q4626">
        <v>6.1605039999999996E-4</v>
      </c>
      <c r="R4626">
        <v>-0.99978080000000003</v>
      </c>
      <c r="S4626">
        <v>0.1251526</v>
      </c>
      <c r="T4626">
        <v>-0.13623260000000001</v>
      </c>
      <c r="U4626">
        <v>-2.9984739999999999</v>
      </c>
      <c r="V4626">
        <v>-0.28558539999999999</v>
      </c>
      <c r="W4626">
        <v>7.2581759999999999E-3</v>
      </c>
      <c r="X4626">
        <v>0.95832580000000001</v>
      </c>
      <c r="Y4626">
        <v>-0.30516599999999999</v>
      </c>
      <c r="Z4626">
        <v>3.0490630000000001E-2</v>
      </c>
      <c r="AA4626">
        <v>0.95181090000000002</v>
      </c>
      <c r="AB4626">
        <v>32</v>
      </c>
      <c r="AC4626">
        <v>1.1059999999999901</v>
      </c>
      <c r="AD4626">
        <v>-1.1150400965739999</v>
      </c>
      <c r="AE4626">
        <v>-24.2242</v>
      </c>
      <c r="AF4626">
        <v>-7.4775872229505502</v>
      </c>
      <c r="AG4626">
        <v>-1.1150400965739999</v>
      </c>
      <c r="AH4626">
        <v>23.013952862897298</v>
      </c>
      <c r="AI4626">
        <v>92.638284810818902</v>
      </c>
      <c r="AJ4626">
        <v>107.999776275188</v>
      </c>
      <c r="AK4626">
        <v>24.223947891899499</v>
      </c>
      <c r="AL4626">
        <v>89.584133505271893</v>
      </c>
      <c r="AM4626">
        <v>106.594293334166</v>
      </c>
      <c r="AN4626">
        <v>1.00000002037882</v>
      </c>
    </row>
    <row r="4627" spans="1:40" x14ac:dyDescent="0.25">
      <c r="A4627" t="str">
        <f>"20190305135328533"</f>
        <v>20190305135328533</v>
      </c>
      <c r="B4627" t="str">
        <f>"1551765208524396"</f>
        <v>1551765208524396</v>
      </c>
      <c r="C4627" t="s">
        <v>40</v>
      </c>
      <c r="D4627">
        <v>4.3992040000000001</v>
      </c>
      <c r="E4627">
        <v>0.49656980000000001</v>
      </c>
      <c r="F4627" t="s">
        <v>42</v>
      </c>
      <c r="G4627">
        <v>-419.6884</v>
      </c>
      <c r="H4627" s="1">
        <v>-4.135208E-6</v>
      </c>
      <c r="I4627">
        <v>89.143230000000003</v>
      </c>
      <c r="J4627">
        <v>-420.58010000000002</v>
      </c>
      <c r="K4627">
        <v>1.115146</v>
      </c>
      <c r="L4627">
        <v>115.83799999999999</v>
      </c>
      <c r="M4627">
        <v>-0.25831890000000002</v>
      </c>
      <c r="N4627">
        <v>-1.1543869999999999E-2</v>
      </c>
      <c r="O4627">
        <v>-0.96599089999999999</v>
      </c>
      <c r="P4627">
        <v>2.727133E-2</v>
      </c>
      <c r="Q4627">
        <v>1.0730689999999901E-3</v>
      </c>
      <c r="R4627">
        <v>-0.99962779999999996</v>
      </c>
      <c r="S4627">
        <v>8.9904789999999998E-2</v>
      </c>
      <c r="T4627">
        <v>-0.1237607</v>
      </c>
      <c r="U4627">
        <v>-2.998856</v>
      </c>
      <c r="V4627">
        <v>-0.28473480000000001</v>
      </c>
      <c r="W4627">
        <v>7.9004590000000003E-3</v>
      </c>
      <c r="X4627">
        <v>0.95857380000000003</v>
      </c>
      <c r="Y4627">
        <v>-0.28706479999999901</v>
      </c>
      <c r="Z4627">
        <v>2.667398E-2</v>
      </c>
      <c r="AA4627">
        <v>0.95753969999999999</v>
      </c>
      <c r="AB4627">
        <v>32</v>
      </c>
      <c r="AC4627">
        <v>0.89170000000001404</v>
      </c>
      <c r="AD4627">
        <v>-1.115150135208</v>
      </c>
      <c r="AE4627">
        <v>-26.694769999999899</v>
      </c>
      <c r="AF4627">
        <v>-7.7441542511137298</v>
      </c>
      <c r="AG4627">
        <v>-1.115150135208</v>
      </c>
      <c r="AH4627">
        <v>25.513786812447599</v>
      </c>
      <c r="AI4627">
        <v>92.394919794583402</v>
      </c>
      <c r="AJ4627">
        <v>106.88452423017</v>
      </c>
      <c r="AK4627">
        <v>26.6864910094999</v>
      </c>
      <c r="AL4627">
        <v>89.547332346093697</v>
      </c>
      <c r="AM4627">
        <v>106.54352765955301</v>
      </c>
      <c r="AN4627">
        <v>1.00000002681494</v>
      </c>
    </row>
    <row r="4628" spans="1:40" x14ac:dyDescent="0.25">
      <c r="A4628" t="str">
        <f>"20190305135328553"</f>
        <v>20190305135328553</v>
      </c>
      <c r="B4628" t="str">
        <f>"1551765208544889"</f>
        <v>1551765208544889</v>
      </c>
      <c r="C4628" t="s">
        <v>40</v>
      </c>
      <c r="D4628">
        <v>4.4062769999999896</v>
      </c>
      <c r="E4628">
        <v>0.49751220000000002</v>
      </c>
      <c r="F4628" t="s">
        <v>42</v>
      </c>
      <c r="G4628">
        <v>-419.64760000000001</v>
      </c>
      <c r="H4628" s="1">
        <v>-1.717474E-7</v>
      </c>
      <c r="I4628">
        <v>89.877219999999994</v>
      </c>
      <c r="J4628">
        <v>-420.65179999999998</v>
      </c>
      <c r="K4628">
        <v>1.1149800000000001</v>
      </c>
      <c r="L4628">
        <v>115.545</v>
      </c>
      <c r="M4628">
        <v>-0.25196740000000001</v>
      </c>
      <c r="N4628">
        <v>-1.133204E-2</v>
      </c>
      <c r="O4628">
        <v>-0.96766949999999996</v>
      </c>
      <c r="P4628">
        <v>3.3584139999999998E-2</v>
      </c>
      <c r="Q4628">
        <v>1.2437780000000001E-3</v>
      </c>
      <c r="R4628">
        <v>-0.99943539999999997</v>
      </c>
      <c r="S4628">
        <v>0.1076965</v>
      </c>
      <c r="T4628">
        <v>-0.12879350000000001</v>
      </c>
      <c r="U4628">
        <v>-2.9983369999999998</v>
      </c>
      <c r="V4628">
        <v>-0.28448980000000001</v>
      </c>
      <c r="W4628">
        <v>7.9142859999999995E-3</v>
      </c>
      <c r="X4628">
        <v>0.95864640000000001</v>
      </c>
      <c r="Y4628">
        <v>-0.28644930000000002</v>
      </c>
      <c r="Z4628">
        <v>2.8547179999999998E-2</v>
      </c>
      <c r="AA4628">
        <v>0.95767000000000002</v>
      </c>
      <c r="AB4628">
        <v>32</v>
      </c>
      <c r="AC4628">
        <v>1.00419999999996</v>
      </c>
      <c r="AD4628">
        <v>-1.1149801717473999</v>
      </c>
      <c r="AE4628">
        <v>-25.66778</v>
      </c>
      <c r="AF4628">
        <v>-7.4256639257270001</v>
      </c>
      <c r="AG4628">
        <v>-1.1149801717473999</v>
      </c>
      <c r="AH4628">
        <v>24.540242674320901</v>
      </c>
      <c r="AI4628">
        <v>92.490079829832794</v>
      </c>
      <c r="AJ4628">
        <v>106.83535840194</v>
      </c>
      <c r="AK4628">
        <v>25.663343040917201</v>
      </c>
      <c r="AL4628">
        <v>89.546540081000799</v>
      </c>
      <c r="AM4628">
        <v>106.5288863934</v>
      </c>
      <c r="AN4628">
        <v>1.0000000012299399</v>
      </c>
    </row>
    <row r="4629" spans="1:40" x14ac:dyDescent="0.25">
      <c r="A4629" t="str">
        <f>"20190305135328576"</f>
        <v>20190305135328576</v>
      </c>
      <c r="B4629" t="str">
        <f>"1551765208564410"</f>
        <v>1551765208564410</v>
      </c>
      <c r="C4629" t="s">
        <v>40</v>
      </c>
      <c r="D4629">
        <v>4.6116999999999999</v>
      </c>
      <c r="E4629">
        <v>0.49805549999999998</v>
      </c>
      <c r="F4629" t="s">
        <v>42</v>
      </c>
      <c r="G4629">
        <v>-419.59160000000003</v>
      </c>
      <c r="H4629" s="1">
        <v>-4.0075969999999997E-6</v>
      </c>
      <c r="I4629">
        <v>88.805709999999905</v>
      </c>
      <c r="J4629">
        <v>-420.72739999999999</v>
      </c>
      <c r="K4629">
        <v>1.114392</v>
      </c>
      <c r="L4629">
        <v>115.2299</v>
      </c>
      <c r="M4629">
        <v>-0.24531990000000001</v>
      </c>
      <c r="N4629">
        <v>-1.028192E-2</v>
      </c>
      <c r="O4629">
        <v>-0.96938780000000002</v>
      </c>
      <c r="P4629">
        <v>4.0217040000000003E-2</v>
      </c>
      <c r="Q4629">
        <v>1.8015489999999999E-3</v>
      </c>
      <c r="R4629">
        <v>-0.99918940000000001</v>
      </c>
      <c r="S4629">
        <v>0.118866</v>
      </c>
      <c r="T4629">
        <v>-0.12500519999999901</v>
      </c>
      <c r="U4629">
        <v>-2.997849</v>
      </c>
      <c r="V4629">
        <v>-0.284257599999999</v>
      </c>
      <c r="W4629">
        <v>7.6639539999999997E-3</v>
      </c>
      <c r="X4629">
        <v>0.95871729999999999</v>
      </c>
      <c r="Y4629">
        <v>-0.28345110000000001</v>
      </c>
      <c r="Z4629">
        <v>2.8554079999999999E-2</v>
      </c>
      <c r="AA4629">
        <v>0.95856149999999996</v>
      </c>
      <c r="AB4629">
        <v>32</v>
      </c>
      <c r="AC4629">
        <v>1.13579999999996</v>
      </c>
      <c r="AD4629">
        <v>-1.1143960075970001</v>
      </c>
      <c r="AE4629">
        <v>-26.424189999999999</v>
      </c>
      <c r="AF4629">
        <v>-7.5703703895945802</v>
      </c>
      <c r="AG4629">
        <v>-1.1143960075970001</v>
      </c>
      <c r="AH4629">
        <v>25.293085864942</v>
      </c>
      <c r="AI4629">
        <v>92.416975672702094</v>
      </c>
      <c r="AJ4629">
        <v>106.662753112302</v>
      </c>
      <c r="AK4629">
        <v>26.425226183870699</v>
      </c>
      <c r="AL4629">
        <v>89.560883478429503</v>
      </c>
      <c r="AM4629">
        <v>106.514975965979</v>
      </c>
      <c r="AN4629">
        <v>0.99999999033398201</v>
      </c>
    </row>
    <row r="4630" spans="1:40" x14ac:dyDescent="0.25">
      <c r="A4630" t="str">
        <f>"20190305135328598"</f>
        <v>20190305135328598</v>
      </c>
      <c r="B4630" t="str">
        <f>"1551765208594785"</f>
        <v>1551765208594785</v>
      </c>
      <c r="C4630" t="s">
        <v>40</v>
      </c>
      <c r="D4630">
        <v>4.4431609999999999</v>
      </c>
      <c r="E4630">
        <v>0.49937680000000001</v>
      </c>
      <c r="F4630" t="s">
        <v>42</v>
      </c>
      <c r="G4630">
        <v>-419.49310000000003</v>
      </c>
      <c r="H4630" s="1">
        <v>-3.5715539999999998E-6</v>
      </c>
      <c r="I4630">
        <v>87.748559999999998</v>
      </c>
      <c r="J4630">
        <v>-420.80029999999999</v>
      </c>
      <c r="K4630">
        <v>1.1137870000000001</v>
      </c>
      <c r="L4630">
        <v>114.91930000000001</v>
      </c>
      <c r="M4630">
        <v>-0.23897109999999999</v>
      </c>
      <c r="N4630">
        <v>-9.0636280000000007E-3</v>
      </c>
      <c r="O4630">
        <v>-0.97098450000000003</v>
      </c>
      <c r="P4630">
        <v>4.657559E-2</v>
      </c>
      <c r="Q4630">
        <v>1.923908E-3</v>
      </c>
      <c r="R4630">
        <v>-0.99891300000000005</v>
      </c>
      <c r="S4630">
        <v>0.13461300000000001</v>
      </c>
      <c r="T4630">
        <v>-0.1215408</v>
      </c>
      <c r="U4630">
        <v>-2.9972379999999998</v>
      </c>
      <c r="V4630">
        <v>-0.284062799999999</v>
      </c>
      <c r="W4630">
        <v>6.8390480000000003E-3</v>
      </c>
      <c r="X4630">
        <v>0.95878129999999995</v>
      </c>
      <c r="Y4630">
        <v>-0.28222000000000003</v>
      </c>
      <c r="Z4630">
        <v>2.880402E-2</v>
      </c>
      <c r="AA4630">
        <v>0.95891720000000003</v>
      </c>
      <c r="AB4630">
        <v>33</v>
      </c>
      <c r="AC4630">
        <v>1.3071999999999599</v>
      </c>
      <c r="AD4630">
        <v>-1.113790571554</v>
      </c>
      <c r="AE4630">
        <v>-27.170739999999999</v>
      </c>
      <c r="AF4630">
        <v>-7.7496183733055801</v>
      </c>
      <c r="AG4630">
        <v>-1.113790571554</v>
      </c>
      <c r="AH4630">
        <v>26.0274175717934</v>
      </c>
      <c r="AI4630">
        <v>92.348587875450605</v>
      </c>
      <c r="AJ4630">
        <v>106.580808594868</v>
      </c>
      <c r="AK4630">
        <v>27.179469822379801</v>
      </c>
      <c r="AL4630">
        <v>89.608148364535793</v>
      </c>
      <c r="AM4630">
        <v>106.5032325411</v>
      </c>
      <c r="AN4630">
        <v>1.0000000140755301</v>
      </c>
    </row>
    <row r="4631" spans="1:40" x14ac:dyDescent="0.25">
      <c r="A4631" t="str">
        <f>"20190305135328621"</f>
        <v>20190305135328621</v>
      </c>
      <c r="B4631" t="str">
        <f>"1551765208614305"</f>
        <v>1551765208614305</v>
      </c>
      <c r="C4631" t="s">
        <v>40</v>
      </c>
      <c r="D4631">
        <v>4.4210529999999997</v>
      </c>
      <c r="E4631">
        <v>0.50043260000000001</v>
      </c>
      <c r="F4631" t="s">
        <v>42</v>
      </c>
      <c r="G4631">
        <v>-419.48200000000003</v>
      </c>
      <c r="H4631" s="1">
        <v>-3.3454620000000002E-6</v>
      </c>
      <c r="I4631">
        <v>87.216939999999994</v>
      </c>
      <c r="J4631">
        <v>-420.87920000000003</v>
      </c>
      <c r="K4631">
        <v>1.1132439999999999</v>
      </c>
      <c r="L4631">
        <v>114.5757</v>
      </c>
      <c r="M4631">
        <v>-0.2320595</v>
      </c>
      <c r="N4631">
        <v>-7.7269769999999899E-3</v>
      </c>
      <c r="O4631">
        <v>-0.97267099999999995</v>
      </c>
      <c r="P4631">
        <v>5.2999289999999998E-2</v>
      </c>
      <c r="Q4631">
        <v>2.8068139999999999E-3</v>
      </c>
      <c r="R4631">
        <v>-0.99859089999999995</v>
      </c>
      <c r="S4631">
        <v>0.1426086</v>
      </c>
      <c r="T4631">
        <v>-0.1204901</v>
      </c>
      <c r="U4631">
        <v>-2.9968409999999999</v>
      </c>
      <c r="V4631">
        <v>-0.28339829999999999</v>
      </c>
      <c r="W4631">
        <v>6.6454560000000001E-3</v>
      </c>
      <c r="X4631">
        <v>0.95897920000000003</v>
      </c>
      <c r="Y4631">
        <v>-0.27796149999999997</v>
      </c>
      <c r="Z4631">
        <v>2.9947379999999999E-2</v>
      </c>
      <c r="AA4631">
        <v>0.96012529999999996</v>
      </c>
      <c r="AB4631">
        <v>33</v>
      </c>
      <c r="AC4631">
        <v>1.39720000000005</v>
      </c>
      <c r="AD4631">
        <v>-1.113247345462</v>
      </c>
      <c r="AE4631">
        <v>-27.358759999999901</v>
      </c>
      <c r="AF4631">
        <v>-7.6953970773928404</v>
      </c>
      <c r="AG4631">
        <v>-1.113247345462</v>
      </c>
      <c r="AH4631">
        <v>26.244280663405199</v>
      </c>
      <c r="AI4631">
        <v>92.330929904312498</v>
      </c>
      <c r="AJ4631">
        <v>106.34229101691901</v>
      </c>
      <c r="AK4631">
        <v>27.371896597980001</v>
      </c>
      <c r="AL4631">
        <v>89.619240589918405</v>
      </c>
      <c r="AM4631">
        <v>106.46350606433001</v>
      </c>
      <c r="AN4631">
        <v>0.999999932280486</v>
      </c>
    </row>
    <row r="4632" spans="1:40" x14ac:dyDescent="0.25">
      <c r="A4632" t="str">
        <f>"20190305135328643"</f>
        <v>20190305135328643</v>
      </c>
      <c r="B4632" t="str">
        <f>"1551765208634801"</f>
        <v>1551765208634801</v>
      </c>
      <c r="C4632" t="s">
        <v>40</v>
      </c>
      <c r="D4632">
        <v>4.3886089999999998</v>
      </c>
      <c r="E4632">
        <v>0.50147410000000003</v>
      </c>
      <c r="F4632" t="s">
        <v>42</v>
      </c>
      <c r="G4632">
        <v>-419.38560000000001</v>
      </c>
      <c r="H4632" s="1">
        <v>-2.6089079999999999E-6</v>
      </c>
      <c r="I4632">
        <v>85.460149999999999</v>
      </c>
      <c r="J4632">
        <v>-420.95269999999999</v>
      </c>
      <c r="K4632">
        <v>1.1129690000000001</v>
      </c>
      <c r="L4632">
        <v>114.2484</v>
      </c>
      <c r="M4632">
        <v>-0.2256058</v>
      </c>
      <c r="N4632">
        <v>-6.5059540000000004E-3</v>
      </c>
      <c r="O4632">
        <v>-0.97419699999999998</v>
      </c>
      <c r="P4632">
        <v>5.9481579999999999E-2</v>
      </c>
      <c r="Q4632">
        <v>4.9598899999999998E-3</v>
      </c>
      <c r="R4632">
        <v>-0.99821720000000003</v>
      </c>
      <c r="S4632">
        <v>0.15371699999999999</v>
      </c>
      <c r="T4632">
        <v>-0.1145688</v>
      </c>
      <c r="U4632">
        <v>-2.9963989999999998</v>
      </c>
      <c r="V4632">
        <v>-0.28327370000000002</v>
      </c>
      <c r="W4632">
        <v>7.6911330000000002E-3</v>
      </c>
      <c r="X4632">
        <v>0.95900830000000004</v>
      </c>
      <c r="Y4632">
        <v>-0.27516020000000002</v>
      </c>
      <c r="Z4632">
        <v>2.942616E-2</v>
      </c>
      <c r="AA4632">
        <v>0.96094789999999997</v>
      </c>
      <c r="AB4632">
        <v>33</v>
      </c>
      <c r="AC4632">
        <v>1.56709999999998</v>
      </c>
      <c r="AD4632">
        <v>-1.112971608908</v>
      </c>
      <c r="AE4632">
        <v>-28.788250000000001</v>
      </c>
      <c r="AF4632">
        <v>-8.0096933947148905</v>
      </c>
      <c r="AG4632">
        <v>-1.112971608908</v>
      </c>
      <c r="AH4632">
        <v>27.6512579726265</v>
      </c>
      <c r="AI4632">
        <v>92.214009248386603</v>
      </c>
      <c r="AJ4632">
        <v>106.154627746046</v>
      </c>
      <c r="AK4632">
        <v>28.809476939859898</v>
      </c>
      <c r="AL4632">
        <v>89.559326208469898</v>
      </c>
      <c r="AM4632">
        <v>106.456186969516</v>
      </c>
      <c r="AN4632">
        <v>1.0000000310537001</v>
      </c>
    </row>
    <row r="4633" spans="1:40" x14ac:dyDescent="0.25">
      <c r="A4633" t="str">
        <f>"20190305135328667"</f>
        <v>20190305135328667</v>
      </c>
      <c r="B4633" t="str">
        <f>"1551765208654321"</f>
        <v>1551765208654321</v>
      </c>
      <c r="C4633" t="s">
        <v>40</v>
      </c>
      <c r="D4633">
        <v>4.405475</v>
      </c>
      <c r="E4633">
        <v>0.50261429999999996</v>
      </c>
      <c r="F4633" t="s">
        <v>42</v>
      </c>
      <c r="G4633">
        <v>-419.21710000000002</v>
      </c>
      <c r="H4633" s="1">
        <v>-1.451677E-6</v>
      </c>
      <c r="I4633">
        <v>82.692930000000004</v>
      </c>
      <c r="J4633">
        <v>-421.02629999999999</v>
      </c>
      <c r="K4633">
        <v>1.112933</v>
      </c>
      <c r="L4633">
        <v>113.9111</v>
      </c>
      <c r="M4633">
        <v>-0.21909200000000001</v>
      </c>
      <c r="N4633">
        <v>-5.3537480000000002E-3</v>
      </c>
      <c r="O4633">
        <v>-0.97568949999999999</v>
      </c>
      <c r="P4633">
        <v>6.59579E-2</v>
      </c>
      <c r="Q4633">
        <v>6.6621750000000002E-3</v>
      </c>
      <c r="R4633">
        <v>-0.99780020000000003</v>
      </c>
      <c r="S4633">
        <v>0.16479489999999999</v>
      </c>
      <c r="T4633">
        <v>-0.1056719</v>
      </c>
      <c r="U4633">
        <v>-2.9960629999999999</v>
      </c>
      <c r="V4633">
        <v>-0.28309499999999999</v>
      </c>
      <c r="W4633">
        <v>8.2122979999999998E-3</v>
      </c>
      <c r="X4633">
        <v>0.95905669999999998</v>
      </c>
      <c r="Y4633">
        <v>-0.2722965</v>
      </c>
      <c r="Z4633">
        <v>2.7886629999999999E-2</v>
      </c>
      <c r="AA4633">
        <v>0.96180920000000003</v>
      </c>
      <c r="AB4633">
        <v>34</v>
      </c>
      <c r="AC4633">
        <v>1.8091999999999699</v>
      </c>
      <c r="AD4633">
        <v>-1.1129344516769999</v>
      </c>
      <c r="AE4633">
        <v>-31.218170000000001</v>
      </c>
      <c r="AF4633">
        <v>-8.5941061940870007</v>
      </c>
      <c r="AG4633">
        <v>-1.1129344516769999</v>
      </c>
      <c r="AH4633">
        <v>30.025258270656799</v>
      </c>
      <c r="AI4633">
        <v>92.040904670385899</v>
      </c>
      <c r="AJ4633">
        <v>105.972668958955</v>
      </c>
      <c r="AK4633">
        <v>31.250814686798499</v>
      </c>
      <c r="AL4633">
        <v>89.529464689476697</v>
      </c>
      <c r="AM4633">
        <v>106.445581695816</v>
      </c>
      <c r="AN4633">
        <v>0.99999998733916495</v>
      </c>
    </row>
    <row r="4634" spans="1:40" x14ac:dyDescent="0.25">
      <c r="A4634" t="str">
        <f>"20190305135328689"</f>
        <v>20190305135328689</v>
      </c>
      <c r="B4634" t="str">
        <f>"1551765208684576"</f>
        <v>1551765208684576</v>
      </c>
      <c r="C4634" t="s">
        <v>40</v>
      </c>
      <c r="D4634">
        <v>4.3927399999999999</v>
      </c>
      <c r="E4634">
        <v>0.508405</v>
      </c>
      <c r="F4634" t="s">
        <v>42</v>
      </c>
      <c r="G4634">
        <v>-419.01600000000002</v>
      </c>
      <c r="H4634" s="1">
        <v>-4.4058500000000003E-6</v>
      </c>
      <c r="I4634">
        <v>79.496039999999994</v>
      </c>
      <c r="J4634">
        <v>-421.09589999999997</v>
      </c>
      <c r="K4634">
        <v>1.1131059999999999</v>
      </c>
      <c r="L4634">
        <v>113.5806</v>
      </c>
      <c r="M4634">
        <v>-0.2128072</v>
      </c>
      <c r="N4634">
        <v>-4.3999119999999997E-3</v>
      </c>
      <c r="O4634">
        <v>-0.97708430000000002</v>
      </c>
      <c r="P4634">
        <v>7.1687539999999994E-2</v>
      </c>
      <c r="Q4634">
        <v>7.6748750000000003E-3</v>
      </c>
      <c r="R4634">
        <v>-0.9973976</v>
      </c>
      <c r="S4634">
        <v>0.1749878</v>
      </c>
      <c r="T4634">
        <v>-9.6876980000000001E-2</v>
      </c>
      <c r="U4634">
        <v>-2.9956969999999998</v>
      </c>
      <c r="V4634">
        <v>-0.28243430000000003</v>
      </c>
      <c r="W4634">
        <v>8.1393469999999999E-3</v>
      </c>
      <c r="X4634">
        <v>0.95925210000000005</v>
      </c>
      <c r="Y4634">
        <v>-0.26938069999999997</v>
      </c>
      <c r="Z4634">
        <v>2.6160010000000001E-2</v>
      </c>
      <c r="AA4634">
        <v>0.96267840000000005</v>
      </c>
      <c r="AB4634">
        <v>34</v>
      </c>
      <c r="AC4634">
        <v>2.0798999999999999</v>
      </c>
      <c r="AD4634">
        <v>-1.1131104058500001</v>
      </c>
      <c r="AE4634">
        <v>-34.084560000000003</v>
      </c>
      <c r="AF4634">
        <v>-9.2759112641388306</v>
      </c>
      <c r="AG4634">
        <v>-1.1131104058500001</v>
      </c>
      <c r="AH4634">
        <v>32.826309555104501</v>
      </c>
      <c r="AI4634">
        <v>91.868973916190896</v>
      </c>
      <c r="AJ4634">
        <v>105.778992686899</v>
      </c>
      <c r="AK4634">
        <v>34.129871719116302</v>
      </c>
      <c r="AL4634">
        <v>89.533644613520295</v>
      </c>
      <c r="AM4634">
        <v>106.406104236001</v>
      </c>
      <c r="AN4634">
        <v>0.99999998707024296</v>
      </c>
    </row>
    <row r="4635" spans="1:40" x14ac:dyDescent="0.25">
      <c r="A4635" t="str">
        <f>"20190305135328712"</f>
        <v>20190305135328712</v>
      </c>
      <c r="B4635" t="str">
        <f>"1551765208705073"</f>
        <v>1551765208705073</v>
      </c>
      <c r="C4635" t="s">
        <v>40</v>
      </c>
      <c r="D4635">
        <v>4.3938499999999996</v>
      </c>
      <c r="E4635">
        <v>0.50893069999999996</v>
      </c>
      <c r="F4635" t="s">
        <v>84</v>
      </c>
      <c r="G4635">
        <v>-415.56310000000002</v>
      </c>
      <c r="H4635">
        <v>0.30057030000000001</v>
      </c>
      <c r="I4635">
        <v>1.27915</v>
      </c>
      <c r="J4635">
        <v>-421.16699999999997</v>
      </c>
      <c r="K4635">
        <v>1.113418</v>
      </c>
      <c r="L4635">
        <v>113.2303</v>
      </c>
      <c r="M4635">
        <v>-0.20620269999999999</v>
      </c>
      <c r="N4635">
        <v>-3.6237190000000001E-3</v>
      </c>
      <c r="O4635">
        <v>-0.97850280000000001</v>
      </c>
      <c r="P4635">
        <v>7.8061599999999995E-2</v>
      </c>
      <c r="Q4635">
        <v>8.4468140000000004E-3</v>
      </c>
      <c r="R4635">
        <v>-0.9969131</v>
      </c>
      <c r="S4635">
        <v>0.14767459999999999</v>
      </c>
      <c r="T4635">
        <v>-2.1687749999999999E-2</v>
      </c>
      <c r="U4635">
        <v>-2.9973909999999999</v>
      </c>
      <c r="V4635">
        <v>-0.282091799999999</v>
      </c>
      <c r="W4635">
        <v>7.9271610000000003E-3</v>
      </c>
      <c r="X4635">
        <v>0.9593547</v>
      </c>
      <c r="Y4635">
        <v>-0.25409929999999997</v>
      </c>
      <c r="Z4635">
        <v>3.2364899999999999E-3</v>
      </c>
      <c r="AA4635">
        <v>0.9671727</v>
      </c>
      <c r="AB4635">
        <v>34</v>
      </c>
      <c r="AC4635">
        <v>5.6038999999999497</v>
      </c>
      <c r="AD4635">
        <v>-0.81284769999999995</v>
      </c>
      <c r="AE4635">
        <v>-111.95115</v>
      </c>
      <c r="AF4635">
        <v>-28.566740664021498</v>
      </c>
      <c r="AG4635">
        <v>-0.81284769999999995</v>
      </c>
      <c r="AH4635">
        <v>108.383964085228</v>
      </c>
      <c r="AI4635">
        <v>90.415503857499402</v>
      </c>
      <c r="AJ4635">
        <v>104.76563296387801</v>
      </c>
      <c r="AK4635">
        <v>112.088371673322</v>
      </c>
      <c r="AL4635">
        <v>89.545802388656995</v>
      </c>
      <c r="AM4635">
        <v>106.385618434748</v>
      </c>
      <c r="AN4635">
        <v>1.0000000319604201</v>
      </c>
    </row>
    <row r="4636" spans="1:40" x14ac:dyDescent="0.25">
      <c r="A4636" t="str">
        <f>"20190305135328733"</f>
        <v>20190305135328733</v>
      </c>
      <c r="B4636" t="str">
        <f>"1551765208724593"</f>
        <v>1551765208724593</v>
      </c>
      <c r="C4636" t="s">
        <v>40</v>
      </c>
      <c r="D4636">
        <v>4.3658479999999997</v>
      </c>
      <c r="E4636">
        <v>0.50944520000000004</v>
      </c>
      <c r="F4636" t="s">
        <v>84</v>
      </c>
      <c r="G4636">
        <v>-415.05509999999998</v>
      </c>
      <c r="H4636">
        <v>0.75746329999999995</v>
      </c>
      <c r="I4636">
        <v>0.52767749999999902</v>
      </c>
      <c r="J4636">
        <v>-421.22919999999999</v>
      </c>
      <c r="K4636">
        <v>1.113753</v>
      </c>
      <c r="L4636">
        <v>112.9113</v>
      </c>
      <c r="M4636">
        <v>-0.2002032</v>
      </c>
      <c r="N4636">
        <v>-3.1373410000000001E-3</v>
      </c>
      <c r="O4636">
        <v>-0.97974939999999999</v>
      </c>
      <c r="P4636">
        <v>8.3650039999999995E-2</v>
      </c>
      <c r="Q4636">
        <v>9.3779950000000001E-3</v>
      </c>
      <c r="R4636">
        <v>-0.99645130000000004</v>
      </c>
      <c r="S4636">
        <v>0.16250609999999999</v>
      </c>
      <c r="T4636">
        <v>-9.4650979999999999E-3</v>
      </c>
      <c r="U4636">
        <v>-2.9966279999999998</v>
      </c>
      <c r="V4636">
        <v>-0.28160400000000002</v>
      </c>
      <c r="W4636">
        <v>8.1770139999999998E-3</v>
      </c>
      <c r="X4636">
        <v>0.95949589999999996</v>
      </c>
      <c r="Y4636">
        <v>-0.25296170000000001</v>
      </c>
      <c r="Z4636">
        <v>-1.4568409999999999E-4</v>
      </c>
      <c r="AA4636">
        <v>0.96747620000000001</v>
      </c>
      <c r="AB4636">
        <v>35</v>
      </c>
      <c r="AC4636">
        <v>6.1741000000000099</v>
      </c>
      <c r="AD4636">
        <v>-0.35628969999999899</v>
      </c>
      <c r="AE4636">
        <v>-112.3836225</v>
      </c>
      <c r="AF4636">
        <v>-28.548485324856099</v>
      </c>
      <c r="AG4636">
        <v>-0.35628969999999899</v>
      </c>
      <c r="AH4636">
        <v>108.871154222798</v>
      </c>
      <c r="AI4636">
        <v>90.181372474319701</v>
      </c>
      <c r="AJ4636">
        <v>104.693437660554</v>
      </c>
      <c r="AK4636">
        <v>112.552526308822</v>
      </c>
      <c r="AL4636">
        <v>89.531486401302601</v>
      </c>
      <c r="AM4636">
        <v>106.356521488764</v>
      </c>
      <c r="AN4636">
        <v>1.0000000292453799</v>
      </c>
    </row>
    <row r="4637" spans="1:40" x14ac:dyDescent="0.25">
      <c r="A4637" t="str">
        <f>"20190305135328754"</f>
        <v>20190305135328754</v>
      </c>
      <c r="B4637" t="str">
        <f>"1551765208745089"</f>
        <v>1551765208745089</v>
      </c>
      <c r="C4637" t="s">
        <v>40</v>
      </c>
      <c r="D4637">
        <v>4.3935230000000001</v>
      </c>
      <c r="E4637">
        <v>0.51568389999999997</v>
      </c>
      <c r="F4637" t="s">
        <v>84</v>
      </c>
      <c r="G4637">
        <v>-414.64940000000001</v>
      </c>
      <c r="H4637">
        <v>0.96129869999999995</v>
      </c>
      <c r="I4637">
        <v>0.53180499999999997</v>
      </c>
      <c r="J4637">
        <v>-421.29070000000002</v>
      </c>
      <c r="K4637">
        <v>1.114074</v>
      </c>
      <c r="L4637">
        <v>112.58329999999999</v>
      </c>
      <c r="M4637">
        <v>-0.19399179999999999</v>
      </c>
      <c r="N4637">
        <v>-2.8320490000000001E-3</v>
      </c>
      <c r="O4637">
        <v>-0.98099910000000001</v>
      </c>
      <c r="P4637">
        <v>8.9362699999999906E-2</v>
      </c>
      <c r="Q4637">
        <v>1.03924E-2</v>
      </c>
      <c r="R4637">
        <v>-0.99594499999999997</v>
      </c>
      <c r="S4637">
        <v>0.17541499999999999</v>
      </c>
      <c r="T4637">
        <v>-4.0651560000000003E-3</v>
      </c>
      <c r="U4637">
        <v>-2.995987</v>
      </c>
      <c r="V4637">
        <v>-0.28104170000000001</v>
      </c>
      <c r="W4637">
        <v>8.7182059999999992E-3</v>
      </c>
      <c r="X4637">
        <v>0.95965590000000001</v>
      </c>
      <c r="Y4637">
        <v>-0.25099890000000002</v>
      </c>
      <c r="Z4637">
        <v>-1.5530229999999999E-3</v>
      </c>
      <c r="AA4637">
        <v>0.96798609999999896</v>
      </c>
      <c r="AB4637">
        <v>35</v>
      </c>
      <c r="AC4637">
        <v>6.6413000000000002</v>
      </c>
      <c r="AD4637">
        <v>-0.1527753</v>
      </c>
      <c r="AE4637">
        <v>-112.051495</v>
      </c>
      <c r="AF4637">
        <v>-28.252240459924099</v>
      </c>
      <c r="AG4637">
        <v>-0.1527753</v>
      </c>
      <c r="AH4637">
        <v>108.634288445061</v>
      </c>
      <c r="AI4637">
        <v>90.077982502874306</v>
      </c>
      <c r="AJ4637">
        <v>104.577835086196</v>
      </c>
      <c r="AK4637">
        <v>112.24803364541501</v>
      </c>
      <c r="AL4637">
        <v>89.500477235947898</v>
      </c>
      <c r="AM4637">
        <v>106.323025058517</v>
      </c>
      <c r="AN4637">
        <v>0.99999994532977698</v>
      </c>
    </row>
    <row r="4638" spans="1:40" x14ac:dyDescent="0.25">
      <c r="A4638" t="str">
        <f>"20190305135328777"</f>
        <v>20190305135328777</v>
      </c>
      <c r="B4638" t="str">
        <f>"1551765208764609"</f>
        <v>1551765208764609</v>
      </c>
      <c r="C4638" t="s">
        <v>40</v>
      </c>
      <c r="D4638">
        <v>4.5345849999999999</v>
      </c>
      <c r="E4638">
        <v>0.51613940000000003</v>
      </c>
      <c r="F4638" t="s">
        <v>84</v>
      </c>
      <c r="G4638">
        <v>-415.97199999999998</v>
      </c>
      <c r="H4638">
        <v>1.985026</v>
      </c>
      <c r="I4638">
        <v>1.277536</v>
      </c>
      <c r="J4638">
        <v>-421.35270000000003</v>
      </c>
      <c r="K4638">
        <v>1.114325</v>
      </c>
      <c r="L4638">
        <v>112.2379</v>
      </c>
      <c r="M4638">
        <v>-0.1873205</v>
      </c>
      <c r="N4638">
        <v>-2.6658110000000001E-3</v>
      </c>
      <c r="O4638">
        <v>-0.98229540000000004</v>
      </c>
      <c r="P4638">
        <v>9.5580819999999997E-2</v>
      </c>
      <c r="Q4638">
        <v>1.0413820000000001E-2</v>
      </c>
      <c r="R4638">
        <v>-0.99536709999999995</v>
      </c>
      <c r="S4638">
        <v>0.14331050000000001</v>
      </c>
      <c r="T4638">
        <v>2.3467060000000001E-2</v>
      </c>
      <c r="U4638">
        <v>-2.9991300000000001</v>
      </c>
      <c r="V4638">
        <v>-0.28051510000000002</v>
      </c>
      <c r="W4638">
        <v>8.4526169999999904E-3</v>
      </c>
      <c r="X4638">
        <v>0.95981240000000001</v>
      </c>
      <c r="Y4638">
        <v>-0.23399139999999999</v>
      </c>
      <c r="Z4638">
        <v>-1.018119E-2</v>
      </c>
      <c r="AA4638">
        <v>0.97218539999999998</v>
      </c>
      <c r="AB4638">
        <v>35</v>
      </c>
      <c r="AC4638">
        <v>5.38070000000004</v>
      </c>
      <c r="AD4638">
        <v>0.87070099999999895</v>
      </c>
      <c r="AE4638">
        <v>-110.960363999999</v>
      </c>
      <c r="AF4638">
        <v>-26.069074639684001</v>
      </c>
      <c r="AG4638">
        <v>0.87070099999999895</v>
      </c>
      <c r="AH4638">
        <v>107.98167232532199</v>
      </c>
      <c r="AI4638">
        <v>89.550911877974798</v>
      </c>
      <c r="AJ4638">
        <v>103.57270720148701</v>
      </c>
      <c r="AK4638">
        <v>111.087336501395</v>
      </c>
      <c r="AL4638">
        <v>89.515694955666106</v>
      </c>
      <c r="AM4638">
        <v>106.291547995898</v>
      </c>
      <c r="AN4638">
        <v>1.0000000056279501</v>
      </c>
    </row>
    <row r="4639" spans="1:40" x14ac:dyDescent="0.25">
      <c r="A4639" t="str">
        <f>"20190305135328800"</f>
        <v>20190305135328800</v>
      </c>
      <c r="B4639" t="str">
        <f>"1551765208794865"</f>
        <v>1551765208794865</v>
      </c>
      <c r="C4639" t="s">
        <v>40</v>
      </c>
      <c r="D4639">
        <v>4.5170570000000003</v>
      </c>
      <c r="E4639">
        <v>0.50864569999999998</v>
      </c>
      <c r="F4639" t="s">
        <v>84</v>
      </c>
      <c r="G4639">
        <v>-415.47579999999999</v>
      </c>
      <c r="H4639">
        <v>1.933276</v>
      </c>
      <c r="I4639">
        <v>1.2794989999999999</v>
      </c>
      <c r="J4639">
        <v>-421.41309999999999</v>
      </c>
      <c r="K4639">
        <v>1.1144959999999999</v>
      </c>
      <c r="L4639">
        <v>111.8866</v>
      </c>
      <c r="M4639">
        <v>-0.18033740000000001</v>
      </c>
      <c r="N4639">
        <v>-2.6061830000000002E-3</v>
      </c>
      <c r="O4639">
        <v>-0.98360159999999996</v>
      </c>
      <c r="P4639">
        <v>0.1019282</v>
      </c>
      <c r="Q4639">
        <v>9.6132630000000004E-3</v>
      </c>
      <c r="R4639">
        <v>-0.99474560000000001</v>
      </c>
      <c r="S4639">
        <v>0.1588135</v>
      </c>
      <c r="T4639">
        <v>2.2130130000000001E-2</v>
      </c>
      <c r="U4639">
        <v>-2.9984739999999999</v>
      </c>
      <c r="V4639">
        <v>-0.27980820000000001</v>
      </c>
      <c r="W4639">
        <v>7.5299659999999999E-3</v>
      </c>
      <c r="X4639">
        <v>0.96002639999999995</v>
      </c>
      <c r="Y4639">
        <v>-0.2321078</v>
      </c>
      <c r="Z4639">
        <v>-9.7113789999999992E-3</v>
      </c>
      <c r="AA4639">
        <v>0.9726416</v>
      </c>
      <c r="AB4639">
        <v>35</v>
      </c>
      <c r="AC4639">
        <v>5.9372999999999898</v>
      </c>
      <c r="AD4639">
        <v>0.81877999999999895</v>
      </c>
      <c r="AE4639">
        <v>-110.607101</v>
      </c>
      <c r="AF4639">
        <v>-25.7852072821325</v>
      </c>
      <c r="AG4639">
        <v>0.81877999999999895</v>
      </c>
      <c r="AH4639">
        <v>107.717058615806</v>
      </c>
      <c r="AI4639">
        <v>89.576456650363497</v>
      </c>
      <c r="AJ4639">
        <v>103.462088462927</v>
      </c>
      <c r="AK4639">
        <v>110.76331537161499</v>
      </c>
      <c r="AL4639">
        <v>89.568560654983102</v>
      </c>
      <c r="AM4639">
        <v>106.249231109542</v>
      </c>
      <c r="AN4639">
        <v>1.0000000089360801</v>
      </c>
    </row>
    <row r="4640" spans="1:40" x14ac:dyDescent="0.25">
      <c r="A4640" t="str">
        <f>"20190305135328822"</f>
        <v>20190305135328822</v>
      </c>
      <c r="B4640" t="str">
        <f>"1551765208814385"</f>
        <v>1551765208814385</v>
      </c>
      <c r="C4640" t="s">
        <v>40</v>
      </c>
      <c r="D4640">
        <v>4.5384840000000004</v>
      </c>
      <c r="E4640">
        <v>0.50940959999999902</v>
      </c>
      <c r="F4640" t="s">
        <v>42</v>
      </c>
      <c r="G4640">
        <v>-419.55189999999999</v>
      </c>
      <c r="H4640" s="1">
        <v>-3.7446059999999999E-6</v>
      </c>
      <c r="I4640">
        <v>88.176270000000002</v>
      </c>
      <c r="J4640">
        <v>-421.4701</v>
      </c>
      <c r="K4640">
        <v>1.1146160000000001</v>
      </c>
      <c r="L4640">
        <v>111.5403</v>
      </c>
      <c r="M4640">
        <v>-0.17325779999999999</v>
      </c>
      <c r="N4640">
        <v>-2.6213740000000001E-3</v>
      </c>
      <c r="O4640">
        <v>-0.98487309999999995</v>
      </c>
      <c r="P4640">
        <v>0.1083139</v>
      </c>
      <c r="Q4640">
        <v>8.6989500000000004E-3</v>
      </c>
      <c r="R4640">
        <v>-0.99407900000000005</v>
      </c>
      <c r="S4640">
        <v>0.23495479999999999</v>
      </c>
      <c r="T4640">
        <v>-0.14069089999999901</v>
      </c>
      <c r="U4640">
        <v>-2.9931179999999999</v>
      </c>
      <c r="V4640">
        <v>-0.27905600000000003</v>
      </c>
      <c r="W4640">
        <v>6.6011119999999897E-3</v>
      </c>
      <c r="X4640">
        <v>0.9602522</v>
      </c>
      <c r="Y4640">
        <v>-0.24971019999999999</v>
      </c>
      <c r="Z4640">
        <v>4.2436099999999997E-2</v>
      </c>
      <c r="AA4640">
        <v>0.96739030000000004</v>
      </c>
      <c r="AB4640">
        <v>35</v>
      </c>
      <c r="AC4640">
        <v>1.9182000000000099</v>
      </c>
      <c r="AD4640">
        <v>-1.114619744606</v>
      </c>
      <c r="AE4640">
        <v>-23.36403</v>
      </c>
      <c r="AF4640">
        <v>-5.9238120574098598</v>
      </c>
      <c r="AG4640">
        <v>-1.114619744606</v>
      </c>
      <c r="AH4640">
        <v>22.627184667793799</v>
      </c>
      <c r="AI4640">
        <v>92.728318752631196</v>
      </c>
      <c r="AJ4640">
        <v>104.670811689266</v>
      </c>
      <c r="AK4640">
        <v>23.416306550287199</v>
      </c>
      <c r="AL4640">
        <v>89.621781416929593</v>
      </c>
      <c r="AM4640">
        <v>106.20423375711999</v>
      </c>
      <c r="AN4640">
        <v>1.0000000567102301</v>
      </c>
    </row>
    <row r="4641" spans="1:40" x14ac:dyDescent="0.25">
      <c r="A4641" t="str">
        <f>"20190305135328844"</f>
        <v>20190305135328844</v>
      </c>
      <c r="B4641" t="str">
        <f>"1551765208834881"</f>
        <v>1551765208834881</v>
      </c>
      <c r="C4641" t="s">
        <v>40</v>
      </c>
      <c r="D4641">
        <v>4.5066750000000004</v>
      </c>
      <c r="E4641">
        <v>0.50939520000000005</v>
      </c>
      <c r="F4641" t="s">
        <v>42</v>
      </c>
      <c r="G4641">
        <v>-419.46249999999998</v>
      </c>
      <c r="H4641" s="1">
        <v>-3.4127529999999999E-6</v>
      </c>
      <c r="I4641">
        <v>87.365750000000006</v>
      </c>
      <c r="J4641">
        <v>-421.524</v>
      </c>
      <c r="K4641">
        <v>1.1147149999999999</v>
      </c>
      <c r="L4641">
        <v>111.1974</v>
      </c>
      <c r="M4641">
        <v>-0.16609099999999999</v>
      </c>
      <c r="N4641">
        <v>-2.6866490000000002E-3</v>
      </c>
      <c r="O4641">
        <v>-0.98610690000000001</v>
      </c>
      <c r="P4641">
        <v>0.1146168</v>
      </c>
      <c r="Q4641">
        <v>8.1877719999999994E-3</v>
      </c>
      <c r="R4641">
        <v>-0.99337629999999999</v>
      </c>
      <c r="S4641">
        <v>0.2484741</v>
      </c>
      <c r="T4641">
        <v>-0.13795279999999999</v>
      </c>
      <c r="U4641">
        <v>-2.9920040000000001</v>
      </c>
      <c r="V4641">
        <v>-0.27815689999999998</v>
      </c>
      <c r="W4641">
        <v>6.1366800000000003E-3</v>
      </c>
      <c r="X4641">
        <v>0.96051600000000004</v>
      </c>
      <c r="Y4641">
        <v>-0.24704180000000001</v>
      </c>
      <c r="Z4641">
        <v>4.1604080000000002E-2</v>
      </c>
      <c r="AA4641">
        <v>0.96811130000000001</v>
      </c>
      <c r="AB4641">
        <v>35</v>
      </c>
      <c r="AC4641">
        <v>2.0615000000000201</v>
      </c>
      <c r="AD4641">
        <v>-1.1147184127530001</v>
      </c>
      <c r="AE4641">
        <v>-23.83165</v>
      </c>
      <c r="AF4641">
        <v>-5.9781205810653999</v>
      </c>
      <c r="AG4641">
        <v>-1.1147184127530001</v>
      </c>
      <c r="AH4641">
        <v>23.108056517024401</v>
      </c>
      <c r="AI4641">
        <v>92.6738777904975</v>
      </c>
      <c r="AJ4641">
        <v>104.50458016982699</v>
      </c>
      <c r="AK4641">
        <v>23.894827867458702</v>
      </c>
      <c r="AL4641">
        <v>89.648391912389698</v>
      </c>
      <c r="AM4641">
        <v>106.150546700007</v>
      </c>
      <c r="AN4641">
        <v>0.99999995305751499</v>
      </c>
    </row>
    <row r="4642" spans="1:40" x14ac:dyDescent="0.25">
      <c r="A4642" t="str">
        <f>"20190305135328868"</f>
        <v>20190305135328868</v>
      </c>
      <c r="B4642" t="str">
        <f>"1551765208854401"</f>
        <v>1551765208854401</v>
      </c>
      <c r="C4642" t="s">
        <v>40</v>
      </c>
      <c r="D4642">
        <v>4.5054869999999996</v>
      </c>
      <c r="E4642">
        <v>0.50956170000000001</v>
      </c>
      <c r="F4642" t="s">
        <v>42</v>
      </c>
      <c r="G4642">
        <v>-419.39909999999998</v>
      </c>
      <c r="H4642" s="1">
        <v>-3.4718299999999999E-6</v>
      </c>
      <c r="I4642">
        <v>87.477219999999903</v>
      </c>
      <c r="J4642">
        <v>-421.5779</v>
      </c>
      <c r="K4642">
        <v>1.1148149999999999</v>
      </c>
      <c r="L4642">
        <v>110.83710000000001</v>
      </c>
      <c r="M4642">
        <v>-0.15842999999999999</v>
      </c>
      <c r="N4642">
        <v>-2.7915140000000001E-3</v>
      </c>
      <c r="O4642">
        <v>-0.98736639999999998</v>
      </c>
      <c r="P4642">
        <v>0.1207474</v>
      </c>
      <c r="Q4642">
        <v>8.2617409999999995E-3</v>
      </c>
      <c r="R4642">
        <v>-0.992649</v>
      </c>
      <c r="S4642">
        <v>0.26788329999999999</v>
      </c>
      <c r="T4642">
        <v>-0.14052619999999999</v>
      </c>
      <c r="U4642">
        <v>-2.990265</v>
      </c>
      <c r="V4642">
        <v>-0.27663339999999997</v>
      </c>
      <c r="W4642">
        <v>6.2988030000000004E-3</v>
      </c>
      <c r="X4642">
        <v>0.96095489999999995</v>
      </c>
      <c r="Y4642">
        <v>-0.2457984</v>
      </c>
      <c r="Z4642">
        <v>4.2432449999999997E-2</v>
      </c>
      <c r="AA4642">
        <v>0.96839180000000002</v>
      </c>
      <c r="AB4642">
        <v>35</v>
      </c>
      <c r="AC4642">
        <v>2.1788000000000198</v>
      </c>
      <c r="AD4642">
        <v>-1.1148184718299901</v>
      </c>
      <c r="AE4642">
        <v>-23.35988</v>
      </c>
      <c r="AF4642">
        <v>-5.83901778993362</v>
      </c>
      <c r="AG4642">
        <v>-1.1148184718299901</v>
      </c>
      <c r="AH4642">
        <v>22.668475623274201</v>
      </c>
      <c r="AI4642">
        <v>92.726633402068401</v>
      </c>
      <c r="AJ4642">
        <v>104.44443395279301</v>
      </c>
      <c r="AK4642">
        <v>23.434946896873299</v>
      </c>
      <c r="AL4642">
        <v>89.639102791570394</v>
      </c>
      <c r="AM4642">
        <v>106.059704745327</v>
      </c>
      <c r="AN4642">
        <v>1.0000000163744001</v>
      </c>
    </row>
    <row r="4643" spans="1:40" x14ac:dyDescent="0.25">
      <c r="A4643" t="str">
        <f>"20190305135328890"</f>
        <v>20190305135328890</v>
      </c>
      <c r="B4643" t="str">
        <f>"1551765208884656"</f>
        <v>1551765208884656</v>
      </c>
      <c r="C4643" t="s">
        <v>40</v>
      </c>
      <c r="D4643">
        <v>4.4835500000000001</v>
      </c>
      <c r="E4643">
        <v>0.51013599999999903</v>
      </c>
      <c r="F4643" t="s">
        <v>42</v>
      </c>
      <c r="G4643">
        <v>-419.33460000000002</v>
      </c>
      <c r="H4643" s="1">
        <v>-3.424537E-6</v>
      </c>
      <c r="I4643">
        <v>87.340319999999906</v>
      </c>
      <c r="J4643">
        <v>-421.62959999999998</v>
      </c>
      <c r="K4643">
        <v>1.114922</v>
      </c>
      <c r="L4643">
        <v>110.4718</v>
      </c>
      <c r="M4643">
        <v>-0.15057010000000001</v>
      </c>
      <c r="N4643">
        <v>-2.9182430000000001E-3</v>
      </c>
      <c r="O4643">
        <v>-0.98859520000000001</v>
      </c>
      <c r="P4643">
        <v>0.1270009</v>
      </c>
      <c r="Q4643">
        <v>8.4739340000000007E-3</v>
      </c>
      <c r="R4643">
        <v>-0.99186669999999999</v>
      </c>
      <c r="S4643">
        <v>0.28533940000000002</v>
      </c>
      <c r="T4643">
        <v>-0.14180039999999999</v>
      </c>
      <c r="U4643">
        <v>-2.988693</v>
      </c>
      <c r="V4643">
        <v>-0.27505069999999998</v>
      </c>
      <c r="W4643">
        <v>6.6101709999999998E-3</v>
      </c>
      <c r="X4643">
        <v>0.96140700000000001</v>
      </c>
      <c r="Y4643">
        <v>-0.2437378</v>
      </c>
      <c r="Z4643">
        <v>4.282532E-2</v>
      </c>
      <c r="AA4643">
        <v>0.96889519999999996</v>
      </c>
      <c r="AB4643">
        <v>36</v>
      </c>
      <c r="AC4643">
        <v>2.2949999999999502</v>
      </c>
      <c r="AD4643">
        <v>-1.1149254245369999</v>
      </c>
      <c r="AE4643">
        <v>-23.13148</v>
      </c>
      <c r="AF4643">
        <v>-5.73855694710051</v>
      </c>
      <c r="AG4643">
        <v>-1.1149254245369999</v>
      </c>
      <c r="AH4643">
        <v>22.470509376650199</v>
      </c>
      <c r="AI4643">
        <v>92.752337444865901</v>
      </c>
      <c r="AJ4643">
        <v>104.326084659694</v>
      </c>
      <c r="AK4643">
        <v>23.218481564984401</v>
      </c>
      <c r="AL4643">
        <v>89.621262341988597</v>
      </c>
      <c r="AM4643">
        <v>105.965393680063</v>
      </c>
      <c r="AN4643">
        <v>1.00000000079006</v>
      </c>
    </row>
    <row r="4644" spans="1:40" x14ac:dyDescent="0.25">
      <c r="A4644" t="str">
        <f>"20190305135328911"</f>
        <v>20190305135328911</v>
      </c>
      <c r="B4644" t="str">
        <f>"1551765208904177"</f>
        <v>1551765208904177</v>
      </c>
      <c r="C4644" t="s">
        <v>40</v>
      </c>
      <c r="D4644">
        <v>4.4725330000000003</v>
      </c>
      <c r="E4644">
        <v>0.51041110000000001</v>
      </c>
      <c r="F4644" t="s">
        <v>42</v>
      </c>
      <c r="G4644">
        <v>-419.17349999999999</v>
      </c>
      <c r="H4644" s="1">
        <v>-2.86432E-6</v>
      </c>
      <c r="I4644">
        <v>85.967830000000006</v>
      </c>
      <c r="J4644">
        <v>-421.67599999999999</v>
      </c>
      <c r="K4644">
        <v>1.1150359999999999</v>
      </c>
      <c r="L4644">
        <v>110.1259</v>
      </c>
      <c r="M4644">
        <v>-0.14306479999999999</v>
      </c>
      <c r="N4644">
        <v>-3.0462459999999998E-3</v>
      </c>
      <c r="O4644">
        <v>-0.98970860000000005</v>
      </c>
      <c r="P4644">
        <v>0.13204979999999999</v>
      </c>
      <c r="Q4644">
        <v>9.7696970000000008E-3</v>
      </c>
      <c r="R4644">
        <v>-0.99119469999999998</v>
      </c>
      <c r="S4644">
        <v>0.2994385</v>
      </c>
      <c r="T4644">
        <v>-0.13592699999999999</v>
      </c>
      <c r="U4644">
        <v>-2.9874269999999998</v>
      </c>
      <c r="V4644">
        <v>-0.27267520000000001</v>
      </c>
      <c r="W4644">
        <v>8.0144180000000006E-3</v>
      </c>
      <c r="X4644">
        <v>0.96207279999999995</v>
      </c>
      <c r="Y4644">
        <v>-0.24095520000000001</v>
      </c>
      <c r="Z4644">
        <v>4.0904940000000001E-2</v>
      </c>
      <c r="AA4644">
        <v>0.96967389999999998</v>
      </c>
      <c r="AB4644">
        <v>36</v>
      </c>
      <c r="AC4644">
        <v>2.5024999999999902</v>
      </c>
      <c r="AD4644">
        <v>-1.11503886432</v>
      </c>
      <c r="AE4644">
        <v>-24.158069999999899</v>
      </c>
      <c r="AF4644">
        <v>-5.9204640735192298</v>
      </c>
      <c r="AG4644">
        <v>-1.11503886432</v>
      </c>
      <c r="AH4644">
        <v>23.5020036155239</v>
      </c>
      <c r="AI4644">
        <v>92.634152921976096</v>
      </c>
      <c r="AJ4644">
        <v>104.13936510491401</v>
      </c>
      <c r="AK4644">
        <v>24.261891526813699</v>
      </c>
      <c r="AL4644">
        <v>89.540802773115701</v>
      </c>
      <c r="AM4644">
        <v>105.82404002837001</v>
      </c>
      <c r="AN4644">
        <v>1.0000000340453701</v>
      </c>
    </row>
    <row r="4645" spans="1:40" x14ac:dyDescent="0.25">
      <c r="A4645" t="str">
        <f>"20190305135328944"</f>
        <v>20190305135328944</v>
      </c>
      <c r="B4645" t="str">
        <f>"1551765208934445"</f>
        <v>1551765208934445</v>
      </c>
      <c r="C4645" t="s">
        <v>40</v>
      </c>
      <c r="D4645">
        <v>4.37338</v>
      </c>
      <c r="E4645">
        <v>0.54319919999999899</v>
      </c>
      <c r="F4645" t="s">
        <v>42</v>
      </c>
      <c r="G4645">
        <v>-418.96589999999998</v>
      </c>
      <c r="H4645" s="1">
        <v>-2.1588599999999999E-6</v>
      </c>
      <c r="I4645">
        <v>84.237530000000007</v>
      </c>
      <c r="J4645">
        <v>-421.74059999999997</v>
      </c>
      <c r="K4645">
        <v>1.1151990000000001</v>
      </c>
      <c r="L4645">
        <v>109.61020000000001</v>
      </c>
      <c r="M4645">
        <v>-0.13179859999999999</v>
      </c>
      <c r="N4645">
        <v>-3.2394849999999998E-3</v>
      </c>
      <c r="O4645">
        <v>-0.99127140000000002</v>
      </c>
      <c r="P4645">
        <v>0.14040459999999999</v>
      </c>
      <c r="Q4645">
        <v>1.0808E-2</v>
      </c>
      <c r="R4645">
        <v>-0.9900352</v>
      </c>
      <c r="S4645">
        <v>0.31262210000000001</v>
      </c>
      <c r="T4645">
        <v>-0.1286215</v>
      </c>
      <c r="U4645">
        <v>-2.9862669999999998</v>
      </c>
      <c r="V4645">
        <v>-0.26986870000000002</v>
      </c>
      <c r="W4645">
        <v>9.1955000000000005E-3</v>
      </c>
      <c r="X4645">
        <v>0.96285319999999996</v>
      </c>
      <c r="Y4645">
        <v>-0.2341953</v>
      </c>
      <c r="Z4645">
        <v>3.8495380000000003E-2</v>
      </c>
      <c r="AA4645">
        <v>0.97142709999999999</v>
      </c>
      <c r="AB4645">
        <v>36</v>
      </c>
      <c r="AC4645">
        <v>2.77469999999999</v>
      </c>
      <c r="AD4645">
        <v>-1.1152011588599999</v>
      </c>
      <c r="AE4645">
        <v>-25.372669999999999</v>
      </c>
      <c r="AF4645">
        <v>-6.0829814891365102</v>
      </c>
      <c r="AG4645">
        <v>-1.1152011588599999</v>
      </c>
      <c r="AH4645">
        <v>24.738400039000201</v>
      </c>
      <c r="AI4645">
        <v>92.506566830867897</v>
      </c>
      <c r="AJ4645">
        <v>103.814519447728</v>
      </c>
      <c r="AK4645">
        <v>25.4997014474975</v>
      </c>
      <c r="AL4645">
        <v>89.473129222915603</v>
      </c>
      <c r="AM4645">
        <v>105.65713319205901</v>
      </c>
      <c r="AN4645">
        <v>0.99999997860508905</v>
      </c>
    </row>
    <row r="4646" spans="1:40" x14ac:dyDescent="0.25">
      <c r="A4646" t="str">
        <f>"20190305135328967"</f>
        <v>20190305135328967</v>
      </c>
      <c r="B4646" t="str">
        <f>"1551765208964689"</f>
        <v>1551765208964689</v>
      </c>
      <c r="C4646" t="s">
        <v>40</v>
      </c>
      <c r="D4646">
        <v>4.3533460000000002</v>
      </c>
      <c r="E4646">
        <v>0.54558319999999905</v>
      </c>
      <c r="F4646" t="s">
        <v>42</v>
      </c>
      <c r="G4646">
        <v>-421.0453</v>
      </c>
      <c r="H4646" s="1">
        <v>-1.666405E-6</v>
      </c>
      <c r="I4646">
        <v>82.825180000000003</v>
      </c>
      <c r="J4646">
        <v>-421.78140000000002</v>
      </c>
      <c r="K4646">
        <v>1.1152949999999999</v>
      </c>
      <c r="L4646">
        <v>109.25579999999999</v>
      </c>
      <c r="M4646">
        <v>-0.1240179</v>
      </c>
      <c r="N4646">
        <v>-3.367933E-3</v>
      </c>
      <c r="O4646">
        <v>-0.99227430000000005</v>
      </c>
      <c r="P4646">
        <v>0.1463499</v>
      </c>
      <c r="Q4646">
        <v>1.057424E-2</v>
      </c>
      <c r="R4646">
        <v>-0.98917630000000001</v>
      </c>
      <c r="S4646">
        <v>7.8399659999999996E-2</v>
      </c>
      <c r="T4646">
        <v>-0.1257569</v>
      </c>
      <c r="U4646">
        <v>-3.0204469999999999</v>
      </c>
      <c r="V4646">
        <v>-0.26810009999999901</v>
      </c>
      <c r="W4646">
        <v>9.0519789999999999E-3</v>
      </c>
      <c r="X4646">
        <v>0.9633486</v>
      </c>
      <c r="Y4646">
        <v>-0.14969370000000001</v>
      </c>
      <c r="Z4646">
        <v>3.750535E-2</v>
      </c>
      <c r="AA4646">
        <v>0.98802080000000003</v>
      </c>
      <c r="AB4646">
        <v>36</v>
      </c>
      <c r="AC4646">
        <v>0.73610000000002096</v>
      </c>
      <c r="AD4646">
        <v>-1.1152966664049999</v>
      </c>
      <c r="AE4646">
        <v>-26.430619999999902</v>
      </c>
      <c r="AF4646">
        <v>-4.0011867082957302</v>
      </c>
      <c r="AG4646">
        <v>-1.1152966664049999</v>
      </c>
      <c r="AH4646">
        <v>26.088864907001</v>
      </c>
      <c r="AI4646">
        <v>92.419641674288101</v>
      </c>
      <c r="AJ4646">
        <v>98.719375427992603</v>
      </c>
      <c r="AK4646">
        <v>26.4174611547833</v>
      </c>
      <c r="AL4646">
        <v>89.481352756998405</v>
      </c>
      <c r="AM4646">
        <v>105.55189522724901</v>
      </c>
      <c r="AN4646">
        <v>1.0000000635328901</v>
      </c>
    </row>
    <row r="4647" spans="1:40" x14ac:dyDescent="0.25">
      <c r="A4647" t="str">
        <f>"20190305135328990"</f>
        <v>20190305135328990</v>
      </c>
      <c r="B4647" t="str">
        <f>"1551765208985186"</f>
        <v>1551765208985186</v>
      </c>
      <c r="C4647" t="s">
        <v>40</v>
      </c>
      <c r="D4647">
        <v>4.3713170000000003</v>
      </c>
      <c r="E4647">
        <v>0.54644269999999995</v>
      </c>
      <c r="F4647" t="s">
        <v>42</v>
      </c>
      <c r="G4647">
        <v>-421.10739999999998</v>
      </c>
      <c r="H4647" s="1">
        <v>-1.8068969999999999E-6</v>
      </c>
      <c r="I4647">
        <v>83.114219999999904</v>
      </c>
      <c r="J4647">
        <v>-421.82089999999999</v>
      </c>
      <c r="K4647">
        <v>1.115367</v>
      </c>
      <c r="L4647">
        <v>108.8875</v>
      </c>
      <c r="M4647">
        <v>-0.1159304</v>
      </c>
      <c r="N4647">
        <v>-3.493281E-3</v>
      </c>
      <c r="O4647">
        <v>-0.99325129999999995</v>
      </c>
      <c r="P4647">
        <v>0.1522773</v>
      </c>
      <c r="Q4647">
        <v>9.2047429999999996E-3</v>
      </c>
      <c r="R4647">
        <v>-0.98829520000000004</v>
      </c>
      <c r="S4647">
        <v>7.794189E-2</v>
      </c>
      <c r="T4647">
        <v>-0.12895770000000001</v>
      </c>
      <c r="U4647">
        <v>-3.022659</v>
      </c>
      <c r="V4647">
        <v>-0.26600810000000003</v>
      </c>
      <c r="W4647">
        <v>7.7807759999999997E-3</v>
      </c>
      <c r="X4647">
        <v>0.9639394</v>
      </c>
      <c r="Y4647">
        <v>-0.14146489999999901</v>
      </c>
      <c r="Z4647">
        <v>3.8476789999999997E-2</v>
      </c>
      <c r="AA4647">
        <v>0.98919520000000005</v>
      </c>
      <c r="AB4647">
        <v>36</v>
      </c>
      <c r="AC4647">
        <v>0.71350000000001002</v>
      </c>
      <c r="AD4647">
        <v>-1.115368806897</v>
      </c>
      <c r="AE4647">
        <v>-25.77328</v>
      </c>
      <c r="AF4647">
        <v>-3.68970874378088</v>
      </c>
      <c r="AG4647">
        <v>-1.115368806897</v>
      </c>
      <c r="AH4647">
        <v>25.469117875600801</v>
      </c>
      <c r="AI4647">
        <v>92.481677539215994</v>
      </c>
      <c r="AJ4647">
        <v>98.243086815562705</v>
      </c>
      <c r="AK4647">
        <v>25.759153005302402</v>
      </c>
      <c r="AL4647">
        <v>89.554189879229895</v>
      </c>
      <c r="AM4647">
        <v>105.427341351275</v>
      </c>
      <c r="AN4647">
        <v>1.0000000083065601</v>
      </c>
    </row>
    <row r="4648" spans="1:40" x14ac:dyDescent="0.25">
      <c r="A4648" t="str">
        <f>"20190305135329012"</f>
        <v>20190305135329012</v>
      </c>
      <c r="B4648" t="str">
        <f>"1551765209004709"</f>
        <v>1551765209004709</v>
      </c>
      <c r="C4648" t="s">
        <v>40</v>
      </c>
      <c r="D4648">
        <v>4.328265</v>
      </c>
      <c r="E4648">
        <v>0.54729719999999904</v>
      </c>
      <c r="F4648" t="s">
        <v>42</v>
      </c>
      <c r="G4648">
        <v>-421.08010000000002</v>
      </c>
      <c r="H4648" s="1">
        <v>-2.1157489999999998E-6</v>
      </c>
      <c r="I4648">
        <v>83.851039999999998</v>
      </c>
      <c r="J4648">
        <v>-421.85820000000001</v>
      </c>
      <c r="K4648">
        <v>1.1154309999999901</v>
      </c>
      <c r="L4648">
        <v>108.5116</v>
      </c>
      <c r="M4648">
        <v>-0.1076947</v>
      </c>
      <c r="N4648">
        <v>-3.6117739999999999E-3</v>
      </c>
      <c r="O4648">
        <v>-0.99417739999999999</v>
      </c>
      <c r="P4648">
        <v>0.15800610000000001</v>
      </c>
      <c r="Q4648">
        <v>7.8074160000000002E-3</v>
      </c>
      <c r="R4648">
        <v>-0.98740740000000005</v>
      </c>
      <c r="S4648">
        <v>8.9447020000000002E-2</v>
      </c>
      <c r="T4648">
        <v>-0.13467409999999999</v>
      </c>
      <c r="U4648">
        <v>-3.0229949999999999</v>
      </c>
      <c r="V4648">
        <v>-0.26358819999999999</v>
      </c>
      <c r="W4648">
        <v>6.4895339999999999E-3</v>
      </c>
      <c r="X4648">
        <v>0.96461339999999995</v>
      </c>
      <c r="Y4648">
        <v>-0.13701559999999999</v>
      </c>
      <c r="Z4648">
        <v>4.0283649999999997E-2</v>
      </c>
      <c r="AA4648">
        <v>0.9897494</v>
      </c>
      <c r="AB4648">
        <v>37</v>
      </c>
      <c r="AC4648">
        <v>0.77809999999999402</v>
      </c>
      <c r="AD4648">
        <v>-1.1154331157489901</v>
      </c>
      <c r="AE4648">
        <v>-24.66056</v>
      </c>
      <c r="AF4648">
        <v>-3.4224087020002298</v>
      </c>
      <c r="AG4648">
        <v>-1.1154331157489901</v>
      </c>
      <c r="AH4648">
        <v>24.3834985966364</v>
      </c>
      <c r="AI4648">
        <v>92.593803429409405</v>
      </c>
      <c r="AJ4648">
        <v>97.989703037259105</v>
      </c>
      <c r="AK4648">
        <v>24.6477600639776</v>
      </c>
      <c r="AL4648">
        <v>89.628174455759506</v>
      </c>
      <c r="AM4648">
        <v>105.283411021869</v>
      </c>
      <c r="AN4648">
        <v>0.99999993234516604</v>
      </c>
    </row>
    <row r="4649" spans="1:40" x14ac:dyDescent="0.25">
      <c r="A4649" t="str">
        <f>"20190305135329033"</f>
        <v>20190305135329033</v>
      </c>
      <c r="B4649" t="str">
        <f>"1551765209024225"</f>
        <v>1551765209024225</v>
      </c>
      <c r="C4649" t="s">
        <v>40</v>
      </c>
      <c r="D4649">
        <v>4.3170289999999998</v>
      </c>
      <c r="E4649">
        <v>0.5478248</v>
      </c>
      <c r="F4649" t="s">
        <v>42</v>
      </c>
      <c r="G4649">
        <v>-421.06209999999999</v>
      </c>
      <c r="H4649" s="1">
        <v>-2.4338669999999998E-6</v>
      </c>
      <c r="I4649">
        <v>84.603790000000004</v>
      </c>
      <c r="J4649">
        <v>-421.88979999999998</v>
      </c>
      <c r="K4649">
        <v>1.115462</v>
      </c>
      <c r="L4649">
        <v>108.16630000000001</v>
      </c>
      <c r="M4649">
        <v>-0.1001802</v>
      </c>
      <c r="N4649">
        <v>-3.710587E-3</v>
      </c>
      <c r="O4649">
        <v>-0.99496229999999997</v>
      </c>
      <c r="P4649">
        <v>0.16270490000000001</v>
      </c>
      <c r="Q4649">
        <v>6.3593809999999999E-3</v>
      </c>
      <c r="R4649">
        <v>-0.98665460000000005</v>
      </c>
      <c r="S4649">
        <v>0.1006775</v>
      </c>
      <c r="T4649">
        <v>-0.14105239999999999</v>
      </c>
      <c r="U4649">
        <v>-3.0232700000000001</v>
      </c>
      <c r="V4649">
        <v>-0.26086900000000002</v>
      </c>
      <c r="W4649">
        <v>5.1534579999999997E-3</v>
      </c>
      <c r="X4649">
        <v>0.96536049999999995</v>
      </c>
      <c r="Y4649">
        <v>-0.13319739999999999</v>
      </c>
      <c r="Z4649">
        <v>4.2319639999999999E-2</v>
      </c>
      <c r="AA4649">
        <v>0.9901856</v>
      </c>
      <c r="AB4649">
        <v>37</v>
      </c>
      <c r="AC4649">
        <v>0.827699999999992</v>
      </c>
      <c r="AD4649">
        <v>-1.1154644338669999</v>
      </c>
      <c r="AE4649">
        <v>-23.56251</v>
      </c>
      <c r="AF4649">
        <v>-3.1769382892996401</v>
      </c>
      <c r="AG4649">
        <v>-1.1154644338669999</v>
      </c>
      <c r="AH4649">
        <v>23.308878921750001</v>
      </c>
      <c r="AI4649">
        <v>92.714781463084407</v>
      </c>
      <c r="AJ4649">
        <v>97.761437053911905</v>
      </c>
      <c r="AK4649">
        <v>23.5508181256203</v>
      </c>
      <c r="AL4649">
        <v>89.704727312739493</v>
      </c>
      <c r="AM4649">
        <v>105.12183668681701</v>
      </c>
      <c r="AN4649">
        <v>1.0000000441253001</v>
      </c>
    </row>
    <row r="4650" spans="1:40" x14ac:dyDescent="0.25">
      <c r="A4650" t="str">
        <f>"20190305135329057"</f>
        <v>20190305135329057</v>
      </c>
      <c r="B4650" t="str">
        <f>"1551765209054481"</f>
        <v>1551765209054481</v>
      </c>
      <c r="C4650" t="s">
        <v>40</v>
      </c>
      <c r="D4650">
        <v>4.3177370000000002</v>
      </c>
      <c r="E4650">
        <v>0.54841189999999995</v>
      </c>
      <c r="F4650" t="s">
        <v>42</v>
      </c>
      <c r="G4650">
        <v>-421.01900000000001</v>
      </c>
      <c r="H4650" s="1">
        <v>-2.3626259999999999E-6</v>
      </c>
      <c r="I4650">
        <v>84.464479999999995</v>
      </c>
      <c r="J4650">
        <v>-421.92160000000001</v>
      </c>
      <c r="K4650">
        <v>1.115453</v>
      </c>
      <c r="L4650">
        <v>107.78789999999999</v>
      </c>
      <c r="M4650">
        <v>-9.2043799999999995E-2</v>
      </c>
      <c r="N4650">
        <v>-3.8063469999999999E-3</v>
      </c>
      <c r="O4650">
        <v>-0.99574770000000001</v>
      </c>
      <c r="P4650">
        <v>0.1680326</v>
      </c>
      <c r="Q4650">
        <v>3.6762700000000001E-3</v>
      </c>
      <c r="R4650">
        <v>-0.98577479999999995</v>
      </c>
      <c r="S4650">
        <v>0.111084</v>
      </c>
      <c r="T4650">
        <v>-0.14227909999999999</v>
      </c>
      <c r="U4650">
        <v>-3.023209</v>
      </c>
      <c r="V4650">
        <v>-0.2581464</v>
      </c>
      <c r="W4650">
        <v>2.5966779999999998E-3</v>
      </c>
      <c r="X4650">
        <v>0.96610229999999997</v>
      </c>
      <c r="Y4650">
        <v>-0.128499</v>
      </c>
      <c r="Z4650">
        <v>4.2691390000000003E-2</v>
      </c>
      <c r="AA4650">
        <v>0.99079030000000001</v>
      </c>
      <c r="AB4650">
        <v>37</v>
      </c>
      <c r="AC4650">
        <v>0.90260000000000595</v>
      </c>
      <c r="AD4650">
        <v>-1.115455362626</v>
      </c>
      <c r="AE4650">
        <v>-23.323419999999899</v>
      </c>
      <c r="AF4650">
        <v>-3.0386203028060401</v>
      </c>
      <c r="AG4650">
        <v>-1.115455362626</v>
      </c>
      <c r="AH4650">
        <v>23.088599171849399</v>
      </c>
      <c r="AI4650">
        <v>92.742310104289501</v>
      </c>
      <c r="AJ4650">
        <v>97.497435215555001</v>
      </c>
      <c r="AK4650">
        <v>23.314391815549499</v>
      </c>
      <c r="AL4650">
        <v>89.851221139720707</v>
      </c>
      <c r="AM4650">
        <v>104.960156374666</v>
      </c>
      <c r="AN4650">
        <v>0.99999998031744197</v>
      </c>
    </row>
    <row r="4651" spans="1:40" x14ac:dyDescent="0.25">
      <c r="A4651" t="str">
        <f>"20190305135329079"</f>
        <v>20190305135329079</v>
      </c>
      <c r="B4651" t="str">
        <f>"1551765209074979"</f>
        <v>1551765209074979</v>
      </c>
      <c r="C4651" t="s">
        <v>40</v>
      </c>
      <c r="D4651">
        <v>4.3102210000000003</v>
      </c>
      <c r="E4651">
        <v>0.54879549999999999</v>
      </c>
      <c r="F4651" t="s">
        <v>42</v>
      </c>
      <c r="G4651">
        <v>-420.9957</v>
      </c>
      <c r="H4651" s="1">
        <v>-2.5794900000000002E-6</v>
      </c>
      <c r="I4651">
        <v>84.984430000000003</v>
      </c>
      <c r="J4651">
        <v>-421.94990000000001</v>
      </c>
      <c r="K4651">
        <v>1.1154189999999999</v>
      </c>
      <c r="L4651">
        <v>107.41759999999999</v>
      </c>
      <c r="M4651">
        <v>-8.4221729999999995E-2</v>
      </c>
      <c r="N4651">
        <v>-3.887588E-3</v>
      </c>
      <c r="O4651">
        <v>-0.99643939999999998</v>
      </c>
      <c r="P4651">
        <v>0.173575799999999</v>
      </c>
      <c r="Q4651">
        <v>7.3836059999999996E-4</v>
      </c>
      <c r="R4651">
        <v>-0.98482020000000003</v>
      </c>
      <c r="S4651">
        <v>0.1227417</v>
      </c>
      <c r="T4651">
        <v>-0.14786839999999901</v>
      </c>
      <c r="U4651">
        <v>-3.0229029999999999</v>
      </c>
      <c r="V4651">
        <v>-0.25594270000000002</v>
      </c>
      <c r="W4651">
        <v>-2.1559070000000001E-4</v>
      </c>
      <c r="X4651">
        <v>0.96669190000000005</v>
      </c>
      <c r="Y4651">
        <v>-0.12452580000000001</v>
      </c>
      <c r="Z4651">
        <v>4.4497130000000003E-2</v>
      </c>
      <c r="AA4651">
        <v>0.99121809999999999</v>
      </c>
      <c r="AB4651">
        <v>37</v>
      </c>
      <c r="AC4651">
        <v>0.95420000000001404</v>
      </c>
      <c r="AD4651">
        <v>-1.11542157949</v>
      </c>
      <c r="AE4651">
        <v>-22.433169999999901</v>
      </c>
      <c r="AF4651">
        <v>-2.8331926976230899</v>
      </c>
      <c r="AG4651">
        <v>-1.11542157949</v>
      </c>
      <c r="AH4651">
        <v>22.218269133832301</v>
      </c>
      <c r="AI4651">
        <v>92.850954677772293</v>
      </c>
      <c r="AJ4651">
        <v>97.266930536260304</v>
      </c>
      <c r="AK4651">
        <v>22.4259365348532</v>
      </c>
      <c r="AL4651">
        <v>90.012352437668099</v>
      </c>
      <c r="AM4651">
        <v>104.829452521102</v>
      </c>
      <c r="AN4651">
        <v>0.99999997084412395</v>
      </c>
    </row>
    <row r="4652" spans="1:40" x14ac:dyDescent="0.25">
      <c r="A4652" t="str">
        <f>"20190305135329102"</f>
        <v>20190305135329102</v>
      </c>
      <c r="B4652" t="str">
        <f>"1551765209094497"</f>
        <v>1551765209094497</v>
      </c>
      <c r="C4652" t="s">
        <v>40</v>
      </c>
      <c r="D4652">
        <v>4.3035519999999998</v>
      </c>
      <c r="E4652">
        <v>0.54930449999999997</v>
      </c>
      <c r="F4652" t="s">
        <v>42</v>
      </c>
      <c r="G4652">
        <v>-420.96789999999999</v>
      </c>
      <c r="H4652" s="1">
        <v>-2.8504019999999999E-6</v>
      </c>
      <c r="I4652">
        <v>85.633129999999994</v>
      </c>
      <c r="J4652">
        <v>-421.97570000000002</v>
      </c>
      <c r="K4652">
        <v>1.115356</v>
      </c>
      <c r="L4652">
        <v>107.0438</v>
      </c>
      <c r="M4652">
        <v>-7.6500579999999999E-2</v>
      </c>
      <c r="N4652">
        <v>-3.9585840000000002E-3</v>
      </c>
      <c r="O4652">
        <v>-0.99706189999999995</v>
      </c>
      <c r="P4652">
        <v>0.1784944</v>
      </c>
      <c r="Q4652">
        <v>-2.3980630000000001E-4</v>
      </c>
      <c r="R4652">
        <v>-0.98394119999999996</v>
      </c>
      <c r="S4652">
        <v>0.1362305</v>
      </c>
      <c r="T4652">
        <v>-0.15475149999999999</v>
      </c>
      <c r="U4652">
        <v>-3.0223390000000001</v>
      </c>
      <c r="V4652">
        <v>-0.25326710000000002</v>
      </c>
      <c r="W4652">
        <v>-1.0473539999999999E-3</v>
      </c>
      <c r="X4652">
        <v>0.96739580000000003</v>
      </c>
      <c r="Y4652">
        <v>-0.1212574</v>
      </c>
      <c r="Z4652">
        <v>4.6735770000000003E-2</v>
      </c>
      <c r="AA4652">
        <v>0.99152019999999996</v>
      </c>
      <c r="AB4652">
        <v>37</v>
      </c>
      <c r="AC4652">
        <v>1.00780000000003</v>
      </c>
      <c r="AD4652">
        <v>-1.115358850402</v>
      </c>
      <c r="AE4652">
        <v>-21.41067</v>
      </c>
      <c r="AF4652">
        <v>-2.6356511114365899</v>
      </c>
      <c r="AG4652">
        <v>-1.115358850402</v>
      </c>
      <c r="AH4652">
        <v>21.213387572995899</v>
      </c>
      <c r="AI4652">
        <v>92.986806845527894</v>
      </c>
      <c r="AJ4652">
        <v>97.082403033010607</v>
      </c>
      <c r="AK4652">
        <v>21.4055715753755</v>
      </c>
      <c r="AL4652">
        <v>90.060008976185003</v>
      </c>
      <c r="AM4652">
        <v>104.670935486826</v>
      </c>
      <c r="AN4652">
        <v>0.99999997737522495</v>
      </c>
    </row>
    <row r="4653" spans="1:40" x14ac:dyDescent="0.25">
      <c r="A4653" t="str">
        <f>"20190305135329122"</f>
        <v>20190305135329122</v>
      </c>
      <c r="B4653" t="str">
        <f>"1551765209114993"</f>
        <v>1551765209114993</v>
      </c>
      <c r="C4653" t="s">
        <v>40</v>
      </c>
      <c r="D4653">
        <v>4.3316780000000001</v>
      </c>
      <c r="E4653">
        <v>0.54966000000000004</v>
      </c>
      <c r="F4653" t="s">
        <v>42</v>
      </c>
      <c r="G4653">
        <v>-420.9264</v>
      </c>
      <c r="H4653" s="1">
        <v>-2.8005199999999998E-6</v>
      </c>
      <c r="I4653">
        <v>85.542630000000003</v>
      </c>
      <c r="J4653">
        <v>-421.9975</v>
      </c>
      <c r="K4653">
        <v>1.1152770000000001</v>
      </c>
      <c r="L4653">
        <v>106.6919</v>
      </c>
      <c r="M4653">
        <v>-6.9420200000000001E-2</v>
      </c>
      <c r="N4653">
        <v>-4.016922E-3</v>
      </c>
      <c r="O4653">
        <v>-0.99757960000000001</v>
      </c>
      <c r="P4653">
        <v>0.18266950000000001</v>
      </c>
      <c r="Q4653">
        <v>-4.2922639999999997E-4</v>
      </c>
      <c r="R4653">
        <v>-0.9831744</v>
      </c>
      <c r="S4653">
        <v>0.1474915</v>
      </c>
      <c r="T4653">
        <v>-0.1567731</v>
      </c>
      <c r="U4653">
        <v>-3.0221710000000002</v>
      </c>
      <c r="V4653">
        <v>-0.25050289999999997</v>
      </c>
      <c r="W4653">
        <v>-1.0862619999999999E-3</v>
      </c>
      <c r="X4653">
        <v>0.96811519999999995</v>
      </c>
      <c r="Y4653">
        <v>-0.1178973</v>
      </c>
      <c r="Z4653">
        <v>4.7387230000000002E-2</v>
      </c>
      <c r="AA4653">
        <v>0.99189450000000001</v>
      </c>
      <c r="AB4653">
        <v>37</v>
      </c>
      <c r="AC4653">
        <v>1.0710999999999999</v>
      </c>
      <c r="AD4653">
        <v>-1.11527980052</v>
      </c>
      <c r="AE4653">
        <v>-21.149270000000001</v>
      </c>
      <c r="AF4653">
        <v>-2.52969737312851</v>
      </c>
      <c r="AG4653">
        <v>-1.11527980052</v>
      </c>
      <c r="AH4653">
        <v>20.9657368589736</v>
      </c>
      <c r="AI4653">
        <v>93.023113881062898</v>
      </c>
      <c r="AJ4653">
        <v>96.879972306157001</v>
      </c>
      <c r="AK4653">
        <v>21.147230075657301</v>
      </c>
      <c r="AL4653">
        <v>90.062238242670702</v>
      </c>
      <c r="AM4653">
        <v>104.507282518285</v>
      </c>
      <c r="AN4653">
        <v>0.99999996167228999</v>
      </c>
    </row>
    <row r="4654" spans="1:40" x14ac:dyDescent="0.25">
      <c r="A4654" t="str">
        <f>"20190305135329146"</f>
        <v>20190305135329146</v>
      </c>
      <c r="B4654" t="str">
        <f>"1551765209134513"</f>
        <v>1551765209134513</v>
      </c>
      <c r="C4654" t="s">
        <v>40</v>
      </c>
      <c r="D4654">
        <v>4.308878</v>
      </c>
      <c r="E4654">
        <v>0.55536929999999995</v>
      </c>
      <c r="F4654" t="s">
        <v>42</v>
      </c>
      <c r="G4654">
        <v>-420.85840000000002</v>
      </c>
      <c r="H4654" s="1">
        <v>-2.5138290000000001E-6</v>
      </c>
      <c r="I4654">
        <v>84.916519999999906</v>
      </c>
      <c r="J4654">
        <v>-422.01799999999997</v>
      </c>
      <c r="K4654">
        <v>1.1151819999999999</v>
      </c>
      <c r="L4654">
        <v>106.3201</v>
      </c>
      <c r="M4654">
        <v>-6.2147470000000003E-2</v>
      </c>
      <c r="N4654">
        <v>-4.0720289999999996E-3</v>
      </c>
      <c r="O4654">
        <v>-0.99805889999999997</v>
      </c>
      <c r="P4654">
        <v>0.1871873</v>
      </c>
      <c r="Q4654">
        <v>-7.8682660000000001E-4</v>
      </c>
      <c r="R4654">
        <v>-0.98232430000000004</v>
      </c>
      <c r="S4654">
        <v>0.1580811</v>
      </c>
      <c r="T4654">
        <v>-0.15477439999999901</v>
      </c>
      <c r="U4654">
        <v>-3.0219119999999999</v>
      </c>
      <c r="V4654">
        <v>-0.24789149999999999</v>
      </c>
      <c r="W4654">
        <v>-1.28535E-3</v>
      </c>
      <c r="X4654">
        <v>0.96878699999999995</v>
      </c>
      <c r="Y4654">
        <v>-0.1141321</v>
      </c>
      <c r="Z4654">
        <v>4.6726480000000001E-2</v>
      </c>
      <c r="AA4654">
        <v>0.99236610000000003</v>
      </c>
      <c r="AB4654">
        <v>37</v>
      </c>
      <c r="AC4654">
        <v>1.15960000000001</v>
      </c>
      <c r="AD4654">
        <v>-1.115184513829</v>
      </c>
      <c r="AE4654">
        <v>-21.403580000000002</v>
      </c>
      <c r="AF4654">
        <v>-2.4808325142457202</v>
      </c>
      <c r="AG4654">
        <v>-1.115184513829</v>
      </c>
      <c r="AH4654">
        <v>21.232667480075801</v>
      </c>
      <c r="AI4654">
        <v>92.986255287574295</v>
      </c>
      <c r="AJ4654">
        <v>96.6642431127881</v>
      </c>
      <c r="AK4654">
        <v>21.406175155386599</v>
      </c>
      <c r="AL4654">
        <v>90.073645146820397</v>
      </c>
      <c r="AM4654">
        <v>104.35278840585801</v>
      </c>
      <c r="AN4654">
        <v>1.00000004963293</v>
      </c>
    </row>
    <row r="4655" spans="1:40" x14ac:dyDescent="0.25">
      <c r="A4655" t="str">
        <f>"20190305135329169"</f>
        <v>20190305135329169</v>
      </c>
      <c r="B4655" t="str">
        <f>"1551765209164770"</f>
        <v>1551765209164770</v>
      </c>
      <c r="C4655" t="s">
        <v>40</v>
      </c>
      <c r="D4655">
        <v>4.3364500000000001</v>
      </c>
      <c r="E4655">
        <v>0.55633269999999901</v>
      </c>
      <c r="F4655" t="s">
        <v>42</v>
      </c>
      <c r="G4655">
        <v>-420.75009999999997</v>
      </c>
      <c r="H4655" s="1">
        <v>-2.9448850000000002E-6</v>
      </c>
      <c r="I4655">
        <v>75.988479999999996</v>
      </c>
      <c r="J4655">
        <v>-422.03680000000003</v>
      </c>
      <c r="K4655">
        <v>1.1150580000000001</v>
      </c>
      <c r="L4655">
        <v>105.9269</v>
      </c>
      <c r="M4655">
        <v>-5.4721869999999999E-2</v>
      </c>
      <c r="N4655">
        <v>-4.124076E-3</v>
      </c>
      <c r="O4655">
        <v>-0.99849310000000002</v>
      </c>
      <c r="P4655">
        <v>0.19169249999999999</v>
      </c>
      <c r="Q4655">
        <v>-1.2406850000000001E-3</v>
      </c>
      <c r="R4655">
        <v>-0.98145420000000005</v>
      </c>
      <c r="S4655">
        <v>0.12664790000000001</v>
      </c>
      <c r="T4655">
        <v>-0.1113933</v>
      </c>
      <c r="U4655">
        <v>-3.0297550000000002</v>
      </c>
      <c r="V4655">
        <v>-0.2451237</v>
      </c>
      <c r="W4655">
        <v>-1.5688239999999999E-3</v>
      </c>
      <c r="X4655">
        <v>0.96949050000000003</v>
      </c>
      <c r="Y4655">
        <v>-9.6346730000000005E-2</v>
      </c>
      <c r="Z4655">
        <v>3.2431300000000003E-2</v>
      </c>
      <c r="AA4655">
        <v>0.99481929999999996</v>
      </c>
      <c r="AB4655">
        <v>38</v>
      </c>
      <c r="AC4655">
        <v>1.2867000000000499</v>
      </c>
      <c r="AD4655">
        <v>-1.115060944885</v>
      </c>
      <c r="AE4655">
        <v>-29.938419999999901</v>
      </c>
      <c r="AF4655">
        <v>-2.9190304958928701</v>
      </c>
      <c r="AG4655">
        <v>-1.115060944885</v>
      </c>
      <c r="AH4655">
        <v>29.781912017954301</v>
      </c>
      <c r="AI4655">
        <v>92.133986544508204</v>
      </c>
      <c r="AJ4655">
        <v>95.597881983920203</v>
      </c>
      <c r="AK4655">
        <v>29.945390019031802</v>
      </c>
      <c r="AL4655">
        <v>90.089887034506503</v>
      </c>
      <c r="AM4655">
        <v>104.18916254245001</v>
      </c>
      <c r="AN4655">
        <v>0.99999995955034005</v>
      </c>
    </row>
    <row r="4656" spans="1:40" x14ac:dyDescent="0.25">
      <c r="A4656" t="str">
        <f>"20190305135329192"</f>
        <v>20190305135329192</v>
      </c>
      <c r="B4656" t="str">
        <f>"1551765209184304"</f>
        <v>1551765209184304</v>
      </c>
      <c r="C4656" t="s">
        <v>40</v>
      </c>
      <c r="D4656">
        <v>4.3570390000000003</v>
      </c>
      <c r="E4656">
        <v>0.55694919999999903</v>
      </c>
      <c r="F4656" t="s">
        <v>42</v>
      </c>
      <c r="G4656">
        <v>-420.01929999999999</v>
      </c>
      <c r="H4656" s="1">
        <v>-2.5630689999999997E-7</v>
      </c>
      <c r="I4656">
        <v>60.174610000000001</v>
      </c>
      <c r="J4656">
        <v>-422.0523</v>
      </c>
      <c r="K4656">
        <v>1.1149480000000001</v>
      </c>
      <c r="L4656">
        <v>105.5487</v>
      </c>
      <c r="M4656">
        <v>-4.7781839999999999E-2</v>
      </c>
      <c r="N4656">
        <v>-4.1718550000000004E-3</v>
      </c>
      <c r="O4656">
        <v>-0.99884919999999999</v>
      </c>
      <c r="P4656">
        <v>0.1945897</v>
      </c>
      <c r="Q4656">
        <v>-2.4545610000000001E-3</v>
      </c>
      <c r="R4656">
        <v>-0.98088189999999997</v>
      </c>
      <c r="S4656">
        <v>0.13363649999999999</v>
      </c>
      <c r="T4656">
        <v>-7.3858740000000006E-2</v>
      </c>
      <c r="U4656">
        <v>-3.0305179999999998</v>
      </c>
      <c r="V4656">
        <v>-0.24122730000000001</v>
      </c>
      <c r="W4656">
        <v>-2.6017359999999999E-3</v>
      </c>
      <c r="X4656">
        <v>0.97046509999999997</v>
      </c>
      <c r="Y4656">
        <v>-9.1725269999999998E-2</v>
      </c>
      <c r="Z4656">
        <v>2.0084299999999999E-2</v>
      </c>
      <c r="AA4656">
        <v>0.99558179999999996</v>
      </c>
      <c r="AB4656">
        <v>38</v>
      </c>
      <c r="AC4656">
        <v>2.0330000000000101</v>
      </c>
      <c r="AD4656">
        <v>-1.1149482563069</v>
      </c>
      <c r="AE4656">
        <v>-45.374090000000002</v>
      </c>
      <c r="AF4656">
        <v>-4.1962253742278603</v>
      </c>
      <c r="AG4656">
        <v>-1.1149482563069</v>
      </c>
      <c r="AH4656">
        <v>45.197885472263202</v>
      </c>
      <c r="AI4656">
        <v>91.407045800301205</v>
      </c>
      <c r="AJ4656">
        <v>95.304203263509905</v>
      </c>
      <c r="AK4656">
        <v>45.405949700115002</v>
      </c>
      <c r="AL4656">
        <v>90.149068668610198</v>
      </c>
      <c r="AM4656">
        <v>103.9590369053</v>
      </c>
      <c r="AN4656">
        <v>0.99999994480675503</v>
      </c>
    </row>
    <row r="4657" spans="1:40" x14ac:dyDescent="0.25">
      <c r="A4657" t="str">
        <f>"20190305135329213"</f>
        <v>20190305135329213</v>
      </c>
      <c r="B4657" t="str">
        <f>"1551765209204791"</f>
        <v>1551765209204791</v>
      </c>
      <c r="C4657" t="s">
        <v>40</v>
      </c>
      <c r="D4657">
        <v>4.3365340000000003</v>
      </c>
      <c r="E4657">
        <v>0.55743769999999904</v>
      </c>
      <c r="F4657" t="s">
        <v>42</v>
      </c>
      <c r="G4657">
        <v>-419.90280000000001</v>
      </c>
      <c r="H4657" s="1">
        <v>-3.7063730000000001E-6</v>
      </c>
      <c r="I4657">
        <v>58.232219999999998</v>
      </c>
      <c r="J4657">
        <v>-422.0652</v>
      </c>
      <c r="K4657">
        <v>1.1148450000000001</v>
      </c>
      <c r="L4657">
        <v>105.1811</v>
      </c>
      <c r="M4657">
        <v>-4.1228109999999998E-2</v>
      </c>
      <c r="N4657">
        <v>-4.2165730000000004E-3</v>
      </c>
      <c r="O4657">
        <v>-0.99914099999999995</v>
      </c>
      <c r="P4657">
        <v>0.19640199999999999</v>
      </c>
      <c r="Q4657">
        <v>-3.6632000000000001E-3</v>
      </c>
      <c r="R4657">
        <v>-0.98051690000000002</v>
      </c>
      <c r="S4657">
        <v>0.13769529999999999</v>
      </c>
      <c r="T4657">
        <v>-7.1421029999999996E-2</v>
      </c>
      <c r="U4657">
        <v>-3.0309750000000002</v>
      </c>
      <c r="V4657">
        <v>-0.23663290000000001</v>
      </c>
      <c r="W4657">
        <v>-3.623626E-3</v>
      </c>
      <c r="X4657">
        <v>0.97159240000000002</v>
      </c>
      <c r="Y4657">
        <v>-8.6516480000000007E-2</v>
      </c>
      <c r="Z4657">
        <v>1.9251299999999999E-2</v>
      </c>
      <c r="AA4657">
        <v>0.99606439999999996</v>
      </c>
      <c r="AB4657">
        <v>38</v>
      </c>
      <c r="AC4657">
        <v>2.1623999999999901</v>
      </c>
      <c r="AD4657">
        <v>-1.1148487063729999</v>
      </c>
      <c r="AE4657">
        <v>-46.948879999999903</v>
      </c>
      <c r="AF4657">
        <v>-4.0938883927190703</v>
      </c>
      <c r="AG4657">
        <v>-1.1148487063729999</v>
      </c>
      <c r="AH4657">
        <v>46.793479311067003</v>
      </c>
      <c r="AI4657">
        <v>91.359614961524798</v>
      </c>
      <c r="AJ4657">
        <v>94.999987151206298</v>
      </c>
      <c r="AK4657">
        <v>46.985450044087102</v>
      </c>
      <c r="AL4657">
        <v>90.207618925324198</v>
      </c>
      <c r="AM4657">
        <v>103.687987460686</v>
      </c>
      <c r="AN4657">
        <v>1.0000000258827699</v>
      </c>
    </row>
    <row r="4658" spans="1:40" x14ac:dyDescent="0.25">
      <c r="A4658" t="str">
        <f>"20190305135329235"</f>
        <v>20190305135329235</v>
      </c>
      <c r="B4658" t="str">
        <f>"1551765209224305"</f>
        <v>1551765209224305</v>
      </c>
      <c r="C4658" t="s">
        <v>40</v>
      </c>
      <c r="D4658">
        <v>4.3424630000000004</v>
      </c>
      <c r="E4658">
        <v>0.55819399999999997</v>
      </c>
      <c r="F4658" t="s">
        <v>42</v>
      </c>
      <c r="G4658">
        <v>-419.51310000000001</v>
      </c>
      <c r="H4658" s="1">
        <v>-2.4966249999999999E-7</v>
      </c>
      <c r="I4658">
        <v>50.001019999999997</v>
      </c>
      <c r="J4658">
        <v>-422.07580000000002</v>
      </c>
      <c r="K4658">
        <v>1.1147359999999999</v>
      </c>
      <c r="L4658">
        <v>104.8099</v>
      </c>
      <c r="M4658">
        <v>-3.4807099999999903E-2</v>
      </c>
      <c r="N4658">
        <v>-4.2588829999999998E-3</v>
      </c>
      <c r="O4658">
        <v>-0.99938510000000003</v>
      </c>
      <c r="P4658">
        <v>0.19716810000000001</v>
      </c>
      <c r="Q4658">
        <v>-3.656935E-3</v>
      </c>
      <c r="R4658">
        <v>-0.98036310000000004</v>
      </c>
      <c r="S4658">
        <v>0.14019779999999901</v>
      </c>
      <c r="T4658">
        <v>-6.1243890000000002E-2</v>
      </c>
      <c r="U4658">
        <v>-3.0313110000000001</v>
      </c>
      <c r="V4658">
        <v>-0.2311482</v>
      </c>
      <c r="W4658">
        <v>-3.4148270000000001E-3</v>
      </c>
      <c r="X4658">
        <v>0.97291249999999996</v>
      </c>
      <c r="Y4658">
        <v>-8.0932690000000002E-2</v>
      </c>
      <c r="Z4658">
        <v>1.5875759999999999E-2</v>
      </c>
      <c r="AA4658">
        <v>0.99659310000000001</v>
      </c>
      <c r="AB4658">
        <v>38</v>
      </c>
      <c r="AC4658">
        <v>2.5627</v>
      </c>
      <c r="AD4658">
        <v>-1.1147362496625</v>
      </c>
      <c r="AE4658">
        <v>-54.808880000000002</v>
      </c>
      <c r="AF4658">
        <v>-4.4670585245269203</v>
      </c>
      <c r="AG4658">
        <v>-1.1147362496625</v>
      </c>
      <c r="AH4658">
        <v>54.663904089841402</v>
      </c>
      <c r="AI4658">
        <v>91.164364739689404</v>
      </c>
      <c r="AJ4658">
        <v>94.671750980990694</v>
      </c>
      <c r="AK4658">
        <v>54.857448528994098</v>
      </c>
      <c r="AL4658">
        <v>90.195655566468403</v>
      </c>
      <c r="AM4658">
        <v>103.364760656678</v>
      </c>
      <c r="AN4658">
        <v>0.99999994203146303</v>
      </c>
    </row>
    <row r="4659" spans="1:40" x14ac:dyDescent="0.25">
      <c r="A4659" t="str">
        <f>"20190305135329257"</f>
        <v>20190305135329257</v>
      </c>
      <c r="B4659" t="str">
        <f>"1551765209244801"</f>
        <v>1551765209244801</v>
      </c>
      <c r="C4659" t="s">
        <v>40</v>
      </c>
      <c r="D4659">
        <v>4.3623799999999999</v>
      </c>
      <c r="E4659">
        <v>0.55858759999999996</v>
      </c>
      <c r="F4659" t="s">
        <v>81</v>
      </c>
      <c r="G4659">
        <v>-419.11529999999999</v>
      </c>
      <c r="H4659" s="1">
        <v>-6.6309909999999997E-7</v>
      </c>
      <c r="I4659">
        <v>38.923290000000001</v>
      </c>
      <c r="J4659">
        <v>-422.08440000000002</v>
      </c>
      <c r="K4659">
        <v>1.1146180000000001</v>
      </c>
      <c r="L4659">
        <v>104.43210000000001</v>
      </c>
      <c r="M4659">
        <v>-2.8484720000000002E-2</v>
      </c>
      <c r="N4659">
        <v>-4.297978E-3</v>
      </c>
      <c r="O4659">
        <v>-0.99958519999999895</v>
      </c>
      <c r="P4659">
        <v>0.19720460000000001</v>
      </c>
      <c r="Q4659">
        <v>-3.9505779999999997E-3</v>
      </c>
      <c r="R4659">
        <v>-0.98035450000000002</v>
      </c>
      <c r="S4659">
        <v>0.13626099999999999</v>
      </c>
      <c r="T4659">
        <v>-5.1306959999999999E-2</v>
      </c>
      <c r="U4659">
        <v>-3.0325009999999999</v>
      </c>
      <c r="V4659">
        <v>-0.2250231</v>
      </c>
      <c r="W4659">
        <v>-3.4927719999999999E-3</v>
      </c>
      <c r="X4659">
        <v>0.97434719999999997</v>
      </c>
      <c r="Y4659">
        <v>-7.3319389999999998E-2</v>
      </c>
      <c r="Z4659">
        <v>1.2574760000000001E-2</v>
      </c>
      <c r="AA4659">
        <v>0.99722920000000004</v>
      </c>
      <c r="AB4659">
        <v>38</v>
      </c>
      <c r="AC4659">
        <v>2.9691000000000201</v>
      </c>
      <c r="AD4659">
        <v>-1.1146186630991</v>
      </c>
      <c r="AE4659">
        <v>-65.508809999999997</v>
      </c>
      <c r="AF4659">
        <v>-4.8325159904765398</v>
      </c>
      <c r="AG4659">
        <v>-1.1146186630991</v>
      </c>
      <c r="AH4659">
        <v>65.378764583670204</v>
      </c>
      <c r="AI4659">
        <v>90.974063409523296</v>
      </c>
      <c r="AJ4659">
        <v>94.227369035700093</v>
      </c>
      <c r="AK4659">
        <v>65.566595489237599</v>
      </c>
      <c r="AL4659">
        <v>90.200121495180895</v>
      </c>
      <c r="AM4659">
        <v>103.00431683852401</v>
      </c>
      <c r="AN4659">
        <v>1.0000000305688399</v>
      </c>
    </row>
    <row r="4660" spans="1:40" x14ac:dyDescent="0.25">
      <c r="A4660" t="str">
        <f>"20190305135329281"</f>
        <v>20190305135329281</v>
      </c>
      <c r="B4660" t="str">
        <f>"1551765209274587"</f>
        <v>1551765209274587</v>
      </c>
      <c r="C4660" t="s">
        <v>40</v>
      </c>
      <c r="D4660">
        <v>4.3410479999999998</v>
      </c>
      <c r="E4660">
        <v>0.559303199999999</v>
      </c>
      <c r="F4660" t="s">
        <v>81</v>
      </c>
      <c r="G4660">
        <v>-418.98410000000001</v>
      </c>
      <c r="H4660" s="1">
        <v>-3.7884119999999999E-6</v>
      </c>
      <c r="I4660">
        <v>33.839230000000001</v>
      </c>
      <c r="J4660">
        <v>-422.09109999999998</v>
      </c>
      <c r="K4660">
        <v>1.1144700000000001</v>
      </c>
      <c r="L4660">
        <v>104.0296</v>
      </c>
      <c r="M4660">
        <v>-2.199634E-2</v>
      </c>
      <c r="N4660">
        <v>-4.3347919999999996E-3</v>
      </c>
      <c r="O4660">
        <v>-0.99974879999999999</v>
      </c>
      <c r="P4660">
        <v>0.19614480000000001</v>
      </c>
      <c r="Q4660">
        <v>-4.7727819999999997E-3</v>
      </c>
      <c r="R4660">
        <v>-0.98056370000000004</v>
      </c>
      <c r="S4660">
        <v>0.1332092</v>
      </c>
      <c r="T4660">
        <v>-4.7891620000000003E-2</v>
      </c>
      <c r="U4660">
        <v>-3.0331419999999998</v>
      </c>
      <c r="V4660">
        <v>-0.21762899999999999</v>
      </c>
      <c r="W4660">
        <v>-4.0675570000000003E-3</v>
      </c>
      <c r="X4660">
        <v>0.97602310000000003</v>
      </c>
      <c r="Y4660">
        <v>-6.5834630000000005E-2</v>
      </c>
      <c r="Z4660">
        <v>1.142053E-2</v>
      </c>
      <c r="AA4660">
        <v>0.99776520000000002</v>
      </c>
      <c r="AB4660">
        <v>38</v>
      </c>
      <c r="AC4660">
        <v>3.10699999999997</v>
      </c>
      <c r="AD4660">
        <v>-1.114473788412</v>
      </c>
      <c r="AE4660">
        <v>-70.190370000000001</v>
      </c>
      <c r="AF4660">
        <v>-4.6490240157400198</v>
      </c>
      <c r="AG4660">
        <v>-1.114473788412</v>
      </c>
      <c r="AH4660">
        <v>70.087408990671705</v>
      </c>
      <c r="AI4660">
        <v>90.908997554085204</v>
      </c>
      <c r="AJ4660">
        <v>93.794972875847193</v>
      </c>
      <c r="AK4660">
        <v>70.250269573501896</v>
      </c>
      <c r="AL4660">
        <v>90.233054489536897</v>
      </c>
      <c r="AM4660">
        <v>102.569916387398</v>
      </c>
      <c r="AN4660">
        <v>1.0000000091972701</v>
      </c>
    </row>
    <row r="4661" spans="1:40" x14ac:dyDescent="0.25">
      <c r="A4661" t="str">
        <f>"20190305135329302"</f>
        <v>20190305135329302</v>
      </c>
      <c r="B4661" t="str">
        <f>"1551765209295083"</f>
        <v>1551765209295083</v>
      </c>
      <c r="C4661" t="s">
        <v>40</v>
      </c>
      <c r="D4661">
        <v>4.3257669999999999</v>
      </c>
      <c r="E4661">
        <v>0.55967800000000001</v>
      </c>
      <c r="F4661" t="s">
        <v>81</v>
      </c>
      <c r="G4661">
        <v>-419.0351</v>
      </c>
      <c r="H4661" s="1">
        <v>-5.8494299999999998E-6</v>
      </c>
      <c r="I4661">
        <v>29.66629</v>
      </c>
      <c r="J4661">
        <v>-422.09530000000001</v>
      </c>
      <c r="K4661">
        <v>1.1142879999999999</v>
      </c>
      <c r="L4661">
        <v>103.64319999999999</v>
      </c>
      <c r="M4661">
        <v>-1.6043000000000002E-2</v>
      </c>
      <c r="N4661">
        <v>-4.3650540000000002E-3</v>
      </c>
      <c r="O4661">
        <v>-0.99986200000000003</v>
      </c>
      <c r="P4661">
        <v>0.1939092</v>
      </c>
      <c r="Q4661">
        <v>-5.7911389999999998E-3</v>
      </c>
      <c r="R4661">
        <v>-0.98100259999999995</v>
      </c>
      <c r="S4661">
        <v>0.12469479999999999</v>
      </c>
      <c r="T4661">
        <v>-4.5474769999999998E-2</v>
      </c>
      <c r="U4661">
        <v>-3.0343019999999998</v>
      </c>
      <c r="V4661">
        <v>-0.2095728</v>
      </c>
      <c r="W4661">
        <v>-4.8266289999999998E-3</v>
      </c>
      <c r="X4661">
        <v>0.97778109999999996</v>
      </c>
      <c r="Y4661">
        <v>-5.7080020000000002E-2</v>
      </c>
      <c r="Z4661">
        <v>1.059765E-2</v>
      </c>
      <c r="AA4661">
        <v>0.99831340000000002</v>
      </c>
      <c r="AB4661">
        <v>38</v>
      </c>
      <c r="AC4661">
        <v>3.0602</v>
      </c>
      <c r="AD4661">
        <v>-1.1142938494300001</v>
      </c>
      <c r="AE4661">
        <v>-73.976909999999904</v>
      </c>
      <c r="AF4661">
        <v>-4.2456671244460598</v>
      </c>
      <c r="AG4661">
        <v>-1.1142938494300001</v>
      </c>
      <c r="AH4661">
        <v>73.901555394528899</v>
      </c>
      <c r="AI4661">
        <v>90.862423264881798</v>
      </c>
      <c r="AJ4661">
        <v>93.288045922590101</v>
      </c>
      <c r="AK4661">
        <v>74.031798774885203</v>
      </c>
      <c r="AL4661">
        <v>90.276546553812295</v>
      </c>
      <c r="AM4661">
        <v>102.097461864953</v>
      </c>
      <c r="AN4661">
        <v>0.99999996718227602</v>
      </c>
    </row>
    <row r="4662" spans="1:40" x14ac:dyDescent="0.25">
      <c r="A4662" t="str">
        <f>"20190305135329324"</f>
        <v>20190305135329324</v>
      </c>
      <c r="B4662" t="str">
        <f>"1551765209314603"</f>
        <v>1551765209314603</v>
      </c>
      <c r="C4662" t="s">
        <v>40</v>
      </c>
      <c r="D4662">
        <v>4.3166359999999999</v>
      </c>
      <c r="E4662">
        <v>0.55996360000000001</v>
      </c>
      <c r="F4662" t="s">
        <v>81</v>
      </c>
      <c r="G4662">
        <v>-419.12880000000001</v>
      </c>
      <c r="H4662" s="1">
        <v>-7.0619509999999996E-6</v>
      </c>
      <c r="I4662">
        <v>25.029140000000002</v>
      </c>
      <c r="J4662">
        <v>-422.09739999999999</v>
      </c>
      <c r="K4662">
        <v>1.114066</v>
      </c>
      <c r="L4662">
        <v>103.27370000000001</v>
      </c>
      <c r="M4662">
        <v>-1.0659149999999999E-2</v>
      </c>
      <c r="N4662">
        <v>-4.3888030000000001E-3</v>
      </c>
      <c r="O4662">
        <v>-0.99993370000000004</v>
      </c>
      <c r="P4662">
        <v>0.19132360000000001</v>
      </c>
      <c r="Q4662">
        <v>-6.0010690000000004E-3</v>
      </c>
      <c r="R4662">
        <v>-0.98150879999999996</v>
      </c>
      <c r="S4662">
        <v>0.1145325</v>
      </c>
      <c r="T4662">
        <v>-4.3021919999999998E-2</v>
      </c>
      <c r="U4662">
        <v>-3.0352169999999998</v>
      </c>
      <c r="V4662">
        <v>-0.2017253</v>
      </c>
      <c r="W4662">
        <v>-4.7776850000000003E-3</v>
      </c>
      <c r="X4662">
        <v>0.97943049999999998</v>
      </c>
      <c r="Y4662">
        <v>-4.8353449999999999E-2</v>
      </c>
      <c r="Z4662">
        <v>9.7689089999999992E-3</v>
      </c>
      <c r="AA4662">
        <v>0.99878250000000002</v>
      </c>
      <c r="AB4662">
        <v>39</v>
      </c>
      <c r="AC4662">
        <v>2.9685999999999799</v>
      </c>
      <c r="AD4662">
        <v>-1.114073061951</v>
      </c>
      <c r="AE4662">
        <v>-78.244559999999893</v>
      </c>
      <c r="AF4662">
        <v>-3.8016901548503901</v>
      </c>
      <c r="AG4662">
        <v>-1.114073061951</v>
      </c>
      <c r="AH4662">
        <v>78.192642515258996</v>
      </c>
      <c r="AI4662">
        <v>90.815320571281603</v>
      </c>
      <c r="AJ4662">
        <v>92.783502441137003</v>
      </c>
      <c r="AK4662">
        <v>78.292932952725295</v>
      </c>
      <c r="AL4662">
        <v>90.273742224037093</v>
      </c>
      <c r="AM4662">
        <v>101.638002563694</v>
      </c>
      <c r="AN4662">
        <v>1.0000000136321401</v>
      </c>
    </row>
    <row r="4663" spans="1:40" x14ac:dyDescent="0.25">
      <c r="A4663" t="str">
        <f>"20190305135329347"</f>
        <v>20190305135329347</v>
      </c>
      <c r="B4663" t="str">
        <f>"1551765209335100"</f>
        <v>1551765209335100</v>
      </c>
      <c r="C4663" t="s">
        <v>40</v>
      </c>
      <c r="D4663">
        <v>4.3383849999999997</v>
      </c>
      <c r="E4663">
        <v>0.56039319999999904</v>
      </c>
      <c r="F4663" t="s">
        <v>81</v>
      </c>
      <c r="G4663">
        <v>-419.25970000000001</v>
      </c>
      <c r="H4663" s="1">
        <v>-6.54899599999999E-6</v>
      </c>
      <c r="I4663">
        <v>20.877130000000001</v>
      </c>
      <c r="J4663">
        <v>-422.09769999999997</v>
      </c>
      <c r="K4663">
        <v>1.113775</v>
      </c>
      <c r="L4663">
        <v>102.89230000000001</v>
      </c>
      <c r="M4663">
        <v>-5.5104019999999898E-3</v>
      </c>
      <c r="N4663">
        <v>-4.407261E-3</v>
      </c>
      <c r="O4663">
        <v>-0.99997519999999995</v>
      </c>
      <c r="P4663">
        <v>0.18883949999999999</v>
      </c>
      <c r="Q4663">
        <v>-5.4789869999999899E-3</v>
      </c>
      <c r="R4663">
        <v>-0.981993</v>
      </c>
      <c r="S4663">
        <v>0.1045532</v>
      </c>
      <c r="T4663">
        <v>-4.1047809999999997E-2</v>
      </c>
      <c r="U4663">
        <v>-3.0358890000000001</v>
      </c>
      <c r="V4663">
        <v>-0.19421079999999999</v>
      </c>
      <c r="W4663">
        <v>-3.9827389999999999E-3</v>
      </c>
      <c r="X4663">
        <v>0.98095169999999998</v>
      </c>
      <c r="Y4663">
        <v>-3.9922340000000001E-2</v>
      </c>
      <c r="Z4663">
        <v>9.1025099999999994E-3</v>
      </c>
      <c r="AA4663">
        <v>0.99916130000000003</v>
      </c>
      <c r="AB4663">
        <v>39</v>
      </c>
      <c r="AC4663">
        <v>2.8379999999999601</v>
      </c>
      <c r="AD4663">
        <v>-1.1137815489959999</v>
      </c>
      <c r="AE4663">
        <v>-82.015169999999998</v>
      </c>
      <c r="AF4663">
        <v>-3.2892919240895799</v>
      </c>
      <c r="AG4663">
        <v>-1.1137815489959999</v>
      </c>
      <c r="AH4663">
        <v>81.983184735835096</v>
      </c>
      <c r="AI4663">
        <v>90.777717593675803</v>
      </c>
      <c r="AJ4663">
        <v>92.297562821928693</v>
      </c>
      <c r="AK4663">
        <v>82.056703139541398</v>
      </c>
      <c r="AL4663">
        <v>90.228194746325201</v>
      </c>
      <c r="AM4663">
        <v>101.198714757014</v>
      </c>
      <c r="AN4663">
        <v>0.99999996738973496</v>
      </c>
    </row>
    <row r="4664" spans="1:40" x14ac:dyDescent="0.25">
      <c r="A4664" t="str">
        <f>"20190305135329370"</f>
        <v>20190305135329370</v>
      </c>
      <c r="B4664" t="str">
        <f>"1551765209364379"</f>
        <v>1551765209364379</v>
      </c>
      <c r="C4664" t="s">
        <v>40</v>
      </c>
      <c r="D4664">
        <v>4.3515870000000003</v>
      </c>
      <c r="E4664">
        <v>0.56091080000000004</v>
      </c>
      <c r="F4664" t="s">
        <v>81</v>
      </c>
      <c r="G4664">
        <v>-419.2389</v>
      </c>
      <c r="H4664">
        <v>6.9374409999999999E-3</v>
      </c>
      <c r="I4664">
        <v>9.616282</v>
      </c>
      <c r="J4664">
        <v>-422.09629999999999</v>
      </c>
      <c r="K4664">
        <v>1.113407</v>
      </c>
      <c r="L4664">
        <v>102.4915</v>
      </c>
      <c r="M4664">
        <v>-6.1098599999999999E-4</v>
      </c>
      <c r="N4664">
        <v>-4.4217859999999996E-3</v>
      </c>
      <c r="O4664">
        <v>-0.99999000000000005</v>
      </c>
      <c r="P4664">
        <v>0.1867268</v>
      </c>
      <c r="Q4664">
        <v>-5.9079659999999997E-3</v>
      </c>
      <c r="R4664">
        <v>-0.9823944</v>
      </c>
      <c r="S4664">
        <v>9.3078610000000006E-2</v>
      </c>
      <c r="T4664">
        <v>-3.6036970000000002E-2</v>
      </c>
      <c r="U4664">
        <v>-3.0369259999999998</v>
      </c>
      <c r="V4664">
        <v>-0.1872878</v>
      </c>
      <c r="W4664">
        <v>-4.1262959999999998E-3</v>
      </c>
      <c r="X4664">
        <v>0.98229639999999996</v>
      </c>
      <c r="Y4664">
        <v>-3.1243300000000002E-2</v>
      </c>
      <c r="Z4664">
        <v>7.4381129999999997E-3</v>
      </c>
      <c r="AA4664">
        <v>0.99948409999999999</v>
      </c>
      <c r="AB4664">
        <v>39</v>
      </c>
      <c r="AC4664">
        <v>2.8573999999999802</v>
      </c>
      <c r="AD4664">
        <v>-1.106469559</v>
      </c>
      <c r="AE4664">
        <v>-92.875218000000004</v>
      </c>
      <c r="AF4664">
        <v>-2.91373232170604</v>
      </c>
      <c r="AG4664">
        <v>-1.106469559</v>
      </c>
      <c r="AH4664">
        <v>92.860287465598702</v>
      </c>
      <c r="AI4664">
        <v>90.682335330529398</v>
      </c>
      <c r="AJ4664">
        <v>91.797213996981895</v>
      </c>
      <c r="AK4664">
        <v>92.912577722938906</v>
      </c>
      <c r="AL4664">
        <v>90.236420020997798</v>
      </c>
      <c r="AM4664">
        <v>100.79463863989299</v>
      </c>
      <c r="AN4664">
        <v>0.99999998190023898</v>
      </c>
    </row>
    <row r="4665" spans="1:40" x14ac:dyDescent="0.25">
      <c r="A4665" t="str">
        <f>"20190305135329391"</f>
        <v>20190305135329391</v>
      </c>
      <c r="B4665" t="str">
        <f>"1551765209384875"</f>
        <v>1551765209384875</v>
      </c>
      <c r="C4665" t="s">
        <v>40</v>
      </c>
      <c r="D4665">
        <v>4.3120539999999998</v>
      </c>
      <c r="E4665">
        <v>0.56107899999999999</v>
      </c>
      <c r="F4665" t="s">
        <v>81</v>
      </c>
      <c r="G4665">
        <v>-419.48719999999997</v>
      </c>
      <c r="H4665">
        <v>7.9986559999999998E-2</v>
      </c>
      <c r="I4665">
        <v>6.5865020000000003</v>
      </c>
      <c r="J4665">
        <v>-422.0933</v>
      </c>
      <c r="K4665">
        <v>1.1130260000000001</v>
      </c>
      <c r="L4665">
        <v>102.0988</v>
      </c>
      <c r="M4665">
        <v>3.7382650000000002E-3</v>
      </c>
      <c r="N4665">
        <v>-4.4361549999999998E-3</v>
      </c>
      <c r="O4665">
        <v>-0.99998330000000002</v>
      </c>
      <c r="P4665">
        <v>0.183782</v>
      </c>
      <c r="Q4665">
        <v>-7.5416099999999998E-3</v>
      </c>
      <c r="R4665">
        <v>-0.98293830000000004</v>
      </c>
      <c r="S4665">
        <v>8.2641599999999996E-2</v>
      </c>
      <c r="T4665">
        <v>-3.2734159999999998E-2</v>
      </c>
      <c r="U4665">
        <v>-3.0378419999999999</v>
      </c>
      <c r="V4665">
        <v>-0.18005099999999999</v>
      </c>
      <c r="W4665">
        <v>-5.4782320000000004E-3</v>
      </c>
      <c r="X4665">
        <v>0.98364200000000002</v>
      </c>
      <c r="Y4665">
        <v>-2.345554E-2</v>
      </c>
      <c r="Z4665">
        <v>6.3354730000000003E-3</v>
      </c>
      <c r="AA4665">
        <v>0.99970479999999995</v>
      </c>
      <c r="AB4665">
        <v>39</v>
      </c>
      <c r="AC4665">
        <v>2.6061000000000201</v>
      </c>
      <c r="AD4665">
        <v>-1.03303944</v>
      </c>
      <c r="AE4665">
        <v>-95.512298000000001</v>
      </c>
      <c r="AF4665">
        <v>-2.2487651743192698</v>
      </c>
      <c r="AG4665">
        <v>-1.03303944</v>
      </c>
      <c r="AH4665">
        <v>95.510208432666303</v>
      </c>
      <c r="AI4665">
        <v>90.619515923311795</v>
      </c>
      <c r="AJ4665">
        <v>91.348766325824798</v>
      </c>
      <c r="AK4665">
        <v>95.542263057482501</v>
      </c>
      <c r="AL4665">
        <v>90.313881149413703</v>
      </c>
      <c r="AM4665">
        <v>100.372888020481</v>
      </c>
      <c r="AN4665">
        <v>0.99999997889542203</v>
      </c>
    </row>
    <row r="4666" spans="1:40" x14ac:dyDescent="0.25">
      <c r="A4666" t="str">
        <f>"20190305135329413"</f>
        <v>20190305135329413</v>
      </c>
      <c r="B4666" t="str">
        <f>"1551765209404395"</f>
        <v>1551765209404395</v>
      </c>
      <c r="C4666" t="s">
        <v>40</v>
      </c>
      <c r="D4666">
        <v>4.3253700000000004</v>
      </c>
      <c r="E4666">
        <v>0.56112569999999995</v>
      </c>
      <c r="F4666" t="s">
        <v>81</v>
      </c>
      <c r="G4666">
        <v>-419.89269999999999</v>
      </c>
      <c r="H4666">
        <v>4.8308089999999998E-2</v>
      </c>
      <c r="I4666">
        <v>9.6162849999999995</v>
      </c>
      <c r="J4666">
        <v>-422.08940000000001</v>
      </c>
      <c r="K4666">
        <v>1.1126240000000001</v>
      </c>
      <c r="L4666">
        <v>101.7239</v>
      </c>
      <c r="M4666">
        <v>7.3990009999999997E-3</v>
      </c>
      <c r="N4666">
        <v>-4.4513230000000001E-3</v>
      </c>
      <c r="O4666">
        <v>-0.99996280000000004</v>
      </c>
      <c r="P4666">
        <v>0.17940829999999999</v>
      </c>
      <c r="Q4666">
        <v>-1.002425E-2</v>
      </c>
      <c r="R4666">
        <v>-0.98372380000000004</v>
      </c>
      <c r="S4666">
        <v>7.2296139999999995E-2</v>
      </c>
      <c r="T4666">
        <v>-3.4978509999999997E-2</v>
      </c>
      <c r="U4666">
        <v>-3.0382690000000001</v>
      </c>
      <c r="V4666">
        <v>-0.17204610000000001</v>
      </c>
      <c r="W4666">
        <v>-7.6733749999999996E-3</v>
      </c>
      <c r="X4666">
        <v>0.98505900000000002</v>
      </c>
      <c r="Y4666">
        <v>-1.638964E-2</v>
      </c>
      <c r="Z4666">
        <v>7.0582559999999997E-3</v>
      </c>
      <c r="AA4666">
        <v>0.99984079999999997</v>
      </c>
      <c r="AB4666">
        <v>39</v>
      </c>
      <c r="AC4666">
        <v>2.1967000000000199</v>
      </c>
      <c r="AD4666">
        <v>-1.0643159099999999</v>
      </c>
      <c r="AE4666">
        <v>-92.107614999999996</v>
      </c>
      <c r="AF4666">
        <v>-1.51492667630522</v>
      </c>
      <c r="AG4666">
        <v>-1.0643159099999999</v>
      </c>
      <c r="AH4666">
        <v>92.109055720586099</v>
      </c>
      <c r="AI4666">
        <v>90.661931124641299</v>
      </c>
      <c r="AJ4666">
        <v>90.942264350053605</v>
      </c>
      <c r="AK4666">
        <v>92.127660976109098</v>
      </c>
      <c r="AL4666">
        <v>90.439656322301204</v>
      </c>
      <c r="AM4666">
        <v>99.907099731828794</v>
      </c>
      <c r="AN4666">
        <v>0.99999998734505002</v>
      </c>
    </row>
    <row r="4667" spans="1:40" x14ac:dyDescent="0.25">
      <c r="A4667" t="str">
        <f>"20190305135329435"</f>
        <v>20190305135329435</v>
      </c>
      <c r="B4667" t="str">
        <f>"1551765209424892"</f>
        <v>1551765209424892</v>
      </c>
      <c r="C4667" t="s">
        <v>40</v>
      </c>
      <c r="D4667">
        <v>4.3445939999999998</v>
      </c>
      <c r="E4667">
        <v>0.56115209999999904</v>
      </c>
      <c r="F4667" t="s">
        <v>81</v>
      </c>
      <c r="G4667">
        <v>-420.49029999999999</v>
      </c>
      <c r="H4667" s="1">
        <v>-1.101311E-5</v>
      </c>
      <c r="I4667">
        <v>19.313089999999999</v>
      </c>
      <c r="J4667">
        <v>-422.08429999999998</v>
      </c>
      <c r="K4667">
        <v>1.112144</v>
      </c>
      <c r="L4667">
        <v>101.3323</v>
      </c>
      <c r="M4667">
        <v>1.059242E-2</v>
      </c>
      <c r="N4667">
        <v>-4.467876E-3</v>
      </c>
      <c r="O4667">
        <v>-0.99993390000000004</v>
      </c>
      <c r="P4667">
        <v>0.1779144</v>
      </c>
      <c r="Q4667">
        <v>-1.0947439999999999E-2</v>
      </c>
      <c r="R4667">
        <v>-0.9839852</v>
      </c>
      <c r="S4667">
        <v>5.8959959999999999E-2</v>
      </c>
      <c r="T4667">
        <v>-4.1022780000000002E-2</v>
      </c>
      <c r="U4667">
        <v>-3.0384829999999998</v>
      </c>
      <c r="V4667">
        <v>-0.1674021</v>
      </c>
      <c r="W4667">
        <v>-8.3261829999999992E-3</v>
      </c>
      <c r="X4667">
        <v>0.9858536</v>
      </c>
      <c r="Y4667">
        <v>-8.8079930000000001E-3</v>
      </c>
      <c r="Z4667">
        <v>9.0300320000000003E-3</v>
      </c>
      <c r="AA4667">
        <v>0.99992040000000004</v>
      </c>
      <c r="AB4667">
        <v>39</v>
      </c>
      <c r="AC4667">
        <v>1.5939999999999901</v>
      </c>
      <c r="AD4667">
        <v>-1.11215501311</v>
      </c>
      <c r="AE4667">
        <v>-82.019210000000001</v>
      </c>
      <c r="AF4667">
        <v>-0.724986716612399</v>
      </c>
      <c r="AG4667">
        <v>-1.11215501311</v>
      </c>
      <c r="AH4667">
        <v>82.016418743908204</v>
      </c>
      <c r="AI4667">
        <v>90.776861453219993</v>
      </c>
      <c r="AJ4667">
        <v>90.506454656821504</v>
      </c>
      <c r="AK4667">
        <v>82.027162806527301</v>
      </c>
      <c r="AL4667">
        <v>90.477060631515698</v>
      </c>
      <c r="AM4667">
        <v>99.637142582688</v>
      </c>
      <c r="AN4667">
        <v>1.00000005452035</v>
      </c>
    </row>
    <row r="4668" spans="1:40" x14ac:dyDescent="0.25">
      <c r="A4668" t="str">
        <f>"20190305135329459"</f>
        <v>20190305135329459</v>
      </c>
      <c r="B4668" t="str">
        <f>"1551765209455148"</f>
        <v>1551765209455148</v>
      </c>
      <c r="C4668" t="s">
        <v>40</v>
      </c>
      <c r="D4668">
        <v>4.2764720000000001</v>
      </c>
      <c r="E4668">
        <v>0.56100689999999998</v>
      </c>
      <c r="F4668" t="s">
        <v>81</v>
      </c>
      <c r="G4668">
        <v>-420.69600000000003</v>
      </c>
      <c r="H4668" s="1">
        <v>-8.4373749999999998E-6</v>
      </c>
      <c r="I4668">
        <v>23.06025</v>
      </c>
      <c r="J4668">
        <v>-422.07819999999998</v>
      </c>
      <c r="K4668">
        <v>1.111559</v>
      </c>
      <c r="L4668">
        <v>100.9312</v>
      </c>
      <c r="M4668">
        <v>1.310656E-2</v>
      </c>
      <c r="N4668">
        <v>-4.4866519999999998E-3</v>
      </c>
      <c r="O4668">
        <v>-0.99990429999999997</v>
      </c>
      <c r="P4668">
        <v>0.1721694</v>
      </c>
      <c r="Q4668">
        <v>-1.2018569999999999E-2</v>
      </c>
      <c r="R4668">
        <v>-0.9849945</v>
      </c>
      <c r="S4668">
        <v>5.3894039999999997E-2</v>
      </c>
      <c r="T4668">
        <v>-4.3174509999999999E-2</v>
      </c>
      <c r="U4668">
        <v>-3.0385740000000001</v>
      </c>
      <c r="V4668">
        <v>-0.1591678</v>
      </c>
      <c r="W4668">
        <v>-9.0597330000000004E-3</v>
      </c>
      <c r="X4668">
        <v>0.98721000000000003</v>
      </c>
      <c r="Y4668">
        <v>-4.6266509999999999E-3</v>
      </c>
      <c r="Z4668">
        <v>9.7185299999999995E-3</v>
      </c>
      <c r="AA4668">
        <v>0.99994209999999994</v>
      </c>
      <c r="AB4668">
        <v>40</v>
      </c>
      <c r="AC4668">
        <v>1.3822000000000101</v>
      </c>
      <c r="AD4668">
        <v>-1.111567437375</v>
      </c>
      <c r="AE4668">
        <v>-77.870949999999993</v>
      </c>
      <c r="AF4668">
        <v>-0.36137737751835902</v>
      </c>
      <c r="AG4668">
        <v>-1.111567437375</v>
      </c>
      <c r="AH4668">
        <v>77.8665160877554</v>
      </c>
      <c r="AI4668">
        <v>90.8178497587473</v>
      </c>
      <c r="AJ4668">
        <v>90.2659069768291</v>
      </c>
      <c r="AK4668">
        <v>77.875288143425095</v>
      </c>
      <c r="AL4668">
        <v>90.519091552300097</v>
      </c>
      <c r="AM4668">
        <v>99.1589745535221</v>
      </c>
      <c r="AN4668">
        <v>1.0000000257094299</v>
      </c>
    </row>
    <row r="4669" spans="1:40" x14ac:dyDescent="0.25">
      <c r="A4669" t="str">
        <f>"20190305135329483"</f>
        <v>20190305135329483</v>
      </c>
      <c r="B4669" t="str">
        <f>"1551765209474667"</f>
        <v>1551765209474667</v>
      </c>
      <c r="C4669" t="s">
        <v>40</v>
      </c>
      <c r="D4669">
        <v>4.2990979999999999</v>
      </c>
      <c r="E4669">
        <v>0.56097410000000003</v>
      </c>
      <c r="F4669" t="s">
        <v>81</v>
      </c>
      <c r="G4669">
        <v>-421.2672</v>
      </c>
      <c r="H4669" s="1">
        <v>-3.468097E-6</v>
      </c>
      <c r="I4669">
        <v>34.301690000000001</v>
      </c>
      <c r="J4669">
        <v>-422.07130000000001</v>
      </c>
      <c r="K4669">
        <v>1.110832</v>
      </c>
      <c r="L4669">
        <v>100.4992</v>
      </c>
      <c r="M4669">
        <v>1.48766E-2</v>
      </c>
      <c r="N4669">
        <v>-4.5130170000000002E-3</v>
      </c>
      <c r="O4669">
        <v>-0.99987919999999997</v>
      </c>
      <c r="P4669">
        <v>0.16632720000000001</v>
      </c>
      <c r="Q4669">
        <v>-1.4061890000000001E-2</v>
      </c>
      <c r="R4669">
        <v>-0.98597049999999997</v>
      </c>
      <c r="S4669">
        <v>3.6987300000000001E-2</v>
      </c>
      <c r="T4669">
        <v>-5.06922E-2</v>
      </c>
      <c r="U4669">
        <v>-3.038605</v>
      </c>
      <c r="V4669">
        <v>-0.15156529999999999</v>
      </c>
      <c r="W4669">
        <v>-1.073034E-2</v>
      </c>
      <c r="X4669">
        <v>0.98838899999999996</v>
      </c>
      <c r="Y4669">
        <v>2.7062029999999999E-3</v>
      </c>
      <c r="Z4669">
        <v>1.216483E-2</v>
      </c>
      <c r="AA4669">
        <v>0.99992230000000004</v>
      </c>
      <c r="AB4669">
        <v>40</v>
      </c>
      <c r="AC4669">
        <v>0.80410000000000503</v>
      </c>
      <c r="AD4669">
        <v>-1.1108354680970001</v>
      </c>
      <c r="AE4669">
        <v>-66.197509999999994</v>
      </c>
      <c r="AF4669">
        <v>0.18074195759256001</v>
      </c>
      <c r="AG4669">
        <v>-1.1108354680970001</v>
      </c>
      <c r="AH4669">
        <v>66.183512828661307</v>
      </c>
      <c r="AI4669">
        <v>90.961568350237201</v>
      </c>
      <c r="AJ4669">
        <v>89.843530130627002</v>
      </c>
      <c r="AK4669">
        <v>66.193081159846201</v>
      </c>
      <c r="AL4669">
        <v>90.614814994772701</v>
      </c>
      <c r="AM4669">
        <v>98.718154734231305</v>
      </c>
      <c r="AN4669">
        <v>0.99999999784080196</v>
      </c>
    </row>
    <row r="4670" spans="1:40" x14ac:dyDescent="0.25">
      <c r="A4670" t="str">
        <f>"20190305135329503"</f>
        <v>20190305135329503</v>
      </c>
      <c r="B4670" t="str">
        <f>"1551765209495163"</f>
        <v>1551765209495163</v>
      </c>
      <c r="C4670" t="s">
        <v>40</v>
      </c>
      <c r="D4670">
        <v>4.2771929999999996</v>
      </c>
      <c r="E4670">
        <v>0.55670569999999997</v>
      </c>
      <c r="F4670" t="s">
        <v>42</v>
      </c>
      <c r="G4670">
        <v>-421.70190000000002</v>
      </c>
      <c r="H4670" s="1">
        <v>-1.7349060000000001E-6</v>
      </c>
      <c r="I4670">
        <v>42.577669999999998</v>
      </c>
      <c r="J4670">
        <v>-422.0652</v>
      </c>
      <c r="K4670">
        <v>1.110101</v>
      </c>
      <c r="L4670">
        <v>100.11920000000001</v>
      </c>
      <c r="M4670">
        <v>1.5500069999999999E-2</v>
      </c>
      <c r="N4670">
        <v>-4.5464549999999996E-3</v>
      </c>
      <c r="O4670">
        <v>-0.99986949999999997</v>
      </c>
      <c r="P4670">
        <v>0.16002520000000001</v>
      </c>
      <c r="Q4670">
        <v>-1.7156919999999999E-2</v>
      </c>
      <c r="R4670">
        <v>-0.98696399999999995</v>
      </c>
      <c r="S4670">
        <v>1.9378659999999999E-2</v>
      </c>
      <c r="T4670">
        <v>-5.8275100000000003E-2</v>
      </c>
      <c r="U4670">
        <v>-3.038605</v>
      </c>
      <c r="V4670">
        <v>-0.1446344</v>
      </c>
      <c r="W4670">
        <v>-1.347453E-2</v>
      </c>
      <c r="X4670">
        <v>0.98939339999999998</v>
      </c>
      <c r="Y4670">
        <v>9.1235129999999998E-3</v>
      </c>
      <c r="Z4670">
        <v>1.462508E-2</v>
      </c>
      <c r="AA4670">
        <v>0.99985139999999995</v>
      </c>
      <c r="AB4670">
        <v>40</v>
      </c>
      <c r="AC4670">
        <v>0.36329999999998103</v>
      </c>
      <c r="AD4670">
        <v>-1.110102734906</v>
      </c>
      <c r="AE4670">
        <v>-57.541530000000002</v>
      </c>
      <c r="AF4670">
        <v>0.52845395635081205</v>
      </c>
      <c r="AG4670">
        <v>-1.110102734906</v>
      </c>
      <c r="AH4670">
        <v>57.518841409770999</v>
      </c>
      <c r="AI4670">
        <v>91.105613766557596</v>
      </c>
      <c r="AJ4670">
        <v>89.473610233802304</v>
      </c>
      <c r="AK4670">
        <v>57.5319798789196</v>
      </c>
      <c r="AL4670">
        <v>90.772057074535198</v>
      </c>
      <c r="AM4670">
        <v>98.3168691955631</v>
      </c>
      <c r="AN4670">
        <v>0.99999998629282005</v>
      </c>
    </row>
    <row r="4671" spans="1:40" x14ac:dyDescent="0.25">
      <c r="A4671" t="str">
        <f>"20190305135329526"</f>
        <v>20190305135329526</v>
      </c>
      <c r="B4671" t="str">
        <f>"1551765209514683"</f>
        <v>1551765209514683</v>
      </c>
      <c r="C4671" t="s">
        <v>40</v>
      </c>
      <c r="D4671">
        <v>4.308935</v>
      </c>
      <c r="E4671">
        <v>0.55620959999999997</v>
      </c>
      <c r="F4671" t="s">
        <v>42</v>
      </c>
      <c r="G4671">
        <v>-421.80869999999999</v>
      </c>
      <c r="H4671" s="1">
        <v>-3.1961030000000001E-6</v>
      </c>
      <c r="I4671">
        <v>75.917500000000004</v>
      </c>
      <c r="J4671">
        <v>-422.05939999999998</v>
      </c>
      <c r="K4671">
        <v>1.1092900000000001</v>
      </c>
      <c r="L4671">
        <v>99.732089999999999</v>
      </c>
      <c r="M4671">
        <v>1.521556E-2</v>
      </c>
      <c r="N4671">
        <v>-4.5929109999999999E-3</v>
      </c>
      <c r="O4671">
        <v>-0.99987389999999998</v>
      </c>
      <c r="P4671">
        <v>0.15308920000000001</v>
      </c>
      <c r="Q4671">
        <v>-2.003011E-2</v>
      </c>
      <c r="R4671">
        <v>-0.98800949999999998</v>
      </c>
      <c r="S4671">
        <v>3.2135009999999999E-2</v>
      </c>
      <c r="T4671">
        <v>-0.139074799999999</v>
      </c>
      <c r="U4671">
        <v>-3.0320130000000001</v>
      </c>
      <c r="V4671">
        <v>-0.13798150000000001</v>
      </c>
      <c r="W4671">
        <v>-1.5982449999999999E-2</v>
      </c>
      <c r="X4671">
        <v>0.99030580000000001</v>
      </c>
      <c r="Y4671">
        <v>4.6265880000000001E-3</v>
      </c>
      <c r="Z4671">
        <v>4.122294E-2</v>
      </c>
      <c r="AA4671">
        <v>0.99913920000000001</v>
      </c>
      <c r="AB4671">
        <v>40</v>
      </c>
      <c r="AC4671">
        <v>0.25069999999999398</v>
      </c>
      <c r="AD4671">
        <v>-1.1092931961029999</v>
      </c>
      <c r="AE4671">
        <v>-23.8145899999999</v>
      </c>
      <c r="AF4671">
        <v>0.111443315060106</v>
      </c>
      <c r="AG4671">
        <v>-1.1092931961029999</v>
      </c>
      <c r="AH4671">
        <v>23.764091624572501</v>
      </c>
      <c r="AI4671">
        <v>92.672562405009003</v>
      </c>
      <c r="AJ4671">
        <v>89.731309536199305</v>
      </c>
      <c r="AK4671">
        <v>23.790229123496601</v>
      </c>
      <c r="AL4671">
        <v>90.915765962066203</v>
      </c>
      <c r="AM4671">
        <v>97.932081164855006</v>
      </c>
      <c r="AN4671">
        <v>0.99999995528194496</v>
      </c>
    </row>
    <row r="4672" spans="1:40" x14ac:dyDescent="0.25">
      <c r="A4672" t="str">
        <f>"20190305135329547"</f>
        <v>20190305135329547</v>
      </c>
      <c r="B4672" t="str">
        <f>"1551765209544940"</f>
        <v>1551765209544940</v>
      </c>
      <c r="C4672" t="s">
        <v>40</v>
      </c>
      <c r="D4672">
        <v>4.3928729999999998</v>
      </c>
      <c r="E4672">
        <v>0.53104819999999997</v>
      </c>
      <c r="F4672" t="s">
        <v>42</v>
      </c>
      <c r="G4672">
        <v>-421.9418</v>
      </c>
      <c r="H4672" s="1">
        <v>-3.0459080000000001E-6</v>
      </c>
      <c r="I4672">
        <v>75.484859999999998</v>
      </c>
      <c r="J4672">
        <v>-422.05430000000001</v>
      </c>
      <c r="K4672">
        <v>1.1084419999999999</v>
      </c>
      <c r="L4672">
        <v>99.330020000000005</v>
      </c>
      <c r="M4672">
        <v>1.391206E-2</v>
      </c>
      <c r="N4672">
        <v>-4.6532520000000001E-3</v>
      </c>
      <c r="O4672">
        <v>-0.99989260000000002</v>
      </c>
      <c r="P4672">
        <v>0.14625260000000001</v>
      </c>
      <c r="Q4672">
        <v>-2.2613029999999999E-2</v>
      </c>
      <c r="R4672">
        <v>-0.98898889999999995</v>
      </c>
      <c r="S4672">
        <v>1.4709470000000001E-2</v>
      </c>
      <c r="T4672">
        <v>-0.13868169999999999</v>
      </c>
      <c r="U4672">
        <v>-3.031342</v>
      </c>
      <c r="V4672">
        <v>-0.13245270000000001</v>
      </c>
      <c r="W4672">
        <v>-1.819832E-2</v>
      </c>
      <c r="X4672">
        <v>0.99102219999999996</v>
      </c>
      <c r="Y4672">
        <v>9.0631359999999994E-3</v>
      </c>
      <c r="Z4672">
        <v>4.1044900000000002E-2</v>
      </c>
      <c r="AA4672">
        <v>0.99911620000000001</v>
      </c>
      <c r="AB4672">
        <v>40</v>
      </c>
      <c r="AC4672">
        <v>0.11250000000001099</v>
      </c>
      <c r="AD4672">
        <v>-1.108445045908</v>
      </c>
      <c r="AE4672">
        <v>-23.84516</v>
      </c>
      <c r="AF4672">
        <v>0.21877697069665999</v>
      </c>
      <c r="AG4672">
        <v>-1.108445045908</v>
      </c>
      <c r="AH4672">
        <v>23.793005048915798</v>
      </c>
      <c r="AI4672">
        <v>92.667198111556701</v>
      </c>
      <c r="AJ4672">
        <v>89.473179457700098</v>
      </c>
      <c r="AK4672">
        <v>23.819815344381599</v>
      </c>
      <c r="AL4672">
        <v>91.042744544906995</v>
      </c>
      <c r="AM4672">
        <v>97.612616085414402</v>
      </c>
      <c r="AN4672">
        <v>0.99999994874047404</v>
      </c>
    </row>
    <row r="4673" spans="1:40" x14ac:dyDescent="0.25">
      <c r="A4673" t="str">
        <f>"20190305135329561"</f>
        <v>20190305135329561</v>
      </c>
      <c r="B4673" t="str">
        <f>"1551765209554701"</f>
        <v>1551765209554701</v>
      </c>
      <c r="C4673" t="s">
        <v>40</v>
      </c>
      <c r="D4673">
        <v>4.28613</v>
      </c>
      <c r="E4673">
        <v>0.52253839999999996</v>
      </c>
      <c r="F4673" t="s">
        <v>42</v>
      </c>
      <c r="G4673">
        <v>-420.50119999999998</v>
      </c>
      <c r="H4673" s="1">
        <v>-2.4861190000000001E-6</v>
      </c>
      <c r="I4673">
        <v>75.073440000000005</v>
      </c>
      <c r="J4673">
        <v>-422.05160000000001</v>
      </c>
      <c r="K4673">
        <v>1.107931</v>
      </c>
      <c r="L4673">
        <v>99.07526</v>
      </c>
      <c r="M4673">
        <v>1.267296E-2</v>
      </c>
      <c r="N4673">
        <v>-4.6922190000000001E-3</v>
      </c>
      <c r="O4673">
        <v>-0.99990869999999998</v>
      </c>
      <c r="P4673">
        <v>0.14289549999999901</v>
      </c>
      <c r="Q4673">
        <v>-2.2367939999999999E-2</v>
      </c>
      <c r="R4673">
        <v>-0.98948510000000001</v>
      </c>
      <c r="S4673">
        <v>0.1921997</v>
      </c>
      <c r="T4673">
        <v>-0.13717509999999999</v>
      </c>
      <c r="U4673">
        <v>-3.001862</v>
      </c>
      <c r="V4673">
        <v>-0.13034119999999999</v>
      </c>
      <c r="W4673">
        <v>-1.774218E-2</v>
      </c>
      <c r="X4673">
        <v>0.99131040000000004</v>
      </c>
      <c r="Y4673">
        <v>-5.1184229999999997E-2</v>
      </c>
      <c r="Z4673">
        <v>4.0881140000000003E-2</v>
      </c>
      <c r="AA4673">
        <v>0.99785210000000002</v>
      </c>
      <c r="AB4673">
        <v>40</v>
      </c>
      <c r="AC4673">
        <v>1.55040000000002</v>
      </c>
      <c r="AD4673">
        <v>-1.107933486119</v>
      </c>
      <c r="AE4673">
        <v>-24.001819999999899</v>
      </c>
      <c r="AF4673">
        <v>-1.24345951135994</v>
      </c>
      <c r="AG4673">
        <v>-1.107933486119</v>
      </c>
      <c r="AH4673">
        <v>23.968681039091098</v>
      </c>
      <c r="AI4673">
        <v>92.643019352856697</v>
      </c>
      <c r="AJ4673">
        <v>92.969757456464293</v>
      </c>
      <c r="AK4673">
        <v>24.026472461011402</v>
      </c>
      <c r="AL4673">
        <v>91.016605412853593</v>
      </c>
      <c r="AM4673">
        <v>97.490495491155002</v>
      </c>
      <c r="AN4673">
        <v>0.99999996125837498</v>
      </c>
    </row>
    <row r="4674" spans="1:40" x14ac:dyDescent="0.25">
      <c r="A4674" t="str">
        <f>"20190305135329582"</f>
        <v>20190305135329582</v>
      </c>
      <c r="B4674" t="str">
        <f>"1551765209575195"</f>
        <v>1551765209575195</v>
      </c>
      <c r="C4674" t="s">
        <v>40</v>
      </c>
      <c r="D4674">
        <v>4.3279399999999999</v>
      </c>
      <c r="E4674">
        <v>0.51301799999999997</v>
      </c>
      <c r="F4674" t="s">
        <v>42</v>
      </c>
      <c r="G4674">
        <v>-419.47239999999999</v>
      </c>
      <c r="H4674" s="1">
        <v>-3.7560129999999998E-6</v>
      </c>
      <c r="I4674">
        <v>68.16995</v>
      </c>
      <c r="J4674">
        <v>-422.04849999999999</v>
      </c>
      <c r="K4674">
        <v>1.1072439999999999</v>
      </c>
      <c r="L4674">
        <v>98.702610000000007</v>
      </c>
      <c r="M4674">
        <v>1.034974E-2</v>
      </c>
      <c r="N4674">
        <v>-4.7457819999999996E-3</v>
      </c>
      <c r="O4674">
        <v>-0.99993529999999997</v>
      </c>
      <c r="P4674">
        <v>0.13762650000000001</v>
      </c>
      <c r="Q4674">
        <v>-1.9522230000000002E-2</v>
      </c>
      <c r="R4674">
        <v>-0.99029199999999995</v>
      </c>
      <c r="S4674">
        <v>0.24981690000000001</v>
      </c>
      <c r="T4674">
        <v>-0.1073117</v>
      </c>
      <c r="U4674">
        <v>-2.9934080000000001</v>
      </c>
      <c r="V4674">
        <v>-0.12739320000000001</v>
      </c>
      <c r="W4674">
        <v>-1.4614220000000001E-2</v>
      </c>
      <c r="X4674">
        <v>0.99174459999999998</v>
      </c>
      <c r="Y4674">
        <v>-7.2801229999999995E-2</v>
      </c>
      <c r="Z4674">
        <v>3.097283E-2</v>
      </c>
      <c r="AA4674">
        <v>0.99686540000000001</v>
      </c>
      <c r="AB4674">
        <v>40</v>
      </c>
      <c r="AC4674">
        <v>2.5760999999999901</v>
      </c>
      <c r="AD4674">
        <v>-1.1072477560130001</v>
      </c>
      <c r="AE4674">
        <v>-30.5326599999999</v>
      </c>
      <c r="AF4674">
        <v>-2.2570061890420701</v>
      </c>
      <c r="AG4674">
        <v>-1.1072477560130001</v>
      </c>
      <c r="AH4674">
        <v>30.5178364267537</v>
      </c>
      <c r="AI4674">
        <v>92.072238793237901</v>
      </c>
      <c r="AJ4674">
        <v>94.229720808104503</v>
      </c>
      <c r="AK4674">
        <v>30.621208576747399</v>
      </c>
      <c r="AL4674">
        <v>90.837362954437907</v>
      </c>
      <c r="AM4674">
        <v>97.319767303548801</v>
      </c>
      <c r="AN4674">
        <v>0.99999997723080303</v>
      </c>
    </row>
    <row r="4675" spans="1:40" x14ac:dyDescent="0.25">
      <c r="A4675" t="str">
        <f>"20190305135329603"</f>
        <v>20190305135329603</v>
      </c>
      <c r="B4675" t="str">
        <f>"1551765209594719"</f>
        <v>1551765209594719</v>
      </c>
      <c r="C4675" t="s">
        <v>40</v>
      </c>
      <c r="D4675">
        <v>4.2249889999999999</v>
      </c>
      <c r="E4675">
        <v>0.50916589999999995</v>
      </c>
      <c r="F4675" t="s">
        <v>42</v>
      </c>
      <c r="G4675">
        <v>-417.73390000000001</v>
      </c>
      <c r="H4675" s="1">
        <v>-3.5864699999999999E-6</v>
      </c>
      <c r="I4675">
        <v>57.055929999999996</v>
      </c>
      <c r="J4675">
        <v>-422.04660000000001</v>
      </c>
      <c r="K4675">
        <v>1.1065449999999999</v>
      </c>
      <c r="L4675">
        <v>98.317660000000004</v>
      </c>
      <c r="M4675">
        <v>7.2901950000000002E-3</v>
      </c>
      <c r="N4675">
        <v>-4.7988620000000001E-3</v>
      </c>
      <c r="O4675">
        <v>-0.99996209999999996</v>
      </c>
      <c r="P4675">
        <v>0.13262969999999999</v>
      </c>
      <c r="Q4675">
        <v>-1.6458750000000001E-2</v>
      </c>
      <c r="R4675">
        <v>-0.9910291</v>
      </c>
      <c r="S4675">
        <v>0.30923460000000003</v>
      </c>
      <c r="T4675">
        <v>-7.9358460000000006E-2</v>
      </c>
      <c r="U4675">
        <v>-2.9848940000000002</v>
      </c>
      <c r="V4675">
        <v>-0.12543959999999901</v>
      </c>
      <c r="W4675">
        <v>-1.1276899999999999E-2</v>
      </c>
      <c r="X4675">
        <v>0.99203719999999995</v>
      </c>
      <c r="Y4675">
        <v>-9.5762829999999993E-2</v>
      </c>
      <c r="Z4675">
        <v>2.1648779999999999E-2</v>
      </c>
      <c r="AA4675">
        <v>0.99516870000000002</v>
      </c>
      <c r="AB4675">
        <v>40</v>
      </c>
      <c r="AC4675">
        <v>4.3127000000000004</v>
      </c>
      <c r="AD4675">
        <v>-1.10654858647</v>
      </c>
      <c r="AE4675">
        <v>-41.26173</v>
      </c>
      <c r="AF4675">
        <v>-4.0089238906625102</v>
      </c>
      <c r="AG4675">
        <v>-1.10654858647</v>
      </c>
      <c r="AH4675">
        <v>41.262719062110101</v>
      </c>
      <c r="AI4675">
        <v>91.528945722833299</v>
      </c>
      <c r="AJ4675">
        <v>95.549216626636607</v>
      </c>
      <c r="AK4675">
        <v>41.471772387178802</v>
      </c>
      <c r="AL4675">
        <v>90.646132449158898</v>
      </c>
      <c r="AM4675">
        <v>97.206603253762097</v>
      </c>
      <c r="AN4675">
        <v>1.0000000339527999</v>
      </c>
    </row>
    <row r="4676" spans="1:40" x14ac:dyDescent="0.25">
      <c r="A4676" t="str">
        <f>"20190305135329617"</f>
        <v>20190305135329617</v>
      </c>
      <c r="B4676" t="str">
        <f>"1551765209604476"</f>
        <v>1551765209604476</v>
      </c>
      <c r="C4676" t="s">
        <v>40</v>
      </c>
      <c r="D4676">
        <v>4.2218299999999997</v>
      </c>
      <c r="E4676">
        <v>0.5082837</v>
      </c>
      <c r="F4676" t="s">
        <v>42</v>
      </c>
      <c r="G4676">
        <v>-417.25920000000002</v>
      </c>
      <c r="H4676" s="1">
        <v>-2.4915510000000001E-6</v>
      </c>
      <c r="I4676">
        <v>54.307369999999999</v>
      </c>
      <c r="J4676">
        <v>-422.04640000000001</v>
      </c>
      <c r="K4676">
        <v>1.1060920000000001</v>
      </c>
      <c r="L4676">
        <v>98.068479999999994</v>
      </c>
      <c r="M4676">
        <v>4.9205780000000001E-3</v>
      </c>
      <c r="N4676">
        <v>-4.8345910000000001E-3</v>
      </c>
      <c r="O4676">
        <v>-0.99997630000000004</v>
      </c>
      <c r="P4676">
        <v>0.12980839999999999</v>
      </c>
      <c r="Q4676">
        <v>-1.5587210000000001E-2</v>
      </c>
      <c r="R4676">
        <v>-0.99141659999999998</v>
      </c>
      <c r="S4676">
        <v>0.32443240000000001</v>
      </c>
      <c r="T4676">
        <v>-7.4988369999999999E-2</v>
      </c>
      <c r="U4676">
        <v>-2.9824830000000002</v>
      </c>
      <c r="V4676">
        <v>-0.1249755</v>
      </c>
      <c r="W4676">
        <v>-1.0230080000000001E-2</v>
      </c>
      <c r="X4676">
        <v>0.99210710000000002</v>
      </c>
      <c r="Y4676">
        <v>-0.1032189</v>
      </c>
      <c r="Z4676">
        <v>2.0161660000000001E-2</v>
      </c>
      <c r="AA4676">
        <v>0.99445430000000001</v>
      </c>
      <c r="AB4676">
        <v>40</v>
      </c>
      <c r="AC4676">
        <v>4.7871999999999799</v>
      </c>
      <c r="AD4676">
        <v>-1.106094491551</v>
      </c>
      <c r="AE4676">
        <v>-43.761110000000002</v>
      </c>
      <c r="AF4676">
        <v>-4.5689251926464696</v>
      </c>
      <c r="AG4676">
        <v>-1.106094491551</v>
      </c>
      <c r="AH4676">
        <v>43.756512429253299</v>
      </c>
      <c r="AI4676">
        <v>91.440210443525999</v>
      </c>
      <c r="AJ4676">
        <v>95.961053627618497</v>
      </c>
      <c r="AK4676">
        <v>44.008304925452798</v>
      </c>
      <c r="AL4676">
        <v>90.586150624062896</v>
      </c>
      <c r="AM4676">
        <v>97.179718522667102</v>
      </c>
      <c r="AN4676">
        <v>1.00000001400373</v>
      </c>
    </row>
    <row r="4677" spans="1:40" x14ac:dyDescent="0.25">
      <c r="A4677" t="str">
        <f>"20190305135329637"</f>
        <v>20190305135329637</v>
      </c>
      <c r="B4677" t="str">
        <f>"1551765209634732"</f>
        <v>1551765209634732</v>
      </c>
      <c r="C4677" t="s">
        <v>40</v>
      </c>
      <c r="D4677">
        <v>4.234254</v>
      </c>
      <c r="E4677">
        <v>0.50648660000000001</v>
      </c>
      <c r="F4677" t="s">
        <v>42</v>
      </c>
      <c r="G4677">
        <v>-416.77260000000001</v>
      </c>
      <c r="H4677" s="1">
        <v>-4.7476080000000003E-6</v>
      </c>
      <c r="I4677">
        <v>49.365079999999999</v>
      </c>
      <c r="J4677">
        <v>-422.0471</v>
      </c>
      <c r="K4677">
        <v>1.105416</v>
      </c>
      <c r="L4677">
        <v>97.699129999999997</v>
      </c>
      <c r="M4677">
        <v>1.0288369999999999E-3</v>
      </c>
      <c r="N4677">
        <v>-4.8887440000000004E-3</v>
      </c>
      <c r="O4677">
        <v>-0.99998759999999998</v>
      </c>
      <c r="P4677">
        <v>0.12571589999999999</v>
      </c>
      <c r="Q4677">
        <v>-1.527859E-2</v>
      </c>
      <c r="R4677">
        <v>-0.99194870000000002</v>
      </c>
      <c r="S4677">
        <v>0.32296750000000002</v>
      </c>
      <c r="T4677">
        <v>-6.7737580000000006E-2</v>
      </c>
      <c r="U4677">
        <v>-2.982605</v>
      </c>
      <c r="V4677">
        <v>-0.1247567</v>
      </c>
      <c r="W4677">
        <v>-9.6631100000000008E-3</v>
      </c>
      <c r="X4677">
        <v>0.99214029999999998</v>
      </c>
      <c r="Y4677">
        <v>-0.10660749999999999</v>
      </c>
      <c r="Z4677">
        <v>1.7686879999999999E-2</v>
      </c>
      <c r="AA4677">
        <v>0.99414380000000002</v>
      </c>
      <c r="AB4677">
        <v>41</v>
      </c>
      <c r="AC4677">
        <v>5.2744999999999802</v>
      </c>
      <c r="AD4677">
        <v>-1.105420747608</v>
      </c>
      <c r="AE4677">
        <v>-48.334049999999998</v>
      </c>
      <c r="AF4677">
        <v>-5.2220694646388699</v>
      </c>
      <c r="AG4677">
        <v>-1.105420747608</v>
      </c>
      <c r="AH4677">
        <v>48.314477268058802</v>
      </c>
      <c r="AI4677">
        <v>91.303094703603804</v>
      </c>
      <c r="AJ4677">
        <v>96.168865439492606</v>
      </c>
      <c r="AK4677">
        <v>48.608442458162799</v>
      </c>
      <c r="AL4677">
        <v>90.553664040874494</v>
      </c>
      <c r="AM4677">
        <v>97.167042167948694</v>
      </c>
      <c r="AN4677">
        <v>0.99999999238692505</v>
      </c>
    </row>
    <row r="4678" spans="1:40" x14ac:dyDescent="0.25">
      <c r="A4678" t="str">
        <f>"20190305135329661"</f>
        <v>20190305135329661</v>
      </c>
      <c r="B4678" t="str">
        <f>"1551765209655229"</f>
        <v>1551765209655229</v>
      </c>
      <c r="C4678" t="s">
        <v>40</v>
      </c>
      <c r="D4678">
        <v>4.2429360000000003</v>
      </c>
      <c r="E4678">
        <v>0.50559549999999998</v>
      </c>
      <c r="F4678" t="s">
        <v>42</v>
      </c>
      <c r="G4678">
        <v>-416.21550000000002</v>
      </c>
      <c r="H4678" s="1">
        <v>-2.659006E-6</v>
      </c>
      <c r="I4678">
        <v>44.26614</v>
      </c>
      <c r="J4678">
        <v>-422.05</v>
      </c>
      <c r="K4678">
        <v>1.1046419999999999</v>
      </c>
      <c r="L4678">
        <v>97.275090000000006</v>
      </c>
      <c r="M4678">
        <v>-4.0073280000000001E-3</v>
      </c>
      <c r="N4678">
        <v>-4.9522419999999999E-3</v>
      </c>
      <c r="O4678">
        <v>-0.99997959999999997</v>
      </c>
      <c r="P4678">
        <v>0.1211969</v>
      </c>
      <c r="Q4678">
        <v>-1.615749E-2</v>
      </c>
      <c r="R4678">
        <v>-0.99249679999999996</v>
      </c>
      <c r="S4678">
        <v>0.32546999999999998</v>
      </c>
      <c r="T4678">
        <v>-6.1694499999999999E-2</v>
      </c>
      <c r="U4678">
        <v>-2.9821469999999999</v>
      </c>
      <c r="V4678">
        <v>-0.12525890000000001</v>
      </c>
      <c r="W4678">
        <v>-1.024825E-2</v>
      </c>
      <c r="X4678">
        <v>0.99207120000000004</v>
      </c>
      <c r="Y4678">
        <v>-0.1124578</v>
      </c>
      <c r="Z4678">
        <v>1.5604140000000001E-2</v>
      </c>
      <c r="AA4678">
        <v>0.99353400000000003</v>
      </c>
      <c r="AB4678">
        <v>41</v>
      </c>
      <c r="AC4678">
        <v>5.8344999999999896</v>
      </c>
      <c r="AD4678">
        <v>-1.104644659006</v>
      </c>
      <c r="AE4678">
        <v>-53.008949999999999</v>
      </c>
      <c r="AF4678">
        <v>-6.0442866727794202</v>
      </c>
      <c r="AG4678">
        <v>-1.104644659006</v>
      </c>
      <c r="AH4678">
        <v>52.9624193092735</v>
      </c>
      <c r="AI4678">
        <v>91.187149263989099</v>
      </c>
      <c r="AJ4678">
        <v>96.510659269269496</v>
      </c>
      <c r="AK4678">
        <v>53.317647175177498</v>
      </c>
      <c r="AL4678">
        <v>90.587191726344798</v>
      </c>
      <c r="AM4678">
        <v>97.196086764412996</v>
      </c>
      <c r="AN4678">
        <v>1.0000000422633499</v>
      </c>
    </row>
    <row r="4679" spans="1:40" x14ac:dyDescent="0.25">
      <c r="A4679" t="str">
        <f>"20190305135329683"</f>
        <v>20190305135329683</v>
      </c>
      <c r="B4679" t="str">
        <f>"1551765209674749"</f>
        <v>1551765209674749</v>
      </c>
      <c r="C4679" t="s">
        <v>40</v>
      </c>
      <c r="D4679">
        <v>4.2164250000000001</v>
      </c>
      <c r="E4679">
        <v>0.50494490000000003</v>
      </c>
      <c r="F4679" t="s">
        <v>42</v>
      </c>
      <c r="G4679">
        <v>-416.27519999999998</v>
      </c>
      <c r="H4679" s="1">
        <v>-2.2069870000000001E-6</v>
      </c>
      <c r="I4679">
        <v>43.2211</v>
      </c>
      <c r="J4679">
        <v>-422.05549999999999</v>
      </c>
      <c r="K4679">
        <v>1.103898</v>
      </c>
      <c r="L4679">
        <v>96.848299999999995</v>
      </c>
      <c r="M4679">
        <v>-9.6180750000000002E-3</v>
      </c>
      <c r="N4679">
        <v>-5.0147890000000004E-3</v>
      </c>
      <c r="O4679">
        <v>-0.99994130000000003</v>
      </c>
      <c r="P4679">
        <v>0.1165689</v>
      </c>
      <c r="Q4679">
        <v>-1.8637600000000001E-2</v>
      </c>
      <c r="R4679">
        <v>-0.99300770000000005</v>
      </c>
      <c r="S4679">
        <v>0.31866460000000002</v>
      </c>
      <c r="T4679">
        <v>-6.0956120000000003E-2</v>
      </c>
      <c r="U4679">
        <v>-2.9827880000000002</v>
      </c>
      <c r="V4679">
        <v>-0.12624109999999999</v>
      </c>
      <c r="W4679">
        <v>-1.244079E-2</v>
      </c>
      <c r="X4679">
        <v>0.99192159999999996</v>
      </c>
      <c r="Y4679">
        <v>-0.1157691</v>
      </c>
      <c r="Z4679">
        <v>1.528726E-2</v>
      </c>
      <c r="AA4679">
        <v>0.99315850000000006</v>
      </c>
      <c r="AB4679">
        <v>41</v>
      </c>
      <c r="AC4679">
        <v>5.7803000000000102</v>
      </c>
      <c r="AD4679">
        <v>-1.1039002069869901</v>
      </c>
      <c r="AE4679">
        <v>-53.627200000000002</v>
      </c>
      <c r="AF4679">
        <v>-6.2931934865067998</v>
      </c>
      <c r="AG4679">
        <v>-1.1039002069869901</v>
      </c>
      <c r="AH4679">
        <v>53.546694601623798</v>
      </c>
      <c r="AI4679">
        <v>91.172952030941005</v>
      </c>
      <c r="AJ4679">
        <v>96.703063484753201</v>
      </c>
      <c r="AK4679">
        <v>53.926536906101802</v>
      </c>
      <c r="AL4679">
        <v>90.712823131762903</v>
      </c>
      <c r="AM4679">
        <v>97.2529975270797</v>
      </c>
      <c r="AN4679">
        <v>1.0000000245657901</v>
      </c>
    </row>
    <row r="4680" spans="1:40" x14ac:dyDescent="0.25">
      <c r="A4680" t="str">
        <f>"20190305135329705"</f>
        <v>20190305135329705</v>
      </c>
      <c r="B4680" t="str">
        <f>"1551765209695244"</f>
        <v>1551765209695244</v>
      </c>
      <c r="C4680" t="s">
        <v>40</v>
      </c>
      <c r="D4680">
        <v>4.1983839999999999</v>
      </c>
      <c r="E4680">
        <v>0.50441610000000003</v>
      </c>
      <c r="F4680" t="s">
        <v>42</v>
      </c>
      <c r="G4680">
        <v>-416.94810000000001</v>
      </c>
      <c r="H4680" s="1">
        <v>-4.0058830000000002E-6</v>
      </c>
      <c r="I4680">
        <v>47.708660000000002</v>
      </c>
      <c r="J4680">
        <v>-422.06299999999999</v>
      </c>
      <c r="K4680">
        <v>1.1032310000000001</v>
      </c>
      <c r="L4680">
        <v>96.445710000000005</v>
      </c>
      <c r="M4680">
        <v>-1.538147E-2</v>
      </c>
      <c r="N4680">
        <v>-5.0724050000000003E-3</v>
      </c>
      <c r="O4680">
        <v>-0.9998688</v>
      </c>
      <c r="P4680">
        <v>0.1130432</v>
      </c>
      <c r="Q4680">
        <v>-2.301247E-2</v>
      </c>
      <c r="R4680">
        <v>-0.99332359999999997</v>
      </c>
      <c r="S4680">
        <v>0.31008909999999901</v>
      </c>
      <c r="T4680">
        <v>-6.7022200000000004E-2</v>
      </c>
      <c r="U4680">
        <v>-2.9834589999999999</v>
      </c>
      <c r="V4680">
        <v>-0.12850300000000001</v>
      </c>
      <c r="W4680">
        <v>-1.65405E-2</v>
      </c>
      <c r="X4680">
        <v>0.99157119999999999</v>
      </c>
      <c r="Y4680">
        <v>-0.1186426</v>
      </c>
      <c r="Z4680">
        <v>1.724009E-2</v>
      </c>
      <c r="AA4680">
        <v>0.99278739999999999</v>
      </c>
      <c r="AB4680">
        <v>41</v>
      </c>
      <c r="AC4680">
        <v>5.1149000000000298</v>
      </c>
      <c r="AD4680">
        <v>-1.1032350058829901</v>
      </c>
      <c r="AE4680">
        <v>-48.737050000000004</v>
      </c>
      <c r="AF4680">
        <v>-5.8609815155008196</v>
      </c>
      <c r="AG4680">
        <v>-1.1032350058829901</v>
      </c>
      <c r="AH4680">
        <v>48.627962478422198</v>
      </c>
      <c r="AI4680">
        <v>91.290325892252298</v>
      </c>
      <c r="AJ4680">
        <v>96.872536729992106</v>
      </c>
      <c r="AK4680">
        <v>48.992315383191297</v>
      </c>
      <c r="AL4680">
        <v>90.947744034136804</v>
      </c>
      <c r="AM4680">
        <v>97.384110573526399</v>
      </c>
      <c r="AN4680">
        <v>1.0000000269093401</v>
      </c>
    </row>
    <row r="4681" spans="1:40" x14ac:dyDescent="0.25">
      <c r="A4681" t="str">
        <f>"20190305135329727"</f>
        <v>20190305135329727</v>
      </c>
      <c r="B4681" t="str">
        <f>"1551765209714765"</f>
        <v>1551765209714765</v>
      </c>
      <c r="C4681" t="s">
        <v>40</v>
      </c>
      <c r="D4681">
        <v>4.2450279999999996</v>
      </c>
      <c r="E4681">
        <v>0.50408069999999905</v>
      </c>
      <c r="F4681" t="s">
        <v>42</v>
      </c>
      <c r="G4681">
        <v>-417.81950000000001</v>
      </c>
      <c r="H4681" s="1">
        <v>-2.5971620000000001E-6</v>
      </c>
      <c r="I4681">
        <v>54.785200000000003</v>
      </c>
      <c r="J4681">
        <v>-422.07319999999999</v>
      </c>
      <c r="K4681">
        <v>1.1026100000000001</v>
      </c>
      <c r="L4681">
        <v>96.046629999999993</v>
      </c>
      <c r="M4681">
        <v>-2.1539909999999999E-2</v>
      </c>
      <c r="N4681">
        <v>-5.1365619999999999E-3</v>
      </c>
      <c r="O4681">
        <v>-0.99975499999999995</v>
      </c>
      <c r="P4681">
        <v>0.1103292</v>
      </c>
      <c r="Q4681">
        <v>-2.8118319999999999E-2</v>
      </c>
      <c r="R4681">
        <v>-0.99349750000000003</v>
      </c>
      <c r="S4681">
        <v>0.30392459999999999</v>
      </c>
      <c r="T4681">
        <v>-7.9013819999999999E-2</v>
      </c>
      <c r="U4681">
        <v>-2.9837340000000001</v>
      </c>
      <c r="V4681">
        <v>-0.1319852</v>
      </c>
      <c r="W4681">
        <v>-2.1355369999999999E-2</v>
      </c>
      <c r="X4681">
        <v>0.99102159999999995</v>
      </c>
      <c r="Y4681">
        <v>-0.12270929999999999</v>
      </c>
      <c r="Z4681">
        <v>2.1154280000000001E-2</v>
      </c>
      <c r="AA4681">
        <v>0.99221720000000002</v>
      </c>
      <c r="AB4681">
        <v>41</v>
      </c>
      <c r="AC4681">
        <v>4.2536999999999798</v>
      </c>
      <c r="AD4681">
        <v>-1.102612597162</v>
      </c>
      <c r="AE4681">
        <v>-41.261429999999997</v>
      </c>
      <c r="AF4681">
        <v>-5.13786175061162</v>
      </c>
      <c r="AG4681">
        <v>-1.102612597162</v>
      </c>
      <c r="AH4681">
        <v>41.131168371121802</v>
      </c>
      <c r="AI4681">
        <v>91.523737072025298</v>
      </c>
      <c r="AJ4681">
        <v>97.120168761061194</v>
      </c>
      <c r="AK4681">
        <v>41.465484315046801</v>
      </c>
      <c r="AL4681">
        <v>91.223665618726798</v>
      </c>
      <c r="AM4681">
        <v>97.586064885328994</v>
      </c>
      <c r="AN4681">
        <v>0.99999997825671805</v>
      </c>
    </row>
    <row r="4682" spans="1:40" x14ac:dyDescent="0.25">
      <c r="A4682" t="str">
        <f>"20190305135329748"</f>
        <v>20190305135329748</v>
      </c>
      <c r="B4682" t="str">
        <f>"1551765209745019"</f>
        <v>1551765209745019</v>
      </c>
      <c r="C4682" t="s">
        <v>40</v>
      </c>
      <c r="D4682">
        <v>4.2062540000000004</v>
      </c>
      <c r="E4682">
        <v>0.50364109999999995</v>
      </c>
      <c r="F4682" t="s">
        <v>42</v>
      </c>
      <c r="G4682">
        <v>-418.55619999999999</v>
      </c>
      <c r="H4682" s="1">
        <v>-7.9682369999999898E-7</v>
      </c>
      <c r="I4682">
        <v>60.860729999999997</v>
      </c>
      <c r="J4682">
        <v>-422.08670000000001</v>
      </c>
      <c r="K4682">
        <v>1.1020099999999999</v>
      </c>
      <c r="L4682">
        <v>95.628749999999997</v>
      </c>
      <c r="M4682">
        <v>-2.83909E-2</v>
      </c>
      <c r="N4682">
        <v>-5.2246050000000002E-3</v>
      </c>
      <c r="O4682">
        <v>-0.99958320000000001</v>
      </c>
      <c r="P4682">
        <v>0.1072813</v>
      </c>
      <c r="Q4682">
        <v>-3.2233449999999997E-2</v>
      </c>
      <c r="R4682">
        <v>-0.99370619999999998</v>
      </c>
      <c r="S4682">
        <v>0.29824830000000002</v>
      </c>
      <c r="T4682">
        <v>-9.3505260000000007E-2</v>
      </c>
      <c r="U4682">
        <v>-2.9838870000000002</v>
      </c>
      <c r="V4682">
        <v>-0.1358193</v>
      </c>
      <c r="W4682">
        <v>-2.5143260000000001E-2</v>
      </c>
      <c r="X4682">
        <v>0.99041449999999998</v>
      </c>
      <c r="Y4682">
        <v>-0.1276224</v>
      </c>
      <c r="Z4682">
        <v>2.5867080000000001E-2</v>
      </c>
      <c r="AA4682">
        <v>0.99148550000000002</v>
      </c>
      <c r="AB4682">
        <v>41</v>
      </c>
      <c r="AC4682">
        <v>3.5305000000000102</v>
      </c>
      <c r="AD4682">
        <v>-1.1020107968236901</v>
      </c>
      <c r="AE4682">
        <v>-34.7680199999999</v>
      </c>
      <c r="AF4682">
        <v>-4.51169931362233</v>
      </c>
      <c r="AG4682">
        <v>-1.1020107968236901</v>
      </c>
      <c r="AH4682">
        <v>34.619343967311103</v>
      </c>
      <c r="AI4682">
        <v>91.807958215194006</v>
      </c>
      <c r="AJ4682">
        <v>97.425114500011105</v>
      </c>
      <c r="AK4682">
        <v>34.929483752552898</v>
      </c>
      <c r="AL4682">
        <v>91.440754549709396</v>
      </c>
      <c r="AM4682">
        <v>97.8084828788013</v>
      </c>
      <c r="AN4682">
        <v>0.99999997379308303</v>
      </c>
    </row>
    <row r="4683" spans="1:40" x14ac:dyDescent="0.25">
      <c r="A4683" t="str">
        <f>"20190305135329772"</f>
        <v>20190305135329772</v>
      </c>
      <c r="B4683" t="str">
        <f>"1551765209764543"</f>
        <v>1551765209764543</v>
      </c>
      <c r="C4683" t="s">
        <v>40</v>
      </c>
      <c r="D4683">
        <v>4.2320129999999896</v>
      </c>
      <c r="E4683">
        <v>0.5034537</v>
      </c>
      <c r="F4683" t="s">
        <v>42</v>
      </c>
      <c r="G4683">
        <v>-418.99450000000002</v>
      </c>
      <c r="H4683" s="1">
        <v>-2.099042E-6</v>
      </c>
      <c r="I4683">
        <v>64.109919999999903</v>
      </c>
      <c r="J4683">
        <v>-422.10399999999998</v>
      </c>
      <c r="K4683">
        <v>1.1014619999999999</v>
      </c>
      <c r="L4683">
        <v>95.198329999999999</v>
      </c>
      <c r="M4683">
        <v>-3.5795050000000002E-2</v>
      </c>
      <c r="N4683">
        <v>-5.3371470000000004E-3</v>
      </c>
      <c r="O4683">
        <v>-0.99934500000000004</v>
      </c>
      <c r="P4683">
        <v>0.1041243</v>
      </c>
      <c r="Q4683">
        <v>-3.3354300000000003E-2</v>
      </c>
      <c r="R4683">
        <v>-0.99400509999999997</v>
      </c>
      <c r="S4683">
        <v>0.29275509999999999</v>
      </c>
      <c r="T4683">
        <v>-0.1043317</v>
      </c>
      <c r="U4683">
        <v>-2.9840089999999999</v>
      </c>
      <c r="V4683">
        <v>-0.14005670000000001</v>
      </c>
      <c r="W4683">
        <v>-2.5907070000000001E-2</v>
      </c>
      <c r="X4683">
        <v>0.98980449999999998</v>
      </c>
      <c r="Y4683">
        <v>-0.13314479999999901</v>
      </c>
      <c r="Z4683">
        <v>2.9326229999999998E-2</v>
      </c>
      <c r="AA4683">
        <v>0.99066259999999995</v>
      </c>
      <c r="AB4683">
        <v>41</v>
      </c>
      <c r="AC4683">
        <v>3.1095000000000201</v>
      </c>
      <c r="AD4683">
        <v>-1.1014640990419999</v>
      </c>
      <c r="AE4683">
        <v>-31.08841</v>
      </c>
      <c r="AF4683">
        <v>-4.2150954026292702</v>
      </c>
      <c r="AG4683">
        <v>-1.1014640990419999</v>
      </c>
      <c r="AH4683">
        <v>30.9187526769567</v>
      </c>
      <c r="AI4683">
        <v>92.021585097826303</v>
      </c>
      <c r="AJ4683">
        <v>97.763168179099097</v>
      </c>
      <c r="AK4683">
        <v>31.224181646819201</v>
      </c>
      <c r="AL4683">
        <v>91.484531863146898</v>
      </c>
      <c r="AM4683">
        <v>98.053848395592098</v>
      </c>
      <c r="AN4683">
        <v>1.0000000018555599</v>
      </c>
    </row>
    <row r="4684" spans="1:40" x14ac:dyDescent="0.25">
      <c r="A4684" t="str">
        <f>"20190305135329793"</f>
        <v>20190305135329793</v>
      </c>
      <c r="B4684" t="str">
        <f>"1551765209785049"</f>
        <v>1551765209785049</v>
      </c>
      <c r="C4684" t="s">
        <v>40</v>
      </c>
      <c r="D4684">
        <v>4.2435669999999996</v>
      </c>
      <c r="E4684">
        <v>0.50339599999999995</v>
      </c>
      <c r="F4684" t="s">
        <v>42</v>
      </c>
      <c r="G4684">
        <v>-419.11399999999998</v>
      </c>
      <c r="H4684" s="1">
        <v>-1.9788450000000002E-6</v>
      </c>
      <c r="I4684">
        <v>63.879179999999998</v>
      </c>
      <c r="J4684">
        <v>-422.12349999999998</v>
      </c>
      <c r="K4684">
        <v>1.1010120000000001</v>
      </c>
      <c r="L4684">
        <v>94.787809999999993</v>
      </c>
      <c r="M4684">
        <v>-4.3114970000000002E-2</v>
      </c>
      <c r="N4684">
        <v>-5.5001149999999999E-3</v>
      </c>
      <c r="O4684">
        <v>-0.99905500000000003</v>
      </c>
      <c r="P4684">
        <v>0.1014246</v>
      </c>
      <c r="Q4684">
        <v>-3.126367E-2</v>
      </c>
      <c r="R4684">
        <v>-0.99435220000000002</v>
      </c>
      <c r="S4684">
        <v>0.28494259999999999</v>
      </c>
      <c r="T4684">
        <v>-0.1049694</v>
      </c>
      <c r="U4684">
        <v>-2.9847109999999999</v>
      </c>
      <c r="V4684">
        <v>-0.1446125</v>
      </c>
      <c r="W4684">
        <v>-2.3416490000000002E-2</v>
      </c>
      <c r="X4684">
        <v>0.98921130000000002</v>
      </c>
      <c r="Y4684">
        <v>-0.13781099999999999</v>
      </c>
      <c r="Z4684">
        <v>2.934287E-2</v>
      </c>
      <c r="AA4684">
        <v>0.99002380000000001</v>
      </c>
      <c r="AB4684">
        <v>42</v>
      </c>
      <c r="AC4684">
        <v>3.0094999999999401</v>
      </c>
      <c r="AD4684">
        <v>-1.101013978845</v>
      </c>
      <c r="AE4684">
        <v>-30.908629999999899</v>
      </c>
      <c r="AF4684">
        <v>-4.3338985938139398</v>
      </c>
      <c r="AG4684">
        <v>-1.101013978845</v>
      </c>
      <c r="AH4684">
        <v>30.711527505887801</v>
      </c>
      <c r="AI4684">
        <v>92.033059008913298</v>
      </c>
      <c r="AJ4684">
        <v>98.032333210196498</v>
      </c>
      <c r="AK4684">
        <v>31.035348081630701</v>
      </c>
      <c r="AL4684">
        <v>91.341788622092693</v>
      </c>
      <c r="AM4684">
        <v>98.317136876499504</v>
      </c>
      <c r="AN4684">
        <v>1.00000005160392</v>
      </c>
    </row>
    <row r="4685" spans="1:40" x14ac:dyDescent="0.25">
      <c r="A4685" t="str">
        <f>"20190305135329816"</f>
        <v>20190305135329816</v>
      </c>
      <c r="B4685" t="str">
        <f>"1551765209804555"</f>
        <v>1551765209804555</v>
      </c>
      <c r="C4685" t="s">
        <v>40</v>
      </c>
      <c r="D4685">
        <v>4.334676</v>
      </c>
      <c r="E4685">
        <v>0.49392849999999999</v>
      </c>
      <c r="F4685" t="s">
        <v>42</v>
      </c>
      <c r="G4685">
        <v>-418.95310000000001</v>
      </c>
      <c r="H4685" s="1">
        <v>-6.3477029999999999E-7</v>
      </c>
      <c r="I4685">
        <v>60.679540000000003</v>
      </c>
      <c r="J4685">
        <v>-422.14589999999998</v>
      </c>
      <c r="K4685">
        <v>1.10063</v>
      </c>
      <c r="L4685">
        <v>94.381559999999993</v>
      </c>
      <c r="M4685">
        <v>-5.0543860000000003E-2</v>
      </c>
      <c r="N4685">
        <v>-5.7851439999999999E-3</v>
      </c>
      <c r="O4685">
        <v>-0.99870510000000001</v>
      </c>
      <c r="P4685">
        <v>9.848411E-2</v>
      </c>
      <c r="Q4685">
        <v>-2.7460789999999999E-2</v>
      </c>
      <c r="R4685">
        <v>-0.99475999999999998</v>
      </c>
      <c r="S4685">
        <v>0.27752690000000002</v>
      </c>
      <c r="T4685">
        <v>-9.6378800000000001E-2</v>
      </c>
      <c r="U4685">
        <v>-2.9857179999999999</v>
      </c>
      <c r="V4685">
        <v>-0.14900070000000001</v>
      </c>
      <c r="W4685">
        <v>-1.9099379999999999E-2</v>
      </c>
      <c r="X4685">
        <v>0.98865259999999999</v>
      </c>
      <c r="Y4685">
        <v>-0.14271449999999999</v>
      </c>
      <c r="Z4685">
        <v>2.6171030000000001E-2</v>
      </c>
      <c r="AA4685">
        <v>0.98941789999999996</v>
      </c>
      <c r="AB4685">
        <v>42</v>
      </c>
      <c r="AC4685">
        <v>3.1927999999999699</v>
      </c>
      <c r="AD4685">
        <v>-1.1006306347703001</v>
      </c>
      <c r="AE4685">
        <v>-33.702019999999898</v>
      </c>
      <c r="AF4685">
        <v>-4.8870118639165296</v>
      </c>
      <c r="AG4685">
        <v>-1.1006306347703001</v>
      </c>
      <c r="AH4685">
        <v>33.462192089265301</v>
      </c>
      <c r="AI4685">
        <v>91.864119096621295</v>
      </c>
      <c r="AJ4685">
        <v>98.309063289142799</v>
      </c>
      <c r="AK4685">
        <v>33.835079018248898</v>
      </c>
      <c r="AL4685">
        <v>91.094380430791603</v>
      </c>
      <c r="AM4685">
        <v>98.570595414669597</v>
      </c>
      <c r="AN4685">
        <v>0.99999997920181705</v>
      </c>
    </row>
    <row r="4686" spans="1:40" x14ac:dyDescent="0.25">
      <c r="A4686" t="str">
        <f>"20190305135329838"</f>
        <v>20190305135329838</v>
      </c>
      <c r="B4686" t="str">
        <f>"1551765209834812"</f>
        <v>1551765209834812</v>
      </c>
      <c r="C4686" t="s">
        <v>40</v>
      </c>
      <c r="D4686">
        <v>4.2715300000000003</v>
      </c>
      <c r="E4686">
        <v>0.49564259999999899</v>
      </c>
      <c r="F4686" t="s">
        <v>42</v>
      </c>
      <c r="G4686">
        <v>-419.97719999999998</v>
      </c>
      <c r="H4686" s="1">
        <v>-2.4735059999999999E-6</v>
      </c>
      <c r="I4686">
        <v>75.369050000000001</v>
      </c>
      <c r="J4686">
        <v>-422.17219999999998</v>
      </c>
      <c r="K4686">
        <v>1.100309</v>
      </c>
      <c r="L4686">
        <v>93.965549999999993</v>
      </c>
      <c r="M4686">
        <v>-5.8290689999999999E-2</v>
      </c>
      <c r="N4686">
        <v>-6.2685350000000004E-3</v>
      </c>
      <c r="O4686">
        <v>-0.99827999999999995</v>
      </c>
      <c r="P4686">
        <v>9.497709E-2</v>
      </c>
      <c r="Q4686">
        <v>-2.6530359999999999E-2</v>
      </c>
      <c r="R4686">
        <v>-0.99512599999999996</v>
      </c>
      <c r="S4686">
        <v>0.33963009999999999</v>
      </c>
      <c r="T4686">
        <v>-0.172362299999999</v>
      </c>
      <c r="U4686">
        <v>-2.977417</v>
      </c>
      <c r="V4686">
        <v>-0.15317790000000001</v>
      </c>
      <c r="W4686">
        <v>-1.7465720000000001E-2</v>
      </c>
      <c r="X4686">
        <v>0.98804429999999999</v>
      </c>
      <c r="Y4686">
        <v>-0.17087620000000001</v>
      </c>
      <c r="Z4686">
        <v>5.0756210000000003E-2</v>
      </c>
      <c r="AA4686">
        <v>0.98398430000000003</v>
      </c>
      <c r="AB4686">
        <v>42</v>
      </c>
      <c r="AC4686">
        <v>2.1949999999999901</v>
      </c>
      <c r="AD4686">
        <v>-1.100311473506</v>
      </c>
      <c r="AE4686">
        <v>-18.596499999999899</v>
      </c>
      <c r="AF4686">
        <v>-3.2640219519734099</v>
      </c>
      <c r="AG4686">
        <v>-1.100311473506</v>
      </c>
      <c r="AH4686">
        <v>18.373489331723999</v>
      </c>
      <c r="AI4686">
        <v>93.374403944589602</v>
      </c>
      <c r="AJ4686">
        <v>100.073415061872</v>
      </c>
      <c r="AK4686">
        <v>18.693572019939602</v>
      </c>
      <c r="AL4686">
        <v>91.000762897621499</v>
      </c>
      <c r="AM4686">
        <v>98.812490360603704</v>
      </c>
      <c r="AN4686">
        <v>1.0000000295930001</v>
      </c>
    </row>
    <row r="4687" spans="1:40" x14ac:dyDescent="0.25">
      <c r="A4687" t="str">
        <f>"20190305135329853"</f>
        <v>20190305135329853</v>
      </c>
      <c r="B4687" t="str">
        <f>"1551765209844572"</f>
        <v>1551765209844572</v>
      </c>
      <c r="C4687" t="s">
        <v>40</v>
      </c>
      <c r="D4687">
        <v>4.3335549999999996</v>
      </c>
      <c r="E4687">
        <v>0.49578509999999998</v>
      </c>
      <c r="F4687" t="s">
        <v>42</v>
      </c>
      <c r="G4687">
        <v>-419.73480000000001</v>
      </c>
      <c r="H4687" s="1">
        <v>-6.5152309999999997E-7</v>
      </c>
      <c r="I4687">
        <v>71.041830000000004</v>
      </c>
      <c r="J4687">
        <v>-422.19200000000001</v>
      </c>
      <c r="K4687">
        <v>1.1001399999999999</v>
      </c>
      <c r="L4687">
        <v>93.683899999999994</v>
      </c>
      <c r="M4687">
        <v>-6.3612009999999997E-2</v>
      </c>
      <c r="N4687">
        <v>-6.7127869999999996E-3</v>
      </c>
      <c r="O4687">
        <v>-0.99795219999999996</v>
      </c>
      <c r="P4687">
        <v>9.1638479999999994E-2</v>
      </c>
      <c r="Q4687">
        <v>-2.7954550000000002E-2</v>
      </c>
      <c r="R4687">
        <v>-0.9953999</v>
      </c>
      <c r="S4687">
        <v>0.31692500000000001</v>
      </c>
      <c r="T4687">
        <v>-0.143066</v>
      </c>
      <c r="U4687">
        <v>-2.9806210000000002</v>
      </c>
      <c r="V4687">
        <v>-0.15515779999999901</v>
      </c>
      <c r="W4687">
        <v>-1.8321770000000001E-2</v>
      </c>
      <c r="X4687">
        <v>0.98771980000000004</v>
      </c>
      <c r="Y4687">
        <v>-0.16865669999999999</v>
      </c>
      <c r="Z4687">
        <v>4.0592410000000002E-2</v>
      </c>
      <c r="AA4687">
        <v>0.98483869999999896</v>
      </c>
      <c r="AB4687">
        <v>42</v>
      </c>
      <c r="AC4687">
        <v>2.4571999999999399</v>
      </c>
      <c r="AD4687">
        <v>-1.10014065152309</v>
      </c>
      <c r="AE4687">
        <v>-22.642069999999901</v>
      </c>
      <c r="AF4687">
        <v>-3.8835016003737799</v>
      </c>
      <c r="AG4687">
        <v>-1.10014065152309</v>
      </c>
      <c r="AH4687">
        <v>22.3876619607843</v>
      </c>
      <c r="AI4687">
        <v>92.7719499961308</v>
      </c>
      <c r="AJ4687">
        <v>99.840951849262893</v>
      </c>
      <c r="AK4687">
        <v>22.748610995038501</v>
      </c>
      <c r="AL4687">
        <v>91.049818817360602</v>
      </c>
      <c r="AM4687">
        <v>98.927458882194998</v>
      </c>
      <c r="AN4687">
        <v>1.0000000167344001</v>
      </c>
    </row>
    <row r="4688" spans="1:40" x14ac:dyDescent="0.25">
      <c r="A4688" t="str">
        <f>"20190305135329872"</f>
        <v>20190305135329872</v>
      </c>
      <c r="B4688" t="str">
        <f>"1551765209865068"</f>
        <v>1551765209865068</v>
      </c>
      <c r="C4688" t="s">
        <v>40</v>
      </c>
      <c r="D4688">
        <v>4.2581639999999998</v>
      </c>
      <c r="E4688">
        <v>0.49680249999999998</v>
      </c>
      <c r="F4688" t="s">
        <v>42</v>
      </c>
      <c r="G4688">
        <v>-419.95699999999999</v>
      </c>
      <c r="H4688" s="1">
        <v>-9.776571E-7</v>
      </c>
      <c r="I4688">
        <v>71.893929999999997</v>
      </c>
      <c r="J4688">
        <v>-422.22019999999998</v>
      </c>
      <c r="K4688">
        <v>1.0999719999999999</v>
      </c>
      <c r="L4688">
        <v>93.317840000000004</v>
      </c>
      <c r="M4688">
        <v>-7.0632639999999997E-2</v>
      </c>
      <c r="N4688">
        <v>-7.3949259999999996E-3</v>
      </c>
      <c r="O4688">
        <v>-0.99747520000000001</v>
      </c>
      <c r="P4688">
        <v>8.8860439999999999E-2</v>
      </c>
      <c r="Q4688">
        <v>-3.1365829999999997E-2</v>
      </c>
      <c r="R4688">
        <v>-0.99555039999999995</v>
      </c>
      <c r="S4688">
        <v>0.3058167</v>
      </c>
      <c r="T4688">
        <v>-0.15053</v>
      </c>
      <c r="U4688">
        <v>-2.9814759999999998</v>
      </c>
      <c r="V4688">
        <v>-0.15940979999999999</v>
      </c>
      <c r="W4688">
        <v>-2.087207E-2</v>
      </c>
      <c r="X4688">
        <v>0.98699179999999997</v>
      </c>
      <c r="Y4688">
        <v>-0.17191909999999999</v>
      </c>
      <c r="Z4688">
        <v>4.2315859999999997E-2</v>
      </c>
      <c r="AA4688">
        <v>0.98420180000000002</v>
      </c>
      <c r="AB4688">
        <v>42</v>
      </c>
      <c r="AC4688">
        <v>2.2631999999999799</v>
      </c>
      <c r="AD4688">
        <v>-1.0999729776570999</v>
      </c>
      <c r="AE4688">
        <v>-21.4239099999999</v>
      </c>
      <c r="AF4688">
        <v>-3.7610104046750901</v>
      </c>
      <c r="AG4688">
        <v>-1.0999729776570999</v>
      </c>
      <c r="AH4688">
        <v>21.1553856936149</v>
      </c>
      <c r="AI4688">
        <v>92.930541395051407</v>
      </c>
      <c r="AJ4688">
        <v>100.080736994939</v>
      </c>
      <c r="AK4688">
        <v>21.5152384058661</v>
      </c>
      <c r="AL4688">
        <v>91.195968402698298</v>
      </c>
      <c r="AM4688">
        <v>99.174656757566794</v>
      </c>
      <c r="AN4688">
        <v>0.99999997045468103</v>
      </c>
    </row>
    <row r="4689" spans="1:40" x14ac:dyDescent="0.25">
      <c r="A4689" t="str">
        <f>"20190305135329895"</f>
        <v>20190305135329895</v>
      </c>
      <c r="B4689" t="str">
        <f>"1551765209884588"</f>
        <v>1551765209884588</v>
      </c>
      <c r="C4689" t="s">
        <v>40</v>
      </c>
      <c r="D4689">
        <v>4.3449339999999896</v>
      </c>
      <c r="E4689">
        <v>0.49732290000000001</v>
      </c>
      <c r="F4689" t="s">
        <v>42</v>
      </c>
      <c r="G4689">
        <v>-420.12830000000002</v>
      </c>
      <c r="H4689" s="1">
        <v>-9.719029000000001E-7</v>
      </c>
      <c r="I4689">
        <v>71.775059999999996</v>
      </c>
      <c r="J4689">
        <v>-422.2552</v>
      </c>
      <c r="K4689">
        <v>1.0998289999999999</v>
      </c>
      <c r="L4689">
        <v>92.904660000000007</v>
      </c>
      <c r="M4689">
        <v>-7.8714450000000005E-2</v>
      </c>
      <c r="N4689">
        <v>-8.2306140000000007E-3</v>
      </c>
      <c r="O4689">
        <v>-0.99686339999999996</v>
      </c>
      <c r="P4689">
        <v>8.4767750000000003E-2</v>
      </c>
      <c r="Q4689">
        <v>-3.4172679999999997E-2</v>
      </c>
      <c r="R4689">
        <v>-0.99581489999999995</v>
      </c>
      <c r="S4689">
        <v>0.28964230000000002</v>
      </c>
      <c r="T4689">
        <v>-0.1522994</v>
      </c>
      <c r="U4689">
        <v>-2.982758</v>
      </c>
      <c r="V4689">
        <v>-0.16339770000000001</v>
      </c>
      <c r="W4689">
        <v>-2.2671119999999999E-2</v>
      </c>
      <c r="X4689">
        <v>0.98629979999999995</v>
      </c>
      <c r="Y4689">
        <v>-0.174570899999999</v>
      </c>
      <c r="Z4689">
        <v>4.1993419999999997E-2</v>
      </c>
      <c r="AA4689">
        <v>0.98374870000000003</v>
      </c>
      <c r="AB4689">
        <v>42</v>
      </c>
      <c r="AC4689">
        <v>2.1268999999999698</v>
      </c>
      <c r="AD4689">
        <v>-1.0998299719028899</v>
      </c>
      <c r="AE4689">
        <v>-21.1296</v>
      </c>
      <c r="AF4689">
        <v>-3.7734400110788</v>
      </c>
      <c r="AG4689">
        <v>-1.0998299719028899</v>
      </c>
      <c r="AH4689">
        <v>20.840712487388998</v>
      </c>
      <c r="AI4689">
        <v>92.972631979348094</v>
      </c>
      <c r="AJ4689">
        <v>100.262845203756</v>
      </c>
      <c r="AK4689">
        <v>21.208106291376399</v>
      </c>
      <c r="AL4689">
        <v>91.299070737446797</v>
      </c>
      <c r="AM4689">
        <v>99.4066055057406</v>
      </c>
      <c r="AN4689">
        <v>1.0000000417636901</v>
      </c>
    </row>
    <row r="4690" spans="1:40" x14ac:dyDescent="0.25">
      <c r="A4690" t="str">
        <f>"20190305135329916"</f>
        <v>20190305135329916</v>
      </c>
      <c r="B4690" t="str">
        <f>"1551765209905083"</f>
        <v>1551765209905083</v>
      </c>
      <c r="C4690" t="s">
        <v>40</v>
      </c>
      <c r="D4690">
        <v>4.3573449999999996</v>
      </c>
      <c r="E4690">
        <v>0.49735049999999997</v>
      </c>
      <c r="F4690" t="s">
        <v>42</v>
      </c>
      <c r="G4690">
        <v>-420.42009999999999</v>
      </c>
      <c r="H4690" s="1">
        <v>-1.514875E-6</v>
      </c>
      <c r="I4690">
        <v>72.859740000000002</v>
      </c>
      <c r="J4690">
        <v>-422.29390000000001</v>
      </c>
      <c r="K4690">
        <v>1.0997170000000001</v>
      </c>
      <c r="L4690">
        <v>92.491609999999994</v>
      </c>
      <c r="M4690">
        <v>-8.6934839999999999E-2</v>
      </c>
      <c r="N4690">
        <v>-9.0617049999999998E-3</v>
      </c>
      <c r="O4690">
        <v>-0.99617279999999997</v>
      </c>
      <c r="P4690">
        <v>8.1477030000000006E-2</v>
      </c>
      <c r="Q4690">
        <v>-3.579189E-2</v>
      </c>
      <c r="R4690">
        <v>-0.99603249999999999</v>
      </c>
      <c r="S4690">
        <v>0.27316279999999998</v>
      </c>
      <c r="T4690">
        <v>-0.16371240000000001</v>
      </c>
      <c r="U4690">
        <v>-2.9837340000000001</v>
      </c>
      <c r="V4690">
        <v>-0.16829630000000001</v>
      </c>
      <c r="W4690">
        <v>-2.328123E-2</v>
      </c>
      <c r="X4690">
        <v>0.98546149999999999</v>
      </c>
      <c r="Y4690">
        <v>-0.17725639999999901</v>
      </c>
      <c r="Z4690">
        <v>4.484175E-2</v>
      </c>
      <c r="AA4690">
        <v>0.98314259999999998</v>
      </c>
      <c r="AB4690">
        <v>42</v>
      </c>
      <c r="AC4690">
        <v>1.8738000000000099</v>
      </c>
      <c r="AD4690">
        <v>-1.0997185148749999</v>
      </c>
      <c r="AE4690">
        <v>-19.6318699999999</v>
      </c>
      <c r="AF4690">
        <v>-3.56239121274323</v>
      </c>
      <c r="AG4690">
        <v>-1.0997185148749999</v>
      </c>
      <c r="AH4690">
        <v>19.334510305411001</v>
      </c>
      <c r="AI4690">
        <v>93.201616072474494</v>
      </c>
      <c r="AJ4690">
        <v>100.439684820772</v>
      </c>
      <c r="AK4690">
        <v>19.690690711974302</v>
      </c>
      <c r="AL4690">
        <v>91.334036732011995</v>
      </c>
      <c r="AM4690">
        <v>99.691429094576307</v>
      </c>
      <c r="AN4690">
        <v>1.00000001412312</v>
      </c>
    </row>
    <row r="4691" spans="1:40" x14ac:dyDescent="0.25">
      <c r="A4691" t="str">
        <f>"20190305135329950"</f>
        <v>20190305135329950</v>
      </c>
      <c r="B4691" t="str">
        <f>"1551765209945100"</f>
        <v>1551765209945100</v>
      </c>
      <c r="C4691" t="s">
        <v>40</v>
      </c>
      <c r="D4691">
        <v>4.3389170000000004</v>
      </c>
      <c r="E4691">
        <v>0.49670350000000002</v>
      </c>
      <c r="F4691" t="s">
        <v>42</v>
      </c>
      <c r="G4691">
        <v>-420.58879999999999</v>
      </c>
      <c r="H4691" s="1">
        <v>-1.681704E-6</v>
      </c>
      <c r="I4691">
        <v>73.143979999999999</v>
      </c>
      <c r="J4691">
        <v>-422.35919999999999</v>
      </c>
      <c r="K4691">
        <v>1.0996030000000001</v>
      </c>
      <c r="L4691">
        <v>91.864959999999996</v>
      </c>
      <c r="M4691">
        <v>-9.9549670000000007E-2</v>
      </c>
      <c r="N4691">
        <v>-1.022911E-2</v>
      </c>
      <c r="O4691">
        <v>-0.99497999999999998</v>
      </c>
      <c r="P4691">
        <v>7.21305E-2</v>
      </c>
      <c r="Q4691">
        <v>-3.3120120000000003E-2</v>
      </c>
      <c r="R4691">
        <v>-0.99684539999999999</v>
      </c>
      <c r="S4691">
        <v>0.26300050000000003</v>
      </c>
      <c r="T4691">
        <v>-0.16963020000000001</v>
      </c>
      <c r="U4691">
        <v>-2.9843440000000001</v>
      </c>
      <c r="V4691">
        <v>-0.17147809999999999</v>
      </c>
      <c r="W4691">
        <v>-1.9282009999999999E-2</v>
      </c>
      <c r="X4691">
        <v>0.98499919999999996</v>
      </c>
      <c r="Y4691">
        <v>-0.18636459999999999</v>
      </c>
      <c r="Z4691">
        <v>4.545979E-2</v>
      </c>
      <c r="AA4691">
        <v>0.98142839999999998</v>
      </c>
      <c r="AB4691">
        <v>41</v>
      </c>
      <c r="AC4691">
        <v>1.77039999999999</v>
      </c>
      <c r="AD4691">
        <v>-1.0996046817039999</v>
      </c>
      <c r="AE4691">
        <v>-18.720980000000001</v>
      </c>
      <c r="AF4691">
        <v>-3.6130153698485299</v>
      </c>
      <c r="AG4691">
        <v>-1.0996046817039999</v>
      </c>
      <c r="AH4691">
        <v>18.388844839263299</v>
      </c>
      <c r="AI4691">
        <v>93.358011205857807</v>
      </c>
      <c r="AJ4691">
        <v>101.11580308656799</v>
      </c>
      <c r="AK4691">
        <v>18.772656312873998</v>
      </c>
      <c r="AL4691">
        <v>91.104846286452798</v>
      </c>
      <c r="AM4691">
        <v>99.875624667629097</v>
      </c>
      <c r="AN4691">
        <v>0.999999979344944</v>
      </c>
    </row>
    <row r="4692" spans="1:40" x14ac:dyDescent="0.25">
      <c r="A4692" t="str">
        <f>"20190305135329972"</f>
        <v>20190305135329972</v>
      </c>
      <c r="B4692" t="str">
        <f>"1551765209964623"</f>
        <v>1551765209964623</v>
      </c>
      <c r="C4692" t="s">
        <v>40</v>
      </c>
      <c r="D4692">
        <v>4.3432050000000002</v>
      </c>
      <c r="E4692">
        <v>0.49650060000000001</v>
      </c>
      <c r="F4692" t="s">
        <v>42</v>
      </c>
      <c r="G4692">
        <v>-420.75510000000003</v>
      </c>
      <c r="H4692" s="1">
        <v>-1.2040109999999999E-6</v>
      </c>
      <c r="I4692">
        <v>71.927350000000004</v>
      </c>
      <c r="J4692">
        <v>-422.40550000000002</v>
      </c>
      <c r="K4692">
        <v>1.099566</v>
      </c>
      <c r="L4692">
        <v>91.462739999999997</v>
      </c>
      <c r="M4692">
        <v>-0.1076664</v>
      </c>
      <c r="N4692">
        <v>-1.0895790000000001E-2</v>
      </c>
      <c r="O4692">
        <v>-0.99412750000000005</v>
      </c>
      <c r="P4692">
        <v>6.7110920000000004E-2</v>
      </c>
      <c r="Q4692">
        <v>-3.2825739999999999E-2</v>
      </c>
      <c r="R4692">
        <v>-0.99720569999999997</v>
      </c>
      <c r="S4692">
        <v>0.24029539999999999</v>
      </c>
      <c r="T4692">
        <v>-0.16471959999999999</v>
      </c>
      <c r="U4692">
        <v>-2.9866329999999999</v>
      </c>
      <c r="V4692">
        <v>-0.17454120000000001</v>
      </c>
      <c r="W4692">
        <v>-1.8222840000000001E-2</v>
      </c>
      <c r="X4692">
        <v>0.98448119999999995</v>
      </c>
      <c r="Y4692">
        <v>-0.186914</v>
      </c>
      <c r="Z4692">
        <v>4.3085760000000001E-2</v>
      </c>
      <c r="AA4692">
        <v>0.98143089999999999</v>
      </c>
      <c r="AB4692">
        <v>41</v>
      </c>
      <c r="AC4692">
        <v>1.6503999999999901</v>
      </c>
      <c r="AD4692">
        <v>-1.0995672040110001</v>
      </c>
      <c r="AE4692">
        <v>-19.5353899999999</v>
      </c>
      <c r="AF4692">
        <v>-3.73249379033853</v>
      </c>
      <c r="AG4692">
        <v>-1.0995672040110001</v>
      </c>
      <c r="AH4692">
        <v>19.183770190226799</v>
      </c>
      <c r="AI4692">
        <v>93.220211202419904</v>
      </c>
      <c r="AJ4692">
        <v>101.010206580247</v>
      </c>
      <c r="AK4692">
        <v>19.574411782796599</v>
      </c>
      <c r="AL4692">
        <v>91.044149650623197</v>
      </c>
      <c r="AM4692">
        <v>100.053646971977</v>
      </c>
      <c r="AN4692">
        <v>0.99999996777427202</v>
      </c>
    </row>
    <row r="4693" spans="1:40" x14ac:dyDescent="0.25">
      <c r="A4693" t="str">
        <f>"20190305135329994"</f>
        <v>20190305135329994</v>
      </c>
      <c r="B4693" t="str">
        <f>"1551765209985116"</f>
        <v>1551765209985116</v>
      </c>
      <c r="C4693" t="s">
        <v>40</v>
      </c>
      <c r="D4693">
        <v>4.2400539999999998</v>
      </c>
      <c r="E4693">
        <v>0.49732559999999898</v>
      </c>
      <c r="F4693" t="s">
        <v>42</v>
      </c>
      <c r="G4693">
        <v>-420.89920000000001</v>
      </c>
      <c r="H4693" s="1">
        <v>-1.095442E-6</v>
      </c>
      <c r="I4693">
        <v>71.584890000000001</v>
      </c>
      <c r="J4693">
        <v>-422.45589999999999</v>
      </c>
      <c r="K4693">
        <v>1.0995539999999999</v>
      </c>
      <c r="L4693">
        <v>91.056269999999998</v>
      </c>
      <c r="M4693">
        <v>-0.1158391</v>
      </c>
      <c r="N4693">
        <v>-1.1500369999999999E-2</v>
      </c>
      <c r="O4693">
        <v>-0.99320149999999996</v>
      </c>
      <c r="P4693">
        <v>6.2731620000000002E-2</v>
      </c>
      <c r="Q4693">
        <v>-3.4310399999999998E-2</v>
      </c>
      <c r="R4693">
        <v>-0.99744089999999996</v>
      </c>
      <c r="S4693">
        <v>0.2264099</v>
      </c>
      <c r="T4693">
        <v>-0.16527</v>
      </c>
      <c r="U4693">
        <v>-2.9877319999999998</v>
      </c>
      <c r="V4693">
        <v>-0.1783294</v>
      </c>
      <c r="W4693">
        <v>-1.9012210000000002E-2</v>
      </c>
      <c r="X4693">
        <v>0.98378719999999997</v>
      </c>
      <c r="Y4693">
        <v>-0.1904265</v>
      </c>
      <c r="Z4693">
        <v>4.2553639999999997E-2</v>
      </c>
      <c r="AA4693">
        <v>0.98077879999999995</v>
      </c>
      <c r="AB4693">
        <v>41</v>
      </c>
      <c r="AC4693">
        <v>1.55669999999997</v>
      </c>
      <c r="AD4693">
        <v>-1.0995550954419999</v>
      </c>
      <c r="AE4693">
        <v>-19.47138</v>
      </c>
      <c r="AF4693">
        <v>-3.7899061388515198</v>
      </c>
      <c r="AG4693">
        <v>-1.0995550954419999</v>
      </c>
      <c r="AH4693">
        <v>19.0994232150919</v>
      </c>
      <c r="AI4693">
        <v>93.232007337605395</v>
      </c>
      <c r="AJ4693">
        <v>101.22343373422299</v>
      </c>
      <c r="AK4693">
        <v>19.502829976657399</v>
      </c>
      <c r="AL4693">
        <v>91.089384976711898</v>
      </c>
      <c r="AM4693">
        <v>100.274343923421</v>
      </c>
      <c r="AN4693">
        <v>1.0000000469586401</v>
      </c>
    </row>
    <row r="4694" spans="1:40" x14ac:dyDescent="0.25">
      <c r="A4694" t="str">
        <f>"20190305135330017"</f>
        <v>20190305135330017</v>
      </c>
      <c r="B4694" t="str">
        <f>"1551765210004636"</f>
        <v>1551765210004636</v>
      </c>
      <c r="C4694" t="s">
        <v>40</v>
      </c>
      <c r="D4694">
        <v>4.2675859999999997</v>
      </c>
      <c r="E4694">
        <v>0.49838840000000001</v>
      </c>
      <c r="F4694" t="s">
        <v>42</v>
      </c>
      <c r="G4694">
        <v>-421.01220000000001</v>
      </c>
      <c r="H4694" s="1">
        <v>-5.4290490000000001E-7</v>
      </c>
      <c r="I4694">
        <v>70.226839999999996</v>
      </c>
      <c r="J4694">
        <v>-422.51029999999997</v>
      </c>
      <c r="K4694">
        <v>1.0995820000000001</v>
      </c>
      <c r="L4694">
        <v>90.643979999999999</v>
      </c>
      <c r="M4694">
        <v>-0.1240313</v>
      </c>
      <c r="N4694">
        <v>-1.2044549999999999E-2</v>
      </c>
      <c r="O4694">
        <v>-0.99220540000000002</v>
      </c>
      <c r="P4694">
        <v>5.7208120000000001E-2</v>
      </c>
      <c r="Q4694">
        <v>-3.5366219999999997E-2</v>
      </c>
      <c r="R4694">
        <v>-0.99773599999999996</v>
      </c>
      <c r="S4694">
        <v>0.2071838</v>
      </c>
      <c r="T4694">
        <v>-0.15779840000000001</v>
      </c>
      <c r="U4694">
        <v>-2.989258</v>
      </c>
      <c r="V4694">
        <v>-0.18100659999999999</v>
      </c>
      <c r="W4694">
        <v>-1.948517E-2</v>
      </c>
      <c r="X4694">
        <v>0.98328879999999996</v>
      </c>
      <c r="Y4694">
        <v>-0.19222210000000001</v>
      </c>
      <c r="Z4694">
        <v>3.9467040000000002E-2</v>
      </c>
      <c r="AA4694">
        <v>0.98055749999999997</v>
      </c>
      <c r="AB4694">
        <v>41</v>
      </c>
      <c r="AC4694">
        <v>1.49809999999996</v>
      </c>
      <c r="AD4694">
        <v>-1.09958254290489</v>
      </c>
      <c r="AE4694">
        <v>-20.41714</v>
      </c>
      <c r="AF4694">
        <v>-4.0075167084579197</v>
      </c>
      <c r="AG4694">
        <v>-1.09958254290489</v>
      </c>
      <c r="AH4694">
        <v>20.015893182512102</v>
      </c>
      <c r="AI4694">
        <v>93.083338411265203</v>
      </c>
      <c r="AJ4694">
        <v>101.321872161597</v>
      </c>
      <c r="AK4694">
        <v>20.4427310267235</v>
      </c>
      <c r="AL4694">
        <v>91.116488703289093</v>
      </c>
      <c r="AM4694">
        <v>100.430399699902</v>
      </c>
      <c r="AN4694">
        <v>0.999999962649463</v>
      </c>
    </row>
    <row r="4695" spans="1:40" x14ac:dyDescent="0.25">
      <c r="A4695" t="str">
        <f>"20190305135330039"</f>
        <v>20190305135330039</v>
      </c>
      <c r="B4695" t="str">
        <f>"1551765210034892"</f>
        <v>1551765210034892</v>
      </c>
      <c r="C4695" t="s">
        <v>40</v>
      </c>
      <c r="D4695">
        <v>4.3573969999999997</v>
      </c>
      <c r="E4695">
        <v>0.54898919999999996</v>
      </c>
      <c r="F4695" t="s">
        <v>42</v>
      </c>
      <c r="G4695">
        <v>-421.16120000000001</v>
      </c>
      <c r="H4695" s="1">
        <v>-4.1427759999999997E-6</v>
      </c>
      <c r="I4695">
        <v>68.555229999999995</v>
      </c>
      <c r="J4695">
        <v>-422.56880000000001</v>
      </c>
      <c r="K4695">
        <v>1.0996809999999999</v>
      </c>
      <c r="L4695">
        <v>90.226500000000001</v>
      </c>
      <c r="M4695">
        <v>-0.13214670000000001</v>
      </c>
      <c r="N4695">
        <v>-1.252699E-2</v>
      </c>
      <c r="O4695">
        <v>-0.99115109999999995</v>
      </c>
      <c r="P4695">
        <v>5.0093819999999997E-2</v>
      </c>
      <c r="Q4695">
        <v>-3.5540500000000003E-2</v>
      </c>
      <c r="R4695">
        <v>-0.9981122</v>
      </c>
      <c r="S4695">
        <v>0.18267820000000001</v>
      </c>
      <c r="T4695">
        <v>-0.14889749999999999</v>
      </c>
      <c r="U4695">
        <v>-2.9910890000000001</v>
      </c>
      <c r="V4695">
        <v>-0.182031</v>
      </c>
      <c r="W4695">
        <v>-1.9206830000000001E-2</v>
      </c>
      <c r="X4695">
        <v>0.98310520000000001</v>
      </c>
      <c r="Y4695">
        <v>-0.19222069999999999</v>
      </c>
      <c r="Z4695">
        <v>3.5989170000000001E-2</v>
      </c>
      <c r="AA4695">
        <v>0.9806916</v>
      </c>
      <c r="AB4695">
        <v>41</v>
      </c>
      <c r="AC4695">
        <v>1.4076</v>
      </c>
      <c r="AD4695">
        <v>-1.0996851427759999</v>
      </c>
      <c r="AE4695">
        <v>-21.67127</v>
      </c>
      <c r="AF4695">
        <v>-4.2483715626059402</v>
      </c>
      <c r="AG4695">
        <v>-1.0996851427759999</v>
      </c>
      <c r="AH4695">
        <v>21.240698579993602</v>
      </c>
      <c r="AI4695">
        <v>92.906243019962403</v>
      </c>
      <c r="AJ4695">
        <v>101.31053381434801</v>
      </c>
      <c r="AK4695">
        <v>21.689288704642799</v>
      </c>
      <c r="AL4695">
        <v>91.100537957209198</v>
      </c>
      <c r="AM4695">
        <v>100.490039087122</v>
      </c>
      <c r="AN4695">
        <v>1.00000001077334</v>
      </c>
    </row>
    <row r="4696" spans="1:40" x14ac:dyDescent="0.25">
      <c r="A4696" t="str">
        <f>"20190305135330062"</f>
        <v>20190305135330062</v>
      </c>
      <c r="B4696" t="str">
        <f>"1551765210055388"</f>
        <v>1551765210055388</v>
      </c>
      <c r="C4696" t="s">
        <v>40</v>
      </c>
      <c r="D4696">
        <v>4.2749779999999999</v>
      </c>
      <c r="E4696">
        <v>0.55489549999999999</v>
      </c>
      <c r="F4696" t="s">
        <v>42</v>
      </c>
      <c r="G4696">
        <v>-425.10329999999999</v>
      </c>
      <c r="H4696" s="1">
        <v>-4.7889349999999999E-6</v>
      </c>
      <c r="I4696">
        <v>58.399189999999997</v>
      </c>
      <c r="J4696">
        <v>-422.63049999999998</v>
      </c>
      <c r="K4696">
        <v>1.0998749999999999</v>
      </c>
      <c r="L4696">
        <v>89.808959999999999</v>
      </c>
      <c r="M4696">
        <v>-0.13999600000000001</v>
      </c>
      <c r="N4696">
        <v>-1.294403E-2</v>
      </c>
      <c r="O4696">
        <v>-0.99006749999999999</v>
      </c>
      <c r="P4696">
        <v>4.4575549999999999E-2</v>
      </c>
      <c r="Q4696">
        <v>-3.531745E-2</v>
      </c>
      <c r="R4696">
        <v>-0.99838170000000004</v>
      </c>
      <c r="S4696">
        <v>-0.24002080000000001</v>
      </c>
      <c r="T4696">
        <v>-0.10413890000000001</v>
      </c>
      <c r="U4696">
        <v>-3.014008</v>
      </c>
      <c r="V4696">
        <v>-0.18436379999999999</v>
      </c>
      <c r="W4696">
        <v>-1.86091E-2</v>
      </c>
      <c r="X4696">
        <v>0.9826819</v>
      </c>
      <c r="Y4696">
        <v>-6.0962969999999998E-2</v>
      </c>
      <c r="Z4696">
        <v>2.10691E-2</v>
      </c>
      <c r="AA4696">
        <v>0.99791770000000002</v>
      </c>
      <c r="AB4696">
        <v>41</v>
      </c>
      <c r="AC4696">
        <v>-2.4727999999999999</v>
      </c>
      <c r="AD4696">
        <v>-1.099879788935</v>
      </c>
      <c r="AE4696">
        <v>-31.409769999999899</v>
      </c>
      <c r="AF4696">
        <v>-1.9467940103847701</v>
      </c>
      <c r="AG4696">
        <v>-1.099879788935</v>
      </c>
      <c r="AH4696">
        <v>31.408332155909299</v>
      </c>
      <c r="AI4696">
        <v>92.001767148498303</v>
      </c>
      <c r="AJ4696">
        <v>93.546847411106697</v>
      </c>
      <c r="AK4696">
        <v>31.487824175145899</v>
      </c>
      <c r="AL4696">
        <v>91.066284424879797</v>
      </c>
      <c r="AM4696">
        <v>100.625904091992</v>
      </c>
      <c r="AN4696">
        <v>1.0000000129704201</v>
      </c>
    </row>
    <row r="4697" spans="1:40" x14ac:dyDescent="0.25">
      <c r="A4697" t="str">
        <f>"20190305135330083"</f>
        <v>20190305135330083</v>
      </c>
      <c r="B4697" t="str">
        <f>"1551765210074913"</f>
        <v>1551765210074913</v>
      </c>
      <c r="C4697" t="s">
        <v>40</v>
      </c>
      <c r="D4697">
        <v>4.2481019999999896</v>
      </c>
      <c r="E4697">
        <v>0.55555639999999995</v>
      </c>
      <c r="F4697" t="s">
        <v>42</v>
      </c>
      <c r="G4697">
        <v>-425.7552</v>
      </c>
      <c r="H4697" s="1">
        <v>-5.0386299999999999E-6</v>
      </c>
      <c r="I4697">
        <v>58.79316</v>
      </c>
      <c r="J4697">
        <v>-422.69080000000002</v>
      </c>
      <c r="K4697">
        <v>1.100133</v>
      </c>
      <c r="L4697">
        <v>89.41968</v>
      </c>
      <c r="M4697">
        <v>-0.14698359999999999</v>
      </c>
      <c r="N4697">
        <v>-1.327717E-2</v>
      </c>
      <c r="O4697">
        <v>-0.98904999999999998</v>
      </c>
      <c r="P4697">
        <v>4.1182160000000002E-2</v>
      </c>
      <c r="Q4697">
        <v>-3.5582900000000001E-2</v>
      </c>
      <c r="R4697">
        <v>-0.99851800000000002</v>
      </c>
      <c r="S4697">
        <v>-0.30371090000000001</v>
      </c>
      <c r="T4697">
        <v>-0.10690520000000001</v>
      </c>
      <c r="U4697">
        <v>-3.0146480000000002</v>
      </c>
      <c r="V4697">
        <v>-0.1879468</v>
      </c>
      <c r="W4697">
        <v>-1.8593289999999998E-2</v>
      </c>
      <c r="X4697">
        <v>0.98200319999999997</v>
      </c>
      <c r="Y4697">
        <v>-4.7115740000000003E-2</v>
      </c>
      <c r="Z4697">
        <v>2.158243E-2</v>
      </c>
      <c r="AA4697">
        <v>0.99865630000000005</v>
      </c>
      <c r="AB4697">
        <v>41</v>
      </c>
      <c r="AC4697">
        <v>-3.0643999999999698</v>
      </c>
      <c r="AD4697">
        <v>-1.1001380386299999</v>
      </c>
      <c r="AE4697">
        <v>-30.626519999999999</v>
      </c>
      <c r="AF4697">
        <v>-1.4690040246545399</v>
      </c>
      <c r="AG4697">
        <v>-1.1001380386299999</v>
      </c>
      <c r="AH4697">
        <v>30.705053739813302</v>
      </c>
      <c r="AI4697">
        <v>92.049642793660794</v>
      </c>
      <c r="AJ4697">
        <v>92.739080099729904</v>
      </c>
      <c r="AK4697">
        <v>30.759853733288701</v>
      </c>
      <c r="AL4697">
        <v>91.065378438414498</v>
      </c>
      <c r="AM4697">
        <v>100.83488168170599</v>
      </c>
      <c r="AN4697">
        <v>0.99999999743675105</v>
      </c>
    </row>
    <row r="4698" spans="1:40" x14ac:dyDescent="0.25">
      <c r="A4698" t="str">
        <f>"20190305135330107"</f>
        <v>20190305135330107</v>
      </c>
      <c r="B4698" t="str">
        <f>"1551765210105165"</f>
        <v>1551765210105165</v>
      </c>
      <c r="C4698" t="s">
        <v>40</v>
      </c>
      <c r="D4698">
        <v>4.2765380000000004</v>
      </c>
      <c r="E4698">
        <v>0.55508310000000005</v>
      </c>
      <c r="F4698" t="s">
        <v>42</v>
      </c>
      <c r="G4698">
        <v>-425.9366</v>
      </c>
      <c r="H4698" s="1">
        <v>-5.0697489999999998E-6</v>
      </c>
      <c r="I4698">
        <v>58.790010000000002</v>
      </c>
      <c r="J4698">
        <v>-422.75970000000001</v>
      </c>
      <c r="K4698">
        <v>1.100511</v>
      </c>
      <c r="L4698">
        <v>88.994050000000001</v>
      </c>
      <c r="M4698">
        <v>-0.1541545</v>
      </c>
      <c r="N4698">
        <v>-1.3585969999999999E-2</v>
      </c>
      <c r="O4698">
        <v>-0.98795330000000003</v>
      </c>
      <c r="P4698">
        <v>3.7040740000000003E-2</v>
      </c>
      <c r="Q4698">
        <v>-3.6370930000000003E-2</v>
      </c>
      <c r="R4698">
        <v>-0.99865190000000004</v>
      </c>
      <c r="S4698">
        <v>-0.3193665</v>
      </c>
      <c r="T4698">
        <v>-0.1082466</v>
      </c>
      <c r="U4698">
        <v>-3.013763</v>
      </c>
      <c r="V4698">
        <v>-0.1909846</v>
      </c>
      <c r="W4698">
        <v>-1.919096E-2</v>
      </c>
      <c r="X4698">
        <v>0.98140539999999998</v>
      </c>
      <c r="Y4698">
        <v>-4.9199340000000001E-2</v>
      </c>
      <c r="Z4698">
        <v>2.1662810000000001E-2</v>
      </c>
      <c r="AA4698">
        <v>0.9985541</v>
      </c>
      <c r="AB4698">
        <v>41</v>
      </c>
      <c r="AC4698">
        <v>-3.1768999999999799</v>
      </c>
      <c r="AD4698">
        <v>-1.100516069749</v>
      </c>
      <c r="AE4698">
        <v>-30.204039999999999</v>
      </c>
      <c r="AF4698">
        <v>-1.5156098911845599</v>
      </c>
      <c r="AG4698">
        <v>-1.100516069749</v>
      </c>
      <c r="AH4698">
        <v>30.292938845391902</v>
      </c>
      <c r="AI4698">
        <v>92.077993848975893</v>
      </c>
      <c r="AJ4698">
        <v>92.8642219938219</v>
      </c>
      <c r="AK4698">
        <v>30.350788339888101</v>
      </c>
      <c r="AL4698">
        <v>91.099628534173803</v>
      </c>
      <c r="AM4698">
        <v>101.01230347225101</v>
      </c>
      <c r="AN4698">
        <v>0.99999998476602003</v>
      </c>
    </row>
    <row r="4699" spans="1:40" x14ac:dyDescent="0.25">
      <c r="A4699" t="str">
        <f>"20190305135330128"</f>
        <v>20190305135330128</v>
      </c>
      <c r="B4699" t="str">
        <f>"1551765210124684"</f>
        <v>1551765210124684</v>
      </c>
      <c r="C4699" t="s">
        <v>40</v>
      </c>
      <c r="D4699">
        <v>4.278054</v>
      </c>
      <c r="E4699">
        <v>0.55507609999999996</v>
      </c>
      <c r="F4699" t="s">
        <v>42</v>
      </c>
      <c r="G4699">
        <v>-425.79020000000003</v>
      </c>
      <c r="H4699" s="1">
        <v>-2.2359259999999999E-6</v>
      </c>
      <c r="I4699">
        <v>61.209850000000003</v>
      </c>
      <c r="J4699">
        <v>-422.8261</v>
      </c>
      <c r="K4699">
        <v>1.1009370000000001</v>
      </c>
      <c r="L4699">
        <v>88.598939999999999</v>
      </c>
      <c r="M4699">
        <v>-0.16028819999999999</v>
      </c>
      <c r="N4699">
        <v>-1.382627E-2</v>
      </c>
      <c r="O4699">
        <v>-0.9869734</v>
      </c>
      <c r="P4699">
        <v>3.2389830000000001E-2</v>
      </c>
      <c r="Q4699">
        <v>-3.7746309999999998E-2</v>
      </c>
      <c r="R4699">
        <v>-0.9987625</v>
      </c>
      <c r="S4699">
        <v>-0.32852170000000003</v>
      </c>
      <c r="T4699">
        <v>-0.1192994</v>
      </c>
      <c r="U4699">
        <v>-3.0119020000000001</v>
      </c>
      <c r="V4699">
        <v>-0.19250410000000001</v>
      </c>
      <c r="W4699">
        <v>-2.0497640000000001E-2</v>
      </c>
      <c r="X4699">
        <v>0.98108209999999996</v>
      </c>
      <c r="Y4699">
        <v>-5.2344090000000003E-2</v>
      </c>
      <c r="Z4699">
        <v>2.4972850000000001E-2</v>
      </c>
      <c r="AA4699">
        <v>0.9983168</v>
      </c>
      <c r="AB4699">
        <v>41</v>
      </c>
      <c r="AC4699">
        <v>-2.9641000000000299</v>
      </c>
      <c r="AD4699">
        <v>-1.100939235926</v>
      </c>
      <c r="AE4699">
        <v>-27.389089999999999</v>
      </c>
      <c r="AF4699">
        <v>-1.4624645149472999</v>
      </c>
      <c r="AG4699">
        <v>-1.100939235926</v>
      </c>
      <c r="AH4699">
        <v>27.466179162392802</v>
      </c>
      <c r="AI4699">
        <v>92.292140260150504</v>
      </c>
      <c r="AJ4699">
        <v>93.047893558694994</v>
      </c>
      <c r="AK4699">
        <v>27.5271114982909</v>
      </c>
      <c r="AL4699">
        <v>91.174510477154001</v>
      </c>
      <c r="AM4699">
        <v>101.101318418102</v>
      </c>
      <c r="AN4699">
        <v>1.00000003435139</v>
      </c>
    </row>
    <row r="4700" spans="1:40" x14ac:dyDescent="0.25">
      <c r="A4700" t="str">
        <f>"20190305135330152"</f>
        <v>20190305135330152</v>
      </c>
      <c r="B4700" t="str">
        <f>"1551765210145180"</f>
        <v>1551765210145180</v>
      </c>
      <c r="C4700" t="s">
        <v>40</v>
      </c>
      <c r="D4700">
        <v>4.3158059999999896</v>
      </c>
      <c r="E4700">
        <v>0.5549383</v>
      </c>
      <c r="F4700" t="s">
        <v>42</v>
      </c>
      <c r="G4700">
        <v>-425.81110000000001</v>
      </c>
      <c r="H4700" s="1">
        <v>-2.7363010000000002E-6</v>
      </c>
      <c r="I4700">
        <v>62.363280000000003</v>
      </c>
      <c r="J4700">
        <v>-422.9008</v>
      </c>
      <c r="K4700">
        <v>1.1014269999999999</v>
      </c>
      <c r="L4700">
        <v>88.169619999999995</v>
      </c>
      <c r="M4700">
        <v>-0.16642460000000001</v>
      </c>
      <c r="N4700">
        <v>-1.4046690000000001E-2</v>
      </c>
      <c r="O4700">
        <v>-0.9859542</v>
      </c>
      <c r="P4700">
        <v>2.7663690000000001E-2</v>
      </c>
      <c r="Q4700">
        <v>-3.8235419999999999E-2</v>
      </c>
      <c r="R4700">
        <v>-0.99888600000000005</v>
      </c>
      <c r="S4700">
        <v>-0.3424683</v>
      </c>
      <c r="T4700">
        <v>-0.1263118</v>
      </c>
      <c r="U4700">
        <v>-3.01004</v>
      </c>
      <c r="V4700">
        <v>-0.1939428</v>
      </c>
      <c r="W4700">
        <v>-2.0969729999999999E-2</v>
      </c>
      <c r="X4700">
        <v>0.98078869999999896</v>
      </c>
      <c r="Y4700">
        <v>-5.392541E-2</v>
      </c>
      <c r="Z4700">
        <v>2.698455E-2</v>
      </c>
      <c r="AA4700">
        <v>0.99818030000000002</v>
      </c>
      <c r="AB4700">
        <v>41</v>
      </c>
      <c r="AC4700">
        <v>-2.9102999999999999</v>
      </c>
      <c r="AD4700">
        <v>-1.1014297363009999</v>
      </c>
      <c r="AE4700">
        <v>-25.806339999999899</v>
      </c>
      <c r="AF4700">
        <v>-1.42296827256576</v>
      </c>
      <c r="AG4700">
        <v>-1.1014297363009999</v>
      </c>
      <c r="AH4700">
        <v>25.884211934212399</v>
      </c>
      <c r="AI4700">
        <v>92.432921431011394</v>
      </c>
      <c r="AJ4700">
        <v>93.146632098439397</v>
      </c>
      <c r="AK4700">
        <v>25.946684058352499</v>
      </c>
      <c r="AL4700">
        <v>91.201565090132306</v>
      </c>
      <c r="AM4700">
        <v>101.185462736204</v>
      </c>
      <c r="AN4700">
        <v>1.0000000066479</v>
      </c>
    </row>
    <row r="4701" spans="1:40" x14ac:dyDescent="0.25">
      <c r="A4701" t="str">
        <f>"20190305135330173"</f>
        <v>20190305135330173</v>
      </c>
      <c r="B4701" t="str">
        <f>"1551765210164700"</f>
        <v>1551765210164700</v>
      </c>
      <c r="C4701" t="s">
        <v>40</v>
      </c>
      <c r="D4701">
        <v>4.3268800000000001</v>
      </c>
      <c r="E4701">
        <v>0.55469040000000003</v>
      </c>
      <c r="F4701" t="s">
        <v>42</v>
      </c>
      <c r="G4701">
        <v>-425.93</v>
      </c>
      <c r="H4701" s="1">
        <v>-2.8467339999999999E-6</v>
      </c>
      <c r="I4701">
        <v>62.546950000000002</v>
      </c>
      <c r="J4701">
        <v>-422.96899999999999</v>
      </c>
      <c r="K4701">
        <v>1.1018870000000001</v>
      </c>
      <c r="L4701">
        <v>87.788449999999997</v>
      </c>
      <c r="M4701">
        <v>-0.17136770000000001</v>
      </c>
      <c r="N4701">
        <v>-1.421442E-2</v>
      </c>
      <c r="O4701">
        <v>-0.9851046</v>
      </c>
      <c r="P4701">
        <v>2.3394660000000001E-2</v>
      </c>
      <c r="Q4701">
        <v>-3.6648779999999999E-2</v>
      </c>
      <c r="R4701">
        <v>-0.99905440000000001</v>
      </c>
      <c r="S4701">
        <v>-0.35565190000000002</v>
      </c>
      <c r="T4701">
        <v>-0.12931379999999901</v>
      </c>
      <c r="U4701">
        <v>-3.0082399999999998</v>
      </c>
      <c r="V4701">
        <v>-0.19462840000000001</v>
      </c>
      <c r="W4701">
        <v>-1.941828E-2</v>
      </c>
      <c r="X4701">
        <v>0.98068480000000002</v>
      </c>
      <c r="Y4701">
        <v>-5.455231E-2</v>
      </c>
      <c r="Z4701">
        <v>2.775803E-2</v>
      </c>
      <c r="AA4701">
        <v>0.99812500000000004</v>
      </c>
      <c r="AB4701">
        <v>41</v>
      </c>
      <c r="AC4701">
        <v>-2.9610000000000101</v>
      </c>
      <c r="AD4701">
        <v>-1.1018898467339999</v>
      </c>
      <c r="AE4701">
        <v>-25.241499999999899</v>
      </c>
      <c r="AF4701">
        <v>-1.4061820704407</v>
      </c>
      <c r="AG4701">
        <v>-1.1018898467339999</v>
      </c>
      <c r="AH4701">
        <v>25.327889820664701</v>
      </c>
      <c r="AI4701">
        <v>92.487256514689705</v>
      </c>
      <c r="AJ4701">
        <v>93.177748746382406</v>
      </c>
      <c r="AK4701">
        <v>25.390815505164401</v>
      </c>
      <c r="AL4701">
        <v>91.112655443532802</v>
      </c>
      <c r="AM4701">
        <v>101.225160828604</v>
      </c>
      <c r="AN4701">
        <v>0.99999998031787896</v>
      </c>
    </row>
    <row r="4702" spans="1:40" x14ac:dyDescent="0.25">
      <c r="A4702" t="str">
        <f>"20190305135330194"</f>
        <v>20190305135330194</v>
      </c>
      <c r="B4702" t="str">
        <f>"1551765210185197"</f>
        <v>1551765210185197</v>
      </c>
      <c r="C4702" t="s">
        <v>40</v>
      </c>
      <c r="D4702">
        <v>4.3180449999999997</v>
      </c>
      <c r="E4702">
        <v>0.55461870000000002</v>
      </c>
      <c r="F4702" t="s">
        <v>42</v>
      </c>
      <c r="G4702">
        <v>-426.214</v>
      </c>
      <c r="H4702" s="1">
        <v>-2.3293330000000001E-6</v>
      </c>
      <c r="I4702">
        <v>61.164769999999997</v>
      </c>
      <c r="J4702">
        <v>-423.04160000000002</v>
      </c>
      <c r="K4702">
        <v>1.102414</v>
      </c>
      <c r="L4702">
        <v>87.391329999999996</v>
      </c>
      <c r="M4702">
        <v>-0.17591270000000001</v>
      </c>
      <c r="N4702">
        <v>-1.436257E-2</v>
      </c>
      <c r="O4702">
        <v>-0.98430110000000004</v>
      </c>
      <c r="P4702">
        <v>2.0145719999999999E-2</v>
      </c>
      <c r="Q4702">
        <v>-3.5695079999999997E-2</v>
      </c>
      <c r="R4702">
        <v>-0.99915969999999998</v>
      </c>
      <c r="S4702">
        <v>-0.36648560000000002</v>
      </c>
      <c r="T4702">
        <v>-0.1244456</v>
      </c>
      <c r="U4702">
        <v>-3.0068359999999998</v>
      </c>
      <c r="V4702">
        <v>-0.19592960000000001</v>
      </c>
      <c r="W4702">
        <v>-1.854658E-2</v>
      </c>
      <c r="X4702">
        <v>0.98044260000000005</v>
      </c>
      <c r="Y4702">
        <v>-5.5556059999999997E-2</v>
      </c>
      <c r="Z4702">
        <v>2.600711E-2</v>
      </c>
      <c r="AA4702">
        <v>0.99811680000000003</v>
      </c>
      <c r="AB4702">
        <v>41</v>
      </c>
      <c r="AC4702">
        <v>-3.1723999999999801</v>
      </c>
      <c r="AD4702">
        <v>-1.102416329333</v>
      </c>
      <c r="AE4702">
        <v>-26.226559999999999</v>
      </c>
      <c r="AF4702">
        <v>-1.48854964646455</v>
      </c>
      <c r="AG4702">
        <v>-1.102416329333</v>
      </c>
      <c r="AH4702">
        <v>26.329764184584</v>
      </c>
      <c r="AI4702">
        <v>92.393732307380503</v>
      </c>
      <c r="AJ4702">
        <v>93.235764681914603</v>
      </c>
      <c r="AK4702">
        <v>26.394840098568</v>
      </c>
      <c r="AL4702">
        <v>91.062701648036594</v>
      </c>
      <c r="AM4702">
        <v>101.301002314626</v>
      </c>
      <c r="AN4702">
        <v>1.0000000378403</v>
      </c>
    </row>
    <row r="4703" spans="1:40" x14ac:dyDescent="0.25">
      <c r="A4703" t="str">
        <f>"20190305135330218"</f>
        <v>20190305135330218</v>
      </c>
      <c r="B4703" t="str">
        <f>"1551765210214476"</f>
        <v>1551765210214476</v>
      </c>
      <c r="C4703" t="s">
        <v>40</v>
      </c>
      <c r="D4703">
        <v>4.3388720000000003</v>
      </c>
      <c r="E4703">
        <v>0.55426039999999999</v>
      </c>
      <c r="F4703" t="s">
        <v>42</v>
      </c>
      <c r="G4703">
        <v>-426.46510000000001</v>
      </c>
      <c r="H4703" s="1">
        <v>-1.9068159999999999E-6</v>
      </c>
      <c r="I4703">
        <v>60.02413</v>
      </c>
      <c r="J4703">
        <v>-423.11689999999999</v>
      </c>
      <c r="K4703">
        <v>1.1030249999999999</v>
      </c>
      <c r="L4703">
        <v>86.987430000000003</v>
      </c>
      <c r="M4703">
        <v>-0.1798293</v>
      </c>
      <c r="N4703">
        <v>-1.4487440000000001E-2</v>
      </c>
      <c r="O4703">
        <v>-0.98359129999999995</v>
      </c>
      <c r="P4703">
        <v>1.8278829999999999E-2</v>
      </c>
      <c r="Q4703">
        <v>-3.6581089999999997E-2</v>
      </c>
      <c r="R4703">
        <v>-0.99916369999999999</v>
      </c>
      <c r="S4703">
        <v>-0.37600709999999998</v>
      </c>
      <c r="T4703">
        <v>-0.1210794</v>
      </c>
      <c r="U4703">
        <v>-3.0057680000000002</v>
      </c>
      <c r="V4703">
        <v>-0.19797629999999999</v>
      </c>
      <c r="W4703">
        <v>-1.9574999999999999E-2</v>
      </c>
      <c r="X4703">
        <v>0.98001130000000003</v>
      </c>
      <c r="Y4703">
        <v>-5.6369799999999998E-2</v>
      </c>
      <c r="Z4703">
        <v>2.4767919999999999E-2</v>
      </c>
      <c r="AA4703">
        <v>0.99810270000000001</v>
      </c>
      <c r="AB4703">
        <v>41</v>
      </c>
      <c r="AC4703">
        <v>-3.3482000000000198</v>
      </c>
      <c r="AD4703">
        <v>-1.1030269068159999</v>
      </c>
      <c r="AE4703">
        <v>-26.9633</v>
      </c>
      <c r="AF4703">
        <v>-1.55313429896705</v>
      </c>
      <c r="AG4703">
        <v>-1.1030269068159999</v>
      </c>
      <c r="AH4703">
        <v>27.0811822047113</v>
      </c>
      <c r="AI4703">
        <v>92.328567665311894</v>
      </c>
      <c r="AJ4703">
        <v>93.282377665959899</v>
      </c>
      <c r="AK4703">
        <v>27.148099825081001</v>
      </c>
      <c r="AL4703">
        <v>91.121636554656604</v>
      </c>
      <c r="AM4703">
        <v>101.42086155559601</v>
      </c>
      <c r="AN4703">
        <v>0.99999997205718905</v>
      </c>
    </row>
    <row r="4704" spans="1:40" x14ac:dyDescent="0.25">
      <c r="A4704" t="str">
        <f>"20190305135330241"</f>
        <v>20190305135330241</v>
      </c>
      <c r="B4704" t="str">
        <f>"1551765210234975"</f>
        <v>1551765210234975</v>
      </c>
      <c r="C4704" t="s">
        <v>40</v>
      </c>
      <c r="D4704">
        <v>4.3427020000000001</v>
      </c>
      <c r="E4704">
        <v>0.55406889999999998</v>
      </c>
      <c r="F4704" t="s">
        <v>42</v>
      </c>
      <c r="G4704">
        <v>-426.53699999999998</v>
      </c>
      <c r="H4704" s="1">
        <v>-1.839435E-6</v>
      </c>
      <c r="I4704">
        <v>59.82244</v>
      </c>
      <c r="J4704">
        <v>-423.19670000000002</v>
      </c>
      <c r="K4704">
        <v>1.1037650000000001</v>
      </c>
      <c r="L4704">
        <v>86.565889999999996</v>
      </c>
      <c r="M4704">
        <v>-0.18312249999999999</v>
      </c>
      <c r="N4704">
        <v>-1.459501E-2</v>
      </c>
      <c r="O4704">
        <v>-0.98298169999999996</v>
      </c>
      <c r="P4704">
        <v>1.783034E-2</v>
      </c>
      <c r="Q4704">
        <v>-3.7153199999999997E-2</v>
      </c>
      <c r="R4704">
        <v>-0.9991506</v>
      </c>
      <c r="S4704">
        <v>-0.37832640000000001</v>
      </c>
      <c r="T4704">
        <v>-0.12201620000000001</v>
      </c>
      <c r="U4704">
        <v>-3.0049739999999998</v>
      </c>
      <c r="V4704">
        <v>-0.2007845</v>
      </c>
      <c r="W4704">
        <v>-2.0360420000000001E-2</v>
      </c>
      <c r="X4704">
        <v>0.97942379999999996</v>
      </c>
      <c r="Y4704">
        <v>-5.892207E-2</v>
      </c>
      <c r="Z4704">
        <v>2.493656E-2</v>
      </c>
      <c r="AA4704">
        <v>0.99795109999999998</v>
      </c>
      <c r="AB4704">
        <v>41</v>
      </c>
      <c r="AC4704">
        <v>-3.3402999999999499</v>
      </c>
      <c r="AD4704">
        <v>-1.103766839435</v>
      </c>
      <c r="AE4704">
        <v>-26.743449999999999</v>
      </c>
      <c r="AF4704">
        <v>-1.6113430381749501</v>
      </c>
      <c r="AG4704">
        <v>-1.103766839435</v>
      </c>
      <c r="AH4704">
        <v>26.8578258544695</v>
      </c>
      <c r="AI4704">
        <v>92.349121464763996</v>
      </c>
      <c r="AJ4704">
        <v>93.433361440208799</v>
      </c>
      <c r="AK4704">
        <v>26.928749270092801</v>
      </c>
      <c r="AL4704">
        <v>91.166646783260703</v>
      </c>
      <c r="AM4704">
        <v>101.585273368202</v>
      </c>
      <c r="AN4704">
        <v>0.99999997107463201</v>
      </c>
    </row>
    <row r="4705" spans="1:40" x14ac:dyDescent="0.25">
      <c r="A4705" t="str">
        <f>"20190305135330263"</f>
        <v>20190305135330263</v>
      </c>
      <c r="B4705" t="str">
        <f>"1551765210254496"</f>
        <v>1551765210254496</v>
      </c>
      <c r="C4705" t="s">
        <v>40</v>
      </c>
      <c r="D4705">
        <v>4.3315159999999997</v>
      </c>
      <c r="E4705">
        <v>0.55378769999999999</v>
      </c>
      <c r="F4705" t="s">
        <v>42</v>
      </c>
      <c r="G4705">
        <v>-426.55340000000001</v>
      </c>
      <c r="H4705" s="1">
        <v>-1.8818619999999999E-6</v>
      </c>
      <c r="I4705">
        <v>59.911180000000002</v>
      </c>
      <c r="J4705">
        <v>-423.27050000000003</v>
      </c>
      <c r="K4705">
        <v>1.1045039999999999</v>
      </c>
      <c r="L4705">
        <v>86.179749999999999</v>
      </c>
      <c r="M4705">
        <v>-0.18539990000000001</v>
      </c>
      <c r="N4705">
        <v>-1.467831E-2</v>
      </c>
      <c r="O4705">
        <v>-0.98255360000000003</v>
      </c>
      <c r="P4705">
        <v>1.8019400000000001E-2</v>
      </c>
      <c r="Q4705">
        <v>-3.6748570000000001E-2</v>
      </c>
      <c r="R4705">
        <v>-0.99916240000000001</v>
      </c>
      <c r="S4705">
        <v>-0.37838749999999999</v>
      </c>
      <c r="T4705">
        <v>-0.1244228</v>
      </c>
      <c r="U4705">
        <v>-3.0046689999999998</v>
      </c>
      <c r="V4705">
        <v>-0.20319999999999999</v>
      </c>
      <c r="W4705">
        <v>-2.0205379999999998E-2</v>
      </c>
      <c r="X4705">
        <v>0.97892869999999998</v>
      </c>
      <c r="Y4705">
        <v>-6.1203649999999998E-2</v>
      </c>
      <c r="Z4705">
        <v>2.5606670000000002E-2</v>
      </c>
      <c r="AA4705">
        <v>0.99779680000000004</v>
      </c>
      <c r="AB4705">
        <v>41</v>
      </c>
      <c r="AC4705">
        <v>-3.2828999999999802</v>
      </c>
      <c r="AD4705">
        <v>-1.1045058818619999</v>
      </c>
      <c r="AE4705">
        <v>-26.26857</v>
      </c>
      <c r="AF4705">
        <v>-1.6418840196346001</v>
      </c>
      <c r="AG4705">
        <v>-1.1045058818619999</v>
      </c>
      <c r="AH4705">
        <v>26.375858443289701</v>
      </c>
      <c r="AI4705">
        <v>92.393269237418593</v>
      </c>
      <c r="AJ4705">
        <v>93.562037448353493</v>
      </c>
      <c r="AK4705">
        <v>26.449983459304001</v>
      </c>
      <c r="AL4705">
        <v>91.157761843633395</v>
      </c>
      <c r="AM4705">
        <v>101.726577589103</v>
      </c>
      <c r="AN4705">
        <v>0.999999948532315</v>
      </c>
    </row>
    <row r="4706" spans="1:40" x14ac:dyDescent="0.25">
      <c r="A4706" t="str">
        <f>"20190305135330284"</f>
        <v>20190305135330284</v>
      </c>
      <c r="B4706" t="str">
        <f>"1551765210274988"</f>
        <v>1551765210274988</v>
      </c>
      <c r="C4706" t="s">
        <v>40</v>
      </c>
      <c r="D4706">
        <v>4.3359370000000004</v>
      </c>
      <c r="E4706">
        <v>0.55339579999999999</v>
      </c>
      <c r="F4706" t="s">
        <v>42</v>
      </c>
      <c r="G4706">
        <v>-426.58920000000001</v>
      </c>
      <c r="H4706" s="1">
        <v>-1.7704100000000001E-6</v>
      </c>
      <c r="I4706">
        <v>59.629150000000003</v>
      </c>
      <c r="J4706">
        <v>-423.34500000000003</v>
      </c>
      <c r="K4706">
        <v>1.105264</v>
      </c>
      <c r="L4706">
        <v>85.791960000000003</v>
      </c>
      <c r="M4706">
        <v>-0.1870096</v>
      </c>
      <c r="N4706">
        <v>-1.47517E-2</v>
      </c>
      <c r="O4706">
        <v>-0.98224739999999999</v>
      </c>
      <c r="P4706">
        <v>1.921397E-2</v>
      </c>
      <c r="Q4706">
        <v>-3.6579359999999998E-2</v>
      </c>
      <c r="R4706">
        <v>-0.99914619999999998</v>
      </c>
      <c r="S4706">
        <v>-0.37557980000000002</v>
      </c>
      <c r="T4706">
        <v>-0.1249956</v>
      </c>
      <c r="U4706">
        <v>-3.0047000000000001</v>
      </c>
      <c r="V4706">
        <v>-0.20593410000000001</v>
      </c>
      <c r="W4706">
        <v>-2.0313339999999999E-2</v>
      </c>
      <c r="X4706">
        <v>0.97835499999999997</v>
      </c>
      <c r="Y4706">
        <v>-6.3757179999999997E-2</v>
      </c>
      <c r="Z4706">
        <v>2.5698559999999999E-2</v>
      </c>
      <c r="AA4706">
        <v>0.99763449999999998</v>
      </c>
      <c r="AB4706">
        <v>41</v>
      </c>
      <c r="AC4706">
        <v>-3.24419999999997</v>
      </c>
      <c r="AD4706">
        <v>-1.10526577041</v>
      </c>
      <c r="AE4706">
        <v>-26.16281</v>
      </c>
      <c r="AF4706">
        <v>-1.7032813375957601</v>
      </c>
      <c r="AG4706">
        <v>-1.10526577041</v>
      </c>
      <c r="AH4706">
        <v>26.261749657852299</v>
      </c>
      <c r="AI4706">
        <v>92.404911076938205</v>
      </c>
      <c r="AJ4706">
        <v>93.7108851286049</v>
      </c>
      <c r="AK4706">
        <v>26.3401267048955</v>
      </c>
      <c r="AL4706">
        <v>91.163948711247698</v>
      </c>
      <c r="AM4706">
        <v>101.886674341995</v>
      </c>
      <c r="AN4706">
        <v>0.99999999567488196</v>
      </c>
    </row>
    <row r="4707" spans="1:40" x14ac:dyDescent="0.25">
      <c r="A4707" t="str">
        <f>"20190305135330308"</f>
        <v>20190305135330308</v>
      </c>
      <c r="B4707" t="str">
        <f>"1551765210305244"</f>
        <v>1551765210305244</v>
      </c>
      <c r="C4707" t="s">
        <v>40</v>
      </c>
      <c r="D4707">
        <v>4.3408369999999996</v>
      </c>
      <c r="E4707">
        <v>0.55292769999999902</v>
      </c>
      <c r="F4707" t="s">
        <v>42</v>
      </c>
      <c r="G4707">
        <v>-426.57560000000001</v>
      </c>
      <c r="H4707" s="1">
        <v>-5.4052840000000001E-6</v>
      </c>
      <c r="I4707">
        <v>59.442929999999997</v>
      </c>
      <c r="J4707">
        <v>-423.42320000000001</v>
      </c>
      <c r="K4707">
        <v>1.1060430000000001</v>
      </c>
      <c r="L4707">
        <v>85.385890000000003</v>
      </c>
      <c r="M4707">
        <v>-0.18796589999999999</v>
      </c>
      <c r="N4707">
        <v>-1.4818400000000001E-2</v>
      </c>
      <c r="O4707">
        <v>-0.98206389999999999</v>
      </c>
      <c r="P4707">
        <v>2.1074430000000002E-2</v>
      </c>
      <c r="Q4707">
        <v>-3.6975189999999998E-2</v>
      </c>
      <c r="R4707">
        <v>-0.99909420000000004</v>
      </c>
      <c r="S4707">
        <v>-0.36843870000000001</v>
      </c>
      <c r="T4707">
        <v>-0.126053</v>
      </c>
      <c r="U4707">
        <v>-3.0050349999999999</v>
      </c>
      <c r="V4707">
        <v>-0.20866879999999999</v>
      </c>
      <c r="W4707">
        <v>-2.1010890000000001E-2</v>
      </c>
      <c r="X4707">
        <v>0.97776070000000004</v>
      </c>
      <c r="Y4707">
        <v>-6.7076549999999999E-2</v>
      </c>
      <c r="Z4707">
        <v>2.5955929999999999E-2</v>
      </c>
      <c r="AA4707">
        <v>0.99741020000000002</v>
      </c>
      <c r="AB4707">
        <v>41</v>
      </c>
      <c r="AC4707">
        <v>-3.1524000000000001</v>
      </c>
      <c r="AD4707">
        <v>-1.1060484052840001</v>
      </c>
      <c r="AE4707">
        <v>-25.942959999999999</v>
      </c>
      <c r="AF4707">
        <v>-1.77754493436951</v>
      </c>
      <c r="AG4707">
        <v>-1.1060484052840001</v>
      </c>
      <c r="AH4707">
        <v>26.026428976376302</v>
      </c>
      <c r="AI4707">
        <v>92.4277927407975</v>
      </c>
      <c r="AJ4707">
        <v>93.907101840699397</v>
      </c>
      <c r="AK4707">
        <v>26.110496248269499</v>
      </c>
      <c r="AL4707">
        <v>91.203923844638396</v>
      </c>
      <c r="AM4707">
        <v>102.04705055168</v>
      </c>
      <c r="AN4707">
        <v>1.00000005602825</v>
      </c>
    </row>
    <row r="4708" spans="1:40" x14ac:dyDescent="0.25">
      <c r="A4708" t="str">
        <f>"20190305135330331"</f>
        <v>20190305135330331</v>
      </c>
      <c r="B4708" t="str">
        <f>"1551765210324764"</f>
        <v>1551765210324764</v>
      </c>
      <c r="C4708" t="s">
        <v>40</v>
      </c>
      <c r="D4708">
        <v>4.3898460000000004</v>
      </c>
      <c r="E4708">
        <v>0.552624</v>
      </c>
      <c r="F4708" t="s">
        <v>42</v>
      </c>
      <c r="G4708">
        <v>-426.4896</v>
      </c>
      <c r="H4708" s="1">
        <v>-1.7957860000000001E-6</v>
      </c>
      <c r="I4708">
        <v>59.750120000000003</v>
      </c>
      <c r="J4708">
        <v>-423.5034</v>
      </c>
      <c r="K4708">
        <v>1.1067979999999999</v>
      </c>
      <c r="L4708">
        <v>84.968689999999995</v>
      </c>
      <c r="M4708">
        <v>-0.1882645</v>
      </c>
      <c r="N4708">
        <v>-1.4876830000000001E-2</v>
      </c>
      <c r="O4708">
        <v>-0.98200569999999998</v>
      </c>
      <c r="P4708">
        <v>2.437129E-2</v>
      </c>
      <c r="Q4708">
        <v>-3.7123290000000003E-2</v>
      </c>
      <c r="R4708">
        <v>-0.9990137</v>
      </c>
      <c r="S4708">
        <v>-0.35949710000000001</v>
      </c>
      <c r="T4708">
        <v>-0.12967210000000001</v>
      </c>
      <c r="U4708">
        <v>-3.0055239999999999</v>
      </c>
      <c r="V4708">
        <v>-0.21215239999999999</v>
      </c>
      <c r="W4708">
        <v>-2.146313E-2</v>
      </c>
      <c r="X4708">
        <v>0.97700089999999995</v>
      </c>
      <c r="Y4708">
        <v>-7.0325120000000005E-2</v>
      </c>
      <c r="Z4708">
        <v>2.7050500000000002E-2</v>
      </c>
      <c r="AA4708">
        <v>0.99715730000000002</v>
      </c>
      <c r="AB4708">
        <v>41</v>
      </c>
      <c r="AC4708">
        <v>-2.98619999999999</v>
      </c>
      <c r="AD4708">
        <v>-1.1067997957860001</v>
      </c>
      <c r="AE4708">
        <v>-25.21857</v>
      </c>
      <c r="AF4708">
        <v>-1.81205484778003</v>
      </c>
      <c r="AG4708">
        <v>-1.1067997957860001</v>
      </c>
      <c r="AH4708">
        <v>25.2817537399381</v>
      </c>
      <c r="AI4708">
        <v>92.500322463473196</v>
      </c>
      <c r="AJ4708">
        <v>94.099630693274804</v>
      </c>
      <c r="AK4708">
        <v>25.370763108865901</v>
      </c>
      <c r="AL4708">
        <v>91.229841160588194</v>
      </c>
      <c r="AM4708">
        <v>102.251383893447</v>
      </c>
      <c r="AN4708">
        <v>1.0000000326879801</v>
      </c>
    </row>
    <row r="4709" spans="1:40" x14ac:dyDescent="0.25">
      <c r="A4709" t="str">
        <f>"20190305135330352"</f>
        <v>20190305135330352</v>
      </c>
      <c r="B4709" t="str">
        <f>"1551765210344284"</f>
        <v>1551765210344284</v>
      </c>
      <c r="C4709" t="s">
        <v>40</v>
      </c>
      <c r="D4709">
        <v>4.3555409999999997</v>
      </c>
      <c r="E4709">
        <v>0.55228330000000003</v>
      </c>
      <c r="F4709" t="s">
        <v>42</v>
      </c>
      <c r="G4709">
        <v>-426.42219999999998</v>
      </c>
      <c r="H4709" s="1">
        <v>-1.752426E-6</v>
      </c>
      <c r="I4709">
        <v>59.690809999999999</v>
      </c>
      <c r="J4709">
        <v>-423.57679999999999</v>
      </c>
      <c r="K4709">
        <v>1.107434</v>
      </c>
      <c r="L4709">
        <v>84.585239999999999</v>
      </c>
      <c r="M4709">
        <v>-0.1880597</v>
      </c>
      <c r="N4709">
        <v>-1.492131E-2</v>
      </c>
      <c r="O4709">
        <v>-0.98204429999999998</v>
      </c>
      <c r="P4709">
        <v>2.767638E-2</v>
      </c>
      <c r="Q4709">
        <v>-3.7291119999999997E-2</v>
      </c>
      <c r="R4709">
        <v>-0.99892119999999995</v>
      </c>
      <c r="S4709">
        <v>-0.34716799999999998</v>
      </c>
      <c r="T4709">
        <v>-0.13164189999999901</v>
      </c>
      <c r="U4709">
        <v>-3.0065309999999998</v>
      </c>
      <c r="V4709">
        <v>-0.21514630000000001</v>
      </c>
      <c r="W4709">
        <v>-2.1896470000000001E-2</v>
      </c>
      <c r="X4709">
        <v>0.97633630000000005</v>
      </c>
      <c r="Y4709">
        <v>-7.4189140000000001E-2</v>
      </c>
      <c r="Z4709">
        <v>2.7626319999999999E-2</v>
      </c>
      <c r="AA4709">
        <v>0.99686149999999996</v>
      </c>
      <c r="AB4709">
        <v>40</v>
      </c>
      <c r="AC4709">
        <v>-2.8453999999999802</v>
      </c>
      <c r="AD4709">
        <v>-1.1074357524259999</v>
      </c>
      <c r="AE4709">
        <v>-24.89443</v>
      </c>
      <c r="AF4709">
        <v>-1.88386025521817</v>
      </c>
      <c r="AG4709">
        <v>-1.1074357524259999</v>
      </c>
      <c r="AH4709">
        <v>24.936606771272</v>
      </c>
      <c r="AI4709">
        <v>92.535621267485496</v>
      </c>
      <c r="AJ4709">
        <v>94.320259107307095</v>
      </c>
      <c r="AK4709">
        <v>25.032173311000999</v>
      </c>
      <c r="AL4709">
        <v>91.2546756183159</v>
      </c>
      <c r="AM4709">
        <v>102.42713790407601</v>
      </c>
      <c r="AN4709">
        <v>0.99999997824992004</v>
      </c>
    </row>
    <row r="4710" spans="1:40" x14ac:dyDescent="0.25">
      <c r="A4710" t="str">
        <f>"20190305135330373"</f>
        <v>20190305135330373</v>
      </c>
      <c r="B4710" t="str">
        <f>"1551765210364781"</f>
        <v>1551765210364781</v>
      </c>
      <c r="C4710" t="s">
        <v>40</v>
      </c>
      <c r="D4710">
        <v>4.3500139999999998</v>
      </c>
      <c r="E4710">
        <v>0.5519503</v>
      </c>
      <c r="F4710" t="s">
        <v>42</v>
      </c>
      <c r="G4710">
        <v>-426.36540000000002</v>
      </c>
      <c r="H4710" s="1">
        <v>-5.3923320000000001E-6</v>
      </c>
      <c r="I4710">
        <v>59.514409999999998</v>
      </c>
      <c r="J4710">
        <v>-423.64940000000001</v>
      </c>
      <c r="K4710">
        <v>1.1080110000000001</v>
      </c>
      <c r="L4710">
        <v>84.204250000000002</v>
      </c>
      <c r="M4710">
        <v>-0.18744330000000001</v>
      </c>
      <c r="N4710">
        <v>-1.495674E-2</v>
      </c>
      <c r="O4710">
        <v>-0.98216179999999997</v>
      </c>
      <c r="P4710">
        <v>3.0092009999999999E-2</v>
      </c>
      <c r="Q4710">
        <v>-3.5652440000000001E-2</v>
      </c>
      <c r="R4710">
        <v>-0.9989114</v>
      </c>
      <c r="S4710">
        <v>-0.33453369999999999</v>
      </c>
      <c r="T4710">
        <v>-0.1328503</v>
      </c>
      <c r="U4710">
        <v>-3.0075379999999998</v>
      </c>
      <c r="V4710">
        <v>-0.21687119999999999</v>
      </c>
      <c r="W4710">
        <v>-2.0510210000000001E-2</v>
      </c>
      <c r="X4710">
        <v>0.97598479999999999</v>
      </c>
      <c r="Y4710">
        <v>-7.7734540000000005E-2</v>
      </c>
      <c r="Z4710">
        <v>2.797084E-2</v>
      </c>
      <c r="AA4710">
        <v>0.99658170000000001</v>
      </c>
      <c r="AB4710">
        <v>40</v>
      </c>
      <c r="AC4710">
        <v>-2.7160000000000002</v>
      </c>
      <c r="AD4710">
        <v>-1.1080163923319899</v>
      </c>
      <c r="AE4710">
        <v>-24.68984</v>
      </c>
      <c r="AF4710">
        <v>-1.95671878066572</v>
      </c>
      <c r="AG4710">
        <v>-1.1080163923319899</v>
      </c>
      <c r="AH4710">
        <v>24.712102618046298</v>
      </c>
      <c r="AI4710">
        <v>92.559251608376599</v>
      </c>
      <c r="AJ4710">
        <v>94.527267862509703</v>
      </c>
      <c r="AK4710">
        <v>24.814198848988401</v>
      </c>
      <c r="AL4710">
        <v>91.175230808759096</v>
      </c>
      <c r="AM4710">
        <v>102.528007100325</v>
      </c>
      <c r="AN4710">
        <v>1.00000005796736</v>
      </c>
    </row>
    <row r="4711" spans="1:40" x14ac:dyDescent="0.25">
      <c r="A4711" t="str">
        <f>"20190305135330396"</f>
        <v>20190305135330396</v>
      </c>
      <c r="B4711" t="str">
        <f>"1551765210384300"</f>
        <v>1551765210384300</v>
      </c>
      <c r="C4711" t="s">
        <v>40</v>
      </c>
      <c r="D4711">
        <v>4.3680070000000004</v>
      </c>
      <c r="E4711">
        <v>0.55175369999999901</v>
      </c>
      <c r="F4711" t="s">
        <v>42</v>
      </c>
      <c r="G4711">
        <v>-426.41800000000001</v>
      </c>
      <c r="H4711" s="1">
        <v>-5.0722189999999998E-6</v>
      </c>
      <c r="I4711">
        <v>58.54636</v>
      </c>
      <c r="J4711">
        <v>-423.7244</v>
      </c>
      <c r="K4711">
        <v>1.108581</v>
      </c>
      <c r="L4711">
        <v>83.80838</v>
      </c>
      <c r="M4711">
        <v>-0.18640979999999999</v>
      </c>
      <c r="N4711">
        <v>-1.498619E-2</v>
      </c>
      <c r="O4711">
        <v>-0.9823577</v>
      </c>
      <c r="P4711">
        <v>3.2282230000000002E-2</v>
      </c>
      <c r="Q4711">
        <v>-3.1974750000000003E-2</v>
      </c>
      <c r="R4711">
        <v>-0.9989673</v>
      </c>
      <c r="S4711">
        <v>-0.3246155</v>
      </c>
      <c r="T4711">
        <v>-0.12991639999999999</v>
      </c>
      <c r="U4711">
        <v>-3.0084230000000001</v>
      </c>
      <c r="V4711">
        <v>-0.21797549999999999</v>
      </c>
      <c r="W4711">
        <v>-1.708732E-2</v>
      </c>
      <c r="X4711">
        <v>0.97580469999999997</v>
      </c>
      <c r="Y4711">
        <v>-7.9960820000000002E-2</v>
      </c>
      <c r="Z4711">
        <v>2.699708E-2</v>
      </c>
      <c r="AA4711">
        <v>0.9964324</v>
      </c>
      <c r="AB4711">
        <v>40</v>
      </c>
      <c r="AC4711">
        <v>-2.6936</v>
      </c>
      <c r="AD4711">
        <v>-1.108586072219</v>
      </c>
      <c r="AE4711">
        <v>-25.26202</v>
      </c>
      <c r="AF4711">
        <v>-2.0593200697885701</v>
      </c>
      <c r="AG4711">
        <v>-1.108586072219</v>
      </c>
      <c r="AH4711">
        <v>25.273175752333799</v>
      </c>
      <c r="AI4711">
        <v>92.503334026274203</v>
      </c>
      <c r="AJ4711">
        <v>94.658308763226003</v>
      </c>
      <c r="AK4711">
        <v>25.381157870312101</v>
      </c>
      <c r="AL4711">
        <v>90.979078915104694</v>
      </c>
      <c r="AM4711">
        <v>102.59202004933999</v>
      </c>
      <c r="AN4711">
        <v>1.0000000538235501</v>
      </c>
    </row>
    <row r="4712" spans="1:40" x14ac:dyDescent="0.25">
      <c r="A4712" t="str">
        <f>"20190305135330419"</f>
        <v>20190305135330419</v>
      </c>
      <c r="B4712" t="str">
        <f>"1551765210414556"</f>
        <v>1551765210414556</v>
      </c>
      <c r="C4712" t="s">
        <v>40</v>
      </c>
      <c r="D4712">
        <v>4.4155139999999999</v>
      </c>
      <c r="E4712">
        <v>0.55154419999999904</v>
      </c>
      <c r="F4712" t="s">
        <v>42</v>
      </c>
      <c r="G4712">
        <v>-426.63240000000002</v>
      </c>
      <c r="H4712" s="1">
        <v>-4.2879879999999999E-6</v>
      </c>
      <c r="I4712">
        <v>56.130090000000003</v>
      </c>
      <c r="J4712">
        <v>-423.80070000000001</v>
      </c>
      <c r="K4712">
        <v>1.109138</v>
      </c>
      <c r="L4712">
        <v>83.401030000000006</v>
      </c>
      <c r="M4712">
        <v>-0.18496560000000001</v>
      </c>
      <c r="N4712">
        <v>-1.50113E-2</v>
      </c>
      <c r="O4712">
        <v>-0.98263060000000002</v>
      </c>
      <c r="P4712">
        <v>3.4598919999999998E-2</v>
      </c>
      <c r="Q4712">
        <v>-2.8595929999999999E-2</v>
      </c>
      <c r="R4712">
        <v>-0.99899260000000001</v>
      </c>
      <c r="S4712">
        <v>-0.31619259999999999</v>
      </c>
      <c r="T4712">
        <v>-0.1205364</v>
      </c>
      <c r="U4712">
        <v>-3.0094599999999998</v>
      </c>
      <c r="V4712">
        <v>-0.2188002</v>
      </c>
      <c r="W4712">
        <v>-1.397089E-2</v>
      </c>
      <c r="X4712">
        <v>0.97566960000000003</v>
      </c>
      <c r="Y4712">
        <v>-8.1282699999999999E-2</v>
      </c>
      <c r="Z4712">
        <v>2.3957329999999999E-2</v>
      </c>
      <c r="AA4712">
        <v>0.99640309999999999</v>
      </c>
      <c r="AB4712">
        <v>40</v>
      </c>
      <c r="AC4712">
        <v>-2.8317000000000099</v>
      </c>
      <c r="AD4712">
        <v>-1.109142287988</v>
      </c>
      <c r="AE4712">
        <v>-27.27094</v>
      </c>
      <c r="AF4712">
        <v>-2.2582293993925502</v>
      </c>
      <c r="AG4712">
        <v>-1.109142287988</v>
      </c>
      <c r="AH4712">
        <v>27.2794561278968</v>
      </c>
      <c r="AI4712">
        <v>92.320351043811996</v>
      </c>
      <c r="AJ4712">
        <v>94.732230374560302</v>
      </c>
      <c r="AK4712">
        <v>27.395228111281199</v>
      </c>
      <c r="AL4712">
        <v>90.800499122858199</v>
      </c>
      <c r="AM4712">
        <v>102.639827531569</v>
      </c>
      <c r="AN4712">
        <v>0.99999994082579402</v>
      </c>
    </row>
    <row r="4713" spans="1:40" x14ac:dyDescent="0.25">
      <c r="A4713" t="str">
        <f>"20190305135330441"</f>
        <v>20190305135330441</v>
      </c>
      <c r="B4713" t="str">
        <f>"1551765210435052"</f>
        <v>1551765210435052</v>
      </c>
      <c r="C4713" t="s">
        <v>40</v>
      </c>
      <c r="D4713">
        <v>4.427708</v>
      </c>
      <c r="E4713">
        <v>0.55133859999999901</v>
      </c>
      <c r="F4713" t="s">
        <v>42</v>
      </c>
      <c r="G4713">
        <v>-426.81740000000002</v>
      </c>
      <c r="H4713" s="1">
        <v>-3.556899E-6</v>
      </c>
      <c r="I4713">
        <v>53.885359999999999</v>
      </c>
      <c r="J4713">
        <v>-423.87400000000002</v>
      </c>
      <c r="K4713">
        <v>1.1096680000000001</v>
      </c>
      <c r="L4713">
        <v>83.005489999999995</v>
      </c>
      <c r="M4713">
        <v>-0.1832049</v>
      </c>
      <c r="N4713">
        <v>-1.503261E-2</v>
      </c>
      <c r="O4713">
        <v>-0.9829599</v>
      </c>
      <c r="P4713">
        <v>3.7766069999999999E-2</v>
      </c>
      <c r="Q4713">
        <v>-2.8572460000000001E-2</v>
      </c>
      <c r="R4713">
        <v>-0.99887809999999999</v>
      </c>
      <c r="S4713">
        <v>-0.30767820000000001</v>
      </c>
      <c r="T4713">
        <v>-0.1131264</v>
      </c>
      <c r="U4713">
        <v>-3.010437</v>
      </c>
      <c r="V4713">
        <v>-0.2201275</v>
      </c>
      <c r="W4713">
        <v>-1.4210530000000001E-2</v>
      </c>
      <c r="X4713">
        <v>0.9753676</v>
      </c>
      <c r="Y4713">
        <v>-8.2314419999999999E-2</v>
      </c>
      <c r="Z4713">
        <v>2.155733E-2</v>
      </c>
      <c r="AA4713">
        <v>0.99637319999999996</v>
      </c>
      <c r="AB4713">
        <v>40</v>
      </c>
      <c r="AC4713">
        <v>-2.9433999999999898</v>
      </c>
      <c r="AD4713">
        <v>-1.1096715568989901</v>
      </c>
      <c r="AE4713">
        <v>-29.12013</v>
      </c>
      <c r="AF4713">
        <v>-2.4384769016844499</v>
      </c>
      <c r="AG4713">
        <v>-1.1096715568989901</v>
      </c>
      <c r="AH4713">
        <v>29.124593784821801</v>
      </c>
      <c r="AI4713">
        <v>92.174361560688695</v>
      </c>
      <c r="AJ4713">
        <v>94.785966681938206</v>
      </c>
      <c r="AK4713">
        <v>29.247555516574799</v>
      </c>
      <c r="AL4713">
        <v>90.814230795098197</v>
      </c>
      <c r="AM4713">
        <v>102.71782741191601</v>
      </c>
      <c r="AN4713">
        <v>1.00000000527444</v>
      </c>
    </row>
    <row r="4714" spans="1:40" x14ac:dyDescent="0.25">
      <c r="A4714" t="str">
        <f>"20190305135330463"</f>
        <v>20190305135330463</v>
      </c>
      <c r="B4714" t="str">
        <f>"1551765210454576"</f>
        <v>1551765210454576</v>
      </c>
      <c r="C4714" t="s">
        <v>40</v>
      </c>
      <c r="D4714">
        <v>4.4346959999999997</v>
      </c>
      <c r="E4714">
        <v>0.55137349999999996</v>
      </c>
      <c r="F4714" t="s">
        <v>42</v>
      </c>
      <c r="G4714">
        <v>-426.73250000000002</v>
      </c>
      <c r="H4714" s="1">
        <v>-3.56326E-6</v>
      </c>
      <c r="I4714">
        <v>53.94829</v>
      </c>
      <c r="J4714">
        <v>-423.94299999999998</v>
      </c>
      <c r="K4714">
        <v>1.110155</v>
      </c>
      <c r="L4714">
        <v>82.626980000000003</v>
      </c>
      <c r="M4714">
        <v>-0.18117030000000001</v>
      </c>
      <c r="N4714">
        <v>-1.505158E-2</v>
      </c>
      <c r="O4714">
        <v>-0.98333669999999995</v>
      </c>
      <c r="P4714">
        <v>4.259462E-2</v>
      </c>
      <c r="Q4714">
        <v>-3.1635709999999997E-2</v>
      </c>
      <c r="R4714">
        <v>-0.99859189999999998</v>
      </c>
      <c r="S4714">
        <v>-0.2962341</v>
      </c>
      <c r="T4714">
        <v>-0.11499760000000001</v>
      </c>
      <c r="U4714">
        <v>-3.0112610000000002</v>
      </c>
      <c r="V4714">
        <v>-0.2227808</v>
      </c>
      <c r="W4714">
        <v>-1.7540790000000001E-2</v>
      </c>
      <c r="X4714">
        <v>0.97471079999999999</v>
      </c>
      <c r="Y4714">
        <v>-8.4028510000000001E-2</v>
      </c>
      <c r="Z4714">
        <v>2.2149519999999999E-2</v>
      </c>
      <c r="AA4714">
        <v>0.99621709999999997</v>
      </c>
      <c r="AB4714">
        <v>40</v>
      </c>
      <c r="AC4714">
        <v>-2.7894999999999701</v>
      </c>
      <c r="AD4714">
        <v>-1.11015856326</v>
      </c>
      <c r="AE4714">
        <v>-28.67869</v>
      </c>
      <c r="AF4714">
        <v>-2.44935075656239</v>
      </c>
      <c r="AG4714">
        <v>-1.11015856326</v>
      </c>
      <c r="AH4714">
        <v>28.666876788673701</v>
      </c>
      <c r="AI4714">
        <v>92.209695282501698</v>
      </c>
      <c r="AJ4714">
        <v>94.8835960670162</v>
      </c>
      <c r="AK4714">
        <v>28.792735125049401</v>
      </c>
      <c r="AL4714">
        <v>91.005064726247895</v>
      </c>
      <c r="AM4714">
        <v>102.874429513585</v>
      </c>
      <c r="AN4714">
        <v>1.0000000538995499</v>
      </c>
    </row>
    <row r="4715" spans="1:40" x14ac:dyDescent="0.25">
      <c r="A4715" t="str">
        <f>"20190305135330486"</f>
        <v>20190305135330486</v>
      </c>
      <c r="B4715" t="str">
        <f>"1551765210475069"</f>
        <v>1551765210475069</v>
      </c>
      <c r="C4715" t="s">
        <v>40</v>
      </c>
      <c r="D4715">
        <v>4.456334</v>
      </c>
      <c r="E4715">
        <v>0.55124530000000005</v>
      </c>
      <c r="F4715" t="s">
        <v>42</v>
      </c>
      <c r="G4715">
        <v>-426.45650000000001</v>
      </c>
      <c r="H4715" s="1">
        <v>-4.1361720000000004E-6</v>
      </c>
      <c r="I4715">
        <v>55.775649999999999</v>
      </c>
      <c r="J4715">
        <v>-424.0136</v>
      </c>
      <c r="K4715">
        <v>1.1106670000000001</v>
      </c>
      <c r="L4715">
        <v>82.232569999999996</v>
      </c>
      <c r="M4715">
        <v>-0.17866870000000001</v>
      </c>
      <c r="N4715">
        <v>-1.507084E-2</v>
      </c>
      <c r="O4715">
        <v>-0.9837939</v>
      </c>
      <c r="P4715">
        <v>4.8321719999999999E-2</v>
      </c>
      <c r="Q4715">
        <v>-3.3722920000000003E-2</v>
      </c>
      <c r="R4715">
        <v>-0.99826239999999999</v>
      </c>
      <c r="S4715">
        <v>-0.28198240000000002</v>
      </c>
      <c r="T4715">
        <v>-0.12454369999999999</v>
      </c>
      <c r="U4715">
        <v>-3.0123289999999998</v>
      </c>
      <c r="V4715">
        <v>-0.22584750000000001</v>
      </c>
      <c r="W4715">
        <v>-1.991389E-2</v>
      </c>
      <c r="X4715">
        <v>0.97395909999999997</v>
      </c>
      <c r="Y4715">
        <v>-8.6202379999999995E-2</v>
      </c>
      <c r="Z4715">
        <v>2.5214210000000001E-2</v>
      </c>
      <c r="AA4715">
        <v>0.99595849999999997</v>
      </c>
      <c r="AB4715">
        <v>40</v>
      </c>
      <c r="AC4715">
        <v>-2.4428999999999998</v>
      </c>
      <c r="AD4715">
        <v>-1.1106711361720001</v>
      </c>
      <c r="AE4715">
        <v>-26.45692</v>
      </c>
      <c r="AF4715">
        <v>-2.3199232818163802</v>
      </c>
      <c r="AG4715">
        <v>-1.1106711361720001</v>
      </c>
      <c r="AH4715">
        <v>26.421461038423999</v>
      </c>
      <c r="AI4715">
        <v>92.397893675928501</v>
      </c>
      <c r="AJ4715">
        <v>95.017958372005495</v>
      </c>
      <c r="AK4715">
        <v>26.5463601612574</v>
      </c>
      <c r="AL4715">
        <v>91.141057284720702</v>
      </c>
      <c r="AM4715">
        <v>103.05535394028099</v>
      </c>
      <c r="AN4715">
        <v>0.99999999237199499</v>
      </c>
    </row>
    <row r="4716" spans="1:40" x14ac:dyDescent="0.25">
      <c r="A4716" t="str">
        <f>"20190305135330508"</f>
        <v>20190305135330508</v>
      </c>
      <c r="B4716" t="str">
        <f>"1551765210504978"</f>
        <v>1551765210504978</v>
      </c>
      <c r="C4716" t="s">
        <v>40</v>
      </c>
      <c r="D4716">
        <v>4.3411049999999998</v>
      </c>
      <c r="E4716">
        <v>0.55112240000000001</v>
      </c>
      <c r="F4716" t="s">
        <v>42</v>
      </c>
      <c r="G4716">
        <v>-426.21949999999998</v>
      </c>
      <c r="H4716" s="1">
        <v>-4.5183070000000004E-6</v>
      </c>
      <c r="I4716">
        <v>57.022150000000003</v>
      </c>
      <c r="J4716">
        <v>-424.08479999999997</v>
      </c>
      <c r="K4716">
        <v>1.111183</v>
      </c>
      <c r="L4716">
        <v>81.82611</v>
      </c>
      <c r="M4716">
        <v>-0.1756327</v>
      </c>
      <c r="N4716">
        <v>-1.509134E-2</v>
      </c>
      <c r="O4716">
        <v>-0.98434010000000005</v>
      </c>
      <c r="P4716">
        <v>5.3466189999999997E-2</v>
      </c>
      <c r="Q4716">
        <v>-3.3318130000000001E-2</v>
      </c>
      <c r="R4716">
        <v>-0.99801390000000001</v>
      </c>
      <c r="S4716">
        <v>-0.26367190000000001</v>
      </c>
      <c r="T4716">
        <v>-0.1327624</v>
      </c>
      <c r="U4716">
        <v>-3.0134889999999999</v>
      </c>
      <c r="V4716">
        <v>-0.22784080000000001</v>
      </c>
      <c r="W4716">
        <v>-1.9788960000000001E-2</v>
      </c>
      <c r="X4716">
        <v>0.97349730000000001</v>
      </c>
      <c r="Y4716">
        <v>-8.916934E-2</v>
      </c>
      <c r="Z4716">
        <v>2.7855020000000001E-2</v>
      </c>
      <c r="AA4716">
        <v>0.99562689999999998</v>
      </c>
      <c r="AB4716">
        <v>40</v>
      </c>
      <c r="AC4716">
        <v>-2.1347</v>
      </c>
      <c r="AD4716">
        <v>-1.1111875183069999</v>
      </c>
      <c r="AE4716">
        <v>-24.80396</v>
      </c>
      <c r="AF4716">
        <v>-2.25088830143393</v>
      </c>
      <c r="AG4716">
        <v>-1.1111875183069999</v>
      </c>
      <c r="AH4716">
        <v>24.743984362209101</v>
      </c>
      <c r="AI4716">
        <v>92.560716828624393</v>
      </c>
      <c r="AJ4716">
        <v>95.197724867596705</v>
      </c>
      <c r="AK4716">
        <v>24.870987072563501</v>
      </c>
      <c r="AL4716">
        <v>91.133897888607606</v>
      </c>
      <c r="AM4716">
        <v>103.17260957864001</v>
      </c>
      <c r="AN4716">
        <v>1.0000000130949001</v>
      </c>
    </row>
    <row r="4717" spans="1:40" x14ac:dyDescent="0.25">
      <c r="A4717" t="str">
        <f>"20190305135330532"</f>
        <v>20190305135330532</v>
      </c>
      <c r="B4717" t="str">
        <f>"1551765210524499"</f>
        <v>1551765210524499</v>
      </c>
      <c r="C4717" t="s">
        <v>40</v>
      </c>
      <c r="D4717">
        <v>4.4990709999999998</v>
      </c>
      <c r="E4717">
        <v>0.55098219999999898</v>
      </c>
      <c r="F4717" t="s">
        <v>42</v>
      </c>
      <c r="G4717">
        <v>-426.11439999999999</v>
      </c>
      <c r="H4717" s="1">
        <v>-4.5160880000000004E-6</v>
      </c>
      <c r="I4717">
        <v>57.070369999999997</v>
      </c>
      <c r="J4717">
        <v>-424.1542</v>
      </c>
      <c r="K4717">
        <v>1.111659</v>
      </c>
      <c r="L4717">
        <v>81.420199999999994</v>
      </c>
      <c r="M4717">
        <v>-0.172232</v>
      </c>
      <c r="N4717">
        <v>-1.511127E-2</v>
      </c>
      <c r="O4717">
        <v>-0.9849405</v>
      </c>
      <c r="P4717">
        <v>5.824642E-2</v>
      </c>
      <c r="Q4717">
        <v>-3.3140309999999999E-2</v>
      </c>
      <c r="R4717">
        <v>-0.99775210000000003</v>
      </c>
      <c r="S4717">
        <v>-0.24716189999999999</v>
      </c>
      <c r="T4717">
        <v>-0.13531840000000001</v>
      </c>
      <c r="U4717">
        <v>-3.0147089999999999</v>
      </c>
      <c r="V4717">
        <v>-0.22912099999999999</v>
      </c>
      <c r="W4717">
        <v>-1.986218E-2</v>
      </c>
      <c r="X4717">
        <v>0.97319529999999999</v>
      </c>
      <c r="Y4717">
        <v>-9.1178209999999996E-2</v>
      </c>
      <c r="Z4717">
        <v>2.8677480000000002E-2</v>
      </c>
      <c r="AA4717">
        <v>0.99542160000000002</v>
      </c>
      <c r="AB4717">
        <v>40</v>
      </c>
      <c r="AC4717">
        <v>-1.96019999999998</v>
      </c>
      <c r="AD4717">
        <v>-1.111663516088</v>
      </c>
      <c r="AE4717">
        <v>-24.349830000000001</v>
      </c>
      <c r="AF4717">
        <v>-2.2587205099769001</v>
      </c>
      <c r="AG4717">
        <v>-1.111663516088</v>
      </c>
      <c r="AH4717">
        <v>24.273253829979101</v>
      </c>
      <c r="AI4717">
        <v>92.610928864401401</v>
      </c>
      <c r="AJ4717">
        <v>95.316285390912697</v>
      </c>
      <c r="AK4717">
        <v>24.4034519199597</v>
      </c>
      <c r="AL4717">
        <v>91.138093907629596</v>
      </c>
      <c r="AM4717">
        <v>103.247987711832</v>
      </c>
      <c r="AN4717">
        <v>1.0000000153887201</v>
      </c>
    </row>
    <row r="4718" spans="1:40" x14ac:dyDescent="0.25">
      <c r="A4718" t="str">
        <f>"20190305135330553"</f>
        <v>20190305135330553</v>
      </c>
      <c r="B4718" t="str">
        <f>"1551765210544998"</f>
        <v>1551765210544998</v>
      </c>
      <c r="C4718" t="s">
        <v>40</v>
      </c>
      <c r="D4718">
        <v>4.5056640000000003</v>
      </c>
      <c r="E4718">
        <v>0.55100260000000001</v>
      </c>
      <c r="F4718" t="s">
        <v>42</v>
      </c>
      <c r="G4718">
        <v>-426.0462</v>
      </c>
      <c r="H4718" s="1">
        <v>-4.417346E-6</v>
      </c>
      <c r="I4718">
        <v>56.815779999999997</v>
      </c>
      <c r="J4718">
        <v>-424.21730000000002</v>
      </c>
      <c r="K4718">
        <v>1.11206</v>
      </c>
      <c r="L4718">
        <v>81.041529999999995</v>
      </c>
      <c r="M4718">
        <v>-0.16873640000000001</v>
      </c>
      <c r="N4718">
        <v>-1.512763E-2</v>
      </c>
      <c r="O4718">
        <v>-0.98554509999999995</v>
      </c>
      <c r="P4718">
        <v>6.2391769999999999E-2</v>
      </c>
      <c r="Q4718">
        <v>-3.2719459999999999E-2</v>
      </c>
      <c r="R4718">
        <v>-0.9975155</v>
      </c>
      <c r="S4718">
        <v>-0.2319031</v>
      </c>
      <c r="T4718">
        <v>-0.13625719999999999</v>
      </c>
      <c r="U4718">
        <v>-3.0157780000000001</v>
      </c>
      <c r="V4718">
        <v>-0.22969829999999999</v>
      </c>
      <c r="W4718">
        <v>-1.9650540000000001E-2</v>
      </c>
      <c r="X4718">
        <v>0.97306349999999997</v>
      </c>
      <c r="Y4718">
        <v>-9.2678289999999997E-2</v>
      </c>
      <c r="Z4718">
        <v>2.898589E-2</v>
      </c>
      <c r="AA4718">
        <v>0.99527410000000005</v>
      </c>
      <c r="AB4718">
        <v>40</v>
      </c>
      <c r="AC4718">
        <v>-1.82889999999997</v>
      </c>
      <c r="AD4718">
        <v>-1.1120644173459999</v>
      </c>
      <c r="AE4718">
        <v>-24.225750000000001</v>
      </c>
      <c r="AF4718">
        <v>-2.2807851568642601</v>
      </c>
      <c r="AG4718">
        <v>-1.1120644173459999</v>
      </c>
      <c r="AH4718">
        <v>24.136367470609098</v>
      </c>
      <c r="AI4718">
        <v>92.626309792560704</v>
      </c>
      <c r="AJ4718">
        <v>95.3981805348172</v>
      </c>
      <c r="AK4718">
        <v>24.269382004418201</v>
      </c>
      <c r="AL4718">
        <v>91.125965463526001</v>
      </c>
      <c r="AM4718">
        <v>103.281921422791</v>
      </c>
      <c r="AN4718">
        <v>1.00000001388871</v>
      </c>
    </row>
    <row r="4719" spans="1:40" x14ac:dyDescent="0.25">
      <c r="A4719" t="str">
        <f>"20190305135330575"</f>
        <v>20190305135330575</v>
      </c>
      <c r="B4719" t="str">
        <f>"1551765210564515"</f>
        <v>1551765210564515</v>
      </c>
      <c r="C4719" t="s">
        <v>40</v>
      </c>
      <c r="D4719">
        <v>4.5383180000000003</v>
      </c>
      <c r="E4719">
        <v>0.55101999999999995</v>
      </c>
      <c r="F4719" t="s">
        <v>42</v>
      </c>
      <c r="G4719">
        <v>-426.02050000000003</v>
      </c>
      <c r="H4719" s="1">
        <v>-4.2202449999999996E-6</v>
      </c>
      <c r="I4719">
        <v>56.249960000000002</v>
      </c>
      <c r="J4719">
        <v>-424.2801</v>
      </c>
      <c r="K4719">
        <v>1.1124579999999999</v>
      </c>
      <c r="L4719">
        <v>80.655059999999906</v>
      </c>
      <c r="M4719">
        <v>-0.16485320000000001</v>
      </c>
      <c r="N4719">
        <v>-1.514252E-2</v>
      </c>
      <c r="O4719">
        <v>-0.98620189999999996</v>
      </c>
      <c r="P4719">
        <v>6.6537479999999996E-2</v>
      </c>
      <c r="Q4719">
        <v>-3.1855710000000002E-2</v>
      </c>
      <c r="R4719">
        <v>-0.99727520000000003</v>
      </c>
      <c r="S4719">
        <v>-0.21942139999999999</v>
      </c>
      <c r="T4719">
        <v>-0.1353211</v>
      </c>
      <c r="U4719">
        <v>-3.0167540000000002</v>
      </c>
      <c r="V4719">
        <v>-0.229904</v>
      </c>
      <c r="W4719">
        <v>-1.8980859999999999E-2</v>
      </c>
      <c r="X4719">
        <v>0.97302820000000001</v>
      </c>
      <c r="Y4719">
        <v>-9.2875460000000007E-2</v>
      </c>
      <c r="Z4719">
        <v>2.8697839999999999E-2</v>
      </c>
      <c r="AA4719">
        <v>0.99526409999999998</v>
      </c>
      <c r="AB4719">
        <v>40</v>
      </c>
      <c r="AC4719">
        <v>-1.7404000000000199</v>
      </c>
      <c r="AD4719">
        <v>-1.1124622202450001</v>
      </c>
      <c r="AE4719">
        <v>-24.405100000000001</v>
      </c>
      <c r="AF4719">
        <v>-2.3023777613544998</v>
      </c>
      <c r="AG4719">
        <v>-1.1124622202450001</v>
      </c>
      <c r="AH4719">
        <v>24.307806661196899</v>
      </c>
      <c r="AI4719">
        <v>92.608689876707203</v>
      </c>
      <c r="AJ4719">
        <v>95.410777991669406</v>
      </c>
      <c r="AK4719">
        <v>24.441930779412299</v>
      </c>
      <c r="AL4719">
        <v>91.0875884808585</v>
      </c>
      <c r="AM4719">
        <v>103.293858727257</v>
      </c>
      <c r="AN4719">
        <v>1.0000000001287801</v>
      </c>
    </row>
    <row r="4720" spans="1:40" x14ac:dyDescent="0.25">
      <c r="A4720" t="str">
        <f>"20190305135330599"</f>
        <v>20190305135330599</v>
      </c>
      <c r="B4720" t="str">
        <f>"1551765210594486"</f>
        <v>1551765210594486</v>
      </c>
      <c r="C4720" t="s">
        <v>40</v>
      </c>
      <c r="D4720">
        <v>4.5166219999999999</v>
      </c>
      <c r="E4720">
        <v>0.55120429999999998</v>
      </c>
      <c r="F4720" t="s">
        <v>42</v>
      </c>
      <c r="G4720">
        <v>-426.01029999999997</v>
      </c>
      <c r="H4720" s="1">
        <v>-3.948654E-6</v>
      </c>
      <c r="I4720">
        <v>55.4572</v>
      </c>
      <c r="J4720">
        <v>-424.3408</v>
      </c>
      <c r="K4720">
        <v>1.112819</v>
      </c>
      <c r="L4720">
        <v>80.270899999999997</v>
      </c>
      <c r="M4720">
        <v>-0.16070309999999999</v>
      </c>
      <c r="N4720">
        <v>-1.5156799999999899E-2</v>
      </c>
      <c r="O4720">
        <v>-0.98688659999999995</v>
      </c>
      <c r="P4720">
        <v>6.9612030000000005E-2</v>
      </c>
      <c r="Q4720">
        <v>-2.982046E-2</v>
      </c>
      <c r="R4720">
        <v>-0.99712849999999997</v>
      </c>
      <c r="S4720">
        <v>-0.20721439999999999</v>
      </c>
      <c r="T4720">
        <v>-0.133231399999999</v>
      </c>
      <c r="U4720">
        <v>-3.0177610000000001</v>
      </c>
      <c r="V4720">
        <v>-0.22882359999999999</v>
      </c>
      <c r="W4720">
        <v>-1.7109739999999998E-2</v>
      </c>
      <c r="X4720">
        <v>0.9733176</v>
      </c>
      <c r="Y4720">
        <v>-9.2716140000000002E-2</v>
      </c>
      <c r="Z4720">
        <v>2.803901E-2</v>
      </c>
      <c r="AA4720">
        <v>0.99529769999999895</v>
      </c>
      <c r="AB4720">
        <v>40</v>
      </c>
      <c r="AC4720">
        <v>-1.66949999999997</v>
      </c>
      <c r="AD4720">
        <v>-1.112822948654</v>
      </c>
      <c r="AE4720">
        <v>-24.813700000000001</v>
      </c>
      <c r="AF4720">
        <v>-2.3356233395550801</v>
      </c>
      <c r="AG4720">
        <v>-1.112822948654</v>
      </c>
      <c r="AH4720">
        <v>24.709967024306</v>
      </c>
      <c r="AI4720">
        <v>92.567168269357495</v>
      </c>
      <c r="AJ4720">
        <v>95.399640902612603</v>
      </c>
      <c r="AK4720">
        <v>24.845039376938299</v>
      </c>
      <c r="AL4720">
        <v>90.980363661514104</v>
      </c>
      <c r="AM4720">
        <v>103.22979292818999</v>
      </c>
      <c r="AN4720">
        <v>1.0000000667947899</v>
      </c>
    </row>
    <row r="4721" spans="1:40" x14ac:dyDescent="0.25">
      <c r="A4721" t="str">
        <f>"20190305135330619"</f>
        <v>20190305135330619</v>
      </c>
      <c r="B4721" t="str">
        <f>"1551765210614982"</f>
        <v>1551765210614982</v>
      </c>
      <c r="C4721" t="s">
        <v>40</v>
      </c>
      <c r="D4721">
        <v>4.6654879999999999</v>
      </c>
      <c r="E4721">
        <v>0.53727159999999996</v>
      </c>
      <c r="F4721" t="s">
        <v>42</v>
      </c>
      <c r="G4721">
        <v>-426.08019999999999</v>
      </c>
      <c r="H4721" s="1">
        <v>-3.4506160000000001E-6</v>
      </c>
      <c r="I4721">
        <v>53.957270000000001</v>
      </c>
      <c r="J4721">
        <v>-424.40159999999997</v>
      </c>
      <c r="K4721">
        <v>1.1131719999999901</v>
      </c>
      <c r="L4721">
        <v>79.872829999999993</v>
      </c>
      <c r="M4721">
        <v>-0.15613529999999901</v>
      </c>
      <c r="N4721">
        <v>-1.517172E-2</v>
      </c>
      <c r="O4721">
        <v>-0.98761929999999998</v>
      </c>
      <c r="P4721">
        <v>7.2565920000000006E-2</v>
      </c>
      <c r="Q4721">
        <v>-2.7581399999999999E-2</v>
      </c>
      <c r="R4721">
        <v>-0.99698249999999999</v>
      </c>
      <c r="S4721">
        <v>-0.19955439999999999</v>
      </c>
      <c r="T4721">
        <v>-0.1276659</v>
      </c>
      <c r="U4721">
        <v>-3.0187680000000001</v>
      </c>
      <c r="V4721">
        <v>-0.22722229999999999</v>
      </c>
      <c r="W4721">
        <v>-1.5019029999999999E-2</v>
      </c>
      <c r="X4721">
        <v>0.97372709999999996</v>
      </c>
      <c r="Y4721">
        <v>-9.0644870000000002E-2</v>
      </c>
      <c r="Z4721">
        <v>2.6260499999999999E-2</v>
      </c>
      <c r="AA4721">
        <v>0.99553700000000001</v>
      </c>
      <c r="AB4721">
        <v>40</v>
      </c>
      <c r="AC4721">
        <v>-1.6786000000000101</v>
      </c>
      <c r="AD4721">
        <v>-1.1131754506160001</v>
      </c>
      <c r="AE4721">
        <v>-25.915559999999999</v>
      </c>
      <c r="AF4721">
        <v>-2.3844096153685799</v>
      </c>
      <c r="AG4721">
        <v>-1.1131754506160001</v>
      </c>
      <c r="AH4721">
        <v>25.812342653143102</v>
      </c>
      <c r="AI4721">
        <v>92.458934759103798</v>
      </c>
      <c r="AJ4721">
        <v>95.277707611454701</v>
      </c>
      <c r="AK4721">
        <v>25.946128844993201</v>
      </c>
      <c r="AL4721">
        <v>90.8605593819901</v>
      </c>
      <c r="AM4721">
        <v>103.135099867831</v>
      </c>
      <c r="AN4721">
        <v>1.00000000507692</v>
      </c>
    </row>
    <row r="4722" spans="1:40" x14ac:dyDescent="0.25">
      <c r="A4722" t="str">
        <f>"20190305135330643"</f>
        <v>20190305135330643</v>
      </c>
      <c r="B4722" t="str">
        <f>"1551765210634502"</f>
        <v>1551765210634502</v>
      </c>
      <c r="C4722" t="s">
        <v>40</v>
      </c>
      <c r="D4722">
        <v>4.5752059999999997</v>
      </c>
      <c r="E4722">
        <v>0.52743209999999996</v>
      </c>
      <c r="F4722" t="s">
        <v>42</v>
      </c>
      <c r="G4722">
        <v>-424.87700000000001</v>
      </c>
      <c r="H4722" s="1">
        <v>-2.465532E-6</v>
      </c>
      <c r="I4722">
        <v>62.311439999999997</v>
      </c>
      <c r="J4722">
        <v>-424.46179999999998</v>
      </c>
      <c r="K4722">
        <v>1.113483</v>
      </c>
      <c r="L4722">
        <v>79.466089999999994</v>
      </c>
      <c r="M4722">
        <v>-0.1512387</v>
      </c>
      <c r="N4722">
        <v>-1.51865E-2</v>
      </c>
      <c r="O4722">
        <v>-0.98838060000000005</v>
      </c>
      <c r="P4722">
        <v>7.6325980000000002E-2</v>
      </c>
      <c r="Q4722">
        <v>-2.745676E-2</v>
      </c>
      <c r="R4722">
        <v>-0.99670479999999995</v>
      </c>
      <c r="S4722">
        <v>-8.1481929999999994E-2</v>
      </c>
      <c r="T4722">
        <v>-0.1907799</v>
      </c>
      <c r="U4722">
        <v>-3.009735</v>
      </c>
      <c r="V4722">
        <v>-0.22606039999999999</v>
      </c>
      <c r="W4722">
        <v>-1.5033410000000001E-2</v>
      </c>
      <c r="X4722">
        <v>0.97399729999999995</v>
      </c>
      <c r="Y4722">
        <v>-0.1244035</v>
      </c>
      <c r="Z4722">
        <v>4.6781290000000003E-2</v>
      </c>
      <c r="AA4722">
        <v>0.99112829999999996</v>
      </c>
      <c r="AB4722">
        <v>40</v>
      </c>
      <c r="AC4722">
        <v>-0.41519999999996998</v>
      </c>
      <c r="AD4722">
        <v>-1.1134854655319999</v>
      </c>
      <c r="AE4722">
        <v>-17.15465</v>
      </c>
      <c r="AF4722">
        <v>-2.17516436023385</v>
      </c>
      <c r="AG4722">
        <v>-1.1134854655319999</v>
      </c>
      <c r="AH4722">
        <v>16.9487150612234</v>
      </c>
      <c r="AI4722">
        <v>93.728287659195203</v>
      </c>
      <c r="AJ4722">
        <v>97.313249847324499</v>
      </c>
      <c r="AK4722">
        <v>17.123963679666101</v>
      </c>
      <c r="AL4722">
        <v>90.861383371907394</v>
      </c>
      <c r="AM4722">
        <v>103.06674379102201</v>
      </c>
      <c r="AN4722">
        <v>1.00000002413583</v>
      </c>
    </row>
    <row r="4723" spans="1:40" x14ac:dyDescent="0.25">
      <c r="A4723" t="str">
        <f>"20190305135330664"</f>
        <v>20190305135330664</v>
      </c>
      <c r="B4723" t="str">
        <f>"1551765210654998"</f>
        <v>1551765210654998</v>
      </c>
      <c r="C4723" t="s">
        <v>40</v>
      </c>
      <c r="D4723">
        <v>4.5673859999999999</v>
      </c>
      <c r="E4723">
        <v>0.524595699999999</v>
      </c>
      <c r="F4723" t="s">
        <v>42</v>
      </c>
      <c r="G4723">
        <v>-424.40949999999998</v>
      </c>
      <c r="H4723" s="1">
        <v>-1.7777299999999999E-6</v>
      </c>
      <c r="I4723">
        <v>60.998179999999998</v>
      </c>
      <c r="J4723">
        <v>-424.51479999999998</v>
      </c>
      <c r="K4723">
        <v>1.1137170000000001</v>
      </c>
      <c r="L4723">
        <v>79.093319999999906</v>
      </c>
      <c r="M4723">
        <v>-0.14658840000000001</v>
      </c>
      <c r="N4723">
        <v>-1.5198390000000001E-2</v>
      </c>
      <c r="O4723">
        <v>-0.98908079999999998</v>
      </c>
      <c r="P4723">
        <v>8.1464239999999993E-2</v>
      </c>
      <c r="Q4723">
        <v>-2.9923379999999999E-2</v>
      </c>
      <c r="R4723">
        <v>-0.99622730000000004</v>
      </c>
      <c r="S4723">
        <v>8.5144039999999997E-3</v>
      </c>
      <c r="T4723">
        <v>-0.1811364</v>
      </c>
      <c r="U4723">
        <v>-3.0042719999999998</v>
      </c>
      <c r="V4723">
        <v>-0.2264553</v>
      </c>
      <c r="W4723">
        <v>-1.7628599999999901E-2</v>
      </c>
      <c r="X4723">
        <v>0.97386200000000001</v>
      </c>
      <c r="Y4723">
        <v>-0.14931800000000001</v>
      </c>
      <c r="Z4723">
        <v>4.3690409999999999E-2</v>
      </c>
      <c r="AA4723">
        <v>0.98782349999999997</v>
      </c>
      <c r="AB4723">
        <v>40</v>
      </c>
      <c r="AC4723">
        <v>0.10529999999999901</v>
      </c>
      <c r="AD4723">
        <v>-1.1137187777299999</v>
      </c>
      <c r="AE4723">
        <v>-18.095139999999901</v>
      </c>
      <c r="AF4723">
        <v>-2.7466021088841002</v>
      </c>
      <c r="AG4723">
        <v>-1.1137187777299999</v>
      </c>
      <c r="AH4723">
        <v>17.8166956059992</v>
      </c>
      <c r="AI4723">
        <v>93.5352429080653</v>
      </c>
      <c r="AJ4723">
        <v>98.763665886569399</v>
      </c>
      <c r="AK4723">
        <v>18.061529142828</v>
      </c>
      <c r="AL4723">
        <v>91.0100967183118</v>
      </c>
      <c r="AM4723">
        <v>103.090540388893</v>
      </c>
      <c r="AN4723">
        <v>0.999999982740024</v>
      </c>
    </row>
    <row r="4724" spans="1:40" x14ac:dyDescent="0.25">
      <c r="A4724" t="str">
        <f>"20190305135330687"</f>
        <v>20190305135330687</v>
      </c>
      <c r="B4724" t="str">
        <f>"1551765210674518"</f>
        <v>1551765210674518</v>
      </c>
      <c r="C4724" t="s">
        <v>40</v>
      </c>
      <c r="D4724">
        <v>4.4848919999999897</v>
      </c>
      <c r="E4724">
        <v>0.52371869999999998</v>
      </c>
      <c r="F4724" t="s">
        <v>42</v>
      </c>
      <c r="G4724">
        <v>-424.2414</v>
      </c>
      <c r="H4724" s="1">
        <v>-1.859278E-6</v>
      </c>
      <c r="I4724">
        <v>61.29251</v>
      </c>
      <c r="J4724">
        <v>-424.56760000000003</v>
      </c>
      <c r="K4724">
        <v>1.1139129999999999</v>
      </c>
      <c r="L4724">
        <v>78.707980000000006</v>
      </c>
      <c r="M4724">
        <v>-0.1416569</v>
      </c>
      <c r="N4724">
        <v>-1.520787E-2</v>
      </c>
      <c r="O4724">
        <v>-0.98979919999999999</v>
      </c>
      <c r="P4724">
        <v>8.7689790000000004E-2</v>
      </c>
      <c r="Q4724">
        <v>-3.2144640000000002E-2</v>
      </c>
      <c r="R4724">
        <v>-0.9956294</v>
      </c>
      <c r="S4724">
        <v>4.6112060000000003E-2</v>
      </c>
      <c r="T4724">
        <v>-0.18781909999999999</v>
      </c>
      <c r="U4724">
        <v>-3.0019529999999999</v>
      </c>
      <c r="V4724">
        <v>-0.22764409999999999</v>
      </c>
      <c r="W4724">
        <v>-1.9972839999999999E-2</v>
      </c>
      <c r="X4724">
        <v>0.9735395</v>
      </c>
      <c r="Y4724">
        <v>-0.15674929999999901</v>
      </c>
      <c r="Z4724">
        <v>4.5907580000000003E-2</v>
      </c>
      <c r="AA4724">
        <v>0.98657090000000003</v>
      </c>
      <c r="AB4724">
        <v>40</v>
      </c>
      <c r="AC4724">
        <v>0.32620000000002802</v>
      </c>
      <c r="AD4724">
        <v>-1.1139148592779999</v>
      </c>
      <c r="AE4724">
        <v>-17.415469999999999</v>
      </c>
      <c r="AF4724">
        <v>-2.77885169036055</v>
      </c>
      <c r="AG4724">
        <v>-1.1139148592779999</v>
      </c>
      <c r="AH4724">
        <v>17.123566014382298</v>
      </c>
      <c r="AI4724">
        <v>93.674006438006799</v>
      </c>
      <c r="AJ4724">
        <v>99.217733476459401</v>
      </c>
      <c r="AK4724">
        <v>17.383306247076501</v>
      </c>
      <c r="AL4724">
        <v>91.144435586387402</v>
      </c>
      <c r="AM4724">
        <v>103.161082737673</v>
      </c>
      <c r="AN4724">
        <v>0.99999995433136102</v>
      </c>
    </row>
    <row r="4725" spans="1:40" x14ac:dyDescent="0.25">
      <c r="A4725" t="str">
        <f>"20190305135330710"</f>
        <v>20190305135330710</v>
      </c>
      <c r="B4725" t="str">
        <f>"1551765210704774"</f>
        <v>1551765210704774</v>
      </c>
      <c r="C4725" t="s">
        <v>40</v>
      </c>
      <c r="D4725">
        <v>4.7895200000000004</v>
      </c>
      <c r="E4725">
        <v>0.52380939999999998</v>
      </c>
      <c r="F4725" t="s">
        <v>42</v>
      </c>
      <c r="G4725">
        <v>-424.1508</v>
      </c>
      <c r="H4725" s="1">
        <v>-1.8687410000000001E-6</v>
      </c>
      <c r="I4725">
        <v>61.370750000000001</v>
      </c>
      <c r="J4725">
        <v>-424.6216</v>
      </c>
      <c r="K4725">
        <v>1.114074</v>
      </c>
      <c r="L4725">
        <v>78.297179999999997</v>
      </c>
      <c r="M4725">
        <v>-0.136299799999999</v>
      </c>
      <c r="N4725">
        <v>-1.5215269999999999E-2</v>
      </c>
      <c r="O4725">
        <v>-0.99055090000000001</v>
      </c>
      <c r="P4725">
        <v>9.4087850000000001E-2</v>
      </c>
      <c r="Q4725">
        <v>-3.3021269999999998E-2</v>
      </c>
      <c r="R4725">
        <v>-0.99501620000000002</v>
      </c>
      <c r="S4725">
        <v>7.2143550000000001E-2</v>
      </c>
      <c r="T4725">
        <v>-0.19278690000000001</v>
      </c>
      <c r="U4725">
        <v>-3.0005799999999998</v>
      </c>
      <c r="V4725">
        <v>-0.2286115</v>
      </c>
      <c r="W4725">
        <v>-2.0953469999999998E-2</v>
      </c>
      <c r="X4725">
        <v>0.97329219999999905</v>
      </c>
      <c r="Y4725">
        <v>-0.15996179999999999</v>
      </c>
      <c r="Z4725">
        <v>4.7581859999999997E-2</v>
      </c>
      <c r="AA4725">
        <v>0.98597570000000001</v>
      </c>
      <c r="AB4725">
        <v>40</v>
      </c>
      <c r="AC4725">
        <v>0.470799999999997</v>
      </c>
      <c r="AD4725">
        <v>-1.114075868741</v>
      </c>
      <c r="AE4725">
        <v>-16.92643</v>
      </c>
      <c r="AF4725">
        <v>-2.7617860667642198</v>
      </c>
      <c r="AG4725">
        <v>-1.114075868741</v>
      </c>
      <c r="AH4725">
        <v>16.632255360942999</v>
      </c>
      <c r="AI4725">
        <v>93.780498773041103</v>
      </c>
      <c r="AJ4725">
        <v>99.427941521175796</v>
      </c>
      <c r="AK4725">
        <v>16.896761397128799</v>
      </c>
      <c r="AL4725">
        <v>91.200633280565597</v>
      </c>
      <c r="AM4725">
        <v>103.218293552327</v>
      </c>
      <c r="AN4725">
        <v>0.99999998620906505</v>
      </c>
    </row>
    <row r="4726" spans="1:40" x14ac:dyDescent="0.25">
      <c r="A4726" t="str">
        <f>"20190305135330734"</f>
        <v>20190305135330734</v>
      </c>
      <c r="B4726" t="str">
        <f>"1551765210725271"</f>
        <v>1551765210725271</v>
      </c>
      <c r="C4726" t="s">
        <v>40</v>
      </c>
      <c r="D4726">
        <v>4.4891420000000002</v>
      </c>
      <c r="E4726">
        <v>0.52405270000000004</v>
      </c>
      <c r="F4726" t="s">
        <v>42</v>
      </c>
      <c r="G4726">
        <v>-424.09480000000002</v>
      </c>
      <c r="H4726" s="1">
        <v>-1.631179E-6</v>
      </c>
      <c r="I4726">
        <v>60.851739999999999</v>
      </c>
      <c r="J4726">
        <v>-424.67239999999998</v>
      </c>
      <c r="K4726">
        <v>1.1142030000000001</v>
      </c>
      <c r="L4726">
        <v>77.894169999999903</v>
      </c>
      <c r="M4726">
        <v>-0.1309806</v>
      </c>
      <c r="N4726">
        <v>-1.5220350000000001E-2</v>
      </c>
      <c r="O4726">
        <v>-0.99126829999999999</v>
      </c>
      <c r="P4726">
        <v>0.10031030000000001</v>
      </c>
      <c r="Q4726">
        <v>-3.3544289999999997E-2</v>
      </c>
      <c r="R4726">
        <v>-0.99439069999999996</v>
      </c>
      <c r="S4726">
        <v>9.0606690000000004E-2</v>
      </c>
      <c r="T4726">
        <v>-0.1915876</v>
      </c>
      <c r="U4726">
        <v>-3.000092</v>
      </c>
      <c r="V4726">
        <v>-0.2294591</v>
      </c>
      <c r="W4726">
        <v>-2.1559680000000001E-2</v>
      </c>
      <c r="X4726">
        <v>0.97307949999999999</v>
      </c>
      <c r="Y4726">
        <v>-0.1607307</v>
      </c>
      <c r="Z4726">
        <v>4.7251590000000003E-2</v>
      </c>
      <c r="AA4726">
        <v>0.98586660000000004</v>
      </c>
      <c r="AB4726">
        <v>40</v>
      </c>
      <c r="AC4726">
        <v>0.57759999999996103</v>
      </c>
      <c r="AD4726">
        <v>-1.1142046311789999</v>
      </c>
      <c r="AE4726">
        <v>-17.0424299999999</v>
      </c>
      <c r="AF4726">
        <v>-2.79318336484106</v>
      </c>
      <c r="AG4726">
        <v>-1.1142046311789999</v>
      </c>
      <c r="AH4726">
        <v>16.748405166402499</v>
      </c>
      <c r="AI4726">
        <v>93.754350663849806</v>
      </c>
      <c r="AJ4726">
        <v>99.468255188400803</v>
      </c>
      <c r="AK4726">
        <v>17.0162393285867</v>
      </c>
      <c r="AL4726">
        <v>91.235374381447997</v>
      </c>
      <c r="AM4726">
        <v>103.26836910309299</v>
      </c>
      <c r="AN4726">
        <v>1.0000000058473799</v>
      </c>
    </row>
    <row r="4727" spans="1:40" x14ac:dyDescent="0.25">
      <c r="A4727" t="str">
        <f>"20190305135330754"</f>
        <v>20190305135330754</v>
      </c>
      <c r="B4727" t="str">
        <f>"1551765210744790"</f>
        <v>1551765210744790</v>
      </c>
      <c r="C4727" t="s">
        <v>40</v>
      </c>
      <c r="D4727">
        <v>4.485633</v>
      </c>
      <c r="E4727">
        <v>0.52443709999999999</v>
      </c>
      <c r="F4727" t="s">
        <v>42</v>
      </c>
      <c r="G4727">
        <v>-424.04289999999997</v>
      </c>
      <c r="H4727" s="1">
        <v>-1.3976259999999901E-6</v>
      </c>
      <c r="I4727">
        <v>60.339509999999997</v>
      </c>
      <c r="J4727">
        <v>-424.7165</v>
      </c>
      <c r="K4727">
        <v>1.1142970000000001</v>
      </c>
      <c r="L4727">
        <v>77.529139999999998</v>
      </c>
      <c r="M4727">
        <v>-0.12612789999999999</v>
      </c>
      <c r="N4727">
        <v>-1.5223830000000001E-2</v>
      </c>
      <c r="O4727">
        <v>-0.99189709999999998</v>
      </c>
      <c r="P4727">
        <v>0.106627399999999</v>
      </c>
      <c r="Q4727">
        <v>-3.4047229999999998E-2</v>
      </c>
      <c r="R4727">
        <v>-0.99371600000000004</v>
      </c>
      <c r="S4727">
        <v>0.1075745</v>
      </c>
      <c r="T4727">
        <v>-0.19038859999999999</v>
      </c>
      <c r="U4727">
        <v>-2.9996339999999999</v>
      </c>
      <c r="V4727">
        <v>-0.2308665</v>
      </c>
      <c r="W4727">
        <v>-2.2136389999999999E-2</v>
      </c>
      <c r="X4727">
        <v>0.97273359999999998</v>
      </c>
      <c r="Y4727">
        <v>-0.16147629999999999</v>
      </c>
      <c r="Z4727">
        <v>4.691348E-2</v>
      </c>
      <c r="AA4727">
        <v>0.98576090000000005</v>
      </c>
      <c r="AB4727">
        <v>40</v>
      </c>
      <c r="AC4727">
        <v>0.67360000000002096</v>
      </c>
      <c r="AD4727">
        <v>-1.1142983976259999</v>
      </c>
      <c r="AE4727">
        <v>-17.189629999999902</v>
      </c>
      <c r="AF4727">
        <v>-2.8247111157424301</v>
      </c>
      <c r="AG4727">
        <v>-1.1142983976259999</v>
      </c>
      <c r="AH4727">
        <v>16.896459501189302</v>
      </c>
      <c r="AI4727">
        <v>93.721614603609495</v>
      </c>
      <c r="AJ4727">
        <v>99.490808143584303</v>
      </c>
      <c r="AK4727">
        <v>17.167148787194701</v>
      </c>
      <c r="AL4727">
        <v>91.268425316407303</v>
      </c>
      <c r="AM4727">
        <v>103.35142360593299</v>
      </c>
      <c r="AN4727">
        <v>1.00000000857672</v>
      </c>
    </row>
    <row r="4728" spans="1:40" x14ac:dyDescent="0.25">
      <c r="A4728" t="str">
        <f>"20190305135330776"</f>
        <v>20190305135330776</v>
      </c>
      <c r="B4728" t="str">
        <f>"1551765210765287"</f>
        <v>1551765210765287</v>
      </c>
      <c r="C4728" t="s">
        <v>40</v>
      </c>
      <c r="D4728">
        <v>4.4553050000000001</v>
      </c>
      <c r="E4728">
        <v>0.52498049999999996</v>
      </c>
      <c r="F4728" t="s">
        <v>42</v>
      </c>
      <c r="G4728">
        <v>-423.99900000000002</v>
      </c>
      <c r="H4728" s="1">
        <v>-1.2963319999999901E-6</v>
      </c>
      <c r="I4728">
        <v>60.130609999999997</v>
      </c>
      <c r="J4728">
        <v>-424.76060000000001</v>
      </c>
      <c r="K4728">
        <v>1.114376</v>
      </c>
      <c r="L4728">
        <v>77.148009999999999</v>
      </c>
      <c r="M4728">
        <v>-0.1210387</v>
      </c>
      <c r="N4728">
        <v>-1.5226760000000001E-2</v>
      </c>
      <c r="O4728">
        <v>-0.9925311</v>
      </c>
      <c r="P4728">
        <v>0.113607</v>
      </c>
      <c r="Q4728">
        <v>-3.5000740000000002E-2</v>
      </c>
      <c r="R4728">
        <v>-0.99290929999999999</v>
      </c>
      <c r="S4728">
        <v>0.1236877</v>
      </c>
      <c r="T4728">
        <v>-0.1920799</v>
      </c>
      <c r="U4728">
        <v>-2.9991150000000002</v>
      </c>
      <c r="V4728">
        <v>-0.23269010000000001</v>
      </c>
      <c r="W4728">
        <v>-2.316383E-2</v>
      </c>
      <c r="X4728">
        <v>0.972275</v>
      </c>
      <c r="Y4728">
        <v>-0.16170709999999999</v>
      </c>
      <c r="Z4728">
        <v>4.752116E-2</v>
      </c>
      <c r="AA4728">
        <v>0.98569390000000001</v>
      </c>
      <c r="AB4728">
        <v>40</v>
      </c>
      <c r="AC4728">
        <v>0.76159999999998695</v>
      </c>
      <c r="AD4728">
        <v>-1.114377296332</v>
      </c>
      <c r="AE4728">
        <v>-17.017399999999999</v>
      </c>
      <c r="AF4728">
        <v>-2.8040016703208099</v>
      </c>
      <c r="AG4728">
        <v>-1.114377296332</v>
      </c>
      <c r="AH4728">
        <v>16.7284695011761</v>
      </c>
      <c r="AI4728">
        <v>93.758877364340805</v>
      </c>
      <c r="AJ4728">
        <v>99.515378439351295</v>
      </c>
      <c r="AK4728">
        <v>16.998410336779099</v>
      </c>
      <c r="AL4728">
        <v>91.327308464093605</v>
      </c>
      <c r="AM4728">
        <v>103.45918086096501</v>
      </c>
      <c r="AN4728">
        <v>0.99999996064163799</v>
      </c>
    </row>
    <row r="4729" spans="1:40" x14ac:dyDescent="0.25">
      <c r="A4729" t="str">
        <f>"20190305135330798"</f>
        <v>20190305135330798</v>
      </c>
      <c r="B4729" t="str">
        <f>"1551765210794891"</f>
        <v>1551765210794891</v>
      </c>
      <c r="C4729" t="s">
        <v>40</v>
      </c>
      <c r="D4729">
        <v>4.4182230000000002</v>
      </c>
      <c r="E4729">
        <v>0.5257638</v>
      </c>
      <c r="F4729" t="s">
        <v>42</v>
      </c>
      <c r="G4729">
        <v>-423.95490000000001</v>
      </c>
      <c r="H4729" s="1">
        <v>-1.202258E-6</v>
      </c>
      <c r="I4729">
        <v>59.938639999999999</v>
      </c>
      <c r="J4729">
        <v>-424.80380000000002</v>
      </c>
      <c r="K4729">
        <v>1.1144480000000001</v>
      </c>
      <c r="L4729">
        <v>76.757570000000001</v>
      </c>
      <c r="M4729">
        <v>-0.1158141</v>
      </c>
      <c r="N4729">
        <v>-1.5229289999999999E-2</v>
      </c>
      <c r="O4729">
        <v>-0.99315430000000005</v>
      </c>
      <c r="P4729">
        <v>0.1206387</v>
      </c>
      <c r="Q4729">
        <v>-3.5686809999999999E-2</v>
      </c>
      <c r="R4729">
        <v>-0.99205489999999996</v>
      </c>
      <c r="S4729">
        <v>0.1403809</v>
      </c>
      <c r="T4729">
        <v>-0.19416739999999999</v>
      </c>
      <c r="U4729">
        <v>-2.998535</v>
      </c>
      <c r="V4729">
        <v>-0.23444490000000001</v>
      </c>
      <c r="W4729">
        <v>-2.3916159999999999E-2</v>
      </c>
      <c r="X4729">
        <v>0.97183509999999995</v>
      </c>
      <c r="Y4729">
        <v>-0.1619961</v>
      </c>
      <c r="Z4729">
        <v>4.8258500000000003E-2</v>
      </c>
      <c r="AA4729">
        <v>0.98561069999999995</v>
      </c>
      <c r="AB4729">
        <v>39</v>
      </c>
      <c r="AC4729">
        <v>0.84890000000001398</v>
      </c>
      <c r="AD4729">
        <v>-1.1144492022579999</v>
      </c>
      <c r="AE4729">
        <v>-16.818929999999899</v>
      </c>
      <c r="AF4729">
        <v>-2.7791102633911602</v>
      </c>
      <c r="AG4729">
        <v>-1.1144492022579999</v>
      </c>
      <c r="AH4729">
        <v>16.534987530998801</v>
      </c>
      <c r="AI4729">
        <v>93.802695466327805</v>
      </c>
      <c r="AJ4729">
        <v>99.540788765697798</v>
      </c>
      <c r="AK4729">
        <v>16.803906198583299</v>
      </c>
      <c r="AL4729">
        <v>91.370425793713494</v>
      </c>
      <c r="AM4729">
        <v>103.56285830153701</v>
      </c>
      <c r="AN4729">
        <v>0.99999992771858004</v>
      </c>
    </row>
    <row r="4730" spans="1:40" x14ac:dyDescent="0.25">
      <c r="A4730" t="str">
        <f>"20190305135330821"</f>
        <v>20190305135330821</v>
      </c>
      <c r="B4730" t="str">
        <f>"1551765210814411"</f>
        <v>1551765210814411</v>
      </c>
      <c r="C4730" t="s">
        <v>40</v>
      </c>
      <c r="D4730">
        <v>4.4570339999999904</v>
      </c>
      <c r="E4730">
        <v>0.52649650000000003</v>
      </c>
      <c r="F4730" t="s">
        <v>42</v>
      </c>
      <c r="G4730">
        <v>-423.91860000000003</v>
      </c>
      <c r="H4730" s="1">
        <v>-1.0841450000000001E-6</v>
      </c>
      <c r="I4730">
        <v>59.685870000000001</v>
      </c>
      <c r="J4730">
        <v>-424.84629999999999</v>
      </c>
      <c r="K4730">
        <v>1.1145039999999999</v>
      </c>
      <c r="L4730">
        <v>76.353489999999994</v>
      </c>
      <c r="M4730">
        <v>-0.1104004</v>
      </c>
      <c r="N4730">
        <v>-1.5231339999999999E-2</v>
      </c>
      <c r="O4730">
        <v>-0.99377070000000001</v>
      </c>
      <c r="P4730">
        <v>0.1274188</v>
      </c>
      <c r="Q4730">
        <v>-3.473238E-2</v>
      </c>
      <c r="R4730">
        <v>-0.99124089999999998</v>
      </c>
      <c r="S4730">
        <v>0.1554565</v>
      </c>
      <c r="T4730">
        <v>-0.195716</v>
      </c>
      <c r="U4730">
        <v>-2.9980769999999999</v>
      </c>
      <c r="V4730">
        <v>-0.2358056</v>
      </c>
      <c r="W4730">
        <v>-2.301508E-2</v>
      </c>
      <c r="X4730">
        <v>0.97152769999999999</v>
      </c>
      <c r="Y4730">
        <v>-0.1615682</v>
      </c>
      <c r="Z4730">
        <v>4.8823249999999999E-2</v>
      </c>
      <c r="AA4730">
        <v>0.98565309999999995</v>
      </c>
      <c r="AB4730">
        <v>39</v>
      </c>
      <c r="AC4730">
        <v>0.927699999999958</v>
      </c>
      <c r="AD4730">
        <v>-1.1145050841449999</v>
      </c>
      <c r="AE4730">
        <v>-16.667619999999999</v>
      </c>
      <c r="AF4730">
        <v>-2.7500947733938301</v>
      </c>
      <c r="AG4730">
        <v>-1.1145050841449999</v>
      </c>
      <c r="AH4730">
        <v>16.390223633416898</v>
      </c>
      <c r="AI4730">
        <v>93.836552616997594</v>
      </c>
      <c r="AJ4730">
        <v>99.524862625806904</v>
      </c>
      <c r="AK4730">
        <v>16.656667541817999</v>
      </c>
      <c r="AL4730">
        <v>91.318783361045803</v>
      </c>
      <c r="AM4730">
        <v>103.64279814321399</v>
      </c>
      <c r="AN4730">
        <v>1.00000002338302</v>
      </c>
    </row>
    <row r="4731" spans="1:40" x14ac:dyDescent="0.25">
      <c r="A4731" t="str">
        <f>"20190305135330842"</f>
        <v>20190305135330842</v>
      </c>
      <c r="B4731" t="str">
        <f>"1551765210834911"</f>
        <v>1551765210834911</v>
      </c>
      <c r="C4731" t="s">
        <v>40</v>
      </c>
      <c r="D4731">
        <v>4.7895539999999999</v>
      </c>
      <c r="E4731">
        <v>0.52728169999999996</v>
      </c>
      <c r="F4731" t="s">
        <v>42</v>
      </c>
      <c r="G4731">
        <v>-423.86180000000002</v>
      </c>
      <c r="H4731" s="1">
        <v>-4.7745279999999997E-6</v>
      </c>
      <c r="I4731">
        <v>59.003990000000002</v>
      </c>
      <c r="J4731">
        <v>-424.88310000000001</v>
      </c>
      <c r="K4731">
        <v>1.1145529999999999</v>
      </c>
      <c r="L4731">
        <v>75.984009999999998</v>
      </c>
      <c r="M4731">
        <v>-0.10544539999999999</v>
      </c>
      <c r="N4731">
        <v>-1.523277E-2</v>
      </c>
      <c r="O4731">
        <v>-0.99430870000000005</v>
      </c>
      <c r="P4731">
        <v>0.13418550000000001</v>
      </c>
      <c r="Q4731">
        <v>-3.4645330000000002E-2</v>
      </c>
      <c r="R4731">
        <v>-0.99035070000000003</v>
      </c>
      <c r="S4731">
        <v>0.17010500000000001</v>
      </c>
      <c r="T4731">
        <v>-0.19258069999999999</v>
      </c>
      <c r="U4731">
        <v>-2.9978940000000001</v>
      </c>
      <c r="V4731">
        <v>-0.2375959</v>
      </c>
      <c r="W4731">
        <v>-2.2981000000000001E-2</v>
      </c>
      <c r="X4731">
        <v>0.97109219999999896</v>
      </c>
      <c r="Y4731">
        <v>-0.161458399999999</v>
      </c>
      <c r="Z4731">
        <v>4.7844530000000003E-2</v>
      </c>
      <c r="AA4731">
        <v>0.98571909999999896</v>
      </c>
      <c r="AB4731">
        <v>39</v>
      </c>
      <c r="AC4731">
        <v>1.0212999999999901</v>
      </c>
      <c r="AD4731">
        <v>-1.114557774528</v>
      </c>
      <c r="AE4731">
        <v>-16.9800199999999</v>
      </c>
      <c r="AF4731">
        <v>-2.7942814501745299</v>
      </c>
      <c r="AG4731">
        <v>-1.114557774528</v>
      </c>
      <c r="AH4731">
        <v>16.705913734221099</v>
      </c>
      <c r="AI4731">
        <v>93.764763101241698</v>
      </c>
      <c r="AJ4731">
        <v>99.495563601650503</v>
      </c>
      <c r="AK4731">
        <v>16.974622280062299</v>
      </c>
      <c r="AL4731">
        <v>91.316830235818003</v>
      </c>
      <c r="AM4731">
        <v>103.748393987521</v>
      </c>
      <c r="AN4731">
        <v>0.99999999947932405</v>
      </c>
    </row>
    <row r="4732" spans="1:40" x14ac:dyDescent="0.25">
      <c r="A4732" t="str">
        <f>"20190305135330866"</f>
        <v>20190305135330866</v>
      </c>
      <c r="B4732" t="str">
        <f>"1551765210854428"</f>
        <v>1551765210854428</v>
      </c>
      <c r="C4732" t="s">
        <v>40</v>
      </c>
      <c r="D4732">
        <v>4.7770070000000002</v>
      </c>
      <c r="E4732">
        <v>0.52721039999999997</v>
      </c>
      <c r="F4732" t="s">
        <v>42</v>
      </c>
      <c r="G4732">
        <v>-423.80149999999998</v>
      </c>
      <c r="H4732" s="1">
        <v>-4.5683790000000002E-6</v>
      </c>
      <c r="I4732">
        <v>58.429630000000003</v>
      </c>
      <c r="J4732">
        <v>-424.92</v>
      </c>
      <c r="K4732">
        <v>1.114598</v>
      </c>
      <c r="L4732">
        <v>75.593719999999905</v>
      </c>
      <c r="M4732">
        <v>-0.1002077</v>
      </c>
      <c r="N4732">
        <v>-1.523387E-2</v>
      </c>
      <c r="O4732">
        <v>-0.99485000000000001</v>
      </c>
      <c r="P4732">
        <v>0.141849</v>
      </c>
      <c r="Q4732">
        <v>-3.4657420000000001E-2</v>
      </c>
      <c r="R4732">
        <v>-0.98928150000000004</v>
      </c>
      <c r="S4732">
        <v>0.18469240000000001</v>
      </c>
      <c r="T4732">
        <v>-0.19032009999999999</v>
      </c>
      <c r="U4732">
        <v>-2.9975589999999999</v>
      </c>
      <c r="V4732">
        <v>-0.23999619999999999</v>
      </c>
      <c r="W4732">
        <v>-2.3052880000000001E-2</v>
      </c>
      <c r="X4732">
        <v>0.97050009999999998</v>
      </c>
      <c r="Y4732">
        <v>-0.1610511</v>
      </c>
      <c r="Z4732">
        <v>4.7155200000000001E-2</v>
      </c>
      <c r="AA4732">
        <v>0.98581890000000005</v>
      </c>
      <c r="AB4732">
        <v>39</v>
      </c>
      <c r="AC4732">
        <v>1.11850000000004</v>
      </c>
      <c r="AD4732">
        <v>-1.114602568379</v>
      </c>
      <c r="AE4732">
        <v>-17.164089999999899</v>
      </c>
      <c r="AF4732">
        <v>-2.8211956722650302</v>
      </c>
      <c r="AG4732">
        <v>-1.114602568379</v>
      </c>
      <c r="AH4732">
        <v>16.894637255876798</v>
      </c>
      <c r="AI4732">
        <v>93.723142718218497</v>
      </c>
      <c r="AJ4732">
        <v>99.480214880358105</v>
      </c>
      <c r="AK4732">
        <v>17.164796879494599</v>
      </c>
      <c r="AL4732">
        <v>91.320949710535004</v>
      </c>
      <c r="AM4732">
        <v>103.890081046688</v>
      </c>
      <c r="AN4732">
        <v>1.00000002769537</v>
      </c>
    </row>
    <row r="4733" spans="1:40" x14ac:dyDescent="0.25">
      <c r="A4733" t="str">
        <f>"20190305135330888"</f>
        <v>20190305135330888</v>
      </c>
      <c r="B4733" t="str">
        <f>"1551765210884683"</f>
        <v>1551765210884683</v>
      </c>
      <c r="C4733" t="s">
        <v>40</v>
      </c>
      <c r="D4733">
        <v>4.4466140000000003</v>
      </c>
      <c r="E4733">
        <v>0.48860350000000002</v>
      </c>
      <c r="F4733" t="s">
        <v>42</v>
      </c>
      <c r="G4733">
        <v>-423.6884</v>
      </c>
      <c r="H4733" s="1">
        <v>-4.3638770000000003E-6</v>
      </c>
      <c r="I4733">
        <v>57.887650000000001</v>
      </c>
      <c r="J4733">
        <v>-424.95530000000002</v>
      </c>
      <c r="K4733">
        <v>1.114635</v>
      </c>
      <c r="L4733">
        <v>75.19641</v>
      </c>
      <c r="M4733">
        <v>-9.4869789999999996E-2</v>
      </c>
      <c r="N4733">
        <v>-1.52347E-2</v>
      </c>
      <c r="O4733">
        <v>-0.99537319999999996</v>
      </c>
      <c r="P4733">
        <v>0.14830279999999901</v>
      </c>
      <c r="Q4733">
        <v>-3.3556280000000001E-2</v>
      </c>
      <c r="R4733">
        <v>-0.98837280000000005</v>
      </c>
      <c r="S4733">
        <v>0.20840449999999999</v>
      </c>
      <c r="T4733">
        <v>-0.1886013</v>
      </c>
      <c r="U4733">
        <v>-2.9960330000000002</v>
      </c>
      <c r="V4733">
        <v>-0.24114070000000001</v>
      </c>
      <c r="W4733">
        <v>-2.1984699999999999E-2</v>
      </c>
      <c r="X4733">
        <v>0.97024109999999997</v>
      </c>
      <c r="Y4733">
        <v>-0.16355720000000001</v>
      </c>
      <c r="Z4733">
        <v>4.6640880000000003E-2</v>
      </c>
      <c r="AA4733">
        <v>0.98543069999999999</v>
      </c>
      <c r="AB4733">
        <v>39</v>
      </c>
      <c r="AC4733">
        <v>1.2669000000000199</v>
      </c>
      <c r="AD4733">
        <v>-1.114639363877</v>
      </c>
      <c r="AE4733">
        <v>-17.308759999999999</v>
      </c>
      <c r="AF4733">
        <v>-2.8915260942954601</v>
      </c>
      <c r="AG4733">
        <v>-1.114639363877</v>
      </c>
      <c r="AH4733">
        <v>17.040179985417002</v>
      </c>
      <c r="AI4733">
        <v>93.689925236051394</v>
      </c>
      <c r="AJ4733">
        <v>99.630709578288503</v>
      </c>
      <c r="AK4733">
        <v>17.319673149366899</v>
      </c>
      <c r="AL4733">
        <v>91.259732042342904</v>
      </c>
      <c r="AM4733">
        <v>103.957317188481</v>
      </c>
      <c r="AN4733">
        <v>0.99999997817989394</v>
      </c>
    </row>
    <row r="4734" spans="1:40" x14ac:dyDescent="0.25">
      <c r="A4734" t="str">
        <f>"20190305135330911"</f>
        <v>20190305135330911</v>
      </c>
      <c r="B4734" t="str">
        <f>"1551765210905179"</f>
        <v>1551765210905179</v>
      </c>
      <c r="C4734" t="s">
        <v>40</v>
      </c>
      <c r="D4734">
        <v>4.4107830000000003</v>
      </c>
      <c r="E4734">
        <v>0.48902990000000002</v>
      </c>
      <c r="F4734" t="s">
        <v>42</v>
      </c>
      <c r="G4734">
        <v>-420.41219999999998</v>
      </c>
      <c r="H4734" s="1">
        <v>-3.2455309999999899E-7</v>
      </c>
      <c r="I4734">
        <v>50.089959999999998</v>
      </c>
      <c r="J4734">
        <v>-424.98809999999997</v>
      </c>
      <c r="K4734">
        <v>1.1146720000000001</v>
      </c>
      <c r="L4734">
        <v>74.8035</v>
      </c>
      <c r="M4734">
        <v>-8.9584520000000001E-2</v>
      </c>
      <c r="N4734">
        <v>-1.523511E-2</v>
      </c>
      <c r="O4734">
        <v>-0.99586269999999999</v>
      </c>
      <c r="P4734">
        <v>0.15541729999999901</v>
      </c>
      <c r="Q4734">
        <v>-3.2824239999999998E-2</v>
      </c>
      <c r="R4734">
        <v>-0.98730359999999995</v>
      </c>
      <c r="S4734">
        <v>0.53393550000000001</v>
      </c>
      <c r="T4734">
        <v>-0.13100100000000001</v>
      </c>
      <c r="U4734">
        <v>-2.9507140000000001</v>
      </c>
      <c r="V4734">
        <v>-0.24298710000000001</v>
      </c>
      <c r="W4734">
        <v>-2.129371E-2</v>
      </c>
      <c r="X4734">
        <v>0.96979579999999999</v>
      </c>
      <c r="Y4734">
        <v>-0.26531900000000003</v>
      </c>
      <c r="Z4734">
        <v>2.759323E-2</v>
      </c>
      <c r="AA4734">
        <v>0.96376569999999995</v>
      </c>
      <c r="AB4734">
        <v>39</v>
      </c>
      <c r="AC4734">
        <v>4.5758999999999901</v>
      </c>
      <c r="AD4734">
        <v>-1.1146723245530901</v>
      </c>
      <c r="AE4734">
        <v>-24.713539999999998</v>
      </c>
      <c r="AF4734">
        <v>-6.7584114351028397</v>
      </c>
      <c r="AG4734">
        <v>-1.1146723245530901</v>
      </c>
      <c r="AH4734">
        <v>24.156657854206699</v>
      </c>
      <c r="AI4734">
        <v>92.544385376767394</v>
      </c>
      <c r="AJ4734">
        <v>105.630252898644</v>
      </c>
      <c r="AK4734">
        <v>25.109017069619799</v>
      </c>
      <c r="AL4734">
        <v>91.220131902415403</v>
      </c>
      <c r="AM4734">
        <v>104.06616335837001</v>
      </c>
      <c r="AN4734">
        <v>1.0000000232748001</v>
      </c>
    </row>
    <row r="4735" spans="1:40" x14ac:dyDescent="0.25">
      <c r="A4735" t="str">
        <f>"20190305135330934"</f>
        <v>20190305135330934</v>
      </c>
      <c r="B4735" t="str">
        <f>"1551765210924699"</f>
        <v>1551765210924699</v>
      </c>
      <c r="C4735" t="s">
        <v>40</v>
      </c>
      <c r="D4735">
        <v>4.3783779999999997</v>
      </c>
      <c r="E4735">
        <v>0.49052400000000002</v>
      </c>
      <c r="F4735" t="s">
        <v>42</v>
      </c>
      <c r="G4735">
        <v>-419.55360000000002</v>
      </c>
      <c r="H4735" s="1">
        <v>-2.7281690000000002E-6</v>
      </c>
      <c r="I4735">
        <v>45.807639999999999</v>
      </c>
      <c r="J4735">
        <v>-425.01929999999999</v>
      </c>
      <c r="K4735">
        <v>1.1147</v>
      </c>
      <c r="L4735">
        <v>74.403469999999999</v>
      </c>
      <c r="M4735">
        <v>-8.4188479999999996E-2</v>
      </c>
      <c r="N4735">
        <v>-1.5235250000000001E-2</v>
      </c>
      <c r="O4735">
        <v>-0.99633349999999998</v>
      </c>
      <c r="P4735">
        <v>0.1626601</v>
      </c>
      <c r="Q4735">
        <v>-3.1838390000000001E-2</v>
      </c>
      <c r="R4735">
        <v>-0.98616870000000001</v>
      </c>
      <c r="S4735">
        <v>0.55249019999999904</v>
      </c>
      <c r="T4735">
        <v>-0.113322699999999</v>
      </c>
      <c r="U4735">
        <v>-2.947845</v>
      </c>
      <c r="V4735">
        <v>-0.2448661</v>
      </c>
      <c r="W4735">
        <v>-2.034824E-2</v>
      </c>
      <c r="X4735">
        <v>0.96934339999999997</v>
      </c>
      <c r="Y4735">
        <v>-0.2661656</v>
      </c>
      <c r="Z4735">
        <v>2.184465E-2</v>
      </c>
      <c r="AA4735">
        <v>0.96367970000000003</v>
      </c>
      <c r="AB4735">
        <v>39</v>
      </c>
      <c r="AC4735">
        <v>5.4656999999999698</v>
      </c>
      <c r="AD4735">
        <v>-1.1147027281690001</v>
      </c>
      <c r="AE4735">
        <v>-28.595829999999999</v>
      </c>
      <c r="AF4735">
        <v>-7.84251302071866</v>
      </c>
      <c r="AG4735">
        <v>-1.1147027281690001</v>
      </c>
      <c r="AH4735">
        <v>27.9930471568413</v>
      </c>
      <c r="AI4735">
        <v>92.195891620054098</v>
      </c>
      <c r="AJ4735">
        <v>105.65071076853999</v>
      </c>
      <c r="AK4735">
        <v>29.092237139441</v>
      </c>
      <c r="AL4735">
        <v>91.165948692793904</v>
      </c>
      <c r="AM4735">
        <v>104.176916854591</v>
      </c>
      <c r="AN4735">
        <v>1.00000004246193</v>
      </c>
    </row>
    <row r="4736" spans="1:40" x14ac:dyDescent="0.25">
      <c r="A4736" t="str">
        <f>"20190305135330954"</f>
        <v>20190305135330954</v>
      </c>
      <c r="B4736" t="str">
        <f>"1551765210945195"</f>
        <v>1551765210945195</v>
      </c>
      <c r="C4736" t="s">
        <v>40</v>
      </c>
      <c r="D4736">
        <v>4.3900769999999998</v>
      </c>
      <c r="E4736">
        <v>0.49149219999999999</v>
      </c>
      <c r="F4736" t="s">
        <v>42</v>
      </c>
      <c r="G4736">
        <v>-418.75659999999999</v>
      </c>
      <c r="H4736" s="1">
        <v>-1.063359E-6</v>
      </c>
      <c r="I4736">
        <v>41.597340000000003</v>
      </c>
      <c r="J4736">
        <v>-425.04590000000002</v>
      </c>
      <c r="K4736">
        <v>1.114724</v>
      </c>
      <c r="L4736">
        <v>74.037930000000003</v>
      </c>
      <c r="M4736">
        <v>-7.9233369999999997E-2</v>
      </c>
      <c r="N4736">
        <v>-1.5235399999999901E-2</v>
      </c>
      <c r="O4736">
        <v>-0.99673990000000001</v>
      </c>
      <c r="P4736">
        <v>0.16950699999999999</v>
      </c>
      <c r="Q4736">
        <v>-3.09853E-2</v>
      </c>
      <c r="R4736">
        <v>-0.98504190000000003</v>
      </c>
      <c r="S4736">
        <v>0.56240840000000003</v>
      </c>
      <c r="T4736">
        <v>-0.100103</v>
      </c>
      <c r="U4736">
        <v>-2.946075</v>
      </c>
      <c r="V4736">
        <v>-0.24679119999999999</v>
      </c>
      <c r="W4736">
        <v>-1.9537229999999999E-2</v>
      </c>
      <c r="X4736">
        <v>0.9688717</v>
      </c>
      <c r="Y4736">
        <v>-0.26463510000000001</v>
      </c>
      <c r="Z4736">
        <v>1.7550920000000001E-2</v>
      </c>
      <c r="AA4736">
        <v>0.96418890000000002</v>
      </c>
      <c r="AB4736">
        <v>39</v>
      </c>
      <c r="AC4736">
        <v>6.2893000000000203</v>
      </c>
      <c r="AD4736">
        <v>-1.114725063359</v>
      </c>
      <c r="AE4736">
        <v>-32.44059</v>
      </c>
      <c r="AF4736">
        <v>-8.8301489597576506</v>
      </c>
      <c r="AG4736">
        <v>-1.114725063359</v>
      </c>
      <c r="AH4736">
        <v>31.8040037608612</v>
      </c>
      <c r="AI4736">
        <v>91.934276198260207</v>
      </c>
      <c r="AJ4736">
        <v>105.51692489549799</v>
      </c>
      <c r="AK4736">
        <v>33.0258807276848</v>
      </c>
      <c r="AL4736">
        <v>91.119472064124594</v>
      </c>
      <c r="AM4736">
        <v>104.29049865020301</v>
      </c>
      <c r="AN4736">
        <v>0.99999998540720103</v>
      </c>
    </row>
    <row r="4737" spans="1:40" x14ac:dyDescent="0.25">
      <c r="A4737" t="str">
        <f>"20190305135330977"</f>
        <v>20190305135330977</v>
      </c>
      <c r="B4737" t="str">
        <f>"1551765210964716"</f>
        <v>1551765210964716</v>
      </c>
      <c r="C4737" t="s">
        <v>40</v>
      </c>
      <c r="D4737">
        <v>4.3911660000000001</v>
      </c>
      <c r="E4737">
        <v>0.49229620000000002</v>
      </c>
      <c r="F4737" t="s">
        <v>81</v>
      </c>
      <c r="G4737">
        <v>-418.18970000000002</v>
      </c>
      <c r="H4737" s="1">
        <v>-8.8499350000000003E-7</v>
      </c>
      <c r="I4737">
        <v>38.961649999999999</v>
      </c>
      <c r="J4737">
        <v>-425.07139999999998</v>
      </c>
      <c r="K4737">
        <v>1.114743</v>
      </c>
      <c r="L4737">
        <v>73.660709999999995</v>
      </c>
      <c r="M4737">
        <v>-7.4086319999999997E-2</v>
      </c>
      <c r="N4737">
        <v>-1.523588E-2</v>
      </c>
      <c r="O4737">
        <v>-0.99713560000000001</v>
      </c>
      <c r="P4737">
        <v>0.1759561</v>
      </c>
      <c r="Q4737">
        <v>-3.0787970000000001E-2</v>
      </c>
      <c r="R4737">
        <v>-0.98391680000000004</v>
      </c>
      <c r="S4737">
        <v>0.57537839999999996</v>
      </c>
      <c r="T4737">
        <v>-9.3547820000000004E-2</v>
      </c>
      <c r="U4737">
        <v>-2.9436040000000001</v>
      </c>
      <c r="V4737">
        <v>-0.248137</v>
      </c>
      <c r="W4737">
        <v>-1.9376279999999999E-2</v>
      </c>
      <c r="X4737">
        <v>0.96853109999999998</v>
      </c>
      <c r="Y4737">
        <v>-0.26391229999999999</v>
      </c>
      <c r="Z4737">
        <v>1.5437029999999999E-2</v>
      </c>
      <c r="AA4737">
        <v>0.96442309999999998</v>
      </c>
      <c r="AB4737">
        <v>39</v>
      </c>
      <c r="AC4737">
        <v>6.8816999999999604</v>
      </c>
      <c r="AD4737">
        <v>-1.1147438849934901</v>
      </c>
      <c r="AE4737">
        <v>-34.699060000000003</v>
      </c>
      <c r="AF4737">
        <v>-9.4244485103133293</v>
      </c>
      <c r="AG4737">
        <v>-1.1147438849934901</v>
      </c>
      <c r="AH4737">
        <v>34.059957710703301</v>
      </c>
      <c r="AI4737">
        <v>91.806715434294205</v>
      </c>
      <c r="AJ4737">
        <v>105.46685742379699</v>
      </c>
      <c r="AK4737">
        <v>35.357369852798399</v>
      </c>
      <c r="AL4737">
        <v>91.1102486000905</v>
      </c>
      <c r="AM4737">
        <v>104.370053312583</v>
      </c>
      <c r="AN4737">
        <v>0.99999995133142205</v>
      </c>
    </row>
    <row r="4738" spans="1:40" x14ac:dyDescent="0.25">
      <c r="A4738" t="str">
        <f>"20190305135331001"</f>
        <v>20190305135331001</v>
      </c>
      <c r="B4738" t="str">
        <f>"1551765210994507"</f>
        <v>1551765210994507</v>
      </c>
      <c r="C4738" t="s">
        <v>40</v>
      </c>
      <c r="D4738">
        <v>4.4201129999999997</v>
      </c>
      <c r="E4738">
        <v>0.49358999999999997</v>
      </c>
      <c r="F4738" t="s">
        <v>81</v>
      </c>
      <c r="G4738">
        <v>-417.91239999999999</v>
      </c>
      <c r="H4738" s="1">
        <v>-1.649129E-6</v>
      </c>
      <c r="I4738">
        <v>37.875529999999998</v>
      </c>
      <c r="J4738">
        <v>-425.09730000000002</v>
      </c>
      <c r="K4738">
        <v>1.1147769999999999</v>
      </c>
      <c r="L4738">
        <v>73.244200000000006</v>
      </c>
      <c r="M4738">
        <v>-6.8349820000000006E-2</v>
      </c>
      <c r="N4738">
        <v>-1.523701E-2</v>
      </c>
      <c r="O4738">
        <v>-0.99754520000000002</v>
      </c>
      <c r="P4738">
        <v>0.18200659999999999</v>
      </c>
      <c r="Q4738">
        <v>-3.0699420000000002E-2</v>
      </c>
      <c r="R4738">
        <v>-0.98281799999999997</v>
      </c>
      <c r="S4738">
        <v>0.58834839999999999</v>
      </c>
      <c r="T4738">
        <v>-9.1613529999999999E-2</v>
      </c>
      <c r="U4738">
        <v>-2.9409480000000001</v>
      </c>
      <c r="V4738">
        <v>-0.2485252</v>
      </c>
      <c r="W4738">
        <v>-1.9313529999999999E-2</v>
      </c>
      <c r="X4738">
        <v>0.96843279999999998</v>
      </c>
      <c r="Y4738">
        <v>-0.26262489999999999</v>
      </c>
      <c r="Z4738">
        <v>1.4844400000000001E-2</v>
      </c>
      <c r="AA4738">
        <v>0.96478379999999997</v>
      </c>
      <c r="AB4738">
        <v>39</v>
      </c>
      <c r="AC4738">
        <v>7.1849000000000203</v>
      </c>
      <c r="AD4738">
        <v>-1.1147786491289999</v>
      </c>
      <c r="AE4738">
        <v>-35.368670000000002</v>
      </c>
      <c r="AF4738">
        <v>-9.5766793920963806</v>
      </c>
      <c r="AG4738">
        <v>-1.1147786491289999</v>
      </c>
      <c r="AH4738">
        <v>34.761629808523203</v>
      </c>
      <c r="AI4738">
        <v>91.770872515070295</v>
      </c>
      <c r="AJ4738">
        <v>105.402652343781</v>
      </c>
      <c r="AK4738">
        <v>36.073902291828198</v>
      </c>
      <c r="AL4738">
        <v>91.106652631814299</v>
      </c>
      <c r="AM4738">
        <v>104.393001738045</v>
      </c>
      <c r="AN4738">
        <v>0.99999993779596796</v>
      </c>
    </row>
    <row r="4739" spans="1:40" x14ac:dyDescent="0.25">
      <c r="A4739" t="str">
        <f>"20190305135331022"</f>
        <v>20190305135331022</v>
      </c>
      <c r="B4739" t="str">
        <f>"1551765211015003"</f>
        <v>1551765211015003</v>
      </c>
      <c r="C4739" t="s">
        <v>40</v>
      </c>
      <c r="D4739">
        <v>4.3937480000000004</v>
      </c>
      <c r="E4739">
        <v>0.4941816</v>
      </c>
      <c r="F4739" t="s">
        <v>81</v>
      </c>
      <c r="G4739">
        <v>-417.7595</v>
      </c>
      <c r="H4739" s="1">
        <v>-2.1890539999999999E-6</v>
      </c>
      <c r="I4739">
        <v>37.090110000000003</v>
      </c>
      <c r="J4739">
        <v>-425.11840000000001</v>
      </c>
      <c r="K4739">
        <v>1.1148149999999999</v>
      </c>
      <c r="L4739">
        <v>72.871399999999994</v>
      </c>
      <c r="M4739">
        <v>-6.3160090000000002E-2</v>
      </c>
      <c r="N4739">
        <v>-1.5238440000000001E-2</v>
      </c>
      <c r="O4739">
        <v>-0.99788710000000003</v>
      </c>
      <c r="P4739">
        <v>0.1866401</v>
      </c>
      <c r="Q4739">
        <v>-2.9668469999999999E-2</v>
      </c>
      <c r="R4739">
        <v>-0.98198010000000002</v>
      </c>
      <c r="S4739">
        <v>0.59652709999999998</v>
      </c>
      <c r="T4739">
        <v>-9.0625999999999998E-2</v>
      </c>
      <c r="U4739">
        <v>-2.9391479999999999</v>
      </c>
      <c r="V4739">
        <v>-0.24807000000000001</v>
      </c>
      <c r="W4739">
        <v>-1.8294830000000002E-2</v>
      </c>
      <c r="X4739">
        <v>0.96856929999999997</v>
      </c>
      <c r="Y4739">
        <v>-0.26030110000000001</v>
      </c>
      <c r="Z4739">
        <v>1.455945E-2</v>
      </c>
      <c r="AA4739">
        <v>0.96541770000000005</v>
      </c>
      <c r="AB4739">
        <v>39</v>
      </c>
      <c r="AC4739">
        <v>7.3589000000000002</v>
      </c>
      <c r="AD4739">
        <v>-1.114817189054</v>
      </c>
      <c r="AE4739">
        <v>-35.781289999999998</v>
      </c>
      <c r="AF4739">
        <v>-9.5954791607352803</v>
      </c>
      <c r="AG4739">
        <v>-1.114817189054</v>
      </c>
      <c r="AH4739">
        <v>35.212195846508799</v>
      </c>
      <c r="AI4739">
        <v>91.749619972225403</v>
      </c>
      <c r="AJ4739">
        <v>105.24323371891801</v>
      </c>
      <c r="AK4739">
        <v>36.513213690690201</v>
      </c>
      <c r="AL4739">
        <v>91.048275072634098</v>
      </c>
      <c r="AM4739">
        <v>104.36579068763599</v>
      </c>
      <c r="AN4739">
        <v>0.99999995730360802</v>
      </c>
    </row>
    <row r="4740" spans="1:40" x14ac:dyDescent="0.25">
      <c r="A4740" t="str">
        <f>"20190305135331044"</f>
        <v>20190305135331044</v>
      </c>
      <c r="B4740" t="str">
        <f>"1551765211034519"</f>
        <v>1551765211034519</v>
      </c>
      <c r="C4740" t="s">
        <v>40</v>
      </c>
      <c r="D4740">
        <v>4.446828</v>
      </c>
      <c r="E4740">
        <v>0.49480940000000001</v>
      </c>
      <c r="F4740" t="s">
        <v>81</v>
      </c>
      <c r="G4740">
        <v>-417.37049999999999</v>
      </c>
      <c r="H4740" s="1">
        <v>-3.3711440000000002E-6</v>
      </c>
      <c r="I4740">
        <v>35.309429999999999</v>
      </c>
      <c r="J4740">
        <v>-425.13740000000001</v>
      </c>
      <c r="K4740">
        <v>1.114851</v>
      </c>
      <c r="L4740">
        <v>72.499359999999996</v>
      </c>
      <c r="M4740">
        <v>-5.7924749999999997E-2</v>
      </c>
      <c r="N4740">
        <v>-1.524003E-2</v>
      </c>
      <c r="O4740">
        <v>-0.99820469999999895</v>
      </c>
      <c r="P4740">
        <v>0.19128590000000001</v>
      </c>
      <c r="Q4740">
        <v>-2.9363609999999998E-2</v>
      </c>
      <c r="R4740">
        <v>-0.9810951</v>
      </c>
      <c r="S4740">
        <v>0.60586549999999995</v>
      </c>
      <c r="T4740">
        <v>-8.7176080000000003E-2</v>
      </c>
      <c r="U4740">
        <v>-2.9372560000000001</v>
      </c>
      <c r="V4740">
        <v>-0.24757709999999999</v>
      </c>
      <c r="W4740">
        <v>-1.8003519999999999E-2</v>
      </c>
      <c r="X4740">
        <v>0.96870089999999998</v>
      </c>
      <c r="Y4740">
        <v>-0.25830920000000002</v>
      </c>
      <c r="Z4740">
        <v>1.345816E-2</v>
      </c>
      <c r="AA4740">
        <v>0.96596850000000001</v>
      </c>
      <c r="AB4740">
        <v>39</v>
      </c>
      <c r="AC4740">
        <v>7.7669000000000201</v>
      </c>
      <c r="AD4740">
        <v>-1.114854371144</v>
      </c>
      <c r="AE4740">
        <v>-37.189929999999997</v>
      </c>
      <c r="AF4740">
        <v>-9.8997988652008502</v>
      </c>
      <c r="AG4740">
        <v>-1.114854371144</v>
      </c>
      <c r="AH4740">
        <v>36.645968645177298</v>
      </c>
      <c r="AI4740">
        <v>91.6822636141234</v>
      </c>
      <c r="AJ4740">
        <v>105.117425576315</v>
      </c>
      <c r="AK4740">
        <v>37.975991570775399</v>
      </c>
      <c r="AL4740">
        <v>91.031581454569903</v>
      </c>
      <c r="AM4740">
        <v>104.336557123692</v>
      </c>
      <c r="AN4740">
        <v>0.99999999041880505</v>
      </c>
    </row>
    <row r="4741" spans="1:40" x14ac:dyDescent="0.25">
      <c r="A4741" t="str">
        <f>"20190305135331067"</f>
        <v>20190305135331067</v>
      </c>
      <c r="B4741" t="str">
        <f>"1551765211055015"</f>
        <v>1551765211055015</v>
      </c>
      <c r="C4741" t="s">
        <v>40</v>
      </c>
      <c r="D4741">
        <v>4.4333140000000002</v>
      </c>
      <c r="E4741">
        <v>0.49547390000000002</v>
      </c>
      <c r="F4741" t="s">
        <v>81</v>
      </c>
      <c r="G4741">
        <v>-417.25729999999999</v>
      </c>
      <c r="H4741" s="1">
        <v>-3.6339649999999999E-6</v>
      </c>
      <c r="I4741">
        <v>34.874789999999997</v>
      </c>
      <c r="J4741">
        <v>-425.15499999999997</v>
      </c>
      <c r="K4741">
        <v>1.1148880000000001</v>
      </c>
      <c r="L4741">
        <v>72.114319999999907</v>
      </c>
      <c r="M4741">
        <v>-5.2449900000000001E-2</v>
      </c>
      <c r="N4741">
        <v>-1.52414E-2</v>
      </c>
      <c r="O4741">
        <v>-0.99850740000000004</v>
      </c>
      <c r="P4741">
        <v>0.19670319999999999</v>
      </c>
      <c r="Q4741">
        <v>-2.968223E-2</v>
      </c>
      <c r="R4741">
        <v>-0.98001400000000005</v>
      </c>
      <c r="S4741">
        <v>0.61477660000000001</v>
      </c>
      <c r="T4741">
        <v>-8.6976890000000001E-2</v>
      </c>
      <c r="U4741">
        <v>-2.935333</v>
      </c>
      <c r="V4741">
        <v>-0.2476102</v>
      </c>
      <c r="W4741">
        <v>-1.8345139999999999E-2</v>
      </c>
      <c r="X4741">
        <v>0.96868600000000005</v>
      </c>
      <c r="Y4741">
        <v>-0.25594800000000001</v>
      </c>
      <c r="Z4741">
        <v>1.3430559999999999E-2</v>
      </c>
      <c r="AA4741">
        <v>0.96659729999999999</v>
      </c>
      <c r="AB4741">
        <v>39</v>
      </c>
      <c r="AC4741">
        <v>7.89769999999998</v>
      </c>
      <c r="AD4741">
        <v>-1.1148916339649999</v>
      </c>
      <c r="AE4741">
        <v>-37.239529999999903</v>
      </c>
      <c r="AF4741">
        <v>-9.8318299108171701</v>
      </c>
      <c r="AG4741">
        <v>-1.1148916339649999</v>
      </c>
      <c r="AH4741">
        <v>36.7424632894881</v>
      </c>
      <c r="AI4741">
        <v>91.678980653489603</v>
      </c>
      <c r="AJ4741">
        <v>104.980671763825</v>
      </c>
      <c r="AK4741">
        <v>38.0514976226969</v>
      </c>
      <c r="AL4741">
        <v>91.051158103435895</v>
      </c>
      <c r="AM4741">
        <v>104.33860629089899</v>
      </c>
      <c r="AN4741">
        <v>0.99999996095082899</v>
      </c>
    </row>
    <row r="4742" spans="1:40" x14ac:dyDescent="0.25">
      <c r="A4742" t="str">
        <f>"20190305135331089"</f>
        <v>20190305135331089</v>
      </c>
      <c r="B4742" t="str">
        <f>"1551765211085272"</f>
        <v>1551765211085272</v>
      </c>
      <c r="C4742" t="s">
        <v>40</v>
      </c>
      <c r="D4742">
        <v>4.4469859999999999</v>
      </c>
      <c r="E4742">
        <v>0.49656159999999999</v>
      </c>
      <c r="F4742" t="s">
        <v>81</v>
      </c>
      <c r="G4742">
        <v>-417.28919999999999</v>
      </c>
      <c r="H4742" s="1">
        <v>-3.4318910000000001E-6</v>
      </c>
      <c r="I4742">
        <v>35.231319999999997</v>
      </c>
      <c r="J4742">
        <v>-425.1705</v>
      </c>
      <c r="K4742">
        <v>1.1149119999999999</v>
      </c>
      <c r="L4742">
        <v>71.723419999999905</v>
      </c>
      <c r="M4742">
        <v>-4.6841389999999997E-2</v>
      </c>
      <c r="N4742">
        <v>-1.5242220000000001E-2</v>
      </c>
      <c r="O4742">
        <v>-0.99878610000000001</v>
      </c>
      <c r="P4742">
        <v>0.20252419999999999</v>
      </c>
      <c r="Q4742">
        <v>-3.0410090000000001E-2</v>
      </c>
      <c r="R4742">
        <v>-0.97880509999999998</v>
      </c>
      <c r="S4742">
        <v>0.6254883</v>
      </c>
      <c r="T4742">
        <v>-8.8656659999999998E-2</v>
      </c>
      <c r="U4742">
        <v>-2.9329529999999999</v>
      </c>
      <c r="V4742">
        <v>-0.24791389999999999</v>
      </c>
      <c r="W4742">
        <v>-1.9097630000000001E-2</v>
      </c>
      <c r="X4742">
        <v>0.96859379999999995</v>
      </c>
      <c r="Y4742">
        <v>-0.25405290000000003</v>
      </c>
      <c r="Z4742">
        <v>1.402462E-2</v>
      </c>
      <c r="AA4742">
        <v>0.96708859999999996</v>
      </c>
      <c r="AB4742">
        <v>39</v>
      </c>
      <c r="AC4742">
        <v>7.8813000000000004</v>
      </c>
      <c r="AD4742">
        <v>-1.114915431891</v>
      </c>
      <c r="AE4742">
        <v>-36.492099999999901</v>
      </c>
      <c r="AF4742">
        <v>-9.5736480209368402</v>
      </c>
      <c r="AG4742">
        <v>-1.114915431891</v>
      </c>
      <c r="AH4742">
        <v>36.050669406405703</v>
      </c>
      <c r="AI4742">
        <v>91.712079868060002</v>
      </c>
      <c r="AJ4742">
        <v>104.872251054354</v>
      </c>
      <c r="AK4742">
        <v>37.316866662395597</v>
      </c>
      <c r="AL4742">
        <v>91.094280138164393</v>
      </c>
      <c r="AM4742">
        <v>104.356776548277</v>
      </c>
      <c r="AN4742">
        <v>0.99999998534163304</v>
      </c>
    </row>
    <row r="4743" spans="1:40" x14ac:dyDescent="0.25">
      <c r="A4743" t="str">
        <f>"20190305135331112"</f>
        <v>20190305135331112</v>
      </c>
      <c r="B4743" t="str">
        <f>"1551765211104794"</f>
        <v>1551765211104794</v>
      </c>
      <c r="C4743" t="s">
        <v>40</v>
      </c>
      <c r="D4743">
        <v>4.467816</v>
      </c>
      <c r="E4743">
        <v>0.49708629999999998</v>
      </c>
      <c r="F4743" t="s">
        <v>81</v>
      </c>
      <c r="G4743">
        <v>-417.44060000000002</v>
      </c>
      <c r="H4743" s="1">
        <v>-2.963503E-6</v>
      </c>
      <c r="I4743">
        <v>36.005189999999999</v>
      </c>
      <c r="J4743">
        <v>-425.18400000000003</v>
      </c>
      <c r="K4743">
        <v>1.1149290000000001</v>
      </c>
      <c r="L4743">
        <v>71.323969999999903</v>
      </c>
      <c r="M4743">
        <v>-4.1071320000000001E-2</v>
      </c>
      <c r="N4743">
        <v>-1.5242169999999999E-2</v>
      </c>
      <c r="O4743">
        <v>-0.99904009999999999</v>
      </c>
      <c r="P4743">
        <v>0.20832210000000001</v>
      </c>
      <c r="Q4743">
        <v>-3.2056479999999998E-2</v>
      </c>
      <c r="R4743">
        <v>-0.97753489999999998</v>
      </c>
      <c r="S4743">
        <v>0.63427730000000004</v>
      </c>
      <c r="T4743">
        <v>-9.1484899999999994E-2</v>
      </c>
      <c r="U4743">
        <v>-2.9308779999999999</v>
      </c>
      <c r="V4743">
        <v>-0.24803359999999999</v>
      </c>
      <c r="W4743">
        <v>-2.0761729999999999E-2</v>
      </c>
      <c r="X4743">
        <v>0.96852890000000003</v>
      </c>
      <c r="Y4743">
        <v>-0.25137310000000002</v>
      </c>
      <c r="Z4743">
        <v>1.500253E-2</v>
      </c>
      <c r="AA4743">
        <v>0.96777400000000002</v>
      </c>
      <c r="AB4743">
        <v>39</v>
      </c>
      <c r="AC4743">
        <v>7.7434000000000003</v>
      </c>
      <c r="AD4743">
        <v>-1.1149319635029999</v>
      </c>
      <c r="AE4743">
        <v>-35.318779999999897</v>
      </c>
      <c r="AF4743">
        <v>-9.1788945362535994</v>
      </c>
      <c r="AG4743">
        <v>-1.1149319635029999</v>
      </c>
      <c r="AH4743">
        <v>34.937683868323703</v>
      </c>
      <c r="AI4743">
        <v>91.767850580396001</v>
      </c>
      <c r="AJ4743">
        <v>104.720197358547</v>
      </c>
      <c r="AK4743">
        <v>36.140516491520103</v>
      </c>
      <c r="AL4743">
        <v>91.189645012744606</v>
      </c>
      <c r="AM4743">
        <v>104.36434433810599</v>
      </c>
      <c r="AN4743">
        <v>0.99999997314838096</v>
      </c>
    </row>
    <row r="4744" spans="1:40" x14ac:dyDescent="0.25">
      <c r="A4744" t="str">
        <f>"20190305135331135"</f>
        <v>20190305135331135</v>
      </c>
      <c r="B4744" t="str">
        <f>"1551765211124311"</f>
        <v>1551765211124311</v>
      </c>
      <c r="C4744" t="s">
        <v>40</v>
      </c>
      <c r="D4744">
        <v>4.4354950000000004</v>
      </c>
      <c r="E4744">
        <v>0.49754930000000003</v>
      </c>
      <c r="F4744" t="s">
        <v>81</v>
      </c>
      <c r="G4744">
        <v>-417.80709999999999</v>
      </c>
      <c r="H4744" s="1">
        <v>-1.6144740000000001E-6</v>
      </c>
      <c r="I4744">
        <v>37.974159999999998</v>
      </c>
      <c r="J4744">
        <v>-425.19479999999999</v>
      </c>
      <c r="K4744">
        <v>1.114946</v>
      </c>
      <c r="L4744">
        <v>70.943790000000007</v>
      </c>
      <c r="M4744">
        <v>-3.5552260000000002E-2</v>
      </c>
      <c r="N4744">
        <v>-1.524123E-2</v>
      </c>
      <c r="O4744">
        <v>-0.99925169999999996</v>
      </c>
      <c r="P4744">
        <v>0.21431040000000001</v>
      </c>
      <c r="Q4744">
        <v>-3.386455E-2</v>
      </c>
      <c r="R4744">
        <v>-0.97617849999999995</v>
      </c>
      <c r="S4744">
        <v>0.64761349999999995</v>
      </c>
      <c r="T4744">
        <v>-9.7878220000000002E-2</v>
      </c>
      <c r="U4744">
        <v>-2.9277340000000001</v>
      </c>
      <c r="V4744">
        <v>-0.24859220000000001</v>
      </c>
      <c r="W4744">
        <v>-2.2590619999999999E-2</v>
      </c>
      <c r="X4744">
        <v>0.96834469999999995</v>
      </c>
      <c r="Y4744">
        <v>-0.25043710000000002</v>
      </c>
      <c r="Z4744">
        <v>1.7160769999999999E-2</v>
      </c>
      <c r="AA4744">
        <v>0.96798079999999997</v>
      </c>
      <c r="AB4744">
        <v>39</v>
      </c>
      <c r="AC4744">
        <v>7.3876999999999899</v>
      </c>
      <c r="AD4744">
        <v>-1.114947614474</v>
      </c>
      <c r="AE4744">
        <v>-32.969630000000002</v>
      </c>
      <c r="AF4744">
        <v>-8.5460033449374695</v>
      </c>
      <c r="AG4744">
        <v>-1.114947614474</v>
      </c>
      <c r="AH4744">
        <v>32.650547916043699</v>
      </c>
      <c r="AI4744">
        <v>91.892080886822001</v>
      </c>
      <c r="AJ4744">
        <v>104.667638955887</v>
      </c>
      <c r="AK4744">
        <v>33.768854889862197</v>
      </c>
      <c r="AL4744">
        <v>91.294457380142404</v>
      </c>
      <c r="AM4744">
        <v>104.39797606734</v>
      </c>
      <c r="AN4744">
        <v>0.99999993801545495</v>
      </c>
    </row>
    <row r="4745" spans="1:40" x14ac:dyDescent="0.25">
      <c r="A4745" t="str">
        <f>"20190305135331156"</f>
        <v>20190305135331156</v>
      </c>
      <c r="B4745" t="str">
        <f>"1551765211144807"</f>
        <v>1551765211144807</v>
      </c>
      <c r="C4745" t="s">
        <v>40</v>
      </c>
      <c r="D4745">
        <v>4.4549880000000002</v>
      </c>
      <c r="E4745">
        <v>0.49808439999999998</v>
      </c>
      <c r="F4745" t="s">
        <v>42</v>
      </c>
      <c r="G4745">
        <v>-418.17309999999998</v>
      </c>
      <c r="H4745" s="1">
        <v>-5.7969189999999998E-7</v>
      </c>
      <c r="I4745">
        <v>39.923079999999999</v>
      </c>
      <c r="J4745">
        <v>-425.20319999999998</v>
      </c>
      <c r="K4745">
        <v>1.1149519999999999</v>
      </c>
      <c r="L4745">
        <v>70.573939999999993</v>
      </c>
      <c r="M4745">
        <v>-3.016928E-2</v>
      </c>
      <c r="N4745">
        <v>-1.523949E-2</v>
      </c>
      <c r="O4745">
        <v>-0.9994286</v>
      </c>
      <c r="P4745">
        <v>0.22051789999999999</v>
      </c>
      <c r="Q4745">
        <v>-3.4305679999999998E-2</v>
      </c>
      <c r="R4745">
        <v>-0.97477950000000002</v>
      </c>
      <c r="S4745">
        <v>0.66192629999999997</v>
      </c>
      <c r="T4745">
        <v>-0.10510360000000001</v>
      </c>
      <c r="U4745">
        <v>-2.924255</v>
      </c>
      <c r="V4745">
        <v>-0.2495309</v>
      </c>
      <c r="W4745">
        <v>-2.3054740000000001E-2</v>
      </c>
      <c r="X4745">
        <v>0.96809230000000002</v>
      </c>
      <c r="Y4745">
        <v>-0.2499624</v>
      </c>
      <c r="Z4745">
        <v>1.9598089999999999E-2</v>
      </c>
      <c r="AA4745">
        <v>0.96805719999999995</v>
      </c>
      <c r="AB4745">
        <v>39</v>
      </c>
      <c r="AC4745">
        <v>7.0301</v>
      </c>
      <c r="AD4745">
        <v>-1.11495257969189</v>
      </c>
      <c r="AE4745">
        <v>-30.650860000000002</v>
      </c>
      <c r="AF4745">
        <v>-7.9417376099183903</v>
      </c>
      <c r="AG4745">
        <v>-1.11495257969189</v>
      </c>
      <c r="AH4745">
        <v>30.386588657091899</v>
      </c>
      <c r="AI4745">
        <v>92.033136999501295</v>
      </c>
      <c r="AJ4745">
        <v>104.647001625895</v>
      </c>
      <c r="AK4745">
        <v>31.427043859311102</v>
      </c>
      <c r="AL4745">
        <v>91.321056416685195</v>
      </c>
      <c r="AM4745">
        <v>104.453681119644</v>
      </c>
      <c r="AN4745">
        <v>0.99999994620528199</v>
      </c>
    </row>
    <row r="4746" spans="1:40" x14ac:dyDescent="0.25">
      <c r="A4746" t="str">
        <f>"20190305135331178"</f>
        <v>20190305135331178</v>
      </c>
      <c r="B4746" t="str">
        <f>"1551765211175064"</f>
        <v>1551765211175064</v>
      </c>
      <c r="C4746" t="s">
        <v>40</v>
      </c>
      <c r="D4746">
        <v>4.6560139999999999</v>
      </c>
      <c r="E4746">
        <v>0.50137010000000004</v>
      </c>
      <c r="F4746" t="s">
        <v>42</v>
      </c>
      <c r="G4746">
        <v>-418.22800000000001</v>
      </c>
      <c r="H4746" s="1">
        <v>-7.4118089999999995E-7</v>
      </c>
      <c r="I4746">
        <v>40.44061</v>
      </c>
      <c r="J4746">
        <v>-425.2099</v>
      </c>
      <c r="K4746">
        <v>1.114965</v>
      </c>
      <c r="L4746">
        <v>70.193150000000003</v>
      </c>
      <c r="M4746">
        <v>-2.4626550000000001E-2</v>
      </c>
      <c r="N4746">
        <v>-1.523686E-2</v>
      </c>
      <c r="O4746">
        <v>-0.99958060000000004</v>
      </c>
      <c r="P4746">
        <v>0.22625790000000001</v>
      </c>
      <c r="Q4746">
        <v>-3.3808949999999997E-2</v>
      </c>
      <c r="R4746">
        <v>-0.97348060000000003</v>
      </c>
      <c r="S4746">
        <v>0.67611690000000002</v>
      </c>
      <c r="T4746">
        <v>-0.1080739</v>
      </c>
      <c r="U4746">
        <v>-2.920868</v>
      </c>
      <c r="V4746">
        <v>-0.24987390000000001</v>
      </c>
      <c r="W4746">
        <v>-2.2565749999999999E-2</v>
      </c>
      <c r="X4746">
        <v>0.96801539999999997</v>
      </c>
      <c r="Y4746">
        <v>-0.2492974</v>
      </c>
      <c r="Z4746">
        <v>2.0627039999999999E-2</v>
      </c>
      <c r="AA4746">
        <v>0.96820729999999999</v>
      </c>
      <c r="AB4746">
        <v>39</v>
      </c>
      <c r="AC4746">
        <v>6.9818999999999898</v>
      </c>
      <c r="AD4746">
        <v>-1.1149657411809</v>
      </c>
      <c r="AE4746">
        <v>-29.75254</v>
      </c>
      <c r="AF4746">
        <v>-7.7023173483139002</v>
      </c>
      <c r="AG4746">
        <v>-1.1149657411809</v>
      </c>
      <c r="AH4746">
        <v>29.532245590279501</v>
      </c>
      <c r="AI4746">
        <v>92.092206171662497</v>
      </c>
      <c r="AJ4746">
        <v>104.617701042986</v>
      </c>
      <c r="AK4746">
        <v>30.540503773558299</v>
      </c>
      <c r="AL4746">
        <v>91.293031994647393</v>
      </c>
      <c r="AM4746">
        <v>104.473816431263</v>
      </c>
      <c r="AN4746">
        <v>0.99999999680571605</v>
      </c>
    </row>
    <row r="4747" spans="1:40" x14ac:dyDescent="0.25">
      <c r="A4747" t="str">
        <f>"20190305135331202"</f>
        <v>20190305135331202</v>
      </c>
      <c r="B4747" t="str">
        <f>"1551765211194583"</f>
        <v>1551765211194583</v>
      </c>
      <c r="C4747" t="s">
        <v>40</v>
      </c>
      <c r="D4747">
        <v>4.4580099999999998</v>
      </c>
      <c r="E4747">
        <v>0.46012930000000002</v>
      </c>
      <c r="F4747" t="s">
        <v>42</v>
      </c>
      <c r="G4747">
        <v>-421.59269999999998</v>
      </c>
      <c r="H4747" s="1">
        <v>-2.4448459999999999E-6</v>
      </c>
      <c r="I4747">
        <v>54.300249999999998</v>
      </c>
      <c r="J4747">
        <v>-425.21480000000003</v>
      </c>
      <c r="K4747">
        <v>1.1149629999999999</v>
      </c>
      <c r="L4747">
        <v>69.786289999999994</v>
      </c>
      <c r="M4747">
        <v>-1.872097E-2</v>
      </c>
      <c r="N4747">
        <v>-1.523334E-2</v>
      </c>
      <c r="O4747">
        <v>-0.99970879999999995</v>
      </c>
      <c r="P4747">
        <v>0.2327988</v>
      </c>
      <c r="Q4747">
        <v>-3.324357E-2</v>
      </c>
      <c r="R4747">
        <v>-0.97195699999999996</v>
      </c>
      <c r="S4747">
        <v>0.66461179999999997</v>
      </c>
      <c r="T4747">
        <v>-0.20486219999999999</v>
      </c>
      <c r="U4747">
        <v>-2.9201350000000001</v>
      </c>
      <c r="V4747">
        <v>-0.25067279999999997</v>
      </c>
      <c r="W4747">
        <v>-2.2010660000000001E-2</v>
      </c>
      <c r="X4747">
        <v>0.96782170000000001</v>
      </c>
      <c r="Y4747">
        <v>-0.2396768</v>
      </c>
      <c r="Z4747">
        <v>5.2841829999999999E-2</v>
      </c>
      <c r="AA4747">
        <v>0.96941359999999999</v>
      </c>
      <c r="AB4747">
        <v>39</v>
      </c>
      <c r="AC4747">
        <v>3.6221000000000401</v>
      </c>
      <c r="AD4747">
        <v>-1.114965444846</v>
      </c>
      <c r="AE4747">
        <v>-15.486039999999999</v>
      </c>
      <c r="AF4747">
        <v>-3.8922823839549499</v>
      </c>
      <c r="AG4747">
        <v>-1.114965444846</v>
      </c>
      <c r="AH4747">
        <v>15.3401139346254</v>
      </c>
      <c r="AI4747">
        <v>94.029861478980905</v>
      </c>
      <c r="AJ4747">
        <v>104.237331941645</v>
      </c>
      <c r="AK4747">
        <v>15.865437454635</v>
      </c>
      <c r="AL4747">
        <v>91.261219669348307</v>
      </c>
      <c r="AM4747">
        <v>104.520922533751</v>
      </c>
      <c r="AN4747">
        <v>1.00000008240217</v>
      </c>
    </row>
    <row r="4748" spans="1:40" x14ac:dyDescent="0.25">
      <c r="A4748" t="str">
        <f>"20190305135331222"</f>
        <v>20190305135331222</v>
      </c>
      <c r="B4748" t="str">
        <f>"1551765211215079"</f>
        <v>1551765211215079</v>
      </c>
      <c r="C4748" t="s">
        <v>40</v>
      </c>
      <c r="D4748">
        <v>4.446332</v>
      </c>
      <c r="E4748">
        <v>0.45202789999999998</v>
      </c>
      <c r="F4748" t="s">
        <v>42</v>
      </c>
      <c r="G4748">
        <v>-418.55450000000002</v>
      </c>
      <c r="H4748" s="1">
        <v>-8.3373359999999902E-7</v>
      </c>
      <c r="I4748">
        <v>50.967829999999999</v>
      </c>
      <c r="J4748">
        <v>-425.21699999999998</v>
      </c>
      <c r="K4748">
        <v>1.114946</v>
      </c>
      <c r="L4748">
        <v>69.424530000000004</v>
      </c>
      <c r="M4748">
        <v>-1.349768E-2</v>
      </c>
      <c r="N4748">
        <v>-1.522942E-2</v>
      </c>
      <c r="O4748">
        <v>-0.99979289999999998</v>
      </c>
      <c r="P4748">
        <v>0.23929030000000001</v>
      </c>
      <c r="Q4748">
        <v>-3.2757359999999999E-2</v>
      </c>
      <c r="R4748">
        <v>-0.97039520000000001</v>
      </c>
      <c r="S4748">
        <v>1.0051570000000001</v>
      </c>
      <c r="T4748">
        <v>-0.168268899999999</v>
      </c>
      <c r="U4748">
        <v>-2.8400569999999998</v>
      </c>
      <c r="V4748">
        <v>-0.25209229999999999</v>
      </c>
      <c r="W4748">
        <v>-2.1540589999999998E-2</v>
      </c>
      <c r="X4748">
        <v>0.96746339999999997</v>
      </c>
      <c r="Y4748">
        <v>-0.34588259999999899</v>
      </c>
      <c r="Z4748">
        <v>4.0380850000000003E-2</v>
      </c>
      <c r="AA4748">
        <v>0.93740840000000003</v>
      </c>
      <c r="AB4748">
        <v>39</v>
      </c>
      <c r="AC4748">
        <v>6.6624999999999597</v>
      </c>
      <c r="AD4748">
        <v>-1.1149468337335999</v>
      </c>
      <c r="AE4748">
        <v>-18.456700000000001</v>
      </c>
      <c r="AF4748">
        <v>-6.8888037846903503</v>
      </c>
      <c r="AG4748">
        <v>-1.1149468337335999</v>
      </c>
      <c r="AH4748">
        <v>18.305978237889299</v>
      </c>
      <c r="AI4748">
        <v>93.262531724885093</v>
      </c>
      <c r="AJ4748">
        <v>110.62204305846799</v>
      </c>
      <c r="AK4748">
        <v>19.5910072041254</v>
      </c>
      <c r="AL4748">
        <v>91.234280385902395</v>
      </c>
      <c r="AM4748">
        <v>104.60482268248499</v>
      </c>
      <c r="AN4748">
        <v>0.99999997753819803</v>
      </c>
    </row>
    <row r="4749" spans="1:40" x14ac:dyDescent="0.25">
      <c r="A4749" t="str">
        <f>"20190305135331246"</f>
        <v>20190305135331246</v>
      </c>
      <c r="B4749" t="str">
        <f>"1551765211234599"</f>
        <v>1551765211234599</v>
      </c>
      <c r="C4749" t="s">
        <v>40</v>
      </c>
      <c r="D4749">
        <v>4.4355539999999998</v>
      </c>
      <c r="E4749">
        <v>0.45054430000000001</v>
      </c>
      <c r="F4749" t="s">
        <v>42</v>
      </c>
      <c r="G4749">
        <v>-417.10379999999998</v>
      </c>
      <c r="H4749" s="1">
        <v>-4.2769529999999996E-6</v>
      </c>
      <c r="I4749">
        <v>48.404910000000001</v>
      </c>
      <c r="J4749">
        <v>-425.21749999999997</v>
      </c>
      <c r="K4749">
        <v>1.1149230000000001</v>
      </c>
      <c r="L4749">
        <v>69.049710000000005</v>
      </c>
      <c r="M4749">
        <v>-8.122176E-3</v>
      </c>
      <c r="N4749">
        <v>-1.522455E-2</v>
      </c>
      <c r="O4749">
        <v>-0.99985109999999999</v>
      </c>
      <c r="P4749">
        <v>0.24596999999999999</v>
      </c>
      <c r="Q4749">
        <v>-3.2245740000000002E-2</v>
      </c>
      <c r="R4749">
        <v>-0.96874110000000002</v>
      </c>
      <c r="S4749">
        <v>1.087799</v>
      </c>
      <c r="T4749">
        <v>-0.1494887</v>
      </c>
      <c r="U4749">
        <v>-2.8182369999999999</v>
      </c>
      <c r="V4749">
        <v>-0.25356390000000001</v>
      </c>
      <c r="W4749">
        <v>-2.1040719999999999E-2</v>
      </c>
      <c r="X4749">
        <v>0.9670898</v>
      </c>
      <c r="Y4749">
        <v>-0.3672742</v>
      </c>
      <c r="Z4749">
        <v>3.4112940000000001E-2</v>
      </c>
      <c r="AA4749">
        <v>0.9294869</v>
      </c>
      <c r="AB4749">
        <v>38</v>
      </c>
      <c r="AC4749">
        <v>8.1136999999999908</v>
      </c>
      <c r="AD4749">
        <v>-1.1149272769530001</v>
      </c>
      <c r="AE4749">
        <v>-20.6448</v>
      </c>
      <c r="AF4749">
        <v>-8.2602641593357795</v>
      </c>
      <c r="AG4749">
        <v>-1.1149272769530001</v>
      </c>
      <c r="AH4749">
        <v>20.526353662210401</v>
      </c>
      <c r="AI4749">
        <v>92.884679954205893</v>
      </c>
      <c r="AJ4749">
        <v>111.920958017282</v>
      </c>
      <c r="AK4749">
        <v>22.1541468235868</v>
      </c>
      <c r="AL4749">
        <v>91.205633396264304</v>
      </c>
      <c r="AM4749">
        <v>104.69183147261801</v>
      </c>
      <c r="AN4749">
        <v>1.0000000222726799</v>
      </c>
    </row>
    <row r="4750" spans="1:40" x14ac:dyDescent="0.25">
      <c r="A4750" t="str">
        <f>"20190305135331268"</f>
        <v>20190305135331268</v>
      </c>
      <c r="B4750" t="str">
        <f>"1551765211264856"</f>
        <v>1551765211264856</v>
      </c>
      <c r="C4750" t="s">
        <v>40</v>
      </c>
      <c r="D4750">
        <v>4.4010290000000003</v>
      </c>
      <c r="E4750">
        <v>0.45049329999999999</v>
      </c>
      <c r="F4750" t="s">
        <v>41</v>
      </c>
      <c r="G4750">
        <v>-424.79039999999998</v>
      </c>
      <c r="H4750">
        <v>1.0630539999999999</v>
      </c>
      <c r="I4750">
        <v>67.977969999999999</v>
      </c>
      <c r="J4750">
        <v>-425.21559999999999</v>
      </c>
      <c r="K4750">
        <v>1.114884</v>
      </c>
      <c r="L4750">
        <v>68.662409999999994</v>
      </c>
      <c r="M4750">
        <v>-2.6117610000000002E-3</v>
      </c>
      <c r="N4750">
        <v>-1.521874E-2</v>
      </c>
      <c r="O4750">
        <v>-0.99988100000000002</v>
      </c>
      <c r="P4750">
        <v>0.25235239999999998</v>
      </c>
      <c r="Q4750">
        <v>-3.1343330000000003E-2</v>
      </c>
      <c r="R4750">
        <v>-0.96712790000000004</v>
      </c>
      <c r="S4750">
        <v>1.1189880000000001</v>
      </c>
      <c r="T4750">
        <v>-0.1359013</v>
      </c>
      <c r="U4750">
        <v>-2.8081670000000001</v>
      </c>
      <c r="V4750">
        <v>-0.25462459999999998</v>
      </c>
      <c r="W4750">
        <v>-2.0138730000000001E-2</v>
      </c>
      <c r="X4750">
        <v>0.96683030000000003</v>
      </c>
      <c r="Y4750">
        <v>-0.37226809999999999</v>
      </c>
      <c r="Z4750">
        <v>2.96739E-2</v>
      </c>
      <c r="AA4750">
        <v>0.92765070000000005</v>
      </c>
      <c r="AB4750">
        <v>38</v>
      </c>
      <c r="AC4750">
        <v>0.42520000000001701</v>
      </c>
      <c r="AD4750">
        <v>-5.18299999999998E-2</v>
      </c>
      <c r="AE4750">
        <v>-0.68443999999999405</v>
      </c>
      <c r="AF4750">
        <v>-0.42522693147305801</v>
      </c>
      <c r="AG4750">
        <v>-5.18299999999998E-2</v>
      </c>
      <c r="AH4750">
        <v>0.68051133321820401</v>
      </c>
      <c r="AI4750">
        <v>93.6956189015186</v>
      </c>
      <c r="AJ4750">
        <v>121.99977327581099</v>
      </c>
      <c r="AK4750">
        <v>0.80411439906795001</v>
      </c>
      <c r="AL4750">
        <v>91.153942194460299</v>
      </c>
      <c r="AM4750">
        <v>104.754401633117</v>
      </c>
      <c r="AN4750">
        <v>1.00000004218463</v>
      </c>
    </row>
    <row r="4751" spans="1:40" x14ac:dyDescent="0.25">
      <c r="A4751" t="str">
        <f>"20190305135331291"</f>
        <v>20190305135331291</v>
      </c>
      <c r="B4751" t="str">
        <f>"1551765211284379"</f>
        <v>1551765211284379</v>
      </c>
      <c r="C4751" t="s">
        <v>40</v>
      </c>
      <c r="D4751">
        <v>4.4242400000000002</v>
      </c>
      <c r="E4751">
        <v>0.45087339999999998</v>
      </c>
      <c r="F4751" t="s">
        <v>41</v>
      </c>
      <c r="G4751">
        <v>-424.77800000000002</v>
      </c>
      <c r="H4751">
        <v>1.0652619999999999</v>
      </c>
      <c r="I4751">
        <v>67.585489999999993</v>
      </c>
      <c r="J4751">
        <v>-425.21179999999998</v>
      </c>
      <c r="K4751">
        <v>1.1148400000000001</v>
      </c>
      <c r="L4751">
        <v>68.281369999999995</v>
      </c>
      <c r="M4751">
        <v>2.7766919999999999E-3</v>
      </c>
      <c r="N4751">
        <v>-1.521279E-2</v>
      </c>
      <c r="O4751">
        <v>-0.99988060000000001</v>
      </c>
      <c r="P4751">
        <v>0.25855470000000003</v>
      </c>
      <c r="Q4751">
        <v>-3.132795E-2</v>
      </c>
      <c r="R4751">
        <v>-0.96548889999999998</v>
      </c>
      <c r="S4751">
        <v>1.1380920000000001</v>
      </c>
      <c r="T4751">
        <v>-0.12905700000000001</v>
      </c>
      <c r="U4751">
        <v>-2.8008419999999998</v>
      </c>
      <c r="V4751">
        <v>-0.2556213</v>
      </c>
      <c r="W4751">
        <v>-2.0123789999999999E-2</v>
      </c>
      <c r="X4751">
        <v>0.96656750000000002</v>
      </c>
      <c r="Y4751">
        <v>-0.3735735</v>
      </c>
      <c r="Z4751">
        <v>2.7477620000000001E-2</v>
      </c>
      <c r="AA4751">
        <v>0.9271935</v>
      </c>
      <c r="AB4751">
        <v>38</v>
      </c>
      <c r="AC4751">
        <v>0.43379999999996199</v>
      </c>
      <c r="AD4751">
        <v>-4.95779999999999E-2</v>
      </c>
      <c r="AE4751">
        <v>-0.69587999999998795</v>
      </c>
      <c r="AF4751">
        <v>-0.43029298434782598</v>
      </c>
      <c r="AG4751">
        <v>-4.95779999999999E-2</v>
      </c>
      <c r="AH4751">
        <v>0.69454318041104601</v>
      </c>
      <c r="AI4751">
        <v>93.472482387299294</v>
      </c>
      <c r="AJ4751">
        <v>121.779614813552</v>
      </c>
      <c r="AK4751">
        <v>0.81853543595769296</v>
      </c>
      <c r="AL4751">
        <v>91.153086100680298</v>
      </c>
      <c r="AM4751">
        <v>104.81347204001401</v>
      </c>
      <c r="AN4751">
        <v>0.99999997399695095</v>
      </c>
    </row>
    <row r="4752" spans="1:40" x14ac:dyDescent="0.25">
      <c r="A4752" t="str">
        <f>"20190305135331312"</f>
        <v>20190305135331312</v>
      </c>
      <c r="B4752" t="str">
        <f>"1551765211304875"</f>
        <v>1551765211304875</v>
      </c>
      <c r="C4752" t="s">
        <v>40</v>
      </c>
      <c r="D4752">
        <v>4.3885870000000002</v>
      </c>
      <c r="E4752">
        <v>0.4513491</v>
      </c>
      <c r="F4752" t="s">
        <v>42</v>
      </c>
      <c r="G4752">
        <v>-415.15460000000002</v>
      </c>
      <c r="H4752" s="1">
        <v>-2.7410699999999999E-6</v>
      </c>
      <c r="I4752">
        <v>43.914369999999998</v>
      </c>
      <c r="J4752">
        <v>-425.20589999999999</v>
      </c>
      <c r="K4752">
        <v>1.1148</v>
      </c>
      <c r="L4752">
        <v>67.899959999999993</v>
      </c>
      <c r="M4752">
        <v>8.1432769999999904E-3</v>
      </c>
      <c r="N4752">
        <v>-1.5207E-2</v>
      </c>
      <c r="O4752">
        <v>-0.9998513</v>
      </c>
      <c r="P4752">
        <v>0.26442559999999998</v>
      </c>
      <c r="Q4752">
        <v>-3.1933839999999998E-2</v>
      </c>
      <c r="R4752">
        <v>-0.96387730000000005</v>
      </c>
      <c r="S4752">
        <v>1.1532899999999999</v>
      </c>
      <c r="T4752">
        <v>-0.12784289999999901</v>
      </c>
      <c r="U4752">
        <v>-2.7942499999999999</v>
      </c>
      <c r="V4752">
        <v>-0.25630839999999999</v>
      </c>
      <c r="W4752">
        <v>-2.0727140000000002E-2</v>
      </c>
      <c r="X4752">
        <v>0.96637280000000003</v>
      </c>
      <c r="Y4752">
        <v>-0.3736797</v>
      </c>
      <c r="Z4752">
        <v>2.714621E-2</v>
      </c>
      <c r="AA4752">
        <v>0.92716050000000005</v>
      </c>
      <c r="AB4752">
        <v>38</v>
      </c>
      <c r="AC4752">
        <v>10.0512999999999</v>
      </c>
      <c r="AD4752">
        <v>-1.1148027410700001</v>
      </c>
      <c r="AE4752">
        <v>-23.985589999999899</v>
      </c>
      <c r="AF4752">
        <v>-9.8375460603766207</v>
      </c>
      <c r="AG4752">
        <v>-1.1148027410700001</v>
      </c>
      <c r="AH4752">
        <v>24.022512581697001</v>
      </c>
      <c r="AI4752">
        <v>92.459062434995801</v>
      </c>
      <c r="AJ4752">
        <v>112.26976789284301</v>
      </c>
      <c r="AK4752">
        <v>25.9827097966959</v>
      </c>
      <c r="AL4752">
        <v>91.1876626939153</v>
      </c>
      <c r="AM4752">
        <v>104.854392462485</v>
      </c>
      <c r="AN4752">
        <v>0.99999999941148898</v>
      </c>
    </row>
    <row r="4753" spans="1:40" x14ac:dyDescent="0.25">
      <c r="A4753" t="str">
        <f>"20190305135331336"</f>
        <v>20190305135331336</v>
      </c>
      <c r="B4753" t="str">
        <f>"1551765211324392"</f>
        <v>1551765211324392</v>
      </c>
      <c r="C4753" t="s">
        <v>40</v>
      </c>
      <c r="D4753">
        <v>4.3990479999999996</v>
      </c>
      <c r="E4753">
        <v>0.45186850000000001</v>
      </c>
      <c r="F4753" t="s">
        <v>42</v>
      </c>
      <c r="G4753">
        <v>-415.18419999999998</v>
      </c>
      <c r="H4753" s="1">
        <v>-2.7427049999999999E-6</v>
      </c>
      <c r="I4753">
        <v>43.94229</v>
      </c>
      <c r="J4753">
        <v>-425.19810000000001</v>
      </c>
      <c r="K4753">
        <v>1.114762</v>
      </c>
      <c r="L4753">
        <v>67.516199999999998</v>
      </c>
      <c r="M4753">
        <v>1.3522299999999999E-2</v>
      </c>
      <c r="N4753">
        <v>-1.5201650000000001E-2</v>
      </c>
      <c r="O4753">
        <v>-0.99979309999999999</v>
      </c>
      <c r="P4753">
        <v>0.27027770000000001</v>
      </c>
      <c r="Q4753">
        <v>-3.3118300000000003E-2</v>
      </c>
      <c r="R4753">
        <v>-0.96221259999999997</v>
      </c>
      <c r="S4753">
        <v>1.1663209999999999</v>
      </c>
      <c r="T4753">
        <v>-0.12973999999999999</v>
      </c>
      <c r="U4753">
        <v>-2.7881770000000001</v>
      </c>
      <c r="V4753">
        <v>-0.2569669</v>
      </c>
      <c r="W4753">
        <v>-2.1911420000000001E-2</v>
      </c>
      <c r="X4753">
        <v>0.96617180000000003</v>
      </c>
      <c r="Y4753">
        <v>-0.37308720000000001</v>
      </c>
      <c r="Z4753">
        <v>2.7846079999999999E-2</v>
      </c>
      <c r="AA4753">
        <v>0.92737829999999999</v>
      </c>
      <c r="AB4753">
        <v>38</v>
      </c>
      <c r="AC4753">
        <v>10.0139</v>
      </c>
      <c r="AD4753">
        <v>-1.114764742705</v>
      </c>
      <c r="AE4753">
        <v>-23.573910000000001</v>
      </c>
      <c r="AF4753">
        <v>-9.6758445906872499</v>
      </c>
      <c r="AG4753">
        <v>-1.114764742705</v>
      </c>
      <c r="AH4753">
        <v>23.662356201014699</v>
      </c>
      <c r="AI4753">
        <v>92.496883933621604</v>
      </c>
      <c r="AJ4753">
        <v>112.240290057076</v>
      </c>
      <c r="AK4753">
        <v>25.588508552833002</v>
      </c>
      <c r="AL4753">
        <v>91.255532340144001</v>
      </c>
      <c r="AM4753">
        <v>104.89382270445201</v>
      </c>
      <c r="AN4753">
        <v>1.0000000225686301</v>
      </c>
    </row>
    <row r="4754" spans="1:40" x14ac:dyDescent="0.25">
      <c r="A4754" t="str">
        <f>"20190305135331357"</f>
        <v>20190305135331357</v>
      </c>
      <c r="B4754" t="str">
        <f>"1551765211354648"</f>
        <v>1551765211354648</v>
      </c>
      <c r="C4754" t="s">
        <v>40</v>
      </c>
      <c r="D4754">
        <v>4.3980069999999998</v>
      </c>
      <c r="E4754">
        <v>0.45270739999999998</v>
      </c>
      <c r="F4754" t="s">
        <v>42</v>
      </c>
      <c r="G4754">
        <v>-415.43450000000001</v>
      </c>
      <c r="H4754" s="1">
        <v>-2.891853E-6</v>
      </c>
      <c r="I4754">
        <v>44.485990000000001</v>
      </c>
      <c r="J4754">
        <v>-425.1884</v>
      </c>
      <c r="K4754">
        <v>1.1147279999999999</v>
      </c>
      <c r="L4754">
        <v>67.143889999999999</v>
      </c>
      <c r="M4754">
        <v>1.8727560000000001E-2</v>
      </c>
      <c r="N4754">
        <v>-1.519673E-2</v>
      </c>
      <c r="O4754">
        <v>-0.99970919999999996</v>
      </c>
      <c r="P4754">
        <v>0.27542499999999998</v>
      </c>
      <c r="Q4754">
        <v>-3.4270499999999898E-2</v>
      </c>
      <c r="R4754">
        <v>-0.96071169999999995</v>
      </c>
      <c r="S4754">
        <v>1.1793819999999999</v>
      </c>
      <c r="T4754">
        <v>-0.13465739999999901</v>
      </c>
      <c r="U4754">
        <v>-2.7819210000000001</v>
      </c>
      <c r="V4754">
        <v>-0.25709569999999998</v>
      </c>
      <c r="W4754">
        <v>-2.3056690000000001E-2</v>
      </c>
      <c r="X4754">
        <v>0.96611089999999999</v>
      </c>
      <c r="Y4754">
        <v>-0.37267319999999998</v>
      </c>
      <c r="Z4754">
        <v>2.9546139999999999E-2</v>
      </c>
      <c r="AA4754">
        <v>0.92749210000000004</v>
      </c>
      <c r="AB4754">
        <v>38</v>
      </c>
      <c r="AC4754">
        <v>9.7538999999999803</v>
      </c>
      <c r="AD4754">
        <v>-1.1147308918529999</v>
      </c>
      <c r="AE4754">
        <v>-22.657900000000001</v>
      </c>
      <c r="AF4754">
        <v>-9.3088038239640198</v>
      </c>
      <c r="AG4754">
        <v>-1.1147308918529999</v>
      </c>
      <c r="AH4754">
        <v>22.790074832910101</v>
      </c>
      <c r="AI4754">
        <v>92.592656508139299</v>
      </c>
      <c r="AJ4754">
        <v>112.217985780596</v>
      </c>
      <c r="AK4754">
        <v>24.643132197103899</v>
      </c>
      <c r="AL4754">
        <v>91.321168048559599</v>
      </c>
      <c r="AM4754">
        <v>104.90185345891</v>
      </c>
      <c r="AN4754">
        <v>1.00000004050552</v>
      </c>
    </row>
    <row r="4755" spans="1:40" x14ac:dyDescent="0.25">
      <c r="A4755" t="str">
        <f>"20190305135331381"</f>
        <v>20190305135331381</v>
      </c>
      <c r="B4755" t="str">
        <f>"1551765211375144"</f>
        <v>1551765211375144</v>
      </c>
      <c r="C4755" t="s">
        <v>40</v>
      </c>
      <c r="D4755">
        <v>4.4517980000000001</v>
      </c>
      <c r="E4755">
        <v>0.45340360000000002</v>
      </c>
      <c r="F4755" t="s">
        <v>42</v>
      </c>
      <c r="G4755">
        <v>-415.68939999999998</v>
      </c>
      <c r="H4755" s="1">
        <v>-3.0400670000000001E-6</v>
      </c>
      <c r="I4755">
        <v>44.936869999999999</v>
      </c>
      <c r="J4755">
        <v>-425.17649999999998</v>
      </c>
      <c r="K4755">
        <v>1.1147020000000001</v>
      </c>
      <c r="L4755">
        <v>66.75891</v>
      </c>
      <c r="M4755">
        <v>2.410234E-2</v>
      </c>
      <c r="N4755">
        <v>-1.519181E-2</v>
      </c>
      <c r="O4755">
        <v>-0.99959410000000004</v>
      </c>
      <c r="P4755">
        <v>0.28056409999999998</v>
      </c>
      <c r="Q4755">
        <v>-3.4090629999999997E-2</v>
      </c>
      <c r="R4755">
        <v>-0.95922969999999996</v>
      </c>
      <c r="S4755">
        <v>1.187927</v>
      </c>
      <c r="T4755">
        <v>-0.1394058</v>
      </c>
      <c r="U4755">
        <v>-2.777161</v>
      </c>
      <c r="V4755">
        <v>-0.25707649999999999</v>
      </c>
      <c r="W4755">
        <v>-2.2867809999999999E-2</v>
      </c>
      <c r="X4755">
        <v>0.96612050000000005</v>
      </c>
      <c r="Y4755">
        <v>-0.370647</v>
      </c>
      <c r="Z4755">
        <v>3.1198300000000002E-2</v>
      </c>
      <c r="AA4755">
        <v>0.92824969999999996</v>
      </c>
      <c r="AB4755">
        <v>38</v>
      </c>
      <c r="AC4755">
        <v>9.4870999999999892</v>
      </c>
      <c r="AD4755">
        <v>-1.114705040067</v>
      </c>
      <c r="AE4755">
        <v>-21.822039999999902</v>
      </c>
      <c r="AF4755">
        <v>-8.9387040013092598</v>
      </c>
      <c r="AG4755">
        <v>-1.114705040067</v>
      </c>
      <c r="AH4755">
        <v>21.996115317146799</v>
      </c>
      <c r="AI4755">
        <v>92.687994799784704</v>
      </c>
      <c r="AJ4755">
        <v>112.115668454587</v>
      </c>
      <c r="AK4755">
        <v>23.7691414568257</v>
      </c>
      <c r="AL4755">
        <v>91.310343165952901</v>
      </c>
      <c r="AM4755">
        <v>104.900648612659</v>
      </c>
      <c r="AN4755">
        <v>1.0000000420533399</v>
      </c>
    </row>
    <row r="4756" spans="1:40" x14ac:dyDescent="0.25">
      <c r="A4756" t="str">
        <f>"20190305135331402"</f>
        <v>20190305135331402</v>
      </c>
      <c r="B4756" t="str">
        <f>"1551765211394664"</f>
        <v>1551765211394664</v>
      </c>
      <c r="C4756" t="s">
        <v>40</v>
      </c>
      <c r="D4756">
        <v>4.4359699999999904</v>
      </c>
      <c r="E4756">
        <v>0.4539976</v>
      </c>
      <c r="F4756" t="s">
        <v>42</v>
      </c>
      <c r="G4756">
        <v>-415.6395</v>
      </c>
      <c r="H4756" s="1">
        <v>-2.9351629999999999E-6</v>
      </c>
      <c r="I4756">
        <v>44.671720000000001</v>
      </c>
      <c r="J4756">
        <v>-425.16269999999997</v>
      </c>
      <c r="K4756">
        <v>1.1146879999999999</v>
      </c>
      <c r="L4756">
        <v>66.380399999999995</v>
      </c>
      <c r="M4756">
        <v>2.9384170000000001E-2</v>
      </c>
      <c r="N4756">
        <v>-1.5187040000000001E-2</v>
      </c>
      <c r="O4756">
        <v>-0.99945289999999998</v>
      </c>
      <c r="P4756">
        <v>0.28641860000000002</v>
      </c>
      <c r="Q4756">
        <v>-3.3463470000000002E-2</v>
      </c>
      <c r="R4756">
        <v>-0.95752009999999999</v>
      </c>
      <c r="S4756">
        <v>1.1970829999999999</v>
      </c>
      <c r="T4756">
        <v>-0.1399186</v>
      </c>
      <c r="U4756">
        <v>-2.7724000000000002</v>
      </c>
      <c r="V4756">
        <v>-0.25788159999999999</v>
      </c>
      <c r="W4756">
        <v>-2.2246410000000001E-2</v>
      </c>
      <c r="X4756">
        <v>0.96592040000000001</v>
      </c>
      <c r="Y4756">
        <v>-0.36889949999999999</v>
      </c>
      <c r="Z4756">
        <v>3.144098E-2</v>
      </c>
      <c r="AA4756">
        <v>0.92893740000000002</v>
      </c>
      <c r="AB4756">
        <v>38</v>
      </c>
      <c r="AC4756">
        <v>9.5231999999999708</v>
      </c>
      <c r="AD4756">
        <v>-1.1146909351630001</v>
      </c>
      <c r="AE4756">
        <v>-21.708679999999902</v>
      </c>
      <c r="AF4756">
        <v>-8.8615282226006098</v>
      </c>
      <c r="AG4756">
        <v>-1.1146909351630001</v>
      </c>
      <c r="AH4756">
        <v>21.930676897847999</v>
      </c>
      <c r="AI4756">
        <v>92.698131610831396</v>
      </c>
      <c r="AJ4756">
        <v>112.002155204418</v>
      </c>
      <c r="AK4756">
        <v>23.679607419015401</v>
      </c>
      <c r="AL4756">
        <v>91.274730535213706</v>
      </c>
      <c r="AM4756">
        <v>104.94818617088301</v>
      </c>
      <c r="AN4756">
        <v>1.0000000207563</v>
      </c>
    </row>
    <row r="4757" spans="1:40" x14ac:dyDescent="0.25">
      <c r="A4757" t="str">
        <f>"20190305135331435"</f>
        <v>20190305135331435</v>
      </c>
      <c r="B4757" t="str">
        <f>"1551765211424923"</f>
        <v>1551765211424923</v>
      </c>
      <c r="C4757" t="s">
        <v>40</v>
      </c>
      <c r="D4757">
        <v>4.8180339999999999</v>
      </c>
      <c r="E4757">
        <v>0.45450479999999999</v>
      </c>
      <c r="F4757" t="s">
        <v>42</v>
      </c>
      <c r="G4757">
        <v>-415.44200000000001</v>
      </c>
      <c r="H4757" s="1">
        <v>-2.745699E-6</v>
      </c>
      <c r="I4757">
        <v>44.148400000000002</v>
      </c>
      <c r="J4757">
        <v>-425.1386</v>
      </c>
      <c r="K4757">
        <v>1.1146830000000001</v>
      </c>
      <c r="L4757">
        <v>65.825319999999905</v>
      </c>
      <c r="M4757">
        <v>3.7131160000000003E-2</v>
      </c>
      <c r="N4757">
        <v>-1.518006E-2</v>
      </c>
      <c r="O4757">
        <v>-0.99919500000000006</v>
      </c>
      <c r="P4757">
        <v>0.29460120000000001</v>
      </c>
      <c r="Q4757">
        <v>-3.2478590000000002E-2</v>
      </c>
      <c r="R4757">
        <v>-0.95506829999999998</v>
      </c>
      <c r="S4757">
        <v>1.209595</v>
      </c>
      <c r="T4757">
        <v>-0.138707</v>
      </c>
      <c r="U4757">
        <v>-2.7664490000000002</v>
      </c>
      <c r="V4757">
        <v>-0.25867099999999998</v>
      </c>
      <c r="W4757">
        <v>-2.1263069999999998E-2</v>
      </c>
      <c r="X4757">
        <v>0.96573140000000002</v>
      </c>
      <c r="Y4757">
        <v>-0.3659596</v>
      </c>
      <c r="Z4757">
        <v>3.113171E-2</v>
      </c>
      <c r="AA4757">
        <v>0.93010990000000004</v>
      </c>
      <c r="AB4757">
        <v>38</v>
      </c>
      <c r="AC4757">
        <v>9.6966000000000392</v>
      </c>
      <c r="AD4757">
        <v>-1.114685745699</v>
      </c>
      <c r="AE4757">
        <v>-21.6769199999999</v>
      </c>
      <c r="AF4757">
        <v>-8.8653956813263992</v>
      </c>
      <c r="AG4757">
        <v>-1.114685745699</v>
      </c>
      <c r="AH4757">
        <v>21.973639031762598</v>
      </c>
      <c r="AI4757">
        <v>92.693424810386901</v>
      </c>
      <c r="AJ4757">
        <v>111.97190584779599</v>
      </c>
      <c r="AK4757">
        <v>23.720846890369401</v>
      </c>
      <c r="AL4757">
        <v>91.218376026314999</v>
      </c>
      <c r="AM4757">
        <v>104.994688662762</v>
      </c>
      <c r="AN4757">
        <v>0.99999997066639201</v>
      </c>
    </row>
    <row r="4758" spans="1:40" x14ac:dyDescent="0.25">
      <c r="A4758" t="str">
        <f>"20190305135331458"</f>
        <v>20190305135331458</v>
      </c>
      <c r="B4758" t="str">
        <f>"1551765211455176"</f>
        <v>1551765211455176</v>
      </c>
      <c r="C4758" t="s">
        <v>40</v>
      </c>
      <c r="D4758">
        <v>4.3842660000000002</v>
      </c>
      <c r="E4758">
        <v>0.42684440000000001</v>
      </c>
      <c r="F4758" t="s">
        <v>42</v>
      </c>
      <c r="G4758">
        <v>-415.10890000000001</v>
      </c>
      <c r="H4758" s="1">
        <v>-2.5534239999999998E-6</v>
      </c>
      <c r="I4758">
        <v>43.327199999999998</v>
      </c>
      <c r="J4758">
        <v>-425.12</v>
      </c>
      <c r="K4758">
        <v>1.1146750000000001</v>
      </c>
      <c r="L4758">
        <v>65.451080000000005</v>
      </c>
      <c r="M4758">
        <v>4.2354549999999998E-2</v>
      </c>
      <c r="N4758">
        <v>-1.517523E-2</v>
      </c>
      <c r="O4758">
        <v>-0.99898739999999997</v>
      </c>
      <c r="P4758">
        <v>0.29994379999999998</v>
      </c>
      <c r="Q4758">
        <v>-3.2145119999999999E-2</v>
      </c>
      <c r="R4758">
        <v>-0.95341529999999997</v>
      </c>
      <c r="S4758">
        <v>1.2292179999999999</v>
      </c>
      <c r="T4758">
        <v>-0.1366136</v>
      </c>
      <c r="U4758">
        <v>-2.7573240000000001</v>
      </c>
      <c r="V4758">
        <v>-0.25903379999999998</v>
      </c>
      <c r="W4758">
        <v>-2.0927339999999999E-2</v>
      </c>
      <c r="X4758">
        <v>0.96564150000000004</v>
      </c>
      <c r="Y4758">
        <v>-0.3677687</v>
      </c>
      <c r="Z4758">
        <v>3.0502999999999999E-2</v>
      </c>
      <c r="AA4758">
        <v>0.92941689999999999</v>
      </c>
      <c r="AB4758">
        <v>38</v>
      </c>
      <c r="AC4758">
        <v>10.011100000000001</v>
      </c>
      <c r="AD4758">
        <v>-1.1146775534240001</v>
      </c>
      <c r="AE4758">
        <v>-22.12388</v>
      </c>
      <c r="AF4758">
        <v>-9.0458993013347406</v>
      </c>
      <c r="AG4758">
        <v>-1.1146775534240001</v>
      </c>
      <c r="AH4758">
        <v>22.4807187447479</v>
      </c>
      <c r="AI4758">
        <v>92.633714892617604</v>
      </c>
      <c r="AJ4758">
        <v>111.91910428360499</v>
      </c>
      <c r="AK4758">
        <v>24.2580608354925</v>
      </c>
      <c r="AL4758">
        <v>91.199135815145496</v>
      </c>
      <c r="AM4758">
        <v>105.01610515188101</v>
      </c>
      <c r="AN4758">
        <v>0.99999998481208197</v>
      </c>
    </row>
    <row r="4759" spans="1:40" x14ac:dyDescent="0.25">
      <c r="A4759" t="str">
        <f>"20190305135331480"</f>
        <v>20190305135331480</v>
      </c>
      <c r="B4759" t="str">
        <f>"1551765211474699"</f>
        <v>1551765211474699</v>
      </c>
      <c r="C4759" t="s">
        <v>40</v>
      </c>
      <c r="D4759">
        <v>4.3750330000000002</v>
      </c>
      <c r="E4759">
        <v>0.42576649999999999</v>
      </c>
      <c r="F4759" t="s">
        <v>81</v>
      </c>
      <c r="G4759">
        <v>-408.15929999999997</v>
      </c>
      <c r="H4759">
        <v>7.9987790000000003E-2</v>
      </c>
      <c r="I4759">
        <v>34.188949999999998</v>
      </c>
      <c r="J4759">
        <v>-425.09879999999998</v>
      </c>
      <c r="K4759">
        <v>1.1146609999999999</v>
      </c>
      <c r="L4759">
        <v>65.066220000000001</v>
      </c>
      <c r="M4759">
        <v>4.7722889999999997E-2</v>
      </c>
      <c r="N4759">
        <v>-1.517016E-2</v>
      </c>
      <c r="O4759">
        <v>-0.99874540000000001</v>
      </c>
      <c r="P4759">
        <v>0.30552089999999998</v>
      </c>
      <c r="Q4759">
        <v>-3.1923989999999999E-2</v>
      </c>
      <c r="R4759">
        <v>-0.95165029999999995</v>
      </c>
      <c r="S4759">
        <v>1.4568479999999999</v>
      </c>
      <c r="T4759">
        <v>-8.8874819999999993E-2</v>
      </c>
      <c r="U4759">
        <v>-2.6852719999999999</v>
      </c>
      <c r="V4759">
        <v>-0.25950139999999999</v>
      </c>
      <c r="W4759">
        <v>-2.0704569999999999E-2</v>
      </c>
      <c r="X4759">
        <v>0.96552070000000001</v>
      </c>
      <c r="Y4759">
        <v>-0.43419079999999899</v>
      </c>
      <c r="Z4759">
        <v>1.437946E-2</v>
      </c>
      <c r="AA4759">
        <v>0.90070609999999995</v>
      </c>
      <c r="AB4759">
        <v>38</v>
      </c>
      <c r="AC4759">
        <v>16.939499999999999</v>
      </c>
      <c r="AD4759">
        <v>-1.03467321</v>
      </c>
      <c r="AE4759">
        <v>-30.877269999999999</v>
      </c>
      <c r="AF4759">
        <v>-15.4331524029131</v>
      </c>
      <c r="AG4759">
        <v>-1.03467321</v>
      </c>
      <c r="AH4759">
        <v>31.623281633862501</v>
      </c>
      <c r="AI4759">
        <v>91.684235599261001</v>
      </c>
      <c r="AJ4759">
        <v>116.013826011449</v>
      </c>
      <c r="AK4759">
        <v>35.203475439757703</v>
      </c>
      <c r="AL4759">
        <v>91.186369322313297</v>
      </c>
      <c r="AM4759">
        <v>105.043780996442</v>
      </c>
      <c r="AN4759">
        <v>0.99999993897466499</v>
      </c>
    </row>
    <row r="4760" spans="1:40" x14ac:dyDescent="0.25">
      <c r="A4760" t="str">
        <f>"20190305135331503"</f>
        <v>20190305135331503</v>
      </c>
      <c r="B4760" t="str">
        <f>"1551765211495191"</f>
        <v>1551765211495191</v>
      </c>
      <c r="C4760" t="s">
        <v>40</v>
      </c>
      <c r="D4760">
        <v>4.3382709999999998</v>
      </c>
      <c r="E4760">
        <v>0.4266433</v>
      </c>
      <c r="F4760" t="s">
        <v>81</v>
      </c>
      <c r="G4760">
        <v>-407.06709999999998</v>
      </c>
      <c r="H4760">
        <v>7.9987539999999996E-2</v>
      </c>
      <c r="I4760">
        <v>32.501620000000003</v>
      </c>
      <c r="J4760">
        <v>-425.07600000000002</v>
      </c>
      <c r="K4760">
        <v>1.1146450000000001</v>
      </c>
      <c r="L4760">
        <v>64.686549999999997</v>
      </c>
      <c r="M4760">
        <v>5.3005999999999998E-2</v>
      </c>
      <c r="N4760">
        <v>-1.516491E-2</v>
      </c>
      <c r="O4760">
        <v>-0.99847909999999995</v>
      </c>
      <c r="P4760">
        <v>0.31139810000000001</v>
      </c>
      <c r="Q4760">
        <v>-3.1141470000000001E-2</v>
      </c>
      <c r="R4760">
        <v>-0.94976910000000003</v>
      </c>
      <c r="S4760">
        <v>1.4807429999999999</v>
      </c>
      <c r="T4760">
        <v>-8.4966059999999996E-2</v>
      </c>
      <c r="U4760">
        <v>-2.6741640000000002</v>
      </c>
      <c r="V4760">
        <v>-0.26037189999999999</v>
      </c>
      <c r="W4760">
        <v>-1.992501E-2</v>
      </c>
      <c r="X4760">
        <v>0.96530280000000002</v>
      </c>
      <c r="Y4760">
        <v>-0.43718420000000002</v>
      </c>
      <c r="Z4760">
        <v>1.3130279999999999E-2</v>
      </c>
      <c r="AA4760">
        <v>0.89927610000000002</v>
      </c>
      <c r="AB4760">
        <v>38</v>
      </c>
      <c r="AC4760">
        <v>18.008899999999901</v>
      </c>
      <c r="AD4760">
        <v>-1.03465746</v>
      </c>
      <c r="AE4760">
        <v>-32.184929999999902</v>
      </c>
      <c r="AF4760">
        <v>-16.264585873713699</v>
      </c>
      <c r="AG4760">
        <v>-1.03465746</v>
      </c>
      <c r="AH4760">
        <v>33.068337386396202</v>
      </c>
      <c r="AI4760">
        <v>91.608225707999495</v>
      </c>
      <c r="AJ4760">
        <v>116.19016037467</v>
      </c>
      <c r="AK4760">
        <v>36.866274658601903</v>
      </c>
      <c r="AL4760">
        <v>91.141694515525003</v>
      </c>
      <c r="AM4760">
        <v>105.09519833055199</v>
      </c>
      <c r="AN4760">
        <v>1.0000000140104699</v>
      </c>
    </row>
    <row r="4761" spans="1:40" x14ac:dyDescent="0.25">
      <c r="A4761" t="str">
        <f>"20190305135331526"</f>
        <v>20190305135331526</v>
      </c>
      <c r="B4761" t="str">
        <f>"1551765211514712"</f>
        <v>1551765211514712</v>
      </c>
      <c r="C4761" t="s">
        <v>40</v>
      </c>
      <c r="D4761">
        <v>4.3263860000000003</v>
      </c>
      <c r="E4761">
        <v>0.42795529999999998</v>
      </c>
      <c r="F4761" t="s">
        <v>81</v>
      </c>
      <c r="G4761">
        <v>-406.26979999999998</v>
      </c>
      <c r="H4761">
        <v>7.9987290000000003E-2</v>
      </c>
      <c r="I4761">
        <v>31.038540000000001</v>
      </c>
      <c r="J4761">
        <v>-425.05169999999998</v>
      </c>
      <c r="K4761">
        <v>1.1146149999999999</v>
      </c>
      <c r="L4761">
        <v>64.315430000000006</v>
      </c>
      <c r="M4761">
        <v>5.814859E-2</v>
      </c>
      <c r="N4761">
        <v>-1.5159280000000001E-2</v>
      </c>
      <c r="O4761">
        <v>-0.99819310000000006</v>
      </c>
      <c r="P4761">
        <v>0.31696410000000003</v>
      </c>
      <c r="Q4761">
        <v>-3.0524909999999999E-2</v>
      </c>
      <c r="R4761">
        <v>-0.94794639999999997</v>
      </c>
      <c r="S4761">
        <v>1.490723</v>
      </c>
      <c r="T4761">
        <v>-8.2015039999999997E-2</v>
      </c>
      <c r="U4761">
        <v>-2.6672060000000002</v>
      </c>
      <c r="V4761">
        <v>-0.26107010000000003</v>
      </c>
      <c r="W4761">
        <v>-1.930515E-2</v>
      </c>
      <c r="X4761">
        <v>0.96512679999999995</v>
      </c>
      <c r="Y4761">
        <v>-0.4361218</v>
      </c>
      <c r="Z4761">
        <v>1.221653E-2</v>
      </c>
      <c r="AA4761">
        <v>0.89980469999999901</v>
      </c>
      <c r="AB4761">
        <v>38</v>
      </c>
      <c r="AC4761">
        <v>18.7819</v>
      </c>
      <c r="AD4761">
        <v>-1.0346277100000001</v>
      </c>
      <c r="AE4761">
        <v>-33.276890000000002</v>
      </c>
      <c r="AF4761">
        <v>-16.802567988851099</v>
      </c>
      <c r="AG4761">
        <v>-1.0346277100000001</v>
      </c>
      <c r="AH4761">
        <v>34.287699364643501</v>
      </c>
      <c r="AI4761">
        <v>91.552121806667202</v>
      </c>
      <c r="AJ4761">
        <v>116.107003630652</v>
      </c>
      <c r="AK4761">
        <v>38.197422337619102</v>
      </c>
      <c r="AL4761">
        <v>91.106172320413293</v>
      </c>
      <c r="AM4761">
        <v>105.136455705407</v>
      </c>
      <c r="AN4761">
        <v>1.00000001300438</v>
      </c>
    </row>
    <row r="4762" spans="1:40" x14ac:dyDescent="0.25">
      <c r="A4762" t="str">
        <f>"20190305135331548"</f>
        <v>20190305135331548</v>
      </c>
      <c r="B4762" t="str">
        <f>"1551765211544968"</f>
        <v>1551765211544968</v>
      </c>
      <c r="C4762" t="s">
        <v>40</v>
      </c>
      <c r="D4762">
        <v>4.330184</v>
      </c>
      <c r="E4762">
        <v>0.42869790000000002</v>
      </c>
      <c r="F4762" t="s">
        <v>81</v>
      </c>
      <c r="G4762">
        <v>-402.73649999999998</v>
      </c>
      <c r="H4762" s="1">
        <v>-5.7589540000000003E-6</v>
      </c>
      <c r="I4762">
        <v>24.624169999999999</v>
      </c>
      <c r="J4762">
        <v>-425.02510000000001</v>
      </c>
      <c r="K4762">
        <v>1.114568</v>
      </c>
      <c r="L4762">
        <v>63.941130000000001</v>
      </c>
      <c r="M4762">
        <v>6.3292180000000003E-2</v>
      </c>
      <c r="N4762">
        <v>-1.515267E-2</v>
      </c>
      <c r="O4762">
        <v>-0.99787999999999999</v>
      </c>
      <c r="P4762">
        <v>0.32260889999999998</v>
      </c>
      <c r="Q4762">
        <v>-3.0379489999999999E-2</v>
      </c>
      <c r="R4762">
        <v>-0.94604489999999997</v>
      </c>
      <c r="S4762">
        <v>1.4965820000000001</v>
      </c>
      <c r="T4762">
        <v>-7.4752929999999995E-2</v>
      </c>
      <c r="U4762">
        <v>-2.6619259999999998</v>
      </c>
      <c r="V4762">
        <v>-0.26185130000000001</v>
      </c>
      <c r="W4762">
        <v>-1.915203E-2</v>
      </c>
      <c r="X4762">
        <v>0.96491819999999895</v>
      </c>
      <c r="Y4762">
        <v>-0.43376949999999997</v>
      </c>
      <c r="Z4762">
        <v>9.8747720000000004E-3</v>
      </c>
      <c r="AA4762">
        <v>0.90096969999999998</v>
      </c>
      <c r="AB4762">
        <v>38</v>
      </c>
      <c r="AC4762">
        <v>22.288599999999999</v>
      </c>
      <c r="AD4762">
        <v>-1.1145737589539999</v>
      </c>
      <c r="AE4762">
        <v>-39.316959999999902</v>
      </c>
      <c r="AF4762">
        <v>-19.743152715119599</v>
      </c>
      <c r="AG4762">
        <v>-1.1145737589539999</v>
      </c>
      <c r="AH4762">
        <v>40.6242620842484</v>
      </c>
      <c r="AI4762">
        <v>91.413563003057106</v>
      </c>
      <c r="AJ4762">
        <v>115.919479617005</v>
      </c>
      <c r="AK4762">
        <v>45.1814677017733</v>
      </c>
      <c r="AL4762">
        <v>91.097397562803806</v>
      </c>
      <c r="AM4762">
        <v>105.18279168236501</v>
      </c>
      <c r="AN4762">
        <v>1.00000001812802</v>
      </c>
    </row>
    <row r="4763" spans="1:40" x14ac:dyDescent="0.25">
      <c r="A4763" t="str">
        <f>"20190305135331570"</f>
        <v>20190305135331570</v>
      </c>
      <c r="B4763" t="str">
        <f>"1551765211564488"</f>
        <v>1551765211564488</v>
      </c>
      <c r="C4763" t="s">
        <v>40</v>
      </c>
      <c r="D4763">
        <v>4.3362089999999904</v>
      </c>
      <c r="E4763">
        <v>0.4290119</v>
      </c>
      <c r="F4763" t="s">
        <v>81</v>
      </c>
      <c r="G4763">
        <v>-402.62979999999999</v>
      </c>
      <c r="H4763" s="1">
        <v>-5.7840720000000003E-6</v>
      </c>
      <c r="I4763">
        <v>24.48602</v>
      </c>
      <c r="J4763">
        <v>-424.99669999999998</v>
      </c>
      <c r="K4763">
        <v>1.1145179999999999</v>
      </c>
      <c r="L4763">
        <v>63.568019999999997</v>
      </c>
      <c r="M4763">
        <v>6.8380650000000001E-2</v>
      </c>
      <c r="N4763">
        <v>-1.514537E-2</v>
      </c>
      <c r="O4763">
        <v>-0.99754430000000005</v>
      </c>
      <c r="P4763">
        <v>0.32868180000000002</v>
      </c>
      <c r="Q4763">
        <v>-3.1067009999999999E-2</v>
      </c>
      <c r="R4763">
        <v>-0.94392989999999999</v>
      </c>
      <c r="S4763">
        <v>1.5069269999999999</v>
      </c>
      <c r="T4763">
        <v>-7.4997190000000005E-2</v>
      </c>
      <c r="U4763">
        <v>-2.654846</v>
      </c>
      <c r="V4763">
        <v>-0.26312529999999901</v>
      </c>
      <c r="W4763">
        <v>-1.9837500000000001E-2</v>
      </c>
      <c r="X4763">
        <v>0.96455769999999996</v>
      </c>
      <c r="Y4763">
        <v>-0.4328593</v>
      </c>
      <c r="Z4763">
        <v>1.001315E-2</v>
      </c>
      <c r="AA4763">
        <v>0.90140589999999998</v>
      </c>
      <c r="AB4763">
        <v>38</v>
      </c>
      <c r="AC4763">
        <v>22.366899999999902</v>
      </c>
      <c r="AD4763">
        <v>-1.1145237840719999</v>
      </c>
      <c r="AE4763">
        <v>-39.082000000000001</v>
      </c>
      <c r="AF4763">
        <v>-19.629749391755801</v>
      </c>
      <c r="AG4763">
        <v>-1.1145237840719999</v>
      </c>
      <c r="AH4763">
        <v>40.495331001136897</v>
      </c>
      <c r="AI4763">
        <v>91.418696064491897</v>
      </c>
      <c r="AJ4763">
        <v>115.861372776998</v>
      </c>
      <c r="AK4763">
        <v>45.016008900612697</v>
      </c>
      <c r="AL4763">
        <v>91.136679582928807</v>
      </c>
      <c r="AM4763">
        <v>105.258663152032</v>
      </c>
      <c r="AN4763">
        <v>1.00000000326781</v>
      </c>
    </row>
    <row r="4764" spans="1:40" x14ac:dyDescent="0.25">
      <c r="A4764" t="str">
        <f>"20190305135331592"</f>
        <v>20190305135331592</v>
      </c>
      <c r="B4764" t="str">
        <f>"1551765211584984"</f>
        <v>1551765211584984</v>
      </c>
      <c r="C4764" t="s">
        <v>40</v>
      </c>
      <c r="D4764">
        <v>4.3526089999999904</v>
      </c>
      <c r="E4764">
        <v>0.42940889999999998</v>
      </c>
      <c r="F4764" t="s">
        <v>81</v>
      </c>
      <c r="G4764">
        <v>-403.17899999999997</v>
      </c>
      <c r="H4764" s="1">
        <v>-5.7318199999999996E-6</v>
      </c>
      <c r="I4764">
        <v>25.629449999999999</v>
      </c>
      <c r="J4764">
        <v>-424.96640000000002</v>
      </c>
      <c r="K4764">
        <v>1.114471</v>
      </c>
      <c r="L4764">
        <v>63.193939999999998</v>
      </c>
      <c r="M4764">
        <v>7.3431609999999994E-2</v>
      </c>
      <c r="N4764">
        <v>-1.5137660000000001E-2</v>
      </c>
      <c r="O4764">
        <v>-0.99718549999999995</v>
      </c>
      <c r="P4764">
        <v>0.33479530000000002</v>
      </c>
      <c r="Q4764">
        <v>-3.1401110000000003E-2</v>
      </c>
      <c r="R4764">
        <v>-0.94176780000000004</v>
      </c>
      <c r="S4764">
        <v>1.521576</v>
      </c>
      <c r="T4764">
        <v>-7.7727080000000004E-2</v>
      </c>
      <c r="U4764">
        <v>-2.6458439999999999</v>
      </c>
      <c r="V4764">
        <v>-0.26449289999999998</v>
      </c>
      <c r="W4764">
        <v>-2.0166759999999999E-2</v>
      </c>
      <c r="X4764">
        <v>0.96417679999999995</v>
      </c>
      <c r="Y4764">
        <v>-0.4333613</v>
      </c>
      <c r="Z4764">
        <v>1.097471E-2</v>
      </c>
      <c r="AA4764">
        <v>0.90115350000000005</v>
      </c>
      <c r="AB4764">
        <v>38</v>
      </c>
      <c r="AC4764">
        <v>21.787399999999899</v>
      </c>
      <c r="AD4764">
        <v>-1.11447673182</v>
      </c>
      <c r="AE4764">
        <v>-37.564489999999999</v>
      </c>
      <c r="AF4764">
        <v>-18.9573432523691</v>
      </c>
      <c r="AG4764">
        <v>-1.11447673182</v>
      </c>
      <c r="AH4764">
        <v>39.037407442464499</v>
      </c>
      <c r="AI4764">
        <v>91.471087255562196</v>
      </c>
      <c r="AJ4764">
        <v>115.90213383005</v>
      </c>
      <c r="AK4764">
        <v>43.411313057806701</v>
      </c>
      <c r="AL4764">
        <v>91.155548515741401</v>
      </c>
      <c r="AM4764">
        <v>105.340018693948</v>
      </c>
      <c r="AN4764">
        <v>1.00000004700877</v>
      </c>
    </row>
    <row r="4765" spans="1:40" x14ac:dyDescent="0.25">
      <c r="A4765" t="str">
        <f>"20190305135331613"</f>
        <v>20190305135331613</v>
      </c>
      <c r="B4765" t="str">
        <f>"1551765211604507"</f>
        <v>1551765211604507</v>
      </c>
      <c r="C4765" t="s">
        <v>40</v>
      </c>
      <c r="D4765">
        <v>4.3574950000000001</v>
      </c>
      <c r="E4765">
        <v>0.4298535</v>
      </c>
      <c r="F4765" t="s">
        <v>81</v>
      </c>
      <c r="G4765">
        <v>-403.60180000000003</v>
      </c>
      <c r="H4765" s="1">
        <v>-5.6913930000000003E-6</v>
      </c>
      <c r="I4765">
        <v>26.508800000000001</v>
      </c>
      <c r="J4765">
        <v>-424.93669999999997</v>
      </c>
      <c r="K4765">
        <v>1.1144210000000001</v>
      </c>
      <c r="L4765">
        <v>62.84686</v>
      </c>
      <c r="M4765">
        <v>7.8063820000000006E-2</v>
      </c>
      <c r="N4765">
        <v>-1.51302E-2</v>
      </c>
      <c r="O4765">
        <v>-0.99683359999999999</v>
      </c>
      <c r="P4765">
        <v>0.34000059999999999</v>
      </c>
      <c r="Q4765">
        <v>-3.1633019999999998E-2</v>
      </c>
      <c r="R4765">
        <v>-0.93989330000000004</v>
      </c>
      <c r="S4765">
        <v>1.5356749999999999</v>
      </c>
      <c r="T4765">
        <v>-8.0107810000000002E-2</v>
      </c>
      <c r="U4765">
        <v>-2.6369020000000001</v>
      </c>
      <c r="V4765">
        <v>-0.26534770000000002</v>
      </c>
      <c r="W4765">
        <v>-2.0383700000000001E-2</v>
      </c>
      <c r="X4765">
        <v>0.9639373</v>
      </c>
      <c r="Y4765">
        <v>-0.4340927</v>
      </c>
      <c r="Z4765">
        <v>1.181951E-2</v>
      </c>
      <c r="AA4765">
        <v>0.90079070000000006</v>
      </c>
      <c r="AB4765">
        <v>38</v>
      </c>
      <c r="AC4765">
        <v>21.334899999999902</v>
      </c>
      <c r="AD4765">
        <v>-1.1144266913930001</v>
      </c>
      <c r="AE4765">
        <v>-36.338059999999999</v>
      </c>
      <c r="AF4765">
        <v>-18.419882768723198</v>
      </c>
      <c r="AG4765">
        <v>-1.1144266913930001</v>
      </c>
      <c r="AH4765">
        <v>37.866333216057399</v>
      </c>
      <c r="AI4765">
        <v>91.516002363961704</v>
      </c>
      <c r="AJ4765">
        <v>115.94036639412199</v>
      </c>
      <c r="AK4765">
        <v>42.12354708822</v>
      </c>
      <c r="AL4765">
        <v>91.167980863105299</v>
      </c>
      <c r="AM4765">
        <v>105.390891012374</v>
      </c>
      <c r="AN4765">
        <v>1.00000000772613</v>
      </c>
    </row>
    <row r="4766" spans="1:40" x14ac:dyDescent="0.25">
      <c r="A4766" t="str">
        <f>"20190305135331636"</f>
        <v>20190305135331636</v>
      </c>
      <c r="B4766" t="str">
        <f>"1551765211625000"</f>
        <v>1551765211625000</v>
      </c>
      <c r="C4766" t="s">
        <v>40</v>
      </c>
      <c r="D4766">
        <v>4.3217030000000003</v>
      </c>
      <c r="E4766">
        <v>0.43029840000000003</v>
      </c>
      <c r="F4766" t="s">
        <v>81</v>
      </c>
      <c r="G4766">
        <v>-403.58449999999999</v>
      </c>
      <c r="H4766" s="1">
        <v>-5.7068049999999996E-6</v>
      </c>
      <c r="I4766">
        <v>26.550059999999998</v>
      </c>
      <c r="J4766">
        <v>-424.90230000000003</v>
      </c>
      <c r="K4766">
        <v>1.1143590000000001</v>
      </c>
      <c r="L4766">
        <v>62.467469999999999</v>
      </c>
      <c r="M4766">
        <v>8.3065410000000006E-2</v>
      </c>
      <c r="N4766">
        <v>-1.512166E-2</v>
      </c>
      <c r="O4766">
        <v>-0.99642940000000002</v>
      </c>
      <c r="P4766">
        <v>0.34468949999999998</v>
      </c>
      <c r="Q4766">
        <v>-3.1659029999999998E-2</v>
      </c>
      <c r="R4766">
        <v>-0.93818299999999999</v>
      </c>
      <c r="S4766">
        <v>1.546875</v>
      </c>
      <c r="T4766">
        <v>-8.073545E-2</v>
      </c>
      <c r="U4766">
        <v>-2.6295470000000001</v>
      </c>
      <c r="V4766">
        <v>-0.26532620000000001</v>
      </c>
      <c r="W4766">
        <v>-2.0375040000000001E-2</v>
      </c>
      <c r="X4766">
        <v>0.96394340000000001</v>
      </c>
      <c r="Y4766">
        <v>-0.43352039999999997</v>
      </c>
      <c r="Z4766">
        <v>1.2084259999999999E-2</v>
      </c>
      <c r="AA4766">
        <v>0.90106269999999999</v>
      </c>
      <c r="AB4766">
        <v>38</v>
      </c>
      <c r="AC4766">
        <v>21.317799999999998</v>
      </c>
      <c r="AD4766">
        <v>-1.114364706805</v>
      </c>
      <c r="AE4766">
        <v>-35.917409999999997</v>
      </c>
      <c r="AF4766">
        <v>-18.247286317395002</v>
      </c>
      <c r="AG4766">
        <v>-1.114364706805</v>
      </c>
      <c r="AH4766">
        <v>37.537508068420301</v>
      </c>
      <c r="AI4766">
        <v>91.529393554259002</v>
      </c>
      <c r="AJ4766">
        <v>115.924761454906</v>
      </c>
      <c r="AK4766">
        <v>41.752482305073599</v>
      </c>
      <c r="AL4766">
        <v>91.167484579983494</v>
      </c>
      <c r="AM4766">
        <v>105.389610305251</v>
      </c>
      <c r="AN4766">
        <v>1.0000000065325001</v>
      </c>
    </row>
    <row r="4767" spans="1:40" x14ac:dyDescent="0.25">
      <c r="A4767" t="str">
        <f>"20190305135331660"</f>
        <v>20190305135331660</v>
      </c>
      <c r="B4767" t="str">
        <f>"1551765211655256"</f>
        <v>1551765211655256</v>
      </c>
      <c r="C4767" t="s">
        <v>40</v>
      </c>
      <c r="D4767">
        <v>4.7512359999999996</v>
      </c>
      <c r="E4767">
        <v>0.45063750000000002</v>
      </c>
      <c r="F4767" t="s">
        <v>81</v>
      </c>
      <c r="G4767">
        <v>-403.03230000000002</v>
      </c>
      <c r="H4767" s="1">
        <v>-5.7982639999999999E-6</v>
      </c>
      <c r="I4767">
        <v>25.619070000000001</v>
      </c>
      <c r="J4767">
        <v>-424.86559999999997</v>
      </c>
      <c r="K4767">
        <v>1.1142989999999999</v>
      </c>
      <c r="L4767">
        <v>62.081760000000003</v>
      </c>
      <c r="M4767">
        <v>8.8093240000000003E-2</v>
      </c>
      <c r="N4767">
        <v>-1.511288E-2</v>
      </c>
      <c r="O4767">
        <v>-0.99599760000000004</v>
      </c>
      <c r="P4767">
        <v>0.34871010000000002</v>
      </c>
      <c r="Q4767">
        <v>-3.155268E-2</v>
      </c>
      <c r="R4767">
        <v>-0.93669930000000001</v>
      </c>
      <c r="S4767">
        <v>1.5567930000000001</v>
      </c>
      <c r="T4767">
        <v>-7.932496E-2</v>
      </c>
      <c r="U4767">
        <v>-2.6230159999999998</v>
      </c>
      <c r="V4767">
        <v>-0.26460020000000001</v>
      </c>
      <c r="W4767">
        <v>-2.022322E-2</v>
      </c>
      <c r="X4767">
        <v>0.96414610000000001</v>
      </c>
      <c r="Y4767">
        <v>-0.43248029999999998</v>
      </c>
      <c r="Z4767">
        <v>1.1668919999999999E-2</v>
      </c>
      <c r="AA4767">
        <v>0.90156789999999998</v>
      </c>
      <c r="AB4767">
        <v>38</v>
      </c>
      <c r="AC4767">
        <v>21.833299999999898</v>
      </c>
      <c r="AD4767">
        <v>-1.114304798264</v>
      </c>
      <c r="AE4767">
        <v>-36.462690000000002</v>
      </c>
      <c r="AF4767">
        <v>-18.523180822602601</v>
      </c>
      <c r="AG4767">
        <v>-1.114304798264</v>
      </c>
      <c r="AH4767">
        <v>38.218212035269502</v>
      </c>
      <c r="AI4767">
        <v>91.502934469265796</v>
      </c>
      <c r="AJ4767">
        <v>115.85802766281</v>
      </c>
      <c r="AK4767">
        <v>42.485075428238197</v>
      </c>
      <c r="AL4767">
        <v>91.158784180580795</v>
      </c>
      <c r="AM4767">
        <v>105.346414141918</v>
      </c>
      <c r="AN4767">
        <v>0.99999997330620805</v>
      </c>
    </row>
    <row r="4768" spans="1:40" x14ac:dyDescent="0.25">
      <c r="A4768" t="str">
        <f>"20190305135331683"</f>
        <v>20190305135331683</v>
      </c>
      <c r="B4768" t="str">
        <f>"1551765211674776"</f>
        <v>1551765211674776</v>
      </c>
      <c r="C4768" t="s">
        <v>40</v>
      </c>
      <c r="D4768">
        <v>4.462129</v>
      </c>
      <c r="E4768">
        <v>0.51621260000000002</v>
      </c>
      <c r="F4768" t="s">
        <v>81</v>
      </c>
      <c r="G4768">
        <v>-412.22930000000002</v>
      </c>
      <c r="H4768" s="1">
        <v>-2.925563E-6</v>
      </c>
      <c r="I4768">
        <v>38.20834</v>
      </c>
      <c r="J4768">
        <v>-424.8261</v>
      </c>
      <c r="K4768">
        <v>1.11425</v>
      </c>
      <c r="L4768">
        <v>61.688510000000001</v>
      </c>
      <c r="M4768">
        <v>9.3173270000000002E-2</v>
      </c>
      <c r="N4768">
        <v>-1.5104360000000001E-2</v>
      </c>
      <c r="O4768">
        <v>-0.99553530000000001</v>
      </c>
      <c r="P4768">
        <v>0.3521455</v>
      </c>
      <c r="Q4768">
        <v>-3.1218699999999999E-2</v>
      </c>
      <c r="R4768">
        <v>-0.93542440000000004</v>
      </c>
      <c r="S4768">
        <v>1.414307</v>
      </c>
      <c r="T4768">
        <v>-0.1247181</v>
      </c>
      <c r="U4768">
        <v>-2.6720280000000001</v>
      </c>
      <c r="V4768">
        <v>-0.26322600000000002</v>
      </c>
      <c r="W4768">
        <v>-1.983764E-2</v>
      </c>
      <c r="X4768">
        <v>0.9645302</v>
      </c>
      <c r="Y4768">
        <v>-0.38309399999999999</v>
      </c>
      <c r="Z4768">
        <v>2.7054470000000001E-2</v>
      </c>
      <c r="AA4768">
        <v>0.9233131</v>
      </c>
      <c r="AB4768">
        <v>38</v>
      </c>
      <c r="AC4768">
        <v>12.596799999999901</v>
      </c>
      <c r="AD4768">
        <v>-1.114252925563</v>
      </c>
      <c r="AE4768">
        <v>-23.480170000000001</v>
      </c>
      <c r="AF4768">
        <v>-10.3359420856205</v>
      </c>
      <c r="AG4768">
        <v>-1.114252925563</v>
      </c>
      <c r="AH4768">
        <v>24.508966392511201</v>
      </c>
      <c r="AI4768">
        <v>92.398738285237897</v>
      </c>
      <c r="AJ4768">
        <v>112.866166956801</v>
      </c>
      <c r="AK4768">
        <v>26.622597394106201</v>
      </c>
      <c r="AL4768">
        <v>91.136687629100706</v>
      </c>
      <c r="AM4768">
        <v>105.26464528951399</v>
      </c>
      <c r="AN4768">
        <v>0.99999998287440395</v>
      </c>
    </row>
    <row r="4769" spans="1:40" x14ac:dyDescent="0.25">
      <c r="A4769" t="str">
        <f>"20190305135331705"</f>
        <v>20190305135331705</v>
      </c>
      <c r="B4769" t="str">
        <f>"1551765211695272"</f>
        <v>1551765211695272</v>
      </c>
      <c r="C4769" t="s">
        <v>40</v>
      </c>
      <c r="D4769">
        <v>4.4852780000000001</v>
      </c>
      <c r="E4769">
        <v>0.52833989999999997</v>
      </c>
      <c r="F4769" t="s">
        <v>42</v>
      </c>
      <c r="G4769">
        <v>-419.40469999999999</v>
      </c>
      <c r="H4769" s="1">
        <v>-2.453934E-6</v>
      </c>
      <c r="I4769">
        <v>45.106819999999999</v>
      </c>
      <c r="J4769">
        <v>-424.78919999999999</v>
      </c>
      <c r="K4769">
        <v>1.114215</v>
      </c>
      <c r="L4769">
        <v>61.337949999999999</v>
      </c>
      <c r="M4769">
        <v>9.7671629999999995E-2</v>
      </c>
      <c r="N4769">
        <v>-1.509744E-2</v>
      </c>
      <c r="O4769">
        <v>-0.99510430000000005</v>
      </c>
      <c r="P4769">
        <v>0.3542901</v>
      </c>
      <c r="Q4769">
        <v>-3.055768E-2</v>
      </c>
      <c r="R4769">
        <v>-0.93463640000000003</v>
      </c>
      <c r="S4769">
        <v>0.93179319999999999</v>
      </c>
      <c r="T4769">
        <v>-0.19151000000000001</v>
      </c>
      <c r="U4769">
        <v>-2.849945</v>
      </c>
      <c r="V4769">
        <v>-0.26108710000000002</v>
      </c>
      <c r="W4769">
        <v>-1.9121059999999999E-2</v>
      </c>
      <c r="X4769">
        <v>0.96512589999999998</v>
      </c>
      <c r="Y4769">
        <v>-0.2159276</v>
      </c>
      <c r="Z4769">
        <v>4.9276710000000001E-2</v>
      </c>
      <c r="AA4769">
        <v>0.97516519999999995</v>
      </c>
      <c r="AB4769">
        <v>37</v>
      </c>
      <c r="AC4769">
        <v>5.3845000000000001</v>
      </c>
      <c r="AD4769">
        <v>-1.114217453934</v>
      </c>
      <c r="AE4769">
        <v>-16.23113</v>
      </c>
      <c r="AF4769">
        <v>-3.7572972303915102</v>
      </c>
      <c r="AG4769">
        <v>-1.114217453934</v>
      </c>
      <c r="AH4769">
        <v>16.608970461999402</v>
      </c>
      <c r="AI4769">
        <v>93.743635310480997</v>
      </c>
      <c r="AJ4769">
        <v>102.74695100589</v>
      </c>
      <c r="AK4769">
        <v>17.065071427325702</v>
      </c>
      <c r="AL4769">
        <v>91.095622757239994</v>
      </c>
      <c r="AM4769">
        <v>105.137409580639</v>
      </c>
      <c r="AN4769">
        <v>1.00000004578637</v>
      </c>
    </row>
    <row r="4770" spans="1:40" x14ac:dyDescent="0.25">
      <c r="A4770" t="str">
        <f>"20190305135331727"</f>
        <v>20190305135331727</v>
      </c>
      <c r="B4770" t="str">
        <f>"1551765211714792"</f>
        <v>1551765211714792</v>
      </c>
      <c r="C4770" t="s">
        <v>40</v>
      </c>
      <c r="D4770">
        <v>4.450202</v>
      </c>
      <c r="E4770">
        <v>0.53007139999999997</v>
      </c>
      <c r="F4770" t="s">
        <v>42</v>
      </c>
      <c r="G4770">
        <v>-420.4153</v>
      </c>
      <c r="H4770" s="1">
        <v>-3.0575380000000002E-6</v>
      </c>
      <c r="I4770">
        <v>46.458759999999998</v>
      </c>
      <c r="J4770">
        <v>-424.74939999999998</v>
      </c>
      <c r="K4770">
        <v>1.114187</v>
      </c>
      <c r="L4770">
        <v>60.975679999999997</v>
      </c>
      <c r="M4770">
        <v>0.10230019999999999</v>
      </c>
      <c r="N4770">
        <v>-1.5090879999999999E-2</v>
      </c>
      <c r="O4770">
        <v>-0.9946393</v>
      </c>
      <c r="P4770">
        <v>0.35713319999999998</v>
      </c>
      <c r="Q4770">
        <v>-3.0165190000000001E-2</v>
      </c>
      <c r="R4770">
        <v>-0.93356660000000002</v>
      </c>
      <c r="S4770">
        <v>0.8471069</v>
      </c>
      <c r="T4770">
        <v>-0.2157905</v>
      </c>
      <c r="U4770">
        <v>-2.881653</v>
      </c>
      <c r="V4770">
        <v>-0.2595403</v>
      </c>
      <c r="W4770">
        <v>-1.868684E-2</v>
      </c>
      <c r="X4770">
        <v>0.96555150000000001</v>
      </c>
      <c r="Y4770">
        <v>-0.18181549999999999</v>
      </c>
      <c r="Z4770">
        <v>5.7117689999999999E-2</v>
      </c>
      <c r="AA4770">
        <v>0.9816724</v>
      </c>
      <c r="AB4770">
        <v>37</v>
      </c>
      <c r="AC4770">
        <v>4.3340999999999701</v>
      </c>
      <c r="AD4770">
        <v>-1.1141900575379999</v>
      </c>
      <c r="AE4770">
        <v>-14.516920000000001</v>
      </c>
      <c r="AF4770">
        <v>-2.8109004808579199</v>
      </c>
      <c r="AG4770">
        <v>-1.1141900575379999</v>
      </c>
      <c r="AH4770">
        <v>14.8041003606813</v>
      </c>
      <c r="AI4770">
        <v>94.228823434930405</v>
      </c>
      <c r="AJ4770">
        <v>100.75094961927201</v>
      </c>
      <c r="AK4770">
        <v>15.1097309203946</v>
      </c>
      <c r="AL4770">
        <v>91.070739352759503</v>
      </c>
      <c r="AM4770">
        <v>105.045475669056</v>
      </c>
      <c r="AN4770">
        <v>1.00000003223276</v>
      </c>
    </row>
    <row r="4771" spans="1:40" x14ac:dyDescent="0.25">
      <c r="A4771" t="str">
        <f>"20190305135331748"</f>
        <v>20190305135331748</v>
      </c>
      <c r="B4771" t="str">
        <f>"1551765211745047"</f>
        <v>1551765211745047</v>
      </c>
      <c r="C4771" t="s">
        <v>40</v>
      </c>
      <c r="D4771">
        <v>4.4602370000000002</v>
      </c>
      <c r="E4771">
        <v>0.53107720000000003</v>
      </c>
      <c r="F4771" t="s">
        <v>42</v>
      </c>
      <c r="G4771">
        <v>-420.76119999999997</v>
      </c>
      <c r="H4771" s="1">
        <v>-3.5183120000000002E-6</v>
      </c>
      <c r="I4771">
        <v>47.318240000000003</v>
      </c>
      <c r="J4771">
        <v>-424.70679999999999</v>
      </c>
      <c r="K4771">
        <v>1.11416</v>
      </c>
      <c r="L4771">
        <v>60.605499999999999</v>
      </c>
      <c r="M4771">
        <v>0.1070171</v>
      </c>
      <c r="N4771">
        <v>-1.508436E-2</v>
      </c>
      <c r="O4771">
        <v>-0.99414290000000005</v>
      </c>
      <c r="P4771">
        <v>0.3601626</v>
      </c>
      <c r="Q4771">
        <v>-2.9581260000000002E-2</v>
      </c>
      <c r="R4771">
        <v>-0.93242060000000004</v>
      </c>
      <c r="S4771">
        <v>0.84210209999999996</v>
      </c>
      <c r="T4771">
        <v>-0.23526059999999999</v>
      </c>
      <c r="U4771">
        <v>-2.883759</v>
      </c>
      <c r="V4771">
        <v>-0.2581019</v>
      </c>
      <c r="W4771">
        <v>-1.8066570000000001E-2</v>
      </c>
      <c r="X4771">
        <v>0.96594880000000005</v>
      </c>
      <c r="Y4771">
        <v>-0.17527100000000001</v>
      </c>
      <c r="Z4771">
        <v>6.3545180000000007E-2</v>
      </c>
      <c r="AA4771">
        <v>0.98246739999999999</v>
      </c>
      <c r="AB4771">
        <v>37</v>
      </c>
      <c r="AC4771">
        <v>3.94560000000001</v>
      </c>
      <c r="AD4771">
        <v>-1.114163518312</v>
      </c>
      <c r="AE4771">
        <v>-13.2872599999999</v>
      </c>
      <c r="AF4771">
        <v>-2.4847553166796299</v>
      </c>
      <c r="AG4771">
        <v>-1.114163518312</v>
      </c>
      <c r="AH4771">
        <v>13.5457065216785</v>
      </c>
      <c r="AI4771">
        <v>94.6252867065771</v>
      </c>
      <c r="AJ4771">
        <v>100.394487802573</v>
      </c>
      <c r="AK4771">
        <v>13.8167121451071</v>
      </c>
      <c r="AL4771">
        <v>91.035194491913998</v>
      </c>
      <c r="AM4771">
        <v>104.95996348036201</v>
      </c>
      <c r="AN4771">
        <v>1.0000000379783001</v>
      </c>
    </row>
    <row r="4772" spans="1:40" x14ac:dyDescent="0.25">
      <c r="A4772" t="str">
        <f>"20190305135331771"</f>
        <v>20190305135331771</v>
      </c>
      <c r="B4772" t="str">
        <f>"1551765211764568"</f>
        <v>1551765211764568</v>
      </c>
      <c r="C4772" t="s">
        <v>40</v>
      </c>
      <c r="D4772">
        <v>4.4623629999999999</v>
      </c>
      <c r="E4772">
        <v>0.53143580000000001</v>
      </c>
      <c r="F4772" t="s">
        <v>42</v>
      </c>
      <c r="G4772">
        <v>-420.7629</v>
      </c>
      <c r="H4772" s="1">
        <v>-3.4361130000000002E-6</v>
      </c>
      <c r="I4772">
        <v>47.125590000000003</v>
      </c>
      <c r="J4772">
        <v>-424.66149999999999</v>
      </c>
      <c r="K4772">
        <v>1.114136</v>
      </c>
      <c r="L4772">
        <v>60.226140000000001</v>
      </c>
      <c r="M4772">
        <v>0.111845899999999</v>
      </c>
      <c r="N4772">
        <v>-1.5077989999999999E-2</v>
      </c>
      <c r="O4772">
        <v>-0.99361109999999997</v>
      </c>
      <c r="P4772">
        <v>0.36354910000000001</v>
      </c>
      <c r="Q4772">
        <v>-2.9447350000000001E-2</v>
      </c>
      <c r="R4772">
        <v>-0.93110919999999997</v>
      </c>
      <c r="S4772">
        <v>0.84378050000000004</v>
      </c>
      <c r="T4772">
        <v>-0.23836830000000001</v>
      </c>
      <c r="U4772">
        <v>-2.8839419999999998</v>
      </c>
      <c r="V4772">
        <v>-0.2569224</v>
      </c>
      <c r="W4772">
        <v>-1.7902680000000001E-2</v>
      </c>
      <c r="X4772">
        <v>0.96626619999999996</v>
      </c>
      <c r="Y4772">
        <v>-0.17097989999999999</v>
      </c>
      <c r="Z4772">
        <v>6.4547389999999996E-2</v>
      </c>
      <c r="AA4772">
        <v>0.98315790000000003</v>
      </c>
      <c r="AB4772">
        <v>37</v>
      </c>
      <c r="AC4772">
        <v>3.8985999999999801</v>
      </c>
      <c r="AD4772">
        <v>-1.1141394361129999</v>
      </c>
      <c r="AE4772">
        <v>-13.100549999999901</v>
      </c>
      <c r="AF4772">
        <v>-2.3928248224593101</v>
      </c>
      <c r="AG4772">
        <v>-1.1141394361129999</v>
      </c>
      <c r="AH4772">
        <v>13.3656198368777</v>
      </c>
      <c r="AI4772">
        <v>94.690839944983793</v>
      </c>
      <c r="AJ4772">
        <v>100.150040122587</v>
      </c>
      <c r="AK4772">
        <v>13.623755390420699</v>
      </c>
      <c r="AL4772">
        <v>91.025802809583396</v>
      </c>
      <c r="AM4772">
        <v>104.88996788727501</v>
      </c>
      <c r="AN4772">
        <v>0.99999999741769097</v>
      </c>
    </row>
    <row r="4773" spans="1:40" x14ac:dyDescent="0.25">
      <c r="A4773" t="str">
        <f>"20190305135331792"</f>
        <v>20190305135331792</v>
      </c>
      <c r="B4773" t="str">
        <f>"1551765211785067"</f>
        <v>1551765211785067</v>
      </c>
      <c r="C4773" t="s">
        <v>40</v>
      </c>
      <c r="D4773">
        <v>4.47166</v>
      </c>
      <c r="E4773">
        <v>0.53153779999999995</v>
      </c>
      <c r="F4773" t="s">
        <v>42</v>
      </c>
      <c r="G4773">
        <v>-420.72329999999999</v>
      </c>
      <c r="H4773" s="1">
        <v>-3.3256789999999998E-6</v>
      </c>
      <c r="I4773">
        <v>46.892740000000003</v>
      </c>
      <c r="J4773">
        <v>-424.61810000000003</v>
      </c>
      <c r="K4773">
        <v>1.114107</v>
      </c>
      <c r="L4773">
        <v>59.877589999999998</v>
      </c>
      <c r="M4773">
        <v>0.1162815</v>
      </c>
      <c r="N4773">
        <v>-1.5072459999999999E-2</v>
      </c>
      <c r="O4773">
        <v>-0.99310200000000004</v>
      </c>
      <c r="P4773">
        <v>0.36606309999999997</v>
      </c>
      <c r="Q4773">
        <v>-2.9448990000000001E-2</v>
      </c>
      <c r="R4773">
        <v>-0.93012430000000001</v>
      </c>
      <c r="S4773">
        <v>0.85122679999999995</v>
      </c>
      <c r="T4773">
        <v>-0.24081649999999999</v>
      </c>
      <c r="U4773">
        <v>-2.881958</v>
      </c>
      <c r="V4773">
        <v>-0.25521870000000002</v>
      </c>
      <c r="W4773">
        <v>-1.786826E-2</v>
      </c>
      <c r="X4773">
        <v>0.96671819999999997</v>
      </c>
      <c r="Y4773">
        <v>-0.16908619999999999</v>
      </c>
      <c r="Z4773">
        <v>6.5350939999999996E-2</v>
      </c>
      <c r="AA4773">
        <v>0.98343230000000004</v>
      </c>
      <c r="AB4773">
        <v>37</v>
      </c>
      <c r="AC4773">
        <v>3.8948000000000298</v>
      </c>
      <c r="AD4773">
        <v>-1.1141103256789999</v>
      </c>
      <c r="AE4773">
        <v>-12.98485</v>
      </c>
      <c r="AF4773">
        <v>-2.3424821721278999</v>
      </c>
      <c r="AG4773">
        <v>-1.1141103256789999</v>
      </c>
      <c r="AH4773">
        <v>13.260128809853301</v>
      </c>
      <c r="AI4773">
        <v>94.729791576042103</v>
      </c>
      <c r="AJ4773">
        <v>100.018285539096</v>
      </c>
      <c r="AK4773">
        <v>13.5114573824745</v>
      </c>
      <c r="AL4773">
        <v>91.023830402563505</v>
      </c>
      <c r="AM4773">
        <v>104.788959922068</v>
      </c>
      <c r="AN4773">
        <v>0.99999996887817799</v>
      </c>
    </row>
    <row r="4774" spans="1:40" x14ac:dyDescent="0.25">
      <c r="A4774" t="str">
        <f>"20190305135331814"</f>
        <v>20190305135331814</v>
      </c>
      <c r="B4774" t="str">
        <f>"1551765211804584"</f>
        <v>1551765211804584</v>
      </c>
      <c r="C4774" t="s">
        <v>40</v>
      </c>
      <c r="D4774">
        <v>4.4928059999999999</v>
      </c>
      <c r="E4774">
        <v>0.53177739999999996</v>
      </c>
      <c r="F4774" t="s">
        <v>42</v>
      </c>
      <c r="G4774">
        <v>-420.69560000000001</v>
      </c>
      <c r="H4774" s="1">
        <v>-3.2398260000000002E-6</v>
      </c>
      <c r="I4774">
        <v>46.709800000000001</v>
      </c>
      <c r="J4774">
        <v>-424.57350000000002</v>
      </c>
      <c r="K4774">
        <v>1.1140859999999999</v>
      </c>
      <c r="L4774">
        <v>59.531619999999997</v>
      </c>
      <c r="M4774">
        <v>0.1206869</v>
      </c>
      <c r="N4774">
        <v>-1.5067270000000001E-2</v>
      </c>
      <c r="O4774">
        <v>-0.99257620000000002</v>
      </c>
      <c r="P4774">
        <v>0.36912020000000001</v>
      </c>
      <c r="Q4774">
        <v>-2.9679569999999999E-2</v>
      </c>
      <c r="R4774">
        <v>-0.92890779999999995</v>
      </c>
      <c r="S4774">
        <v>0.85791019999999896</v>
      </c>
      <c r="T4774">
        <v>-0.24367340000000001</v>
      </c>
      <c r="U4774">
        <v>-2.8800050000000001</v>
      </c>
      <c r="V4774">
        <v>-0.25410860000000002</v>
      </c>
      <c r="W4774">
        <v>-1.8072830000000002E-2</v>
      </c>
      <c r="X4774">
        <v>0.9670069</v>
      </c>
      <c r="Y4774">
        <v>-0.16697409999999999</v>
      </c>
      <c r="Z4774">
        <v>6.6289890000000004E-2</v>
      </c>
      <c r="AA4774">
        <v>0.98373029999999995</v>
      </c>
      <c r="AB4774">
        <v>37</v>
      </c>
      <c r="AC4774">
        <v>3.8779000000000101</v>
      </c>
      <c r="AD4774">
        <v>-1.1140892398260001</v>
      </c>
      <c r="AE4774">
        <v>-12.821819999999899</v>
      </c>
      <c r="AF4774">
        <v>-2.2861334666276698</v>
      </c>
      <c r="AG4774">
        <v>-1.1140892398260001</v>
      </c>
      <c r="AH4774">
        <v>13.1054912813781</v>
      </c>
      <c r="AI4774">
        <v>94.787049841556495</v>
      </c>
      <c r="AJ4774">
        <v>99.895159415054593</v>
      </c>
      <c r="AK4774">
        <v>13.3499626511766</v>
      </c>
      <c r="AL4774">
        <v>91.035553182451807</v>
      </c>
      <c r="AM4774">
        <v>104.723229848366</v>
      </c>
      <c r="AN4774">
        <v>1.00000007621288</v>
      </c>
    </row>
    <row r="4775" spans="1:40" x14ac:dyDescent="0.25">
      <c r="A4775" t="str">
        <f>"20190305135331837"</f>
        <v>20190305135331837</v>
      </c>
      <c r="B4775" t="str">
        <f>"1551765211834840"</f>
        <v>1551765211834840</v>
      </c>
      <c r="C4775" t="s">
        <v>40</v>
      </c>
      <c r="D4775">
        <v>4.5323669999999998</v>
      </c>
      <c r="E4775">
        <v>0.5322924</v>
      </c>
      <c r="F4775" t="s">
        <v>42</v>
      </c>
      <c r="G4775">
        <v>-420.65839999999997</v>
      </c>
      <c r="H4775" s="1">
        <v>-3.1456340000000001E-6</v>
      </c>
      <c r="I4775">
        <v>46.513260000000002</v>
      </c>
      <c r="J4775">
        <v>-424.52249999999998</v>
      </c>
      <c r="K4775">
        <v>1.1140620000000001</v>
      </c>
      <c r="L4775">
        <v>59.150019999999998</v>
      </c>
      <c r="M4775">
        <v>0.12554979999999999</v>
      </c>
      <c r="N4775">
        <v>-1.5061690000000001E-2</v>
      </c>
      <c r="O4775">
        <v>-0.9919732</v>
      </c>
      <c r="P4775">
        <v>0.37291249999999998</v>
      </c>
      <c r="Q4775">
        <v>-3.0336970000000001E-2</v>
      </c>
      <c r="R4775">
        <v>-0.92737040000000004</v>
      </c>
      <c r="S4775">
        <v>0.865448</v>
      </c>
      <c r="T4775">
        <v>-0.24627789999999999</v>
      </c>
      <c r="U4775">
        <v>-2.8778079999999999</v>
      </c>
      <c r="V4775">
        <v>-0.25331700000000001</v>
      </c>
      <c r="W4775">
        <v>-1.8709440000000001E-2</v>
      </c>
      <c r="X4775">
        <v>0.96720240000000002</v>
      </c>
      <c r="Y4775">
        <v>-0.16469629999999999</v>
      </c>
      <c r="Z4775">
        <v>6.71408E-2</v>
      </c>
      <c r="AA4775">
        <v>0.9840565</v>
      </c>
      <c r="AB4775">
        <v>37</v>
      </c>
      <c r="AC4775">
        <v>3.8641000000000001</v>
      </c>
      <c r="AD4775">
        <v>-1.1140651456340001</v>
      </c>
      <c r="AE4775">
        <v>-12.636760000000001</v>
      </c>
      <c r="AF4775">
        <v>-2.2309384582426999</v>
      </c>
      <c r="AG4775">
        <v>-1.1140651456340001</v>
      </c>
      <c r="AH4775">
        <v>12.9300355693452</v>
      </c>
      <c r="AI4775">
        <v>94.853142545242704</v>
      </c>
      <c r="AJ4775">
        <v>99.789386745263499</v>
      </c>
      <c r="AK4775">
        <v>13.1682970568603</v>
      </c>
      <c r="AL4775">
        <v>91.0720344831945</v>
      </c>
      <c r="AM4775">
        <v>104.676508761207</v>
      </c>
      <c r="AN4775">
        <v>1.0000000140999299</v>
      </c>
    </row>
    <row r="4776" spans="1:40" x14ac:dyDescent="0.25">
      <c r="A4776" t="str">
        <f>"20190305135331860"</f>
        <v>20190305135331860</v>
      </c>
      <c r="B4776" t="str">
        <f>"1551765211855335"</f>
        <v>1551765211855335</v>
      </c>
      <c r="C4776" t="s">
        <v>40</v>
      </c>
      <c r="D4776">
        <v>4.5151979999999998</v>
      </c>
      <c r="E4776">
        <v>0.53240869999999996</v>
      </c>
      <c r="F4776" t="s">
        <v>42</v>
      </c>
      <c r="G4776">
        <v>-420.61689999999999</v>
      </c>
      <c r="H4776" s="1">
        <v>-3.0393669999999998E-6</v>
      </c>
      <c r="I4776">
        <v>46.291350000000001</v>
      </c>
      <c r="J4776">
        <v>-424.47149999999999</v>
      </c>
      <c r="K4776">
        <v>1.114039</v>
      </c>
      <c r="L4776">
        <v>58.782139999999998</v>
      </c>
      <c r="M4776">
        <v>0.13024040000000001</v>
      </c>
      <c r="N4776">
        <v>-1.5056399999999999E-2</v>
      </c>
      <c r="O4776">
        <v>-0.99136820000000003</v>
      </c>
      <c r="P4776">
        <v>0.37717129999999999</v>
      </c>
      <c r="Q4776">
        <v>-3.1174400000000001E-2</v>
      </c>
      <c r="R4776">
        <v>-0.92561879999999996</v>
      </c>
      <c r="S4776">
        <v>0.87341309999999905</v>
      </c>
      <c r="T4776">
        <v>-0.2491379</v>
      </c>
      <c r="U4776">
        <v>-2.8755799999999998</v>
      </c>
      <c r="V4776">
        <v>-0.25318289999999999</v>
      </c>
      <c r="W4776">
        <v>-1.9537780000000001E-2</v>
      </c>
      <c r="X4776">
        <v>0.96722109999999994</v>
      </c>
      <c r="Y4776">
        <v>-0.16272029999999901</v>
      </c>
      <c r="Z4776">
        <v>6.807125E-2</v>
      </c>
      <c r="AA4776">
        <v>0.98432129999999995</v>
      </c>
      <c r="AB4776">
        <v>37</v>
      </c>
      <c r="AC4776">
        <v>3.8546</v>
      </c>
      <c r="AD4776">
        <v>-1.1140420393670001</v>
      </c>
      <c r="AE4776">
        <v>-12.490790000000001</v>
      </c>
      <c r="AF4776">
        <v>-2.1789452477123898</v>
      </c>
      <c r="AG4776">
        <v>-1.1140420393670001</v>
      </c>
      <c r="AH4776">
        <v>12.7935365297541</v>
      </c>
      <c r="AI4776">
        <v>94.906377325869698</v>
      </c>
      <c r="AJ4776">
        <v>99.665646883665005</v>
      </c>
      <c r="AK4776">
        <v>13.0254930423442</v>
      </c>
      <c r="AL4776">
        <v>91.119503587762907</v>
      </c>
      <c r="AM4776">
        <v>104.668803161951</v>
      </c>
      <c r="AN4776">
        <v>0.999999980992473</v>
      </c>
    </row>
    <row r="4777" spans="1:40" x14ac:dyDescent="0.25">
      <c r="A4777" t="str">
        <f>"20190305135331882"</f>
        <v>20190305135331882</v>
      </c>
      <c r="B4777" t="str">
        <f>"1551765211874859"</f>
        <v>1551765211874859</v>
      </c>
      <c r="C4777" t="s">
        <v>40</v>
      </c>
      <c r="D4777">
        <v>4.5127009999999999</v>
      </c>
      <c r="E4777">
        <v>0.53252349999999904</v>
      </c>
      <c r="F4777" t="s">
        <v>42</v>
      </c>
      <c r="G4777">
        <v>-420.57029999999997</v>
      </c>
      <c r="H4777" s="1">
        <v>-2.9590010000000002E-6</v>
      </c>
      <c r="I4777">
        <v>46.132869999999997</v>
      </c>
      <c r="J4777">
        <v>-424.41890000000001</v>
      </c>
      <c r="K4777">
        <v>1.1140219999999901</v>
      </c>
      <c r="L4777">
        <v>58.414949999999997</v>
      </c>
      <c r="M4777">
        <v>0.13492100000000001</v>
      </c>
      <c r="N4777">
        <v>-1.5051139999999999E-2</v>
      </c>
      <c r="O4777">
        <v>-0.99074209999999996</v>
      </c>
      <c r="P4777">
        <v>0.3811041</v>
      </c>
      <c r="Q4777">
        <v>-3.1998220000000001E-2</v>
      </c>
      <c r="R4777">
        <v>-0.92397830000000003</v>
      </c>
      <c r="S4777">
        <v>0.88565059999999995</v>
      </c>
      <c r="T4777">
        <v>-0.252913</v>
      </c>
      <c r="U4777">
        <v>-2.8716740000000001</v>
      </c>
      <c r="V4777">
        <v>-0.25272319999999998</v>
      </c>
      <c r="W4777">
        <v>-2.0347799999999999E-2</v>
      </c>
      <c r="X4777">
        <v>0.96732459999999998</v>
      </c>
      <c r="Y4777">
        <v>-0.1622412</v>
      </c>
      <c r="Z4777">
        <v>6.9319740000000005E-2</v>
      </c>
      <c r="AA4777">
        <v>0.9843132</v>
      </c>
      <c r="AB4777">
        <v>37</v>
      </c>
      <c r="AC4777">
        <v>3.84860000000003</v>
      </c>
      <c r="AD4777">
        <v>-1.1140249590009901</v>
      </c>
      <c r="AE4777">
        <v>-12.282079999999899</v>
      </c>
      <c r="AF4777">
        <v>-2.1400712790124601</v>
      </c>
      <c r="AG4777">
        <v>-1.1140249590009901</v>
      </c>
      <c r="AH4777">
        <v>12.5947139228683</v>
      </c>
      <c r="AI4777">
        <v>94.983693488668493</v>
      </c>
      <c r="AJ4777">
        <v>99.643490809862897</v>
      </c>
      <c r="AK4777">
        <v>12.8237192532987</v>
      </c>
      <c r="AL4777">
        <v>91.165923567438796</v>
      </c>
      <c r="AM4777">
        <v>104.641815507768</v>
      </c>
      <c r="AN4777">
        <v>0.99999996527411905</v>
      </c>
    </row>
    <row r="4778" spans="1:40" x14ac:dyDescent="0.25">
      <c r="A4778" t="str">
        <f>"20190305135331905"</f>
        <v>20190305135331905</v>
      </c>
      <c r="B4778" t="str">
        <f>"1551765211895352"</f>
        <v>1551765211895352</v>
      </c>
      <c r="C4778" t="s">
        <v>40</v>
      </c>
      <c r="D4778">
        <v>4.4646509999999999</v>
      </c>
      <c r="E4778">
        <v>0.53272159999999902</v>
      </c>
      <c r="F4778" t="s">
        <v>42</v>
      </c>
      <c r="G4778">
        <v>-420.53399999999999</v>
      </c>
      <c r="H4778" s="1">
        <v>-2.887679E-6</v>
      </c>
      <c r="I4778">
        <v>45.989170000000001</v>
      </c>
      <c r="J4778">
        <v>-424.36540000000002</v>
      </c>
      <c r="K4778">
        <v>1.1140060000000001</v>
      </c>
      <c r="L4778">
        <v>58.054110000000001</v>
      </c>
      <c r="M4778">
        <v>0.1395081</v>
      </c>
      <c r="N4778">
        <v>-1.5045660000000001E-2</v>
      </c>
      <c r="O4778">
        <v>-0.99010659999999895</v>
      </c>
      <c r="P4778">
        <v>0.38486710000000002</v>
      </c>
      <c r="Q4778">
        <v>-3.2098149999999999E-2</v>
      </c>
      <c r="R4778">
        <v>-0.92241390000000001</v>
      </c>
      <c r="S4778">
        <v>0.896698</v>
      </c>
      <c r="T4778">
        <v>-0.25713520000000001</v>
      </c>
      <c r="U4778">
        <v>-2.8680729999999999</v>
      </c>
      <c r="V4778">
        <v>-0.25218620000000003</v>
      </c>
      <c r="W4778">
        <v>-2.043068E-2</v>
      </c>
      <c r="X4778">
        <v>0.96746299999999996</v>
      </c>
      <c r="Y4778">
        <v>-0.16144649999999999</v>
      </c>
      <c r="Z4778">
        <v>7.0711460000000004E-2</v>
      </c>
      <c r="AA4778">
        <v>0.98434489999999997</v>
      </c>
      <c r="AB4778">
        <v>37</v>
      </c>
      <c r="AC4778">
        <v>3.8314000000000301</v>
      </c>
      <c r="AD4778">
        <v>-1.114008887679</v>
      </c>
      <c r="AE4778">
        <v>-12.064939999999901</v>
      </c>
      <c r="AF4778">
        <v>-2.0943565272173799</v>
      </c>
      <c r="AG4778">
        <v>-1.114008887679</v>
      </c>
      <c r="AH4778">
        <v>12.385579557834999</v>
      </c>
      <c r="AI4778">
        <v>95.068020124180606</v>
      </c>
      <c r="AJ4778">
        <v>99.597717802462697</v>
      </c>
      <c r="AK4778">
        <v>12.610706802094199</v>
      </c>
      <c r="AL4778">
        <v>91.170673218657399</v>
      </c>
      <c r="AM4778">
        <v>104.61003578210401</v>
      </c>
      <c r="AN4778">
        <v>0.99999997426234999</v>
      </c>
    </row>
    <row r="4779" spans="1:40" x14ac:dyDescent="0.25">
      <c r="A4779" t="str">
        <f>"20190305135331927"</f>
        <v>20190305135331927</v>
      </c>
      <c r="B4779" t="str">
        <f>"1551765211914872"</f>
        <v>1551765211914872</v>
      </c>
      <c r="C4779" t="s">
        <v>40</v>
      </c>
      <c r="D4779">
        <v>4.7494079999999999</v>
      </c>
      <c r="E4779">
        <v>0.53311500000000001</v>
      </c>
      <c r="F4779" t="s">
        <v>42</v>
      </c>
      <c r="G4779">
        <v>-420.47719999999998</v>
      </c>
      <c r="H4779" s="1">
        <v>-2.7782330000000002E-6</v>
      </c>
      <c r="I4779">
        <v>45.769269999999999</v>
      </c>
      <c r="J4779">
        <v>-424.31049999999999</v>
      </c>
      <c r="K4779">
        <v>1.1139749999999999</v>
      </c>
      <c r="L4779">
        <v>57.694920000000003</v>
      </c>
      <c r="M4779">
        <v>0.14404520000000001</v>
      </c>
      <c r="N4779">
        <v>-1.503964E-2</v>
      </c>
      <c r="O4779">
        <v>-0.98945689999999997</v>
      </c>
      <c r="P4779">
        <v>0.3881232</v>
      </c>
      <c r="Q4779">
        <v>-3.0918620000000001E-2</v>
      </c>
      <c r="R4779">
        <v>-0.92108909999999999</v>
      </c>
      <c r="S4779">
        <v>0.90676880000000004</v>
      </c>
      <c r="T4779">
        <v>-0.25979649999999999</v>
      </c>
      <c r="U4779">
        <v>-2.8649290000000001</v>
      </c>
      <c r="V4779">
        <v>-0.25117909999999999</v>
      </c>
      <c r="W4779">
        <v>-1.922068E-2</v>
      </c>
      <c r="X4779">
        <v>0.96774979999999999</v>
      </c>
      <c r="Y4779">
        <v>-0.1603598</v>
      </c>
      <c r="Z4779">
        <v>7.1578279999999994E-2</v>
      </c>
      <c r="AA4779">
        <v>0.98445990000000005</v>
      </c>
      <c r="AB4779">
        <v>37</v>
      </c>
      <c r="AC4779">
        <v>3.8332999999999999</v>
      </c>
      <c r="AD4779">
        <v>-1.113977778233</v>
      </c>
      <c r="AE4779">
        <v>-11.9256499999999</v>
      </c>
      <c r="AF4779">
        <v>-2.0590036500245699</v>
      </c>
      <c r="AG4779">
        <v>-1.113977778233</v>
      </c>
      <c r="AH4779">
        <v>12.2565518003717</v>
      </c>
      <c r="AI4779">
        <v>95.121869894772004</v>
      </c>
      <c r="AJ4779">
        <v>99.536194519754005</v>
      </c>
      <c r="AK4779">
        <v>12.4781210346914</v>
      </c>
      <c r="AL4779">
        <v>91.101331634474207</v>
      </c>
      <c r="AM4779">
        <v>104.55004302583799</v>
      </c>
      <c r="AN4779">
        <v>1.0000000251082499</v>
      </c>
    </row>
    <row r="4780" spans="1:40" x14ac:dyDescent="0.25">
      <c r="A4780" t="str">
        <f>"20190305135331951"</f>
        <v>20190305135331951</v>
      </c>
      <c r="B4780" t="str">
        <f>"1551765211945128"</f>
        <v>1551765211945128</v>
      </c>
      <c r="C4780" t="s">
        <v>40</v>
      </c>
      <c r="D4780">
        <v>4.692088</v>
      </c>
      <c r="E4780">
        <v>0.58187469999999997</v>
      </c>
      <c r="F4780" t="s">
        <v>42</v>
      </c>
      <c r="G4780">
        <v>-420.31020000000001</v>
      </c>
      <c r="H4780" s="1">
        <v>-2.476318E-6</v>
      </c>
      <c r="I4780">
        <v>45.169080000000001</v>
      </c>
      <c r="J4780">
        <v>-424.24950000000001</v>
      </c>
      <c r="K4780">
        <v>1.1139269999999999</v>
      </c>
      <c r="L4780">
        <v>57.308779999999999</v>
      </c>
      <c r="M4780">
        <v>0.1488661</v>
      </c>
      <c r="N4780">
        <v>-1.503212E-2</v>
      </c>
      <c r="O4780">
        <v>-0.98874309999999999</v>
      </c>
      <c r="P4780">
        <v>0.39158140000000002</v>
      </c>
      <c r="Q4780">
        <v>-3.0000200000000001E-2</v>
      </c>
      <c r="R4780">
        <v>-0.91965450000000004</v>
      </c>
      <c r="S4780">
        <v>0.91439820000000005</v>
      </c>
      <c r="T4780">
        <v>-0.25463590000000003</v>
      </c>
      <c r="U4780">
        <v>-2.8631899999999999</v>
      </c>
      <c r="V4780">
        <v>-0.25010680000000002</v>
      </c>
      <c r="W4780">
        <v>-1.8261489999999998E-2</v>
      </c>
      <c r="X4780">
        <v>0.96804599999999996</v>
      </c>
      <c r="Y4780">
        <v>-0.15814439999999999</v>
      </c>
      <c r="Z4780">
        <v>6.9837010000000005E-2</v>
      </c>
      <c r="AA4780">
        <v>0.98494320000000002</v>
      </c>
      <c r="AB4780">
        <v>37</v>
      </c>
      <c r="AC4780">
        <v>3.9392999999999998</v>
      </c>
      <c r="AD4780">
        <v>-1.1139294763179901</v>
      </c>
      <c r="AE4780">
        <v>-12.139699999999999</v>
      </c>
      <c r="AF4780">
        <v>-2.0722164430816199</v>
      </c>
      <c r="AG4780">
        <v>-1.1139294763179901</v>
      </c>
      <c r="AH4780">
        <v>12.4957077948918</v>
      </c>
      <c r="AI4780">
        <v>95.0258838262436</v>
      </c>
      <c r="AJ4780">
        <v>99.415911520399604</v>
      </c>
      <c r="AK4780">
        <v>12.715251989658199</v>
      </c>
      <c r="AL4780">
        <v>91.046364492761796</v>
      </c>
      <c r="AM4780">
        <v>104.486300979021</v>
      </c>
      <c r="AN4780">
        <v>0.99999997576962896</v>
      </c>
    </row>
    <row r="4781" spans="1:40" x14ac:dyDescent="0.25">
      <c r="A4781" t="str">
        <f>"20190305135331973"</f>
        <v>20190305135331973</v>
      </c>
      <c r="B4781" t="str">
        <f>"1551765211964648"</f>
        <v>1551765211964648</v>
      </c>
      <c r="C4781" t="s">
        <v>40</v>
      </c>
      <c r="D4781">
        <v>4.6235799999999996</v>
      </c>
      <c r="E4781">
        <v>0.62954270000000001</v>
      </c>
      <c r="F4781" t="s">
        <v>41</v>
      </c>
      <c r="G4781">
        <v>-424.0804</v>
      </c>
      <c r="H4781">
        <v>0.96293589999999996</v>
      </c>
      <c r="I4781">
        <v>56.395490000000002</v>
      </c>
      <c r="J4781">
        <v>-424.19099999999997</v>
      </c>
      <c r="K4781">
        <v>1.113872</v>
      </c>
      <c r="L4781">
        <v>56.94894</v>
      </c>
      <c r="M4781">
        <v>0.15330539999999901</v>
      </c>
      <c r="N4781">
        <v>-1.5024330000000001E-2</v>
      </c>
      <c r="O4781">
        <v>-0.98806479999999997</v>
      </c>
      <c r="P4781">
        <v>0.39508080000000001</v>
      </c>
      <c r="Q4781">
        <v>-3.046635E-2</v>
      </c>
      <c r="R4781">
        <v>-0.91814119999999999</v>
      </c>
      <c r="S4781">
        <v>0.55694580000000005</v>
      </c>
      <c r="T4781">
        <v>-0.49733359999999899</v>
      </c>
      <c r="U4781">
        <v>-3.008759</v>
      </c>
      <c r="V4781">
        <v>-0.24944559999999999</v>
      </c>
      <c r="W4781">
        <v>-1.8690519999999999E-2</v>
      </c>
      <c r="X4781">
        <v>0.96820839999999997</v>
      </c>
      <c r="Y4781">
        <v>-2.7137749999999999E-2</v>
      </c>
      <c r="Z4781">
        <v>0.1442483</v>
      </c>
      <c r="AA4781">
        <v>0.98916939999999998</v>
      </c>
      <c r="AB4781">
        <v>37</v>
      </c>
      <c r="AC4781">
        <v>0.110599999999976</v>
      </c>
      <c r="AD4781">
        <v>-0.15093609999999899</v>
      </c>
      <c r="AE4781">
        <v>-0.553449999999997</v>
      </c>
      <c r="AF4781">
        <v>-2.28048597014914E-2</v>
      </c>
      <c r="AG4781">
        <v>-0.15093609999999899</v>
      </c>
      <c r="AH4781">
        <v>0.52622812423273302</v>
      </c>
      <c r="AI4781">
        <v>105.990047398326</v>
      </c>
      <c r="AJ4781">
        <v>92.481443136906606</v>
      </c>
      <c r="AK4781">
        <v>0.54792135078194804</v>
      </c>
      <c r="AL4781">
        <v>91.070950300033999</v>
      </c>
      <c r="AM4781">
        <v>104.447287026895</v>
      </c>
      <c r="AN4781">
        <v>0.99999997436389398</v>
      </c>
    </row>
    <row r="4782" spans="1:40" x14ac:dyDescent="0.25">
      <c r="A4782" t="str">
        <f>"20190305135331993"</f>
        <v>20190305135331993</v>
      </c>
      <c r="B4782" t="str">
        <f>"1551765211985144"</f>
        <v>1551765211985144</v>
      </c>
      <c r="C4782" t="s">
        <v>40</v>
      </c>
      <c r="D4782">
        <v>4.5923350000000003</v>
      </c>
      <c r="E4782">
        <v>0.62556269999999903</v>
      </c>
      <c r="F4782" t="s">
        <v>41</v>
      </c>
      <c r="G4782">
        <v>-424.137</v>
      </c>
      <c r="H4782">
        <v>0.87022999999999995</v>
      </c>
      <c r="I4782">
        <v>56.100059999999999</v>
      </c>
      <c r="J4782">
        <v>-424.13440000000003</v>
      </c>
      <c r="K4782">
        <v>1.113807</v>
      </c>
      <c r="L4782">
        <v>56.608980000000003</v>
      </c>
      <c r="M4782">
        <v>0.15742909999999999</v>
      </c>
      <c r="N4782">
        <v>-1.501654E-2</v>
      </c>
      <c r="O4782">
        <v>-0.98741630000000002</v>
      </c>
      <c r="P4782">
        <v>0.39823419999999998</v>
      </c>
      <c r="Q4782">
        <v>-3.093771E-2</v>
      </c>
      <c r="R4782">
        <v>-0.91676199999999997</v>
      </c>
      <c r="S4782">
        <v>0.20166020000000001</v>
      </c>
      <c r="T4782">
        <v>-0.90470600000000001</v>
      </c>
      <c r="U4782">
        <v>-3.1506959999999999</v>
      </c>
      <c r="V4782">
        <v>-0.2487317</v>
      </c>
      <c r="W4782">
        <v>-1.9118710000000001E-2</v>
      </c>
      <c r="X4782">
        <v>0.96838369999999996</v>
      </c>
      <c r="Y4782">
        <v>9.5974169999999998E-2</v>
      </c>
      <c r="Z4782">
        <v>0.25564219999999999</v>
      </c>
      <c r="AA4782">
        <v>0.96199579999999996</v>
      </c>
      <c r="AB4782">
        <v>37</v>
      </c>
      <c r="AC4782">
        <v>-2.5999999999157799E-3</v>
      </c>
      <c r="AD4782">
        <v>-0.24357699999999999</v>
      </c>
      <c r="AE4782">
        <v>-0.50892000000000304</v>
      </c>
      <c r="AF4782">
        <v>6.7283086531289296E-2</v>
      </c>
      <c r="AG4782">
        <v>-0.24357699999999999</v>
      </c>
      <c r="AH4782">
        <v>0.40857267436991301</v>
      </c>
      <c r="AI4782">
        <v>120.4658623838</v>
      </c>
      <c r="AJ4782">
        <v>80.648554851821899</v>
      </c>
      <c r="AK4782">
        <v>0.48040441182815902</v>
      </c>
      <c r="AL4782">
        <v>91.095488151908796</v>
      </c>
      <c r="AM4782">
        <v>104.40516347541799</v>
      </c>
      <c r="AN4782">
        <v>0.99999998704132098</v>
      </c>
    </row>
    <row r="4783" spans="1:40" x14ac:dyDescent="0.25">
      <c r="A4783" t="str">
        <f>"20190305135332016"</f>
        <v>20190305135332016</v>
      </c>
      <c r="B4783" t="str">
        <f>"1551765212004664"</f>
        <v>1551765212004664</v>
      </c>
      <c r="C4783" t="s">
        <v>40</v>
      </c>
      <c r="D4783">
        <v>4.5962750000000003</v>
      </c>
      <c r="E4783">
        <v>0.62314939999999996</v>
      </c>
      <c r="F4783" t="s">
        <v>41</v>
      </c>
      <c r="G4783">
        <v>-424.07029999999997</v>
      </c>
      <c r="H4783">
        <v>0.87672150000000004</v>
      </c>
      <c r="I4783">
        <v>55.776870000000002</v>
      </c>
      <c r="J4783">
        <v>-424.07319999999999</v>
      </c>
      <c r="K4783">
        <v>1.11372</v>
      </c>
      <c r="L4783">
        <v>56.250520000000002</v>
      </c>
      <c r="M4783">
        <v>0.16167479999999901</v>
      </c>
      <c r="N4783">
        <v>-1.500753E-2</v>
      </c>
      <c r="O4783">
        <v>-0.98673</v>
      </c>
      <c r="P4783">
        <v>0.4013507</v>
      </c>
      <c r="Q4783">
        <v>-3.0561330000000001E-2</v>
      </c>
      <c r="R4783">
        <v>-0.91541459999999997</v>
      </c>
      <c r="S4783">
        <v>0.2417908</v>
      </c>
      <c r="T4783">
        <v>-0.89389929999999995</v>
      </c>
      <c r="U4783">
        <v>-3.1371769999999999</v>
      </c>
      <c r="V4783">
        <v>-0.24786730000000001</v>
      </c>
      <c r="W4783">
        <v>-1.8685139999999999E-2</v>
      </c>
      <c r="X4783">
        <v>0.96861379999999997</v>
      </c>
      <c r="Y4783">
        <v>8.7724609999999995E-2</v>
      </c>
      <c r="Z4783">
        <v>0.25345820000000002</v>
      </c>
      <c r="AA4783">
        <v>0.96336040000000001</v>
      </c>
      <c r="AB4783">
        <v>37</v>
      </c>
      <c r="AC4783">
        <v>2.9000000000110001E-3</v>
      </c>
      <c r="AD4783">
        <v>-0.2369985</v>
      </c>
      <c r="AE4783">
        <v>-0.47364999999999902</v>
      </c>
      <c r="AF4783">
        <v>5.8962399879847902E-2</v>
      </c>
      <c r="AG4783">
        <v>-0.2369985</v>
      </c>
      <c r="AH4783">
        <v>0.37420207230177299</v>
      </c>
      <c r="AI4783">
        <v>122.031119121823</v>
      </c>
      <c r="AJ4783">
        <v>81.045620492293295</v>
      </c>
      <c r="AK4783">
        <v>0.44684677968715703</v>
      </c>
      <c r="AL4783">
        <v>91.070641953298903</v>
      </c>
      <c r="AM4783">
        <v>104.353905305749</v>
      </c>
      <c r="AN4783">
        <v>1.00000001320827</v>
      </c>
    </row>
    <row r="4784" spans="1:40" x14ac:dyDescent="0.25">
      <c r="A4784" t="str">
        <f>"20190305135332038"</f>
        <v>20190305135332038</v>
      </c>
      <c r="B4784" t="str">
        <f>"1551765212034920"</f>
        <v>1551765212034920</v>
      </c>
      <c r="C4784" t="s">
        <v>40</v>
      </c>
      <c r="D4784">
        <v>4.5935420000000002</v>
      </c>
      <c r="E4784">
        <v>0.62247039999999998</v>
      </c>
      <c r="F4784" t="s">
        <v>41</v>
      </c>
      <c r="G4784">
        <v>-424.00409999999999</v>
      </c>
      <c r="H4784">
        <v>0.88801299999999905</v>
      </c>
      <c r="I4784">
        <v>55.451999999999998</v>
      </c>
      <c r="J4784">
        <v>-424.0104</v>
      </c>
      <c r="K4784">
        <v>1.113618</v>
      </c>
      <c r="L4784">
        <v>55.892000000000003</v>
      </c>
      <c r="M4784">
        <v>0.16578999999999999</v>
      </c>
      <c r="N4784">
        <v>-1.499732E-2</v>
      </c>
      <c r="O4784">
        <v>-0.98604709999999995</v>
      </c>
      <c r="P4784">
        <v>0.40422920000000001</v>
      </c>
      <c r="Q4784">
        <v>-3.05226E-2</v>
      </c>
      <c r="R4784">
        <v>-0.91414859999999998</v>
      </c>
      <c r="S4784">
        <v>0.27093509999999998</v>
      </c>
      <c r="T4784">
        <v>-0.88461239999999997</v>
      </c>
      <c r="U4784">
        <v>-3.1289060000000002</v>
      </c>
      <c r="V4784">
        <v>-0.2468793</v>
      </c>
      <c r="W4784">
        <v>-1.8575890000000001E-2</v>
      </c>
      <c r="X4784">
        <v>0.96886819999999896</v>
      </c>
      <c r="Y4784">
        <v>8.2737599999999994E-2</v>
      </c>
      <c r="Z4784">
        <v>0.25123790000000001</v>
      </c>
      <c r="AA4784">
        <v>0.96438270000000004</v>
      </c>
      <c r="AB4784">
        <v>37</v>
      </c>
      <c r="AC4784">
        <v>6.3000000000101803E-3</v>
      </c>
      <c r="AD4784">
        <v>-0.225605</v>
      </c>
      <c r="AE4784">
        <v>-0.439999999999997</v>
      </c>
      <c r="AF4784">
        <v>5.2851219622071899E-2</v>
      </c>
      <c r="AG4784">
        <v>-0.225605</v>
      </c>
      <c r="AH4784">
        <v>0.344423420317092</v>
      </c>
      <c r="AI4784">
        <v>122.920800069488</v>
      </c>
      <c r="AJ4784">
        <v>81.276102267989899</v>
      </c>
      <c r="AK4784">
        <v>0.41511246657196998</v>
      </c>
      <c r="AL4784">
        <v>91.064381294858293</v>
      </c>
      <c r="AM4784">
        <v>104.295440566365</v>
      </c>
      <c r="AN4784">
        <v>1.0000000207145101</v>
      </c>
    </row>
    <row r="4785" spans="1:40" x14ac:dyDescent="0.25">
      <c r="A4785" t="str">
        <f>"20190305135332062"</f>
        <v>20190305135332062</v>
      </c>
      <c r="B4785" t="str">
        <f>"1551765212055419"</f>
        <v>1551765212055419</v>
      </c>
      <c r="C4785" t="s">
        <v>40</v>
      </c>
      <c r="D4785">
        <v>4.5365199999999897</v>
      </c>
      <c r="E4785">
        <v>0.65488139999999995</v>
      </c>
      <c r="F4785" t="s">
        <v>41</v>
      </c>
      <c r="G4785">
        <v>-423.94040000000001</v>
      </c>
      <c r="H4785">
        <v>0.90064239999999995</v>
      </c>
      <c r="I4785">
        <v>55.126240000000003</v>
      </c>
      <c r="J4785">
        <v>-423.94450000000001</v>
      </c>
      <c r="K4785">
        <v>1.11348</v>
      </c>
      <c r="L4785">
        <v>55.522860000000001</v>
      </c>
      <c r="M4785">
        <v>0.1698635</v>
      </c>
      <c r="N4785">
        <v>-1.498559E-2</v>
      </c>
      <c r="O4785">
        <v>-0.9853537</v>
      </c>
      <c r="P4785">
        <v>0.40703499999999998</v>
      </c>
      <c r="Q4785">
        <v>-3.0776270000000001E-2</v>
      </c>
      <c r="R4785">
        <v>-0.91289410000000004</v>
      </c>
      <c r="S4785">
        <v>0.28643800000000003</v>
      </c>
      <c r="T4785">
        <v>-0.86954929999999997</v>
      </c>
      <c r="U4785">
        <v>-3.1260680000000001</v>
      </c>
      <c r="V4785">
        <v>-0.2458564</v>
      </c>
      <c r="W4785">
        <v>-1.874379E-2</v>
      </c>
      <c r="X4785">
        <v>0.96912500000000001</v>
      </c>
      <c r="Y4785">
        <v>8.1941529999999999E-2</v>
      </c>
      <c r="Z4785">
        <v>0.24694540000000001</v>
      </c>
      <c r="AA4785">
        <v>0.96555869999999999</v>
      </c>
      <c r="AB4785">
        <v>37</v>
      </c>
      <c r="AC4785">
        <v>4.0999999999939904E-3</v>
      </c>
      <c r="AD4785">
        <v>-0.21283759999999999</v>
      </c>
      <c r="AE4785">
        <v>-0.39661999999999098</v>
      </c>
      <c r="AF4785">
        <v>4.9178106627804703E-2</v>
      </c>
      <c r="AG4785">
        <v>-0.21283759999999999</v>
      </c>
      <c r="AH4785">
        <v>0.304013820647908</v>
      </c>
      <c r="AI4785">
        <v>124.648663788703</v>
      </c>
      <c r="AJ4785">
        <v>80.811274054102896</v>
      </c>
      <c r="AK4785">
        <v>0.37435642546935599</v>
      </c>
      <c r="AL4785">
        <v>91.074002972476706</v>
      </c>
      <c r="AM4785">
        <v>104.23500375408901</v>
      </c>
      <c r="AN4785">
        <v>0.99999998235476195</v>
      </c>
    </row>
    <row r="4786" spans="1:40" x14ac:dyDescent="0.25">
      <c r="A4786" t="str">
        <f>"20190305135332083"</f>
        <v>20190305135332083</v>
      </c>
      <c r="B4786" t="str">
        <f>"1551765212074939"</f>
        <v>1551765212074939</v>
      </c>
      <c r="C4786" t="s">
        <v>40</v>
      </c>
      <c r="D4786">
        <v>4.6205619999999996</v>
      </c>
      <c r="E4786">
        <v>0.66308409999999995</v>
      </c>
      <c r="F4786" t="s">
        <v>41</v>
      </c>
      <c r="G4786">
        <v>-423.93099999999998</v>
      </c>
      <c r="H4786">
        <v>0.91877209999999998</v>
      </c>
      <c r="I4786">
        <v>54.786749999999998</v>
      </c>
      <c r="J4786">
        <v>-423.88049999999998</v>
      </c>
      <c r="K4786">
        <v>1.113327</v>
      </c>
      <c r="L4786">
        <v>55.172519999999999</v>
      </c>
      <c r="M4786">
        <v>0.1735479</v>
      </c>
      <c r="N4786">
        <v>-1.4973449999999999E-2</v>
      </c>
      <c r="O4786">
        <v>-0.98471180000000003</v>
      </c>
      <c r="P4786">
        <v>0.40938839999999999</v>
      </c>
      <c r="Q4786">
        <v>-3.0514800000000002E-2</v>
      </c>
      <c r="R4786">
        <v>-0.91185020000000006</v>
      </c>
      <c r="S4786">
        <v>6.0852049999999998E-2</v>
      </c>
      <c r="T4786">
        <v>-0.85486879999999998</v>
      </c>
      <c r="U4786">
        <v>-3.230286</v>
      </c>
      <c r="V4786">
        <v>-0.2447396</v>
      </c>
      <c r="W4786">
        <v>-1.8386199999999998E-2</v>
      </c>
      <c r="X4786">
        <v>0.96941449999999996</v>
      </c>
      <c r="Y4786">
        <v>0.1551622</v>
      </c>
      <c r="Z4786">
        <v>0.23403450000000001</v>
      </c>
      <c r="AA4786">
        <v>0.95976689999999998</v>
      </c>
      <c r="AB4786">
        <v>37</v>
      </c>
      <c r="AC4786">
        <v>-5.0499999999999497E-2</v>
      </c>
      <c r="AD4786">
        <v>-0.1945549</v>
      </c>
      <c r="AE4786">
        <v>-0.38577</v>
      </c>
      <c r="AF4786">
        <v>9.33478129686348E-2</v>
      </c>
      <c r="AG4786">
        <v>-0.1945549</v>
      </c>
      <c r="AH4786">
        <v>0.29690492154973203</v>
      </c>
      <c r="AI4786">
        <v>122.00987165856201</v>
      </c>
      <c r="AJ4786">
        <v>72.546693284432706</v>
      </c>
      <c r="AK4786">
        <v>0.36703944711773101</v>
      </c>
      <c r="AL4786">
        <v>91.0535110255462</v>
      </c>
      <c r="AM4786">
        <v>104.16889059859901</v>
      </c>
      <c r="AN4786">
        <v>0.999999998484424</v>
      </c>
    </row>
    <row r="4787" spans="1:40" x14ac:dyDescent="0.25">
      <c r="A4787" t="str">
        <f>"20190305135332106"</f>
        <v>20190305135332106</v>
      </c>
      <c r="B4787" t="str">
        <f>"1551765212095432"</f>
        <v>1551765212095432</v>
      </c>
      <c r="C4787" t="s">
        <v>40</v>
      </c>
      <c r="D4787">
        <v>4.5491260000000002</v>
      </c>
      <c r="E4787">
        <v>0.66373749999999998</v>
      </c>
      <c r="F4787" t="s">
        <v>41</v>
      </c>
      <c r="G4787">
        <v>-423.87849999999997</v>
      </c>
      <c r="H4787">
        <v>0.9253112</v>
      </c>
      <c r="I4787">
        <v>54.461410000000001</v>
      </c>
      <c r="J4787">
        <v>-423.81560000000002</v>
      </c>
      <c r="K4787">
        <v>1.1131530000000001</v>
      </c>
      <c r="L4787">
        <v>54.823270000000001</v>
      </c>
      <c r="M4787">
        <v>0.17702309999999999</v>
      </c>
      <c r="N4787">
        <v>-1.496069E-2</v>
      </c>
      <c r="O4787">
        <v>-0.984093</v>
      </c>
      <c r="P4787">
        <v>0.41187069999999998</v>
      </c>
      <c r="Q4787">
        <v>-3.0363029999999999E-2</v>
      </c>
      <c r="R4787">
        <v>-0.91073630000000005</v>
      </c>
      <c r="S4787">
        <v>1.0528559999999999E-2</v>
      </c>
      <c r="T4787">
        <v>-0.86132569999999997</v>
      </c>
      <c r="U4787">
        <v>-3.2564389999999999</v>
      </c>
      <c r="V4787">
        <v>-0.24396689999999999</v>
      </c>
      <c r="W4787">
        <v>-1.8132200000000001E-2</v>
      </c>
      <c r="X4787">
        <v>0.96961399999999998</v>
      </c>
      <c r="Y4787">
        <v>0.173544899999999</v>
      </c>
      <c r="Z4787">
        <v>0.2332882</v>
      </c>
      <c r="AA4787">
        <v>0.95679610000000004</v>
      </c>
      <c r="AB4787">
        <v>37</v>
      </c>
      <c r="AC4787">
        <v>-6.2899999999956394E-2</v>
      </c>
      <c r="AD4787">
        <v>-0.1878418</v>
      </c>
      <c r="AE4787">
        <v>-0.36185999999999202</v>
      </c>
      <c r="AF4787">
        <v>9.9853255026422699E-2</v>
      </c>
      <c r="AG4787">
        <v>-0.1878418</v>
      </c>
      <c r="AH4787">
        <v>0.27347653304064901</v>
      </c>
      <c r="AI4787">
        <v>122.830239229735</v>
      </c>
      <c r="AJ4787">
        <v>69.941572993850798</v>
      </c>
      <c r="AK4787">
        <v>0.34647457120334901</v>
      </c>
      <c r="AL4787">
        <v>91.038955503617998</v>
      </c>
      <c r="AM4787">
        <v>104.123159492946</v>
      </c>
      <c r="AN4787">
        <v>0.999999966984224</v>
      </c>
    </row>
    <row r="4788" spans="1:40" x14ac:dyDescent="0.25">
      <c r="A4788" t="str">
        <f>"20190305135332128"</f>
        <v>20190305135332128</v>
      </c>
      <c r="B4788" t="str">
        <f>"1551765212114952"</f>
        <v>1551765212114952</v>
      </c>
      <c r="C4788" t="s">
        <v>40</v>
      </c>
      <c r="D4788">
        <v>4.5448309999999896</v>
      </c>
      <c r="E4788">
        <v>0.66332579999999997</v>
      </c>
      <c r="F4788" t="s">
        <v>41</v>
      </c>
      <c r="G4788">
        <v>-423.81130000000002</v>
      </c>
      <c r="H4788">
        <v>0.85282809999999898</v>
      </c>
      <c r="I4788">
        <v>53.84151</v>
      </c>
      <c r="J4788">
        <v>-423.74759999999998</v>
      </c>
      <c r="K4788">
        <v>1.1129610000000001</v>
      </c>
      <c r="L4788">
        <v>54.464080000000003</v>
      </c>
      <c r="M4788">
        <v>0.18036550000000001</v>
      </c>
      <c r="N4788">
        <v>-1.494707E-2</v>
      </c>
      <c r="O4788">
        <v>-0.98348630000000004</v>
      </c>
      <c r="P4788">
        <v>0.41348439999999997</v>
      </c>
      <c r="Q4788">
        <v>-2.9841650000000001E-2</v>
      </c>
      <c r="R4788">
        <v>-0.91002240000000001</v>
      </c>
      <c r="S4788">
        <v>1.4953610000000001E-2</v>
      </c>
      <c r="T4788">
        <v>-0.86420969999999997</v>
      </c>
      <c r="U4788">
        <v>-3.2584529999999998</v>
      </c>
      <c r="V4788">
        <v>-0.24240149999999999</v>
      </c>
      <c r="W4788">
        <v>-1.748837E-2</v>
      </c>
      <c r="X4788">
        <v>0.97001839999999995</v>
      </c>
      <c r="Y4788">
        <v>0.175586299999999</v>
      </c>
      <c r="Z4788">
        <v>0.23366049999999999</v>
      </c>
      <c r="AA4788">
        <v>0.95633270000000004</v>
      </c>
      <c r="AB4788">
        <v>37</v>
      </c>
      <c r="AC4788">
        <v>-6.3700000000039794E-2</v>
      </c>
      <c r="AD4788">
        <v>-0.2601329</v>
      </c>
      <c r="AE4788">
        <v>-0.62257000000000295</v>
      </c>
      <c r="AF4788">
        <v>0.149182171970794</v>
      </c>
      <c r="AG4788">
        <v>-0.2601329</v>
      </c>
      <c r="AH4788">
        <v>0.51234437625329599</v>
      </c>
      <c r="AI4788">
        <v>115.988568940013</v>
      </c>
      <c r="AJ4788">
        <v>73.765729842000695</v>
      </c>
      <c r="AK4788">
        <v>0.593650744103562</v>
      </c>
      <c r="AL4788">
        <v>91.002060861546596</v>
      </c>
      <c r="AM4788">
        <v>104.030511770628</v>
      </c>
      <c r="AN4788">
        <v>1.00000001331303</v>
      </c>
    </row>
    <row r="4789" spans="1:40" x14ac:dyDescent="0.25">
      <c r="A4789" t="str">
        <f>"20190305135332143"</f>
        <v>20190305135332143</v>
      </c>
      <c r="B4789" t="str">
        <f>"1551765212134472"</f>
        <v>1551765212134472</v>
      </c>
      <c r="C4789" t="s">
        <v>40</v>
      </c>
      <c r="D4789">
        <v>4.5505240000000002</v>
      </c>
      <c r="E4789">
        <v>0.66286149999999999</v>
      </c>
      <c r="F4789" t="s">
        <v>41</v>
      </c>
      <c r="G4789">
        <v>-423.74099999999999</v>
      </c>
      <c r="H4789">
        <v>0.86185669999999903</v>
      </c>
      <c r="I4789">
        <v>53.519970000000001</v>
      </c>
      <c r="J4789">
        <v>-423.7002</v>
      </c>
      <c r="K4789">
        <v>1.112835</v>
      </c>
      <c r="L4789">
        <v>54.216830000000002</v>
      </c>
      <c r="M4789">
        <v>0.18256430000000001</v>
      </c>
      <c r="N4789">
        <v>-1.4937870000000001E-2</v>
      </c>
      <c r="O4789">
        <v>-0.98308070000000003</v>
      </c>
      <c r="P4789">
        <v>0.41441470000000002</v>
      </c>
      <c r="Q4789">
        <v>-2.9735109999999999E-2</v>
      </c>
      <c r="R4789">
        <v>-0.90960249999999998</v>
      </c>
      <c r="S4789">
        <v>2.4597170000000002E-2</v>
      </c>
      <c r="T4789">
        <v>-0.86664569999999996</v>
      </c>
      <c r="U4789">
        <v>-3.25705</v>
      </c>
      <c r="V4789">
        <v>-0.24123049999999999</v>
      </c>
      <c r="W4789">
        <v>-1.729982E-2</v>
      </c>
      <c r="X4789">
        <v>0.97031369999999895</v>
      </c>
      <c r="Y4789">
        <v>0.17495569999999999</v>
      </c>
      <c r="Z4789">
        <v>0.23428950000000001</v>
      </c>
      <c r="AA4789">
        <v>0.95629439999999999</v>
      </c>
      <c r="AB4789">
        <v>36</v>
      </c>
      <c r="AC4789">
        <v>-4.0799999999990101E-2</v>
      </c>
      <c r="AD4789">
        <v>-0.25097829999999999</v>
      </c>
      <c r="AE4789">
        <v>-0.69686000000000703</v>
      </c>
      <c r="AF4789">
        <v>0.14819325392404201</v>
      </c>
      <c r="AG4789">
        <v>-0.25097829999999999</v>
      </c>
      <c r="AH4789">
        <v>0.600119460561931</v>
      </c>
      <c r="AI4789">
        <v>112.098026261201</v>
      </c>
      <c r="AJ4789">
        <v>76.128908920752295</v>
      </c>
      <c r="AK4789">
        <v>0.66715419096684703</v>
      </c>
      <c r="AL4789">
        <v>90.991256064346999</v>
      </c>
      <c r="AM4789">
        <v>103.961307729948</v>
      </c>
      <c r="AN4789">
        <v>1.0000000571549801</v>
      </c>
    </row>
    <row r="4790" spans="1:40" x14ac:dyDescent="0.25">
      <c r="A4790" t="str">
        <f>"20190305135332162"</f>
        <v>20190305135332162</v>
      </c>
      <c r="B4790" t="str">
        <f>"1551765212154968"</f>
        <v>1551765212154968</v>
      </c>
      <c r="C4790" t="s">
        <v>40</v>
      </c>
      <c r="D4790">
        <v>4.5350570000000001</v>
      </c>
      <c r="E4790">
        <v>0.66205059999999905</v>
      </c>
      <c r="F4790" t="s">
        <v>41</v>
      </c>
      <c r="G4790">
        <v>-423.69380000000001</v>
      </c>
      <c r="H4790">
        <v>0.92342089999999999</v>
      </c>
      <c r="I4790">
        <v>53.50338</v>
      </c>
      <c r="J4790">
        <v>-423.64010000000002</v>
      </c>
      <c r="K4790">
        <v>1.1126769999999999</v>
      </c>
      <c r="L4790">
        <v>53.90701</v>
      </c>
      <c r="M4790">
        <v>0.18518979999999999</v>
      </c>
      <c r="N4790">
        <v>-1.492683E-2</v>
      </c>
      <c r="O4790">
        <v>-0.98258939999999995</v>
      </c>
      <c r="P4790">
        <v>0.41475319999999999</v>
      </c>
      <c r="Q4790">
        <v>-2.9896969999999998E-2</v>
      </c>
      <c r="R4790">
        <v>-0.90944270000000005</v>
      </c>
      <c r="S4790">
        <v>3.1372070000000002E-2</v>
      </c>
      <c r="T4790">
        <v>-0.86482510000000001</v>
      </c>
      <c r="U4790">
        <v>-3.255585</v>
      </c>
      <c r="V4790">
        <v>-0.239006</v>
      </c>
      <c r="W4790">
        <v>-1.735507E-2</v>
      </c>
      <c r="X4790">
        <v>0.97086300000000003</v>
      </c>
      <c r="Y4790">
        <v>0.1755902</v>
      </c>
      <c r="Z4790">
        <v>0.23371510000000001</v>
      </c>
      <c r="AA4790">
        <v>0.95631860000000002</v>
      </c>
      <c r="AB4790">
        <v>36</v>
      </c>
      <c r="AC4790">
        <v>-5.3699999999991997E-2</v>
      </c>
      <c r="AD4790">
        <v>-0.18925610000000001</v>
      </c>
      <c r="AE4790">
        <v>-0.403629999999992</v>
      </c>
      <c r="AF4790">
        <v>0.104871980567181</v>
      </c>
      <c r="AG4790">
        <v>-0.18925610000000001</v>
      </c>
      <c r="AH4790">
        <v>0.31800294588991501</v>
      </c>
      <c r="AI4790">
        <v>119.475045105489</v>
      </c>
      <c r="AJ4790">
        <v>71.748320512027107</v>
      </c>
      <c r="AK4790">
        <v>0.38463213242000199</v>
      </c>
      <c r="AL4790">
        <v>90.994422172608395</v>
      </c>
      <c r="AM4790">
        <v>103.83000524785901</v>
      </c>
      <c r="AN4790">
        <v>1.0000000156298501</v>
      </c>
    </row>
    <row r="4791" spans="1:40" x14ac:dyDescent="0.25">
      <c r="A4791" t="str">
        <f>"20190305135332185"</f>
        <v>20190305135332185</v>
      </c>
      <c r="B4791" t="str">
        <f>"1551765212174489"</f>
        <v>1551765212174489</v>
      </c>
      <c r="C4791" t="s">
        <v>40</v>
      </c>
      <c r="D4791">
        <v>4.5172679999999996</v>
      </c>
      <c r="E4791">
        <v>0.66153989999999996</v>
      </c>
      <c r="F4791" t="s">
        <v>41</v>
      </c>
      <c r="G4791">
        <v>-423.63150000000002</v>
      </c>
      <c r="H4791">
        <v>0.92117870000000002</v>
      </c>
      <c r="I4791">
        <v>53.185580000000002</v>
      </c>
      <c r="J4791">
        <v>-423.57209999999998</v>
      </c>
      <c r="K4791">
        <v>1.1125</v>
      </c>
      <c r="L4791">
        <v>53.560090000000002</v>
      </c>
      <c r="M4791">
        <v>0.18794530000000001</v>
      </c>
      <c r="N4791">
        <v>-1.491485E-2</v>
      </c>
      <c r="O4791">
        <v>-0.98206629999999995</v>
      </c>
      <c r="P4791">
        <v>0.41486640000000002</v>
      </c>
      <c r="Q4791">
        <v>-3.0667360000000001E-2</v>
      </c>
      <c r="R4791">
        <v>-0.90936530000000004</v>
      </c>
      <c r="S4791">
        <v>3.9031980000000001E-2</v>
      </c>
      <c r="T4791">
        <v>-0.86338090000000001</v>
      </c>
      <c r="U4791">
        <v>-3.2525330000000001</v>
      </c>
      <c r="V4791">
        <v>-0.23640990000000001</v>
      </c>
      <c r="W4791">
        <v>-1.8004470000000002E-2</v>
      </c>
      <c r="X4791">
        <v>0.97148659999999998</v>
      </c>
      <c r="Y4791">
        <v>0.17608889999999999</v>
      </c>
      <c r="Z4791">
        <v>0.2333472</v>
      </c>
      <c r="AA4791">
        <v>0.95631679999999997</v>
      </c>
      <c r="AB4791">
        <v>36</v>
      </c>
      <c r="AC4791">
        <v>-5.9400000000039199E-2</v>
      </c>
      <c r="AD4791">
        <v>-0.1913213</v>
      </c>
      <c r="AE4791">
        <v>-0.37451000000000001</v>
      </c>
      <c r="AF4791">
        <v>0.102613878734053</v>
      </c>
      <c r="AG4791">
        <v>-0.1913213</v>
      </c>
      <c r="AH4791">
        <v>0.284295761643025</v>
      </c>
      <c r="AI4791">
        <v>122.33360593004799</v>
      </c>
      <c r="AJ4791">
        <v>70.153429389472905</v>
      </c>
      <c r="AK4791">
        <v>0.35771151509383198</v>
      </c>
      <c r="AL4791">
        <v>91.031635876380903</v>
      </c>
      <c r="AM4791">
        <v>103.677006056225</v>
      </c>
      <c r="AN4791">
        <v>1.0000000078687701</v>
      </c>
    </row>
    <row r="4792" spans="1:40" x14ac:dyDescent="0.25">
      <c r="A4792" t="str">
        <f>"20190305135332206"</f>
        <v>20190305135332206</v>
      </c>
      <c r="B4792" t="str">
        <f>"1551765212194984"</f>
        <v>1551765212194984</v>
      </c>
      <c r="C4792" t="s">
        <v>40</v>
      </c>
      <c r="D4792">
        <v>4.5632250000000001</v>
      </c>
      <c r="E4792">
        <v>0.66110459999999904</v>
      </c>
      <c r="F4792" t="s">
        <v>41</v>
      </c>
      <c r="G4792">
        <v>-423.56319999999999</v>
      </c>
      <c r="H4792">
        <v>0.92756249999999996</v>
      </c>
      <c r="I4792">
        <v>52.865630000000003</v>
      </c>
      <c r="J4792">
        <v>-423.50439999999998</v>
      </c>
      <c r="K4792">
        <v>1.1123179999999999</v>
      </c>
      <c r="L4792">
        <v>53.220089999999999</v>
      </c>
      <c r="M4792">
        <v>0.19044169999999999</v>
      </c>
      <c r="N4792">
        <v>-1.490286E-2</v>
      </c>
      <c r="O4792">
        <v>-0.98158540000000005</v>
      </c>
      <c r="P4792">
        <v>0.41444730000000002</v>
      </c>
      <c r="Q4792">
        <v>-3.1643360000000002E-2</v>
      </c>
      <c r="R4792">
        <v>-0.90952310000000003</v>
      </c>
      <c r="S4792">
        <v>4.330444E-2</v>
      </c>
      <c r="T4792">
        <v>-0.86589349999999998</v>
      </c>
      <c r="U4792">
        <v>-3.2500309999999999</v>
      </c>
      <c r="V4792">
        <v>-0.23349929999999999</v>
      </c>
      <c r="W4792">
        <v>-1.8855529999999999E-2</v>
      </c>
      <c r="X4792">
        <v>0.97217419999999999</v>
      </c>
      <c r="Y4792">
        <v>0.17732300000000001</v>
      </c>
      <c r="Z4792">
        <v>0.23400360000000001</v>
      </c>
      <c r="AA4792">
        <v>0.95592829999999995</v>
      </c>
      <c r="AB4792">
        <v>36</v>
      </c>
      <c r="AC4792">
        <v>-5.8800000000019198E-2</v>
      </c>
      <c r="AD4792">
        <v>-0.18475549999999999</v>
      </c>
      <c r="AE4792">
        <v>-0.354459999999996</v>
      </c>
      <c r="AF4792">
        <v>9.9046607873003303E-2</v>
      </c>
      <c r="AG4792">
        <v>-0.18475549999999999</v>
      </c>
      <c r="AH4792">
        <v>0.26634820773891699</v>
      </c>
      <c r="AI4792">
        <v>123.030405988987</v>
      </c>
      <c r="AJ4792">
        <v>69.601398962031894</v>
      </c>
      <c r="AK4792">
        <v>0.33894865846781502</v>
      </c>
      <c r="AL4792">
        <v>91.080406245757104</v>
      </c>
      <c r="AM4792">
        <v>103.505623772541</v>
      </c>
      <c r="AN4792">
        <v>1.00000006462885</v>
      </c>
    </row>
    <row r="4793" spans="1:40" x14ac:dyDescent="0.25">
      <c r="A4793" t="str">
        <f>"20190305135332228"</f>
        <v>20190305135332228</v>
      </c>
      <c r="B4793" t="str">
        <f>"1551765212225240"</f>
        <v>1551765212225240</v>
      </c>
      <c r="C4793" t="s">
        <v>40</v>
      </c>
      <c r="D4793">
        <v>4.4588850000000004</v>
      </c>
      <c r="E4793">
        <v>0.70747569999999904</v>
      </c>
      <c r="F4793" t="s">
        <v>41</v>
      </c>
      <c r="G4793">
        <v>-423.4914</v>
      </c>
      <c r="H4793">
        <v>0.85294910000000002</v>
      </c>
      <c r="I4793">
        <v>52.249940000000002</v>
      </c>
      <c r="J4793">
        <v>-423.43349999999998</v>
      </c>
      <c r="K4793">
        <v>1.112128</v>
      </c>
      <c r="L4793">
        <v>52.867220000000003</v>
      </c>
      <c r="M4793">
        <v>0.1928397</v>
      </c>
      <c r="N4793">
        <v>-1.4890169999999999E-2</v>
      </c>
      <c r="O4793">
        <v>-0.98111740000000003</v>
      </c>
      <c r="P4793">
        <v>0.41381230000000002</v>
      </c>
      <c r="Q4793">
        <v>-3.2152439999999997E-2</v>
      </c>
      <c r="R4793">
        <v>-0.90979449999999995</v>
      </c>
      <c r="S4793">
        <v>4.4799800000000001E-2</v>
      </c>
      <c r="T4793">
        <v>-0.86849379999999998</v>
      </c>
      <c r="U4793">
        <v>-3.2478030000000002</v>
      </c>
      <c r="V4793">
        <v>-0.2304541</v>
      </c>
      <c r="W4793">
        <v>-1.9235329999999998E-2</v>
      </c>
      <c r="X4793">
        <v>0.97289309999999996</v>
      </c>
      <c r="Y4793">
        <v>0.17927370000000001</v>
      </c>
      <c r="Z4793">
        <v>0.23465130000000001</v>
      </c>
      <c r="AA4793">
        <v>0.95540550000000002</v>
      </c>
      <c r="AB4793">
        <v>36</v>
      </c>
      <c r="AC4793">
        <v>-5.7900000000017798E-2</v>
      </c>
      <c r="AD4793">
        <v>-0.25917889999999999</v>
      </c>
      <c r="AE4793">
        <v>-0.61727999999999295</v>
      </c>
      <c r="AF4793">
        <v>0.149701177223588</v>
      </c>
      <c r="AG4793">
        <v>-0.25917889999999999</v>
      </c>
      <c r="AH4793">
        <v>0.50608371816366204</v>
      </c>
      <c r="AI4793">
        <v>116.15527912221199</v>
      </c>
      <c r="AJ4793">
        <v>73.521614936478699</v>
      </c>
      <c r="AK4793">
        <v>0.58796672903974401</v>
      </c>
      <c r="AL4793">
        <v>91.102171159639198</v>
      </c>
      <c r="AM4793">
        <v>103.32631848875501</v>
      </c>
      <c r="AN4793">
        <v>1.0000000370773101</v>
      </c>
    </row>
    <row r="4794" spans="1:40" x14ac:dyDescent="0.25">
      <c r="A4794" t="str">
        <f>"20190305135332240"</f>
        <v>20190305135332240</v>
      </c>
      <c r="B4794" t="str">
        <f>"1551765212235001"</f>
        <v>1551765212235001</v>
      </c>
      <c r="C4794" t="s">
        <v>40</v>
      </c>
      <c r="D4794">
        <v>4.4536129999999998</v>
      </c>
      <c r="E4794">
        <v>0.708731</v>
      </c>
      <c r="F4794" t="s">
        <v>42</v>
      </c>
      <c r="G4794">
        <v>-423.78219999999999</v>
      </c>
      <c r="H4794" s="1">
        <v>-4.7196420000000004E-6</v>
      </c>
      <c r="I4794">
        <v>48.884210000000003</v>
      </c>
      <c r="J4794">
        <v>-423.39280000000002</v>
      </c>
      <c r="K4794">
        <v>1.1120239999999999</v>
      </c>
      <c r="L4794">
        <v>52.666840000000001</v>
      </c>
      <c r="M4794">
        <v>0.19413440000000001</v>
      </c>
      <c r="N4794">
        <v>-1.488315E-2</v>
      </c>
      <c r="O4794">
        <v>-0.98086209999999996</v>
      </c>
      <c r="P4794">
        <v>0.41355649999999999</v>
      </c>
      <c r="Q4794">
        <v>-3.260855E-2</v>
      </c>
      <c r="R4794">
        <v>-0.90989469999999995</v>
      </c>
      <c r="S4794">
        <v>-0.29760740000000002</v>
      </c>
      <c r="T4794">
        <v>-0.94914699999999996</v>
      </c>
      <c r="U4794">
        <v>-3.399292</v>
      </c>
      <c r="V4794">
        <v>-0.22890170000000001</v>
      </c>
      <c r="W4794">
        <v>-1.96239E-2</v>
      </c>
      <c r="X4794">
        <v>0.97325170000000005</v>
      </c>
      <c r="Y4794">
        <v>0.27560390000000001</v>
      </c>
      <c r="Z4794">
        <v>0.24114679999999999</v>
      </c>
      <c r="AA4794">
        <v>0.93053249999999998</v>
      </c>
      <c r="AB4794">
        <v>36</v>
      </c>
      <c r="AC4794">
        <v>-0.389399999999966</v>
      </c>
      <c r="AD4794">
        <v>-1.112028719642</v>
      </c>
      <c r="AE4794">
        <v>-3.7826300000000002</v>
      </c>
      <c r="AF4794">
        <v>1.0284566093622001</v>
      </c>
      <c r="AG4794">
        <v>-1.112028719642</v>
      </c>
      <c r="AH4794">
        <v>3.3486678522808502</v>
      </c>
      <c r="AI4794">
        <v>107.61186566497</v>
      </c>
      <c r="AJ4794">
        <v>72.927015894734097</v>
      </c>
      <c r="AK4794">
        <v>3.67531049784214</v>
      </c>
      <c r="AL4794">
        <v>91.124438849245493</v>
      </c>
      <c r="AM4794">
        <v>103.23501408977801</v>
      </c>
      <c r="AN4794">
        <v>0.99999997863349399</v>
      </c>
    </row>
    <row r="4795" spans="1:40" x14ac:dyDescent="0.25">
      <c r="A4795" t="str">
        <f>"20190305135332253"</f>
        <v>20190305135332253</v>
      </c>
      <c r="B4795" t="str">
        <f>"1551765212244761"</f>
        <v>1551765212244761</v>
      </c>
      <c r="C4795" t="s">
        <v>40</v>
      </c>
      <c r="D4795">
        <v>4.4562489999999997</v>
      </c>
      <c r="E4795">
        <v>0.70885290000000001</v>
      </c>
      <c r="F4795" t="s">
        <v>41</v>
      </c>
      <c r="G4795">
        <v>-423.4622</v>
      </c>
      <c r="H4795">
        <v>0.898232699999999</v>
      </c>
      <c r="I4795">
        <v>51.902720000000002</v>
      </c>
      <c r="J4795">
        <v>-423.35300000000001</v>
      </c>
      <c r="K4795">
        <v>1.111928</v>
      </c>
      <c r="L4795">
        <v>52.471800000000002</v>
      </c>
      <c r="M4795">
        <v>0.1953482</v>
      </c>
      <c r="N4795">
        <v>-1.48766E-2</v>
      </c>
      <c r="O4795">
        <v>-0.98062130000000003</v>
      </c>
      <c r="P4795">
        <v>0.41314820000000002</v>
      </c>
      <c r="Q4795">
        <v>-3.2845729999999997E-2</v>
      </c>
      <c r="R4795">
        <v>-0.91007170000000004</v>
      </c>
      <c r="S4795">
        <v>-0.30841059999999998</v>
      </c>
      <c r="T4795">
        <v>-0.95230190000000003</v>
      </c>
      <c r="U4795">
        <v>-3.4031370000000001</v>
      </c>
      <c r="V4795">
        <v>-0.22726560000000001</v>
      </c>
      <c r="W4795">
        <v>-1.9797470000000001E-2</v>
      </c>
      <c r="X4795">
        <v>0.97363160000000004</v>
      </c>
      <c r="Y4795">
        <v>0.27960699999999999</v>
      </c>
      <c r="Z4795">
        <v>0.2413833</v>
      </c>
      <c r="AA4795">
        <v>0.92927599999999999</v>
      </c>
      <c r="AB4795">
        <v>36</v>
      </c>
      <c r="AC4795">
        <v>-0.109199999999987</v>
      </c>
      <c r="AD4795">
        <v>-0.2136953</v>
      </c>
      <c r="AE4795">
        <v>-0.56907999999999903</v>
      </c>
      <c r="AF4795">
        <v>0.19214496920614499</v>
      </c>
      <c r="AG4795">
        <v>-0.2136953</v>
      </c>
      <c r="AH4795">
        <v>0.472516880307633</v>
      </c>
      <c r="AI4795">
        <v>112.730583899983</v>
      </c>
      <c r="AJ4795">
        <v>67.871300990911493</v>
      </c>
      <c r="AK4795">
        <v>0.55304391562422905</v>
      </c>
      <c r="AL4795">
        <v>91.134385537704205</v>
      </c>
      <c r="AM4795">
        <v>103.13876002731701</v>
      </c>
      <c r="AN4795">
        <v>1.0000000426401501</v>
      </c>
    </row>
    <row r="4796" spans="1:40" x14ac:dyDescent="0.25">
      <c r="A4796" t="str">
        <f>"20190305135332274"</f>
        <v>20190305135332274</v>
      </c>
      <c r="B4796" t="str">
        <f>"1551765212265256"</f>
        <v>1551765212265256</v>
      </c>
      <c r="C4796" t="s">
        <v>40</v>
      </c>
      <c r="D4796">
        <v>4.4343859999999999</v>
      </c>
      <c r="E4796">
        <v>0.70781709999999998</v>
      </c>
      <c r="F4796" t="s">
        <v>42</v>
      </c>
      <c r="G4796">
        <v>-423.71570000000003</v>
      </c>
      <c r="H4796" s="1">
        <v>-4.5755980000000002E-6</v>
      </c>
      <c r="I4796">
        <v>48.495559999999998</v>
      </c>
      <c r="J4796">
        <v>-423.28680000000003</v>
      </c>
      <c r="K4796">
        <v>1.111782</v>
      </c>
      <c r="L4796">
        <v>52.148859999999999</v>
      </c>
      <c r="M4796">
        <v>0.19726460000000001</v>
      </c>
      <c r="N4796">
        <v>-1.4866259999999999E-2</v>
      </c>
      <c r="O4796">
        <v>-0.98023780000000005</v>
      </c>
      <c r="P4796">
        <v>0.41176679999999999</v>
      </c>
      <c r="Q4796">
        <v>-3.3258320000000001E-2</v>
      </c>
      <c r="R4796">
        <v>-0.91068249999999995</v>
      </c>
      <c r="S4796">
        <v>-0.3104248</v>
      </c>
      <c r="T4796">
        <v>-0.95163350000000002</v>
      </c>
      <c r="U4796">
        <v>-3.4030149999999999</v>
      </c>
      <c r="V4796">
        <v>-0.22389329999999999</v>
      </c>
      <c r="W4796">
        <v>-2.01041E-2</v>
      </c>
      <c r="X4796">
        <v>0.97440629999999995</v>
      </c>
      <c r="Y4796">
        <v>0.28202899999999997</v>
      </c>
      <c r="Z4796">
        <v>0.24097660000000001</v>
      </c>
      <c r="AA4796">
        <v>0.92864950000000002</v>
      </c>
      <c r="AB4796">
        <v>36</v>
      </c>
      <c r="AC4796">
        <v>-0.42889999999999801</v>
      </c>
      <c r="AD4796">
        <v>-1.1117865755980001</v>
      </c>
      <c r="AE4796">
        <v>-3.6533000000000002</v>
      </c>
      <c r="AF4796">
        <v>1.0456888235153401</v>
      </c>
      <c r="AG4796">
        <v>-1.1117865755980001</v>
      </c>
      <c r="AH4796">
        <v>3.20416823732169</v>
      </c>
      <c r="AI4796">
        <v>108.255638795107</v>
      </c>
      <c r="AJ4796">
        <v>71.9257687063443</v>
      </c>
      <c r="AK4796">
        <v>3.5491165940788698</v>
      </c>
      <c r="AL4796">
        <v>91.151957675783905</v>
      </c>
      <c r="AM4796">
        <v>102.940469370824</v>
      </c>
      <c r="AN4796">
        <v>1.0000000110506899</v>
      </c>
    </row>
    <row r="4797" spans="1:40" x14ac:dyDescent="0.25">
      <c r="A4797" t="str">
        <f>"20190305135332295"</f>
        <v>20190305135332295</v>
      </c>
      <c r="B4797" t="str">
        <f>"1551765212284776"</f>
        <v>1551765212284776</v>
      </c>
      <c r="C4797" t="s">
        <v>40</v>
      </c>
      <c r="D4797">
        <v>4.4358639999999996</v>
      </c>
      <c r="E4797">
        <v>0.70583109999999905</v>
      </c>
      <c r="F4797" t="s">
        <v>42</v>
      </c>
      <c r="G4797">
        <v>-423.64819999999997</v>
      </c>
      <c r="H4797" s="1">
        <v>-4.4502729999999999E-6</v>
      </c>
      <c r="I4797">
        <v>48.162509999999997</v>
      </c>
      <c r="J4797">
        <v>-423.21629999999999</v>
      </c>
      <c r="K4797">
        <v>1.111632</v>
      </c>
      <c r="L4797">
        <v>51.808230000000002</v>
      </c>
      <c r="M4797">
        <v>0.19915289999999999</v>
      </c>
      <c r="N4797">
        <v>-1.485584E-2</v>
      </c>
      <c r="O4797">
        <v>-0.97985610000000001</v>
      </c>
      <c r="P4797">
        <v>0.41033399999999998</v>
      </c>
      <c r="Q4797">
        <v>-3.310163E-2</v>
      </c>
      <c r="R4797">
        <v>-0.91133470000000005</v>
      </c>
      <c r="S4797">
        <v>-0.30813600000000002</v>
      </c>
      <c r="T4797">
        <v>-0.94795419999999997</v>
      </c>
      <c r="U4797">
        <v>-3.3989259999999999</v>
      </c>
      <c r="V4797">
        <v>-0.22049050000000001</v>
      </c>
      <c r="W4797">
        <v>-1.9843969999999999E-2</v>
      </c>
      <c r="X4797">
        <v>0.97518720000000003</v>
      </c>
      <c r="Y4797">
        <v>0.28337089999999998</v>
      </c>
      <c r="Z4797">
        <v>0.24015149999999999</v>
      </c>
      <c r="AA4797">
        <v>0.92845480000000002</v>
      </c>
      <c r="AB4797">
        <v>36</v>
      </c>
      <c r="AC4797">
        <v>-0.43189999999998402</v>
      </c>
      <c r="AD4797">
        <v>-1.1116364502729901</v>
      </c>
      <c r="AE4797">
        <v>-3.6457199999999998</v>
      </c>
      <c r="AF4797">
        <v>1.05284979846001</v>
      </c>
      <c r="AG4797">
        <v>-1.1116364502729901</v>
      </c>
      <c r="AH4797">
        <v>3.1938199566892802</v>
      </c>
      <c r="AI4797">
        <v>108.29185073186601</v>
      </c>
      <c r="AJ4797">
        <v>71.755082026008196</v>
      </c>
      <c r="AK4797">
        <v>3.54185180540343</v>
      </c>
      <c r="AL4797">
        <v>91.137050409505306</v>
      </c>
      <c r="AM4797">
        <v>102.74039546254799</v>
      </c>
      <c r="AN4797">
        <v>0.99999995938972397</v>
      </c>
    </row>
    <row r="4798" spans="1:40" x14ac:dyDescent="0.25">
      <c r="A4798" t="str">
        <f>"20190305135332310"</f>
        <v>20190305135332310</v>
      </c>
      <c r="B4798" t="str">
        <f>"1551765212305273"</f>
        <v>1551765212305273</v>
      </c>
      <c r="C4798" t="s">
        <v>40</v>
      </c>
      <c r="D4798">
        <v>4.4426920000000001</v>
      </c>
      <c r="E4798">
        <v>0.70463599999999904</v>
      </c>
      <c r="F4798" t="s">
        <v>41</v>
      </c>
      <c r="G4798">
        <v>-423.29160000000002</v>
      </c>
      <c r="H4798">
        <v>0.87419749999999996</v>
      </c>
      <c r="I4798">
        <v>50.954039999999999</v>
      </c>
      <c r="J4798">
        <v>-423.1694</v>
      </c>
      <c r="K4798">
        <v>1.111545</v>
      </c>
      <c r="L4798">
        <v>51.583620000000003</v>
      </c>
      <c r="M4798">
        <v>0.20033860000000001</v>
      </c>
      <c r="N4798">
        <v>-1.484914E-2</v>
      </c>
      <c r="O4798">
        <v>-0.9796144</v>
      </c>
      <c r="P4798">
        <v>0.41014319999999999</v>
      </c>
      <c r="Q4798">
        <v>-3.3196000000000003E-2</v>
      </c>
      <c r="R4798">
        <v>-0.91141719999999904</v>
      </c>
      <c r="S4798">
        <v>-0.2984619</v>
      </c>
      <c r="T4798">
        <v>-0.94294880000000003</v>
      </c>
      <c r="U4798">
        <v>-3.3919980000000001</v>
      </c>
      <c r="V4798">
        <v>-0.21911140000000001</v>
      </c>
      <c r="W4798">
        <v>-1.988208E-2</v>
      </c>
      <c r="X4798">
        <v>0.97549719999999995</v>
      </c>
      <c r="Y4798">
        <v>0.28209689999999998</v>
      </c>
      <c r="Z4798">
        <v>0.2393729</v>
      </c>
      <c r="AA4798">
        <v>0.92904359999999997</v>
      </c>
      <c r="AB4798">
        <v>36</v>
      </c>
      <c r="AC4798">
        <v>-0.12220000000002</v>
      </c>
      <c r="AD4798">
        <v>-0.23734749999999999</v>
      </c>
      <c r="AE4798">
        <v>-0.62958000000000403</v>
      </c>
      <c r="AF4798">
        <v>0.216247040906136</v>
      </c>
      <c r="AG4798">
        <v>-0.23734749999999999</v>
      </c>
      <c r="AH4798">
        <v>0.52097464232628399</v>
      </c>
      <c r="AI4798">
        <v>112.820145646649</v>
      </c>
      <c r="AJ4798">
        <v>67.457556691551204</v>
      </c>
      <c r="AK4798">
        <v>0.61197319908955905</v>
      </c>
      <c r="AL4798">
        <v>91.139234399065401</v>
      </c>
      <c r="AM4798">
        <v>102.659391197923</v>
      </c>
      <c r="AN4798">
        <v>0.99999994496146105</v>
      </c>
    </row>
    <row r="4799" spans="1:40" x14ac:dyDescent="0.25">
      <c r="A4799" t="str">
        <f>"20190305135332329"</f>
        <v>20190305135332329</v>
      </c>
      <c r="B4799" t="str">
        <f>"1551765212324793"</f>
        <v>1551765212324793</v>
      </c>
      <c r="C4799" t="s">
        <v>40</v>
      </c>
      <c r="D4799">
        <v>4.4343940000000002</v>
      </c>
      <c r="E4799">
        <v>0.70361509999999905</v>
      </c>
      <c r="F4799" t="s">
        <v>42</v>
      </c>
      <c r="G4799">
        <v>-423.51240000000001</v>
      </c>
      <c r="H4799" s="1">
        <v>-4.226857E-6</v>
      </c>
      <c r="I4799">
        <v>47.576740000000001</v>
      </c>
      <c r="J4799">
        <v>-423.10410000000002</v>
      </c>
      <c r="K4799">
        <v>1.1114299999999999</v>
      </c>
      <c r="L4799">
        <v>51.271999999999998</v>
      </c>
      <c r="M4799">
        <v>0.20191039999999999</v>
      </c>
      <c r="N4799">
        <v>-1.484011E-2</v>
      </c>
      <c r="O4799">
        <v>-0.97929160000000004</v>
      </c>
      <c r="P4799">
        <v>0.4090626</v>
      </c>
      <c r="Q4799">
        <v>-3.3157020000000002E-2</v>
      </c>
      <c r="R4799">
        <v>-0.91190360000000004</v>
      </c>
      <c r="S4799">
        <v>-0.2900085</v>
      </c>
      <c r="T4799">
        <v>-0.93982429999999995</v>
      </c>
      <c r="U4799">
        <v>-3.387848</v>
      </c>
      <c r="V4799">
        <v>-0.21639600000000001</v>
      </c>
      <c r="W4799">
        <v>-1.976547E-2</v>
      </c>
      <c r="X4799">
        <v>0.97610560000000002</v>
      </c>
      <c r="Y4799">
        <v>0.28144799999999998</v>
      </c>
      <c r="Z4799">
        <v>0.23881140000000001</v>
      </c>
      <c r="AA4799">
        <v>0.92938480000000001</v>
      </c>
      <c r="AB4799">
        <v>36</v>
      </c>
      <c r="AC4799">
        <v>-0.408299999999997</v>
      </c>
      <c r="AD4799">
        <v>-1.1114342268570001</v>
      </c>
      <c r="AE4799">
        <v>-3.69525999999999</v>
      </c>
      <c r="AF4799">
        <v>1.05205664364622</v>
      </c>
      <c r="AG4799">
        <v>-1.1114342268570001</v>
      </c>
      <c r="AH4799">
        <v>3.2465332149722999</v>
      </c>
      <c r="AI4799">
        <v>108.038979788603</v>
      </c>
      <c r="AJ4799">
        <v>72.044802724042896</v>
      </c>
      <c r="AK4799">
        <v>3.5891624563382099</v>
      </c>
      <c r="AL4799">
        <v>91.132551736837996</v>
      </c>
      <c r="AM4799">
        <v>102.49992157712001</v>
      </c>
      <c r="AN4799">
        <v>1.0000000224858401</v>
      </c>
    </row>
    <row r="4800" spans="1:40" x14ac:dyDescent="0.25">
      <c r="A4800" t="str">
        <f>"20190305135332342"</f>
        <v>20190305135332342</v>
      </c>
      <c r="B4800" t="str">
        <f>"1551765212334553"</f>
        <v>1551765212334553</v>
      </c>
      <c r="C4800" t="s">
        <v>40</v>
      </c>
      <c r="D4800">
        <v>4.4474130000000001</v>
      </c>
      <c r="E4800">
        <v>0.70286150000000003</v>
      </c>
      <c r="F4800" t="s">
        <v>42</v>
      </c>
      <c r="G4800">
        <v>-423.44299999999998</v>
      </c>
      <c r="H4800" s="1">
        <v>-4.1088980000000001E-6</v>
      </c>
      <c r="I4800">
        <v>47.266300000000001</v>
      </c>
      <c r="J4800">
        <v>-423.05880000000002</v>
      </c>
      <c r="K4800">
        <v>1.111361</v>
      </c>
      <c r="L4800">
        <v>51.057400000000001</v>
      </c>
      <c r="M4800">
        <v>0.20295869999999999</v>
      </c>
      <c r="N4800">
        <v>-1.4834160000000001E-2</v>
      </c>
      <c r="O4800">
        <v>-0.97907500000000003</v>
      </c>
      <c r="P4800">
        <v>0.4089006</v>
      </c>
      <c r="Q4800">
        <v>-3.2965309999999998E-2</v>
      </c>
      <c r="R4800">
        <v>-0.91198349999999995</v>
      </c>
      <c r="S4800">
        <v>-0.2863464</v>
      </c>
      <c r="T4800">
        <v>-0.93897010000000003</v>
      </c>
      <c r="U4800">
        <v>-3.384125</v>
      </c>
      <c r="V4800">
        <v>-0.2151806</v>
      </c>
      <c r="W4800">
        <v>-1.9531119999999999E-2</v>
      </c>
      <c r="X4800">
        <v>0.976379</v>
      </c>
      <c r="Y4800">
        <v>0.28156179999999997</v>
      </c>
      <c r="Z4800">
        <v>0.23878289999999999</v>
      </c>
      <c r="AA4800">
        <v>0.92935769999999995</v>
      </c>
      <c r="AB4800">
        <v>36</v>
      </c>
      <c r="AC4800">
        <v>-0.38420000000002102</v>
      </c>
      <c r="AD4800">
        <v>-1.1113651088979899</v>
      </c>
      <c r="AE4800">
        <v>-3.7911000000000001</v>
      </c>
      <c r="AF4800">
        <v>1.0559039860169099</v>
      </c>
      <c r="AG4800">
        <v>-1.1113651088979899</v>
      </c>
      <c r="AH4800">
        <v>3.3492903259240898</v>
      </c>
      <c r="AI4800">
        <v>107.560846167685</v>
      </c>
      <c r="AJ4800">
        <v>72.501916967683599</v>
      </c>
      <c r="AK4800">
        <v>3.6834510069079198</v>
      </c>
      <c r="AL4800">
        <v>91.119121843934494</v>
      </c>
      <c r="AM4800">
        <v>102.428530882087</v>
      </c>
      <c r="AN4800">
        <v>1.0000000534529001</v>
      </c>
    </row>
    <row r="4801" spans="1:40" x14ac:dyDescent="0.25">
      <c r="A4801" t="str">
        <f>"20190305135332363"</f>
        <v>20190305135332363</v>
      </c>
      <c r="B4801" t="str">
        <f>"1551765212355049"</f>
        <v>1551765212355049</v>
      </c>
      <c r="C4801" t="s">
        <v>40</v>
      </c>
      <c r="D4801">
        <v>4.4568329999999996</v>
      </c>
      <c r="E4801">
        <v>0.70131829999999995</v>
      </c>
      <c r="F4801" t="s">
        <v>41</v>
      </c>
      <c r="G4801">
        <v>-423.12009999999998</v>
      </c>
      <c r="H4801">
        <v>0.90749159999999995</v>
      </c>
      <c r="I4801">
        <v>50.32246</v>
      </c>
      <c r="J4801">
        <v>-422.98939999999999</v>
      </c>
      <c r="K4801">
        <v>1.111272</v>
      </c>
      <c r="L4801">
        <v>50.730159999999998</v>
      </c>
      <c r="M4801">
        <v>0.20451620000000001</v>
      </c>
      <c r="N4801">
        <v>-1.482544E-2</v>
      </c>
      <c r="O4801">
        <v>-0.97875089999999998</v>
      </c>
      <c r="P4801">
        <v>0.40765319999999999</v>
      </c>
      <c r="Q4801">
        <v>-3.2325920000000001E-2</v>
      </c>
      <c r="R4801">
        <v>-0.91256479999999995</v>
      </c>
      <c r="S4801">
        <v>-0.28088380000000002</v>
      </c>
      <c r="T4801">
        <v>-0.93819900000000001</v>
      </c>
      <c r="U4801">
        <v>-3.381561</v>
      </c>
      <c r="V4801">
        <v>-0.21229500000000001</v>
      </c>
      <c r="W4801">
        <v>-1.882822E-2</v>
      </c>
      <c r="X4801">
        <v>0.97702420000000001</v>
      </c>
      <c r="Y4801">
        <v>0.28165610000000002</v>
      </c>
      <c r="Z4801">
        <v>0.23866109999999999</v>
      </c>
      <c r="AA4801">
        <v>0.92936039999999998</v>
      </c>
      <c r="AB4801">
        <v>36</v>
      </c>
      <c r="AC4801">
        <v>-0.13069999999998999</v>
      </c>
      <c r="AD4801">
        <v>-0.2037804</v>
      </c>
      <c r="AE4801">
        <v>-0.40769999999999801</v>
      </c>
      <c r="AF4801">
        <v>0.17229444887800499</v>
      </c>
      <c r="AG4801">
        <v>-0.2037804</v>
      </c>
      <c r="AH4801">
        <v>0.303573712052772</v>
      </c>
      <c r="AI4801">
        <v>120.276333355302</v>
      </c>
      <c r="AJ4801">
        <v>60.422752952181497</v>
      </c>
      <c r="AK4801">
        <v>0.40418909830404298</v>
      </c>
      <c r="AL4801">
        <v>91.078841313609601</v>
      </c>
      <c r="AM4801">
        <v>102.25908627789499</v>
      </c>
      <c r="AN4801">
        <v>0.99999997813950303</v>
      </c>
    </row>
    <row r="4802" spans="1:40" x14ac:dyDescent="0.25">
      <c r="A4802" t="str">
        <f>"20190305135332384"</f>
        <v>20190305135332384</v>
      </c>
      <c r="B4802" t="str">
        <f>"1551765212374568"</f>
        <v>1551765212374568</v>
      </c>
      <c r="C4802" t="s">
        <v>40</v>
      </c>
      <c r="D4802">
        <v>4.4531720000000004</v>
      </c>
      <c r="E4802">
        <v>0.69980350000000002</v>
      </c>
      <c r="F4802" t="s">
        <v>41</v>
      </c>
      <c r="G4802">
        <v>-423.04790000000003</v>
      </c>
      <c r="H4802">
        <v>0.9111146</v>
      </c>
      <c r="I4802">
        <v>50.007719999999999</v>
      </c>
      <c r="J4802">
        <v>-422.91910000000001</v>
      </c>
      <c r="K4802">
        <v>1.1112070000000001</v>
      </c>
      <c r="L4802">
        <v>50.401249999999997</v>
      </c>
      <c r="M4802">
        <v>0.20605979999999999</v>
      </c>
      <c r="N4802">
        <v>-1.481726E-2</v>
      </c>
      <c r="O4802">
        <v>-0.97842750000000001</v>
      </c>
      <c r="P4802">
        <v>0.40620010000000001</v>
      </c>
      <c r="Q4802">
        <v>-3.2026890000000002E-2</v>
      </c>
      <c r="R4802">
        <v>-0.91322309999999995</v>
      </c>
      <c r="S4802">
        <v>-0.27297969999999999</v>
      </c>
      <c r="T4802">
        <v>-0.93541629999999998</v>
      </c>
      <c r="U4802">
        <v>-3.3762509999999999</v>
      </c>
      <c r="V4802">
        <v>-0.20920140000000001</v>
      </c>
      <c r="W4802">
        <v>-1.8477609999999998E-2</v>
      </c>
      <c r="X4802">
        <v>0.97769799999999996</v>
      </c>
      <c r="Y4802">
        <v>0.28113729999999998</v>
      </c>
      <c r="Z4802">
        <v>0.23825550000000001</v>
      </c>
      <c r="AA4802">
        <v>0.92962149999999999</v>
      </c>
      <c r="AB4802">
        <v>36</v>
      </c>
      <c r="AC4802">
        <v>-0.12880000000001199</v>
      </c>
      <c r="AD4802">
        <v>-0.200092399999999</v>
      </c>
      <c r="AE4802">
        <v>-0.39352999999999799</v>
      </c>
      <c r="AF4802">
        <v>0.16792277648793799</v>
      </c>
      <c r="AG4802">
        <v>-0.200092399999999</v>
      </c>
      <c r="AH4802">
        <v>0.290665323785681</v>
      </c>
      <c r="AI4802">
        <v>120.797985682551</v>
      </c>
      <c r="AJ4802">
        <v>59.984172817182397</v>
      </c>
      <c r="AK4802">
        <v>0.39079580071005499</v>
      </c>
      <c r="AL4802">
        <v>91.058749306734299</v>
      </c>
      <c r="AM4802">
        <v>102.077649243501</v>
      </c>
      <c r="AN4802">
        <v>1.00000001351863</v>
      </c>
    </row>
    <row r="4803" spans="1:40" x14ac:dyDescent="0.25">
      <c r="A4803" t="str">
        <f>"20190305135332397"</f>
        <v>20190305135332397</v>
      </c>
      <c r="B4803" t="str">
        <f>"1551765212385305"</f>
        <v>1551765212385305</v>
      </c>
      <c r="C4803" t="s">
        <v>40</v>
      </c>
      <c r="D4803">
        <v>4.459263</v>
      </c>
      <c r="E4803">
        <v>0.69912479999999999</v>
      </c>
      <c r="F4803" t="s">
        <v>41</v>
      </c>
      <c r="G4803">
        <v>-422.9753</v>
      </c>
      <c r="H4803">
        <v>0.91503409999999996</v>
      </c>
      <c r="I4803">
        <v>49.693269999999998</v>
      </c>
      <c r="J4803">
        <v>-422.87450000000001</v>
      </c>
      <c r="K4803">
        <v>1.111186</v>
      </c>
      <c r="L4803">
        <v>50.194459999999999</v>
      </c>
      <c r="M4803">
        <v>0.20703949999999999</v>
      </c>
      <c r="N4803">
        <v>-1.481264E-2</v>
      </c>
      <c r="O4803">
        <v>-0.97822050000000005</v>
      </c>
      <c r="P4803">
        <v>0.40553210000000001</v>
      </c>
      <c r="Q4803">
        <v>-3.2348189999999999E-2</v>
      </c>
      <c r="R4803">
        <v>-0.91350869999999995</v>
      </c>
      <c r="S4803">
        <v>-0.2657776</v>
      </c>
      <c r="T4803">
        <v>-0.93421659999999995</v>
      </c>
      <c r="U4803">
        <v>-3.3705440000000002</v>
      </c>
      <c r="V4803">
        <v>-0.20750950000000001</v>
      </c>
      <c r="W4803">
        <v>-1.877873E-2</v>
      </c>
      <c r="X4803">
        <v>0.9780527</v>
      </c>
      <c r="Y4803">
        <v>0.2802501</v>
      </c>
      <c r="Z4803">
        <v>0.23833119999999999</v>
      </c>
      <c r="AA4803">
        <v>0.92986990000000003</v>
      </c>
      <c r="AB4803">
        <v>36</v>
      </c>
      <c r="AC4803">
        <v>-0.10079999999999199</v>
      </c>
      <c r="AD4803">
        <v>-0.19615189999999999</v>
      </c>
      <c r="AE4803">
        <v>-0.50119000000000102</v>
      </c>
      <c r="AF4803">
        <v>0.17642074505525601</v>
      </c>
      <c r="AG4803">
        <v>-0.19615189999999999</v>
      </c>
      <c r="AH4803">
        <v>0.409212964197465</v>
      </c>
      <c r="AI4803">
        <v>113.757889902155</v>
      </c>
      <c r="AJ4803">
        <v>66.678059078989904</v>
      </c>
      <c r="AK4803">
        <v>0.486883042656794</v>
      </c>
      <c r="AL4803">
        <v>91.076005264989902</v>
      </c>
      <c r="AM4803">
        <v>101.978586450758</v>
      </c>
      <c r="AN4803">
        <v>0.99999995863397495</v>
      </c>
    </row>
    <row r="4804" spans="1:40" x14ac:dyDescent="0.25">
      <c r="A4804" t="str">
        <f>"20190305135332412"</f>
        <v>20190305135332412</v>
      </c>
      <c r="B4804" t="str">
        <f>"1551765212404824"</f>
        <v>1551765212404824</v>
      </c>
      <c r="C4804" t="s">
        <v>40</v>
      </c>
      <c r="D4804">
        <v>4.484273</v>
      </c>
      <c r="E4804">
        <v>0.69786479999999995</v>
      </c>
      <c r="F4804" t="s">
        <v>41</v>
      </c>
      <c r="G4804">
        <v>-422.93759999999997</v>
      </c>
      <c r="H4804">
        <v>0.88596939999999902</v>
      </c>
      <c r="I4804">
        <v>49.384509999999999</v>
      </c>
      <c r="J4804">
        <v>-422.82499999999999</v>
      </c>
      <c r="K4804">
        <v>1.1111690000000001</v>
      </c>
      <c r="L4804">
        <v>49.965609999999998</v>
      </c>
      <c r="M4804">
        <v>0.20814299999999999</v>
      </c>
      <c r="N4804">
        <v>-1.480794E-2</v>
      </c>
      <c r="O4804">
        <v>-0.97798629999999998</v>
      </c>
      <c r="P4804">
        <v>0.40470529999999999</v>
      </c>
      <c r="Q4804">
        <v>-3.2352209999999999E-2</v>
      </c>
      <c r="R4804">
        <v>-0.91387470000000004</v>
      </c>
      <c r="S4804">
        <v>-0.26190190000000002</v>
      </c>
      <c r="T4804">
        <v>-0.93637239999999999</v>
      </c>
      <c r="U4804">
        <v>-3.3671570000000002</v>
      </c>
      <c r="V4804">
        <v>-0.20552239999999999</v>
      </c>
      <c r="W4804">
        <v>-1.876595E-2</v>
      </c>
      <c r="X4804">
        <v>0.97847249999999997</v>
      </c>
      <c r="Y4804">
        <v>0.28032380000000001</v>
      </c>
      <c r="Z4804">
        <v>0.2390331</v>
      </c>
      <c r="AA4804">
        <v>0.92966749999999998</v>
      </c>
      <c r="AB4804">
        <v>36</v>
      </c>
      <c r="AC4804">
        <v>-0.112599999999986</v>
      </c>
      <c r="AD4804">
        <v>-0.2251996</v>
      </c>
      <c r="AE4804">
        <v>-0.58109999999999895</v>
      </c>
      <c r="AF4804">
        <v>0.20187640499215501</v>
      </c>
      <c r="AG4804">
        <v>-0.2251996</v>
      </c>
      <c r="AH4804">
        <v>0.47602494597369399</v>
      </c>
      <c r="AI4804">
        <v>113.534876051871</v>
      </c>
      <c r="AJ4804">
        <v>67.018788270251704</v>
      </c>
      <c r="AK4804">
        <v>0.56397579019136601</v>
      </c>
      <c r="AL4804">
        <v>91.075272823914503</v>
      </c>
      <c r="AM4804">
        <v>101.86220048674799</v>
      </c>
      <c r="AN4804">
        <v>1.0000000255187</v>
      </c>
    </row>
    <row r="4805" spans="1:40" x14ac:dyDescent="0.25">
      <c r="A4805" t="str">
        <f>"20190305135332427"</f>
        <v>20190305135332427</v>
      </c>
      <c r="B4805" t="str">
        <f>"1551765212414585"</f>
        <v>1551765212414585</v>
      </c>
      <c r="C4805" t="s">
        <v>40</v>
      </c>
      <c r="D4805">
        <v>4.4859799999999996</v>
      </c>
      <c r="E4805">
        <v>0.69727689999999998</v>
      </c>
      <c r="F4805" t="s">
        <v>42</v>
      </c>
      <c r="G4805">
        <v>-423.12790000000001</v>
      </c>
      <c r="H4805" s="1">
        <v>-3.5719999999999999E-6</v>
      </c>
      <c r="I4805">
        <v>45.975520000000003</v>
      </c>
      <c r="J4805">
        <v>-422.77659999999997</v>
      </c>
      <c r="K4805">
        <v>1.1111709999999999</v>
      </c>
      <c r="L4805">
        <v>49.742739999999998</v>
      </c>
      <c r="M4805">
        <v>0.2092425</v>
      </c>
      <c r="N4805">
        <v>-1.4803810000000001E-2</v>
      </c>
      <c r="O4805">
        <v>-0.97775190000000001</v>
      </c>
      <c r="P4805">
        <v>0.40391349999999998</v>
      </c>
      <c r="Q4805">
        <v>-3.2787040000000003E-2</v>
      </c>
      <c r="R4805">
        <v>-0.91420979999999996</v>
      </c>
      <c r="S4805">
        <v>-0.255249</v>
      </c>
      <c r="T4805">
        <v>-0.93643129999999997</v>
      </c>
      <c r="U4805">
        <v>-3.3626100000000001</v>
      </c>
      <c r="V4805">
        <v>-0.2035757</v>
      </c>
      <c r="W4805">
        <v>-1.919154E-2</v>
      </c>
      <c r="X4805">
        <v>0.97887109999999999</v>
      </c>
      <c r="Y4805">
        <v>0.2796651</v>
      </c>
      <c r="Z4805">
        <v>0.23932429999999999</v>
      </c>
      <c r="AA4805">
        <v>0.92979100000000003</v>
      </c>
      <c r="AB4805">
        <v>36</v>
      </c>
      <c r="AC4805">
        <v>-0.35130000000003703</v>
      </c>
      <c r="AD4805">
        <v>-1.1111745719999999</v>
      </c>
      <c r="AE4805">
        <v>-3.76722</v>
      </c>
      <c r="AF4805">
        <v>1.04199763409438</v>
      </c>
      <c r="AG4805">
        <v>-1.1111745719999999</v>
      </c>
      <c r="AH4805">
        <v>3.32362941481624</v>
      </c>
      <c r="AI4805">
        <v>107.69346786499599</v>
      </c>
      <c r="AJ4805">
        <v>72.593167038595794</v>
      </c>
      <c r="AK4805">
        <v>3.6560881397949698</v>
      </c>
      <c r="AL4805">
        <v>91.099661748905305</v>
      </c>
      <c r="AM4805">
        <v>101.74832908761999</v>
      </c>
      <c r="AN4805">
        <v>1.0000000056266301</v>
      </c>
    </row>
    <row r="4806" spans="1:40" x14ac:dyDescent="0.25">
      <c r="A4806" t="str">
        <f>"20190305135332441"</f>
        <v>20190305135332441</v>
      </c>
      <c r="B4806" t="str">
        <f>"1551765212435080"</f>
        <v>1551765212435080</v>
      </c>
      <c r="C4806" t="s">
        <v>40</v>
      </c>
      <c r="D4806">
        <v>4.5174180000000002</v>
      </c>
      <c r="E4806">
        <v>0.69620579999999999</v>
      </c>
      <c r="F4806" t="s">
        <v>42</v>
      </c>
      <c r="G4806">
        <v>-423.07619999999997</v>
      </c>
      <c r="H4806" s="1">
        <v>-3.46761999999999E-6</v>
      </c>
      <c r="I4806">
        <v>45.764290000000003</v>
      </c>
      <c r="J4806">
        <v>-422.72500000000002</v>
      </c>
      <c r="K4806">
        <v>1.111186</v>
      </c>
      <c r="L4806">
        <v>49.507170000000002</v>
      </c>
      <c r="M4806">
        <v>0.21045929999999999</v>
      </c>
      <c r="N4806">
        <v>-1.4800209999999999E-2</v>
      </c>
      <c r="O4806">
        <v>-0.97749070000000005</v>
      </c>
      <c r="P4806">
        <v>0.40063399999999999</v>
      </c>
      <c r="Q4806">
        <v>-3.3643930000000002E-2</v>
      </c>
      <c r="R4806">
        <v>-0.9156202</v>
      </c>
      <c r="S4806">
        <v>-0.2530212</v>
      </c>
      <c r="T4806">
        <v>-0.93834450000000003</v>
      </c>
      <c r="U4806">
        <v>-3.3596499999999998</v>
      </c>
      <c r="V4806">
        <v>-0.1988501</v>
      </c>
      <c r="W4806">
        <v>-2.0028669999999998E-2</v>
      </c>
      <c r="X4806">
        <v>0.97982530000000001</v>
      </c>
      <c r="Y4806">
        <v>0.28029090000000001</v>
      </c>
      <c r="Z4806">
        <v>0.239897</v>
      </c>
      <c r="AA4806">
        <v>0.92945489999999997</v>
      </c>
      <c r="AB4806">
        <v>36</v>
      </c>
      <c r="AC4806">
        <v>-0.351199999999948</v>
      </c>
      <c r="AD4806">
        <v>-1.11118946762</v>
      </c>
      <c r="AE4806">
        <v>-3.74288</v>
      </c>
      <c r="AF4806">
        <v>1.0402562298828499</v>
      </c>
      <c r="AG4806">
        <v>-1.11118946762</v>
      </c>
      <c r="AH4806">
        <v>3.2970493613031202</v>
      </c>
      <c r="AI4806">
        <v>107.81778274614101</v>
      </c>
      <c r="AJ4806">
        <v>72.488927270879998</v>
      </c>
      <c r="AK4806">
        <v>3.63144730756609</v>
      </c>
      <c r="AL4806">
        <v>91.147634923796303</v>
      </c>
      <c r="AM4806">
        <v>101.47205579032099</v>
      </c>
      <c r="AN4806">
        <v>1.00000006420603</v>
      </c>
    </row>
    <row r="4807" spans="1:40" x14ac:dyDescent="0.25">
      <c r="A4807" t="str">
        <f>"20190305135332454"</f>
        <v>20190305135332454</v>
      </c>
      <c r="B4807" t="str">
        <f>"1551765212444841"</f>
        <v>1551765212444841</v>
      </c>
      <c r="C4807" t="s">
        <v>40</v>
      </c>
      <c r="D4807">
        <v>4.5356930000000002</v>
      </c>
      <c r="E4807">
        <v>0.69554019999999905</v>
      </c>
      <c r="F4807" t="s">
        <v>41</v>
      </c>
      <c r="G4807">
        <v>-422.78219999999999</v>
      </c>
      <c r="H4807">
        <v>0.90029740000000003</v>
      </c>
      <c r="I4807">
        <v>48.757399999999997</v>
      </c>
      <c r="J4807">
        <v>-422.68239999999997</v>
      </c>
      <c r="K4807">
        <v>1.111216</v>
      </c>
      <c r="L4807">
        <v>49.31418</v>
      </c>
      <c r="M4807">
        <v>0.21150169999999999</v>
      </c>
      <c r="N4807">
        <v>-1.479771E-2</v>
      </c>
      <c r="O4807">
        <v>-0.97726570000000001</v>
      </c>
      <c r="P4807">
        <v>0.3987387</v>
      </c>
      <c r="Q4807">
        <v>-3.4001690000000001E-2</v>
      </c>
      <c r="R4807">
        <v>-0.91643419999999998</v>
      </c>
      <c r="S4807">
        <v>-0.25549319999999998</v>
      </c>
      <c r="T4807">
        <v>-0.94328650000000003</v>
      </c>
      <c r="U4807">
        <v>-3.3536069999999998</v>
      </c>
      <c r="V4807">
        <v>-0.19577720000000001</v>
      </c>
      <c r="W4807">
        <v>-2.038148E-2</v>
      </c>
      <c r="X4807">
        <v>0.98043659999999999</v>
      </c>
      <c r="Y4807">
        <v>0.28207700000000002</v>
      </c>
      <c r="Z4807">
        <v>0.2414046</v>
      </c>
      <c r="AA4807">
        <v>0.92852380000000001</v>
      </c>
      <c r="AB4807">
        <v>36</v>
      </c>
      <c r="AC4807">
        <v>-9.9800000000016098E-2</v>
      </c>
      <c r="AD4807">
        <v>-0.21091860000000001</v>
      </c>
      <c r="AE4807">
        <v>-0.55678000000000305</v>
      </c>
      <c r="AF4807">
        <v>0.18903222156515601</v>
      </c>
      <c r="AG4807">
        <v>-0.21091860000000001</v>
      </c>
      <c r="AH4807">
        <v>0.45922266590197702</v>
      </c>
      <c r="AI4807">
        <v>113.011865223426</v>
      </c>
      <c r="AJ4807">
        <v>67.626208861621194</v>
      </c>
      <c r="AK4807">
        <v>0.53954174397718002</v>
      </c>
      <c r="AL4807">
        <v>91.167853623731901</v>
      </c>
      <c r="AM4807">
        <v>101.292505340522</v>
      </c>
      <c r="AN4807">
        <v>1.0000000216931899</v>
      </c>
    </row>
    <row r="4808" spans="1:40" x14ac:dyDescent="0.25">
      <c r="A4808" t="str">
        <f>"20190305135332474"</f>
        <v>20190305135332474</v>
      </c>
      <c r="B4808" t="str">
        <f>"1551765212465337"</f>
        <v>1551765212465337</v>
      </c>
      <c r="C4808" t="s">
        <v>40</v>
      </c>
      <c r="D4808">
        <v>4.4922040000000001</v>
      </c>
      <c r="E4808">
        <v>0.69485569999999997</v>
      </c>
      <c r="F4808" t="s">
        <v>42</v>
      </c>
      <c r="G4808">
        <v>-422.98430000000002</v>
      </c>
      <c r="H4808" s="1">
        <v>-3.2762059999999998E-6</v>
      </c>
      <c r="I4808">
        <v>45.375109999999999</v>
      </c>
      <c r="J4808">
        <v>-422.61439999999999</v>
      </c>
      <c r="K4808">
        <v>1.1112869999999999</v>
      </c>
      <c r="L4808">
        <v>49.007899999999999</v>
      </c>
      <c r="M4808">
        <v>0.21325350000000001</v>
      </c>
      <c r="N4808">
        <v>-1.4794430000000001E-2</v>
      </c>
      <c r="O4808">
        <v>-0.9768848</v>
      </c>
      <c r="P4808">
        <v>0.3943622</v>
      </c>
      <c r="Q4808">
        <v>-3.4473419999999998E-2</v>
      </c>
      <c r="R4808">
        <v>-0.91830840000000002</v>
      </c>
      <c r="S4808">
        <v>-0.25671389999999999</v>
      </c>
      <c r="T4808">
        <v>-0.94509670000000001</v>
      </c>
      <c r="U4808">
        <v>-3.3501889999999999</v>
      </c>
      <c r="V4808">
        <v>-0.1893388</v>
      </c>
      <c r="W4808">
        <v>-2.084341E-2</v>
      </c>
      <c r="X4808">
        <v>0.98169059999999997</v>
      </c>
      <c r="Y4808">
        <v>0.28418169999999998</v>
      </c>
      <c r="Z4808">
        <v>0.24186440000000001</v>
      </c>
      <c r="AA4808">
        <v>0.92776199999999998</v>
      </c>
      <c r="AB4808">
        <v>36</v>
      </c>
      <c r="AC4808">
        <v>-0.36990000000002898</v>
      </c>
      <c r="AD4808">
        <v>-1.111290276206</v>
      </c>
      <c r="AE4808">
        <v>-3.63279</v>
      </c>
      <c r="AF4808">
        <v>1.03986883845433</v>
      </c>
      <c r="AG4808">
        <v>-1.111290276206</v>
      </c>
      <c r="AH4808">
        <v>3.17614688463284</v>
      </c>
      <c r="AI4808">
        <v>108.39291924688</v>
      </c>
      <c r="AJ4808">
        <v>71.871580203927394</v>
      </c>
      <c r="AK4808">
        <v>3.5219600099860902</v>
      </c>
      <c r="AL4808">
        <v>91.194325875347999</v>
      </c>
      <c r="AM4808">
        <v>100.916600212413</v>
      </c>
      <c r="AN4808">
        <v>1.00000003152711</v>
      </c>
    </row>
    <row r="4809" spans="1:40" x14ac:dyDescent="0.25">
      <c r="A4809" t="str">
        <f>"20190305135332489"</f>
        <v>20190305135332489</v>
      </c>
      <c r="B4809" t="str">
        <f>"1551765212484857"</f>
        <v>1551765212484857</v>
      </c>
      <c r="C4809" t="s">
        <v>40</v>
      </c>
      <c r="D4809">
        <v>4.4978530000000001</v>
      </c>
      <c r="E4809">
        <v>0.67231049999999903</v>
      </c>
      <c r="F4809" t="s">
        <v>42</v>
      </c>
      <c r="G4809">
        <v>-422.92579999999998</v>
      </c>
      <c r="H4809" s="1">
        <v>-3.1392509999999999E-6</v>
      </c>
      <c r="I4809">
        <v>45.092129999999997</v>
      </c>
      <c r="J4809">
        <v>-422.565</v>
      </c>
      <c r="K4809">
        <v>1.1113580000000001</v>
      </c>
      <c r="L4809">
        <v>48.787109999999998</v>
      </c>
      <c r="M4809">
        <v>0.2146063</v>
      </c>
      <c r="N4809">
        <v>-1.4792680000000001E-2</v>
      </c>
      <c r="O4809">
        <v>-0.97658880000000003</v>
      </c>
      <c r="P4809">
        <v>0.39217150000000001</v>
      </c>
      <c r="Q4809">
        <v>-3.4866580000000001E-2</v>
      </c>
      <c r="R4809">
        <v>-0.91923140000000003</v>
      </c>
      <c r="S4809">
        <v>-0.26605220000000002</v>
      </c>
      <c r="T4809">
        <v>-0.94944410000000001</v>
      </c>
      <c r="U4809">
        <v>-3.3454899999999999</v>
      </c>
      <c r="V4809">
        <v>-0.185636</v>
      </c>
      <c r="W4809">
        <v>-2.124405E-2</v>
      </c>
      <c r="X4809">
        <v>0.98238890000000001</v>
      </c>
      <c r="Y4809">
        <v>0.28813460000000002</v>
      </c>
      <c r="Z4809">
        <v>0.2429837</v>
      </c>
      <c r="AA4809">
        <v>0.92624910000000005</v>
      </c>
      <c r="AB4809">
        <v>36</v>
      </c>
      <c r="AC4809">
        <v>-0.36079999999998302</v>
      </c>
      <c r="AD4809">
        <v>-1.1113611392509899</v>
      </c>
      <c r="AE4809">
        <v>-3.6949800000000002</v>
      </c>
      <c r="AF4809">
        <v>1.0512408147813199</v>
      </c>
      <c r="AG4809">
        <v>-1.1113611392509899</v>
      </c>
      <c r="AH4809">
        <v>3.2410001767276801</v>
      </c>
      <c r="AI4809">
        <v>108.065171027956</v>
      </c>
      <c r="AJ4809">
        <v>72.029170754053595</v>
      </c>
      <c r="AK4809">
        <v>3.5838963403045301</v>
      </c>
      <c r="AL4809">
        <v>91.217285987760604</v>
      </c>
      <c r="AM4809">
        <v>100.700658307701</v>
      </c>
      <c r="AN4809">
        <v>0.99999999249980598</v>
      </c>
    </row>
    <row r="4810" spans="1:40" x14ac:dyDescent="0.25">
      <c r="A4810" t="str">
        <f>"20190305135332502"</f>
        <v>20190305135332502</v>
      </c>
      <c r="B4810" t="str">
        <f>"1551765212494867"</f>
        <v>1551765212494867</v>
      </c>
      <c r="C4810" t="s">
        <v>40</v>
      </c>
      <c r="D4810">
        <v>4.5263479999999996</v>
      </c>
      <c r="E4810">
        <v>0.6733557</v>
      </c>
      <c r="F4810" t="s">
        <v>41</v>
      </c>
      <c r="G4810">
        <v>-422.59640000000002</v>
      </c>
      <c r="H4810">
        <v>0.84742030000000002</v>
      </c>
      <c r="I4810">
        <v>47.837179999999996</v>
      </c>
      <c r="J4810">
        <v>-422.51369999999997</v>
      </c>
      <c r="K4810">
        <v>1.111453</v>
      </c>
      <c r="L4810">
        <v>48.56</v>
      </c>
      <c r="M4810">
        <v>0.2161025</v>
      </c>
      <c r="N4810">
        <v>-1.479191E-2</v>
      </c>
      <c r="O4810">
        <v>-0.97625879999999998</v>
      </c>
      <c r="P4810">
        <v>0.38967990000000002</v>
      </c>
      <c r="Q4810">
        <v>-3.5274519999999997E-2</v>
      </c>
      <c r="R4810">
        <v>-0.9202747</v>
      </c>
      <c r="S4810">
        <v>-0.1071777</v>
      </c>
      <c r="T4810">
        <v>-0.91028589999999998</v>
      </c>
      <c r="U4810">
        <v>-3.2748110000000001</v>
      </c>
      <c r="V4810">
        <v>-0.18146590000000001</v>
      </c>
      <c r="W4810">
        <v>-2.166299E-2</v>
      </c>
      <c r="X4810">
        <v>0.98315859999999999</v>
      </c>
      <c r="Y4810">
        <v>0.24631069999999999</v>
      </c>
      <c r="Z4810">
        <v>0.23988950000000001</v>
      </c>
      <c r="AA4810">
        <v>0.93903360000000002</v>
      </c>
      <c r="AB4810">
        <v>36</v>
      </c>
      <c r="AC4810">
        <v>-8.2700000000045196E-2</v>
      </c>
      <c r="AD4810">
        <v>-0.26403269999999901</v>
      </c>
      <c r="AE4810">
        <v>-0.72282000000000501</v>
      </c>
      <c r="AF4810">
        <v>0.209387959322129</v>
      </c>
      <c r="AG4810">
        <v>-0.26403269999999901</v>
      </c>
      <c r="AH4810">
        <v>0.60781032848809402</v>
      </c>
      <c r="AI4810">
        <v>112.328537710769</v>
      </c>
      <c r="AJ4810">
        <v>70.991397768796901</v>
      </c>
      <c r="AK4810">
        <v>0.69497480500747699</v>
      </c>
      <c r="AL4810">
        <v>91.241295004168506</v>
      </c>
      <c r="AM4810">
        <v>100.45763773749501</v>
      </c>
      <c r="AN4810">
        <v>0.99999999537625495</v>
      </c>
    </row>
    <row r="4811" spans="1:40" x14ac:dyDescent="0.25">
      <c r="A4811" t="str">
        <f>"20190305135332515"</f>
        <v>20190305135332515</v>
      </c>
      <c r="B4811" t="str">
        <f>"1551765212504627"</f>
        <v>1551765212504627</v>
      </c>
      <c r="C4811" t="s">
        <v>40</v>
      </c>
      <c r="D4811">
        <v>4.5348030000000001</v>
      </c>
      <c r="E4811">
        <v>0.67433019999999999</v>
      </c>
      <c r="F4811" t="s">
        <v>41</v>
      </c>
      <c r="G4811">
        <v>-422.54149999999998</v>
      </c>
      <c r="H4811">
        <v>0.90719329999999998</v>
      </c>
      <c r="I4811">
        <v>47.828490000000002</v>
      </c>
      <c r="J4811">
        <v>-422.46899999999999</v>
      </c>
      <c r="K4811">
        <v>1.111548</v>
      </c>
      <c r="L4811">
        <v>48.364199999999997</v>
      </c>
      <c r="M4811">
        <v>0.21749350000000001</v>
      </c>
      <c r="N4811">
        <v>-1.4792120000000001E-2</v>
      </c>
      <c r="O4811">
        <v>-0.97594979999999998</v>
      </c>
      <c r="P4811">
        <v>0.386826</v>
      </c>
      <c r="Q4811">
        <v>-3.5774090000000001E-2</v>
      </c>
      <c r="R4811">
        <v>-0.92145869999999996</v>
      </c>
      <c r="S4811">
        <v>-0.1227417</v>
      </c>
      <c r="T4811">
        <v>-0.91549420000000004</v>
      </c>
      <c r="U4811">
        <v>-3.276764</v>
      </c>
      <c r="V4811">
        <v>-0.17701459999999999</v>
      </c>
      <c r="W4811">
        <v>-2.2168940000000002E-2</v>
      </c>
      <c r="X4811">
        <v>0.98395849999999996</v>
      </c>
      <c r="Y4811">
        <v>0.25209009999999998</v>
      </c>
      <c r="Z4811">
        <v>0.24074899999999999</v>
      </c>
      <c r="AA4811">
        <v>0.93727830000000001</v>
      </c>
      <c r="AB4811">
        <v>36</v>
      </c>
      <c r="AC4811">
        <v>-7.2499999999990905E-2</v>
      </c>
      <c r="AD4811">
        <v>-0.204354699999999</v>
      </c>
      <c r="AE4811">
        <v>-0.53570999999999402</v>
      </c>
      <c r="AF4811">
        <v>0.163873068719567</v>
      </c>
      <c r="AG4811">
        <v>-0.204354699999999</v>
      </c>
      <c r="AH4811">
        <v>0.44370803159613997</v>
      </c>
      <c r="AI4811">
        <v>113.366150818195</v>
      </c>
      <c r="AJ4811">
        <v>69.7294832248148</v>
      </c>
      <c r="AK4811">
        <v>0.51525920017655102</v>
      </c>
      <c r="AL4811">
        <v>91.270290787949804</v>
      </c>
      <c r="AM4811">
        <v>100.198450135427</v>
      </c>
      <c r="AN4811">
        <v>0.99999998011806601</v>
      </c>
    </row>
    <row r="4812" spans="1:40" x14ac:dyDescent="0.25">
      <c r="A4812" t="str">
        <f>"20190305135332530"</f>
        <v>20190305135332530</v>
      </c>
      <c r="B4812" t="str">
        <f>"1551765212525123"</f>
        <v>1551765212525123</v>
      </c>
      <c r="C4812" t="s">
        <v>40</v>
      </c>
      <c r="D4812">
        <v>4.5359559999999997</v>
      </c>
      <c r="E4812">
        <v>0.67563009999999901</v>
      </c>
      <c r="F4812" t="s">
        <v>41</v>
      </c>
      <c r="G4812">
        <v>-422.50450000000001</v>
      </c>
      <c r="H4812">
        <v>0.87527569999999999</v>
      </c>
      <c r="I4812">
        <v>47.523209999999999</v>
      </c>
      <c r="J4812">
        <v>-422.41539999999998</v>
      </c>
      <c r="K4812">
        <v>1.111661</v>
      </c>
      <c r="L4812">
        <v>48.130679999999998</v>
      </c>
      <c r="M4812">
        <v>0.21924060000000001</v>
      </c>
      <c r="N4812">
        <v>-1.4792899999999999E-2</v>
      </c>
      <c r="O4812">
        <v>-0.9755587</v>
      </c>
      <c r="P4812">
        <v>0.37517600000000001</v>
      </c>
      <c r="Q4812">
        <v>-3.7073269999999998E-2</v>
      </c>
      <c r="R4812">
        <v>-0.92621200000000004</v>
      </c>
      <c r="S4812">
        <v>-0.1386414</v>
      </c>
      <c r="T4812">
        <v>-0.92090740000000004</v>
      </c>
      <c r="U4812">
        <v>-3.2781370000000001</v>
      </c>
      <c r="V4812">
        <v>-0.16283110000000001</v>
      </c>
      <c r="W4812">
        <v>-2.3405309999999999E-2</v>
      </c>
      <c r="X4812">
        <v>0.98637629999999998</v>
      </c>
      <c r="Y4812">
        <v>0.25830350000000002</v>
      </c>
      <c r="Z4812">
        <v>0.24163999999999999</v>
      </c>
      <c r="AA4812">
        <v>0.93535520000000005</v>
      </c>
      <c r="AB4812">
        <v>36</v>
      </c>
      <c r="AC4812">
        <v>-8.9100000000030294E-2</v>
      </c>
      <c r="AD4812">
        <v>-0.23638529999999999</v>
      </c>
      <c r="AE4812">
        <v>-0.60746999999999896</v>
      </c>
      <c r="AF4812">
        <v>0.191710475232064</v>
      </c>
      <c r="AG4812">
        <v>-0.23638529999999999</v>
      </c>
      <c r="AH4812">
        <v>0.499158798031127</v>
      </c>
      <c r="AI4812">
        <v>113.849414014294</v>
      </c>
      <c r="AJ4812">
        <v>68.989859825036007</v>
      </c>
      <c r="AK4812">
        <v>0.58462844783817502</v>
      </c>
      <c r="AL4812">
        <v>91.341147961755695</v>
      </c>
      <c r="AM4812">
        <v>99.373852895672997</v>
      </c>
      <c r="AN4812">
        <v>0.99999999043254795</v>
      </c>
    </row>
    <row r="4813" spans="1:40" x14ac:dyDescent="0.25">
      <c r="A4813" t="str">
        <f>"20190305135332553"</f>
        <v>20190305135332553</v>
      </c>
      <c r="B4813" t="str">
        <f>"1551765212544643"</f>
        <v>1551765212544643</v>
      </c>
      <c r="C4813" t="s">
        <v>40</v>
      </c>
      <c r="D4813">
        <v>4.5685710000000004</v>
      </c>
      <c r="E4813">
        <v>0.67461850000000001</v>
      </c>
      <c r="F4813" t="s">
        <v>42</v>
      </c>
      <c r="G4813">
        <v>-422.64080000000001</v>
      </c>
      <c r="H4813" s="1">
        <v>-2.6815609999999999E-6</v>
      </c>
      <c r="I4813">
        <v>44.201979999999999</v>
      </c>
      <c r="J4813">
        <v>-422.33240000000001</v>
      </c>
      <c r="K4813">
        <v>1.1118729999999999</v>
      </c>
      <c r="L4813">
        <v>47.774659999999997</v>
      </c>
      <c r="M4813">
        <v>0.2221659</v>
      </c>
      <c r="N4813">
        <v>-1.4795839999999999E-2</v>
      </c>
      <c r="O4813">
        <v>-0.97489669999999895</v>
      </c>
      <c r="P4813">
        <v>0.36876639999999999</v>
      </c>
      <c r="Q4813">
        <v>-3.8319029999999997E-2</v>
      </c>
      <c r="R4813">
        <v>-0.92873209999999995</v>
      </c>
      <c r="S4813">
        <v>-0.18807979999999999</v>
      </c>
      <c r="T4813">
        <v>-0.92755650000000001</v>
      </c>
      <c r="U4813">
        <v>-3.2780459999999998</v>
      </c>
      <c r="V4813">
        <v>-0.15304400000000001</v>
      </c>
      <c r="W4813">
        <v>-2.465028E-2</v>
      </c>
      <c r="X4813">
        <v>0.98791189999999995</v>
      </c>
      <c r="Y4813">
        <v>0.27514949999999999</v>
      </c>
      <c r="Z4813">
        <v>0.2423353</v>
      </c>
      <c r="AA4813">
        <v>0.93035820000000002</v>
      </c>
      <c r="AB4813">
        <v>36</v>
      </c>
      <c r="AC4813">
        <v>-0.308400000000006</v>
      </c>
      <c r="AD4813">
        <v>-1.11187568156099</v>
      </c>
      <c r="AE4813">
        <v>-3.5726799999999899</v>
      </c>
      <c r="AF4813">
        <v>0.99850968737538803</v>
      </c>
      <c r="AG4813">
        <v>-1.11187568156099</v>
      </c>
      <c r="AH4813">
        <v>3.1153449799339699</v>
      </c>
      <c r="AI4813">
        <v>108.77147261927701</v>
      </c>
      <c r="AJ4813">
        <v>72.228651141352401</v>
      </c>
      <c r="AK4813">
        <v>3.4552371077871098</v>
      </c>
      <c r="AL4813">
        <v>91.412500062935194</v>
      </c>
      <c r="AM4813">
        <v>98.806069250274604</v>
      </c>
      <c r="AN4813">
        <v>1.0000000122008399</v>
      </c>
    </row>
    <row r="4814" spans="1:40" x14ac:dyDescent="0.25">
      <c r="A4814" t="str">
        <f>"20190305135332575"</f>
        <v>20190305135332575</v>
      </c>
      <c r="B4814" t="str">
        <f>"1551765212565139"</f>
        <v>1551765212565139</v>
      </c>
      <c r="C4814" t="s">
        <v>40</v>
      </c>
      <c r="D4814">
        <v>4.563555</v>
      </c>
      <c r="E4814">
        <v>0.67284869999999997</v>
      </c>
      <c r="F4814" t="s">
        <v>42</v>
      </c>
      <c r="G4814">
        <v>-422.57679999999999</v>
      </c>
      <c r="H4814" s="1">
        <v>-2.513462E-6</v>
      </c>
      <c r="I4814">
        <v>43.849850000000004</v>
      </c>
      <c r="J4814">
        <v>-422.25380000000001</v>
      </c>
      <c r="K4814">
        <v>1.1120840000000001</v>
      </c>
      <c r="L4814">
        <v>47.442630000000001</v>
      </c>
      <c r="M4814">
        <v>0.2251446</v>
      </c>
      <c r="N4814">
        <v>-1.480013E-2</v>
      </c>
      <c r="O4814">
        <v>-0.974213</v>
      </c>
      <c r="P4814">
        <v>0.36423070000000002</v>
      </c>
      <c r="Q4814">
        <v>-3.8739830000000003E-2</v>
      </c>
      <c r="R4814">
        <v>-0.93050279999999996</v>
      </c>
      <c r="S4814">
        <v>-0.2037659</v>
      </c>
      <c r="T4814">
        <v>-0.92718279999999997</v>
      </c>
      <c r="U4814">
        <v>-3.2728579999999998</v>
      </c>
      <c r="V4814">
        <v>-0.14519199999999999</v>
      </c>
      <c r="W4814">
        <v>-2.507411E-2</v>
      </c>
      <c r="X4814">
        <v>0.98908569999999996</v>
      </c>
      <c r="Y4814">
        <v>0.28257789999999999</v>
      </c>
      <c r="Z4814">
        <v>0.2419946</v>
      </c>
      <c r="AA4814">
        <v>0.92821779999999998</v>
      </c>
      <c r="AB4814">
        <v>36</v>
      </c>
      <c r="AC4814">
        <v>-0.32299999999997903</v>
      </c>
      <c r="AD4814">
        <v>-1.1120865134619999</v>
      </c>
      <c r="AE4814">
        <v>-3.5927799999999901</v>
      </c>
      <c r="AF4814">
        <v>1.0261596106861099</v>
      </c>
      <c r="AG4814">
        <v>-1.1120865134619999</v>
      </c>
      <c r="AH4814">
        <v>3.1302759251605301</v>
      </c>
      <c r="AI4814">
        <v>108.654227645978</v>
      </c>
      <c r="AJ4814">
        <v>71.849944520753496</v>
      </c>
      <c r="AK4814">
        <v>3.4768329450330402</v>
      </c>
      <c r="AL4814">
        <v>91.436791295354595</v>
      </c>
      <c r="AM4814">
        <v>98.351042201824697</v>
      </c>
      <c r="AN4814">
        <v>0.99999997490039005</v>
      </c>
    </row>
    <row r="4815" spans="1:40" x14ac:dyDescent="0.25">
      <c r="A4815" t="str">
        <f>"20190305135332596"</f>
        <v>20190305135332596</v>
      </c>
      <c r="B4815" t="str">
        <f>"1551765212584659"</f>
        <v>1551765212584659</v>
      </c>
      <c r="C4815" t="s">
        <v>40</v>
      </c>
      <c r="D4815">
        <v>4.581302</v>
      </c>
      <c r="E4815">
        <v>0.6719984</v>
      </c>
      <c r="F4815" t="s">
        <v>42</v>
      </c>
      <c r="G4815">
        <v>-422.5027</v>
      </c>
      <c r="H4815" s="1">
        <v>-2.3459919999999998E-6</v>
      </c>
      <c r="I4815">
        <v>43.505429999999997</v>
      </c>
      <c r="J4815">
        <v>-422.17439999999999</v>
      </c>
      <c r="K4815">
        <v>1.1122920000000001</v>
      </c>
      <c r="L4815">
        <v>47.113129999999998</v>
      </c>
      <c r="M4815">
        <v>0.22832530000000001</v>
      </c>
      <c r="N4815">
        <v>-1.480476E-2</v>
      </c>
      <c r="O4815">
        <v>-0.97347249999999996</v>
      </c>
      <c r="P4815">
        <v>0.36059069999999999</v>
      </c>
      <c r="Q4815">
        <v>-3.8383E-2</v>
      </c>
      <c r="R4815">
        <v>-0.93193419999999905</v>
      </c>
      <c r="S4815">
        <v>-0.20651249999999999</v>
      </c>
      <c r="T4815">
        <v>-0.9226375</v>
      </c>
      <c r="U4815">
        <v>-3.2664789999999999</v>
      </c>
      <c r="V4815">
        <v>-0.13808299999999901</v>
      </c>
      <c r="W4815">
        <v>-2.4716680000000001E-2</v>
      </c>
      <c r="X4815">
        <v>0.9901122</v>
      </c>
      <c r="Y4815">
        <v>0.28659859999999998</v>
      </c>
      <c r="Z4815">
        <v>0.24081140000000001</v>
      </c>
      <c r="AA4815">
        <v>0.92729229999999996</v>
      </c>
      <c r="AB4815">
        <v>36</v>
      </c>
      <c r="AC4815">
        <v>-0.32830000000001203</v>
      </c>
      <c r="AD4815">
        <v>-1.1122943459920001</v>
      </c>
      <c r="AE4815">
        <v>-3.6076999999999999</v>
      </c>
      <c r="AF4815">
        <v>1.0449340587254901</v>
      </c>
      <c r="AG4815">
        <v>-1.1122943459920001</v>
      </c>
      <c r="AH4815">
        <v>3.1412701082504002</v>
      </c>
      <c r="AI4815">
        <v>108.571781864871</v>
      </c>
      <c r="AJ4815">
        <v>71.600450375805593</v>
      </c>
      <c r="AK4815">
        <v>3.4923722299030202</v>
      </c>
      <c r="AL4815">
        <v>91.416305681031105</v>
      </c>
      <c r="AM4815">
        <v>97.939374023881697</v>
      </c>
      <c r="AN4815">
        <v>0.99999999887403102</v>
      </c>
    </row>
    <row r="4816" spans="1:40" x14ac:dyDescent="0.25">
      <c r="A4816" t="str">
        <f>"20190305135332620"</f>
        <v>20190305135332620</v>
      </c>
      <c r="B4816" t="str">
        <f>"1551765212614765"</f>
        <v>1551765212614765</v>
      </c>
      <c r="C4816" t="s">
        <v>40</v>
      </c>
      <c r="D4816">
        <v>4.578411</v>
      </c>
      <c r="E4816">
        <v>0.65540240000000005</v>
      </c>
      <c r="F4816" t="s">
        <v>41</v>
      </c>
      <c r="G4816">
        <v>-422.22919999999999</v>
      </c>
      <c r="H4816">
        <v>0.87686109999999995</v>
      </c>
      <c r="I4816">
        <v>46.277529999999999</v>
      </c>
      <c r="J4816">
        <v>-422.08659999999998</v>
      </c>
      <c r="K4816">
        <v>1.1124989999999999</v>
      </c>
      <c r="L4816">
        <v>46.754240000000003</v>
      </c>
      <c r="M4816">
        <v>0.2320219</v>
      </c>
      <c r="N4816">
        <v>-1.4809309999999999E-2</v>
      </c>
      <c r="O4816">
        <v>-0.97259790000000002</v>
      </c>
      <c r="P4816">
        <v>0.360068099999999</v>
      </c>
      <c r="Q4816">
        <v>-3.6712300000000003E-2</v>
      </c>
      <c r="R4816">
        <v>-0.93220360000000002</v>
      </c>
      <c r="S4816">
        <v>-0.21334839999999999</v>
      </c>
      <c r="T4816">
        <v>-0.91971800000000004</v>
      </c>
      <c r="U4816">
        <v>-3.2637939999999999</v>
      </c>
      <c r="V4816">
        <v>-0.13375190000000001</v>
      </c>
      <c r="W4816">
        <v>-2.3066369999999999E-2</v>
      </c>
      <c r="X4816">
        <v>0.99074640000000003</v>
      </c>
      <c r="Y4816">
        <v>0.29220819999999997</v>
      </c>
      <c r="Z4816">
        <v>0.23964389999999999</v>
      </c>
      <c r="AA4816">
        <v>0.92584290000000002</v>
      </c>
      <c r="AB4816">
        <v>36</v>
      </c>
      <c r="AC4816">
        <v>-0.14260000000001499</v>
      </c>
      <c r="AD4816">
        <v>-0.23563790000000001</v>
      </c>
      <c r="AE4816">
        <v>-0.47671000000000402</v>
      </c>
      <c r="AF4816">
        <v>0.203654337680678</v>
      </c>
      <c r="AG4816">
        <v>-0.23563790000000001</v>
      </c>
      <c r="AH4816">
        <v>0.35172768758068901</v>
      </c>
      <c r="AI4816">
        <v>120.10392128770999</v>
      </c>
      <c r="AJ4816">
        <v>59.9286698868953</v>
      </c>
      <c r="AK4816">
        <v>0.46980067622708299</v>
      </c>
      <c r="AL4816">
        <v>91.321722834903497</v>
      </c>
      <c r="AM4816">
        <v>97.688512289944498</v>
      </c>
      <c r="AN4816">
        <v>1.00000002864577</v>
      </c>
    </row>
    <row r="4817" spans="1:40" x14ac:dyDescent="0.25">
      <c r="A4817" t="str">
        <f>"20190305135332643"</f>
        <v>20190305135332643</v>
      </c>
      <c r="B4817" t="str">
        <f>"1551765212635259"</f>
        <v>1551765212635259</v>
      </c>
      <c r="C4817" t="s">
        <v>40</v>
      </c>
      <c r="D4817">
        <v>4.8785860000000003</v>
      </c>
      <c r="E4817">
        <v>0.65441569999999905</v>
      </c>
      <c r="F4817" t="s">
        <v>41</v>
      </c>
      <c r="G4817">
        <v>-422.10890000000001</v>
      </c>
      <c r="H4817">
        <v>0.90195879999999995</v>
      </c>
      <c r="I4817">
        <v>45.976059999999997</v>
      </c>
      <c r="J4817">
        <v>-421.99990000000003</v>
      </c>
      <c r="K4817">
        <v>1.1126780000000001</v>
      </c>
      <c r="L4817">
        <v>46.406799999999997</v>
      </c>
      <c r="M4817">
        <v>0.23580010000000001</v>
      </c>
      <c r="N4817">
        <v>-1.4813170000000001E-2</v>
      </c>
      <c r="O4817">
        <v>-0.97168880000000002</v>
      </c>
      <c r="P4817">
        <v>0.3621936</v>
      </c>
      <c r="Q4817">
        <v>-3.5313009999999999E-2</v>
      </c>
      <c r="R4817">
        <v>-0.93143359999999997</v>
      </c>
      <c r="S4817">
        <v>-9.0759279999999998E-2</v>
      </c>
      <c r="T4817">
        <v>-0.87159660000000005</v>
      </c>
      <c r="U4817">
        <v>-3.2189030000000001</v>
      </c>
      <c r="V4817">
        <v>-0.13215099999999999</v>
      </c>
      <c r="W4817">
        <v>-2.170333E-2</v>
      </c>
      <c r="X4817">
        <v>0.99099199999999998</v>
      </c>
      <c r="Y4817">
        <v>0.26163239999999999</v>
      </c>
      <c r="Z4817">
        <v>0.2314378</v>
      </c>
      <c r="AA4817">
        <v>0.93700859999999997</v>
      </c>
      <c r="AB4817">
        <v>35</v>
      </c>
      <c r="AC4817">
        <v>-0.10899999999998</v>
      </c>
      <c r="AD4817">
        <v>-0.2107192</v>
      </c>
      <c r="AE4817">
        <v>-0.43074000000000001</v>
      </c>
      <c r="AF4817">
        <v>0.16940365600511301</v>
      </c>
      <c r="AG4817">
        <v>-0.2107192</v>
      </c>
      <c r="AH4817">
        <v>0.32074515994181302</v>
      </c>
      <c r="AI4817">
        <v>120.153217950517</v>
      </c>
      <c r="AJ4817">
        <v>62.158932460430002</v>
      </c>
      <c r="AK4817">
        <v>0.41949688621328102</v>
      </c>
      <c r="AL4817">
        <v>91.243606813037005</v>
      </c>
      <c r="AM4817">
        <v>97.595707544701</v>
      </c>
      <c r="AN4817">
        <v>1.0000000326990399</v>
      </c>
    </row>
    <row r="4818" spans="1:40" x14ac:dyDescent="0.25">
      <c r="A4818" t="str">
        <f>"20190305135332664"</f>
        <v>20190305135332664</v>
      </c>
      <c r="B4818" t="str">
        <f>"1551765212654779"</f>
        <v>1551765212654779</v>
      </c>
      <c r="C4818" t="s">
        <v>40</v>
      </c>
      <c r="D4818">
        <v>4.4997059999999998</v>
      </c>
      <c r="E4818">
        <v>0.59116059999999904</v>
      </c>
      <c r="F4818" t="s">
        <v>41</v>
      </c>
      <c r="G4818">
        <v>-422.01780000000002</v>
      </c>
      <c r="H4818">
        <v>0.91431859999999998</v>
      </c>
      <c r="I4818">
        <v>45.668030000000002</v>
      </c>
      <c r="J4818">
        <v>-421.91649999999998</v>
      </c>
      <c r="K4818">
        <v>1.1128309999999999</v>
      </c>
      <c r="L4818">
        <v>46.078339999999997</v>
      </c>
      <c r="M4818">
        <v>0.23952010000000001</v>
      </c>
      <c r="N4818">
        <v>-1.481614E-2</v>
      </c>
      <c r="O4818">
        <v>-0.97077829999999998</v>
      </c>
      <c r="P4818">
        <v>0.36682500000000001</v>
      </c>
      <c r="Q4818">
        <v>-3.3767390000000001E-2</v>
      </c>
      <c r="R4818">
        <v>-0.92967679999999997</v>
      </c>
      <c r="S4818">
        <v>-7.6202389999999995E-2</v>
      </c>
      <c r="T4818">
        <v>-0.86465059999999905</v>
      </c>
      <c r="U4818">
        <v>-3.2176819999999999</v>
      </c>
      <c r="V4818">
        <v>-0.133278799999999</v>
      </c>
      <c r="W4818">
        <v>-2.02122E-2</v>
      </c>
      <c r="X4818">
        <v>0.99087239999999999</v>
      </c>
      <c r="Y4818">
        <v>0.26111869999999998</v>
      </c>
      <c r="Z4818">
        <v>0.229377</v>
      </c>
      <c r="AA4818">
        <v>0.9376584</v>
      </c>
      <c r="AB4818">
        <v>35</v>
      </c>
      <c r="AC4818">
        <v>-0.101300000000037</v>
      </c>
      <c r="AD4818">
        <v>-0.19851239999999901</v>
      </c>
      <c r="AE4818">
        <v>-0.41031000000000201</v>
      </c>
      <c r="AF4818">
        <v>0.16109690410508401</v>
      </c>
      <c r="AG4818">
        <v>-0.19851239999999901</v>
      </c>
      <c r="AH4818">
        <v>0.30648045294054699</v>
      </c>
      <c r="AI4818">
        <v>119.82723195285401</v>
      </c>
      <c r="AJ4818">
        <v>62.272005579219702</v>
      </c>
      <c r="AK4818">
        <v>0.39911107915046101</v>
      </c>
      <c r="AL4818">
        <v>91.158152687881696</v>
      </c>
      <c r="AM4818">
        <v>97.660677807377994</v>
      </c>
      <c r="AN4818">
        <v>0.99999994232001799</v>
      </c>
    </row>
    <row r="4819" spans="1:40" x14ac:dyDescent="0.25">
      <c r="A4819" t="str">
        <f>"20190305135332687"</f>
        <v>20190305135332687</v>
      </c>
      <c r="B4819" t="str">
        <f>"1551765212675276"</f>
        <v>1551765212675276</v>
      </c>
      <c r="C4819" t="s">
        <v>40</v>
      </c>
      <c r="D4819">
        <v>4.4114529999999998</v>
      </c>
      <c r="E4819">
        <v>0.50269730000000001</v>
      </c>
      <c r="F4819" t="s">
        <v>41</v>
      </c>
      <c r="G4819">
        <v>-421.8202</v>
      </c>
      <c r="H4819">
        <v>0.96883339999999996</v>
      </c>
      <c r="I4819">
        <v>45.370829999999998</v>
      </c>
      <c r="J4819">
        <v>-421.82749999999999</v>
      </c>
      <c r="K4819">
        <v>1.112959</v>
      </c>
      <c r="L4819">
        <v>45.734340000000003</v>
      </c>
      <c r="M4819">
        <v>0.24353610000000001</v>
      </c>
      <c r="N4819">
        <v>-1.4818349999999999E-2</v>
      </c>
      <c r="O4819">
        <v>-0.9697789</v>
      </c>
      <c r="P4819">
        <v>0.373753</v>
      </c>
      <c r="Q4819">
        <v>-3.3094999999999999E-2</v>
      </c>
      <c r="R4819">
        <v>-0.92693820000000005</v>
      </c>
      <c r="S4819">
        <v>0.41473389999999999</v>
      </c>
      <c r="T4819">
        <v>-0.61925859999999899</v>
      </c>
      <c r="U4819">
        <v>-3.0407709999999999</v>
      </c>
      <c r="V4819">
        <v>-0.13656389999999999</v>
      </c>
      <c r="W4819">
        <v>-1.9614320000000001E-2</v>
      </c>
      <c r="X4819">
        <v>0.99043709999999996</v>
      </c>
      <c r="Y4819">
        <v>0.1122148</v>
      </c>
      <c r="Z4819">
        <v>0.17490120000000001</v>
      </c>
      <c r="AA4819">
        <v>0.97817050000000005</v>
      </c>
      <c r="AB4819">
        <v>35</v>
      </c>
      <c r="AC4819">
        <v>7.2999999999865299E-3</v>
      </c>
      <c r="AD4819">
        <v>-0.14412559999999899</v>
      </c>
      <c r="AE4819">
        <v>-0.363510000000005</v>
      </c>
      <c r="AF4819">
        <v>7.0395680686349105E-2</v>
      </c>
      <c r="AG4819">
        <v>-0.14412559999999899</v>
      </c>
      <c r="AH4819">
        <v>0.306222513391957</v>
      </c>
      <c r="AI4819">
        <v>114.640558933108</v>
      </c>
      <c r="AJ4819">
        <v>77.053543692436094</v>
      </c>
      <c r="AK4819">
        <v>0.34568767427078101</v>
      </c>
      <c r="AL4819">
        <v>91.123889786983995</v>
      </c>
      <c r="AM4819">
        <v>97.850581914223397</v>
      </c>
      <c r="AN4819">
        <v>1.0000000346943401</v>
      </c>
    </row>
    <row r="4820" spans="1:40" x14ac:dyDescent="0.25">
      <c r="A4820" t="str">
        <f>"20190305135332709"</f>
        <v>20190305135332709</v>
      </c>
      <c r="B4820" t="str">
        <f>"1551765212704557"</f>
        <v>1551765212704557</v>
      </c>
      <c r="C4820" t="s">
        <v>40</v>
      </c>
      <c r="D4820">
        <v>4.4018420000000003</v>
      </c>
      <c r="E4820">
        <v>0.48811179999999899</v>
      </c>
      <c r="F4820" t="s">
        <v>81</v>
      </c>
      <c r="G4820">
        <v>-417.9615</v>
      </c>
      <c r="H4820" s="1">
        <v>-2.8699599999999998E-6</v>
      </c>
      <c r="I4820">
        <v>35.9343</v>
      </c>
      <c r="J4820">
        <v>-421.7405</v>
      </c>
      <c r="K4820">
        <v>1.113057</v>
      </c>
      <c r="L4820">
        <v>45.40381</v>
      </c>
      <c r="M4820">
        <v>0.24747810000000001</v>
      </c>
      <c r="N4820">
        <v>-1.48197E-2</v>
      </c>
      <c r="O4820">
        <v>-0.96878019999999998</v>
      </c>
      <c r="P4820">
        <v>0.38208490000000001</v>
      </c>
      <c r="Q4820">
        <v>-3.319569E-2</v>
      </c>
      <c r="R4820">
        <v>-0.92353070000000004</v>
      </c>
      <c r="S4820">
        <v>1.0976870000000001</v>
      </c>
      <c r="T4820">
        <v>-0.31600729999999999</v>
      </c>
      <c r="U4820">
        <v>-2.782562</v>
      </c>
      <c r="V4820">
        <v>-0.1414465</v>
      </c>
      <c r="W4820">
        <v>-1.980142E-2</v>
      </c>
      <c r="X4820">
        <v>0.98974779999999996</v>
      </c>
      <c r="Y4820">
        <v>-0.1236912</v>
      </c>
      <c r="Z4820">
        <v>8.9360449999999994E-2</v>
      </c>
      <c r="AA4820">
        <v>0.98828899999999997</v>
      </c>
      <c r="AB4820">
        <v>35</v>
      </c>
      <c r="AC4820">
        <v>3.7789999999999901</v>
      </c>
      <c r="AD4820">
        <v>-1.1130598699600001</v>
      </c>
      <c r="AE4820">
        <v>-9.4695099999999996</v>
      </c>
      <c r="AF4820">
        <v>-1.30214968398445</v>
      </c>
      <c r="AG4820">
        <v>-1.1130598699600001</v>
      </c>
      <c r="AH4820">
        <v>9.9911292827669698</v>
      </c>
      <c r="AI4820">
        <v>96.303934325395105</v>
      </c>
      <c r="AJ4820">
        <v>97.425537453851007</v>
      </c>
      <c r="AK4820">
        <v>10.136920657605</v>
      </c>
      <c r="AL4820">
        <v>91.134611996329298</v>
      </c>
      <c r="AM4820">
        <v>98.133163399710199</v>
      </c>
      <c r="AN4820">
        <v>0.99999995810055198</v>
      </c>
    </row>
    <row r="4821" spans="1:40" x14ac:dyDescent="0.25">
      <c r="A4821" t="str">
        <f>"20190305135332731"</f>
        <v>20190305135332731</v>
      </c>
      <c r="B4821" t="str">
        <f>"1551765212725054"</f>
        <v>1551765212725054</v>
      </c>
      <c r="C4821" t="s">
        <v>40</v>
      </c>
      <c r="D4821">
        <v>4.4927140000000003</v>
      </c>
      <c r="E4821">
        <v>0.48660520000000002</v>
      </c>
      <c r="F4821" t="s">
        <v>81</v>
      </c>
      <c r="G4821">
        <v>-416.24400000000003</v>
      </c>
      <c r="H4821" s="1">
        <v>-4.7107380000000003E-6</v>
      </c>
      <c r="I4821">
        <v>33.221440000000001</v>
      </c>
      <c r="J4821">
        <v>-421.64729999999997</v>
      </c>
      <c r="K4821">
        <v>1.113132</v>
      </c>
      <c r="L4821">
        <v>45.05603</v>
      </c>
      <c r="M4821">
        <v>0.25168299999999999</v>
      </c>
      <c r="N4821">
        <v>-1.4820150000000001E-2</v>
      </c>
      <c r="O4821">
        <v>-0.96769620000000001</v>
      </c>
      <c r="P4821">
        <v>0.39132099999999997</v>
      </c>
      <c r="Q4821">
        <v>-3.368285E-2</v>
      </c>
      <c r="R4821">
        <v>-0.9196377</v>
      </c>
      <c r="S4821">
        <v>1.2316590000000001</v>
      </c>
      <c r="T4821">
        <v>-0.2494179</v>
      </c>
      <c r="U4821">
        <v>-2.7298580000000001</v>
      </c>
      <c r="V4821">
        <v>-0.14705770000000001</v>
      </c>
      <c r="W4821">
        <v>-2.0381E-2</v>
      </c>
      <c r="X4821">
        <v>0.98891790000000002</v>
      </c>
      <c r="Y4821">
        <v>-0.16747960000000001</v>
      </c>
      <c r="Z4821">
        <v>6.8106410000000006E-2</v>
      </c>
      <c r="AA4821">
        <v>0.98352030000000001</v>
      </c>
      <c r="AB4821">
        <v>35</v>
      </c>
      <c r="AC4821">
        <v>5.4032999999999403</v>
      </c>
      <c r="AD4821">
        <v>-1.1131367107379999</v>
      </c>
      <c r="AE4821">
        <v>-11.83459</v>
      </c>
      <c r="AF4821">
        <v>-2.23407970934888</v>
      </c>
      <c r="AG4821">
        <v>-1.1131367107379999</v>
      </c>
      <c r="AH4821">
        <v>12.7204898665166</v>
      </c>
      <c r="AI4821">
        <v>94.926047758163506</v>
      </c>
      <c r="AJ4821">
        <v>99.961178430214801</v>
      </c>
      <c r="AK4821">
        <v>12.9630647583304</v>
      </c>
      <c r="AL4821">
        <v>91.167826161686904</v>
      </c>
      <c r="AM4821">
        <v>98.458224165944102</v>
      </c>
      <c r="AN4821">
        <v>0.99999998261534895</v>
      </c>
    </row>
    <row r="4822" spans="1:40" x14ac:dyDescent="0.25">
      <c r="A4822" t="str">
        <f>"20190305135332754"</f>
        <v>20190305135332754</v>
      </c>
      <c r="B4822" t="str">
        <f>"1551765212744575"</f>
        <v>1551765212744575</v>
      </c>
      <c r="C4822" t="s">
        <v>40</v>
      </c>
      <c r="D4822">
        <v>4.6972909999999999</v>
      </c>
      <c r="E4822">
        <v>0.48658990000000002</v>
      </c>
      <c r="F4822" t="s">
        <v>81</v>
      </c>
      <c r="G4822">
        <v>-415.803</v>
      </c>
      <c r="H4822" s="1">
        <v>-5.1371320000000004E-6</v>
      </c>
      <c r="I4822">
        <v>32.576529999999998</v>
      </c>
      <c r="J4822">
        <v>-421.55439999999999</v>
      </c>
      <c r="K4822">
        <v>1.113192</v>
      </c>
      <c r="L4822">
        <v>44.714970000000001</v>
      </c>
      <c r="M4822">
        <v>0.25584089999999998</v>
      </c>
      <c r="N4822">
        <v>-1.481973E-2</v>
      </c>
      <c r="O4822">
        <v>-0.96660539999999995</v>
      </c>
      <c r="P4822">
        <v>0.40045409999999998</v>
      </c>
      <c r="Q4822">
        <v>-3.4355799999999999E-2</v>
      </c>
      <c r="R4822">
        <v>-0.91567279999999995</v>
      </c>
      <c r="S4822">
        <v>1.270386</v>
      </c>
      <c r="T4822">
        <v>-0.24196609999999999</v>
      </c>
      <c r="U4822">
        <v>-2.7127080000000001</v>
      </c>
      <c r="V4822">
        <v>-0.15264029999999901</v>
      </c>
      <c r="W4822">
        <v>-2.114197E-2</v>
      </c>
      <c r="X4822">
        <v>0.98805560000000003</v>
      </c>
      <c r="Y4822">
        <v>-0.17720610000000001</v>
      </c>
      <c r="Z4822">
        <v>6.5734799999999996E-2</v>
      </c>
      <c r="AA4822">
        <v>0.98197599999999996</v>
      </c>
      <c r="AB4822">
        <v>35</v>
      </c>
      <c r="AC4822">
        <v>5.7513999999999301</v>
      </c>
      <c r="AD4822">
        <v>-1.113197137132</v>
      </c>
      <c r="AE4822">
        <v>-12.138439999999999</v>
      </c>
      <c r="AF4822">
        <v>-2.4373533170993502</v>
      </c>
      <c r="AG4822">
        <v>-1.113197137132</v>
      </c>
      <c r="AH4822">
        <v>13.115888194393101</v>
      </c>
      <c r="AI4822">
        <v>94.770014783066102</v>
      </c>
      <c r="AJ4822">
        <v>100.52731052658601</v>
      </c>
      <c r="AK4822">
        <v>13.386800296796601</v>
      </c>
      <c r="AL4822">
        <v>91.211435964390304</v>
      </c>
      <c r="AM4822">
        <v>98.781945750430694</v>
      </c>
      <c r="AN4822">
        <v>0.99999995638546402</v>
      </c>
    </row>
    <row r="4823" spans="1:40" x14ac:dyDescent="0.25">
      <c r="A4823" t="str">
        <f>"20190305135332776"</f>
        <v>20190305135332776</v>
      </c>
      <c r="B4823" t="str">
        <f>"1551765212765069"</f>
        <v>1551765212765069</v>
      </c>
      <c r="C4823" t="s">
        <v>40</v>
      </c>
      <c r="D4823">
        <v>4.3209339999999896</v>
      </c>
      <c r="E4823">
        <v>0.48610490000000001</v>
      </c>
      <c r="F4823" t="s">
        <v>81</v>
      </c>
      <c r="G4823">
        <v>-415.61450000000002</v>
      </c>
      <c r="H4823" s="1">
        <v>-5.2889119999999998E-6</v>
      </c>
      <c r="I4823">
        <v>32.360680000000002</v>
      </c>
      <c r="J4823">
        <v>-421.46300000000002</v>
      </c>
      <c r="K4823">
        <v>1.113245</v>
      </c>
      <c r="L4823">
        <v>44.385249999999999</v>
      </c>
      <c r="M4823">
        <v>0.25987959999999999</v>
      </c>
      <c r="N4823">
        <v>-1.4818710000000001E-2</v>
      </c>
      <c r="O4823">
        <v>-0.96552760000000004</v>
      </c>
      <c r="P4823">
        <v>0.40859390000000001</v>
      </c>
      <c r="Q4823">
        <v>-3.4387330000000001E-2</v>
      </c>
      <c r="R4823">
        <v>-0.91206869999999995</v>
      </c>
      <c r="S4823">
        <v>1.2979130000000001</v>
      </c>
      <c r="T4823">
        <v>-0.24324390000000001</v>
      </c>
      <c r="U4823">
        <v>-2.6995239999999998</v>
      </c>
      <c r="V4823">
        <v>-0.15730450000000001</v>
      </c>
      <c r="W4823">
        <v>-2.124639E-2</v>
      </c>
      <c r="X4823">
        <v>0.98732160000000002</v>
      </c>
      <c r="Y4823">
        <v>-0.1830763</v>
      </c>
      <c r="Z4823">
        <v>6.6195760000000006E-2</v>
      </c>
      <c r="AA4823">
        <v>0.98086759999999995</v>
      </c>
      <c r="AB4823">
        <v>35</v>
      </c>
      <c r="AC4823">
        <v>5.8484999999999996</v>
      </c>
      <c r="AD4823">
        <v>-1.113250288912</v>
      </c>
      <c r="AE4823">
        <v>-12.024569999999899</v>
      </c>
      <c r="AF4823">
        <v>-2.5048614394094901</v>
      </c>
      <c r="AG4823">
        <v>-1.113250288912</v>
      </c>
      <c r="AH4823">
        <v>13.041004097633</v>
      </c>
      <c r="AI4823">
        <v>94.792069463676199</v>
      </c>
      <c r="AJ4823">
        <v>100.872714504996</v>
      </c>
      <c r="AK4823">
        <v>13.325968816971001</v>
      </c>
      <c r="AL4823">
        <v>91.217420046541605</v>
      </c>
      <c r="AM4823">
        <v>99.052534576388197</v>
      </c>
      <c r="AN4823">
        <v>1.00000002831742</v>
      </c>
    </row>
    <row r="4824" spans="1:40" x14ac:dyDescent="0.25">
      <c r="A4824" t="str">
        <f>"20190305135332799"</f>
        <v>20190305135332799</v>
      </c>
      <c r="B4824" t="str">
        <f>"1551765212795324"</f>
        <v>1551765212795324</v>
      </c>
      <c r="C4824" t="s">
        <v>40</v>
      </c>
      <c r="D4824">
        <v>4.3425390000000004</v>
      </c>
      <c r="E4824">
        <v>0.48580319999999999</v>
      </c>
      <c r="F4824" t="s">
        <v>81</v>
      </c>
      <c r="G4824">
        <v>-415.37720000000002</v>
      </c>
      <c r="H4824" s="1">
        <v>-5.4980560000000004E-6</v>
      </c>
      <c r="I4824">
        <v>32.053489999999996</v>
      </c>
      <c r="J4824">
        <v>-421.36849999999998</v>
      </c>
      <c r="K4824">
        <v>1.113286</v>
      </c>
      <c r="L4824">
        <v>44.050049999999999</v>
      </c>
      <c r="M4824">
        <v>0.26399699999999998</v>
      </c>
      <c r="N4824">
        <v>-1.4817220000000001E-2</v>
      </c>
      <c r="O4824">
        <v>-0.96440959999999998</v>
      </c>
      <c r="P4824">
        <v>0.41577449999999999</v>
      </c>
      <c r="Q4824">
        <v>-3.4150819999999998E-2</v>
      </c>
      <c r="R4824">
        <v>-0.90882620000000003</v>
      </c>
      <c r="S4824">
        <v>1.325653</v>
      </c>
      <c r="T4824">
        <v>-0.2424983</v>
      </c>
      <c r="U4824">
        <v>-2.6862180000000002</v>
      </c>
      <c r="V4824">
        <v>-0.16087360000000001</v>
      </c>
      <c r="W4824">
        <v>-2.106715E-2</v>
      </c>
      <c r="X4824">
        <v>0.98675020000000002</v>
      </c>
      <c r="Y4824">
        <v>-0.1889557</v>
      </c>
      <c r="Z4824">
        <v>6.5987009999999999E-2</v>
      </c>
      <c r="AA4824">
        <v>0.97976600000000003</v>
      </c>
      <c r="AB4824">
        <v>35</v>
      </c>
      <c r="AC4824">
        <v>5.9912999999999599</v>
      </c>
      <c r="AD4824">
        <v>-1.113291498056</v>
      </c>
      <c r="AE4824">
        <v>-11.996559999999899</v>
      </c>
      <c r="AF4824">
        <v>-2.5934222922032002</v>
      </c>
      <c r="AG4824">
        <v>-1.113291498056</v>
      </c>
      <c r="AH4824">
        <v>13.0626891607592</v>
      </c>
      <c r="AI4824">
        <v>94.778542778241004</v>
      </c>
      <c r="AJ4824">
        <v>101.229289744525</v>
      </c>
      <c r="AK4824">
        <v>13.364097622209901</v>
      </c>
      <c r="AL4824">
        <v>91.207148027644095</v>
      </c>
      <c r="AM4824">
        <v>99.259679400218602</v>
      </c>
      <c r="AN4824">
        <v>1.00000004859306</v>
      </c>
    </row>
    <row r="4825" spans="1:40" x14ac:dyDescent="0.25">
      <c r="A4825" t="str">
        <f>"20190305135332820"</f>
        <v>20190305135332820</v>
      </c>
      <c r="B4825" t="str">
        <f>"1551765212814844"</f>
        <v>1551765212814844</v>
      </c>
      <c r="C4825" t="s">
        <v>40</v>
      </c>
      <c r="D4825">
        <v>4.3810229999999999</v>
      </c>
      <c r="E4825">
        <v>0.48614669999999999</v>
      </c>
      <c r="F4825" t="s">
        <v>81</v>
      </c>
      <c r="G4825">
        <v>-415.18020000000001</v>
      </c>
      <c r="H4825" s="1">
        <v>-5.6514189999999899E-6</v>
      </c>
      <c r="I4825">
        <v>31.780439999999999</v>
      </c>
      <c r="J4825">
        <v>-421.2722</v>
      </c>
      <c r="K4825">
        <v>1.1133249999999999</v>
      </c>
      <c r="L4825">
        <v>43.714109999999998</v>
      </c>
      <c r="M4825">
        <v>0.26813439999999999</v>
      </c>
      <c r="N4825">
        <v>-1.481561E-2</v>
      </c>
      <c r="O4825">
        <v>-0.9632676</v>
      </c>
      <c r="P4825">
        <v>0.42269990000000002</v>
      </c>
      <c r="Q4825">
        <v>-3.3674339999999997E-2</v>
      </c>
      <c r="R4825">
        <v>-0.90564409999999895</v>
      </c>
      <c r="S4825">
        <v>1.3489990000000001</v>
      </c>
      <c r="T4825">
        <v>-0.24268909999999999</v>
      </c>
      <c r="U4825">
        <v>-2.6746829999999999</v>
      </c>
      <c r="V4825">
        <v>-0.16416629999999999</v>
      </c>
      <c r="W4825">
        <v>-2.0642779999999999E-2</v>
      </c>
      <c r="X4825">
        <v>0.98621669999999995</v>
      </c>
      <c r="Y4825">
        <v>-0.19325030000000001</v>
      </c>
      <c r="Z4825">
        <v>6.6067669999999995E-2</v>
      </c>
      <c r="AA4825">
        <v>0.97892250000000003</v>
      </c>
      <c r="AB4825">
        <v>35</v>
      </c>
      <c r="AC4825">
        <v>6.0919999999999801</v>
      </c>
      <c r="AD4825">
        <v>-1.113330651419</v>
      </c>
      <c r="AE4825">
        <v>-11.9336699999999</v>
      </c>
      <c r="AF4825">
        <v>-2.6503923771414502</v>
      </c>
      <c r="AG4825">
        <v>-1.113330651419</v>
      </c>
      <c r="AH4825">
        <v>13.040199127535701</v>
      </c>
      <c r="AI4825">
        <v>94.782580880422898</v>
      </c>
      <c r="AJ4825">
        <v>101.488750818968</v>
      </c>
      <c r="AK4825">
        <v>13.353309633869101</v>
      </c>
      <c r="AL4825">
        <v>91.182828140873099</v>
      </c>
      <c r="AM4825">
        <v>99.450838493577194</v>
      </c>
      <c r="AN4825">
        <v>1.0000000388903501</v>
      </c>
    </row>
    <row r="4826" spans="1:40" x14ac:dyDescent="0.25">
      <c r="A4826" t="str">
        <f>"20190305135332843"</f>
        <v>20190305135332843</v>
      </c>
      <c r="B4826" t="str">
        <f>"1551765212835344"</f>
        <v>1551765212835344</v>
      </c>
      <c r="C4826" t="s">
        <v>40</v>
      </c>
      <c r="D4826">
        <v>4.3515249999999996</v>
      </c>
      <c r="E4826">
        <v>0.48652060000000003</v>
      </c>
      <c r="F4826" t="s">
        <v>81</v>
      </c>
      <c r="G4826">
        <v>-414.97059999999999</v>
      </c>
      <c r="H4826" s="1">
        <v>-5.8186459999999997E-6</v>
      </c>
      <c r="I4826">
        <v>31.425080000000001</v>
      </c>
      <c r="J4826">
        <v>-421.17520000000002</v>
      </c>
      <c r="K4826">
        <v>1.113356</v>
      </c>
      <c r="L4826">
        <v>43.380830000000003</v>
      </c>
      <c r="M4826">
        <v>0.27226</v>
      </c>
      <c r="N4826">
        <v>-1.481413E-2</v>
      </c>
      <c r="O4826">
        <v>-0.96210989999999996</v>
      </c>
      <c r="P4826">
        <v>0.42931960000000002</v>
      </c>
      <c r="Q4826">
        <v>-3.2723769999999999E-2</v>
      </c>
      <c r="R4826">
        <v>-0.90256009999999998</v>
      </c>
      <c r="S4826">
        <v>1.3668819999999999</v>
      </c>
      <c r="T4826">
        <v>-0.24149019999999999</v>
      </c>
      <c r="U4826">
        <v>-2.6655880000000001</v>
      </c>
      <c r="V4826">
        <v>-0.16715720000000001</v>
      </c>
      <c r="W4826">
        <v>-1.9740879999999999E-2</v>
      </c>
      <c r="X4826">
        <v>0.98573259999999996</v>
      </c>
      <c r="Y4826">
        <v>-0.1956127</v>
      </c>
      <c r="Z4826">
        <v>6.5670450000000005E-2</v>
      </c>
      <c r="AA4826">
        <v>0.97848000000000002</v>
      </c>
      <c r="AB4826">
        <v>35</v>
      </c>
      <c r="AC4826">
        <v>6.2046000000000197</v>
      </c>
      <c r="AD4826">
        <v>-1.1133618186459999</v>
      </c>
      <c r="AE4826">
        <v>-11.955749999999901</v>
      </c>
      <c r="AF4826">
        <v>-2.6963107664256798</v>
      </c>
      <c r="AG4826">
        <v>-1.1133618186459999</v>
      </c>
      <c r="AH4826">
        <v>13.103928997689501</v>
      </c>
      <c r="AI4826">
        <v>94.7572219350117</v>
      </c>
      <c r="AJ4826">
        <v>101.62710296599199</v>
      </c>
      <c r="AK4826">
        <v>13.424701913444901</v>
      </c>
      <c r="AL4826">
        <v>91.131142589481399</v>
      </c>
      <c r="AM4826">
        <v>99.6244669994757</v>
      </c>
      <c r="AN4826">
        <v>0.99999999527888705</v>
      </c>
    </row>
    <row r="4827" spans="1:40" x14ac:dyDescent="0.25">
      <c r="A4827" t="str">
        <f>"20190305135332864"</f>
        <v>20190305135332864</v>
      </c>
      <c r="B4827" t="str">
        <f>"1551765212854859"</f>
        <v>1551765212854859</v>
      </c>
      <c r="C4827" t="s">
        <v>40</v>
      </c>
      <c r="D4827">
        <v>4.3663569999999998</v>
      </c>
      <c r="E4827">
        <v>0.48715310000000001</v>
      </c>
      <c r="F4827" t="s">
        <v>81</v>
      </c>
      <c r="G4827">
        <v>-414.72789999999998</v>
      </c>
      <c r="H4827" s="1">
        <v>-6.0175289999999997E-6</v>
      </c>
      <c r="I4827">
        <v>30.99973</v>
      </c>
      <c r="J4827">
        <v>-421.07929999999999</v>
      </c>
      <c r="K4827">
        <v>1.1134040000000001</v>
      </c>
      <c r="L4827">
        <v>43.056489999999997</v>
      </c>
      <c r="M4827">
        <v>0.27630830000000001</v>
      </c>
      <c r="N4827">
        <v>-1.4813120000000001E-2</v>
      </c>
      <c r="O4827">
        <v>-0.960955</v>
      </c>
      <c r="P4827">
        <v>0.43549749999999998</v>
      </c>
      <c r="Q4827">
        <v>-3.1276859999999997E-2</v>
      </c>
      <c r="R4827">
        <v>-0.89964669999999902</v>
      </c>
      <c r="S4827">
        <v>1.3836360000000001</v>
      </c>
      <c r="T4827">
        <v>-0.23893300000000001</v>
      </c>
      <c r="U4827">
        <v>-2.6570429999999998</v>
      </c>
      <c r="V4827">
        <v>-0.169761299999999</v>
      </c>
      <c r="W4827">
        <v>-1.83404E-2</v>
      </c>
      <c r="X4827">
        <v>0.98531449999999998</v>
      </c>
      <c r="Y4827">
        <v>-0.19765279999999999</v>
      </c>
      <c r="Z4827">
        <v>6.4821889999999993E-2</v>
      </c>
      <c r="AA4827">
        <v>0.97812650000000001</v>
      </c>
      <c r="AB4827">
        <v>35</v>
      </c>
      <c r="AC4827">
        <v>6.3514000000000097</v>
      </c>
      <c r="AD4827">
        <v>-1.113410017529</v>
      </c>
      <c r="AE4827">
        <v>-12.056760000000001</v>
      </c>
      <c r="AF4827">
        <v>-2.7539465901292299</v>
      </c>
      <c r="AG4827">
        <v>-1.113410017529</v>
      </c>
      <c r="AH4827">
        <v>13.253933963557699</v>
      </c>
      <c r="AI4827">
        <v>94.701951324325506</v>
      </c>
      <c r="AJ4827">
        <v>101.738083829836</v>
      </c>
      <c r="AK4827">
        <v>13.582734231323499</v>
      </c>
      <c r="AL4827">
        <v>91.050886469814699</v>
      </c>
      <c r="AM4827">
        <v>99.775601546775107</v>
      </c>
      <c r="AN4827">
        <v>0.99999996658004897</v>
      </c>
    </row>
    <row r="4828" spans="1:40" x14ac:dyDescent="0.25">
      <c r="A4828" t="str">
        <f>"20190305135332887"</f>
        <v>20190305135332887</v>
      </c>
      <c r="B4828" t="str">
        <f>"1551765212875355"</f>
        <v>1551765212875355</v>
      </c>
      <c r="C4828" t="s">
        <v>40</v>
      </c>
      <c r="D4828">
        <v>4.4523549999999998</v>
      </c>
      <c r="E4828">
        <v>0.48727120000000002</v>
      </c>
      <c r="F4828" t="s">
        <v>81</v>
      </c>
      <c r="G4828">
        <v>-414.4948</v>
      </c>
      <c r="H4828" s="1">
        <v>-6.2166080000000001E-6</v>
      </c>
      <c r="I4828">
        <v>30.569890000000001</v>
      </c>
      <c r="J4828">
        <v>-420.98110000000003</v>
      </c>
      <c r="K4828">
        <v>1.113461</v>
      </c>
      <c r="L4828">
        <v>42.730159999999998</v>
      </c>
      <c r="M4828">
        <v>0.28044190000000002</v>
      </c>
      <c r="N4828">
        <v>-1.4813E-2</v>
      </c>
      <c r="O4828">
        <v>-0.95975670000000002</v>
      </c>
      <c r="P4828">
        <v>0.44211780000000001</v>
      </c>
      <c r="Q4828">
        <v>-3.0174920000000001E-2</v>
      </c>
      <c r="R4828">
        <v>-0.89644939999999995</v>
      </c>
      <c r="S4828">
        <v>1.3974</v>
      </c>
      <c r="T4828">
        <v>-0.23629559999999999</v>
      </c>
      <c r="U4828">
        <v>-2.649994</v>
      </c>
      <c r="V4828">
        <v>-0.17278060000000001</v>
      </c>
      <c r="W4828">
        <v>-1.7295599999999901E-2</v>
      </c>
      <c r="X4828">
        <v>0.98480849999999998</v>
      </c>
      <c r="Y4828">
        <v>-0.19851050000000001</v>
      </c>
      <c r="Z4828">
        <v>6.3928659999999998E-2</v>
      </c>
      <c r="AA4828">
        <v>0.97801159999999998</v>
      </c>
      <c r="AB4828">
        <v>35</v>
      </c>
      <c r="AC4828">
        <v>6.4863000000000204</v>
      </c>
      <c r="AD4828">
        <v>-1.113467216608</v>
      </c>
      <c r="AE4828">
        <v>-12.160269999999899</v>
      </c>
      <c r="AF4828">
        <v>-2.79707241688874</v>
      </c>
      <c r="AG4828">
        <v>-1.113467216608</v>
      </c>
      <c r="AH4828">
        <v>13.4039206781096</v>
      </c>
      <c r="AI4828">
        <v>94.648982995507893</v>
      </c>
      <c r="AJ4828">
        <v>101.78708736672201</v>
      </c>
      <c r="AK4828">
        <v>13.7378496458811</v>
      </c>
      <c r="AL4828">
        <v>90.991014269288598</v>
      </c>
      <c r="AM4828">
        <v>99.951031884407698</v>
      </c>
      <c r="AN4828">
        <v>1.00000002759398</v>
      </c>
    </row>
    <row r="4829" spans="1:40" x14ac:dyDescent="0.25">
      <c r="A4829" t="str">
        <f>"20190305135332910"</f>
        <v>20190305135332910</v>
      </c>
      <c r="B4829" t="str">
        <f>"1551765212904638"</f>
        <v>1551765212904638</v>
      </c>
      <c r="C4829" t="s">
        <v>40</v>
      </c>
      <c r="D4829">
        <v>4.3930920000000002</v>
      </c>
      <c r="E4829">
        <v>0.43301529999999999</v>
      </c>
      <c r="F4829" t="s">
        <v>81</v>
      </c>
      <c r="G4829">
        <v>-414.26650000000001</v>
      </c>
      <c r="H4829" s="1">
        <v>-6.3891859999999998E-6</v>
      </c>
      <c r="I4829">
        <v>30.208079999999999</v>
      </c>
      <c r="J4829">
        <v>-420.87650000000002</v>
      </c>
      <c r="K4829">
        <v>1.113532</v>
      </c>
      <c r="L4829">
        <v>42.388489999999997</v>
      </c>
      <c r="M4829">
        <v>0.28485379999999999</v>
      </c>
      <c r="N4829">
        <v>-1.481412E-2</v>
      </c>
      <c r="O4829">
        <v>-0.95845650000000004</v>
      </c>
      <c r="P4829">
        <v>0.4496541</v>
      </c>
      <c r="Q4829">
        <v>-3.0446020000000001E-2</v>
      </c>
      <c r="R4829">
        <v>-0.89268400000000003</v>
      </c>
      <c r="S4829">
        <v>1.415802</v>
      </c>
      <c r="T4829">
        <v>-0.23478080000000001</v>
      </c>
      <c r="U4829">
        <v>-2.6403500000000002</v>
      </c>
      <c r="V4829">
        <v>-0.17654059999999999</v>
      </c>
      <c r="W4829">
        <v>-1.764073E-2</v>
      </c>
      <c r="X4829">
        <v>0.98413530000000005</v>
      </c>
      <c r="Y4829">
        <v>-0.20079859999999999</v>
      </c>
      <c r="Z4829">
        <v>6.3419000000000003E-2</v>
      </c>
      <c r="AA4829">
        <v>0.97757760000000005</v>
      </c>
      <c r="AB4829">
        <v>35</v>
      </c>
      <c r="AC4829">
        <v>6.6100000000000101</v>
      </c>
      <c r="AD4829">
        <v>-1.113538389186</v>
      </c>
      <c r="AE4829">
        <v>-12.18041</v>
      </c>
      <c r="AF4829">
        <v>-2.84769025190886</v>
      </c>
      <c r="AG4829">
        <v>-1.113538389186</v>
      </c>
      <c r="AH4829">
        <v>13.471786234590599</v>
      </c>
      <c r="AI4829">
        <v>94.6234530097</v>
      </c>
      <c r="AJ4829">
        <v>101.935584633196</v>
      </c>
      <c r="AK4829">
        <v>13.814424775049901</v>
      </c>
      <c r="AL4829">
        <v>91.010791772649696</v>
      </c>
      <c r="AM4829">
        <v>100.16992300544</v>
      </c>
      <c r="AN4829">
        <v>1.0000000337546899</v>
      </c>
    </row>
    <row r="4830" spans="1:40" x14ac:dyDescent="0.25">
      <c r="A4830" t="str">
        <f>"20190305135332922"</f>
        <v>20190305135332922</v>
      </c>
      <c r="B4830" t="str">
        <f>"1551765212915372"</f>
        <v>1551765212915372</v>
      </c>
      <c r="C4830" t="s">
        <v>40</v>
      </c>
      <c r="D4830">
        <v>4.362724</v>
      </c>
      <c r="E4830">
        <v>0.42834729999999999</v>
      </c>
      <c r="F4830" t="s">
        <v>81</v>
      </c>
      <c r="G4830">
        <v>-412.5908</v>
      </c>
      <c r="H4830" s="1">
        <v>-6.2238910000000002E-6</v>
      </c>
      <c r="I4830">
        <v>31.33644</v>
      </c>
      <c r="J4830">
        <v>-420.81709999999998</v>
      </c>
      <c r="K4830">
        <v>1.1135699999999999</v>
      </c>
      <c r="L4830">
        <v>42.196809999999999</v>
      </c>
      <c r="M4830">
        <v>0.28735929999999998</v>
      </c>
      <c r="N4830">
        <v>-1.4815099999999999E-2</v>
      </c>
      <c r="O4830">
        <v>-0.95770829999999996</v>
      </c>
      <c r="P4830">
        <v>0.45289970000000002</v>
      </c>
      <c r="Q4830">
        <v>-3.024514E-2</v>
      </c>
      <c r="R4830">
        <v>-0.89104830000000002</v>
      </c>
      <c r="S4830">
        <v>1.8243100000000001</v>
      </c>
      <c r="T4830">
        <v>-0.24517259999999999</v>
      </c>
      <c r="U4830">
        <v>-2.4333800000000001</v>
      </c>
      <c r="V4830">
        <v>-0.17754629999999999</v>
      </c>
      <c r="W4830">
        <v>-1.7468230000000001E-2</v>
      </c>
      <c r="X4830">
        <v>0.98395739999999998</v>
      </c>
      <c r="Y4830">
        <v>-0.34296579999999999</v>
      </c>
      <c r="Z4830">
        <v>6.7664020000000005E-2</v>
      </c>
      <c r="AA4830">
        <v>0.93690770000000001</v>
      </c>
      <c r="AB4830">
        <v>35</v>
      </c>
      <c r="AC4830">
        <v>8.2262999999999806</v>
      </c>
      <c r="AD4830">
        <v>-1.1135762238910001</v>
      </c>
      <c r="AE4830">
        <v>-10.8603699999999</v>
      </c>
      <c r="AF4830">
        <v>-4.72651358313784</v>
      </c>
      <c r="AG4830">
        <v>-1.1135762238910001</v>
      </c>
      <c r="AH4830">
        <v>12.6816500078596</v>
      </c>
      <c r="AI4830">
        <v>94.703759336757599</v>
      </c>
      <c r="AJ4830">
        <v>110.44067297282901</v>
      </c>
      <c r="AK4830">
        <v>13.579551891717401</v>
      </c>
      <c r="AL4830">
        <v>91.000906765234703</v>
      </c>
      <c r="AM4830">
        <v>100.22844871754</v>
      </c>
      <c r="AN4830">
        <v>0.99999999635889103</v>
      </c>
    </row>
    <row r="4831" spans="1:40" x14ac:dyDescent="0.25">
      <c r="A4831" t="str">
        <f>"20190305135332943"</f>
        <v>20190305135332943</v>
      </c>
      <c r="B4831" t="str">
        <f>"1551765212934895"</f>
        <v>1551765212934895</v>
      </c>
      <c r="C4831" t="s">
        <v>40</v>
      </c>
      <c r="D4831">
        <v>4.3015569999999999</v>
      </c>
      <c r="E4831">
        <v>0.42689339999999998</v>
      </c>
      <c r="F4831" t="s">
        <v>81</v>
      </c>
      <c r="G4831">
        <v>-410.93040000000002</v>
      </c>
      <c r="H4831" s="1">
        <v>-1.0434299999999999E-5</v>
      </c>
      <c r="I4831">
        <v>29.426860000000001</v>
      </c>
      <c r="J4831">
        <v>-420.72199999999998</v>
      </c>
      <c r="K4831">
        <v>1.1136360000000001</v>
      </c>
      <c r="L4831">
        <v>41.893590000000003</v>
      </c>
      <c r="M4831">
        <v>0.29138819999999999</v>
      </c>
      <c r="N4831">
        <v>-1.4816889999999999E-2</v>
      </c>
      <c r="O4831">
        <v>-0.95649019999999996</v>
      </c>
      <c r="P4831">
        <v>0.46018409999999899</v>
      </c>
      <c r="Q4831">
        <v>-3.0459389999999999E-2</v>
      </c>
      <c r="R4831">
        <v>-0.88730119999999901</v>
      </c>
      <c r="S4831">
        <v>1.866608</v>
      </c>
      <c r="T4831">
        <v>-0.2102425</v>
      </c>
      <c r="U4831">
        <v>-2.4109500000000001</v>
      </c>
      <c r="V4831">
        <v>-0.1814597</v>
      </c>
      <c r="W4831">
        <v>-1.7759199999999999E-2</v>
      </c>
      <c r="X4831">
        <v>0.98323799999999995</v>
      </c>
      <c r="Y4831">
        <v>-0.35399709999999901</v>
      </c>
      <c r="Z4831">
        <v>5.6123039999999999E-2</v>
      </c>
      <c r="AA4831">
        <v>0.93356099999999997</v>
      </c>
      <c r="AB4831">
        <v>35</v>
      </c>
      <c r="AC4831">
        <v>9.7915999999999599</v>
      </c>
      <c r="AD4831">
        <v>-1.1136464343000001</v>
      </c>
      <c r="AE4831">
        <v>-12.46673</v>
      </c>
      <c r="AF4831">
        <v>-5.7053828503921196</v>
      </c>
      <c r="AG4831">
        <v>-1.1136464343000001</v>
      </c>
      <c r="AH4831">
        <v>14.706502624122299</v>
      </c>
      <c r="AI4831">
        <v>94.038279213367701</v>
      </c>
      <c r="AJ4831">
        <v>111.203746744245</v>
      </c>
      <c r="AK4831">
        <v>15.8136909443524</v>
      </c>
      <c r="AL4831">
        <v>91.017580713231496</v>
      </c>
      <c r="AM4831">
        <v>100.45646248510199</v>
      </c>
      <c r="AN4831">
        <v>0.99999998827636405</v>
      </c>
    </row>
    <row r="4832" spans="1:40" x14ac:dyDescent="0.25">
      <c r="A4832" t="str">
        <f>"20190305135332966"</f>
        <v>20190305135332966</v>
      </c>
      <c r="B4832" t="str">
        <f>"1551765212955388"</f>
        <v>1551765212955388</v>
      </c>
      <c r="C4832" t="s">
        <v>40</v>
      </c>
      <c r="D4832">
        <v>4.3085360000000001</v>
      </c>
      <c r="E4832">
        <v>0.42687789999999998</v>
      </c>
      <c r="F4832" t="s">
        <v>81</v>
      </c>
      <c r="G4832">
        <v>-409.93950000000001</v>
      </c>
      <c r="H4832" s="1">
        <v>-2.815686E-6</v>
      </c>
      <c r="I4832">
        <v>28.303419999999999</v>
      </c>
      <c r="J4832">
        <v>-420.6155</v>
      </c>
      <c r="K4832">
        <v>1.1137239999999999</v>
      </c>
      <c r="L4832">
        <v>41.560180000000003</v>
      </c>
      <c r="M4832">
        <v>0.29594280000000001</v>
      </c>
      <c r="N4832">
        <v>-1.4819199999999999E-2</v>
      </c>
      <c r="O4832">
        <v>-0.95509089999999996</v>
      </c>
      <c r="P4832">
        <v>0.46716049999999998</v>
      </c>
      <c r="Q4832">
        <v>-3.0499390000000001E-2</v>
      </c>
      <c r="R4832">
        <v>-0.88364669999999901</v>
      </c>
      <c r="S4832">
        <v>1.896698</v>
      </c>
      <c r="T4832">
        <v>-0.19589599999999999</v>
      </c>
      <c r="U4832">
        <v>-2.3905940000000001</v>
      </c>
      <c r="V4832">
        <v>-0.18451490000000001</v>
      </c>
      <c r="W4832">
        <v>-1.7875559999999999E-2</v>
      </c>
      <c r="X4832">
        <v>0.98266710000000002</v>
      </c>
      <c r="Y4832">
        <v>-0.36079369999999999</v>
      </c>
      <c r="Z4832">
        <v>5.1425899999999997E-2</v>
      </c>
      <c r="AA4832">
        <v>0.93122680000000002</v>
      </c>
      <c r="AB4832">
        <v>35</v>
      </c>
      <c r="AC4832">
        <v>10.675999999999901</v>
      </c>
      <c r="AD4832">
        <v>-1.1137268156859901</v>
      </c>
      <c r="AE4832">
        <v>-13.2567599999999</v>
      </c>
      <c r="AF4832">
        <v>-6.2472488744505998</v>
      </c>
      <c r="AG4832">
        <v>-1.1137268156859901</v>
      </c>
      <c r="AH4832">
        <v>15.755177228486399</v>
      </c>
      <c r="AI4832">
        <v>93.759625019722804</v>
      </c>
      <c r="AJ4832">
        <v>111.629335007335</v>
      </c>
      <c r="AK4832">
        <v>16.9851145247925</v>
      </c>
      <c r="AL4832">
        <v>91.024248741060106</v>
      </c>
      <c r="AM4832">
        <v>100.634570776636</v>
      </c>
      <c r="AN4832">
        <v>0.99999995669486497</v>
      </c>
    </row>
    <row r="4833" spans="1:40" x14ac:dyDescent="0.25">
      <c r="A4833" t="str">
        <f>"20190305135332988"</f>
        <v>20190305135332988</v>
      </c>
      <c r="B4833" t="str">
        <f>"1551765212984668"</f>
        <v>1551765212984668</v>
      </c>
      <c r="C4833" t="s">
        <v>40</v>
      </c>
      <c r="D4833">
        <v>4.3499049999999997</v>
      </c>
      <c r="E4833">
        <v>0.42629410000000001</v>
      </c>
      <c r="F4833" t="s">
        <v>81</v>
      </c>
      <c r="G4833">
        <v>-409.49360000000001</v>
      </c>
      <c r="H4833" s="1">
        <v>-2.9607650000000002E-6</v>
      </c>
      <c r="I4833">
        <v>27.768889999999999</v>
      </c>
      <c r="J4833">
        <v>-420.51150000000001</v>
      </c>
      <c r="K4833">
        <v>1.1138209999999999</v>
      </c>
      <c r="L4833">
        <v>41.240110000000001</v>
      </c>
      <c r="M4833">
        <v>0.30047239999999997</v>
      </c>
      <c r="N4833">
        <v>-1.48234E-2</v>
      </c>
      <c r="O4833">
        <v>-0.95367539999999995</v>
      </c>
      <c r="P4833">
        <v>0.47405629999999999</v>
      </c>
      <c r="Q4833">
        <v>-2.9959329999999999E-2</v>
      </c>
      <c r="R4833">
        <v>-0.87998469999999995</v>
      </c>
      <c r="S4833">
        <v>1.9157709999999999</v>
      </c>
      <c r="T4833">
        <v>-0.19184200000000001</v>
      </c>
      <c r="U4833">
        <v>-2.3755799999999998</v>
      </c>
      <c r="V4833">
        <v>-0.1875289</v>
      </c>
      <c r="W4833">
        <v>-1.7418599999999999E-2</v>
      </c>
      <c r="X4833">
        <v>0.98210469999999905</v>
      </c>
      <c r="Y4833">
        <v>-0.36381799999999997</v>
      </c>
      <c r="Z4833">
        <v>5.0119450000000003E-2</v>
      </c>
      <c r="AA4833">
        <v>0.93012070000000002</v>
      </c>
      <c r="AB4833">
        <v>35</v>
      </c>
      <c r="AC4833">
        <v>11.0178999999999</v>
      </c>
      <c r="AD4833">
        <v>-1.113823960765</v>
      </c>
      <c r="AE4833">
        <v>-13.471219999999899</v>
      </c>
      <c r="AF4833">
        <v>-6.4341242996144903</v>
      </c>
      <c r="AG4833">
        <v>-1.113823960765</v>
      </c>
      <c r="AH4833">
        <v>16.0935977321693</v>
      </c>
      <c r="AI4833">
        <v>93.676978642516204</v>
      </c>
      <c r="AJ4833">
        <v>111.791235321046</v>
      </c>
      <c r="AK4833">
        <v>17.367856726820001</v>
      </c>
      <c r="AL4833">
        <v>90.998062670605094</v>
      </c>
      <c r="AM4833">
        <v>100.81026769263801</v>
      </c>
      <c r="AN4833">
        <v>1.00000006886162</v>
      </c>
    </row>
    <row r="4834" spans="1:40" x14ac:dyDescent="0.25">
      <c r="A4834" t="str">
        <f>"20190305135333021"</f>
        <v>20190305135333021</v>
      </c>
      <c r="B4834" t="str">
        <f>"1551765213014927"</f>
        <v>1551765213014927</v>
      </c>
      <c r="C4834" t="s">
        <v>40</v>
      </c>
      <c r="D4834">
        <v>4.2586349999999999</v>
      </c>
      <c r="E4834">
        <v>0.42713960000000001</v>
      </c>
      <c r="F4834" t="s">
        <v>81</v>
      </c>
      <c r="G4834">
        <v>-409.84339999999997</v>
      </c>
      <c r="H4834" s="1">
        <v>-2.863239E-6</v>
      </c>
      <c r="I4834">
        <v>28.26155</v>
      </c>
      <c r="J4834">
        <v>-420.3458</v>
      </c>
      <c r="K4834">
        <v>1.113999</v>
      </c>
      <c r="L4834">
        <v>40.74136</v>
      </c>
      <c r="M4834">
        <v>0.30778119999999998</v>
      </c>
      <c r="N4834">
        <v>-1.483256E-2</v>
      </c>
      <c r="O4834">
        <v>-0.95134149999999995</v>
      </c>
      <c r="P4834">
        <v>0.48459410000000003</v>
      </c>
      <c r="Q4834">
        <v>-2.9186299999999998E-2</v>
      </c>
      <c r="R4834">
        <v>-0.87425239999999904</v>
      </c>
      <c r="S4834">
        <v>1.938293</v>
      </c>
      <c r="T4834">
        <v>-0.2023722</v>
      </c>
      <c r="U4834">
        <v>-2.3580930000000002</v>
      </c>
      <c r="V4834">
        <v>-0.19178239999999999</v>
      </c>
      <c r="W4834">
        <v>-1.677356E-2</v>
      </c>
      <c r="X4834">
        <v>0.98129420000000001</v>
      </c>
      <c r="Y4834">
        <v>-0.3652318</v>
      </c>
      <c r="Z4834">
        <v>5.3577319999999998E-2</v>
      </c>
      <c r="AA4834">
        <v>0.92937360000000002</v>
      </c>
      <c r="AB4834">
        <v>35</v>
      </c>
      <c r="AC4834">
        <v>10.5024</v>
      </c>
      <c r="AD4834">
        <v>-1.1140018632390001</v>
      </c>
      <c r="AE4834">
        <v>-12.479810000000001</v>
      </c>
      <c r="AF4834">
        <v>-6.1224362201776499</v>
      </c>
      <c r="AG4834">
        <v>-1.1140018632390001</v>
      </c>
      <c r="AH4834">
        <v>15.0365254221726</v>
      </c>
      <c r="AI4834">
        <v>93.925283555593396</v>
      </c>
      <c r="AJ4834">
        <v>112.154725055548</v>
      </c>
      <c r="AK4834">
        <v>16.2733623505742</v>
      </c>
      <c r="AL4834">
        <v>90.961099195686899</v>
      </c>
      <c r="AM4834">
        <v>101.058395867884</v>
      </c>
      <c r="AN4834">
        <v>1.0000000741092301</v>
      </c>
    </row>
    <row r="4835" spans="1:40" x14ac:dyDescent="0.25">
      <c r="A4835" t="str">
        <f>"20190305135333043"</f>
        <v>20190305135333043</v>
      </c>
      <c r="B4835" t="str">
        <f>"1551765213034447"</f>
        <v>1551765213034447</v>
      </c>
      <c r="C4835" t="s">
        <v>40</v>
      </c>
      <c r="D4835">
        <v>4.3123290000000001</v>
      </c>
      <c r="E4835">
        <v>0.42792170000000002</v>
      </c>
      <c r="F4835" t="s">
        <v>81</v>
      </c>
      <c r="G4835">
        <v>-409.27699999999999</v>
      </c>
      <c r="H4835" s="1">
        <v>-3.0381799999999999E-6</v>
      </c>
      <c r="I4835">
        <v>27.540459999999999</v>
      </c>
      <c r="J4835">
        <v>-420.23950000000002</v>
      </c>
      <c r="K4835">
        <v>1.1141219999999901</v>
      </c>
      <c r="L4835">
        <v>40.428440000000002</v>
      </c>
      <c r="M4835">
        <v>0.31253530000000002</v>
      </c>
      <c r="N4835">
        <v>-1.483811E-2</v>
      </c>
      <c r="O4835">
        <v>-0.94979040000000003</v>
      </c>
      <c r="P4835">
        <v>0.49176890000000001</v>
      </c>
      <c r="Q4835">
        <v>-2.8483109999999999E-2</v>
      </c>
      <c r="R4835">
        <v>-0.87026039999999905</v>
      </c>
      <c r="S4835">
        <v>1.9605410000000001</v>
      </c>
      <c r="T4835">
        <v>-0.1973164</v>
      </c>
      <c r="U4835">
        <v>-2.3381959999999999</v>
      </c>
      <c r="V4835">
        <v>-0.1949399</v>
      </c>
      <c r="W4835">
        <v>-1.6161109999999999E-2</v>
      </c>
      <c r="X4835">
        <v>0.98068200000000005</v>
      </c>
      <c r="Y4835">
        <v>-0.36971349999999997</v>
      </c>
      <c r="Z4835">
        <v>5.1988529999999998E-2</v>
      </c>
      <c r="AA4835">
        <v>0.92769020000000002</v>
      </c>
      <c r="AB4835">
        <v>35</v>
      </c>
      <c r="AC4835">
        <v>10.9625</v>
      </c>
      <c r="AD4835">
        <v>-1.1141250381800001</v>
      </c>
      <c r="AE4835">
        <v>-12.887980000000001</v>
      </c>
      <c r="AF4835">
        <v>-6.3572658982314199</v>
      </c>
      <c r="AG4835">
        <v>-1.1141250381800001</v>
      </c>
      <c r="AH4835">
        <v>15.601125255115001</v>
      </c>
      <c r="AI4835">
        <v>93.7836488005142</v>
      </c>
      <c r="AJ4835">
        <v>112.17028889355301</v>
      </c>
      <c r="AK4835">
        <v>16.883459761769899</v>
      </c>
      <c r="AL4835">
        <v>90.926003739250703</v>
      </c>
      <c r="AM4835">
        <v>101.242700555784</v>
      </c>
      <c r="AN4835">
        <v>0.99999996560621995</v>
      </c>
    </row>
    <row r="4836" spans="1:40" x14ac:dyDescent="0.25">
      <c r="A4836" t="str">
        <f>"20190305135333065"</f>
        <v>20190305135333065</v>
      </c>
      <c r="B4836" t="str">
        <f>"1551765213054940"</f>
        <v>1551765213054940</v>
      </c>
      <c r="C4836" t="s">
        <v>40</v>
      </c>
      <c r="D4836">
        <v>4.2801749999999998</v>
      </c>
      <c r="E4836">
        <v>0.42868289999999998</v>
      </c>
      <c r="F4836" t="s">
        <v>81</v>
      </c>
      <c r="G4836">
        <v>-409.09010000000001</v>
      </c>
      <c r="H4836" s="1">
        <v>-3.094294E-6</v>
      </c>
      <c r="I4836">
        <v>27.29543</v>
      </c>
      <c r="J4836">
        <v>-420.12759999999997</v>
      </c>
      <c r="K4836">
        <v>1.1142559999999999</v>
      </c>
      <c r="L4836">
        <v>40.104799999999997</v>
      </c>
      <c r="M4836">
        <v>0.31762180000000001</v>
      </c>
      <c r="N4836">
        <v>-1.4844359999999999E-2</v>
      </c>
      <c r="O4836">
        <v>-0.94810130000000004</v>
      </c>
      <c r="P4836">
        <v>0.50008589999999997</v>
      </c>
      <c r="Q4836">
        <v>-2.7704469999999998E-2</v>
      </c>
      <c r="R4836">
        <v>-0.86553259999999899</v>
      </c>
      <c r="S4836">
        <v>1.9740599999999999</v>
      </c>
      <c r="T4836">
        <v>-0.1972632</v>
      </c>
      <c r="U4836">
        <v>-2.3252869999999999</v>
      </c>
      <c r="V4836">
        <v>-0.1990741</v>
      </c>
      <c r="W4836">
        <v>-1.549677E-2</v>
      </c>
      <c r="X4836">
        <v>0.97986189999999995</v>
      </c>
      <c r="Y4836">
        <v>-0.37040659999999997</v>
      </c>
      <c r="Z4836">
        <v>5.1993329999999997E-2</v>
      </c>
      <c r="AA4836">
        <v>0.92741340000000005</v>
      </c>
      <c r="AB4836">
        <v>35</v>
      </c>
      <c r="AC4836">
        <v>11.0374999999999</v>
      </c>
      <c r="AD4836">
        <v>-1.1142590942939901</v>
      </c>
      <c r="AE4836">
        <v>-12.8093699999999</v>
      </c>
      <c r="AF4836">
        <v>-6.3691789326821402</v>
      </c>
      <c r="AG4836">
        <v>-1.1142590942939901</v>
      </c>
      <c r="AH4836">
        <v>15.5843787455387</v>
      </c>
      <c r="AI4836">
        <v>93.786568870738094</v>
      </c>
      <c r="AJ4836">
        <v>112.229341022312</v>
      </c>
      <c r="AK4836">
        <v>16.872488686916899</v>
      </c>
      <c r="AL4836">
        <v>90.887935063418695</v>
      </c>
      <c r="AM4836">
        <v>101.484218023173</v>
      </c>
      <c r="AN4836">
        <v>0.99999999512142601</v>
      </c>
    </row>
    <row r="4837" spans="1:40" x14ac:dyDescent="0.25">
      <c r="A4837" t="str">
        <f>"20190305135333088"</f>
        <v>20190305135333088</v>
      </c>
      <c r="B4837" t="str">
        <f>"1551765213085196"</f>
        <v>1551765213085196</v>
      </c>
      <c r="C4837" t="s">
        <v>40</v>
      </c>
      <c r="D4837">
        <v>4.287344</v>
      </c>
      <c r="E4837">
        <v>0.4301567</v>
      </c>
      <c r="F4837" t="s">
        <v>41</v>
      </c>
      <c r="G4837">
        <v>-419.36320000000001</v>
      </c>
      <c r="H4837">
        <v>1.038486</v>
      </c>
      <c r="I4837">
        <v>39.218020000000003</v>
      </c>
      <c r="J4837">
        <v>-420.01229999999998</v>
      </c>
      <c r="K4837">
        <v>1.114411</v>
      </c>
      <c r="L4837">
        <v>39.77805</v>
      </c>
      <c r="M4837">
        <v>0.32296200000000003</v>
      </c>
      <c r="N4837">
        <v>-1.485298E-2</v>
      </c>
      <c r="O4837">
        <v>-0.94629560000000001</v>
      </c>
      <c r="P4837">
        <v>0.5077334</v>
      </c>
      <c r="Q4837">
        <v>-2.704759E-2</v>
      </c>
      <c r="R4837">
        <v>-0.86108989999999996</v>
      </c>
      <c r="S4837">
        <v>1.9909969999999999</v>
      </c>
      <c r="T4837">
        <v>-0.19732340000000001</v>
      </c>
      <c r="U4837">
        <v>-2.3094480000000002</v>
      </c>
      <c r="V4837">
        <v>-0.20222300000000001</v>
      </c>
      <c r="W4837">
        <v>-1.49488E-2</v>
      </c>
      <c r="X4837">
        <v>0.97922540000000002</v>
      </c>
      <c r="Y4837">
        <v>-0.37221209999999999</v>
      </c>
      <c r="Z4837">
        <v>5.2045109999999999E-2</v>
      </c>
      <c r="AA4837">
        <v>0.92668740000000005</v>
      </c>
      <c r="AB4837">
        <v>35</v>
      </c>
      <c r="AC4837">
        <v>0.64909999999997503</v>
      </c>
      <c r="AD4837">
        <v>-7.5925000000000006E-2</v>
      </c>
      <c r="AE4837">
        <v>-0.56002999999999703</v>
      </c>
      <c r="AF4837">
        <v>-0.43004676331873498</v>
      </c>
      <c r="AG4837">
        <v>-7.5925000000000006E-2</v>
      </c>
      <c r="AH4837">
        <v>0.73391363133057796</v>
      </c>
      <c r="AI4837">
        <v>95.1005611805424</v>
      </c>
      <c r="AJ4837">
        <v>120.36875541560801</v>
      </c>
      <c r="AK4837">
        <v>0.85401056347023996</v>
      </c>
      <c r="AL4837">
        <v>90.856535055245004</v>
      </c>
      <c r="AM4837">
        <v>101.668306391626</v>
      </c>
      <c r="AN4837">
        <v>0.999999996177799</v>
      </c>
    </row>
    <row r="4838" spans="1:40" x14ac:dyDescent="0.25">
      <c r="A4838" t="str">
        <f>"20190305135333111"</f>
        <v>20190305135333111</v>
      </c>
      <c r="B4838" t="str">
        <f>"1551765213104716"</f>
        <v>1551765213104716</v>
      </c>
      <c r="C4838" t="s">
        <v>40</v>
      </c>
      <c r="D4838">
        <v>4.2858429999999998</v>
      </c>
      <c r="E4838">
        <v>0.43101820000000002</v>
      </c>
      <c r="F4838" t="s">
        <v>81</v>
      </c>
      <c r="G4838">
        <v>-408.87799999999999</v>
      </c>
      <c r="H4838" s="1">
        <v>-3.15298E-6</v>
      </c>
      <c r="I4838">
        <v>26.99464</v>
      </c>
      <c r="J4838">
        <v>-419.89069999999998</v>
      </c>
      <c r="K4838">
        <v>1.114565</v>
      </c>
      <c r="L4838">
        <v>39.440399999999997</v>
      </c>
      <c r="M4838">
        <v>0.3286501</v>
      </c>
      <c r="N4838">
        <v>-1.486349E-2</v>
      </c>
      <c r="O4838">
        <v>-0.94433489999999998</v>
      </c>
      <c r="P4838">
        <v>0.51701409999999903</v>
      </c>
      <c r="Q4838">
        <v>-2.5113190000000001E-2</v>
      </c>
      <c r="R4838">
        <v>-0.85560879999999995</v>
      </c>
      <c r="S4838">
        <v>2.0012509999999999</v>
      </c>
      <c r="T4838">
        <v>-0.20030310000000001</v>
      </c>
      <c r="U4838">
        <v>-2.2976679999999998</v>
      </c>
      <c r="V4838">
        <v>-0.20691380000000001</v>
      </c>
      <c r="W4838">
        <v>-1.3149289999999999E-2</v>
      </c>
      <c r="X4838">
        <v>0.9782708</v>
      </c>
      <c r="Y4838">
        <v>-0.3712915</v>
      </c>
      <c r="Z4838">
        <v>5.3039389999999999E-2</v>
      </c>
      <c r="AA4838">
        <v>0.92700020000000005</v>
      </c>
      <c r="AB4838">
        <v>34</v>
      </c>
      <c r="AC4838">
        <v>11.012699999999899</v>
      </c>
      <c r="AD4838">
        <v>-1.11456815298</v>
      </c>
      <c r="AE4838">
        <v>-12.4457599999999</v>
      </c>
      <c r="AF4838">
        <v>-6.2818169926158198</v>
      </c>
      <c r="AG4838">
        <v>-1.11456815298</v>
      </c>
      <c r="AH4838">
        <v>15.305143501051701</v>
      </c>
      <c r="AI4838">
        <v>93.854155755258802</v>
      </c>
      <c r="AJ4838">
        <v>112.31512436540901</v>
      </c>
      <c r="AK4838">
        <v>16.5816436002026</v>
      </c>
      <c r="AL4838">
        <v>90.753420539764903</v>
      </c>
      <c r="AM4838">
        <v>101.94260189806</v>
      </c>
      <c r="AN4838">
        <v>0.99999999129529205</v>
      </c>
    </row>
    <row r="4839" spans="1:40" x14ac:dyDescent="0.25">
      <c r="A4839" t="str">
        <f>"20190305135333124"</f>
        <v>20190305135333124</v>
      </c>
      <c r="B4839" t="str">
        <f>"1551765213114477"</f>
        <v>1551765213114477</v>
      </c>
      <c r="C4839" t="s">
        <v>40</v>
      </c>
      <c r="D4839">
        <v>4.278111</v>
      </c>
      <c r="E4839">
        <v>0.43152430000000003</v>
      </c>
      <c r="F4839" t="s">
        <v>81</v>
      </c>
      <c r="G4839">
        <v>-408.56110000000001</v>
      </c>
      <c r="H4839" s="1">
        <v>-3.2648020000000001E-6</v>
      </c>
      <c r="I4839">
        <v>26.653790000000001</v>
      </c>
      <c r="J4839">
        <v>-419.82130000000001</v>
      </c>
      <c r="K4839">
        <v>1.114649</v>
      </c>
      <c r="L4839">
        <v>39.249760000000002</v>
      </c>
      <c r="M4839">
        <v>0.33192129999999997</v>
      </c>
      <c r="N4839">
        <v>-1.486908E-2</v>
      </c>
      <c r="O4839">
        <v>-0.94318999999999997</v>
      </c>
      <c r="P4839">
        <v>0.52186509999999997</v>
      </c>
      <c r="Q4839">
        <v>-2.472359E-2</v>
      </c>
      <c r="R4839">
        <v>-0.85266980000000003</v>
      </c>
      <c r="S4839">
        <v>2.0200499999999999</v>
      </c>
      <c r="T4839">
        <v>-0.19872419999999999</v>
      </c>
      <c r="U4839">
        <v>-2.2798159999999998</v>
      </c>
      <c r="V4839">
        <v>-0.20907629999999999</v>
      </c>
      <c r="W4839">
        <v>-1.2829739999999999E-2</v>
      </c>
      <c r="X4839">
        <v>0.9778152</v>
      </c>
      <c r="Y4839">
        <v>-0.375967</v>
      </c>
      <c r="Z4839">
        <v>5.2599050000000001E-2</v>
      </c>
      <c r="AA4839">
        <v>0.92513900000000004</v>
      </c>
      <c r="AB4839">
        <v>34</v>
      </c>
      <c r="AC4839">
        <v>11.2601999999999</v>
      </c>
      <c r="AD4839">
        <v>-1.1146522648019901</v>
      </c>
      <c r="AE4839">
        <v>-12.5959699999999</v>
      </c>
      <c r="AF4839">
        <v>-6.4124378725839097</v>
      </c>
      <c r="AG4839">
        <v>-1.1146522648019901</v>
      </c>
      <c r="AH4839">
        <v>15.551927065546099</v>
      </c>
      <c r="AI4839">
        <v>93.790952942524399</v>
      </c>
      <c r="AJ4839">
        <v>112.40754529348899</v>
      </c>
      <c r="AK4839">
        <v>16.858951467788401</v>
      </c>
      <c r="AL4839">
        <v>90.735110097430294</v>
      </c>
      <c r="AM4839">
        <v>102.069234465791</v>
      </c>
      <c r="AN4839">
        <v>1.0000000334005901</v>
      </c>
    </row>
    <row r="4840" spans="1:40" x14ac:dyDescent="0.25">
      <c r="A4840" t="str">
        <f>"20190305135333137"</f>
        <v>20190305135333137</v>
      </c>
      <c r="B4840" t="str">
        <f>"1551765213134972"</f>
        <v>1551765213134972</v>
      </c>
      <c r="C4840" t="s">
        <v>40</v>
      </c>
      <c r="D4840">
        <v>4.282718</v>
      </c>
      <c r="E4840">
        <v>0.44810509999999898</v>
      </c>
      <c r="F4840" t="s">
        <v>81</v>
      </c>
      <c r="G4840">
        <v>-408.4348</v>
      </c>
      <c r="H4840" s="1">
        <v>-3.3078779999999999E-6</v>
      </c>
      <c r="I4840">
        <v>26.51127</v>
      </c>
      <c r="J4840">
        <v>-419.75490000000002</v>
      </c>
      <c r="K4840">
        <v>1.1147260000000001</v>
      </c>
      <c r="L4840">
        <v>39.070830000000001</v>
      </c>
      <c r="M4840">
        <v>0.33507229999999999</v>
      </c>
      <c r="N4840">
        <v>-1.487423E-2</v>
      </c>
      <c r="O4840">
        <v>-0.94207529999999995</v>
      </c>
      <c r="P4840">
        <v>0.52680539999999998</v>
      </c>
      <c r="Q4840">
        <v>-2.4503480000000001E-2</v>
      </c>
      <c r="R4840">
        <v>-0.84963299999999997</v>
      </c>
      <c r="S4840">
        <v>2.0295100000000001</v>
      </c>
      <c r="T4840">
        <v>-0.19867299999999999</v>
      </c>
      <c r="U4840">
        <v>-2.2704770000000001</v>
      </c>
      <c r="V4840">
        <v>-0.21147959999999999</v>
      </c>
      <c r="W4840">
        <v>-1.268181E-2</v>
      </c>
      <c r="X4840">
        <v>0.9773001</v>
      </c>
      <c r="Y4840">
        <v>-0.37690190000000001</v>
      </c>
      <c r="Z4840">
        <v>5.2599800000000002E-2</v>
      </c>
      <c r="AA4840">
        <v>0.92475850000000004</v>
      </c>
      <c r="AB4840">
        <v>34</v>
      </c>
      <c r="AC4840">
        <v>11.3201</v>
      </c>
      <c r="AD4840">
        <v>-1.1147293078780001</v>
      </c>
      <c r="AE4840">
        <v>-12.559559999999999</v>
      </c>
      <c r="AF4840">
        <v>-6.42879538857468</v>
      </c>
      <c r="AG4840">
        <v>-1.1147293078780001</v>
      </c>
      <c r="AH4840">
        <v>15.5591988330362</v>
      </c>
      <c r="AI4840">
        <v>93.788303553857006</v>
      </c>
      <c r="AJ4840">
        <v>112.449578639667</v>
      </c>
      <c r="AK4840">
        <v>16.8718908218361</v>
      </c>
      <c r="AL4840">
        <v>90.726633691308294</v>
      </c>
      <c r="AM4840">
        <v>102.21007212777</v>
      </c>
      <c r="AN4840">
        <v>0.999999967490522</v>
      </c>
    </row>
    <row r="4841" spans="1:40" x14ac:dyDescent="0.25">
      <c r="A4841" t="str">
        <f>"20190305135333151"</f>
        <v>20190305135333151</v>
      </c>
      <c r="B4841" t="str">
        <f>"1551765213144732"</f>
        <v>1551765213144732</v>
      </c>
      <c r="C4841" t="s">
        <v>40</v>
      </c>
      <c r="D4841">
        <v>4.2838459999999996</v>
      </c>
      <c r="E4841">
        <v>0.44753530000000002</v>
      </c>
      <c r="F4841" t="s">
        <v>81</v>
      </c>
      <c r="G4841">
        <v>-411.4633</v>
      </c>
      <c r="H4841" s="1">
        <v>-1.020704E-5</v>
      </c>
      <c r="I4841">
        <v>29.069279999999999</v>
      </c>
      <c r="J4841">
        <v>-419.68009999999998</v>
      </c>
      <c r="K4841">
        <v>1.114808</v>
      </c>
      <c r="L4841">
        <v>38.870699999999999</v>
      </c>
      <c r="M4841">
        <v>0.33864559999999999</v>
      </c>
      <c r="N4841">
        <v>-1.487987E-2</v>
      </c>
      <c r="O4841">
        <v>-0.94079650000000004</v>
      </c>
      <c r="P4841">
        <v>0.53203259999999997</v>
      </c>
      <c r="Q4841">
        <v>-2.4507979999999999E-2</v>
      </c>
      <c r="R4841">
        <v>-0.84636929999999999</v>
      </c>
      <c r="S4841">
        <v>1.9293210000000001</v>
      </c>
      <c r="T4841">
        <v>-0.25937880000000002</v>
      </c>
      <c r="U4841">
        <v>-2.3271790000000001</v>
      </c>
      <c r="V4841">
        <v>-0.2137907</v>
      </c>
      <c r="W4841">
        <v>-1.2763490000000001E-2</v>
      </c>
      <c r="X4841">
        <v>0.97679609999999994</v>
      </c>
      <c r="Y4841">
        <v>-0.33780329999999997</v>
      </c>
      <c r="Z4841">
        <v>7.2418940000000001E-2</v>
      </c>
      <c r="AA4841">
        <v>0.9384266</v>
      </c>
      <c r="AB4841">
        <v>34</v>
      </c>
      <c r="AC4841">
        <v>8.2167999999999708</v>
      </c>
      <c r="AD4841">
        <v>-1.1148182070399999</v>
      </c>
      <c r="AE4841">
        <v>-9.8014200000000002</v>
      </c>
      <c r="AF4841">
        <v>-4.3783523193909799</v>
      </c>
      <c r="AG4841">
        <v>-1.1148182070399999</v>
      </c>
      <c r="AH4841">
        <v>11.914531904853501</v>
      </c>
      <c r="AI4841">
        <v>95.019158538289503</v>
      </c>
      <c r="AJ4841">
        <v>110.177371072688</v>
      </c>
      <c r="AK4841">
        <v>12.7424039795964</v>
      </c>
      <c r="AL4841">
        <v>90.731313969031604</v>
      </c>
      <c r="AM4841">
        <v>102.34561155023199</v>
      </c>
      <c r="AN4841">
        <v>0.99999999552934005</v>
      </c>
    </row>
    <row r="4842" spans="1:40" x14ac:dyDescent="0.25">
      <c r="A4842" t="str">
        <f>"20190305135333167"</f>
        <v>20190305135333167</v>
      </c>
      <c r="B4842" t="str">
        <f>"1551765213155468"</f>
        <v>1551765213155468</v>
      </c>
      <c r="C4842" t="s">
        <v>40</v>
      </c>
      <c r="D4842">
        <v>4.2648020000000004</v>
      </c>
      <c r="E4842">
        <v>0.44734659999999898</v>
      </c>
      <c r="F4842" t="s">
        <v>81</v>
      </c>
      <c r="G4842">
        <v>-411.15269999999998</v>
      </c>
      <c r="H4842" s="1">
        <v>-1.027942E-5</v>
      </c>
      <c r="I4842">
        <v>28.743780000000001</v>
      </c>
      <c r="J4842">
        <v>-419.60019999999997</v>
      </c>
      <c r="K4842">
        <v>1.114905</v>
      </c>
      <c r="L4842">
        <v>38.659300000000002</v>
      </c>
      <c r="M4842">
        <v>0.34248820000000002</v>
      </c>
      <c r="N4842">
        <v>-1.488591E-2</v>
      </c>
      <c r="O4842">
        <v>-0.93940449999999998</v>
      </c>
      <c r="P4842">
        <v>0.53746099999999997</v>
      </c>
      <c r="Q4842">
        <v>-2.4327600000000001E-2</v>
      </c>
      <c r="R4842">
        <v>-0.84293779999999996</v>
      </c>
      <c r="S4842">
        <v>1.9475709999999999</v>
      </c>
      <c r="T4842">
        <v>-0.25461450000000002</v>
      </c>
      <c r="U4842">
        <v>-2.312897</v>
      </c>
      <c r="V4842">
        <v>-0.21607180000000001</v>
      </c>
      <c r="W4842">
        <v>-1.2664740000000001E-2</v>
      </c>
      <c r="X4842">
        <v>0.97629540000000004</v>
      </c>
      <c r="Y4842">
        <v>-0.34122129999999901</v>
      </c>
      <c r="Z4842">
        <v>7.0865059999999994E-2</v>
      </c>
      <c r="AA4842">
        <v>0.93730800000000003</v>
      </c>
      <c r="AB4842">
        <v>34</v>
      </c>
      <c r="AC4842">
        <v>8.4474999999999891</v>
      </c>
      <c r="AD4842">
        <v>-1.1149152794199999</v>
      </c>
      <c r="AE4842">
        <v>-9.9155200000000008</v>
      </c>
      <c r="AF4842">
        <v>-4.5071538881431996</v>
      </c>
      <c r="AG4842">
        <v>-1.1149152794199999</v>
      </c>
      <c r="AH4842">
        <v>12.1204100300451</v>
      </c>
      <c r="AI4842">
        <v>94.927757282568194</v>
      </c>
      <c r="AJ4842">
        <v>110.398396167229</v>
      </c>
      <c r="AK4842">
        <v>12.9792839381881</v>
      </c>
      <c r="AL4842">
        <v>90.725655504292405</v>
      </c>
      <c r="AM4842">
        <v>102.47943123622601</v>
      </c>
      <c r="AN4842">
        <v>1.0000000632278301</v>
      </c>
    </row>
    <row r="4843" spans="1:40" x14ac:dyDescent="0.25">
      <c r="A4843" t="str">
        <f>"20190305135333181"</f>
        <v>20190305135333181</v>
      </c>
      <c r="B4843" t="str">
        <f>"1551765213174989"</f>
        <v>1551765213174989</v>
      </c>
      <c r="C4843" t="s">
        <v>40</v>
      </c>
      <c r="D4843">
        <v>4.2888089999999996</v>
      </c>
      <c r="E4843">
        <v>0.4486733</v>
      </c>
      <c r="F4843" t="s">
        <v>81</v>
      </c>
      <c r="G4843">
        <v>-410.87430000000001</v>
      </c>
      <c r="H4843" s="1">
        <v>-1.0346270000000001E-5</v>
      </c>
      <c r="I4843">
        <v>28.440190000000001</v>
      </c>
      <c r="J4843">
        <v>-419.51900000000001</v>
      </c>
      <c r="K4843">
        <v>1.1150059999999999</v>
      </c>
      <c r="L4843">
        <v>38.448120000000003</v>
      </c>
      <c r="M4843">
        <v>0.34642719999999999</v>
      </c>
      <c r="N4843">
        <v>-1.489323E-2</v>
      </c>
      <c r="O4843">
        <v>-0.93795879999999998</v>
      </c>
      <c r="P4843">
        <v>0.54524609999999996</v>
      </c>
      <c r="Q4843">
        <v>-2.3331939999999999E-2</v>
      </c>
      <c r="R4843">
        <v>-0.83795149999999996</v>
      </c>
      <c r="S4843">
        <v>1.963654</v>
      </c>
      <c r="T4843">
        <v>-0.2508976</v>
      </c>
      <c r="U4843">
        <v>-2.2996829999999999</v>
      </c>
      <c r="V4843">
        <v>-0.2210143</v>
      </c>
      <c r="W4843">
        <v>-1.1796589999999999E-2</v>
      </c>
      <c r="X4843">
        <v>0.97519920000000004</v>
      </c>
      <c r="Y4843">
        <v>-0.34378740000000002</v>
      </c>
      <c r="Z4843">
        <v>6.9649030000000001E-2</v>
      </c>
      <c r="AA4843">
        <v>0.93646099999999999</v>
      </c>
      <c r="AB4843">
        <v>34</v>
      </c>
      <c r="AC4843">
        <v>8.6447000000000003</v>
      </c>
      <c r="AD4843">
        <v>-1.11501634627</v>
      </c>
      <c r="AE4843">
        <v>-10.00793</v>
      </c>
      <c r="AF4843">
        <v>-4.6091019823961696</v>
      </c>
      <c r="AG4843">
        <v>-1.11501634627</v>
      </c>
      <c r="AH4843">
        <v>12.2957481400666</v>
      </c>
      <c r="AI4843">
        <v>94.853531568923799</v>
      </c>
      <c r="AJ4843">
        <v>110.548676725094</v>
      </c>
      <c r="AK4843">
        <v>13.178486440427401</v>
      </c>
      <c r="AL4843">
        <v>90.675910510341296</v>
      </c>
      <c r="AM4843">
        <v>102.769518487388</v>
      </c>
      <c r="AN4843">
        <v>0.99999998001037804</v>
      </c>
    </row>
    <row r="4844" spans="1:40" x14ac:dyDescent="0.25">
      <c r="A4844" t="str">
        <f>"20190305135333202"</f>
        <v>20190305135333202</v>
      </c>
      <c r="B4844" t="str">
        <f>"1551765213194508"</f>
        <v>1551765213194508</v>
      </c>
      <c r="C4844" t="s">
        <v>40</v>
      </c>
      <c r="D4844">
        <v>4.3379459999999996</v>
      </c>
      <c r="E4844">
        <v>0.4487969</v>
      </c>
      <c r="F4844" t="s">
        <v>81</v>
      </c>
      <c r="G4844">
        <v>-410.65469999999999</v>
      </c>
      <c r="H4844" s="1">
        <v>-1.0400680000000001E-5</v>
      </c>
      <c r="I4844">
        <v>28.18554</v>
      </c>
      <c r="J4844">
        <v>-419.40769999999998</v>
      </c>
      <c r="K4844">
        <v>1.115138</v>
      </c>
      <c r="L4844">
        <v>38.162689999999998</v>
      </c>
      <c r="M4844">
        <v>0.35185499999999997</v>
      </c>
      <c r="N4844">
        <v>-1.4903799999999899E-2</v>
      </c>
      <c r="O4844">
        <v>-0.93593599999999999</v>
      </c>
      <c r="P4844">
        <v>0.55441969999999996</v>
      </c>
      <c r="Q4844">
        <v>-2.257261E-2</v>
      </c>
      <c r="R4844">
        <v>-0.83193139999999999</v>
      </c>
      <c r="S4844">
        <v>1.9758910000000001</v>
      </c>
      <c r="T4844">
        <v>-0.2485414</v>
      </c>
      <c r="U4844">
        <v>-2.2875670000000001</v>
      </c>
      <c r="V4844">
        <v>-0.22607459999999999</v>
      </c>
      <c r="W4844">
        <v>-1.118486E-2</v>
      </c>
      <c r="X4844">
        <v>0.97404579999999996</v>
      </c>
      <c r="Y4844">
        <v>-0.34370810000000002</v>
      </c>
      <c r="Z4844">
        <v>6.8856769999999998E-2</v>
      </c>
      <c r="AA4844">
        <v>0.93654870000000001</v>
      </c>
      <c r="AB4844">
        <v>34</v>
      </c>
      <c r="AC4844">
        <v>8.7529999999999806</v>
      </c>
      <c r="AD4844">
        <v>-1.1151484006800001</v>
      </c>
      <c r="AE4844">
        <v>-9.97715</v>
      </c>
      <c r="AF4844">
        <v>-4.6494353729870497</v>
      </c>
      <c r="AG4844">
        <v>-1.1151484006800001</v>
      </c>
      <c r="AH4844">
        <v>12.332082553777999</v>
      </c>
      <c r="AI4844">
        <v>94.836434230840098</v>
      </c>
      <c r="AJ4844">
        <v>110.65742024371001</v>
      </c>
      <c r="AK4844">
        <v>13.2265288475971</v>
      </c>
      <c r="AL4844">
        <v>90.640858620083193</v>
      </c>
      <c r="AM4844">
        <v>103.066908077245</v>
      </c>
      <c r="AN4844">
        <v>1.000000023178</v>
      </c>
    </row>
    <row r="4845" spans="1:40" x14ac:dyDescent="0.25">
      <c r="A4845" t="str">
        <f>"20190305135333222"</f>
        <v>20190305135333222</v>
      </c>
      <c r="B4845" t="str">
        <f>"1551765213215008"</f>
        <v>1551765213215008</v>
      </c>
      <c r="C4845" t="s">
        <v>40</v>
      </c>
      <c r="D4845">
        <v>4.1820040000000001</v>
      </c>
      <c r="E4845">
        <v>0.43620530000000002</v>
      </c>
      <c r="F4845" t="s">
        <v>81</v>
      </c>
      <c r="G4845">
        <v>-410.32100000000003</v>
      </c>
      <c r="H4845" s="1">
        <v>-1.049005E-5</v>
      </c>
      <c r="I4845">
        <v>27.865570000000002</v>
      </c>
      <c r="J4845">
        <v>-419.28629999999998</v>
      </c>
      <c r="K4845">
        <v>1.1152869999999999</v>
      </c>
      <c r="L4845">
        <v>37.856990000000003</v>
      </c>
      <c r="M4845">
        <v>0.35782120000000001</v>
      </c>
      <c r="N4845">
        <v>-1.4915110000000001E-2</v>
      </c>
      <c r="O4845">
        <v>-0.93367089999999997</v>
      </c>
      <c r="P4845">
        <v>0.5644903</v>
      </c>
      <c r="Q4845">
        <v>-2.318535E-2</v>
      </c>
      <c r="R4845">
        <v>-0.82511399999999901</v>
      </c>
      <c r="S4845">
        <v>2.000092</v>
      </c>
      <c r="T4845">
        <v>-0.24545649999999999</v>
      </c>
      <c r="U4845">
        <v>-2.2665099999999998</v>
      </c>
      <c r="V4845">
        <v>-0.231684</v>
      </c>
      <c r="W4845">
        <v>-1.196554E-2</v>
      </c>
      <c r="X4845">
        <v>0.97271750000000001</v>
      </c>
      <c r="Y4845">
        <v>-0.34769919999999999</v>
      </c>
      <c r="Z4845">
        <v>6.7862510000000001E-2</v>
      </c>
      <c r="AA4845">
        <v>0.93514699999999995</v>
      </c>
      <c r="AB4845">
        <v>34</v>
      </c>
      <c r="AC4845">
        <v>8.9653000000000098</v>
      </c>
      <c r="AD4845">
        <v>-1.1152974900499999</v>
      </c>
      <c r="AE4845">
        <v>-9.9914199999999997</v>
      </c>
      <c r="AF4845">
        <v>-4.7631534747475701</v>
      </c>
      <c r="AG4845">
        <v>-1.1152974900499999</v>
      </c>
      <c r="AH4845">
        <v>12.4521160032306</v>
      </c>
      <c r="AI4845">
        <v>94.7819747453037</v>
      </c>
      <c r="AJ4845">
        <v>110.932732020153</v>
      </c>
      <c r="AK4845">
        <v>13.3785915728534</v>
      </c>
      <c r="AL4845">
        <v>90.685591307291105</v>
      </c>
      <c r="AM4845">
        <v>103.39721323456</v>
      </c>
      <c r="AN4845">
        <v>0.99999999240487003</v>
      </c>
    </row>
    <row r="4846" spans="1:40" x14ac:dyDescent="0.25">
      <c r="A4846" t="str">
        <f>"20190305135333237"</f>
        <v>20190305135333237</v>
      </c>
      <c r="B4846" t="str">
        <f>"1551765213234524"</f>
        <v>1551765213234524</v>
      </c>
      <c r="C4846" t="s">
        <v>40</v>
      </c>
      <c r="D4846">
        <v>4.1820320000000004</v>
      </c>
      <c r="E4846">
        <v>0.4275872</v>
      </c>
      <c r="F4846" t="s">
        <v>81</v>
      </c>
      <c r="G4846">
        <v>-409.15309999999999</v>
      </c>
      <c r="H4846" s="1">
        <v>-3.0714130000000001E-6</v>
      </c>
      <c r="I4846">
        <v>27.36018</v>
      </c>
      <c r="J4846">
        <v>-419.20740000000001</v>
      </c>
      <c r="K4846">
        <v>1.1153820000000001</v>
      </c>
      <c r="L4846">
        <v>37.662050000000001</v>
      </c>
      <c r="M4846">
        <v>0.3617322</v>
      </c>
      <c r="N4846">
        <v>-1.492283E-2</v>
      </c>
      <c r="O4846">
        <v>-0.93216279999999996</v>
      </c>
      <c r="P4846">
        <v>0.57066019999999995</v>
      </c>
      <c r="Q4846">
        <v>-2.344533E-2</v>
      </c>
      <c r="R4846">
        <v>-0.82085189999999997</v>
      </c>
      <c r="S4846">
        <v>2.1100460000000001</v>
      </c>
      <c r="T4846">
        <v>-0.23223779999999999</v>
      </c>
      <c r="U4846">
        <v>-2.1857600000000001</v>
      </c>
      <c r="V4846">
        <v>-0.2348923</v>
      </c>
      <c r="W4846">
        <v>-1.2329990000000001E-2</v>
      </c>
      <c r="X4846">
        <v>0.97194320000000001</v>
      </c>
      <c r="Y4846">
        <v>-0.3855017</v>
      </c>
      <c r="Z4846">
        <v>6.380972E-2</v>
      </c>
      <c r="AA4846">
        <v>0.92049809999999999</v>
      </c>
      <c r="AB4846">
        <v>34</v>
      </c>
      <c r="AC4846">
        <v>10.0543</v>
      </c>
      <c r="AD4846">
        <v>-1.11538507141299</v>
      </c>
      <c r="AE4846">
        <v>-10.301869999999999</v>
      </c>
      <c r="AF4846">
        <v>-5.6126570097551101</v>
      </c>
      <c r="AG4846">
        <v>-1.11538507141299</v>
      </c>
      <c r="AH4846">
        <v>13.162432034658901</v>
      </c>
      <c r="AI4846">
        <v>94.457143151008196</v>
      </c>
      <c r="AJ4846">
        <v>113.09412169580099</v>
      </c>
      <c r="AK4846">
        <v>14.3525474963053</v>
      </c>
      <c r="AL4846">
        <v>90.706474288067298</v>
      </c>
      <c r="AM4846">
        <v>103.586326873872</v>
      </c>
      <c r="AN4846">
        <v>1.00000000263946</v>
      </c>
    </row>
    <row r="4847" spans="1:40" x14ac:dyDescent="0.25">
      <c r="A4847" t="str">
        <f>"20190305135333251"</f>
        <v>20190305135333251</v>
      </c>
      <c r="B4847" t="str">
        <f>"1551765213245260"</f>
        <v>1551765213245260</v>
      </c>
      <c r="C4847" t="s">
        <v>40</v>
      </c>
      <c r="D4847">
        <v>4.1577999999999999</v>
      </c>
      <c r="E4847">
        <v>0.42492809999999998</v>
      </c>
      <c r="F4847" t="s">
        <v>81</v>
      </c>
      <c r="G4847">
        <v>-408.387</v>
      </c>
      <c r="H4847" s="1">
        <v>-3.4396040000000002E-6</v>
      </c>
      <c r="I4847">
        <v>27.101649999999999</v>
      </c>
      <c r="J4847">
        <v>-419.12860000000001</v>
      </c>
      <c r="K4847">
        <v>1.1154790000000001</v>
      </c>
      <c r="L4847">
        <v>37.469270000000002</v>
      </c>
      <c r="M4847">
        <v>0.36565740000000002</v>
      </c>
      <c r="N4847">
        <v>-1.493074E-2</v>
      </c>
      <c r="O4847">
        <v>-0.93062999999999996</v>
      </c>
      <c r="P4847">
        <v>0.57708210000000004</v>
      </c>
      <c r="Q4847">
        <v>-2.3332619999999998E-2</v>
      </c>
      <c r="R4847">
        <v>-0.816353</v>
      </c>
      <c r="S4847">
        <v>2.1830750000000001</v>
      </c>
      <c r="T4847">
        <v>-0.22503500000000001</v>
      </c>
      <c r="U4847">
        <v>-2.1306150000000001</v>
      </c>
      <c r="V4847">
        <v>-0.23841589999999999</v>
      </c>
      <c r="W4847">
        <v>-1.232988E-2</v>
      </c>
      <c r="X4847">
        <v>0.97108490000000003</v>
      </c>
      <c r="Y4847">
        <v>-0.40900609999999998</v>
      </c>
      <c r="Z4847">
        <v>6.1549380000000001E-2</v>
      </c>
      <c r="AA4847">
        <v>0.91045359999999997</v>
      </c>
      <c r="AB4847">
        <v>34</v>
      </c>
      <c r="AC4847">
        <v>10.7416</v>
      </c>
      <c r="AD4847">
        <v>-1.115482439604</v>
      </c>
      <c r="AE4847">
        <v>-10.367620000000001</v>
      </c>
      <c r="AF4847">
        <v>-6.1716914874001301</v>
      </c>
      <c r="AG4847">
        <v>-1.115482439604</v>
      </c>
      <c r="AH4847">
        <v>13.5022895887078</v>
      </c>
      <c r="AI4847">
        <v>94.296973801961201</v>
      </c>
      <c r="AJ4847">
        <v>114.56442035552701</v>
      </c>
      <c r="AK4847">
        <v>14.8877769000627</v>
      </c>
      <c r="AL4847">
        <v>90.706467969141002</v>
      </c>
      <c r="AM4847">
        <v>103.794133300932</v>
      </c>
      <c r="AN4847">
        <v>1.0000000251608101</v>
      </c>
    </row>
    <row r="4848" spans="1:40" x14ac:dyDescent="0.25">
      <c r="A4848" t="str">
        <f>"20190305135333263"</f>
        <v>20190305135333263</v>
      </c>
      <c r="B4848" t="str">
        <f>"1551765213255020"</f>
        <v>1551765213255020</v>
      </c>
      <c r="C4848" t="s">
        <v>40</v>
      </c>
      <c r="D4848">
        <v>4.1463590000000003</v>
      </c>
      <c r="E4848">
        <v>0.4228422</v>
      </c>
      <c r="F4848" t="s">
        <v>41</v>
      </c>
      <c r="G4848">
        <v>-418.3691</v>
      </c>
      <c r="H4848">
        <v>1.038724</v>
      </c>
      <c r="I4848">
        <v>36.749079999999999</v>
      </c>
      <c r="J4848">
        <v>-419.05090000000001</v>
      </c>
      <c r="K4848">
        <v>1.115578</v>
      </c>
      <c r="L4848">
        <v>37.281309999999998</v>
      </c>
      <c r="M4848">
        <v>0.36954890000000001</v>
      </c>
      <c r="N4848">
        <v>-1.493892E-2</v>
      </c>
      <c r="O4848">
        <v>-0.92909129999999995</v>
      </c>
      <c r="P4848">
        <v>0.5834838</v>
      </c>
      <c r="Q4848">
        <v>-2.3555650000000001E-2</v>
      </c>
      <c r="R4848">
        <v>-0.81178319999999904</v>
      </c>
      <c r="S4848">
        <v>2.217041</v>
      </c>
      <c r="T4848">
        <v>-0.2239921</v>
      </c>
      <c r="U4848">
        <v>-2.1012879999999998</v>
      </c>
      <c r="V4848">
        <v>-0.241981</v>
      </c>
      <c r="W4848">
        <v>-1.2668570000000001E-2</v>
      </c>
      <c r="X4848">
        <v>0.97019829999999996</v>
      </c>
      <c r="Y4848">
        <v>-0.41850409999999999</v>
      </c>
      <c r="Z4848">
        <v>6.1261860000000001E-2</v>
      </c>
      <c r="AA4848">
        <v>0.90614640000000002</v>
      </c>
      <c r="AB4848">
        <v>34</v>
      </c>
      <c r="AC4848">
        <v>0.68180000000000895</v>
      </c>
      <c r="AD4848">
        <v>-7.6853999999999895E-2</v>
      </c>
      <c r="AE4848">
        <v>-0.53222999999999798</v>
      </c>
      <c r="AF4848">
        <v>-0.433396398206152</v>
      </c>
      <c r="AG4848">
        <v>-7.6853999999999895E-2</v>
      </c>
      <c r="AH4848">
        <v>0.74068410364460302</v>
      </c>
      <c r="AI4848">
        <v>95.117546423069598</v>
      </c>
      <c r="AJ4848">
        <v>120.333177871473</v>
      </c>
      <c r="AK4848">
        <v>0.86159846604196999</v>
      </c>
      <c r="AL4848">
        <v>90.725874996698906</v>
      </c>
      <c r="AM4848">
        <v>104.00463664887501</v>
      </c>
      <c r="AN4848">
        <v>1.0000000191748599</v>
      </c>
    </row>
    <row r="4849" spans="1:40" x14ac:dyDescent="0.25">
      <c r="A4849" t="str">
        <f>"20190305135333279"</f>
        <v>20190305135333279</v>
      </c>
      <c r="B4849" t="str">
        <f>"1551765213274540"</f>
        <v>1551765213274540</v>
      </c>
      <c r="C4849" t="s">
        <v>40</v>
      </c>
      <c r="D4849">
        <v>4.1848479999999997</v>
      </c>
      <c r="E4849">
        <v>0.41976780000000002</v>
      </c>
      <c r="F4849" t="s">
        <v>81</v>
      </c>
      <c r="G4849">
        <v>-407.87009999999998</v>
      </c>
      <c r="H4849" s="1">
        <v>-3.6741819999999998E-6</v>
      </c>
      <c r="I4849">
        <v>26.958010000000002</v>
      </c>
      <c r="J4849">
        <v>-418.96050000000002</v>
      </c>
      <c r="K4849">
        <v>1.1157029999999999</v>
      </c>
      <c r="L4849">
        <v>37.06671</v>
      </c>
      <c r="M4849">
        <v>0.37410539999999998</v>
      </c>
      <c r="N4849">
        <v>-1.49496E-2</v>
      </c>
      <c r="O4849">
        <v>-0.92726600000000003</v>
      </c>
      <c r="P4849">
        <v>0.59306759999999903</v>
      </c>
      <c r="Q4849">
        <v>-2.3427989999999999E-2</v>
      </c>
      <c r="R4849">
        <v>-0.80481190000000002</v>
      </c>
      <c r="S4849">
        <v>2.2465820000000001</v>
      </c>
      <c r="T4849">
        <v>-0.22415579999999999</v>
      </c>
      <c r="U4849">
        <v>-2.0742799999999999</v>
      </c>
      <c r="V4849">
        <v>-0.24870990000000001</v>
      </c>
      <c r="W4849">
        <v>-1.272646E-2</v>
      </c>
      <c r="X4849">
        <v>0.96849439999999998</v>
      </c>
      <c r="Y4849">
        <v>-0.4258575</v>
      </c>
      <c r="Z4849">
        <v>6.135405E-2</v>
      </c>
      <c r="AA4849">
        <v>0.90270760000000005</v>
      </c>
      <c r="AB4849">
        <v>34</v>
      </c>
      <c r="AC4849">
        <v>11.090400000000001</v>
      </c>
      <c r="AD4849">
        <v>-1.1157066741820001</v>
      </c>
      <c r="AE4849">
        <v>-10.108700000000001</v>
      </c>
      <c r="AF4849">
        <v>-6.4670070560060902</v>
      </c>
      <c r="AG4849">
        <v>-1.1157066741820001</v>
      </c>
      <c r="AH4849">
        <v>13.449590973181801</v>
      </c>
      <c r="AI4849">
        <v>94.2755505517611</v>
      </c>
      <c r="AJ4849">
        <v>115.67978293716</v>
      </c>
      <c r="AK4849">
        <v>14.965242363261</v>
      </c>
      <c r="AL4849">
        <v>90.729192138011996</v>
      </c>
      <c r="AM4849">
        <v>104.402375566003</v>
      </c>
      <c r="AN4849">
        <v>0.99999998998674999</v>
      </c>
    </row>
    <row r="4850" spans="1:40" x14ac:dyDescent="0.25">
      <c r="A4850" t="str">
        <f>"20190305135333293"</f>
        <v>20190305135333293</v>
      </c>
      <c r="B4850" t="str">
        <f>"1551765213285276"</f>
        <v>1551765213285276</v>
      </c>
      <c r="C4850" t="s">
        <v>40</v>
      </c>
      <c r="D4850">
        <v>4.310981</v>
      </c>
      <c r="E4850">
        <v>0.41923290000000002</v>
      </c>
      <c r="F4850" t="s">
        <v>41</v>
      </c>
      <c r="G4850">
        <v>-418.22070000000002</v>
      </c>
      <c r="H4850">
        <v>1.0434019999999999</v>
      </c>
      <c r="I4850">
        <v>36.410159999999998</v>
      </c>
      <c r="J4850">
        <v>-418.88150000000002</v>
      </c>
      <c r="K4850">
        <v>1.1158129999999999</v>
      </c>
      <c r="L4850">
        <v>36.8812</v>
      </c>
      <c r="M4850">
        <v>0.37812040000000002</v>
      </c>
      <c r="N4850">
        <v>-1.495923E-2</v>
      </c>
      <c r="O4850">
        <v>-0.92563550000000006</v>
      </c>
      <c r="P4850">
        <v>0.59918959999999999</v>
      </c>
      <c r="Q4850">
        <v>-2.306534E-2</v>
      </c>
      <c r="R4850">
        <v>-0.80027479999999995</v>
      </c>
      <c r="S4850">
        <v>2.290619</v>
      </c>
      <c r="T4850">
        <v>-0.22388089999999999</v>
      </c>
      <c r="U4850">
        <v>-2.0330509999999999</v>
      </c>
      <c r="V4850">
        <v>-0.25189669999999997</v>
      </c>
      <c r="W4850">
        <v>-1.24799E-2</v>
      </c>
      <c r="X4850">
        <v>0.96767369999999997</v>
      </c>
      <c r="Y4850">
        <v>-0.4396156</v>
      </c>
      <c r="Z4850">
        <v>6.1388129999999999E-2</v>
      </c>
      <c r="AA4850">
        <v>0.89608569999999999</v>
      </c>
      <c r="AB4850">
        <v>34</v>
      </c>
      <c r="AC4850">
        <v>0.66079999999999395</v>
      </c>
      <c r="AD4850">
        <v>-7.2411000000000003E-2</v>
      </c>
      <c r="AE4850">
        <v>-0.47104000000000201</v>
      </c>
      <c r="AF4850">
        <v>-0.43017354225559401</v>
      </c>
      <c r="AG4850">
        <v>-7.2411000000000003E-2</v>
      </c>
      <c r="AH4850">
        <v>0.68053160674151503</v>
      </c>
      <c r="AI4850">
        <v>95.139429115957299</v>
      </c>
      <c r="AJ4850">
        <v>122.297552861527</v>
      </c>
      <c r="AK4850">
        <v>0.80834144836938404</v>
      </c>
      <c r="AL4850">
        <v>90.715064130779993</v>
      </c>
      <c r="AM4850">
        <v>104.590938428727</v>
      </c>
      <c r="AN4850">
        <v>1.00000004252329</v>
      </c>
    </row>
    <row r="4851" spans="1:40" x14ac:dyDescent="0.25">
      <c r="A4851" t="str">
        <f>"20190305135333305"</f>
        <v>20190305135333305</v>
      </c>
      <c r="B4851" t="str">
        <f>"1551765213295036"</f>
        <v>1551765213295036</v>
      </c>
      <c r="C4851" t="s">
        <v>40</v>
      </c>
      <c r="D4851">
        <v>4.1695379999999904</v>
      </c>
      <c r="E4851">
        <v>0.41810750000000002</v>
      </c>
      <c r="F4851" t="s">
        <v>41</v>
      </c>
      <c r="G4851">
        <v>-418.11320000000001</v>
      </c>
      <c r="H4851">
        <v>1.0405580000000001</v>
      </c>
      <c r="I4851">
        <v>36.211170000000003</v>
      </c>
      <c r="J4851">
        <v>-418.80270000000002</v>
      </c>
      <c r="K4851">
        <v>1.1159269999999999</v>
      </c>
      <c r="L4851">
        <v>36.698120000000003</v>
      </c>
      <c r="M4851">
        <v>0.38214049999999999</v>
      </c>
      <c r="N4851">
        <v>-1.4968789999999999E-2</v>
      </c>
      <c r="O4851">
        <v>-0.923983</v>
      </c>
      <c r="P4851">
        <v>0.60529500000000003</v>
      </c>
      <c r="Q4851">
        <v>-2.2067259999999998E-2</v>
      </c>
      <c r="R4851">
        <v>-0.7956955</v>
      </c>
      <c r="S4851">
        <v>2.3094480000000002</v>
      </c>
      <c r="T4851">
        <v>-0.2261252</v>
      </c>
      <c r="U4851">
        <v>-2.0130309999999998</v>
      </c>
      <c r="V4851">
        <v>-0.2550925</v>
      </c>
      <c r="W4851">
        <v>-1.160161E-2</v>
      </c>
      <c r="X4851">
        <v>0.96684709999999996</v>
      </c>
      <c r="Y4851">
        <v>-0.44370189999999998</v>
      </c>
      <c r="Z4851">
        <v>6.2163169999999997E-2</v>
      </c>
      <c r="AA4851">
        <v>0.89401589999999997</v>
      </c>
      <c r="AB4851">
        <v>34</v>
      </c>
      <c r="AC4851">
        <v>0.68950000000000899</v>
      </c>
      <c r="AD4851">
        <v>-7.5369000000000005E-2</v>
      </c>
      <c r="AE4851">
        <v>-0.48694999999999999</v>
      </c>
      <c r="AF4851">
        <v>-0.44748601554790601</v>
      </c>
      <c r="AG4851">
        <v>-7.5369000000000005E-2</v>
      </c>
      <c r="AH4851">
        <v>0.70785611199915999</v>
      </c>
      <c r="AI4851">
        <v>95.142730197925601</v>
      </c>
      <c r="AJ4851">
        <v>122.29988186743201</v>
      </c>
      <c r="AK4851">
        <v>0.84082370064509304</v>
      </c>
      <c r="AL4851">
        <v>90.664738169320401</v>
      </c>
      <c r="AM4851">
        <v>104.780082933065</v>
      </c>
      <c r="AN4851">
        <v>1.00000004784462</v>
      </c>
    </row>
    <row r="4852" spans="1:40" x14ac:dyDescent="0.25">
      <c r="A4852" t="str">
        <f>"20190305135333319"</f>
        <v>20190305135333319</v>
      </c>
      <c r="B4852" t="str">
        <f>"1551765213314556"</f>
        <v>1551765213314556</v>
      </c>
      <c r="C4852" t="s">
        <v>40</v>
      </c>
      <c r="D4852">
        <v>4.202369</v>
      </c>
      <c r="E4852">
        <v>0.4163847</v>
      </c>
      <c r="F4852" t="s">
        <v>41</v>
      </c>
      <c r="G4852">
        <v>-417.94799999999998</v>
      </c>
      <c r="H4852">
        <v>1.034653</v>
      </c>
      <c r="I4852">
        <v>35.968640000000001</v>
      </c>
      <c r="J4852">
        <v>-418.7217</v>
      </c>
      <c r="K4852">
        <v>1.116055</v>
      </c>
      <c r="L4852">
        <v>36.513089999999998</v>
      </c>
      <c r="M4852">
        <v>0.38632830000000001</v>
      </c>
      <c r="N4852">
        <v>-1.498035E-2</v>
      </c>
      <c r="O4852">
        <v>-0.9222399</v>
      </c>
      <c r="P4852">
        <v>0.61143740000000002</v>
      </c>
      <c r="Q4852">
        <v>-2.1024009999999999E-2</v>
      </c>
      <c r="R4852">
        <v>-0.79101379999999999</v>
      </c>
      <c r="S4852">
        <v>2.3321529999999999</v>
      </c>
      <c r="T4852">
        <v>-0.2217288</v>
      </c>
      <c r="U4852">
        <v>-1.990021</v>
      </c>
      <c r="V4852">
        <v>-0.25819189999999997</v>
      </c>
      <c r="W4852">
        <v>-1.0682280000000001E-2</v>
      </c>
      <c r="X4852">
        <v>0.96603459999999997</v>
      </c>
      <c r="Y4852">
        <v>-0.44911060000000003</v>
      </c>
      <c r="Z4852">
        <v>6.0750190000000003E-2</v>
      </c>
      <c r="AA4852">
        <v>0.89140849999999905</v>
      </c>
      <c r="AB4852">
        <v>34</v>
      </c>
      <c r="AC4852">
        <v>0.77369999999996197</v>
      </c>
      <c r="AD4852">
        <v>-8.1401999999999905E-2</v>
      </c>
      <c r="AE4852">
        <v>-0.54445000000000399</v>
      </c>
      <c r="AF4852">
        <v>-0.49955852643712001</v>
      </c>
      <c r="AG4852">
        <v>-8.1401999999999905E-2</v>
      </c>
      <c r="AH4852">
        <v>0.79521816559547098</v>
      </c>
      <c r="AI4852">
        <v>94.954003854987604</v>
      </c>
      <c r="AJ4852">
        <v>122.13716615433</v>
      </c>
      <c r="AK4852">
        <v>0.94263298151138997</v>
      </c>
      <c r="AL4852">
        <v>90.612061195330398</v>
      </c>
      <c r="AM4852">
        <v>104.96367650585</v>
      </c>
      <c r="AN4852">
        <v>1.0000000083643801</v>
      </c>
    </row>
    <row r="4853" spans="1:40" x14ac:dyDescent="0.25">
      <c r="A4853" t="str">
        <f>"20190305135333334"</f>
        <v>20190305135333334</v>
      </c>
      <c r="B4853" t="str">
        <f>"1551765213325293"</f>
        <v>1551765213325293</v>
      </c>
      <c r="C4853" t="s">
        <v>40</v>
      </c>
      <c r="D4853">
        <v>4.1805830000000004</v>
      </c>
      <c r="E4853">
        <v>0.41568739999999998</v>
      </c>
      <c r="F4853" t="s">
        <v>41</v>
      </c>
      <c r="G4853">
        <v>-418.01170000000002</v>
      </c>
      <c r="H4853">
        <v>1.051015</v>
      </c>
      <c r="I4853">
        <v>35.921810000000001</v>
      </c>
      <c r="J4853">
        <v>-418.6318</v>
      </c>
      <c r="K4853">
        <v>1.1162000000000001</v>
      </c>
      <c r="L4853">
        <v>36.310699999999997</v>
      </c>
      <c r="M4853">
        <v>0.39099309999999998</v>
      </c>
      <c r="N4853">
        <v>-1.4993930000000001E-2</v>
      </c>
      <c r="O4853">
        <v>-0.92027159999999997</v>
      </c>
      <c r="P4853">
        <v>0.62067910000000004</v>
      </c>
      <c r="Q4853">
        <v>-1.8452260000000002E-2</v>
      </c>
      <c r="R4853">
        <v>-0.78384779999999998</v>
      </c>
      <c r="S4853">
        <v>2.3583980000000002</v>
      </c>
      <c r="T4853">
        <v>-0.2160339</v>
      </c>
      <c r="U4853">
        <v>-1.9638370000000001</v>
      </c>
      <c r="V4853">
        <v>-0.2646443</v>
      </c>
      <c r="W4853">
        <v>-8.3112469999999904E-3</v>
      </c>
      <c r="X4853">
        <v>0.96431029999999995</v>
      </c>
      <c r="Y4853">
        <v>-0.45540409999999998</v>
      </c>
      <c r="Z4853">
        <v>5.8902990000000002E-2</v>
      </c>
      <c r="AA4853">
        <v>0.88833419999999896</v>
      </c>
      <c r="AB4853">
        <v>34</v>
      </c>
      <c r="AC4853">
        <v>0.620099999999979</v>
      </c>
      <c r="AD4853">
        <v>-6.5185000000000007E-2</v>
      </c>
      <c r="AE4853">
        <v>-0.38888999999999602</v>
      </c>
      <c r="AF4853">
        <v>-0.41535992436761598</v>
      </c>
      <c r="AG4853">
        <v>-6.5185000000000007E-2</v>
      </c>
      <c r="AH4853">
        <v>0.59568233665215597</v>
      </c>
      <c r="AI4853">
        <v>95.129249375540695</v>
      </c>
      <c r="AJ4853">
        <v>124.88745753877799</v>
      </c>
      <c r="AK4853">
        <v>0.72911617537608198</v>
      </c>
      <c r="AL4853">
        <v>90.476204849333101</v>
      </c>
      <c r="AM4853">
        <v>105.34636092950301</v>
      </c>
      <c r="AN4853">
        <v>1.0000000185176301</v>
      </c>
    </row>
    <row r="4854" spans="1:40" x14ac:dyDescent="0.25">
      <c r="A4854" t="str">
        <f>"20190305135333356"</f>
        <v>20190305135333356</v>
      </c>
      <c r="B4854" t="str">
        <f>"1551765213344812"</f>
        <v>1551765213344812</v>
      </c>
      <c r="C4854" t="s">
        <v>40</v>
      </c>
      <c r="D4854">
        <v>4.2194699999999896</v>
      </c>
      <c r="E4854">
        <v>0.41519329999999999</v>
      </c>
      <c r="F4854" t="s">
        <v>41</v>
      </c>
      <c r="G4854">
        <v>-417.85140000000001</v>
      </c>
      <c r="H4854">
        <v>1.0480780000000001</v>
      </c>
      <c r="I4854">
        <v>35.678339999999999</v>
      </c>
      <c r="J4854">
        <v>-418.49470000000002</v>
      </c>
      <c r="K4854">
        <v>1.1164190000000001</v>
      </c>
      <c r="L4854">
        <v>36.00723</v>
      </c>
      <c r="M4854">
        <v>0.39819280000000001</v>
      </c>
      <c r="N4854">
        <v>-1.5016150000000001E-2</v>
      </c>
      <c r="O4854">
        <v>-0.91717879999999996</v>
      </c>
      <c r="P4854">
        <v>0.63198730000000003</v>
      </c>
      <c r="Q4854">
        <v>-1.6505860000000001E-2</v>
      </c>
      <c r="R4854">
        <v>-0.77480269999999996</v>
      </c>
      <c r="S4854">
        <v>2.386047</v>
      </c>
      <c r="T4854">
        <v>-0.20824670000000001</v>
      </c>
      <c r="U4854">
        <v>-1.933044</v>
      </c>
      <c r="V4854">
        <v>-0.2710825</v>
      </c>
      <c r="W4854">
        <v>-6.613992E-3</v>
      </c>
      <c r="X4854">
        <v>0.96253339999999998</v>
      </c>
      <c r="Y4854">
        <v>-0.46051189999999997</v>
      </c>
      <c r="Z4854">
        <v>5.6364980000000002E-2</v>
      </c>
      <c r="AA4854">
        <v>0.88586219999999904</v>
      </c>
      <c r="AB4854">
        <v>34</v>
      </c>
      <c r="AC4854">
        <v>0.64330000000000997</v>
      </c>
      <c r="AD4854">
        <v>-6.8340999999999902E-2</v>
      </c>
      <c r="AE4854">
        <v>-0.32888999999999402</v>
      </c>
      <c r="AF4854">
        <v>-0.455039916958142</v>
      </c>
      <c r="AG4854">
        <v>-6.8340999999999902E-2</v>
      </c>
      <c r="AH4854">
        <v>0.55292413276756902</v>
      </c>
      <c r="AI4854">
        <v>95.451579510236101</v>
      </c>
      <c r="AJ4854">
        <v>129.453352121801</v>
      </c>
      <c r="AK4854">
        <v>0.71934478166108995</v>
      </c>
      <c r="AL4854">
        <v>90.378956587842296</v>
      </c>
      <c r="AM4854">
        <v>105.72904490082701</v>
      </c>
      <c r="AN4854">
        <v>1.00000000640599</v>
      </c>
    </row>
    <row r="4855" spans="1:40" x14ac:dyDescent="0.25">
      <c r="A4855" t="str">
        <f>"20190305135333372"</f>
        <v>20190305135333372</v>
      </c>
      <c r="B4855" t="str">
        <f>"1551765213365308"</f>
        <v>1551765213365308</v>
      </c>
      <c r="C4855" t="s">
        <v>40</v>
      </c>
      <c r="D4855">
        <v>4.253266</v>
      </c>
      <c r="E4855">
        <v>0.41448869999999999</v>
      </c>
      <c r="F4855" t="s">
        <v>41</v>
      </c>
      <c r="G4855">
        <v>-417.7287</v>
      </c>
      <c r="H4855">
        <v>1.052233</v>
      </c>
      <c r="I4855">
        <v>35.40643</v>
      </c>
      <c r="J4855">
        <v>-418.39920000000001</v>
      </c>
      <c r="K4855">
        <v>1.116574</v>
      </c>
      <c r="L4855">
        <v>35.799529999999997</v>
      </c>
      <c r="M4855">
        <v>0.40327780000000002</v>
      </c>
      <c r="N4855">
        <v>-1.5032800000000001E-2</v>
      </c>
      <c r="O4855">
        <v>-0.91495420000000005</v>
      </c>
      <c r="P4855">
        <v>0.63867439999999998</v>
      </c>
      <c r="Q4855">
        <v>-1.643141E-2</v>
      </c>
      <c r="R4855">
        <v>-0.76930180000000004</v>
      </c>
      <c r="S4855">
        <v>2.4169309999999999</v>
      </c>
      <c r="T4855">
        <v>-0.2025585</v>
      </c>
      <c r="U4855">
        <v>-1.89621</v>
      </c>
      <c r="V4855">
        <v>-0.27407169999999997</v>
      </c>
      <c r="W4855">
        <v>-6.6903379999999997E-3</v>
      </c>
      <c r="X4855">
        <v>0.96168600000000004</v>
      </c>
      <c r="Y4855">
        <v>-0.46950609999999998</v>
      </c>
      <c r="Z4855">
        <v>5.4619689999999999E-2</v>
      </c>
      <c r="AA4855">
        <v>0.88123819999999997</v>
      </c>
      <c r="AB4855">
        <v>34</v>
      </c>
      <c r="AC4855">
        <v>0.67050000000000398</v>
      </c>
      <c r="AD4855">
        <v>-6.4340999999999898E-2</v>
      </c>
      <c r="AE4855">
        <v>-0.39309999999999601</v>
      </c>
      <c r="AF4855">
        <v>-0.45190286484028702</v>
      </c>
      <c r="AG4855">
        <v>-6.4340999999999898E-2</v>
      </c>
      <c r="AH4855">
        <v>0.62584859842141005</v>
      </c>
      <c r="AI4855">
        <v>94.764530382598707</v>
      </c>
      <c r="AJ4855">
        <v>125.831702045141</v>
      </c>
      <c r="AK4855">
        <v>0.77462405828756897</v>
      </c>
      <c r="AL4855">
        <v>90.383330986815594</v>
      </c>
      <c r="AM4855">
        <v>105.907066474141</v>
      </c>
      <c r="AN4855">
        <v>1.0000000099797199</v>
      </c>
    </row>
    <row r="4856" spans="1:40" x14ac:dyDescent="0.25">
      <c r="A4856" t="str">
        <f>"20190305135333390"</f>
        <v>20190305135333390</v>
      </c>
      <c r="B4856" t="str">
        <f>"1551765213384828"</f>
        <v>1551765213384828</v>
      </c>
      <c r="C4856" t="s">
        <v>40</v>
      </c>
      <c r="D4856">
        <v>4.2784810000000002</v>
      </c>
      <c r="E4856">
        <v>0.4142574</v>
      </c>
      <c r="F4856" t="s">
        <v>41</v>
      </c>
      <c r="G4856">
        <v>-417.56900000000002</v>
      </c>
      <c r="H4856">
        <v>1.048632</v>
      </c>
      <c r="I4856">
        <v>35.161659999999998</v>
      </c>
      <c r="J4856">
        <v>-418.27679999999998</v>
      </c>
      <c r="K4856">
        <v>1.1167879999999999</v>
      </c>
      <c r="L4856">
        <v>35.538600000000002</v>
      </c>
      <c r="M4856">
        <v>0.40986800000000001</v>
      </c>
      <c r="N4856">
        <v>-1.505629E-2</v>
      </c>
      <c r="O4856">
        <v>-0.91202070000000002</v>
      </c>
      <c r="P4856">
        <v>0.64858979999999999</v>
      </c>
      <c r="Q4856">
        <v>-1.7753629999999999E-2</v>
      </c>
      <c r="R4856">
        <v>-0.76093109999999997</v>
      </c>
      <c r="S4856">
        <v>2.4376530000000001</v>
      </c>
      <c r="T4856">
        <v>-0.19939599999999999</v>
      </c>
      <c r="U4856">
        <v>-1.8716740000000001</v>
      </c>
      <c r="V4856">
        <v>-0.27957579999999999</v>
      </c>
      <c r="W4856">
        <v>-8.2508419999999996E-3</v>
      </c>
      <c r="X4856">
        <v>0.9600881</v>
      </c>
      <c r="Y4856">
        <v>-0.47238869999999999</v>
      </c>
      <c r="Z4856">
        <v>5.3574360000000001E-2</v>
      </c>
      <c r="AA4856">
        <v>0.8797606</v>
      </c>
      <c r="AB4856">
        <v>34</v>
      </c>
      <c r="AC4856">
        <v>0.70779999999996301</v>
      </c>
      <c r="AD4856">
        <v>-6.81559999999998E-2</v>
      </c>
      <c r="AE4856">
        <v>-0.37694000000000399</v>
      </c>
      <c r="AF4856">
        <v>-0.48756623532329901</v>
      </c>
      <c r="AG4856">
        <v>-6.81559999999998E-2</v>
      </c>
      <c r="AH4856">
        <v>0.62940685908896499</v>
      </c>
      <c r="AI4856">
        <v>94.892916281253804</v>
      </c>
      <c r="AJ4856">
        <v>127.762938114552</v>
      </c>
      <c r="AK4856">
        <v>0.79907388171030302</v>
      </c>
      <c r="AL4856">
        <v>90.472743820038204</v>
      </c>
      <c r="AM4856">
        <v>106.235457816335</v>
      </c>
      <c r="AN4856">
        <v>0.99999993205047699</v>
      </c>
    </row>
    <row r="4857" spans="1:40" x14ac:dyDescent="0.25">
      <c r="A4857" t="str">
        <f>"20190305135333413"</f>
        <v>20190305135333413</v>
      </c>
      <c r="B4857" t="str">
        <f>"1551765213405324"</f>
        <v>1551765213405324</v>
      </c>
      <c r="C4857" t="s">
        <v>40</v>
      </c>
      <c r="D4857">
        <v>4.2125870000000001</v>
      </c>
      <c r="E4857">
        <v>0.41407870000000002</v>
      </c>
      <c r="F4857" t="s">
        <v>41</v>
      </c>
      <c r="G4857">
        <v>-417.42720000000003</v>
      </c>
      <c r="H4857">
        <v>1.0472950000000001</v>
      </c>
      <c r="I4857">
        <v>34.904440000000001</v>
      </c>
      <c r="J4857">
        <v>-418.13150000000002</v>
      </c>
      <c r="K4857">
        <v>1.117048</v>
      </c>
      <c r="L4857">
        <v>35.235750000000003</v>
      </c>
      <c r="M4857">
        <v>0.4178209</v>
      </c>
      <c r="N4857">
        <v>-1.508757E-2</v>
      </c>
      <c r="O4857">
        <v>-0.90840430000000005</v>
      </c>
      <c r="P4857">
        <v>0.65941689999999997</v>
      </c>
      <c r="Q4857">
        <v>-1.8608889999999999E-2</v>
      </c>
      <c r="R4857">
        <v>-0.75154719999999997</v>
      </c>
      <c r="S4857">
        <v>2.4631959999999999</v>
      </c>
      <c r="T4857">
        <v>-0.20146069999999999</v>
      </c>
      <c r="U4857">
        <v>-1.8383179999999999</v>
      </c>
      <c r="V4857">
        <v>-0.28491359999999999</v>
      </c>
      <c r="W4857">
        <v>-9.3754549999999996E-3</v>
      </c>
      <c r="X4857">
        <v>0.95850740000000001</v>
      </c>
      <c r="Y4857">
        <v>-0.47667379999999998</v>
      </c>
      <c r="Z4857">
        <v>5.4289270000000001E-2</v>
      </c>
      <c r="AA4857">
        <v>0.87740229999999997</v>
      </c>
      <c r="AB4857">
        <v>34</v>
      </c>
      <c r="AC4857">
        <v>0.70429999999998905</v>
      </c>
      <c r="AD4857">
        <v>-6.9752999999999898E-2</v>
      </c>
      <c r="AE4857">
        <v>-0.33131000000000199</v>
      </c>
      <c r="AF4857">
        <v>-0.49742288252924699</v>
      </c>
      <c r="AG4857">
        <v>-6.9752999999999898E-2</v>
      </c>
      <c r="AH4857">
        <v>0.59055931750493096</v>
      </c>
      <c r="AI4857">
        <v>95.161975968272699</v>
      </c>
      <c r="AJ4857">
        <v>130.10713825002099</v>
      </c>
      <c r="AK4857">
        <v>0.77527757130243002</v>
      </c>
      <c r="AL4857">
        <v>90.537181846973496</v>
      </c>
      <c r="AM4857">
        <v>106.554431830021</v>
      </c>
      <c r="AN4857">
        <v>1.0000000472380799</v>
      </c>
    </row>
    <row r="4858" spans="1:40" x14ac:dyDescent="0.25">
      <c r="A4858" t="str">
        <f>"20190305135333425"</f>
        <v>20190305135333425</v>
      </c>
      <c r="B4858" t="str">
        <f>"1551765213415084"</f>
        <v>1551765213415084</v>
      </c>
      <c r="C4858" t="s">
        <v>40</v>
      </c>
      <c r="D4858">
        <v>4.2638369999999997</v>
      </c>
      <c r="E4858">
        <v>0.4138423</v>
      </c>
      <c r="F4858" t="s">
        <v>41</v>
      </c>
      <c r="G4858">
        <v>-417.30180000000001</v>
      </c>
      <c r="H4858">
        <v>1.04942</v>
      </c>
      <c r="I4858">
        <v>34.635280000000002</v>
      </c>
      <c r="J4858">
        <v>-418.04989999999998</v>
      </c>
      <c r="K4858">
        <v>1.117197</v>
      </c>
      <c r="L4858">
        <v>35.068049999999999</v>
      </c>
      <c r="M4858">
        <v>0.42233140000000002</v>
      </c>
      <c r="N4858">
        <v>-1.5105739999999999E-2</v>
      </c>
      <c r="O4858">
        <v>-0.90631569999999995</v>
      </c>
      <c r="P4858">
        <v>0.66536309999999999</v>
      </c>
      <c r="Q4858">
        <v>-1.8670510000000001E-2</v>
      </c>
      <c r="R4858">
        <v>-0.74628669999999997</v>
      </c>
      <c r="S4858">
        <v>2.490021</v>
      </c>
      <c r="T4858">
        <v>-0.2029552</v>
      </c>
      <c r="U4858">
        <v>-1.801971</v>
      </c>
      <c r="V4858">
        <v>-0.28775279999999998</v>
      </c>
      <c r="W4858">
        <v>-9.5897770000000007E-3</v>
      </c>
      <c r="X4858">
        <v>0.95765670000000003</v>
      </c>
      <c r="Y4858">
        <v>-0.48514410000000002</v>
      </c>
      <c r="Z4858">
        <v>5.4927110000000001E-2</v>
      </c>
      <c r="AA4858">
        <v>0.87270740000000002</v>
      </c>
      <c r="AB4858">
        <v>34</v>
      </c>
      <c r="AC4858">
        <v>0.74809999999996502</v>
      </c>
      <c r="AD4858">
        <v>-6.7776999999999907E-2</v>
      </c>
      <c r="AE4858">
        <v>-0.43276999999999699</v>
      </c>
      <c r="AF4858">
        <v>-0.49227141061639901</v>
      </c>
      <c r="AG4858">
        <v>-6.7776999999999907E-2</v>
      </c>
      <c r="AH4858">
        <v>0.70392397499122605</v>
      </c>
      <c r="AI4858">
        <v>94.511541702805701</v>
      </c>
      <c r="AJ4858">
        <v>124.966043624676</v>
      </c>
      <c r="AK4858">
        <v>0.86164599807966802</v>
      </c>
      <c r="AL4858">
        <v>90.549462172546697</v>
      </c>
      <c r="AM4858">
        <v>106.72425886851499</v>
      </c>
      <c r="AN4858">
        <v>0.999999996392819</v>
      </c>
    </row>
    <row r="4859" spans="1:40" x14ac:dyDescent="0.25">
      <c r="A4859" t="str">
        <f>"20190305135333452"</f>
        <v>20190305135333452</v>
      </c>
      <c r="B4859" t="str">
        <f>"1551765213445340"</f>
        <v>1551765213445340</v>
      </c>
      <c r="C4859" t="s">
        <v>40</v>
      </c>
      <c r="D4859">
        <v>4.3283319999999996</v>
      </c>
      <c r="E4859">
        <v>0.41373860000000001</v>
      </c>
      <c r="F4859" t="s">
        <v>41</v>
      </c>
      <c r="G4859">
        <v>-417.1216</v>
      </c>
      <c r="H4859">
        <v>1.0419510000000001</v>
      </c>
      <c r="I4859">
        <v>34.408239999999999</v>
      </c>
      <c r="J4859">
        <v>-417.87369999999999</v>
      </c>
      <c r="K4859">
        <v>1.117532</v>
      </c>
      <c r="L4859">
        <v>34.716000000000001</v>
      </c>
      <c r="M4859">
        <v>0.4322588</v>
      </c>
      <c r="N4859">
        <v>-1.515058E-2</v>
      </c>
      <c r="O4859">
        <v>-0.90162249999999999</v>
      </c>
      <c r="P4859">
        <v>0.67812749999999999</v>
      </c>
      <c r="Q4859">
        <v>-1.8791760000000001E-2</v>
      </c>
      <c r="R4859">
        <v>-0.73470400000000002</v>
      </c>
      <c r="S4859">
        <v>2.5056150000000001</v>
      </c>
      <c r="T4859">
        <v>-0.20309869999999999</v>
      </c>
      <c r="U4859">
        <v>-1.780823</v>
      </c>
      <c r="V4859">
        <v>-0.2937265</v>
      </c>
      <c r="W4859">
        <v>-1.0047789999999999E-2</v>
      </c>
      <c r="X4859">
        <v>0.95583669999999998</v>
      </c>
      <c r="Y4859">
        <v>-0.48300599999999999</v>
      </c>
      <c r="Z4859">
        <v>5.4855849999999998E-2</v>
      </c>
      <c r="AA4859">
        <v>0.87389709999999998</v>
      </c>
      <c r="AB4859">
        <v>34</v>
      </c>
      <c r="AC4859">
        <v>0.752099999999984</v>
      </c>
      <c r="AD4859">
        <v>-7.5580999999999898E-2</v>
      </c>
      <c r="AE4859">
        <v>-0.30776000000000098</v>
      </c>
      <c r="AF4859">
        <v>-0.54046553259252195</v>
      </c>
      <c r="AG4859">
        <v>-7.5580999999999898E-2</v>
      </c>
      <c r="AH4859">
        <v>0.59748574489953099</v>
      </c>
      <c r="AI4859">
        <v>95.359359185246404</v>
      </c>
      <c r="AJ4859">
        <v>132.131434865561</v>
      </c>
      <c r="AK4859">
        <v>0.80920003388511197</v>
      </c>
      <c r="AL4859">
        <v>90.575705644293194</v>
      </c>
      <c r="AM4859">
        <v>107.082077137045</v>
      </c>
      <c r="AN4859">
        <v>1.00000000597651</v>
      </c>
    </row>
    <row r="4860" spans="1:40" x14ac:dyDescent="0.25">
      <c r="A4860" t="str">
        <f>"20190305135333464"</f>
        <v>20190305135333464</v>
      </c>
      <c r="B4860" t="str">
        <f>"1551765213455100"</f>
        <v>1551765213455100</v>
      </c>
      <c r="C4860" t="s">
        <v>40</v>
      </c>
      <c r="D4860">
        <v>4.3081139999999998</v>
      </c>
      <c r="E4860">
        <v>0.41350979999999998</v>
      </c>
      <c r="F4860" t="s">
        <v>41</v>
      </c>
      <c r="G4860">
        <v>-417.01310000000001</v>
      </c>
      <c r="H4860">
        <v>1.0488930000000001</v>
      </c>
      <c r="I4860">
        <v>34.126420000000003</v>
      </c>
      <c r="J4860">
        <v>-417.78859999999997</v>
      </c>
      <c r="K4860">
        <v>1.117702</v>
      </c>
      <c r="L4860">
        <v>34.548679999999997</v>
      </c>
      <c r="M4860">
        <v>0.4371102</v>
      </c>
      <c r="N4860">
        <v>-1.5172450000000001E-2</v>
      </c>
      <c r="O4860">
        <v>-0.89928019999999997</v>
      </c>
      <c r="P4860">
        <v>0.68420649999999905</v>
      </c>
      <c r="Q4860">
        <v>-1.9543290000000001E-2</v>
      </c>
      <c r="R4860">
        <v>-0.72902659999999997</v>
      </c>
      <c r="S4860">
        <v>2.5364990000000001</v>
      </c>
      <c r="T4860">
        <v>-0.20223279999999999</v>
      </c>
      <c r="U4860">
        <v>-1.73696899999999</v>
      </c>
      <c r="V4860">
        <v>-0.29650310000000002</v>
      </c>
      <c r="W4860">
        <v>-1.096748E-2</v>
      </c>
      <c r="X4860">
        <v>0.95496890000000001</v>
      </c>
      <c r="Y4860">
        <v>-0.49350519999999998</v>
      </c>
      <c r="Z4860">
        <v>5.4760099999999999E-2</v>
      </c>
      <c r="AA4860">
        <v>0.86801729999999999</v>
      </c>
      <c r="AB4860">
        <v>34</v>
      </c>
      <c r="AC4860">
        <v>0.775499999999965</v>
      </c>
      <c r="AD4860">
        <v>-6.8808999999999898E-2</v>
      </c>
      <c r="AE4860">
        <v>-0.42225999999999397</v>
      </c>
      <c r="AF4860">
        <v>-0.50978097613625495</v>
      </c>
      <c r="AG4860">
        <v>-6.8808999999999898E-2</v>
      </c>
      <c r="AH4860">
        <v>0.71445315913945795</v>
      </c>
      <c r="AI4860">
        <v>94.482753770747294</v>
      </c>
      <c r="AJ4860">
        <v>125.508848349107</v>
      </c>
      <c r="AK4860">
        <v>0.88037187524124405</v>
      </c>
      <c r="AL4860">
        <v>90.628402922498296</v>
      </c>
      <c r="AM4860">
        <v>107.24876190322099</v>
      </c>
      <c r="AN4860">
        <v>0.99999998694718495</v>
      </c>
    </row>
    <row r="4861" spans="1:40" x14ac:dyDescent="0.25">
      <c r="A4861" t="str">
        <f>"20190305135333480"</f>
        <v>20190305135333480</v>
      </c>
      <c r="B4861" t="str">
        <f>"1551765213474624"</f>
        <v>1551765213474624</v>
      </c>
      <c r="C4861" t="s">
        <v>40</v>
      </c>
      <c r="D4861">
        <v>4.2822209999999998</v>
      </c>
      <c r="E4861">
        <v>0.4136399</v>
      </c>
      <c r="F4861" t="s">
        <v>41</v>
      </c>
      <c r="G4861">
        <v>-417.08100000000002</v>
      </c>
      <c r="H4861">
        <v>1.0618270000000001</v>
      </c>
      <c r="I4861">
        <v>34.073120000000003</v>
      </c>
      <c r="J4861">
        <v>-417.68459999999999</v>
      </c>
      <c r="K4861">
        <v>1.117926</v>
      </c>
      <c r="L4861">
        <v>34.348999999999997</v>
      </c>
      <c r="M4861">
        <v>0.4431447</v>
      </c>
      <c r="N4861">
        <v>-1.5203039999999999E-2</v>
      </c>
      <c r="O4861">
        <v>-0.89632119999999904</v>
      </c>
      <c r="P4861">
        <v>0.69264359999999903</v>
      </c>
      <c r="Q4861">
        <v>-2.1016799999999999E-2</v>
      </c>
      <c r="R4861">
        <v>-0.72097389999999995</v>
      </c>
      <c r="S4861">
        <v>2.5521850000000001</v>
      </c>
      <c r="T4861">
        <v>-0.2014669</v>
      </c>
      <c r="U4861">
        <v>-1.7144170000000001</v>
      </c>
      <c r="V4861">
        <v>-0.30117359999999999</v>
      </c>
      <c r="W4861">
        <v>-1.2687840000000001E-2</v>
      </c>
      <c r="X4861">
        <v>0.95348500000000003</v>
      </c>
      <c r="Y4861">
        <v>-0.49542839999999999</v>
      </c>
      <c r="Z4861">
        <v>5.4500180000000002E-2</v>
      </c>
      <c r="AA4861">
        <v>0.86693739999999997</v>
      </c>
      <c r="AB4861">
        <v>34</v>
      </c>
      <c r="AC4861">
        <v>0.603600000000028</v>
      </c>
      <c r="AD4861">
        <v>-5.6098999999999899E-2</v>
      </c>
      <c r="AE4861">
        <v>-0.27588000000000001</v>
      </c>
      <c r="AF4861">
        <v>-0.41584179265538102</v>
      </c>
      <c r="AG4861">
        <v>-5.6098999999999899E-2</v>
      </c>
      <c r="AH4861">
        <v>0.51116628037196399</v>
      </c>
      <c r="AI4861">
        <v>94.866079687420196</v>
      </c>
      <c r="AJ4861">
        <v>129.12889547217901</v>
      </c>
      <c r="AK4861">
        <v>0.66133384951108498</v>
      </c>
      <c r="AL4861">
        <v>90.726979129474699</v>
      </c>
      <c r="AM4861">
        <v>107.529561167759</v>
      </c>
      <c r="AN4861">
        <v>1.0000000819229</v>
      </c>
    </row>
    <row r="4862" spans="1:40" x14ac:dyDescent="0.25">
      <c r="A4862" t="str">
        <f>"20190305135333502"</f>
        <v>20190305135333502</v>
      </c>
      <c r="B4862" t="str">
        <f>"1551765213495116"</f>
        <v>1551765213495116</v>
      </c>
      <c r="C4862" t="s">
        <v>40</v>
      </c>
      <c r="D4862">
        <v>4.2713609999999997</v>
      </c>
      <c r="E4862">
        <v>0.41408279999999997</v>
      </c>
      <c r="F4862" t="s">
        <v>41</v>
      </c>
      <c r="G4862">
        <v>-416.90870000000001</v>
      </c>
      <c r="H4862">
        <v>1.057472</v>
      </c>
      <c r="I4862">
        <v>33.840690000000002</v>
      </c>
      <c r="J4862">
        <v>-417.5258</v>
      </c>
      <c r="K4862">
        <v>1.118274</v>
      </c>
      <c r="L4862">
        <v>34.049930000000003</v>
      </c>
      <c r="M4862">
        <v>0.4524861</v>
      </c>
      <c r="N4862">
        <v>-1.525337E-2</v>
      </c>
      <c r="O4862">
        <v>-0.89164100000000002</v>
      </c>
      <c r="P4862">
        <v>0.70314379999999999</v>
      </c>
      <c r="Q4862">
        <v>-2.1082340000000001E-2</v>
      </c>
      <c r="R4862">
        <v>-0.71073529999999996</v>
      </c>
      <c r="S4862">
        <v>2.5711979999999999</v>
      </c>
      <c r="T4862">
        <v>-0.20036950000000001</v>
      </c>
      <c r="U4862">
        <v>-1.6849369999999999</v>
      </c>
      <c r="V4862">
        <v>-0.30518089999999998</v>
      </c>
      <c r="W4862">
        <v>-1.3064269999999999E-2</v>
      </c>
      <c r="X4862">
        <v>0.95220479999999996</v>
      </c>
      <c r="Y4862">
        <v>-0.49626589999999998</v>
      </c>
      <c r="Z4862">
        <v>5.4095730000000002E-2</v>
      </c>
      <c r="AA4862">
        <v>0.86648359999999902</v>
      </c>
      <c r="AB4862">
        <v>34</v>
      </c>
      <c r="AC4862">
        <v>0.61709999999999299</v>
      </c>
      <c r="AD4862">
        <v>-6.0802000000000002E-2</v>
      </c>
      <c r="AE4862">
        <v>-0.20923999999999399</v>
      </c>
      <c r="AF4862">
        <v>-0.45167380707395999</v>
      </c>
      <c r="AG4862">
        <v>-6.0802000000000002E-2</v>
      </c>
      <c r="AH4862">
        <v>0.46182924234519301</v>
      </c>
      <c r="AI4862">
        <v>95.377012699852301</v>
      </c>
      <c r="AJ4862">
        <v>134.36306768563901</v>
      </c>
      <c r="AK4862">
        <v>0.64883924071053201</v>
      </c>
      <c r="AL4862">
        <v>90.748548813333002</v>
      </c>
      <c r="AM4862">
        <v>107.770614397747</v>
      </c>
      <c r="AN4862">
        <v>1.00000001900924</v>
      </c>
    </row>
    <row r="4863" spans="1:40" x14ac:dyDescent="0.25">
      <c r="A4863" t="str">
        <f>"20190305135333515"</f>
        <v>20190305135333515</v>
      </c>
      <c r="B4863" t="str">
        <f>"1551765213504877"</f>
        <v>1551765213504877</v>
      </c>
      <c r="C4863" t="s">
        <v>40</v>
      </c>
      <c r="D4863">
        <v>4.3189830000000002</v>
      </c>
      <c r="E4863">
        <v>0.4144449</v>
      </c>
      <c r="F4863" t="s">
        <v>41</v>
      </c>
      <c r="G4863">
        <v>-416.77929999999998</v>
      </c>
      <c r="H4863">
        <v>1.061348</v>
      </c>
      <c r="I4863">
        <v>33.574449999999999</v>
      </c>
      <c r="J4863">
        <v>-417.43799999999999</v>
      </c>
      <c r="K4863">
        <v>1.118468</v>
      </c>
      <c r="L4863">
        <v>33.888579999999997</v>
      </c>
      <c r="M4863">
        <v>0.45774389999999998</v>
      </c>
      <c r="N4863">
        <v>-1.5285099999999999E-2</v>
      </c>
      <c r="O4863">
        <v>-0.88895279999999999</v>
      </c>
      <c r="P4863">
        <v>0.7088428</v>
      </c>
      <c r="Q4863">
        <v>-2.073026E-2</v>
      </c>
      <c r="R4863">
        <v>-0.70506230000000003</v>
      </c>
      <c r="S4863">
        <v>2.5932309999999998</v>
      </c>
      <c r="T4863">
        <v>-0.19757240000000001</v>
      </c>
      <c r="U4863">
        <v>-1.649597</v>
      </c>
      <c r="V4863">
        <v>-0.3072182</v>
      </c>
      <c r="W4863">
        <v>-1.2881190000000001E-2</v>
      </c>
      <c r="X4863">
        <v>0.95155190000000001</v>
      </c>
      <c r="Y4863">
        <v>-0.50290429999999997</v>
      </c>
      <c r="Z4863">
        <v>5.3298060000000001E-2</v>
      </c>
      <c r="AA4863">
        <v>0.8626973</v>
      </c>
      <c r="AB4863">
        <v>34</v>
      </c>
      <c r="AC4863">
        <v>0.65870000000006701</v>
      </c>
      <c r="AD4863">
        <v>-5.7119999999999997E-2</v>
      </c>
      <c r="AE4863">
        <v>-0.31412999999999802</v>
      </c>
      <c r="AF4863">
        <v>-0.43912344537924303</v>
      </c>
      <c r="AG4863">
        <v>-5.7119999999999997E-2</v>
      </c>
      <c r="AH4863">
        <v>0.57729371847661803</v>
      </c>
      <c r="AI4863">
        <v>94.502796859880505</v>
      </c>
      <c r="AJ4863">
        <v>127.2587464992</v>
      </c>
      <c r="AK4863">
        <v>0.72757139311156205</v>
      </c>
      <c r="AL4863">
        <v>90.738058246057093</v>
      </c>
      <c r="AM4863">
        <v>107.8932010764</v>
      </c>
      <c r="AN4863">
        <v>0.99999998293033199</v>
      </c>
    </row>
    <row r="4864" spans="1:40" x14ac:dyDescent="0.25">
      <c r="A4864" t="str">
        <f>"20190305135333529"</f>
        <v>20190305135333529</v>
      </c>
      <c r="B4864" t="str">
        <f>"1551765213525373"</f>
        <v>1551765213525373</v>
      </c>
      <c r="C4864" t="s">
        <v>40</v>
      </c>
      <c r="D4864">
        <v>4.3251609999999996</v>
      </c>
      <c r="E4864">
        <v>0.41519070000000002</v>
      </c>
      <c r="F4864" t="s">
        <v>41</v>
      </c>
      <c r="G4864">
        <v>-416.59010000000001</v>
      </c>
      <c r="H4864">
        <v>1.054557</v>
      </c>
      <c r="I4864">
        <v>33.357460000000003</v>
      </c>
      <c r="J4864">
        <v>-417.34410000000003</v>
      </c>
      <c r="K4864">
        <v>1.1186750000000001</v>
      </c>
      <c r="L4864">
        <v>33.717829999999999</v>
      </c>
      <c r="M4864">
        <v>0.46339839999999999</v>
      </c>
      <c r="N4864">
        <v>-1.5319040000000001E-2</v>
      </c>
      <c r="O4864">
        <v>-0.88601770000000002</v>
      </c>
      <c r="P4864">
        <v>0.71469199999999999</v>
      </c>
      <c r="Q4864">
        <v>-2.0124860000000001E-2</v>
      </c>
      <c r="R4864">
        <v>-0.6991501</v>
      </c>
      <c r="S4864">
        <v>2.6043090000000002</v>
      </c>
      <c r="T4864">
        <v>-0.1962535</v>
      </c>
      <c r="U4864">
        <v>-1.6308590000000001</v>
      </c>
      <c r="V4864">
        <v>-0.30908010000000002</v>
      </c>
      <c r="W4864">
        <v>-1.245012E-2</v>
      </c>
      <c r="X4864">
        <v>0.95095450000000004</v>
      </c>
      <c r="Y4864">
        <v>-0.50352959999999902</v>
      </c>
      <c r="Z4864">
        <v>5.2845830000000003E-2</v>
      </c>
      <c r="AA4864">
        <v>0.86236029999999997</v>
      </c>
      <c r="AB4864">
        <v>34</v>
      </c>
      <c r="AC4864">
        <v>0.75400000000001899</v>
      </c>
      <c r="AD4864">
        <v>-6.4118000000000105E-2</v>
      </c>
      <c r="AE4864">
        <v>-0.36037000000000302</v>
      </c>
      <c r="AF4864">
        <v>-0.49818858817950701</v>
      </c>
      <c r="AG4864">
        <v>-6.4118000000000105E-2</v>
      </c>
      <c r="AH4864">
        <v>0.66486123954104004</v>
      </c>
      <c r="AI4864">
        <v>94.413111769725205</v>
      </c>
      <c r="AJ4864">
        <v>126.844665419504</v>
      </c>
      <c r="AK4864">
        <v>0.83327273755976095</v>
      </c>
      <c r="AL4864">
        <v>90.713357769300103</v>
      </c>
      <c r="AM4864">
        <v>108.00524536453899</v>
      </c>
      <c r="AN4864">
        <v>0.99999998738713702</v>
      </c>
    </row>
    <row r="4865" spans="1:40" x14ac:dyDescent="0.25">
      <c r="A4865" t="str">
        <f>"20190305135333541"</f>
        <v>20190305135333541</v>
      </c>
      <c r="B4865" t="str">
        <f>"1551765213535132"</f>
        <v>1551765213535132</v>
      </c>
      <c r="C4865" t="s">
        <v>40</v>
      </c>
      <c r="D4865">
        <v>4.2787319999999998</v>
      </c>
      <c r="E4865">
        <v>0.41557620000000001</v>
      </c>
      <c r="F4865" t="s">
        <v>41</v>
      </c>
      <c r="G4865">
        <v>-416.40539999999999</v>
      </c>
      <c r="H4865">
        <v>1.0489109999999999</v>
      </c>
      <c r="I4865">
        <v>33.138280000000002</v>
      </c>
      <c r="J4865">
        <v>-417.24009999999998</v>
      </c>
      <c r="K4865">
        <v>1.1189020000000001</v>
      </c>
      <c r="L4865">
        <v>33.532350000000001</v>
      </c>
      <c r="M4865">
        <v>0.46972710000000001</v>
      </c>
      <c r="N4865">
        <v>-1.5358210000000001E-2</v>
      </c>
      <c r="O4865">
        <v>-0.88267830000000003</v>
      </c>
      <c r="P4865">
        <v>0.72079490000000002</v>
      </c>
      <c r="Q4865">
        <v>-1.970235E-2</v>
      </c>
      <c r="R4865">
        <v>-0.69286879999999995</v>
      </c>
      <c r="S4865">
        <v>2.6138309999999998</v>
      </c>
      <c r="T4865">
        <v>-0.19422610000000001</v>
      </c>
      <c r="U4865">
        <v>-1.6134029999999999</v>
      </c>
      <c r="V4865">
        <v>-0.31060919999999997</v>
      </c>
      <c r="W4865">
        <v>-1.2205870000000001E-2</v>
      </c>
      <c r="X4865">
        <v>0.95045939999999995</v>
      </c>
      <c r="Y4865">
        <v>-0.50295690000000004</v>
      </c>
      <c r="Z4865">
        <v>5.2136969999999998E-2</v>
      </c>
      <c r="AA4865">
        <v>0.86273759999999999</v>
      </c>
      <c r="AB4865">
        <v>34</v>
      </c>
      <c r="AC4865">
        <v>0.834699999999997</v>
      </c>
      <c r="AD4865">
        <v>-6.9990999999999901E-2</v>
      </c>
      <c r="AE4865">
        <v>-0.39406999999999898</v>
      </c>
      <c r="AF4865">
        <v>-0.548577086254184</v>
      </c>
      <c r="AG4865">
        <v>-6.9990999999999901E-2</v>
      </c>
      <c r="AH4865">
        <v>0.73577497191881802</v>
      </c>
      <c r="AI4865">
        <v>94.361051221779604</v>
      </c>
      <c r="AJ4865">
        <v>126.707374218185</v>
      </c>
      <c r="AK4865">
        <v>0.92043488033986898</v>
      </c>
      <c r="AL4865">
        <v>90.699362157298793</v>
      </c>
      <c r="AM4865">
        <v>108.097341168347</v>
      </c>
      <c r="AN4865">
        <v>1.0000000647177201</v>
      </c>
    </row>
    <row r="4866" spans="1:40" x14ac:dyDescent="0.25">
      <c r="A4866" t="str">
        <f>"20190305135333558"</f>
        <v>20190305135333558</v>
      </c>
      <c r="B4866" t="str">
        <f>"1551765213554652"</f>
        <v>1551765213554652</v>
      </c>
      <c r="C4866" t="s">
        <v>40</v>
      </c>
      <c r="D4866">
        <v>4.30098</v>
      </c>
      <c r="E4866">
        <v>0.41632829999999899</v>
      </c>
      <c r="F4866" t="s">
        <v>41</v>
      </c>
      <c r="G4866">
        <v>-416.4828</v>
      </c>
      <c r="H4866">
        <v>1.0631790000000001</v>
      </c>
      <c r="I4866">
        <v>33.072850000000003</v>
      </c>
      <c r="J4866">
        <v>-417.12990000000002</v>
      </c>
      <c r="K4866">
        <v>1.1191279999999999</v>
      </c>
      <c r="L4866">
        <v>33.340209999999999</v>
      </c>
      <c r="M4866">
        <v>0.47648950000000001</v>
      </c>
      <c r="N4866">
        <v>-1.5401160000000001E-2</v>
      </c>
      <c r="O4866">
        <v>-0.87904519999999997</v>
      </c>
      <c r="P4866">
        <v>0.72995509999999997</v>
      </c>
      <c r="Q4866">
        <v>-2.046245E-2</v>
      </c>
      <c r="R4866">
        <v>-0.68318859999999904</v>
      </c>
      <c r="S4866">
        <v>2.6257320000000002</v>
      </c>
      <c r="T4866">
        <v>-0.19316120000000001</v>
      </c>
      <c r="U4866">
        <v>-1.5928040000000001</v>
      </c>
      <c r="V4866">
        <v>-0.31594529999999998</v>
      </c>
      <c r="W4866">
        <v>-1.325585E-2</v>
      </c>
      <c r="X4866">
        <v>0.94868479999999999</v>
      </c>
      <c r="Y4866">
        <v>-0.50302369999999996</v>
      </c>
      <c r="Z4866">
        <v>5.1740800000000003E-2</v>
      </c>
      <c r="AA4866">
        <v>0.86272249999999995</v>
      </c>
      <c r="AB4866">
        <v>34</v>
      </c>
      <c r="AC4866">
        <v>0.64710000000002299</v>
      </c>
      <c r="AD4866">
        <v>-5.5948999999999999E-2</v>
      </c>
      <c r="AE4866">
        <v>-0.26735999999999599</v>
      </c>
      <c r="AF4866">
        <v>-0.43868707098325699</v>
      </c>
      <c r="AG4866">
        <v>-5.5948999999999999E-2</v>
      </c>
      <c r="AH4866">
        <v>0.53997436134849697</v>
      </c>
      <c r="AI4866">
        <v>94.597802230694995</v>
      </c>
      <c r="AJ4866">
        <v>129.09116812869999</v>
      </c>
      <c r="AK4866">
        <v>0.69796056318576305</v>
      </c>
      <c r="AL4866">
        <v>90.759526503693607</v>
      </c>
      <c r="AM4866">
        <v>108.419566662683</v>
      </c>
      <c r="AN4866">
        <v>0.99999999995117606</v>
      </c>
    </row>
    <row r="4867" spans="1:40" x14ac:dyDescent="0.25">
      <c r="A4867" t="str">
        <f>"20190305135333572"</f>
        <v>20190305135333572</v>
      </c>
      <c r="B4867" t="str">
        <f>"1551765213565388"</f>
        <v>1551765213565388</v>
      </c>
      <c r="C4867" t="s">
        <v>40</v>
      </c>
      <c r="D4867">
        <v>4.2913430000000004</v>
      </c>
      <c r="E4867">
        <v>0.4166974</v>
      </c>
      <c r="F4867" t="s">
        <v>41</v>
      </c>
      <c r="G4867">
        <v>-416.30189999999999</v>
      </c>
      <c r="H4867">
        <v>1.05768</v>
      </c>
      <c r="I4867">
        <v>32.850540000000002</v>
      </c>
      <c r="J4867">
        <v>-417.02980000000002</v>
      </c>
      <c r="K4867">
        <v>1.1193340000000001</v>
      </c>
      <c r="L4867">
        <v>33.168399999999998</v>
      </c>
      <c r="M4867">
        <v>0.48266819999999999</v>
      </c>
      <c r="N4867">
        <v>-1.543973E-2</v>
      </c>
      <c r="O4867">
        <v>-0.87566739999999998</v>
      </c>
      <c r="P4867">
        <v>0.73584959999999999</v>
      </c>
      <c r="Q4867">
        <v>-2.052116E-2</v>
      </c>
      <c r="R4867">
        <v>-0.67683400000000005</v>
      </c>
      <c r="S4867">
        <v>2.6421199999999998</v>
      </c>
      <c r="T4867">
        <v>-0.19605900000000001</v>
      </c>
      <c r="U4867">
        <v>-1.5622860000000001</v>
      </c>
      <c r="V4867">
        <v>-0.31747920000000002</v>
      </c>
      <c r="W4867">
        <v>-1.348452E-2</v>
      </c>
      <c r="X4867">
        <v>0.94816940000000005</v>
      </c>
      <c r="Y4867">
        <v>-0.50660349999999998</v>
      </c>
      <c r="Z4867">
        <v>5.2747120000000002E-2</v>
      </c>
      <c r="AA4867">
        <v>0.8605642</v>
      </c>
      <c r="AB4867">
        <v>33</v>
      </c>
      <c r="AC4867">
        <v>0.72790000000003297</v>
      </c>
      <c r="AD4867">
        <v>-6.1654000000000098E-2</v>
      </c>
      <c r="AE4867">
        <v>-0.31785999999999598</v>
      </c>
      <c r="AF4867">
        <v>-0.48113599362139697</v>
      </c>
      <c r="AG4867">
        <v>-6.1654000000000098E-2</v>
      </c>
      <c r="AH4867">
        <v>0.62597705755549204</v>
      </c>
      <c r="AI4867">
        <v>94.465203174688895</v>
      </c>
      <c r="AJ4867">
        <v>127.546456741361</v>
      </c>
      <c r="AK4867">
        <v>0.79192192586130705</v>
      </c>
      <c r="AL4867">
        <v>90.772629467645601</v>
      </c>
      <c r="AM4867">
        <v>108.51228932642501</v>
      </c>
      <c r="AN4867">
        <v>1.0000000429043101</v>
      </c>
    </row>
    <row r="4868" spans="1:40" x14ac:dyDescent="0.25">
      <c r="A4868" t="str">
        <f>"20190305135333593"</f>
        <v>20190305135333593</v>
      </c>
      <c r="B4868" t="str">
        <f>"1551765213584908"</f>
        <v>1551765213584908</v>
      </c>
      <c r="C4868" t="s">
        <v>40</v>
      </c>
      <c r="D4868">
        <v>4.2778809999999998</v>
      </c>
      <c r="E4868">
        <v>0.41743710000000001</v>
      </c>
      <c r="F4868" t="s">
        <v>41</v>
      </c>
      <c r="G4868">
        <v>-416.11360000000002</v>
      </c>
      <c r="H4868">
        <v>1.0516000000000001</v>
      </c>
      <c r="I4868">
        <v>32.635959999999997</v>
      </c>
      <c r="J4868">
        <v>-416.86160000000001</v>
      </c>
      <c r="K4868">
        <v>1.11968</v>
      </c>
      <c r="L4868">
        <v>32.88635</v>
      </c>
      <c r="M4868">
        <v>0.49315179999999997</v>
      </c>
      <c r="N4868">
        <v>-1.550525E-2</v>
      </c>
      <c r="O4868">
        <v>-0.86980519999999995</v>
      </c>
      <c r="P4868">
        <v>0.74604169999999903</v>
      </c>
      <c r="Q4868">
        <v>-2.0794460000000001E-2</v>
      </c>
      <c r="R4868">
        <v>-0.66557469999999996</v>
      </c>
      <c r="S4868">
        <v>2.6536870000000001</v>
      </c>
      <c r="T4868">
        <v>-0.1961224</v>
      </c>
      <c r="U4868">
        <v>-1.541412</v>
      </c>
      <c r="V4868">
        <v>-0.32046999999999998</v>
      </c>
      <c r="W4868">
        <v>-1.405258E-2</v>
      </c>
      <c r="X4868">
        <v>0.94715450000000001</v>
      </c>
      <c r="Y4868">
        <v>-0.50294240000000001</v>
      </c>
      <c r="Z4868">
        <v>5.2585689999999997E-2</v>
      </c>
      <c r="AA4868">
        <v>0.86271880000000001</v>
      </c>
      <c r="AB4868">
        <v>33</v>
      </c>
      <c r="AC4868">
        <v>0.74799999999999001</v>
      </c>
      <c r="AD4868">
        <v>-6.8079999999999904E-2</v>
      </c>
      <c r="AE4868">
        <v>-0.250390000000003</v>
      </c>
      <c r="AF4868">
        <v>-0.52329917426447004</v>
      </c>
      <c r="AG4868">
        <v>-6.8079999999999904E-2</v>
      </c>
      <c r="AH4868">
        <v>0.58240013121238698</v>
      </c>
      <c r="AI4868">
        <v>94.969465612889806</v>
      </c>
      <c r="AJ4868">
        <v>131.940383304421</v>
      </c>
      <c r="AK4868">
        <v>0.78591782332638505</v>
      </c>
      <c r="AL4868">
        <v>90.805179969757503</v>
      </c>
      <c r="AM4868">
        <v>108.693263696041</v>
      </c>
      <c r="AN4868">
        <v>1.00000007138745</v>
      </c>
    </row>
    <row r="4869" spans="1:40" x14ac:dyDescent="0.25">
      <c r="A4869" t="str">
        <f>"20190305135333614"</f>
        <v>20190305135333614</v>
      </c>
      <c r="B4869" t="str">
        <f>"1551765213605404"</f>
        <v>1551765213605404</v>
      </c>
      <c r="C4869" t="s">
        <v>40</v>
      </c>
      <c r="D4869">
        <v>4.5096619999999996</v>
      </c>
      <c r="E4869">
        <v>0.41791220000000001</v>
      </c>
      <c r="F4869" t="s">
        <v>41</v>
      </c>
      <c r="G4869">
        <v>-415.96899999999999</v>
      </c>
      <c r="H4869">
        <v>1.053885</v>
      </c>
      <c r="I4869">
        <v>32.383589999999998</v>
      </c>
      <c r="J4869">
        <v>-416.70420000000001</v>
      </c>
      <c r="K4869">
        <v>1.119974</v>
      </c>
      <c r="L4869">
        <v>32.629669999999997</v>
      </c>
      <c r="M4869">
        <v>0.50303549999999997</v>
      </c>
      <c r="N4869">
        <v>-1.5567900000000001E-2</v>
      </c>
      <c r="O4869">
        <v>-0.8641257</v>
      </c>
      <c r="P4869">
        <v>0.7549382</v>
      </c>
      <c r="Q4869">
        <v>-2.098452E-2</v>
      </c>
      <c r="R4869">
        <v>-0.65546019999999905</v>
      </c>
      <c r="S4869">
        <v>2.672485</v>
      </c>
      <c r="T4869">
        <v>-0.1970054</v>
      </c>
      <c r="U4869">
        <v>-1.5056149999999999</v>
      </c>
      <c r="V4869">
        <v>-0.32241609999999998</v>
      </c>
      <c r="W4869">
        <v>-1.44858E-2</v>
      </c>
      <c r="X4869">
        <v>0.94648719999999997</v>
      </c>
      <c r="Y4869">
        <v>-0.50443789999999999</v>
      </c>
      <c r="Z4869">
        <v>5.2832160000000003E-2</v>
      </c>
      <c r="AA4869">
        <v>0.86183009999999904</v>
      </c>
      <c r="AB4869">
        <v>33</v>
      </c>
      <c r="AC4869">
        <v>0.73520000000001995</v>
      </c>
      <c r="AD4869">
        <v>-6.6088999999999995E-2</v>
      </c>
      <c r="AE4869">
        <v>-0.24607999999999899</v>
      </c>
      <c r="AF4869">
        <v>-0.50788953865850595</v>
      </c>
      <c r="AG4869">
        <v>-6.6088999999999995E-2</v>
      </c>
      <c r="AH4869">
        <v>0.57834368053799401</v>
      </c>
      <c r="AI4869">
        <v>94.907589465494993</v>
      </c>
      <c r="AJ4869">
        <v>131.288938330413</v>
      </c>
      <c r="AK4869">
        <v>0.77252893293260105</v>
      </c>
      <c r="AL4869">
        <v>90.830004232512707</v>
      </c>
      <c r="AM4869">
        <v>108.811151328717</v>
      </c>
      <c r="AN4869">
        <v>0.999999999852344</v>
      </c>
    </row>
    <row r="4870" spans="1:40" x14ac:dyDescent="0.25">
      <c r="A4870" t="str">
        <f>"20190305135333635"</f>
        <v>20190305135333635</v>
      </c>
      <c r="B4870" t="str">
        <f>"1551765213624924"</f>
        <v>1551765213624924</v>
      </c>
      <c r="C4870" t="s">
        <v>40</v>
      </c>
      <c r="D4870">
        <v>4.3446530000000001</v>
      </c>
      <c r="E4870">
        <v>0.44381860000000001</v>
      </c>
      <c r="F4870" t="s">
        <v>41</v>
      </c>
      <c r="G4870">
        <v>-415.81270000000001</v>
      </c>
      <c r="H4870">
        <v>1.0542940000000001</v>
      </c>
      <c r="I4870">
        <v>32.141649999999998</v>
      </c>
      <c r="J4870">
        <v>-416.53699999999998</v>
      </c>
      <c r="K4870">
        <v>1.120263</v>
      </c>
      <c r="L4870">
        <v>32.364809999999999</v>
      </c>
      <c r="M4870">
        <v>0.51357399999999997</v>
      </c>
      <c r="N4870">
        <v>-1.5635139999999999E-2</v>
      </c>
      <c r="O4870">
        <v>-0.85790290000000002</v>
      </c>
      <c r="P4870">
        <v>0.76308149999999997</v>
      </c>
      <c r="Q4870">
        <v>-2.3118929999999999E-2</v>
      </c>
      <c r="R4870">
        <v>-0.64588869999999998</v>
      </c>
      <c r="S4870">
        <v>2.689972</v>
      </c>
      <c r="T4870">
        <v>-0.19817470000000001</v>
      </c>
      <c r="U4870">
        <v>-1.4723820000000001</v>
      </c>
      <c r="V4870">
        <v>-0.32264710000000002</v>
      </c>
      <c r="W4870">
        <v>-1.681289E-2</v>
      </c>
      <c r="X4870">
        <v>0.94637000000000004</v>
      </c>
      <c r="Y4870">
        <v>-0.50440600000000002</v>
      </c>
      <c r="Z4870">
        <v>5.3105220000000002E-2</v>
      </c>
      <c r="AA4870">
        <v>0.86183199999999904</v>
      </c>
      <c r="AB4870">
        <v>33</v>
      </c>
      <c r="AC4870">
        <v>0.72429999999997097</v>
      </c>
      <c r="AD4870">
        <v>-6.5968999999999903E-2</v>
      </c>
      <c r="AE4870">
        <v>-0.22316</v>
      </c>
      <c r="AF4870">
        <v>-0.50302078903460901</v>
      </c>
      <c r="AG4870">
        <v>-6.5968999999999903E-2</v>
      </c>
      <c r="AH4870">
        <v>0.55926296833486999</v>
      </c>
      <c r="AI4870">
        <v>95.012095987658299</v>
      </c>
      <c r="AJ4870">
        <v>131.96932804991599</v>
      </c>
      <c r="AK4870">
        <v>0.75508733992348898</v>
      </c>
      <c r="AL4870">
        <v>90.963353027114593</v>
      </c>
      <c r="AM4870">
        <v>108.82584705873801</v>
      </c>
      <c r="AN4870">
        <v>1.00000000065428</v>
      </c>
    </row>
    <row r="4871" spans="1:40" x14ac:dyDescent="0.25">
      <c r="A4871" t="str">
        <f>"20190305135333659"</f>
        <v>20190305135333659</v>
      </c>
      <c r="B4871" t="str">
        <f>"1551765213655180"</f>
        <v>1551765213655180</v>
      </c>
      <c r="C4871" t="s">
        <v>40</v>
      </c>
      <c r="D4871">
        <v>4.3720280000000002</v>
      </c>
      <c r="E4871">
        <v>0.44353569999999998</v>
      </c>
      <c r="F4871" t="s">
        <v>41</v>
      </c>
      <c r="G4871">
        <v>-415.70830000000001</v>
      </c>
      <c r="H4871">
        <v>1.0522819999999999</v>
      </c>
      <c r="I4871">
        <v>31.851009999999999</v>
      </c>
      <c r="J4871">
        <v>-416.35239999999999</v>
      </c>
      <c r="K4871">
        <v>1.1205689999999999</v>
      </c>
      <c r="L4871">
        <v>32.080750000000002</v>
      </c>
      <c r="M4871">
        <v>0.52524890000000002</v>
      </c>
      <c r="N4871">
        <v>-1.57091E-2</v>
      </c>
      <c r="O4871">
        <v>-0.85080359999999999</v>
      </c>
      <c r="P4871">
        <v>0.77184209999999998</v>
      </c>
      <c r="Q4871">
        <v>-2.4515970000000002E-2</v>
      </c>
      <c r="R4871">
        <v>-0.63534159999999995</v>
      </c>
      <c r="S4871">
        <v>2.5741269999999998</v>
      </c>
      <c r="T4871">
        <v>-0.2111741</v>
      </c>
      <c r="U4871">
        <v>-1.5960080000000001</v>
      </c>
      <c r="V4871">
        <v>-0.32263370000000002</v>
      </c>
      <c r="W4871">
        <v>-1.8402410000000001E-2</v>
      </c>
      <c r="X4871">
        <v>0.94634499999999999</v>
      </c>
      <c r="Y4871">
        <v>-0.44460830000000001</v>
      </c>
      <c r="Z4871">
        <v>5.6377169999999997E-2</v>
      </c>
      <c r="AA4871">
        <v>0.8939492</v>
      </c>
      <c r="AB4871">
        <v>33</v>
      </c>
      <c r="AC4871">
        <v>0.64409999999998002</v>
      </c>
      <c r="AD4871">
        <v>-6.8287000000000195E-2</v>
      </c>
      <c r="AE4871">
        <v>-0.229740000000003</v>
      </c>
      <c r="AF4871">
        <v>-0.42316508370948103</v>
      </c>
      <c r="AG4871">
        <v>-6.8287000000000195E-2</v>
      </c>
      <c r="AH4871">
        <v>0.52857168239879504</v>
      </c>
      <c r="AI4871">
        <v>95.758979035346201</v>
      </c>
      <c r="AJ4871">
        <v>128.68014270179799</v>
      </c>
      <c r="AK4871">
        <v>0.68052907790464401</v>
      </c>
      <c r="AL4871">
        <v>91.054439939321895</v>
      </c>
      <c r="AM4871">
        <v>108.825582546202</v>
      </c>
      <c r="AN4871">
        <v>1.00000000604724</v>
      </c>
    </row>
    <row r="4872" spans="1:40" x14ac:dyDescent="0.25">
      <c r="A4872" t="str">
        <f>"20190305135333683"</f>
        <v>20190305135333683</v>
      </c>
      <c r="B4872" t="str">
        <f>"1551765213674701"</f>
        <v>1551765213674701</v>
      </c>
      <c r="C4872" t="s">
        <v>40</v>
      </c>
      <c r="D4872">
        <v>4.3437979999999996</v>
      </c>
      <c r="E4872">
        <v>0.44397019999999998</v>
      </c>
      <c r="F4872" t="s">
        <v>41</v>
      </c>
      <c r="G4872">
        <v>-415.5487</v>
      </c>
      <c r="H4872">
        <v>1.05721</v>
      </c>
      <c r="I4872">
        <v>31.598479999999999</v>
      </c>
      <c r="J4872">
        <v>-416.16230000000002</v>
      </c>
      <c r="K4872">
        <v>1.1208830000000001</v>
      </c>
      <c r="L4872">
        <v>31.7973</v>
      </c>
      <c r="M4872">
        <v>0.53727849999999999</v>
      </c>
      <c r="N4872">
        <v>-1.578485E-2</v>
      </c>
      <c r="O4872">
        <v>-0.84325740000000005</v>
      </c>
      <c r="P4872">
        <v>0.78047670000000002</v>
      </c>
      <c r="Q4872">
        <v>-2.4252030000000001E-2</v>
      </c>
      <c r="R4872">
        <v>-0.62471489999999996</v>
      </c>
      <c r="S4872">
        <v>2.597534</v>
      </c>
      <c r="T4872">
        <v>-0.20474529999999999</v>
      </c>
      <c r="U4872">
        <v>-1.5583499999999999</v>
      </c>
      <c r="V4872">
        <v>-0.32215179999999999</v>
      </c>
      <c r="W4872">
        <v>-1.8308319999999999E-2</v>
      </c>
      <c r="X4872">
        <v>0.94651099999999999</v>
      </c>
      <c r="Y4872">
        <v>-0.44510070000000002</v>
      </c>
      <c r="Z4872">
        <v>5.4115139999999999E-2</v>
      </c>
      <c r="AA4872">
        <v>0.89384390000000002</v>
      </c>
      <c r="AB4872">
        <v>33</v>
      </c>
      <c r="AC4872">
        <v>0.61360000000001902</v>
      </c>
      <c r="AD4872">
        <v>-6.3672999999999993E-2</v>
      </c>
      <c r="AE4872">
        <v>-0.198820000000001</v>
      </c>
      <c r="AF4872">
        <v>-0.40668893168058701</v>
      </c>
      <c r="AG4872">
        <v>-6.3672999999999993E-2</v>
      </c>
      <c r="AH4872">
        <v>0.49259209068134202</v>
      </c>
      <c r="AI4872">
        <v>95.692366452832701</v>
      </c>
      <c r="AJ4872">
        <v>129.54341945170901</v>
      </c>
      <c r="AK4872">
        <v>0.64194789966344901</v>
      </c>
      <c r="AL4872">
        <v>91.049048051213106</v>
      </c>
      <c r="AM4872">
        <v>108.796374727173</v>
      </c>
      <c r="AN4872">
        <v>1.0000000249727301</v>
      </c>
    </row>
    <row r="4873" spans="1:40" x14ac:dyDescent="0.25">
      <c r="A4873" t="str">
        <f>"20190305135333704"</f>
        <v>20190305135333704</v>
      </c>
      <c r="B4873" t="str">
        <f>"1551765213695196"</f>
        <v>1551765213695196</v>
      </c>
      <c r="C4873" t="s">
        <v>40</v>
      </c>
      <c r="D4873">
        <v>4.3917780000000004</v>
      </c>
      <c r="E4873">
        <v>0.44443939999999998</v>
      </c>
      <c r="F4873" t="s">
        <v>41</v>
      </c>
      <c r="G4873">
        <v>-415.32209999999998</v>
      </c>
      <c r="H4873">
        <v>1.054519</v>
      </c>
      <c r="I4873">
        <v>31.30716</v>
      </c>
      <c r="J4873">
        <v>-415.98050000000001</v>
      </c>
      <c r="K4873">
        <v>1.121176</v>
      </c>
      <c r="L4873">
        <v>31.53482</v>
      </c>
      <c r="M4873">
        <v>0.54876179999999997</v>
      </c>
      <c r="N4873">
        <v>-1.585721E-2</v>
      </c>
      <c r="O4873">
        <v>-0.83582829999999997</v>
      </c>
      <c r="P4873">
        <v>0.78855280000000005</v>
      </c>
      <c r="Q4873">
        <v>-2.2391640000000001E-2</v>
      </c>
      <c r="R4873">
        <v>-0.61455939999999998</v>
      </c>
      <c r="S4873">
        <v>2.6163020000000001</v>
      </c>
      <c r="T4873">
        <v>-0.2065949</v>
      </c>
      <c r="U4873">
        <v>-1.525604</v>
      </c>
      <c r="V4873">
        <v>-0.32154569999999999</v>
      </c>
      <c r="W4873">
        <v>-1.6591379999999999E-2</v>
      </c>
      <c r="X4873">
        <v>0.9467487</v>
      </c>
      <c r="Y4873">
        <v>-0.4439671</v>
      </c>
      <c r="Z4873">
        <v>5.4472189999999997E-2</v>
      </c>
      <c r="AA4873">
        <v>0.89438580000000001</v>
      </c>
      <c r="AB4873">
        <v>33</v>
      </c>
      <c r="AC4873">
        <v>0.65840000000002796</v>
      </c>
      <c r="AD4873">
        <v>-6.6656999999999897E-2</v>
      </c>
      <c r="AE4873">
        <v>-0.227660000000003</v>
      </c>
      <c r="AF4873">
        <v>-0.42157221037422199</v>
      </c>
      <c r="AG4873">
        <v>-6.6656999999999897E-2</v>
      </c>
      <c r="AH4873">
        <v>0.54665414636332099</v>
      </c>
      <c r="AI4873">
        <v>95.515286720591206</v>
      </c>
      <c r="AJ4873">
        <v>127.638918710876</v>
      </c>
      <c r="AK4873">
        <v>0.69353950135880404</v>
      </c>
      <c r="AL4873">
        <v>90.9506596632785</v>
      </c>
      <c r="AM4873">
        <v>108.759106437184</v>
      </c>
      <c r="AN4873">
        <v>1.0000000060152401</v>
      </c>
    </row>
    <row r="4874" spans="1:40" x14ac:dyDescent="0.25">
      <c r="A4874" t="str">
        <f>"20190305135333725"</f>
        <v>20190305135333725</v>
      </c>
      <c r="B4874" t="str">
        <f>"1551765213714717"</f>
        <v>1551765213714717</v>
      </c>
      <c r="C4874" t="s">
        <v>40</v>
      </c>
      <c r="D4874">
        <v>4.4003329999999998</v>
      </c>
      <c r="E4874">
        <v>0.4448935</v>
      </c>
      <c r="F4874" t="s">
        <v>81</v>
      </c>
      <c r="G4874">
        <v>-401.39260000000002</v>
      </c>
      <c r="H4874" s="1">
        <v>-6.0910419999999997E-6</v>
      </c>
      <c r="I4874">
        <v>23.256820000000001</v>
      </c>
      <c r="J4874">
        <v>-415.80349999999999</v>
      </c>
      <c r="K4874">
        <v>1.1214550000000001</v>
      </c>
      <c r="L4874">
        <v>31.286770000000001</v>
      </c>
      <c r="M4874">
        <v>0.55991230000000003</v>
      </c>
      <c r="N4874">
        <v>-1.5927199999999999E-2</v>
      </c>
      <c r="O4874">
        <v>-0.82839889999999905</v>
      </c>
      <c r="P4874">
        <v>0.79668339999999904</v>
      </c>
      <c r="Q4874">
        <v>-2.173893E-2</v>
      </c>
      <c r="R4874">
        <v>-0.60400619999999905</v>
      </c>
      <c r="S4874">
        <v>2.6339109999999999</v>
      </c>
      <c r="T4874">
        <v>-0.20243420000000001</v>
      </c>
      <c r="U4874">
        <v>-1.494629</v>
      </c>
      <c r="V4874">
        <v>-0.32148880000000002</v>
      </c>
      <c r="W4874">
        <v>-1.6085950000000002E-2</v>
      </c>
      <c r="X4874">
        <v>0.94677670000000003</v>
      </c>
      <c r="Y4874">
        <v>-0.4425692</v>
      </c>
      <c r="Z4874">
        <v>5.2908740000000003E-2</v>
      </c>
      <c r="AA4874">
        <v>0.89517219999999997</v>
      </c>
      <c r="AB4874">
        <v>33</v>
      </c>
      <c r="AC4874">
        <v>14.4108999999999</v>
      </c>
      <c r="AD4874">
        <v>-1.12146109104199</v>
      </c>
      <c r="AE4874">
        <v>-8.0299499999999995</v>
      </c>
      <c r="AF4874">
        <v>-7.4086127166255498</v>
      </c>
      <c r="AG4874">
        <v>-1.12146109104199</v>
      </c>
      <c r="AH4874">
        <v>14.6549845617863</v>
      </c>
      <c r="AI4874">
        <v>93.906860320231601</v>
      </c>
      <c r="AJ4874">
        <v>116.818210646767</v>
      </c>
      <c r="AK4874">
        <v>16.459458978650002</v>
      </c>
      <c r="AL4874">
        <v>90.921696830860597</v>
      </c>
      <c r="AM4874">
        <v>108.755503101298</v>
      </c>
      <c r="AN4874">
        <v>0.99999996298786498</v>
      </c>
    </row>
    <row r="4875" spans="1:40" x14ac:dyDescent="0.25">
      <c r="A4875" t="str">
        <f>"20190305135333748"</f>
        <v>20190305135333748</v>
      </c>
      <c r="B4875" t="str">
        <f>"1551765213744973"</f>
        <v>1551765213744973</v>
      </c>
      <c r="C4875" t="s">
        <v>40</v>
      </c>
      <c r="D4875">
        <v>4.7996400000000001</v>
      </c>
      <c r="E4875">
        <v>0.4644972</v>
      </c>
      <c r="F4875" t="s">
        <v>41</v>
      </c>
      <c r="G4875">
        <v>-414.8202</v>
      </c>
      <c r="H4875">
        <v>1.0468219999999999</v>
      </c>
      <c r="I4875">
        <v>30.744129999999998</v>
      </c>
      <c r="J4875">
        <v>-415.60669999999999</v>
      </c>
      <c r="K4875">
        <v>1.1217410000000001</v>
      </c>
      <c r="L4875">
        <v>31.020050000000001</v>
      </c>
      <c r="M4875">
        <v>0.57224269999999999</v>
      </c>
      <c r="N4875">
        <v>-1.6004770000000001E-2</v>
      </c>
      <c r="O4875">
        <v>-0.81992830000000005</v>
      </c>
      <c r="P4875">
        <v>0.80579669999999903</v>
      </c>
      <c r="Q4875">
        <v>-2.1243350000000001E-2</v>
      </c>
      <c r="R4875">
        <v>-0.59181119999999898</v>
      </c>
      <c r="S4875">
        <v>2.651367</v>
      </c>
      <c r="T4875">
        <v>-0.20116780000000001</v>
      </c>
      <c r="U4875">
        <v>-1.462402</v>
      </c>
      <c r="V4875">
        <v>-0.32174960000000002</v>
      </c>
      <c r="W4875">
        <v>-1.5749719999999998E-2</v>
      </c>
      <c r="X4875">
        <v>0.94669380000000003</v>
      </c>
      <c r="Y4875">
        <v>-0.44002210000000003</v>
      </c>
      <c r="Z4875">
        <v>5.2206740000000001E-2</v>
      </c>
      <c r="AA4875">
        <v>0.89646809999999999</v>
      </c>
      <c r="AB4875">
        <v>33</v>
      </c>
      <c r="AC4875">
        <v>0.78649999999998899</v>
      </c>
      <c r="AD4875">
        <v>-7.4918999999999902E-2</v>
      </c>
      <c r="AE4875">
        <v>-0.275920000000002</v>
      </c>
      <c r="AF4875">
        <v>-0.48313925341550501</v>
      </c>
      <c r="AG4875">
        <v>-7.4918999999999902E-2</v>
      </c>
      <c r="AH4875">
        <v>0.67096903008936104</v>
      </c>
      <c r="AI4875">
        <v>95.177521379626398</v>
      </c>
      <c r="AJ4875">
        <v>125.75622399523201</v>
      </c>
      <c r="AK4875">
        <v>0.83020228504319904</v>
      </c>
      <c r="AL4875">
        <v>90.902429791245893</v>
      </c>
      <c r="AM4875">
        <v>108.771181526372</v>
      </c>
      <c r="AN4875">
        <v>1.0000000048693301</v>
      </c>
    </row>
    <row r="4876" spans="1:40" x14ac:dyDescent="0.25">
      <c r="A4876" t="str">
        <f>"20190305135333772"</f>
        <v>20190305135333772</v>
      </c>
      <c r="B4876" t="str">
        <f>"1551765213765469"</f>
        <v>1551765213765469</v>
      </c>
      <c r="C4876" t="s">
        <v>40</v>
      </c>
      <c r="D4876">
        <v>4.4157320000000002</v>
      </c>
      <c r="E4876">
        <v>0.45016709999999899</v>
      </c>
      <c r="F4876" t="s">
        <v>41</v>
      </c>
      <c r="G4876">
        <v>-414.66730000000001</v>
      </c>
      <c r="H4876">
        <v>1.038481</v>
      </c>
      <c r="I4876">
        <v>30.45618</v>
      </c>
      <c r="J4876">
        <v>-415.40370000000001</v>
      </c>
      <c r="K4876">
        <v>1.1220000000000001</v>
      </c>
      <c r="L4876">
        <v>30.753779999999999</v>
      </c>
      <c r="M4876">
        <v>0.58483359999999995</v>
      </c>
      <c r="N4876">
        <v>-1.6081620000000001E-2</v>
      </c>
      <c r="O4876">
        <v>-0.81099399999999999</v>
      </c>
      <c r="P4876">
        <v>0.81562900000000005</v>
      </c>
      <c r="Q4876">
        <v>-2.110973E-2</v>
      </c>
      <c r="R4876">
        <v>-0.57819009999999904</v>
      </c>
      <c r="S4876">
        <v>2.5797729999999999</v>
      </c>
      <c r="T4876">
        <v>-0.22864999999999999</v>
      </c>
      <c r="U4876">
        <v>-1.5484309999999999</v>
      </c>
      <c r="V4876">
        <v>-0.32303470000000001</v>
      </c>
      <c r="W4876">
        <v>-1.5796259999999999E-2</v>
      </c>
      <c r="X4876">
        <v>0.94625530000000002</v>
      </c>
      <c r="Y4876">
        <v>-0.39239649999999998</v>
      </c>
      <c r="Z4876">
        <v>5.9470059999999998E-2</v>
      </c>
      <c r="AA4876">
        <v>0.91787169999999896</v>
      </c>
      <c r="AB4876">
        <v>33</v>
      </c>
      <c r="AC4876">
        <v>0.73640000000000305</v>
      </c>
      <c r="AD4876">
        <v>-8.3519000000000093E-2</v>
      </c>
      <c r="AE4876">
        <v>-0.29759999999999898</v>
      </c>
      <c r="AF4876">
        <v>-0.41859570107010002</v>
      </c>
      <c r="AG4876">
        <v>-8.3519000000000093E-2</v>
      </c>
      <c r="AH4876">
        <v>0.66475975576302204</v>
      </c>
      <c r="AI4876">
        <v>96.0686488138968</v>
      </c>
      <c r="AJ4876">
        <v>122.198404075038</v>
      </c>
      <c r="AK4876">
        <v>0.79000209948928701</v>
      </c>
      <c r="AL4876">
        <v>90.905096658494102</v>
      </c>
      <c r="AM4876">
        <v>108.84899043541</v>
      </c>
      <c r="AN4876">
        <v>1.00000001600608</v>
      </c>
    </row>
    <row r="4877" spans="1:40" x14ac:dyDescent="0.25">
      <c r="A4877" t="str">
        <f>"20190305135333794"</f>
        <v>20190305135333794</v>
      </c>
      <c r="B4877" t="str">
        <f>"1551765213784988"</f>
        <v>1551765213784988</v>
      </c>
      <c r="C4877" t="s">
        <v>40</v>
      </c>
      <c r="D4877">
        <v>4.4266209999999999</v>
      </c>
      <c r="E4877">
        <v>0.45069720000000002</v>
      </c>
      <c r="F4877" t="s">
        <v>41</v>
      </c>
      <c r="G4877">
        <v>-414.49250000000001</v>
      </c>
      <c r="H4877">
        <v>1.052959</v>
      </c>
      <c r="I4877">
        <v>30.272359999999999</v>
      </c>
      <c r="J4877">
        <v>-415.19659999999999</v>
      </c>
      <c r="K4877">
        <v>1.122233</v>
      </c>
      <c r="L4877">
        <v>30.49091</v>
      </c>
      <c r="M4877">
        <v>0.59752799999999995</v>
      </c>
      <c r="N4877">
        <v>-1.615407E-2</v>
      </c>
      <c r="O4877">
        <v>-0.80168549999999905</v>
      </c>
      <c r="P4877">
        <v>0.82545639999999998</v>
      </c>
      <c r="Q4877">
        <v>-2.0877360000000001E-2</v>
      </c>
      <c r="R4877">
        <v>-0.56408029999999998</v>
      </c>
      <c r="S4877">
        <v>2.6723940000000002</v>
      </c>
      <c r="T4877">
        <v>-0.20243939999999999</v>
      </c>
      <c r="U4877">
        <v>-1.411316</v>
      </c>
      <c r="V4877">
        <v>-0.32441179999999997</v>
      </c>
      <c r="W4877">
        <v>-1.5735880000000001E-2</v>
      </c>
      <c r="X4877">
        <v>0.94578499999999999</v>
      </c>
      <c r="Y4877">
        <v>-0.42827979999999999</v>
      </c>
      <c r="Z4877">
        <v>5.1845969999999998E-2</v>
      </c>
      <c r="AA4877">
        <v>0.9021576</v>
      </c>
      <c r="AB4877">
        <v>33</v>
      </c>
      <c r="AC4877">
        <v>0.70409999999998196</v>
      </c>
      <c r="AD4877">
        <v>-6.9274000000000002E-2</v>
      </c>
      <c r="AE4877">
        <v>-0.218549999999996</v>
      </c>
      <c r="AF4877">
        <v>-0.43013579142039798</v>
      </c>
      <c r="AG4877">
        <v>-6.9274000000000002E-2</v>
      </c>
      <c r="AH4877">
        <v>0.59078927806753301</v>
      </c>
      <c r="AI4877">
        <v>95.415101971990097</v>
      </c>
      <c r="AJ4877">
        <v>126.057229450927</v>
      </c>
      <c r="AK4877">
        <v>0.73406243414059102</v>
      </c>
      <c r="AL4877">
        <v>90.901636768800003</v>
      </c>
      <c r="AM4877">
        <v>108.932377207074</v>
      </c>
      <c r="AN4877">
        <v>0.99999995006180598</v>
      </c>
    </row>
    <row r="4878" spans="1:40" x14ac:dyDescent="0.25">
      <c r="A4878" t="str">
        <f>"20190305135333814"</f>
        <v>20190305135333814</v>
      </c>
      <c r="B4878" t="str">
        <f>"1551765213805484"</f>
        <v>1551765213805484</v>
      </c>
      <c r="C4878" t="s">
        <v>40</v>
      </c>
      <c r="D4878">
        <v>4.4751949999999896</v>
      </c>
      <c r="E4878">
        <v>0.45142910000000003</v>
      </c>
      <c r="F4878" t="s">
        <v>41</v>
      </c>
      <c r="G4878">
        <v>-414.31880000000001</v>
      </c>
      <c r="H4878">
        <v>1.0572619999999999</v>
      </c>
      <c r="I4878">
        <v>30.044889999999999</v>
      </c>
      <c r="J4878">
        <v>-415.0145</v>
      </c>
      <c r="K4878">
        <v>1.1224149999999999</v>
      </c>
      <c r="L4878">
        <v>30.266719999999999</v>
      </c>
      <c r="M4878">
        <v>0.6085566</v>
      </c>
      <c r="N4878">
        <v>-1.6213399999999999E-2</v>
      </c>
      <c r="O4878">
        <v>-0.79334490000000002</v>
      </c>
      <c r="P4878">
        <v>0.83404049999999996</v>
      </c>
      <c r="Q4878">
        <v>-2.037096E-2</v>
      </c>
      <c r="R4878">
        <v>-0.55132680000000001</v>
      </c>
      <c r="S4878">
        <v>2.6940919999999999</v>
      </c>
      <c r="T4878">
        <v>-0.19937540000000001</v>
      </c>
      <c r="U4878">
        <v>-1.3685909999999999</v>
      </c>
      <c r="V4878">
        <v>-0.32588699999999998</v>
      </c>
      <c r="W4878">
        <v>-1.5382160000000001E-2</v>
      </c>
      <c r="X4878">
        <v>0.9452836</v>
      </c>
      <c r="Y4878">
        <v>-0.43014940000000002</v>
      </c>
      <c r="Z4878">
        <v>5.0713790000000002E-2</v>
      </c>
      <c r="AA4878">
        <v>0.90133209999999997</v>
      </c>
      <c r="AB4878">
        <v>33</v>
      </c>
      <c r="AC4878">
        <v>0.695699999999987</v>
      </c>
      <c r="AD4878">
        <v>-6.5152999999999794E-2</v>
      </c>
      <c r="AE4878">
        <v>-0.221829999999997</v>
      </c>
      <c r="AF4878">
        <v>-0.41369525019232101</v>
      </c>
      <c r="AG4878">
        <v>-6.5152999999999794E-2</v>
      </c>
      <c r="AH4878">
        <v>0.59470477467087002</v>
      </c>
      <c r="AI4878">
        <v>95.139088039087099</v>
      </c>
      <c r="AJ4878">
        <v>124.82368284493501</v>
      </c>
      <c r="AK4878">
        <v>0.72736678674312405</v>
      </c>
      <c r="AL4878">
        <v>90.881367592858695</v>
      </c>
      <c r="AM4878">
        <v>109.021658932413</v>
      </c>
      <c r="AN4878">
        <v>1.0000000160221101</v>
      </c>
    </row>
    <row r="4879" spans="1:40" x14ac:dyDescent="0.25">
      <c r="A4879" t="str">
        <f>"20190305135333837"</f>
        <v>20190305135333837</v>
      </c>
      <c r="B4879" t="str">
        <f>"1551765213825007"</f>
        <v>1551765213825007</v>
      </c>
      <c r="C4879" t="s">
        <v>40</v>
      </c>
      <c r="D4879">
        <v>4.4804899999999996</v>
      </c>
      <c r="E4879">
        <v>0.45190940000000002</v>
      </c>
      <c r="F4879" t="s">
        <v>41</v>
      </c>
      <c r="G4879">
        <v>-414.13240000000002</v>
      </c>
      <c r="H4879">
        <v>1.057488</v>
      </c>
      <c r="I4879">
        <v>29.833300000000001</v>
      </c>
      <c r="J4879">
        <v>-414.80829999999997</v>
      </c>
      <c r="K4879">
        <v>1.1226039999999999</v>
      </c>
      <c r="L4879">
        <v>30.020659999999999</v>
      </c>
      <c r="M4879">
        <v>0.62088100000000002</v>
      </c>
      <c r="N4879">
        <v>-1.62775E-2</v>
      </c>
      <c r="O4879">
        <v>-0.78373579999999998</v>
      </c>
      <c r="P4879">
        <v>0.84336169999999999</v>
      </c>
      <c r="Q4879">
        <v>-2.1013460000000001E-2</v>
      </c>
      <c r="R4879">
        <v>-0.53693539999999995</v>
      </c>
      <c r="S4879">
        <v>2.7116389999999999</v>
      </c>
      <c r="T4879">
        <v>-0.1995468</v>
      </c>
      <c r="U4879">
        <v>-1.331879</v>
      </c>
      <c r="V4879">
        <v>-0.32729200000000003</v>
      </c>
      <c r="W4879">
        <v>-1.6181029999999999E-2</v>
      </c>
      <c r="X4879">
        <v>0.94478470000000003</v>
      </c>
      <c r="Y4879">
        <v>-0.4281875</v>
      </c>
      <c r="Z4879">
        <v>5.0433070000000003E-2</v>
      </c>
      <c r="AA4879">
        <v>0.90228149999999996</v>
      </c>
      <c r="AB4879">
        <v>33</v>
      </c>
      <c r="AC4879">
        <v>0.67589999999995598</v>
      </c>
      <c r="AD4879">
        <v>-6.5116000000000104E-2</v>
      </c>
      <c r="AE4879">
        <v>-0.187359999999994</v>
      </c>
      <c r="AF4879">
        <v>-0.40992042169111498</v>
      </c>
      <c r="AG4879">
        <v>-6.5116000000000104E-2</v>
      </c>
      <c r="AH4879">
        <v>0.56172771940385302</v>
      </c>
      <c r="AI4879">
        <v>95.349520835072198</v>
      </c>
      <c r="AJ4879">
        <v>126.120073292732</v>
      </c>
      <c r="AK4879">
        <v>0.69843602163840002</v>
      </c>
      <c r="AL4879">
        <v>90.927145184716395</v>
      </c>
      <c r="AM4879">
        <v>109.107091558237</v>
      </c>
      <c r="AN4879">
        <v>1.0000000041749699</v>
      </c>
    </row>
    <row r="4880" spans="1:40" x14ac:dyDescent="0.25">
      <c r="A4880" t="str">
        <f>"20190305135333860"</f>
        <v>20190305135333860</v>
      </c>
      <c r="B4880" t="str">
        <f>"1551765213855261"</f>
        <v>1551765213855261</v>
      </c>
      <c r="C4880" t="s">
        <v>40</v>
      </c>
      <c r="D4880">
        <v>4.5204110000000002</v>
      </c>
      <c r="E4880">
        <v>0.45268190000000003</v>
      </c>
      <c r="F4880" t="s">
        <v>41</v>
      </c>
      <c r="G4880">
        <v>-413.91070000000002</v>
      </c>
      <c r="H4880">
        <v>1.0575129999999999</v>
      </c>
      <c r="I4880">
        <v>29.597639999999998</v>
      </c>
      <c r="J4880">
        <v>-414.5951</v>
      </c>
      <c r="K4880">
        <v>1.122776</v>
      </c>
      <c r="L4880">
        <v>29.774290000000001</v>
      </c>
      <c r="M4880">
        <v>0.63343459999999996</v>
      </c>
      <c r="N4880">
        <v>-1.634149E-2</v>
      </c>
      <c r="O4880">
        <v>-0.77362379999999997</v>
      </c>
      <c r="P4880">
        <v>0.85230640000000002</v>
      </c>
      <c r="Q4880">
        <v>-2.2988290000000002E-2</v>
      </c>
      <c r="R4880">
        <v>-0.52253760000000005</v>
      </c>
      <c r="S4880">
        <v>2.7320859999999998</v>
      </c>
      <c r="T4880">
        <v>-0.19817609999999999</v>
      </c>
      <c r="U4880">
        <v>-1.288208</v>
      </c>
      <c r="V4880">
        <v>-0.32799270000000003</v>
      </c>
      <c r="W4880">
        <v>-1.8281869999999999E-2</v>
      </c>
      <c r="X4880">
        <v>0.94450330000000005</v>
      </c>
      <c r="Y4880">
        <v>-0.42805759999999998</v>
      </c>
      <c r="Z4880">
        <v>4.9715799999999997E-2</v>
      </c>
      <c r="AA4880">
        <v>0.90238300000000005</v>
      </c>
      <c r="AB4880">
        <v>33</v>
      </c>
      <c r="AC4880">
        <v>0.68439999999998202</v>
      </c>
      <c r="AD4880">
        <v>-6.5263000000000002E-2</v>
      </c>
      <c r="AE4880">
        <v>-0.176649999999998</v>
      </c>
      <c r="AF4880">
        <v>-0.414097367172992</v>
      </c>
      <c r="AG4880">
        <v>-6.5263000000000002E-2</v>
      </c>
      <c r="AH4880">
        <v>0.565438893691799</v>
      </c>
      <c r="AI4880">
        <v>95.319990824125199</v>
      </c>
      <c r="AJ4880">
        <v>126.217063561156</v>
      </c>
      <c r="AK4880">
        <v>0.70388708694506497</v>
      </c>
      <c r="AL4880">
        <v>91.047532391356498</v>
      </c>
      <c r="AM4880">
        <v>109.15031179976999</v>
      </c>
      <c r="AN4880">
        <v>0.99999996086743703</v>
      </c>
    </row>
    <row r="4881" spans="1:40" x14ac:dyDescent="0.25">
      <c r="A4881" t="str">
        <f>"20190305135333883"</f>
        <v>20190305135333883</v>
      </c>
      <c r="B4881" t="str">
        <f>"1551765213874784"</f>
        <v>1551765213874784</v>
      </c>
      <c r="C4881" t="s">
        <v>40</v>
      </c>
      <c r="D4881">
        <v>4.4990959999999998</v>
      </c>
      <c r="E4881">
        <v>0.45318890000000001</v>
      </c>
      <c r="F4881" t="s">
        <v>42</v>
      </c>
      <c r="G4881">
        <v>-399.65699999999998</v>
      </c>
      <c r="H4881" s="1">
        <v>-1.043897E-6</v>
      </c>
      <c r="I4881">
        <v>23.003599999999999</v>
      </c>
      <c r="J4881">
        <v>-414.37079999999997</v>
      </c>
      <c r="K4881">
        <v>1.1229309999999999</v>
      </c>
      <c r="L4881">
        <v>29.523589999999999</v>
      </c>
      <c r="M4881">
        <v>0.64642379999999999</v>
      </c>
      <c r="N4881">
        <v>-1.6406069999999998E-2</v>
      </c>
      <c r="O4881">
        <v>-0.76280219999999999</v>
      </c>
      <c r="P4881">
        <v>0.86111939999999998</v>
      </c>
      <c r="Q4881">
        <v>-2.5435429999999998E-2</v>
      </c>
      <c r="R4881">
        <v>-0.50776619999999995</v>
      </c>
      <c r="S4881">
        <v>2.7501220000000002</v>
      </c>
      <c r="T4881">
        <v>-0.20670440000000001</v>
      </c>
      <c r="U4881">
        <v>-1.2464900000000001</v>
      </c>
      <c r="V4881">
        <v>-0.32816590000000001</v>
      </c>
      <c r="W4881">
        <v>-2.0832340000000001E-2</v>
      </c>
      <c r="X4881">
        <v>0.94439039999999996</v>
      </c>
      <c r="Y4881">
        <v>-0.42621310000000001</v>
      </c>
      <c r="Z4881">
        <v>5.1902219999999999E-2</v>
      </c>
      <c r="AA4881">
        <v>0.90313270000000001</v>
      </c>
      <c r="AB4881">
        <v>33</v>
      </c>
      <c r="AC4881">
        <v>14.7137999999999</v>
      </c>
      <c r="AD4881">
        <v>-1.1229320438970001</v>
      </c>
      <c r="AE4881">
        <v>-6.51999</v>
      </c>
      <c r="AF4881">
        <v>-6.9760225712665296</v>
      </c>
      <c r="AG4881">
        <v>-1.1229320438970001</v>
      </c>
      <c r="AH4881">
        <v>14.416575002598</v>
      </c>
      <c r="AI4881">
        <v>94.010699524075093</v>
      </c>
      <c r="AJ4881">
        <v>115.82183077581401</v>
      </c>
      <c r="AK4881">
        <v>16.0550148581546</v>
      </c>
      <c r="AL4881">
        <v>91.193691468044605</v>
      </c>
      <c r="AM4881">
        <v>109.16181080133801</v>
      </c>
      <c r="AN4881">
        <v>1.0000000359624199</v>
      </c>
    </row>
    <row r="4882" spans="1:40" x14ac:dyDescent="0.25">
      <c r="A4882" t="str">
        <f>"20190305135333906"</f>
        <v>20190305135333906</v>
      </c>
      <c r="B4882" t="str">
        <f>"1551765213895276"</f>
        <v>1551765213895276</v>
      </c>
      <c r="C4882" t="s">
        <v>40</v>
      </c>
      <c r="D4882">
        <v>4.5051019999999999</v>
      </c>
      <c r="E4882">
        <v>0.45821309999999899</v>
      </c>
      <c r="F4882" t="s">
        <v>81</v>
      </c>
      <c r="G4882">
        <v>-399.99889999999999</v>
      </c>
      <c r="H4882" s="1">
        <v>-6.5605720000000004E-6</v>
      </c>
      <c r="I4882">
        <v>23.283390000000001</v>
      </c>
      <c r="J4882">
        <v>-414.15769999999998</v>
      </c>
      <c r="K4882">
        <v>1.1230850000000001</v>
      </c>
      <c r="L4882">
        <v>29.293520000000001</v>
      </c>
      <c r="M4882">
        <v>0.65854590000000002</v>
      </c>
      <c r="N4882">
        <v>-1.6464929999999999E-2</v>
      </c>
      <c r="O4882">
        <v>-0.75236059999999905</v>
      </c>
      <c r="P4882">
        <v>0.86899530000000003</v>
      </c>
      <c r="Q4882">
        <v>-2.6598779999999999E-2</v>
      </c>
      <c r="R4882">
        <v>-0.49410520000000002</v>
      </c>
      <c r="S4882">
        <v>2.7686160000000002</v>
      </c>
      <c r="T4882">
        <v>-0.21632419999999999</v>
      </c>
      <c r="U4882">
        <v>-1.202118</v>
      </c>
      <c r="V4882">
        <v>-0.32789559999999901</v>
      </c>
      <c r="W4882">
        <v>-2.2068020000000001E-2</v>
      </c>
      <c r="X4882">
        <v>0.94445619999999997</v>
      </c>
      <c r="Y4882">
        <v>-0.42594539999999997</v>
      </c>
      <c r="Z4882">
        <v>5.4423539999999999E-2</v>
      </c>
      <c r="AA4882">
        <v>0.90311050000000004</v>
      </c>
      <c r="AB4882">
        <v>33</v>
      </c>
      <c r="AC4882">
        <v>14.1587999999999</v>
      </c>
      <c r="AD4882">
        <v>-1.123091560572</v>
      </c>
      <c r="AE4882">
        <v>-6.0101300000000002</v>
      </c>
      <c r="AF4882">
        <v>-6.6599775939320303</v>
      </c>
      <c r="AG4882">
        <v>-1.123091560572</v>
      </c>
      <c r="AH4882">
        <v>13.774445185476401</v>
      </c>
      <c r="AI4882">
        <v>94.198242868501694</v>
      </c>
      <c r="AJ4882">
        <v>115.803879344431</v>
      </c>
      <c r="AK4882">
        <v>15.3411856247422</v>
      </c>
      <c r="AL4882">
        <v>91.264507035082502</v>
      </c>
      <c r="AM4882">
        <v>109.145940467347</v>
      </c>
      <c r="AN4882">
        <v>1.0000000178622599</v>
      </c>
    </row>
    <row r="4883" spans="1:40" x14ac:dyDescent="0.25">
      <c r="A4883" t="str">
        <f>"20190305135333926"</f>
        <v>20190305135333926</v>
      </c>
      <c r="B4883" t="str">
        <f>"1551765213914796"</f>
        <v>1551765213914796</v>
      </c>
      <c r="C4883" t="s">
        <v>40</v>
      </c>
      <c r="D4883">
        <v>4.5226480000000002</v>
      </c>
      <c r="E4883">
        <v>0.45875280000000002</v>
      </c>
      <c r="F4883" t="s">
        <v>41</v>
      </c>
      <c r="G4883">
        <v>-413.14</v>
      </c>
      <c r="H4883">
        <v>1.0420560000000001</v>
      </c>
      <c r="I4883">
        <v>28.85472</v>
      </c>
      <c r="J4883">
        <v>-413.95030000000003</v>
      </c>
      <c r="K4883">
        <v>1.1232219999999999</v>
      </c>
      <c r="L4883">
        <v>29.077030000000001</v>
      </c>
      <c r="M4883">
        <v>0.6701395</v>
      </c>
      <c r="N4883">
        <v>-1.652027E-2</v>
      </c>
      <c r="O4883">
        <v>-0.74205149999999998</v>
      </c>
      <c r="P4883">
        <v>0.87635919999999901</v>
      </c>
      <c r="Q4883">
        <v>-2.7006909999999999E-2</v>
      </c>
      <c r="R4883">
        <v>-0.48090100000000002</v>
      </c>
      <c r="S4883">
        <v>2.7671199999999998</v>
      </c>
      <c r="T4883">
        <v>-0.2203119</v>
      </c>
      <c r="U4883">
        <v>-1.193085</v>
      </c>
      <c r="V4883">
        <v>-0.32750119999999999</v>
      </c>
      <c r="W4883">
        <v>-2.253405E-2</v>
      </c>
      <c r="X4883">
        <v>0.94458200000000003</v>
      </c>
      <c r="Y4883">
        <v>-0.4141341</v>
      </c>
      <c r="Z4883">
        <v>5.492172E-2</v>
      </c>
      <c r="AA4883">
        <v>0.90855739999999996</v>
      </c>
      <c r="AB4883">
        <v>32</v>
      </c>
      <c r="AC4883">
        <v>0.81030000000003999</v>
      </c>
      <c r="AD4883">
        <v>-8.1166000000000002E-2</v>
      </c>
      <c r="AE4883">
        <v>-0.22231000000000001</v>
      </c>
      <c r="AF4883">
        <v>-0.44818516731610802</v>
      </c>
      <c r="AG4883">
        <v>-8.1166000000000002E-2</v>
      </c>
      <c r="AH4883">
        <v>0.701529895934763</v>
      </c>
      <c r="AI4883">
        <v>95.568717714920098</v>
      </c>
      <c r="AJ4883">
        <v>122.57321681655</v>
      </c>
      <c r="AK4883">
        <v>0.83642217728154999</v>
      </c>
      <c r="AL4883">
        <v>91.291215269044699</v>
      </c>
      <c r="AM4883">
        <v>109.122222954149</v>
      </c>
      <c r="AN4883">
        <v>0.99999998706742099</v>
      </c>
    </row>
    <row r="4884" spans="1:40" x14ac:dyDescent="0.25">
      <c r="A4884" t="str">
        <f>"20190305135333949"</f>
        <v>20190305135333949</v>
      </c>
      <c r="B4884" t="str">
        <f>"1551765213945053"</f>
        <v>1551765213945053</v>
      </c>
      <c r="C4884" t="s">
        <v>40</v>
      </c>
      <c r="D4884">
        <v>4.5745509999999996</v>
      </c>
      <c r="E4884">
        <v>0.45952110000000002</v>
      </c>
      <c r="F4884" t="s">
        <v>41</v>
      </c>
      <c r="G4884">
        <v>-412.9418</v>
      </c>
      <c r="H4884">
        <v>1.0443370000000001</v>
      </c>
      <c r="I4884">
        <v>28.658349999999999</v>
      </c>
      <c r="J4884">
        <v>-413.72230000000002</v>
      </c>
      <c r="K4884">
        <v>1.1233610000000001</v>
      </c>
      <c r="L4884">
        <v>28.846979999999999</v>
      </c>
      <c r="M4884">
        <v>0.68263200000000002</v>
      </c>
      <c r="N4884">
        <v>-1.6578510000000001E-2</v>
      </c>
      <c r="O4884">
        <v>-0.73057450000000002</v>
      </c>
      <c r="P4884">
        <v>0.88378060000000003</v>
      </c>
      <c r="Q4884">
        <v>-2.8496110000000002E-2</v>
      </c>
      <c r="R4884">
        <v>-0.46703339999999999</v>
      </c>
      <c r="S4884">
        <v>2.7828979999999999</v>
      </c>
      <c r="T4884">
        <v>-0.2176331</v>
      </c>
      <c r="U4884">
        <v>-1.1546940000000001</v>
      </c>
      <c r="V4884">
        <v>-0.32626749999999999</v>
      </c>
      <c r="W4884">
        <v>-2.4044159999999998E-2</v>
      </c>
      <c r="X4884">
        <v>0.94497160000000002</v>
      </c>
      <c r="Y4884">
        <v>-0.41128239999999999</v>
      </c>
      <c r="Z4884">
        <v>5.3615589999999998E-2</v>
      </c>
      <c r="AA4884">
        <v>0.90992980000000001</v>
      </c>
      <c r="AB4884">
        <v>32</v>
      </c>
      <c r="AC4884">
        <v>0.78050000000001696</v>
      </c>
      <c r="AD4884">
        <v>-7.90239999999999E-2</v>
      </c>
      <c r="AE4884">
        <v>-0.18862999999999899</v>
      </c>
      <c r="AF4884">
        <v>-0.43727392791405201</v>
      </c>
      <c r="AG4884">
        <v>-7.90239999999999E-2</v>
      </c>
      <c r="AH4884">
        <v>0.66426093444155998</v>
      </c>
      <c r="AI4884">
        <v>95.6747254021533</v>
      </c>
      <c r="AJ4884">
        <v>123.356365665022</v>
      </c>
      <c r="AK4884">
        <v>0.79918450287437204</v>
      </c>
      <c r="AL4884">
        <v>91.377761713605693</v>
      </c>
      <c r="AM4884">
        <v>109.048103524661</v>
      </c>
      <c r="AN4884">
        <v>0.99999996399645696</v>
      </c>
    </row>
    <row r="4885" spans="1:40" x14ac:dyDescent="0.25">
      <c r="A4885" t="str">
        <f>"20190305135333972"</f>
        <v>20190305135333972</v>
      </c>
      <c r="B4885" t="str">
        <f>"1551765213964572"</f>
        <v>1551765213964572</v>
      </c>
      <c r="C4885" t="s">
        <v>40</v>
      </c>
      <c r="D4885">
        <v>4.5614270000000001</v>
      </c>
      <c r="E4885">
        <v>0.46314820000000001</v>
      </c>
      <c r="F4885" t="s">
        <v>41</v>
      </c>
      <c r="G4885">
        <v>-412.74630000000002</v>
      </c>
      <c r="H4885">
        <v>1.047984</v>
      </c>
      <c r="I4885">
        <v>28.457660000000001</v>
      </c>
      <c r="J4885">
        <v>-413.4864</v>
      </c>
      <c r="K4885">
        <v>1.123486</v>
      </c>
      <c r="L4885">
        <v>28.61703</v>
      </c>
      <c r="M4885">
        <v>0.6952853</v>
      </c>
      <c r="N4885">
        <v>-1.6634289999999999E-2</v>
      </c>
      <c r="O4885">
        <v>-0.71854110000000004</v>
      </c>
      <c r="P4885">
        <v>0.89127599999999996</v>
      </c>
      <c r="Q4885">
        <v>-3.0894950000000001E-2</v>
      </c>
      <c r="R4885">
        <v>-0.45240740000000002</v>
      </c>
      <c r="S4885">
        <v>2.797882</v>
      </c>
      <c r="T4885">
        <v>-0.21605530000000001</v>
      </c>
      <c r="U4885">
        <v>-1.115845</v>
      </c>
      <c r="V4885">
        <v>-0.32518950000000002</v>
      </c>
      <c r="W4885">
        <v>-2.6464359999999999E-2</v>
      </c>
      <c r="X4885">
        <v>0.94527850000000002</v>
      </c>
      <c r="Y4885">
        <v>-0.40799299999999999</v>
      </c>
      <c r="Z4885">
        <v>5.260546E-2</v>
      </c>
      <c r="AA4885">
        <v>0.91146830000000001</v>
      </c>
      <c r="AB4885">
        <v>32</v>
      </c>
      <c r="AC4885">
        <v>0.74009999999998399</v>
      </c>
      <c r="AD4885">
        <v>-7.5501999999999903E-2</v>
      </c>
      <c r="AE4885">
        <v>-0.15937000000000201</v>
      </c>
      <c r="AF4885">
        <v>-0.41689649938288298</v>
      </c>
      <c r="AG4885">
        <v>-7.5501999999999903E-2</v>
      </c>
      <c r="AH4885">
        <v>0.62298545552909301</v>
      </c>
      <c r="AI4885">
        <v>95.751539696535204</v>
      </c>
      <c r="AJ4885">
        <v>123.790097093773</v>
      </c>
      <c r="AK4885">
        <v>0.75340169962809</v>
      </c>
      <c r="AL4885">
        <v>91.516473172106998</v>
      </c>
      <c r="AM4885">
        <v>108.983959364179</v>
      </c>
      <c r="AN4885">
        <v>1.00000000791135</v>
      </c>
    </row>
    <row r="4886" spans="1:40" x14ac:dyDescent="0.25">
      <c r="A4886" t="str">
        <f>"20190305135333994"</f>
        <v>20190305135333994</v>
      </c>
      <c r="B4886" t="str">
        <f>"1551765213985068"</f>
        <v>1551765213985068</v>
      </c>
      <c r="C4886" t="s">
        <v>40</v>
      </c>
      <c r="D4886">
        <v>4.5613449999999904</v>
      </c>
      <c r="E4886">
        <v>0.46409</v>
      </c>
      <c r="F4886" t="s">
        <v>42</v>
      </c>
      <c r="G4886">
        <v>-398.74979999999999</v>
      </c>
      <c r="H4886" s="1">
        <v>-1.433718E-6</v>
      </c>
      <c r="I4886">
        <v>22.856960000000001</v>
      </c>
      <c r="J4886">
        <v>-413.25490000000002</v>
      </c>
      <c r="K4886">
        <v>1.1236029999999999</v>
      </c>
      <c r="L4886">
        <v>28.399170000000002</v>
      </c>
      <c r="M4886">
        <v>0.70742439999999995</v>
      </c>
      <c r="N4886">
        <v>-1.668495E-2</v>
      </c>
      <c r="O4886">
        <v>-0.706592</v>
      </c>
      <c r="P4886">
        <v>0.89825730000000004</v>
      </c>
      <c r="Q4886">
        <v>-3.3107530000000003E-2</v>
      </c>
      <c r="R4886">
        <v>-0.43822149999999999</v>
      </c>
      <c r="S4886">
        <v>2.8025509999999998</v>
      </c>
      <c r="T4886">
        <v>-0.2136605</v>
      </c>
      <c r="U4886">
        <v>-1.0954280000000001</v>
      </c>
      <c r="V4886">
        <v>-0.32393250000000001</v>
      </c>
      <c r="W4886">
        <v>-2.8683190000000001E-2</v>
      </c>
      <c r="X4886">
        <v>0.94564530000000002</v>
      </c>
      <c r="Y4886">
        <v>-0.3987694</v>
      </c>
      <c r="Z4886">
        <v>5.1207969999999998E-2</v>
      </c>
      <c r="AA4886">
        <v>0.9156204</v>
      </c>
      <c r="AB4886">
        <v>32</v>
      </c>
      <c r="AC4886">
        <v>14.505100000000001</v>
      </c>
      <c r="AD4886">
        <v>-1.123604433718</v>
      </c>
      <c r="AE4886">
        <v>-5.5422099999999999</v>
      </c>
      <c r="AF4886">
        <v>-6.2964060020062398</v>
      </c>
      <c r="AG4886">
        <v>-1.123604433718</v>
      </c>
      <c r="AH4886">
        <v>14.1054602589934</v>
      </c>
      <c r="AI4886">
        <v>94.160338808051307</v>
      </c>
      <c r="AJ4886">
        <v>114.05506501426601</v>
      </c>
      <c r="AK4886">
        <v>15.487776618469599</v>
      </c>
      <c r="AL4886">
        <v>91.643651142253901</v>
      </c>
      <c r="AM4886">
        <v>108.90898832905</v>
      </c>
      <c r="AN4886">
        <v>1.00000001167845</v>
      </c>
    </row>
    <row r="4887" spans="1:40" x14ac:dyDescent="0.25">
      <c r="A4887" t="str">
        <f>"20190305135334016"</f>
        <v>20190305135334016</v>
      </c>
      <c r="B4887" t="str">
        <f>"1551765214004589"</f>
        <v>1551765214004589</v>
      </c>
      <c r="C4887" t="s">
        <v>40</v>
      </c>
      <c r="D4887">
        <v>4.58711</v>
      </c>
      <c r="E4887">
        <v>0.46505590000000002</v>
      </c>
      <c r="F4887" t="s">
        <v>42</v>
      </c>
      <c r="G4887">
        <v>-398.62240000000003</v>
      </c>
      <c r="H4887" s="1">
        <v>-1.506763E-6</v>
      </c>
      <c r="I4887">
        <v>22.905169999999998</v>
      </c>
      <c r="J4887">
        <v>-413.03390000000002</v>
      </c>
      <c r="K4887">
        <v>1.1237140000000001</v>
      </c>
      <c r="L4887">
        <v>28.197939999999999</v>
      </c>
      <c r="M4887">
        <v>0.7187713</v>
      </c>
      <c r="N4887">
        <v>-1.6730680000000001E-2</v>
      </c>
      <c r="O4887">
        <v>-0.69504540000000004</v>
      </c>
      <c r="P4887">
        <v>0.90471420000000002</v>
      </c>
      <c r="Q4887">
        <v>-3.4183449999999997E-2</v>
      </c>
      <c r="R4887">
        <v>-0.42464580000000002</v>
      </c>
      <c r="S4887">
        <v>2.8160099999999999</v>
      </c>
      <c r="T4887">
        <v>-0.21623619999999999</v>
      </c>
      <c r="U4887">
        <v>-1.057312</v>
      </c>
      <c r="V4887">
        <v>-0.3227912</v>
      </c>
      <c r="W4887">
        <v>-2.9761340000000001E-2</v>
      </c>
      <c r="X4887">
        <v>0.94600220000000002</v>
      </c>
      <c r="Y4887">
        <v>-0.39619149999999997</v>
      </c>
      <c r="Z4887">
        <v>5.1412880000000001E-2</v>
      </c>
      <c r="AA4887">
        <v>0.91672739999999997</v>
      </c>
      <c r="AB4887">
        <v>32</v>
      </c>
      <c r="AC4887">
        <v>14.411499999999901</v>
      </c>
      <c r="AD4887">
        <v>-1.12371550676299</v>
      </c>
      <c r="AE4887">
        <v>-5.29277</v>
      </c>
      <c r="AF4887">
        <v>-6.1801160031145397</v>
      </c>
      <c r="AG4887">
        <v>-1.12371550676299</v>
      </c>
      <c r="AH4887">
        <v>13.964440201234799</v>
      </c>
      <c r="AI4887">
        <v>94.208557113059499</v>
      </c>
      <c r="AJ4887">
        <v>113.87231063244</v>
      </c>
      <c r="AK4887">
        <v>15.3121572773387</v>
      </c>
      <c r="AL4887">
        <v>91.705450951524696</v>
      </c>
      <c r="AM4887">
        <v>108.84046840371001</v>
      </c>
      <c r="AN4887">
        <v>1.0000000292804301</v>
      </c>
    </row>
    <row r="4888" spans="1:40" x14ac:dyDescent="0.25">
      <c r="A4888" t="str">
        <f>"20190305135334038"</f>
        <v>20190305135334038</v>
      </c>
      <c r="B4888" t="str">
        <f>"1551765214034845"</f>
        <v>1551765214034845</v>
      </c>
      <c r="C4888" t="s">
        <v>40</v>
      </c>
      <c r="D4888">
        <v>4.6078749999999999</v>
      </c>
      <c r="E4888">
        <v>0.46843980000000002</v>
      </c>
      <c r="F4888" t="s">
        <v>42</v>
      </c>
      <c r="G4888">
        <v>-398.64690000000002</v>
      </c>
      <c r="H4888" s="1">
        <v>-1.520695E-6</v>
      </c>
      <c r="I4888">
        <v>23.001069999999999</v>
      </c>
      <c r="J4888">
        <v>-412.8005</v>
      </c>
      <c r="K4888">
        <v>1.1238349999999999</v>
      </c>
      <c r="L4888">
        <v>27.992519999999999</v>
      </c>
      <c r="M4888">
        <v>0.73048659999999999</v>
      </c>
      <c r="N4888">
        <v>-1.6776920000000001E-2</v>
      </c>
      <c r="O4888">
        <v>-0.68272080000000002</v>
      </c>
      <c r="P4888">
        <v>0.91138319999999995</v>
      </c>
      <c r="Q4888">
        <v>-3.2717700000000002E-2</v>
      </c>
      <c r="R4888">
        <v>-0.41025640000000002</v>
      </c>
      <c r="S4888">
        <v>2.828125</v>
      </c>
      <c r="T4888">
        <v>-0.2208947</v>
      </c>
      <c r="U4888">
        <v>-1.021576</v>
      </c>
      <c r="V4888">
        <v>-0.32177660000000002</v>
      </c>
      <c r="W4888">
        <v>-2.8297869999999999E-2</v>
      </c>
      <c r="X4888">
        <v>0.94639269999999998</v>
      </c>
      <c r="Y4888">
        <v>-0.3920093</v>
      </c>
      <c r="Z4888">
        <v>5.2074139999999998E-2</v>
      </c>
      <c r="AA4888">
        <v>0.91848620000000003</v>
      </c>
      <c r="AB4888">
        <v>32</v>
      </c>
      <c r="AC4888">
        <v>14.1535999999999</v>
      </c>
      <c r="AD4888">
        <v>-1.1238365206950001</v>
      </c>
      <c r="AE4888">
        <v>-4.9914500000000004</v>
      </c>
      <c r="AF4888">
        <v>-5.9840621011523503</v>
      </c>
      <c r="AG4888">
        <v>-1.1238365206950001</v>
      </c>
      <c r="AH4888">
        <v>13.672053199046401</v>
      </c>
      <c r="AI4888">
        <v>94.306392421496199</v>
      </c>
      <c r="AJ4888">
        <v>113.638307339528</v>
      </c>
      <c r="AK4888">
        <v>14.9665308750308</v>
      </c>
      <c r="AL4888">
        <v>91.621564911037893</v>
      </c>
      <c r="AM4888">
        <v>108.77820047584299</v>
      </c>
      <c r="AN4888">
        <v>1.00000004618369</v>
      </c>
    </row>
    <row r="4889" spans="1:40" x14ac:dyDescent="0.25">
      <c r="A4889" t="str">
        <f>"20190305135334062"</f>
        <v>20190305135334062</v>
      </c>
      <c r="B4889" t="str">
        <f>"1551765214055340"</f>
        <v>1551765214055340</v>
      </c>
      <c r="C4889" t="s">
        <v>40</v>
      </c>
      <c r="D4889">
        <v>4.8295149999999998</v>
      </c>
      <c r="E4889">
        <v>0.46840290000000001</v>
      </c>
      <c r="F4889" t="s">
        <v>42</v>
      </c>
      <c r="G4889">
        <v>-396.87419999999997</v>
      </c>
      <c r="H4889" s="1">
        <v>-2.18927E-6</v>
      </c>
      <c r="I4889">
        <v>22.36439</v>
      </c>
      <c r="J4889">
        <v>-412.54640000000001</v>
      </c>
      <c r="K4889">
        <v>1.1239589999999999</v>
      </c>
      <c r="L4889">
        <v>27.776730000000001</v>
      </c>
      <c r="M4889">
        <v>0.74293100000000001</v>
      </c>
      <c r="N4889">
        <v>-1.682531E-2</v>
      </c>
      <c r="O4889">
        <v>-0.66915639999999998</v>
      </c>
      <c r="P4889">
        <v>0.91860120000000001</v>
      </c>
      <c r="Q4889">
        <v>-3.005E-2</v>
      </c>
      <c r="R4889">
        <v>-0.39404159999999999</v>
      </c>
      <c r="S4889">
        <v>2.8337400000000001</v>
      </c>
      <c r="T4889">
        <v>-0.19996240000000001</v>
      </c>
      <c r="U4889">
        <v>-1.001404</v>
      </c>
      <c r="V4889">
        <v>-0.32127519999999998</v>
      </c>
      <c r="W4889">
        <v>-2.565046E-2</v>
      </c>
      <c r="X4889">
        <v>0.94663839999999999</v>
      </c>
      <c r="Y4889">
        <v>-0.38185839999999999</v>
      </c>
      <c r="Z4889">
        <v>4.5492789999999998E-2</v>
      </c>
      <c r="AA4889">
        <v>0.92310049999999999</v>
      </c>
      <c r="AB4889">
        <v>32</v>
      </c>
      <c r="AC4889">
        <v>15.6722</v>
      </c>
      <c r="AD4889">
        <v>-1.1239611892700001</v>
      </c>
      <c r="AE4889">
        <v>-5.4123400000000004</v>
      </c>
      <c r="AF4889">
        <v>-6.4374917530728801</v>
      </c>
      <c r="AG4889">
        <v>-1.1239611892700001</v>
      </c>
      <c r="AH4889">
        <v>15.197391514996699</v>
      </c>
      <c r="AI4889">
        <v>93.895819077811495</v>
      </c>
      <c r="AJ4889">
        <v>112.957121615188</v>
      </c>
      <c r="AK4889">
        <v>16.542832214767799</v>
      </c>
      <c r="AL4889">
        <v>91.469824337124606</v>
      </c>
      <c r="AM4889">
        <v>108.746459423045</v>
      </c>
      <c r="AN4889">
        <v>0.99999998029390502</v>
      </c>
    </row>
    <row r="4890" spans="1:40" x14ac:dyDescent="0.25">
      <c r="A4890" t="str">
        <f>"20190305135334083"</f>
        <v>20190305135334083</v>
      </c>
      <c r="B4890" t="str">
        <f>"1551765214074864"</f>
        <v>1551765214074864</v>
      </c>
      <c r="C4890" t="s">
        <v>40</v>
      </c>
      <c r="D4890">
        <v>4.6208119999999999</v>
      </c>
      <c r="E4890">
        <v>0.47123930000000003</v>
      </c>
      <c r="F4890" t="s">
        <v>42</v>
      </c>
      <c r="G4890">
        <v>-395.66750000000002</v>
      </c>
      <c r="H4890" s="1">
        <v>-2.702424E-6</v>
      </c>
      <c r="I4890">
        <v>22.14922</v>
      </c>
      <c r="J4890">
        <v>-412.31099999999998</v>
      </c>
      <c r="K4890">
        <v>1.124055</v>
      </c>
      <c r="L4890">
        <v>27.58398</v>
      </c>
      <c r="M4890">
        <v>0.75417109999999998</v>
      </c>
      <c r="N4890">
        <v>-1.6868040000000001E-2</v>
      </c>
      <c r="O4890">
        <v>-0.65646139999999997</v>
      </c>
      <c r="P4890">
        <v>0.92487629999999998</v>
      </c>
      <c r="Q4890">
        <v>-2.864601E-2</v>
      </c>
      <c r="R4890">
        <v>-0.37918780000000002</v>
      </c>
      <c r="S4890">
        <v>2.851807</v>
      </c>
      <c r="T4890">
        <v>-0.1899006</v>
      </c>
      <c r="U4890">
        <v>-0.95080569999999998</v>
      </c>
      <c r="V4890">
        <v>-0.32055280000000003</v>
      </c>
      <c r="W4890">
        <v>-2.4248860000000001E-2</v>
      </c>
      <c r="X4890">
        <v>0.94692019999999999</v>
      </c>
      <c r="Y4890">
        <v>-0.38286819999999999</v>
      </c>
      <c r="Z4890">
        <v>4.2361219999999998E-2</v>
      </c>
      <c r="AA4890">
        <v>0.92283119999999996</v>
      </c>
      <c r="AB4890">
        <v>32</v>
      </c>
      <c r="AC4890">
        <v>16.6434999999999</v>
      </c>
      <c r="AD4890">
        <v>-1.1240577024239999</v>
      </c>
      <c r="AE4890">
        <v>-5.4347599999999998</v>
      </c>
      <c r="AF4890">
        <v>-6.8000190663481197</v>
      </c>
      <c r="AG4890">
        <v>-1.1240577024239999</v>
      </c>
      <c r="AH4890">
        <v>16.055870455173299</v>
      </c>
      <c r="AI4890">
        <v>93.688515367266206</v>
      </c>
      <c r="AJ4890">
        <v>112.95374068233301</v>
      </c>
      <c r="AK4890">
        <v>17.472685571897198</v>
      </c>
      <c r="AL4890">
        <v>91.3894935516023</v>
      </c>
      <c r="AM4890">
        <v>108.702062656001</v>
      </c>
      <c r="AN4890">
        <v>0.999999984983589</v>
      </c>
    </row>
    <row r="4891" spans="1:40" x14ac:dyDescent="0.25">
      <c r="A4891" t="str">
        <f>"20190305135334095"</f>
        <v>20190305135334095</v>
      </c>
      <c r="B4891" t="str">
        <f>"1551765214084621"</f>
        <v>1551765214084621</v>
      </c>
      <c r="C4891" t="s">
        <v>40</v>
      </c>
      <c r="D4891">
        <v>4.5859310000000004</v>
      </c>
      <c r="E4891">
        <v>0.47177540000000001</v>
      </c>
      <c r="F4891" t="s">
        <v>42</v>
      </c>
      <c r="G4891">
        <v>-394.41070000000002</v>
      </c>
      <c r="H4891" s="1">
        <v>-3.200206E-6</v>
      </c>
      <c r="I4891">
        <v>21.787289999999999</v>
      </c>
      <c r="J4891">
        <v>-412.18520000000001</v>
      </c>
      <c r="K4891">
        <v>1.1240939999999999</v>
      </c>
      <c r="L4891">
        <v>27.48441</v>
      </c>
      <c r="M4891">
        <v>0.76005219999999996</v>
      </c>
      <c r="N4891">
        <v>-1.6889599999999901E-2</v>
      </c>
      <c r="O4891">
        <v>-0.64964250000000001</v>
      </c>
      <c r="P4891">
        <v>0.9280564</v>
      </c>
      <c r="Q4891">
        <v>-2.8721190000000001E-2</v>
      </c>
      <c r="R4891">
        <v>-0.3713303</v>
      </c>
      <c r="S4891">
        <v>2.8585509999999998</v>
      </c>
      <c r="T4891">
        <v>-0.17950389999999999</v>
      </c>
      <c r="U4891">
        <v>-0.92568969999999995</v>
      </c>
      <c r="V4891">
        <v>-0.32005050000000002</v>
      </c>
      <c r="W4891">
        <v>-2.4317499999999999E-2</v>
      </c>
      <c r="X4891">
        <v>0.94708840000000005</v>
      </c>
      <c r="Y4891">
        <v>-0.38269239999999999</v>
      </c>
      <c r="Z4891">
        <v>3.9384349999999999E-2</v>
      </c>
      <c r="AA4891">
        <v>0.92303599999999997</v>
      </c>
      <c r="AB4891">
        <v>32</v>
      </c>
      <c r="AC4891">
        <v>17.7744999999999</v>
      </c>
      <c r="AD4891">
        <v>-1.1240972002059999</v>
      </c>
      <c r="AE4891">
        <v>-5.6971199999999902</v>
      </c>
      <c r="AF4891">
        <v>-7.1919069440933301</v>
      </c>
      <c r="AG4891">
        <v>-1.1240972002059999</v>
      </c>
      <c r="AH4891">
        <v>17.1508890390072</v>
      </c>
      <c r="AI4891">
        <v>93.458899331518097</v>
      </c>
      <c r="AJ4891">
        <v>112.749836036677</v>
      </c>
      <c r="AK4891">
        <v>18.631696509881898</v>
      </c>
      <c r="AL4891">
        <v>91.393427402857597</v>
      </c>
      <c r="AM4891">
        <v>108.67170348726999</v>
      </c>
      <c r="AN4891">
        <v>1.00000005038552</v>
      </c>
    </row>
    <row r="4892" spans="1:40" x14ac:dyDescent="0.25">
      <c r="A4892" t="str">
        <f>"20190305135334108"</f>
        <v>20190305135334108</v>
      </c>
      <c r="B4892" t="str">
        <f>"1551765214095357"</f>
        <v>1551765214095357</v>
      </c>
      <c r="C4892" t="s">
        <v>40</v>
      </c>
      <c r="D4892">
        <v>4.5936649999999997</v>
      </c>
      <c r="E4892">
        <v>0.4721437</v>
      </c>
      <c r="F4892" t="s">
        <v>42</v>
      </c>
      <c r="G4892">
        <v>-394.02699999999999</v>
      </c>
      <c r="H4892" s="1">
        <v>-3.370478E-6</v>
      </c>
      <c r="I4892">
        <v>21.745460000000001</v>
      </c>
      <c r="J4892">
        <v>-412.05369999999999</v>
      </c>
      <c r="K4892">
        <v>1.124125</v>
      </c>
      <c r="L4892">
        <v>27.381260000000001</v>
      </c>
      <c r="M4892">
        <v>0.76612460000000004</v>
      </c>
      <c r="N4892">
        <v>-1.691105E-2</v>
      </c>
      <c r="O4892">
        <v>-0.64246969999999903</v>
      </c>
      <c r="P4892">
        <v>0.93129799999999996</v>
      </c>
      <c r="Q4892">
        <v>-2.8669389999999999E-2</v>
      </c>
      <c r="R4892">
        <v>-0.36312830000000001</v>
      </c>
      <c r="S4892">
        <v>2.8648069999999999</v>
      </c>
      <c r="T4892">
        <v>-0.17734739999999999</v>
      </c>
      <c r="U4892">
        <v>-0.90542599999999995</v>
      </c>
      <c r="V4892">
        <v>-0.3195055</v>
      </c>
      <c r="W4892">
        <v>-2.4257239999999999E-2</v>
      </c>
      <c r="X4892">
        <v>0.9472739</v>
      </c>
      <c r="Y4892">
        <v>-0.38056570000000001</v>
      </c>
      <c r="Z4892">
        <v>3.8524530000000001E-2</v>
      </c>
      <c r="AA4892">
        <v>0.92395110000000003</v>
      </c>
      <c r="AB4892">
        <v>32</v>
      </c>
      <c r="AC4892">
        <v>18.026700000000002</v>
      </c>
      <c r="AD4892">
        <v>-1.1241283704780001</v>
      </c>
      <c r="AE4892">
        <v>-5.6357999999999899</v>
      </c>
      <c r="AF4892">
        <v>-7.2392771700249101</v>
      </c>
      <c r="AG4892">
        <v>-1.1241283704780001</v>
      </c>
      <c r="AH4892">
        <v>17.372479889704501</v>
      </c>
      <c r="AI4892">
        <v>93.418159740573998</v>
      </c>
      <c r="AJ4892">
        <v>112.62195537225899</v>
      </c>
      <c r="AK4892">
        <v>18.854014322046702</v>
      </c>
      <c r="AL4892">
        <v>91.389973796844998</v>
      </c>
      <c r="AM4892">
        <v>108.638708438564</v>
      </c>
      <c r="AN4892">
        <v>1.0000000099219299</v>
      </c>
    </row>
    <row r="4893" spans="1:40" x14ac:dyDescent="0.25">
      <c r="A4893" t="str">
        <f>"20190305135334123"</f>
        <v>20190305135334123</v>
      </c>
      <c r="B4893" t="str">
        <f>"1551765214114877"</f>
        <v>1551765214114877</v>
      </c>
      <c r="C4893" t="s">
        <v>40</v>
      </c>
      <c r="D4893">
        <v>4.6046310000000004</v>
      </c>
      <c r="E4893">
        <v>0.47312949999999998</v>
      </c>
      <c r="F4893" t="s">
        <v>42</v>
      </c>
      <c r="G4893">
        <v>-393.72680000000003</v>
      </c>
      <c r="H4893" s="1">
        <v>-3.512876E-6</v>
      </c>
      <c r="I4893">
        <v>21.747299999999999</v>
      </c>
      <c r="J4893">
        <v>-411.86660000000001</v>
      </c>
      <c r="K4893">
        <v>1.124174</v>
      </c>
      <c r="L4893">
        <v>27.23846</v>
      </c>
      <c r="M4893">
        <v>0.77460469999999904</v>
      </c>
      <c r="N4893">
        <v>-1.6939389999999999E-2</v>
      </c>
      <c r="O4893">
        <v>-0.63221910000000003</v>
      </c>
      <c r="P4893">
        <v>0.93593839999999995</v>
      </c>
      <c r="Q4893">
        <v>-2.908285E-2</v>
      </c>
      <c r="R4893">
        <v>-0.35096090000000002</v>
      </c>
      <c r="S4893">
        <v>2.8716430000000002</v>
      </c>
      <c r="T4893">
        <v>-0.1761392</v>
      </c>
      <c r="U4893">
        <v>-0.88278199999999996</v>
      </c>
      <c r="V4893">
        <v>-0.31922109999999998</v>
      </c>
      <c r="W4893">
        <v>-2.4675220000000001E-2</v>
      </c>
      <c r="X4893">
        <v>0.94735899999999995</v>
      </c>
      <c r="Y4893">
        <v>-0.37556620000000002</v>
      </c>
      <c r="Z4893">
        <v>3.7731519999999998E-2</v>
      </c>
      <c r="AA4893">
        <v>0.92602720000000005</v>
      </c>
      <c r="AB4893">
        <v>32</v>
      </c>
      <c r="AC4893">
        <v>18.139799999999902</v>
      </c>
      <c r="AD4893">
        <v>-1.1241775128759901</v>
      </c>
      <c r="AE4893">
        <v>-5.49115999999999</v>
      </c>
      <c r="AF4893">
        <v>-7.1905853757013496</v>
      </c>
      <c r="AG4893">
        <v>-1.1241775128759901</v>
      </c>
      <c r="AH4893">
        <v>17.463859554124401</v>
      </c>
      <c r="AI4893">
        <v>93.406429321241106</v>
      </c>
      <c r="AJ4893">
        <v>112.378969153662</v>
      </c>
      <c r="AK4893">
        <v>18.9196903688165</v>
      </c>
      <c r="AL4893">
        <v>91.413929434890406</v>
      </c>
      <c r="AM4893">
        <v>108.62170464009201</v>
      </c>
      <c r="AN4893">
        <v>1.00000002602412</v>
      </c>
    </row>
    <row r="4894" spans="1:40" x14ac:dyDescent="0.25">
      <c r="A4894" t="str">
        <f>"20190305135334140"</f>
        <v>20190305135334140</v>
      </c>
      <c r="B4894" t="str">
        <f>"1551765214135373"</f>
        <v>1551765214135373</v>
      </c>
      <c r="C4894" t="s">
        <v>40</v>
      </c>
      <c r="D4894">
        <v>4.5634860000000002</v>
      </c>
      <c r="E4894">
        <v>0.4741939</v>
      </c>
      <c r="F4894" t="s">
        <v>42</v>
      </c>
      <c r="G4894">
        <v>-393.303</v>
      </c>
      <c r="H4894" s="1">
        <v>-3.7120460000000002E-6</v>
      </c>
      <c r="I4894">
        <v>21.74296</v>
      </c>
      <c r="J4894">
        <v>-411.68630000000002</v>
      </c>
      <c r="K4894">
        <v>1.1242129999999999</v>
      </c>
      <c r="L4894">
        <v>27.105070000000001</v>
      </c>
      <c r="M4894">
        <v>0.78259499999999904</v>
      </c>
      <c r="N4894">
        <v>-1.6963840000000001E-2</v>
      </c>
      <c r="O4894">
        <v>-0.62229999999999996</v>
      </c>
      <c r="P4894">
        <v>0.94000700000000004</v>
      </c>
      <c r="Q4894">
        <v>-2.870671E-2</v>
      </c>
      <c r="R4894">
        <v>-0.3399452</v>
      </c>
      <c r="S4894">
        <v>2.8801570000000001</v>
      </c>
      <c r="T4894">
        <v>-0.17441679999999901</v>
      </c>
      <c r="U4894">
        <v>-0.85263060000000002</v>
      </c>
      <c r="V4894">
        <v>-0.31829849999999998</v>
      </c>
      <c r="W4894">
        <v>-2.427027E-2</v>
      </c>
      <c r="X4894">
        <v>0.94767979999999996</v>
      </c>
      <c r="Y4894">
        <v>-0.37345309999999998</v>
      </c>
      <c r="Z4894">
        <v>3.692082E-2</v>
      </c>
      <c r="AA4894">
        <v>0.92691400000000002</v>
      </c>
      <c r="AB4894">
        <v>32</v>
      </c>
      <c r="AC4894">
        <v>18.383299999999899</v>
      </c>
      <c r="AD4894">
        <v>-1.1242167120459901</v>
      </c>
      <c r="AE4894">
        <v>-5.3621100000000004</v>
      </c>
      <c r="AF4894">
        <v>-7.2197260529503398</v>
      </c>
      <c r="AG4894">
        <v>-1.1242167120459901</v>
      </c>
      <c r="AH4894">
        <v>17.665185539616999</v>
      </c>
      <c r="AI4894">
        <v>93.371406054440598</v>
      </c>
      <c r="AJ4894">
        <v>112.22973650641801</v>
      </c>
      <c r="AK4894">
        <v>19.1166704120877</v>
      </c>
      <c r="AL4894">
        <v>91.390720605329903</v>
      </c>
      <c r="AM4894">
        <v>108.56572523827499</v>
      </c>
      <c r="AN4894">
        <v>0.999999992218081</v>
      </c>
    </row>
    <row r="4895" spans="1:40" x14ac:dyDescent="0.25">
      <c r="A4895" t="str">
        <f>"20190305135334152"</f>
        <v>20190305135334152</v>
      </c>
      <c r="B4895" t="str">
        <f>"1551765214145133"</f>
        <v>1551765214145133</v>
      </c>
      <c r="C4895" t="s">
        <v>40</v>
      </c>
      <c r="D4895">
        <v>4.5909170000000001</v>
      </c>
      <c r="E4895">
        <v>0.4747324</v>
      </c>
      <c r="F4895" t="s">
        <v>42</v>
      </c>
      <c r="G4895">
        <v>-392.70569999999998</v>
      </c>
      <c r="H4895" s="1">
        <v>-3.9752280000000004E-6</v>
      </c>
      <c r="I4895">
        <v>21.670960000000001</v>
      </c>
      <c r="J4895">
        <v>-411.5446</v>
      </c>
      <c r="K4895">
        <v>1.1242399999999999</v>
      </c>
      <c r="L4895">
        <v>27.00262</v>
      </c>
      <c r="M4895">
        <v>0.78875150000000005</v>
      </c>
      <c r="N4895">
        <v>-1.6981099999999999E-2</v>
      </c>
      <c r="O4895">
        <v>-0.61447759999999996</v>
      </c>
      <c r="P4895">
        <v>0.94315380000000004</v>
      </c>
      <c r="Q4895">
        <v>-2.8349490000000001E-2</v>
      </c>
      <c r="R4895">
        <v>-0.33114529999999998</v>
      </c>
      <c r="S4895">
        <v>2.8872990000000001</v>
      </c>
      <c r="T4895">
        <v>-0.17101429999999901</v>
      </c>
      <c r="U4895">
        <v>-0.82662959999999996</v>
      </c>
      <c r="V4895">
        <v>-0.31774010000000003</v>
      </c>
      <c r="W4895">
        <v>-2.3894439999999999E-2</v>
      </c>
      <c r="X4895">
        <v>0.94787670000000002</v>
      </c>
      <c r="Y4895">
        <v>-0.3725948</v>
      </c>
      <c r="Z4895">
        <v>3.579243E-2</v>
      </c>
      <c r="AA4895">
        <v>0.92730369999999995</v>
      </c>
      <c r="AB4895">
        <v>32</v>
      </c>
      <c r="AC4895">
        <v>18.838899999999999</v>
      </c>
      <c r="AD4895">
        <v>-1.124243975228</v>
      </c>
      <c r="AE4895">
        <v>-5.3316599999999896</v>
      </c>
      <c r="AF4895">
        <v>-7.3475636331451302</v>
      </c>
      <c r="AG4895">
        <v>-1.124243975228</v>
      </c>
      <c r="AH4895">
        <v>18.078403102912699</v>
      </c>
      <c r="AI4895">
        <v>93.297206855629696</v>
      </c>
      <c r="AJ4895">
        <v>112.11818652560601</v>
      </c>
      <c r="AK4895">
        <v>19.546848201445599</v>
      </c>
      <c r="AL4895">
        <v>91.369180906196604</v>
      </c>
      <c r="AM4895">
        <v>108.531794625995</v>
      </c>
      <c r="AN4895">
        <v>0.99999997690690601</v>
      </c>
    </row>
    <row r="4896" spans="1:40" x14ac:dyDescent="0.25">
      <c r="A4896" t="str">
        <f>"20190305135334166"</f>
        <v>20190305135334166</v>
      </c>
      <c r="B4896" t="str">
        <f>"1551765214154893"</f>
        <v>1551765214154893</v>
      </c>
      <c r="C4896" t="s">
        <v>40</v>
      </c>
      <c r="D4896">
        <v>4.5981969999999999</v>
      </c>
      <c r="E4896">
        <v>0.47523510000000002</v>
      </c>
      <c r="F4896" t="s">
        <v>42</v>
      </c>
      <c r="G4896">
        <v>-392.35739999999998</v>
      </c>
      <c r="H4896" s="1">
        <v>-4.1403519999999997E-6</v>
      </c>
      <c r="I4896">
        <v>21.672730000000001</v>
      </c>
      <c r="J4896">
        <v>-411.39659999999998</v>
      </c>
      <c r="K4896">
        <v>1.124266</v>
      </c>
      <c r="L4896">
        <v>26.89716</v>
      </c>
      <c r="M4896">
        <v>0.79507950000000005</v>
      </c>
      <c r="N4896">
        <v>-1.6997709999999999E-2</v>
      </c>
      <c r="O4896">
        <v>-0.60626740000000001</v>
      </c>
      <c r="P4896">
        <v>0.94639189999999995</v>
      </c>
      <c r="Q4896">
        <v>-2.783368E-2</v>
      </c>
      <c r="R4896">
        <v>-0.3218202</v>
      </c>
      <c r="S4896">
        <v>2.8935240000000002</v>
      </c>
      <c r="T4896">
        <v>-0.1695412</v>
      </c>
      <c r="U4896">
        <v>-0.80377200000000004</v>
      </c>
      <c r="V4896">
        <v>-0.317297099999999</v>
      </c>
      <c r="W4896">
        <v>-2.3362999999999998E-2</v>
      </c>
      <c r="X4896">
        <v>0.9480383</v>
      </c>
      <c r="Y4896">
        <v>-0.3703188</v>
      </c>
      <c r="Z4896">
        <v>3.5104749999999997E-2</v>
      </c>
      <c r="AA4896">
        <v>0.92824110000000004</v>
      </c>
      <c r="AB4896">
        <v>32</v>
      </c>
      <c r="AC4896">
        <v>19.039199999999902</v>
      </c>
      <c r="AD4896">
        <v>-1.1242701403519999</v>
      </c>
      <c r="AE4896">
        <v>-5.2244299999999901</v>
      </c>
      <c r="AF4896">
        <v>-7.3661881113389098</v>
      </c>
      <c r="AG4896">
        <v>-1.1242701403519999</v>
      </c>
      <c r="AH4896">
        <v>18.2485439124336</v>
      </c>
      <c r="AI4896">
        <v>93.2697497417346</v>
      </c>
      <c r="AJ4896">
        <v>111.981907452336</v>
      </c>
      <c r="AK4896">
        <v>19.7112674773627</v>
      </c>
      <c r="AL4896">
        <v>91.338723169909301</v>
      </c>
      <c r="AM4896">
        <v>108.504778547475</v>
      </c>
      <c r="AN4896">
        <v>0.99999994885214805</v>
      </c>
    </row>
    <row r="4897" spans="1:40" x14ac:dyDescent="0.25">
      <c r="A4897" t="str">
        <f>"20190305135334177"</f>
        <v>20190305135334177</v>
      </c>
      <c r="B4897" t="str">
        <f>"1551765214164654"</f>
        <v>1551765214164654</v>
      </c>
      <c r="C4897" t="s">
        <v>40</v>
      </c>
      <c r="D4897">
        <v>4.9703140000000001</v>
      </c>
      <c r="E4897">
        <v>0.47523510000000002</v>
      </c>
      <c r="F4897" t="s">
        <v>42</v>
      </c>
      <c r="G4897">
        <v>-391.9538</v>
      </c>
      <c r="H4897" s="1">
        <v>-4.3261570000000001E-6</v>
      </c>
      <c r="I4897">
        <v>21.674880000000002</v>
      </c>
      <c r="J4897">
        <v>-411.2704</v>
      </c>
      <c r="K4897">
        <v>1.1242760000000001</v>
      </c>
      <c r="L4897">
        <v>26.810089999999999</v>
      </c>
      <c r="M4897">
        <v>0.80036600000000002</v>
      </c>
      <c r="N4897">
        <v>-1.700958E-2</v>
      </c>
      <c r="O4897">
        <v>-0.59927050000000004</v>
      </c>
      <c r="P4897">
        <v>0.94897310000000001</v>
      </c>
      <c r="Q4897">
        <v>-2.7217109999999999E-2</v>
      </c>
      <c r="R4897">
        <v>-0.31418069999999998</v>
      </c>
      <c r="S4897">
        <v>2.9001160000000001</v>
      </c>
      <c r="T4897">
        <v>-0.1676975</v>
      </c>
      <c r="U4897">
        <v>-0.77896119999999902</v>
      </c>
      <c r="V4897">
        <v>-0.31665749999999998</v>
      </c>
      <c r="W4897">
        <v>-2.271782E-2</v>
      </c>
      <c r="X4897">
        <v>0.94826790000000005</v>
      </c>
      <c r="Y4897">
        <v>-0.37013819999999997</v>
      </c>
      <c r="Z4897">
        <v>3.443388E-2</v>
      </c>
      <c r="AA4897">
        <v>0.92833829999999995</v>
      </c>
      <c r="AB4897">
        <v>32</v>
      </c>
      <c r="AC4897">
        <v>19.316599999999902</v>
      </c>
      <c r="AD4897">
        <v>-1.124280326157</v>
      </c>
      <c r="AE4897">
        <v>-5.1352099999999998</v>
      </c>
      <c r="AF4897">
        <v>-7.4433501410188301</v>
      </c>
      <c r="AG4897">
        <v>-1.124280326157</v>
      </c>
      <c r="AH4897">
        <v>18.481934175225501</v>
      </c>
      <c r="AI4897">
        <v>93.229607194158802</v>
      </c>
      <c r="AJ4897">
        <v>111.936447276075</v>
      </c>
      <c r="AK4897">
        <v>19.956185969041201</v>
      </c>
      <c r="AL4897">
        <v>91.301747140662997</v>
      </c>
      <c r="AM4897">
        <v>108.465841619042</v>
      </c>
      <c r="AN4897">
        <v>1.0000000409111001</v>
      </c>
    </row>
    <row r="4898" spans="1:40" x14ac:dyDescent="0.25">
      <c r="A4898" t="str">
        <f>"20190305135334197"</f>
        <v>20190305135334197</v>
      </c>
      <c r="B4898" t="str">
        <f>"1551765214185149"</f>
        <v>1551765214185149</v>
      </c>
      <c r="C4898" t="s">
        <v>40</v>
      </c>
      <c r="D4898">
        <v>4.9489710000000002</v>
      </c>
      <c r="E4898">
        <v>0.47584349999999997</v>
      </c>
      <c r="F4898" t="s">
        <v>42</v>
      </c>
      <c r="G4898">
        <v>-391.5693</v>
      </c>
      <c r="H4898" s="1">
        <v>-4.4762840000000002E-6</v>
      </c>
      <c r="I4898">
        <v>21.68882</v>
      </c>
      <c r="J4898">
        <v>-411.04169999999999</v>
      </c>
      <c r="K4898">
        <v>1.124287</v>
      </c>
      <c r="L4898">
        <v>26.655550000000002</v>
      </c>
      <c r="M4898">
        <v>0.80973319999999904</v>
      </c>
      <c r="N4898">
        <v>-1.7027750000000001E-2</v>
      </c>
      <c r="O4898">
        <v>-0.58655119999999905</v>
      </c>
      <c r="P4898">
        <v>0.95317799999999997</v>
      </c>
      <c r="Q4898">
        <v>-2.6954220000000001E-2</v>
      </c>
      <c r="R4898">
        <v>-0.30120659999999999</v>
      </c>
      <c r="S4898">
        <v>2.9064329999999998</v>
      </c>
      <c r="T4898">
        <v>-0.16586139999999999</v>
      </c>
      <c r="U4898">
        <v>-0.75552369999999902</v>
      </c>
      <c r="V4898">
        <v>-0.31462770000000001</v>
      </c>
      <c r="W4898">
        <v>-2.2363870000000001E-2</v>
      </c>
      <c r="X4898">
        <v>0.94895169999999995</v>
      </c>
      <c r="Y4898">
        <v>-0.36300209999999999</v>
      </c>
      <c r="Z4898">
        <v>3.337706E-2</v>
      </c>
      <c r="AA4898">
        <v>0.93119039999999997</v>
      </c>
      <c r="AB4898">
        <v>32</v>
      </c>
      <c r="AC4898">
        <v>19.4724</v>
      </c>
      <c r="AD4898">
        <v>-1.1242914762839999</v>
      </c>
      <c r="AE4898">
        <v>-4.9667300000000001</v>
      </c>
      <c r="AF4898">
        <v>-7.3778133883954897</v>
      </c>
      <c r="AG4898">
        <v>-1.1242914762839999</v>
      </c>
      <c r="AH4898">
        <v>18.6251012227229</v>
      </c>
      <c r="AI4898">
        <v>93.212160836004301</v>
      </c>
      <c r="AJ4898">
        <v>111.609610769211</v>
      </c>
      <c r="AK4898">
        <v>20.064659410872299</v>
      </c>
      <c r="AL4898">
        <v>91.281462159477002</v>
      </c>
      <c r="AM4898">
        <v>108.343090300325</v>
      </c>
      <c r="AN4898">
        <v>1.0000000306107699</v>
      </c>
    </row>
    <row r="4899" spans="1:40" x14ac:dyDescent="0.25">
      <c r="A4899" t="str">
        <f>"20190305135334223"</f>
        <v>20190305135334223</v>
      </c>
      <c r="B4899" t="str">
        <f>"1551765214215248"</f>
        <v>1551765214215248</v>
      </c>
      <c r="C4899" t="s">
        <v>40</v>
      </c>
      <c r="D4899">
        <v>4.7218499999999999</v>
      </c>
      <c r="E4899">
        <v>0.5054054</v>
      </c>
      <c r="F4899" t="s">
        <v>42</v>
      </c>
      <c r="G4899">
        <v>-391.0308</v>
      </c>
      <c r="H4899" s="1">
        <v>-4.686932E-6</v>
      </c>
      <c r="I4899">
        <v>21.710519999999999</v>
      </c>
      <c r="J4899">
        <v>-410.74369999999999</v>
      </c>
      <c r="K4899">
        <v>1.1242810000000001</v>
      </c>
      <c r="L4899">
        <v>26.461490000000001</v>
      </c>
      <c r="M4899">
        <v>0.82151759999999996</v>
      </c>
      <c r="N4899">
        <v>-1.704398E-2</v>
      </c>
      <c r="O4899">
        <v>-0.56992830000000005</v>
      </c>
      <c r="P4899">
        <v>0.95796380000000003</v>
      </c>
      <c r="Q4899">
        <v>-2.7756610000000001E-2</v>
      </c>
      <c r="R4899">
        <v>-0.28554370000000001</v>
      </c>
      <c r="S4899">
        <v>2.9150999999999998</v>
      </c>
      <c r="T4899">
        <v>-0.16378119999999999</v>
      </c>
      <c r="U4899">
        <v>-0.72036739999999999</v>
      </c>
      <c r="V4899">
        <v>-0.31080259999999998</v>
      </c>
      <c r="W4899">
        <v>-2.2988939999999999E-2</v>
      </c>
      <c r="X4899">
        <v>0.95019640000000005</v>
      </c>
      <c r="Y4899">
        <v>-0.35528140000000002</v>
      </c>
      <c r="Z4899">
        <v>3.2147080000000001E-2</v>
      </c>
      <c r="AA4899">
        <v>0.93420639999999999</v>
      </c>
      <c r="AB4899">
        <v>32</v>
      </c>
      <c r="AC4899">
        <v>19.712899999999902</v>
      </c>
      <c r="AD4899">
        <v>-1.1242856869319999</v>
      </c>
      <c r="AE4899">
        <v>-4.7509699999999899</v>
      </c>
      <c r="AF4899">
        <v>-7.3105255488265204</v>
      </c>
      <c r="AG4899">
        <v>-1.1242856869319999</v>
      </c>
      <c r="AH4899">
        <v>18.847013871306899</v>
      </c>
      <c r="AI4899">
        <v>93.183276850897002</v>
      </c>
      <c r="AJ4899">
        <v>111.200662317899</v>
      </c>
      <c r="AK4899">
        <v>20.246425214618</v>
      </c>
      <c r="AL4899">
        <v>91.317285319346396</v>
      </c>
      <c r="AM4899">
        <v>108.112558872023</v>
      </c>
      <c r="AN4899">
        <v>0.99999997305102095</v>
      </c>
    </row>
    <row r="4900" spans="1:40" x14ac:dyDescent="0.25">
      <c r="A4900" t="str">
        <f>"20190305135334240"</f>
        <v>20190305135334240</v>
      </c>
      <c r="B4900" t="str">
        <f>"1551765214234767"</f>
        <v>1551765214234767</v>
      </c>
      <c r="C4900" t="s">
        <v>40</v>
      </c>
      <c r="D4900">
        <v>4.7087370000000002</v>
      </c>
      <c r="E4900">
        <v>0.50624229999999903</v>
      </c>
      <c r="F4900" t="s">
        <v>42</v>
      </c>
      <c r="G4900">
        <v>-395.04500000000002</v>
      </c>
      <c r="H4900" s="1">
        <v>-2.830653E-6</v>
      </c>
      <c r="I4900">
        <v>21.525200000000002</v>
      </c>
      <c r="J4900">
        <v>-410.53230000000002</v>
      </c>
      <c r="K4900">
        <v>1.1242639999999999</v>
      </c>
      <c r="L4900">
        <v>26.329409999999999</v>
      </c>
      <c r="M4900">
        <v>0.82956240000000003</v>
      </c>
      <c r="N4900">
        <v>-1.7048790000000001E-2</v>
      </c>
      <c r="O4900">
        <v>-0.55815389999999998</v>
      </c>
      <c r="P4900">
        <v>0.96047939999999998</v>
      </c>
      <c r="Q4900">
        <v>-2.7716419999999999E-2</v>
      </c>
      <c r="R4900">
        <v>-0.2769682</v>
      </c>
      <c r="S4900">
        <v>2.8578489999999999</v>
      </c>
      <c r="T4900">
        <v>-0.20466899999999999</v>
      </c>
      <c r="U4900">
        <v>-0.89862059999999999</v>
      </c>
      <c r="V4900">
        <v>-0.30575000000000002</v>
      </c>
      <c r="W4900">
        <v>-2.2715059999999999E-2</v>
      </c>
      <c r="X4900">
        <v>0.95184080000000004</v>
      </c>
      <c r="Y4900">
        <v>-0.28227839999999998</v>
      </c>
      <c r="Z4900">
        <v>3.876872E-2</v>
      </c>
      <c r="AA4900">
        <v>0.95854879999999998</v>
      </c>
      <c r="AB4900">
        <v>32</v>
      </c>
      <c r="AC4900">
        <v>15.487299999999999</v>
      </c>
      <c r="AD4900">
        <v>-1.1242668306529999</v>
      </c>
      <c r="AE4900">
        <v>-4.8042099999999897</v>
      </c>
      <c r="AF4900">
        <v>-4.63728952559077</v>
      </c>
      <c r="AG4900">
        <v>-1.1242668306529999</v>
      </c>
      <c r="AH4900">
        <v>15.457121377153699</v>
      </c>
      <c r="AI4900">
        <v>93.985179072334304</v>
      </c>
      <c r="AJ4900">
        <v>106.6997649211</v>
      </c>
      <c r="AK4900">
        <v>16.1768671663806</v>
      </c>
      <c r="AL4900">
        <v>91.301589052561596</v>
      </c>
      <c r="AM4900">
        <v>107.808040569529</v>
      </c>
      <c r="AN4900">
        <v>0.99999997249772099</v>
      </c>
    </row>
    <row r="4901" spans="1:40" x14ac:dyDescent="0.25">
      <c r="A4901" t="str">
        <f>"20190305135334255"</f>
        <v>20190305135334255</v>
      </c>
      <c r="B4901" t="str">
        <f>"1551765214245504"</f>
        <v>1551765214245504</v>
      </c>
      <c r="C4901" t="s">
        <v>40</v>
      </c>
      <c r="D4901">
        <v>4.7147389999999998</v>
      </c>
      <c r="E4901">
        <v>0.50655819999999996</v>
      </c>
      <c r="F4901" t="s">
        <v>42</v>
      </c>
      <c r="G4901">
        <v>-396.3691</v>
      </c>
      <c r="H4901" s="1">
        <v>-2.3254959999999999E-6</v>
      </c>
      <c r="I4901">
        <v>21.979150000000001</v>
      </c>
      <c r="J4901">
        <v>-410.36579999999998</v>
      </c>
      <c r="K4901">
        <v>1.124234</v>
      </c>
      <c r="L4901">
        <v>26.228390000000001</v>
      </c>
      <c r="M4901">
        <v>0.83571260000000003</v>
      </c>
      <c r="N4901">
        <v>-1.7048210000000001E-2</v>
      </c>
      <c r="O4901">
        <v>-0.54890260000000002</v>
      </c>
      <c r="P4901">
        <v>0.96285390000000004</v>
      </c>
      <c r="Q4901">
        <v>-2.676313E-2</v>
      </c>
      <c r="R4901">
        <v>-0.26869340000000003</v>
      </c>
      <c r="S4901">
        <v>2.863251</v>
      </c>
      <c r="T4901">
        <v>-0.22728400000000001</v>
      </c>
      <c r="U4901">
        <v>-0.8794556</v>
      </c>
      <c r="V4901">
        <v>-0.30341839999999998</v>
      </c>
      <c r="W4901">
        <v>-2.163992E-2</v>
      </c>
      <c r="X4901">
        <v>0.9526116</v>
      </c>
      <c r="Y4901">
        <v>-0.27765430000000002</v>
      </c>
      <c r="Z4901">
        <v>4.3222040000000003E-2</v>
      </c>
      <c r="AA4901">
        <v>0.95970829999999996</v>
      </c>
      <c r="AB4901">
        <v>32</v>
      </c>
      <c r="AC4901">
        <v>13.996699999999899</v>
      </c>
      <c r="AD4901">
        <v>-1.1242363254959999</v>
      </c>
      <c r="AE4901">
        <v>-4.2492400000000004</v>
      </c>
      <c r="AF4901">
        <v>-4.1080151280916004</v>
      </c>
      <c r="AG4901">
        <v>-1.1242363254959999</v>
      </c>
      <c r="AH4901">
        <v>13.949274947235899</v>
      </c>
      <c r="AI4901">
        <v>94.420842908016297</v>
      </c>
      <c r="AJ4901">
        <v>106.409526088875</v>
      </c>
      <c r="AK4901">
        <v>14.584991160839801</v>
      </c>
      <c r="AL4901">
        <v>91.239972954201505</v>
      </c>
      <c r="AM4901">
        <v>107.667310929667</v>
      </c>
      <c r="AN4901">
        <v>0.99999993602536097</v>
      </c>
    </row>
    <row r="4902" spans="1:40" x14ac:dyDescent="0.25">
      <c r="A4902" t="str">
        <f>"20190305135334271"</f>
        <v>20190305135334271</v>
      </c>
      <c r="B4902" t="str">
        <f>"1551765214265023"</f>
        <v>1551765214265023</v>
      </c>
      <c r="C4902" t="s">
        <v>40</v>
      </c>
      <c r="D4902">
        <v>4.7167110000000001</v>
      </c>
      <c r="E4902">
        <v>0.50717789999999996</v>
      </c>
      <c r="F4902" t="s">
        <v>42</v>
      </c>
      <c r="G4902">
        <v>-396.26769999999999</v>
      </c>
      <c r="H4902" s="1">
        <v>-2.3835760000000001E-6</v>
      </c>
      <c r="I4902">
        <v>22.01717</v>
      </c>
      <c r="J4902">
        <v>-410.16419999999999</v>
      </c>
      <c r="K4902">
        <v>1.1241859999999999</v>
      </c>
      <c r="L4902">
        <v>26.10904</v>
      </c>
      <c r="M4902">
        <v>0.84294480000000005</v>
      </c>
      <c r="N4902">
        <v>-1.704251E-2</v>
      </c>
      <c r="O4902">
        <v>-0.53773029999999999</v>
      </c>
      <c r="P4902">
        <v>0.96572210000000003</v>
      </c>
      <c r="Q4902">
        <v>-2.5221150000000001E-2</v>
      </c>
      <c r="R4902">
        <v>-0.25835049999999998</v>
      </c>
      <c r="S4902">
        <v>2.870117</v>
      </c>
      <c r="T4902">
        <v>-0.2288743</v>
      </c>
      <c r="U4902">
        <v>-0.85733029999999999</v>
      </c>
      <c r="V4902">
        <v>-0.30103920000000001</v>
      </c>
      <c r="W4902">
        <v>-1.996175E-2</v>
      </c>
      <c r="X4902">
        <v>0.95340279999999999</v>
      </c>
      <c r="Y4902">
        <v>-0.27229379999999997</v>
      </c>
      <c r="Z4902">
        <v>4.2784959999999997E-2</v>
      </c>
      <c r="AA4902">
        <v>0.96126250000000002</v>
      </c>
      <c r="AB4902">
        <v>32</v>
      </c>
      <c r="AC4902">
        <v>13.8965</v>
      </c>
      <c r="AD4902">
        <v>-1.124188383576</v>
      </c>
      <c r="AE4902">
        <v>-4.0918700000000001</v>
      </c>
      <c r="AF4902">
        <v>-3.9998445264837699</v>
      </c>
      <c r="AG4902">
        <v>-1.124188383576</v>
      </c>
      <c r="AH4902">
        <v>13.8330187498429</v>
      </c>
      <c r="AI4902">
        <v>94.464044046402705</v>
      </c>
      <c r="AJ4902">
        <v>106.12732924642199</v>
      </c>
      <c r="AK4902">
        <v>14.4435093897334</v>
      </c>
      <c r="AL4902">
        <v>91.143800014119506</v>
      </c>
      <c r="AM4902">
        <v>107.523635590252</v>
      </c>
      <c r="AN4902">
        <v>0.99999998522377098</v>
      </c>
    </row>
    <row r="4903" spans="1:40" x14ac:dyDescent="0.25">
      <c r="A4903" t="str">
        <f>"20190305135334285"</f>
        <v>20190305135334285</v>
      </c>
      <c r="B4903" t="str">
        <f>"1551765214274783"</f>
        <v>1551765214274783</v>
      </c>
      <c r="C4903" t="s">
        <v>40</v>
      </c>
      <c r="D4903">
        <v>4.7386790000000003</v>
      </c>
      <c r="E4903">
        <v>0.50740839999999998</v>
      </c>
      <c r="F4903" t="s">
        <v>42</v>
      </c>
      <c r="G4903">
        <v>-396.1481</v>
      </c>
      <c r="H4903" s="1">
        <v>-2.4514949999999998E-6</v>
      </c>
      <c r="I4903">
        <v>22.059930000000001</v>
      </c>
      <c r="J4903">
        <v>-410.00189999999998</v>
      </c>
      <c r="K4903">
        <v>1.1241319999999999</v>
      </c>
      <c r="L4903">
        <v>26.015139999999999</v>
      </c>
      <c r="M4903">
        <v>0.84860219999999897</v>
      </c>
      <c r="N4903">
        <v>-1.703437E-2</v>
      </c>
      <c r="O4903">
        <v>-0.52875760000000005</v>
      </c>
      <c r="P4903">
        <v>0.96744529999999995</v>
      </c>
      <c r="Q4903">
        <v>-2.1933279999999999E-2</v>
      </c>
      <c r="R4903">
        <v>-0.25212899999999999</v>
      </c>
      <c r="S4903">
        <v>2.8779910000000002</v>
      </c>
      <c r="T4903">
        <v>-0.2308344</v>
      </c>
      <c r="U4903">
        <v>-0.83142090000000002</v>
      </c>
      <c r="V4903">
        <v>-0.29722779999999999</v>
      </c>
      <c r="W4903">
        <v>-1.647796E-2</v>
      </c>
      <c r="X4903">
        <v>0.95466439999999997</v>
      </c>
      <c r="Y4903">
        <v>-0.27076309999999998</v>
      </c>
      <c r="Z4903">
        <v>4.2682770000000002E-2</v>
      </c>
      <c r="AA4903">
        <v>0.96169930000000003</v>
      </c>
      <c r="AB4903">
        <v>32</v>
      </c>
      <c r="AC4903">
        <v>13.8537999999999</v>
      </c>
      <c r="AD4903">
        <v>-1.124134451495</v>
      </c>
      <c r="AE4903">
        <v>-3.9552100000000001</v>
      </c>
      <c r="AF4903">
        <v>-3.9454575385180499</v>
      </c>
      <c r="AG4903">
        <v>-1.124134451495</v>
      </c>
      <c r="AH4903">
        <v>13.765913062805099</v>
      </c>
      <c r="AI4903">
        <v>94.4885213675974</v>
      </c>
      <c r="AJ4903">
        <v>105.992867426335</v>
      </c>
      <c r="AK4903">
        <v>14.364215116253099</v>
      </c>
      <c r="AL4903">
        <v>90.944160290864701</v>
      </c>
      <c r="AM4903">
        <v>107.293596110941</v>
      </c>
      <c r="AN4903">
        <v>1.00000000244298</v>
      </c>
    </row>
    <row r="4904" spans="1:40" x14ac:dyDescent="0.25">
      <c r="A4904" t="str">
        <f>"20190305135334299"</f>
        <v>20190305135334299</v>
      </c>
      <c r="B4904" t="str">
        <f>"1551765214284543"</f>
        <v>1551765214284543</v>
      </c>
      <c r="C4904" t="s">
        <v>40</v>
      </c>
      <c r="D4904">
        <v>4.7058540000000004</v>
      </c>
      <c r="E4904">
        <v>0.50754849999999996</v>
      </c>
      <c r="F4904" t="s">
        <v>42</v>
      </c>
      <c r="G4904">
        <v>-395.49599999999998</v>
      </c>
      <c r="H4904" s="1">
        <v>-2.7209660000000002E-6</v>
      </c>
      <c r="I4904">
        <v>21.914269999999998</v>
      </c>
      <c r="J4904">
        <v>-409.84339999999997</v>
      </c>
      <c r="K4904">
        <v>1.124053</v>
      </c>
      <c r="L4904">
        <v>25.92661</v>
      </c>
      <c r="M4904">
        <v>0.8539445</v>
      </c>
      <c r="N4904">
        <v>-1.7019010000000001E-2</v>
      </c>
      <c r="O4904">
        <v>-0.52008580000000004</v>
      </c>
      <c r="P4904">
        <v>0.96945789999999998</v>
      </c>
      <c r="Q4904">
        <v>-2.1740280000000001E-2</v>
      </c>
      <c r="R4904">
        <v>-0.24429290000000001</v>
      </c>
      <c r="S4904">
        <v>2.8834230000000001</v>
      </c>
      <c r="T4904">
        <v>-0.22345110000000001</v>
      </c>
      <c r="U4904">
        <v>-0.81515499999999996</v>
      </c>
      <c r="V4904">
        <v>-0.29524020000000001</v>
      </c>
      <c r="W4904">
        <v>-1.616451E-2</v>
      </c>
      <c r="X4904">
        <v>0.95528630000000003</v>
      </c>
      <c r="Y4904">
        <v>-0.26660080000000003</v>
      </c>
      <c r="Z4904">
        <v>4.0489770000000001E-2</v>
      </c>
      <c r="AA4904">
        <v>0.96295620000000004</v>
      </c>
      <c r="AB4904">
        <v>31</v>
      </c>
      <c r="AC4904">
        <v>14.347399999999899</v>
      </c>
      <c r="AD4904">
        <v>-1.124055720966</v>
      </c>
      <c r="AE4904">
        <v>-4.0123399999999902</v>
      </c>
      <c r="AF4904">
        <v>-4.0133007422600899</v>
      </c>
      <c r="AG4904">
        <v>-1.124055720966</v>
      </c>
      <c r="AH4904">
        <v>14.2595438094624</v>
      </c>
      <c r="AI4904">
        <v>94.339302821580006</v>
      </c>
      <c r="AJ4904">
        <v>105.719078238368</v>
      </c>
      <c r="AK4904">
        <v>14.856132530562601</v>
      </c>
      <c r="AL4904">
        <v>90.926198546814305</v>
      </c>
      <c r="AM4904">
        <v>107.174255112952</v>
      </c>
      <c r="AN4904">
        <v>0.99999999102363502</v>
      </c>
    </row>
    <row r="4905" spans="1:40" x14ac:dyDescent="0.25">
      <c r="A4905" t="str">
        <f>"20190305135334311"</f>
        <v>20190305135334311</v>
      </c>
      <c r="B4905" t="str">
        <f>"1551765214305016"</f>
        <v>1551765214305016</v>
      </c>
      <c r="C4905" t="s">
        <v>40</v>
      </c>
      <c r="D4905">
        <v>4.6667820000000004</v>
      </c>
      <c r="E4905">
        <v>0.50840010000000002</v>
      </c>
      <c r="F4905" t="s">
        <v>42</v>
      </c>
      <c r="G4905">
        <v>-395.4468</v>
      </c>
      <c r="H4905" s="1">
        <v>-2.7607500000000002E-6</v>
      </c>
      <c r="I4905">
        <v>21.976400000000002</v>
      </c>
      <c r="J4905">
        <v>-409.68430000000001</v>
      </c>
      <c r="K4905">
        <v>1.123955</v>
      </c>
      <c r="L4905">
        <v>25.839259999999999</v>
      </c>
      <c r="M4905">
        <v>0.85916550000000003</v>
      </c>
      <c r="N4905">
        <v>-1.7000799999999899E-2</v>
      </c>
      <c r="O4905">
        <v>-0.51141539999999996</v>
      </c>
      <c r="P4905">
        <v>0.97136250000000002</v>
      </c>
      <c r="Q4905">
        <v>-2.2642349999999999E-2</v>
      </c>
      <c r="R4905">
        <v>-0.23652190000000001</v>
      </c>
      <c r="S4905">
        <v>2.8896480000000002</v>
      </c>
      <c r="T4905">
        <v>-0.22561819999999999</v>
      </c>
      <c r="U4905">
        <v>-0.79287719999999995</v>
      </c>
      <c r="V4905">
        <v>-0.29318139999999998</v>
      </c>
      <c r="W4905">
        <v>-1.6940549999999999E-2</v>
      </c>
      <c r="X4905">
        <v>0.9559067</v>
      </c>
      <c r="Y4905">
        <v>-0.26426440000000001</v>
      </c>
      <c r="Z4905">
        <v>4.0418339999999997E-2</v>
      </c>
      <c r="AA4905">
        <v>0.96360299999999999</v>
      </c>
      <c r="AB4905">
        <v>31</v>
      </c>
      <c r="AC4905">
        <v>14.237500000000001</v>
      </c>
      <c r="AD4905">
        <v>-1.12395776075</v>
      </c>
      <c r="AE4905">
        <v>-3.8628599999999902</v>
      </c>
      <c r="AF4905">
        <v>-3.9401416602602102</v>
      </c>
      <c r="AG4905">
        <v>-1.12395776075</v>
      </c>
      <c r="AH4905">
        <v>14.127938468119799</v>
      </c>
      <c r="AI4905">
        <v>94.382085830948498</v>
      </c>
      <c r="AJ4905">
        <v>105.583258167373</v>
      </c>
      <c r="AK4905">
        <v>14.7100864276811</v>
      </c>
      <c r="AL4905">
        <v>90.970668480561301</v>
      </c>
      <c r="AM4905">
        <v>107.051040439812</v>
      </c>
      <c r="AN4905">
        <v>0.99999996732257501</v>
      </c>
    </row>
    <row r="4906" spans="1:40" x14ac:dyDescent="0.25">
      <c r="A4906" t="str">
        <f>"20190305135334331"</f>
        <v>20190305135334331</v>
      </c>
      <c r="B4906" t="str">
        <f>"1551765214324537"</f>
        <v>1551765214324537</v>
      </c>
      <c r="C4906" t="s">
        <v>40</v>
      </c>
      <c r="D4906">
        <v>4.6371460000000004</v>
      </c>
      <c r="E4906">
        <v>0.50910959999999905</v>
      </c>
      <c r="F4906" t="s">
        <v>42</v>
      </c>
      <c r="G4906">
        <v>-395.79820000000001</v>
      </c>
      <c r="H4906" s="1">
        <v>-2.6312619999999999E-6</v>
      </c>
      <c r="I4906">
        <v>22.114059999999998</v>
      </c>
      <c r="J4906">
        <v>-409.45600000000002</v>
      </c>
      <c r="K4906">
        <v>1.123786</v>
      </c>
      <c r="L4906">
        <v>25.717410000000001</v>
      </c>
      <c r="M4906">
        <v>0.86638119999999996</v>
      </c>
      <c r="N4906">
        <v>-1.6967360000000001E-2</v>
      </c>
      <c r="O4906">
        <v>-0.49909480000000001</v>
      </c>
      <c r="P4906">
        <v>0.97343400000000002</v>
      </c>
      <c r="Q4906">
        <v>-2.7081689999999999E-2</v>
      </c>
      <c r="R4906">
        <v>-0.22736039999999999</v>
      </c>
      <c r="S4906">
        <v>2.8939819999999998</v>
      </c>
      <c r="T4906">
        <v>-0.23424300000000001</v>
      </c>
      <c r="U4906">
        <v>-0.77636719999999904</v>
      </c>
      <c r="V4906">
        <v>-0.28832770000000002</v>
      </c>
      <c r="W4906">
        <v>-2.111414E-2</v>
      </c>
      <c r="X4906">
        <v>0.95729900000000001</v>
      </c>
      <c r="Y4906">
        <v>-0.25588100000000003</v>
      </c>
      <c r="Z4906">
        <v>4.1206819999999998E-2</v>
      </c>
      <c r="AA4906">
        <v>0.96582959999999995</v>
      </c>
      <c r="AB4906">
        <v>31</v>
      </c>
      <c r="AC4906">
        <v>13.6577999999999</v>
      </c>
      <c r="AD4906">
        <v>-1.123788631262</v>
      </c>
      <c r="AE4906">
        <v>-3.6033499999999901</v>
      </c>
      <c r="AF4906">
        <v>-3.6719520211902199</v>
      </c>
      <c r="AG4906">
        <v>-1.123788631262</v>
      </c>
      <c r="AH4906">
        <v>13.547486084734899</v>
      </c>
      <c r="AI4906">
        <v>94.577510553765606</v>
      </c>
      <c r="AJ4906">
        <v>105.165262483307</v>
      </c>
      <c r="AK4906">
        <v>14.081211302645899</v>
      </c>
      <c r="AL4906">
        <v>91.209840986822996</v>
      </c>
      <c r="AM4906">
        <v>106.761710931911</v>
      </c>
      <c r="AN4906">
        <v>1.00000002244811</v>
      </c>
    </row>
    <row r="4907" spans="1:40" x14ac:dyDescent="0.25">
      <c r="A4907" t="str">
        <f>"20190305135334343"</f>
        <v>20190305135334343</v>
      </c>
      <c r="B4907" t="str">
        <f>"1551765214335274"</f>
        <v>1551765214335274</v>
      </c>
      <c r="C4907" t="s">
        <v>40</v>
      </c>
      <c r="D4907">
        <v>4.6564769999999998</v>
      </c>
      <c r="E4907">
        <v>0.50955010000000001</v>
      </c>
      <c r="F4907" t="s">
        <v>42</v>
      </c>
      <c r="G4907">
        <v>-396.84050000000002</v>
      </c>
      <c r="H4907" s="1">
        <v>-2.2235060000000001E-6</v>
      </c>
      <c r="I4907">
        <v>22.43318</v>
      </c>
      <c r="J4907">
        <v>-409.29880000000003</v>
      </c>
      <c r="K4907">
        <v>1.1236520000000001</v>
      </c>
      <c r="L4907">
        <v>25.635619999999999</v>
      </c>
      <c r="M4907">
        <v>0.87116209999999905</v>
      </c>
      <c r="N4907">
        <v>-1.6940050000000002E-2</v>
      </c>
      <c r="O4907">
        <v>-0.49070340000000001</v>
      </c>
      <c r="P4907">
        <v>0.97486110000000004</v>
      </c>
      <c r="Q4907">
        <v>-2.872748E-2</v>
      </c>
      <c r="R4907">
        <v>-0.2209546</v>
      </c>
      <c r="S4907">
        <v>2.8984070000000002</v>
      </c>
      <c r="T4907">
        <v>-0.25818859999999999</v>
      </c>
      <c r="U4907">
        <v>-0.75454709999999903</v>
      </c>
      <c r="V4907">
        <v>-0.285302099999999</v>
      </c>
      <c r="W4907">
        <v>-2.2578839999999999E-2</v>
      </c>
      <c r="X4907">
        <v>0.95817169999999896</v>
      </c>
      <c r="Y4907">
        <v>-0.25332769999999999</v>
      </c>
      <c r="Z4907">
        <v>4.5468960000000003E-2</v>
      </c>
      <c r="AA4907">
        <v>0.96631129999999998</v>
      </c>
      <c r="AB4907">
        <v>31</v>
      </c>
      <c r="AC4907">
        <v>12.458299999999999</v>
      </c>
      <c r="AD4907">
        <v>-1.1236542235060001</v>
      </c>
      <c r="AE4907">
        <v>-3.2024400000000002</v>
      </c>
      <c r="AF4907">
        <v>-3.2987906464757399</v>
      </c>
      <c r="AG4907">
        <v>-1.1236542235060001</v>
      </c>
      <c r="AH4907">
        <v>12.3323256290138</v>
      </c>
      <c r="AI4907">
        <v>95.030208267336207</v>
      </c>
      <c r="AJ4907">
        <v>104.97552293456999</v>
      </c>
      <c r="AK4907">
        <v>12.815259418494399</v>
      </c>
      <c r="AL4907">
        <v>91.293782119381504</v>
      </c>
      <c r="AM4907">
        <v>106.58125573812499</v>
      </c>
      <c r="AN4907">
        <v>1.0000000494805199</v>
      </c>
    </row>
    <row r="4908" spans="1:40" x14ac:dyDescent="0.25">
      <c r="A4908" t="str">
        <f>"20190305135334366"</f>
        <v>20190305135334366</v>
      </c>
      <c r="B4908" t="str">
        <f>"1551765214354797"</f>
        <v>1551765214354797</v>
      </c>
      <c r="C4908" t="s">
        <v>40</v>
      </c>
      <c r="D4908">
        <v>4.6755750000000003</v>
      </c>
      <c r="E4908">
        <v>0.51600779999999902</v>
      </c>
      <c r="F4908" t="s">
        <v>42</v>
      </c>
      <c r="G4908">
        <v>-397.05399999999997</v>
      </c>
      <c r="H4908" s="1">
        <v>-2.1451450000000002E-6</v>
      </c>
      <c r="I4908">
        <v>22.517939999999999</v>
      </c>
      <c r="J4908">
        <v>-409.03120000000001</v>
      </c>
      <c r="K4908">
        <v>1.123383</v>
      </c>
      <c r="L4908">
        <v>25.500820000000001</v>
      </c>
      <c r="M4908">
        <v>0.87890449999999998</v>
      </c>
      <c r="N4908">
        <v>-1.6878750000000001E-2</v>
      </c>
      <c r="O4908">
        <v>-0.47669879999999998</v>
      </c>
      <c r="P4908">
        <v>0.97666200000000003</v>
      </c>
      <c r="Q4908">
        <v>-2.842391E-2</v>
      </c>
      <c r="R4908">
        <v>-0.2128932</v>
      </c>
      <c r="S4908">
        <v>2.9020389999999998</v>
      </c>
      <c r="T4908">
        <v>-0.2663066</v>
      </c>
      <c r="U4908">
        <v>-0.73889159999999998</v>
      </c>
      <c r="V4908">
        <v>-0.2779103</v>
      </c>
      <c r="W4908">
        <v>-2.1857629999999999E-2</v>
      </c>
      <c r="X4908">
        <v>0.9603583</v>
      </c>
      <c r="Y4908">
        <v>-0.2429451</v>
      </c>
      <c r="Z4908">
        <v>4.5717439999999998E-2</v>
      </c>
      <c r="AA4908">
        <v>0.96896210000000005</v>
      </c>
      <c r="AB4908">
        <v>31</v>
      </c>
      <c r="AC4908">
        <v>11.9771999999999</v>
      </c>
      <c r="AD4908">
        <v>-1.1233851451450001</v>
      </c>
      <c r="AE4908">
        <v>-2.9828800000000002</v>
      </c>
      <c r="AF4908">
        <v>-3.0629189322750698</v>
      </c>
      <c r="AG4908">
        <v>-1.1233851451450001</v>
      </c>
      <c r="AH4908">
        <v>11.852276171098</v>
      </c>
      <c r="AI4908">
        <v>95.243204261350698</v>
      </c>
      <c r="AJ4908">
        <v>104.489631894364</v>
      </c>
      <c r="AK4908">
        <v>12.293084112866</v>
      </c>
      <c r="AL4908">
        <v>91.252449718268593</v>
      </c>
      <c r="AM4908">
        <v>106.139485883183</v>
      </c>
      <c r="AN4908">
        <v>0.99999997760709802</v>
      </c>
    </row>
    <row r="4909" spans="1:40" x14ac:dyDescent="0.25">
      <c r="A4909" t="str">
        <f>"20190305135334386"</f>
        <v>20190305135334386</v>
      </c>
      <c r="B4909" t="str">
        <f>"1551765214375289"</f>
        <v>1551765214375289</v>
      </c>
      <c r="C4909" t="s">
        <v>40</v>
      </c>
      <c r="D4909">
        <v>4.6664849999999998</v>
      </c>
      <c r="E4909">
        <v>0.51676719999999998</v>
      </c>
      <c r="F4909" t="s">
        <v>42</v>
      </c>
      <c r="G4909">
        <v>-399.16699999999997</v>
      </c>
      <c r="H4909" s="1">
        <v>-1.2459969999999999E-6</v>
      </c>
      <c r="I4909">
        <v>22.89273</v>
      </c>
      <c r="J4909">
        <v>-408.77679999999998</v>
      </c>
      <c r="K4909">
        <v>1.1230370000000001</v>
      </c>
      <c r="L4909">
        <v>25.377469999999999</v>
      </c>
      <c r="M4909">
        <v>0.88575280000000001</v>
      </c>
      <c r="N4909">
        <v>-1.6800840000000001E-2</v>
      </c>
      <c r="O4909">
        <v>-0.46385330000000002</v>
      </c>
      <c r="P4909">
        <v>0.97855970000000003</v>
      </c>
      <c r="Q4909">
        <v>-2.4321249999999999E-2</v>
      </c>
      <c r="R4909">
        <v>-0.20452319999999999</v>
      </c>
      <c r="S4909">
        <v>2.8952330000000002</v>
      </c>
      <c r="T4909">
        <v>-0.32972479999999998</v>
      </c>
      <c r="U4909">
        <v>-0.76550289999999999</v>
      </c>
      <c r="V4909">
        <v>-0.2723583</v>
      </c>
      <c r="W4909">
        <v>-1.7373240000000002E-2</v>
      </c>
      <c r="X4909">
        <v>0.96203910000000004</v>
      </c>
      <c r="Y4909">
        <v>-0.21878990000000001</v>
      </c>
      <c r="Z4909">
        <v>5.5542550000000003E-2</v>
      </c>
      <c r="AA4909">
        <v>0.97418990000000005</v>
      </c>
      <c r="AB4909">
        <v>31</v>
      </c>
      <c r="AC4909">
        <v>9.6097999999999999</v>
      </c>
      <c r="AD4909">
        <v>-1.1230382459970001</v>
      </c>
      <c r="AE4909">
        <v>-2.4847399999999999</v>
      </c>
      <c r="AF4909">
        <v>-2.2284631053373301</v>
      </c>
      <c r="AG4909">
        <v>-1.1230382459970001</v>
      </c>
      <c r="AH4909">
        <v>9.5436540841450999</v>
      </c>
      <c r="AI4909">
        <v>96.537086228314806</v>
      </c>
      <c r="AJ4909">
        <v>103.14319136804799</v>
      </c>
      <c r="AK4909">
        <v>9.8645119489836492</v>
      </c>
      <c r="AL4909">
        <v>90.995463358190094</v>
      </c>
      <c r="AM4909">
        <v>105.807095040641</v>
      </c>
      <c r="AN4909">
        <v>1.00000005148789</v>
      </c>
    </row>
    <row r="4910" spans="1:40" x14ac:dyDescent="0.25">
      <c r="A4910" t="str">
        <f>"20190305135334400"</f>
        <v>20190305135334400</v>
      </c>
      <c r="B4910" t="str">
        <f>"1551765214394809"</f>
        <v>1551765214394809</v>
      </c>
      <c r="C4910" t="s">
        <v>40</v>
      </c>
      <c r="D4910">
        <v>4.6281869999999996</v>
      </c>
      <c r="E4910">
        <v>0.51800290000000004</v>
      </c>
      <c r="F4910" t="s">
        <v>42</v>
      </c>
      <c r="G4910">
        <v>-398.32639999999998</v>
      </c>
      <c r="H4910" s="1">
        <v>-1.5882230000000001E-6</v>
      </c>
      <c r="I4910">
        <v>22.68552</v>
      </c>
      <c r="J4910">
        <v>-408.60219999999998</v>
      </c>
      <c r="K4910">
        <v>1.1227689999999999</v>
      </c>
      <c r="L4910">
        <v>25.295470000000002</v>
      </c>
      <c r="M4910">
        <v>0.8901789</v>
      </c>
      <c r="N4910">
        <v>-1.6734059999999999E-2</v>
      </c>
      <c r="O4910">
        <v>-0.45530379999999998</v>
      </c>
      <c r="P4910">
        <v>0.98008870000000003</v>
      </c>
      <c r="Q4910">
        <v>-2.366387E-2</v>
      </c>
      <c r="R4910">
        <v>-0.19714499999999999</v>
      </c>
      <c r="S4910">
        <v>2.9017330000000001</v>
      </c>
      <c r="T4910">
        <v>-0.31183100000000002</v>
      </c>
      <c r="U4910">
        <v>-0.74746699999999999</v>
      </c>
      <c r="V4910">
        <v>-0.27038269999999998</v>
      </c>
      <c r="W4910">
        <v>-1.6523179999999998E-2</v>
      </c>
      <c r="X4910">
        <v>0.96261110000000005</v>
      </c>
      <c r="Y4910">
        <v>-0.2160231</v>
      </c>
      <c r="Z4910">
        <v>5.1366780000000001E-2</v>
      </c>
      <c r="AA4910">
        <v>0.97503609999999996</v>
      </c>
      <c r="AB4910">
        <v>31</v>
      </c>
      <c r="AC4910">
        <v>10.2758</v>
      </c>
      <c r="AD4910">
        <v>-1.1227705882229999</v>
      </c>
      <c r="AE4910">
        <v>-2.60995</v>
      </c>
      <c r="AF4910">
        <v>-2.3294928042265801</v>
      </c>
      <c r="AG4910">
        <v>-1.1227705882229999</v>
      </c>
      <c r="AH4910">
        <v>10.222422822586299</v>
      </c>
      <c r="AI4910">
        <v>96.112438590019295</v>
      </c>
      <c r="AJ4910">
        <v>102.837384721897</v>
      </c>
      <c r="AK4910">
        <v>10.5444335496249</v>
      </c>
      <c r="AL4910">
        <v>90.946751584881198</v>
      </c>
      <c r="AM4910">
        <v>105.689238423539</v>
      </c>
      <c r="AN4910">
        <v>0.999999974889906</v>
      </c>
    </row>
    <row r="4911" spans="1:40" x14ac:dyDescent="0.25">
      <c r="A4911" t="str">
        <f>"20190305135334422"</f>
        <v>20190305135334422</v>
      </c>
      <c r="B4911" t="str">
        <f>"1551765214415305"</f>
        <v>1551765214415305</v>
      </c>
      <c r="C4911" t="s">
        <v>40</v>
      </c>
      <c r="D4911">
        <v>4.6292530000000003</v>
      </c>
      <c r="E4911">
        <v>0.51880709999999997</v>
      </c>
      <c r="F4911" t="s">
        <v>42</v>
      </c>
      <c r="G4911">
        <v>-397.57839999999999</v>
      </c>
      <c r="H4911" s="1">
        <v>-1.8936800000000001E-6</v>
      </c>
      <c r="I4911">
        <v>22.504650000000002</v>
      </c>
      <c r="J4911">
        <v>-408.33370000000002</v>
      </c>
      <c r="K4911">
        <v>1.122298</v>
      </c>
      <c r="L4911">
        <v>25.17239</v>
      </c>
      <c r="M4911">
        <v>0.89659270000000002</v>
      </c>
      <c r="N4911">
        <v>-1.6625540000000001E-2</v>
      </c>
      <c r="O4911">
        <v>-0.44254399999999999</v>
      </c>
      <c r="P4911">
        <v>0.98206760000000004</v>
      </c>
      <c r="Q4911">
        <v>-2.661146E-2</v>
      </c>
      <c r="R4911">
        <v>-0.186641</v>
      </c>
      <c r="S4911">
        <v>2.905853</v>
      </c>
      <c r="T4911">
        <v>-0.29596109999999998</v>
      </c>
      <c r="U4911">
        <v>-0.73565669999999905</v>
      </c>
      <c r="V4911">
        <v>-0.26682850000000002</v>
      </c>
      <c r="W4911">
        <v>-1.9138789999999999E-2</v>
      </c>
      <c r="X4911">
        <v>0.96355400000000002</v>
      </c>
      <c r="Y4911">
        <v>-0.20651700000000001</v>
      </c>
      <c r="Z4911">
        <v>4.7011120000000003E-2</v>
      </c>
      <c r="AA4911">
        <v>0.97731299999999999</v>
      </c>
      <c r="AB4911">
        <v>31</v>
      </c>
      <c r="AC4911">
        <v>10.7553</v>
      </c>
      <c r="AD4911">
        <v>-1.1222998936799999</v>
      </c>
      <c r="AE4911">
        <v>-2.66773999999999</v>
      </c>
      <c r="AF4911">
        <v>-2.3440998088304998</v>
      </c>
      <c r="AG4911">
        <v>-1.1222998936799999</v>
      </c>
      <c r="AH4911">
        <v>10.715299027534501</v>
      </c>
      <c r="AI4911">
        <v>95.842080988218399</v>
      </c>
      <c r="AJ4911">
        <v>102.33974119804</v>
      </c>
      <c r="AK4911">
        <v>11.025969082787899</v>
      </c>
      <c r="AL4911">
        <v>91.0966388186594</v>
      </c>
      <c r="AM4911">
        <v>105.478536631274</v>
      </c>
      <c r="AN4911">
        <v>1.00000002630545</v>
      </c>
    </row>
    <row r="4912" spans="1:40" x14ac:dyDescent="0.25">
      <c r="A4912" t="str">
        <f>"20190305135334442"</f>
        <v>20190305135334442</v>
      </c>
      <c r="B4912" t="str">
        <f>"1551765214434829"</f>
        <v>1551765214434829</v>
      </c>
      <c r="C4912" t="s">
        <v>40</v>
      </c>
      <c r="D4912">
        <v>4.622897</v>
      </c>
      <c r="E4912">
        <v>0.5196769</v>
      </c>
      <c r="F4912" t="s">
        <v>42</v>
      </c>
      <c r="G4912">
        <v>-397.47750000000002</v>
      </c>
      <c r="H4912" s="1">
        <v>-1.9458040000000002E-6</v>
      </c>
      <c r="I4912">
        <v>22.52121</v>
      </c>
      <c r="J4912">
        <v>-408.0736</v>
      </c>
      <c r="K4912">
        <v>1.1217189999999999</v>
      </c>
      <c r="L4912">
        <v>25.056920000000002</v>
      </c>
      <c r="M4912">
        <v>0.90225610000000001</v>
      </c>
      <c r="N4912">
        <v>-1.6508310000000002E-2</v>
      </c>
      <c r="O4912">
        <v>-0.4308844</v>
      </c>
      <c r="P4912">
        <v>0.98371589999999998</v>
      </c>
      <c r="Q4912">
        <v>-3.2276779999999998E-2</v>
      </c>
      <c r="R4912">
        <v>-0.17680889999999999</v>
      </c>
      <c r="S4912">
        <v>2.9115600000000001</v>
      </c>
      <c r="T4912">
        <v>-0.3009926</v>
      </c>
      <c r="U4912">
        <v>-0.71102909999999997</v>
      </c>
      <c r="V4912">
        <v>-0.2637523</v>
      </c>
      <c r="W4912">
        <v>-2.4446829999999999E-2</v>
      </c>
      <c r="X4912">
        <v>0.96428060000000004</v>
      </c>
      <c r="Y4912">
        <v>-0.2020401</v>
      </c>
      <c r="Z4912">
        <v>4.6803240000000003E-2</v>
      </c>
      <c r="AA4912">
        <v>0.97825830000000003</v>
      </c>
      <c r="AB4912">
        <v>31</v>
      </c>
      <c r="AC4912">
        <v>10.5960999999999</v>
      </c>
      <c r="AD4912">
        <v>-1.1217209458040001</v>
      </c>
      <c r="AE4912">
        <v>-2.5357099999999999</v>
      </c>
      <c r="AF4912">
        <v>-2.2542505329879701</v>
      </c>
      <c r="AG4912">
        <v>-1.1217209458040001</v>
      </c>
      <c r="AH4912">
        <v>10.542696642731601</v>
      </c>
      <c r="AI4912">
        <v>95.940025378175704</v>
      </c>
      <c r="AJ4912">
        <v>102.069300528895</v>
      </c>
      <c r="AK4912">
        <v>10.839204576277499</v>
      </c>
      <c r="AL4912">
        <v>91.400839740684901</v>
      </c>
      <c r="AM4912">
        <v>105.297511167221</v>
      </c>
      <c r="AN4912">
        <v>0.99999999939434903</v>
      </c>
    </row>
    <row r="4913" spans="1:40" x14ac:dyDescent="0.25">
      <c r="A4913" t="str">
        <f>"20190305135334455"</f>
        <v>20190305135334455</v>
      </c>
      <c r="B4913" t="str">
        <f>"1551765214444585"</f>
        <v>1551765214444585</v>
      </c>
      <c r="C4913" t="s">
        <v>40</v>
      </c>
      <c r="D4913">
        <v>4.667783</v>
      </c>
      <c r="E4913">
        <v>0.52008809999999905</v>
      </c>
      <c r="F4913" t="s">
        <v>42</v>
      </c>
      <c r="G4913">
        <v>-397.7054</v>
      </c>
      <c r="H4913" s="1">
        <v>-1.860975E-6</v>
      </c>
      <c r="I4913">
        <v>22.607330000000001</v>
      </c>
      <c r="J4913">
        <v>-407.9117</v>
      </c>
      <c r="K4913">
        <v>1.121286</v>
      </c>
      <c r="L4913">
        <v>24.98685</v>
      </c>
      <c r="M4913">
        <v>0.90545430000000005</v>
      </c>
      <c r="N4913">
        <v>-1.6422039999999999E-2</v>
      </c>
      <c r="O4913">
        <v>-0.42412640000000001</v>
      </c>
      <c r="P4913">
        <v>0.9846414</v>
      </c>
      <c r="Q4913">
        <v>-3.4565360000000003E-2</v>
      </c>
      <c r="R4913">
        <v>-0.17113339999999999</v>
      </c>
      <c r="S4913">
        <v>2.9154969999999998</v>
      </c>
      <c r="T4913">
        <v>-0.3154228</v>
      </c>
      <c r="U4913">
        <v>-0.68881230000000004</v>
      </c>
      <c r="V4913">
        <v>-0.26202599999999998</v>
      </c>
      <c r="W4913">
        <v>-2.6480819999999999E-2</v>
      </c>
      <c r="X4913">
        <v>0.96469740000000004</v>
      </c>
      <c r="Y4913">
        <v>-0.20182369999999999</v>
      </c>
      <c r="Z4913">
        <v>4.8784620000000001E-2</v>
      </c>
      <c r="AA4913">
        <v>0.97820620000000003</v>
      </c>
      <c r="AB4913">
        <v>31</v>
      </c>
      <c r="AC4913">
        <v>10.206300000000001</v>
      </c>
      <c r="AD4913">
        <v>-1.1212878609749899</v>
      </c>
      <c r="AE4913">
        <v>-2.3795199999999999</v>
      </c>
      <c r="AF4913">
        <v>-2.1498965485234698</v>
      </c>
      <c r="AG4913">
        <v>-1.1212878609749899</v>
      </c>
      <c r="AH4913">
        <v>10.1359052692881</v>
      </c>
      <c r="AI4913">
        <v>96.176386420825594</v>
      </c>
      <c r="AJ4913">
        <v>101.975353693806</v>
      </c>
      <c r="AK4913">
        <v>10.421896049400299</v>
      </c>
      <c r="AL4913">
        <v>91.517416654819698</v>
      </c>
      <c r="AM4913">
        <v>105.19576968893</v>
      </c>
      <c r="AN4913">
        <v>0.99999996603531505</v>
      </c>
    </row>
    <row r="4914" spans="1:40" x14ac:dyDescent="0.25">
      <c r="A4914" t="str">
        <f>"20190305135334468"</f>
        <v>20190305135334468</v>
      </c>
      <c r="B4914" t="str">
        <f>"1551765214465082"</f>
        <v>1551765214465082</v>
      </c>
      <c r="C4914" t="s">
        <v>40</v>
      </c>
      <c r="D4914">
        <v>4.6178720000000002</v>
      </c>
      <c r="E4914">
        <v>0.52084140000000001</v>
      </c>
      <c r="F4914" t="s">
        <v>42</v>
      </c>
      <c r="G4914">
        <v>-397.72239999999999</v>
      </c>
      <c r="H4914" s="1">
        <v>-1.85849E-6</v>
      </c>
      <c r="I4914">
        <v>22.628170000000001</v>
      </c>
      <c r="J4914">
        <v>-407.75819999999999</v>
      </c>
      <c r="K4914">
        <v>1.120851</v>
      </c>
      <c r="L4914">
        <v>24.921140000000001</v>
      </c>
      <c r="M4914">
        <v>0.90833200000000003</v>
      </c>
      <c r="N4914">
        <v>-1.6338519999999999E-2</v>
      </c>
      <c r="O4914">
        <v>-0.41793069999999999</v>
      </c>
      <c r="P4914">
        <v>0.98551480000000002</v>
      </c>
      <c r="Q4914">
        <v>-3.6014959999999999E-2</v>
      </c>
      <c r="R4914">
        <v>-0.16572139999999999</v>
      </c>
      <c r="S4914">
        <v>2.9181210000000002</v>
      </c>
      <c r="T4914">
        <v>-0.32112800000000002</v>
      </c>
      <c r="U4914">
        <v>-0.67550659999999996</v>
      </c>
      <c r="V4914">
        <v>-0.26069940000000003</v>
      </c>
      <c r="W4914">
        <v>-2.76829E-2</v>
      </c>
      <c r="X4914">
        <v>0.96502299999999996</v>
      </c>
      <c r="Y4914">
        <v>-0.19948450000000001</v>
      </c>
      <c r="Z4914">
        <v>4.9136640000000002E-2</v>
      </c>
      <c r="AA4914">
        <v>0.97866830000000005</v>
      </c>
      <c r="AB4914">
        <v>31</v>
      </c>
      <c r="AC4914">
        <v>10.035799999999901</v>
      </c>
      <c r="AD4914">
        <v>-1.1208528584899999</v>
      </c>
      <c r="AE4914">
        <v>-2.29297</v>
      </c>
      <c r="AF4914">
        <v>-2.0870314200035902</v>
      </c>
      <c r="AG4914">
        <v>-1.1208528584899999</v>
      </c>
      <c r="AH4914">
        <v>9.9574421741169701</v>
      </c>
      <c r="AI4914">
        <v>96.286947235819397</v>
      </c>
      <c r="AJ4914">
        <v>101.837559946516</v>
      </c>
      <c r="AK4914">
        <v>10.2353634976658</v>
      </c>
      <c r="AL4914">
        <v>91.586316059932599</v>
      </c>
      <c r="AM4914">
        <v>105.117498715943</v>
      </c>
      <c r="AN4914">
        <v>0.99999995532088404</v>
      </c>
    </row>
    <row r="4915" spans="1:40" x14ac:dyDescent="0.25">
      <c r="A4915" t="str">
        <f>"20190305135334486"</f>
        <v>20190305135334486</v>
      </c>
      <c r="B4915" t="str">
        <f>"1551765214474846"</f>
        <v>1551765214474846</v>
      </c>
      <c r="C4915" t="s">
        <v>40</v>
      </c>
      <c r="D4915">
        <v>4.6326839999999896</v>
      </c>
      <c r="E4915">
        <v>0.52084140000000001</v>
      </c>
      <c r="F4915" t="s">
        <v>42</v>
      </c>
      <c r="G4915">
        <v>-397.69940000000003</v>
      </c>
      <c r="H4915" s="1">
        <v>-1.869345E-6</v>
      </c>
      <c r="I4915">
        <v>22.628139999999998</v>
      </c>
      <c r="J4915">
        <v>-407.51949999999999</v>
      </c>
      <c r="K4915">
        <v>1.120099</v>
      </c>
      <c r="L4915">
        <v>24.820979999999999</v>
      </c>
      <c r="M4915">
        <v>0.91236850000000003</v>
      </c>
      <c r="N4915">
        <v>-1.6195049999999999E-2</v>
      </c>
      <c r="O4915">
        <v>-0.40904960000000001</v>
      </c>
      <c r="P4915">
        <v>0.98669819999999997</v>
      </c>
      <c r="Q4915">
        <v>-3.490526E-2</v>
      </c>
      <c r="R4915">
        <v>-0.1587712</v>
      </c>
      <c r="S4915">
        <v>2.9202880000000002</v>
      </c>
      <c r="T4915">
        <v>-0.32540819999999998</v>
      </c>
      <c r="U4915">
        <v>-0.66571040000000004</v>
      </c>
      <c r="V4915">
        <v>-0.25818200000000002</v>
      </c>
      <c r="W4915">
        <v>-2.6129940000000001E-2</v>
      </c>
      <c r="X4915">
        <v>0.96574280000000001</v>
      </c>
      <c r="Y4915">
        <v>-0.19318779999999999</v>
      </c>
      <c r="Z4915">
        <v>4.8770889999999997E-2</v>
      </c>
      <c r="AA4915">
        <v>0.97994890000000001</v>
      </c>
      <c r="AB4915">
        <v>31</v>
      </c>
      <c r="AC4915">
        <v>9.8200999999999592</v>
      </c>
      <c r="AD4915">
        <v>-1.1201008693450001</v>
      </c>
      <c r="AE4915">
        <v>-2.1928399999999999</v>
      </c>
      <c r="AF4915">
        <v>-1.9918111673849499</v>
      </c>
      <c r="AG4915">
        <v>-1.1201008693450001</v>
      </c>
      <c r="AH4915">
        <v>9.7371572636736694</v>
      </c>
      <c r="AI4915">
        <v>96.430098178519202</v>
      </c>
      <c r="AJ4915">
        <v>101.56080803062</v>
      </c>
      <c r="AK4915">
        <v>10.001708317159601</v>
      </c>
      <c r="AL4915">
        <v>91.497305794617304</v>
      </c>
      <c r="AM4915">
        <v>104.96744673308601</v>
      </c>
      <c r="AN4915">
        <v>0.99999993732011905</v>
      </c>
    </row>
    <row r="4916" spans="1:40" x14ac:dyDescent="0.25">
      <c r="A4916" t="str">
        <f>"20190305135334499"</f>
        <v>20190305135334499</v>
      </c>
      <c r="B4916" t="str">
        <f>"1551765214495337"</f>
        <v>1551765214495337</v>
      </c>
      <c r="C4916" t="s">
        <v>40</v>
      </c>
      <c r="D4916">
        <v>4.6491089999999904</v>
      </c>
      <c r="E4916">
        <v>0.52989589999999998</v>
      </c>
      <c r="F4916" t="s">
        <v>42</v>
      </c>
      <c r="G4916">
        <v>-397.33159999999998</v>
      </c>
      <c r="H4916" s="1">
        <v>-2.0282159999999999E-6</v>
      </c>
      <c r="I4916">
        <v>22.5718</v>
      </c>
      <c r="J4916">
        <v>-407.35910000000001</v>
      </c>
      <c r="K4916">
        <v>1.119564</v>
      </c>
      <c r="L4916">
        <v>24.75488</v>
      </c>
      <c r="M4916">
        <v>0.91479379999999999</v>
      </c>
      <c r="N4916">
        <v>-1.6097460000000001E-2</v>
      </c>
      <c r="O4916">
        <v>-0.40360059999999998</v>
      </c>
      <c r="P4916">
        <v>0.9874212</v>
      </c>
      <c r="Q4916">
        <v>-3.3894670000000002E-2</v>
      </c>
      <c r="R4916">
        <v>-0.15443670000000001</v>
      </c>
      <c r="S4916">
        <v>2.9251399999999999</v>
      </c>
      <c r="T4916">
        <v>-0.3216019</v>
      </c>
      <c r="U4916">
        <v>-0.64578250000000004</v>
      </c>
      <c r="V4916">
        <v>-0.25673570000000001</v>
      </c>
      <c r="W4916">
        <v>-2.4819040000000001E-2</v>
      </c>
      <c r="X4916">
        <v>0.96616290000000005</v>
      </c>
      <c r="Y4916">
        <v>-0.19413069999999999</v>
      </c>
      <c r="Z4916">
        <v>4.7756779999999999E-2</v>
      </c>
      <c r="AA4916">
        <v>0.97981249999999998</v>
      </c>
      <c r="AB4916">
        <v>31</v>
      </c>
      <c r="AC4916">
        <v>10.0275</v>
      </c>
      <c r="AD4916">
        <v>-1.119566028216</v>
      </c>
      <c r="AE4916">
        <v>-2.1830799999999999</v>
      </c>
      <c r="AF4916">
        <v>-2.0261876316246998</v>
      </c>
      <c r="AG4916">
        <v>-1.119566028216</v>
      </c>
      <c r="AH4916">
        <v>9.9372207077712602</v>
      </c>
      <c r="AI4916">
        <v>96.2995171297962</v>
      </c>
      <c r="AJ4916">
        <v>101.524565014064</v>
      </c>
      <c r="AK4916">
        <v>10.2032945564186</v>
      </c>
      <c r="AL4916">
        <v>91.422172308031506</v>
      </c>
      <c r="AM4916">
        <v>104.88114812444</v>
      </c>
      <c r="AN4916">
        <v>0.99999997686871001</v>
      </c>
    </row>
    <row r="4917" spans="1:40" x14ac:dyDescent="0.25">
      <c r="A4917" t="str">
        <f>"20190305135334510"</f>
        <v>20190305135334510</v>
      </c>
      <c r="B4917" t="str">
        <f>"1551765214505097"</f>
        <v>1551765214505097</v>
      </c>
      <c r="C4917" t="s">
        <v>40</v>
      </c>
      <c r="D4917">
        <v>4.6170749999999998</v>
      </c>
      <c r="E4917">
        <v>0.53081849999999997</v>
      </c>
      <c r="F4917" t="s">
        <v>42</v>
      </c>
      <c r="G4917">
        <v>-395.9957</v>
      </c>
      <c r="H4917" s="1">
        <v>-2.511185E-6</v>
      </c>
      <c r="I4917">
        <v>22.013629999999999</v>
      </c>
      <c r="J4917">
        <v>-407.20679999999999</v>
      </c>
      <c r="K4917">
        <v>1.119076</v>
      </c>
      <c r="L4917">
        <v>24.692779999999999</v>
      </c>
      <c r="M4917">
        <v>0.91695450000000001</v>
      </c>
      <c r="N4917">
        <v>-1.601033E-2</v>
      </c>
      <c r="O4917">
        <v>-0.39867049999999998</v>
      </c>
      <c r="P4917">
        <v>0.98808229999999997</v>
      </c>
      <c r="Q4917">
        <v>-3.2404080000000002E-2</v>
      </c>
      <c r="R4917">
        <v>-0.1504779</v>
      </c>
      <c r="S4917">
        <v>2.9182130000000002</v>
      </c>
      <c r="T4917">
        <v>-0.28751500000000002</v>
      </c>
      <c r="U4917">
        <v>-0.70397949999999998</v>
      </c>
      <c r="V4917">
        <v>-0.2554922</v>
      </c>
      <c r="W4917">
        <v>-2.3052340000000001E-2</v>
      </c>
      <c r="X4917">
        <v>0.96653630000000001</v>
      </c>
      <c r="Y4917">
        <v>-0.170489</v>
      </c>
      <c r="Z4917">
        <v>4.0504749999999999E-2</v>
      </c>
      <c r="AA4917">
        <v>0.98452669999999998</v>
      </c>
      <c r="AB4917">
        <v>31</v>
      </c>
      <c r="AC4917">
        <v>11.211099999999901</v>
      </c>
      <c r="AD4917">
        <v>-1.1190785111849999</v>
      </c>
      <c r="AE4917">
        <v>-2.6791499999999999</v>
      </c>
      <c r="AF4917">
        <v>-1.9943365144006799</v>
      </c>
      <c r="AG4917">
        <v>-1.1190785111849999</v>
      </c>
      <c r="AH4917">
        <v>11.2436439063819</v>
      </c>
      <c r="AI4917">
        <v>95.597124539137297</v>
      </c>
      <c r="AJ4917">
        <v>100.058202155752</v>
      </c>
      <c r="AK4917">
        <v>11.4738504060488</v>
      </c>
      <c r="AL4917">
        <v>91.320918737180094</v>
      </c>
      <c r="AM4917">
        <v>104.806776272345</v>
      </c>
      <c r="AN4917">
        <v>1.000000046929</v>
      </c>
    </row>
    <row r="4918" spans="1:40" x14ac:dyDescent="0.25">
      <c r="A4918" t="str">
        <f>"20190305135334532"</f>
        <v>20190305135334532</v>
      </c>
      <c r="B4918" t="str">
        <f>"1551765214524617"</f>
        <v>1551765214524617</v>
      </c>
      <c r="C4918" t="s">
        <v>40</v>
      </c>
      <c r="D4918">
        <v>4.654096</v>
      </c>
      <c r="E4918">
        <v>0.52958629999999995</v>
      </c>
      <c r="F4918" t="s">
        <v>42</v>
      </c>
      <c r="G4918">
        <v>-395.4751</v>
      </c>
      <c r="H4918" s="1">
        <v>-2.722101E-6</v>
      </c>
      <c r="I4918">
        <v>21.881360000000001</v>
      </c>
      <c r="J4918">
        <v>-406.9402</v>
      </c>
      <c r="K4918">
        <v>1.118244</v>
      </c>
      <c r="L4918">
        <v>24.585450000000002</v>
      </c>
      <c r="M4918">
        <v>0.92034150000000003</v>
      </c>
      <c r="N4918">
        <v>-1.5866660000000001E-2</v>
      </c>
      <c r="O4918">
        <v>-0.39079399999999997</v>
      </c>
      <c r="P4918">
        <v>0.98897120000000005</v>
      </c>
      <c r="Q4918">
        <v>-3.005151E-2</v>
      </c>
      <c r="R4918">
        <v>-0.14502799999999999</v>
      </c>
      <c r="S4918">
        <v>2.9204409999999998</v>
      </c>
      <c r="T4918">
        <v>-0.27857730000000003</v>
      </c>
      <c r="U4918">
        <v>-0.69985959999999903</v>
      </c>
      <c r="V4918">
        <v>-0.2526602</v>
      </c>
      <c r="W4918">
        <v>-2.0214670000000001E-2</v>
      </c>
      <c r="X4918">
        <v>0.96734390000000003</v>
      </c>
      <c r="Y4918">
        <v>-0.163708399999999</v>
      </c>
      <c r="Z4918">
        <v>3.8202779999999999E-2</v>
      </c>
      <c r="AA4918">
        <v>0.9857688</v>
      </c>
      <c r="AB4918">
        <v>31</v>
      </c>
      <c r="AC4918">
        <v>11.4651</v>
      </c>
      <c r="AD4918">
        <v>-1.118246722101</v>
      </c>
      <c r="AE4918">
        <v>-2.7040899999999999</v>
      </c>
      <c r="AF4918">
        <v>-1.9742650532670301</v>
      </c>
      <c r="AG4918">
        <v>-1.118246722101</v>
      </c>
      <c r="AH4918">
        <v>11.506317916911099</v>
      </c>
      <c r="AI4918">
        <v>95.471424614678696</v>
      </c>
      <c r="AJ4918">
        <v>99.736060190932704</v>
      </c>
      <c r="AK4918">
        <v>11.7278962408895</v>
      </c>
      <c r="AL4918">
        <v>91.158294152949196</v>
      </c>
      <c r="AM4918">
        <v>104.63804280450999</v>
      </c>
      <c r="AN4918">
        <v>1.0000000152072199</v>
      </c>
    </row>
    <row r="4919" spans="1:40" x14ac:dyDescent="0.25">
      <c r="A4919" t="str">
        <f>"20190305135334545"</f>
        <v>20190305135334545</v>
      </c>
      <c r="B4919" t="str">
        <f>"1551765214535354"</f>
        <v>1551765214535354</v>
      </c>
      <c r="C4919" t="s">
        <v>40</v>
      </c>
      <c r="D4919">
        <v>4.5690339999999896</v>
      </c>
      <c r="E4919">
        <v>0.50969960000000003</v>
      </c>
      <c r="F4919" t="s">
        <v>42</v>
      </c>
      <c r="G4919">
        <v>-395.245</v>
      </c>
      <c r="H4919" s="1">
        <v>-2.83296E-6</v>
      </c>
      <c r="I4919">
        <v>21.889230000000001</v>
      </c>
      <c r="J4919">
        <v>-406.77339999999998</v>
      </c>
      <c r="K4919">
        <v>1.117726</v>
      </c>
      <c r="L4919">
        <v>24.519069999999999</v>
      </c>
      <c r="M4919">
        <v>0.92224700000000004</v>
      </c>
      <c r="N4919">
        <v>-1.5782069999999999E-2</v>
      </c>
      <c r="O4919">
        <v>-0.38627909999999999</v>
      </c>
      <c r="P4919">
        <v>0.98945550000000004</v>
      </c>
      <c r="Q4919">
        <v>-2.8894039999999999E-2</v>
      </c>
      <c r="R4919">
        <v>-0.14192729999999901</v>
      </c>
      <c r="S4919">
        <v>2.9259949999999999</v>
      </c>
      <c r="T4919">
        <v>-0.27977099999999999</v>
      </c>
      <c r="U4919">
        <v>-0.67456050000000001</v>
      </c>
      <c r="V4919">
        <v>-0.25101380000000001</v>
      </c>
      <c r="W4919">
        <v>-1.8762899999999999E-2</v>
      </c>
      <c r="X4919">
        <v>0.96780160000000004</v>
      </c>
      <c r="Y4919">
        <v>-0.16735050000000001</v>
      </c>
      <c r="Z4919">
        <v>3.8274620000000002E-2</v>
      </c>
      <c r="AA4919">
        <v>0.98515419999999998</v>
      </c>
      <c r="AB4919">
        <v>31</v>
      </c>
      <c r="AC4919">
        <v>11.5283999999999</v>
      </c>
      <c r="AD4919">
        <v>-1.1177288329599999</v>
      </c>
      <c r="AE4919">
        <v>-2.6298400000000002</v>
      </c>
      <c r="AF4919">
        <v>-2.0101096673632699</v>
      </c>
      <c r="AG4919">
        <v>-1.1177288329599999</v>
      </c>
      <c r="AH4919">
        <v>11.546167446675801</v>
      </c>
      <c r="AI4919">
        <v>95.447861341468297</v>
      </c>
      <c r="AJ4919">
        <v>99.875827874749206</v>
      </c>
      <c r="AK4919">
        <v>11.7730132644762</v>
      </c>
      <c r="AL4919">
        <v>91.075098116212601</v>
      </c>
      <c r="AM4919">
        <v>104.54012841821999</v>
      </c>
      <c r="AN4919">
        <v>0.999999955584704</v>
      </c>
    </row>
    <row r="4920" spans="1:40" x14ac:dyDescent="0.25">
      <c r="A4920" t="str">
        <f>"20190305135334557"</f>
        <v>20190305135334557</v>
      </c>
      <c r="B4920" t="str">
        <f>"1551765214545114"</f>
        <v>1551765214545114</v>
      </c>
      <c r="C4920" t="s">
        <v>40</v>
      </c>
      <c r="D4920">
        <v>4.5739519999999896</v>
      </c>
      <c r="E4920">
        <v>0.5079129</v>
      </c>
      <c r="F4920" t="s">
        <v>42</v>
      </c>
      <c r="G4920">
        <v>-391.37029999999999</v>
      </c>
      <c r="H4920" s="1">
        <v>-4.5861409999999997E-6</v>
      </c>
      <c r="I4920">
        <v>21.877330000000001</v>
      </c>
      <c r="J4920">
        <v>-406.6223</v>
      </c>
      <c r="K4920">
        <v>1.1172839999999999</v>
      </c>
      <c r="L4920">
        <v>24.459689999999998</v>
      </c>
      <c r="M4920">
        <v>0.92373340000000004</v>
      </c>
      <c r="N4920">
        <v>-1.570417E-2</v>
      </c>
      <c r="O4920">
        <v>-0.38271430000000001</v>
      </c>
      <c r="P4920">
        <v>0.98946940000000005</v>
      </c>
      <c r="Q4920">
        <v>-2.6972639999999999E-2</v>
      </c>
      <c r="R4920">
        <v>-0.14220759999999999</v>
      </c>
      <c r="S4920">
        <v>2.9530639999999999</v>
      </c>
      <c r="T4920">
        <v>-0.21428929999999999</v>
      </c>
      <c r="U4920">
        <v>-0.50646970000000002</v>
      </c>
      <c r="V4920">
        <v>-0.24707889999999999</v>
      </c>
      <c r="W4920">
        <v>-1.653659E-2</v>
      </c>
      <c r="X4920">
        <v>0.9688542</v>
      </c>
      <c r="Y4920">
        <v>-0.2198668</v>
      </c>
      <c r="Z4920">
        <v>3.0291439999999999E-2</v>
      </c>
      <c r="AA4920">
        <v>0.97505949999999997</v>
      </c>
      <c r="AB4920">
        <v>31</v>
      </c>
      <c r="AC4920">
        <v>15.252000000000001</v>
      </c>
      <c r="AD4920">
        <v>-1.117288586141</v>
      </c>
      <c r="AE4920">
        <v>-2.5823599999999902</v>
      </c>
      <c r="AF4920">
        <v>-3.4342558516011001</v>
      </c>
      <c r="AG4920">
        <v>-1.117288586141</v>
      </c>
      <c r="AH4920">
        <v>15.000690256654901</v>
      </c>
      <c r="AI4920">
        <v>94.152619950225898</v>
      </c>
      <c r="AJ4920">
        <v>102.89506113588899</v>
      </c>
      <c r="AK4920">
        <v>15.429295357049799</v>
      </c>
      <c r="AL4920">
        <v>90.947520048699602</v>
      </c>
      <c r="AM4920">
        <v>104.30672229467901</v>
      </c>
      <c r="AN4920">
        <v>0.99999995124583696</v>
      </c>
    </row>
    <row r="4921" spans="1:40" x14ac:dyDescent="0.25">
      <c r="A4921" t="str">
        <f>"20190305135334569"</f>
        <v>20190305135334569</v>
      </c>
      <c r="B4921" t="str">
        <f>"1551765214564634"</f>
        <v>1551765214564634</v>
      </c>
      <c r="C4921" t="s">
        <v>40</v>
      </c>
      <c r="D4921">
        <v>4.5437200000000004</v>
      </c>
      <c r="E4921">
        <v>0.5066389</v>
      </c>
      <c r="F4921" t="s">
        <v>85</v>
      </c>
      <c r="G4921">
        <v>-388.10820000000001</v>
      </c>
      <c r="H4921" s="1">
        <v>-1.3631539999999999E-6</v>
      </c>
      <c r="I4921">
        <v>21.377009999999999</v>
      </c>
      <c r="J4921">
        <v>-406.46339999999998</v>
      </c>
      <c r="K4921">
        <v>1.1168089999999999</v>
      </c>
      <c r="L4921">
        <v>24.397580000000001</v>
      </c>
      <c r="M4921">
        <v>0.92519940000000001</v>
      </c>
      <c r="N4921">
        <v>-1.5625150000000001E-2</v>
      </c>
      <c r="O4921">
        <v>-0.37915929999999998</v>
      </c>
      <c r="P4921">
        <v>0.98968339999999999</v>
      </c>
      <c r="Q4921">
        <v>-2.6223739999999999E-2</v>
      </c>
      <c r="R4921">
        <v>-0.140851</v>
      </c>
      <c r="S4921">
        <v>2.9563600000000001</v>
      </c>
      <c r="T4921">
        <v>-0.1784105</v>
      </c>
      <c r="U4921">
        <v>-0.49224849999999998</v>
      </c>
      <c r="V4921">
        <v>-0.24472140000000001</v>
      </c>
      <c r="W4921">
        <v>-1.55152E-2</v>
      </c>
      <c r="X4921">
        <v>0.96946929999999998</v>
      </c>
      <c r="Y4921">
        <v>-0.22125909999999999</v>
      </c>
      <c r="Z4921">
        <v>2.4414689999999999E-2</v>
      </c>
      <c r="AA4921">
        <v>0.97490940000000004</v>
      </c>
      <c r="AB4921">
        <v>31</v>
      </c>
      <c r="AC4921">
        <v>18.3551999999999</v>
      </c>
      <c r="AD4921">
        <v>-1.1168103631539901</v>
      </c>
      <c r="AE4921">
        <v>-3.02056999999999</v>
      </c>
      <c r="AF4921">
        <v>-4.1504640210102597</v>
      </c>
      <c r="AG4921">
        <v>-1.1168103631539901</v>
      </c>
      <c r="AH4921">
        <v>18.0645993672745</v>
      </c>
      <c r="AI4921">
        <v>93.448089238005807</v>
      </c>
      <c r="AJ4921">
        <v>102.939527993007</v>
      </c>
      <c r="AK4921">
        <v>18.568881691611999</v>
      </c>
      <c r="AL4921">
        <v>90.888991143407495</v>
      </c>
      <c r="AM4921">
        <v>104.16711075886801</v>
      </c>
      <c r="AN4921">
        <v>1.00000000434574</v>
      </c>
    </row>
    <row r="4922" spans="1:40" x14ac:dyDescent="0.25">
      <c r="A4922" t="str">
        <f>"20190305135334587"</f>
        <v>20190305135334587</v>
      </c>
      <c r="B4922" t="str">
        <f>"1551765214575369"</f>
        <v>1551765214575369</v>
      </c>
      <c r="C4922" t="s">
        <v>40</v>
      </c>
      <c r="D4922">
        <v>4.630039</v>
      </c>
      <c r="E4922">
        <v>0.50582629999999995</v>
      </c>
      <c r="F4922" t="s">
        <v>85</v>
      </c>
      <c r="G4922">
        <v>-384.25369999999998</v>
      </c>
      <c r="H4922" s="1">
        <v>-3.0360190000000001E-6</v>
      </c>
      <c r="I4922">
        <v>20.816289999999999</v>
      </c>
      <c r="J4922">
        <v>-406.23809999999997</v>
      </c>
      <c r="K4922">
        <v>1.116134</v>
      </c>
      <c r="L4922">
        <v>24.31024</v>
      </c>
      <c r="M4922">
        <v>0.92700990000000005</v>
      </c>
      <c r="N4922">
        <v>-1.5515050000000001E-2</v>
      </c>
      <c r="O4922">
        <v>-0.37471579999999999</v>
      </c>
      <c r="P4922">
        <v>0.98971169999999997</v>
      </c>
      <c r="Q4922">
        <v>-2.6224330000000001E-2</v>
      </c>
      <c r="R4922">
        <v>-0.140652799999999</v>
      </c>
      <c r="S4922">
        <v>2.9594119999999999</v>
      </c>
      <c r="T4922">
        <v>-0.1488141</v>
      </c>
      <c r="U4922">
        <v>-0.4772034</v>
      </c>
      <c r="V4922">
        <v>-0.24028659999999999</v>
      </c>
      <c r="W4922">
        <v>-1.511845E-2</v>
      </c>
      <c r="X4922">
        <v>0.97058420000000001</v>
      </c>
      <c r="Y4922">
        <v>-0.22183990000000001</v>
      </c>
      <c r="Z4922">
        <v>1.956194E-2</v>
      </c>
      <c r="AA4922">
        <v>0.97488680000000005</v>
      </c>
      <c r="AB4922">
        <v>31</v>
      </c>
      <c r="AC4922">
        <v>21.984399999999901</v>
      </c>
      <c r="AD4922">
        <v>-1.1161370360189999</v>
      </c>
      <c r="AE4922">
        <v>-3.4939499999999999</v>
      </c>
      <c r="AF4922">
        <v>-4.9870399378135</v>
      </c>
      <c r="AG4922">
        <v>-1.1161370360189999</v>
      </c>
      <c r="AH4922">
        <v>21.637208765255899</v>
      </c>
      <c r="AI4922">
        <v>92.877623519108596</v>
      </c>
      <c r="AJ4922">
        <v>102.97912352977499</v>
      </c>
      <c r="AK4922">
        <v>22.2325242016238</v>
      </c>
      <c r="AL4922">
        <v>90.866256419898605</v>
      </c>
      <c r="AM4922">
        <v>103.905078161085</v>
      </c>
      <c r="AN4922">
        <v>0.99999995347979997</v>
      </c>
    </row>
    <row r="4923" spans="1:40" x14ac:dyDescent="0.25">
      <c r="A4923" t="str">
        <f>"20190305135334610"</f>
        <v>20190305135334610</v>
      </c>
      <c r="B4923" t="str">
        <f>"1551765214604649"</f>
        <v>1551765214604649</v>
      </c>
      <c r="C4923" t="s">
        <v>40</v>
      </c>
      <c r="D4923">
        <v>4.6359269999999997</v>
      </c>
      <c r="E4923">
        <v>0.50503439999999999</v>
      </c>
      <c r="F4923" t="s">
        <v>85</v>
      </c>
      <c r="G4923">
        <v>-385.8288</v>
      </c>
      <c r="H4923" s="1">
        <v>-2.3579649999999998E-6</v>
      </c>
      <c r="I4923">
        <v>21.066230000000001</v>
      </c>
      <c r="J4923">
        <v>-405.94080000000002</v>
      </c>
      <c r="K4923">
        <v>1.115275</v>
      </c>
      <c r="L4923">
        <v>24.19623</v>
      </c>
      <c r="M4923">
        <v>0.92898270000000005</v>
      </c>
      <c r="N4923">
        <v>-1.5378630000000001E-2</v>
      </c>
      <c r="O4923">
        <v>-0.36980400000000002</v>
      </c>
      <c r="P4923">
        <v>0.98987689999999995</v>
      </c>
      <c r="Q4923">
        <v>-2.858194E-2</v>
      </c>
      <c r="R4923">
        <v>-0.13902300000000001</v>
      </c>
      <c r="S4923">
        <v>2.9600219999999999</v>
      </c>
      <c r="T4923">
        <v>-0.16187689999999999</v>
      </c>
      <c r="U4923">
        <v>-0.4704895</v>
      </c>
      <c r="V4923">
        <v>-0.2367187</v>
      </c>
      <c r="W4923">
        <v>-1.7037360000000001E-2</v>
      </c>
      <c r="X4923">
        <v>0.97142879999999998</v>
      </c>
      <c r="Y4923">
        <v>-0.2187605</v>
      </c>
      <c r="Z4923">
        <v>2.1408590000000002E-2</v>
      </c>
      <c r="AA4923">
        <v>0.97554370000000001</v>
      </c>
      <c r="AB4923">
        <v>31</v>
      </c>
      <c r="AC4923">
        <v>20.111999999999998</v>
      </c>
      <c r="AD4923">
        <v>-1.1152773579649999</v>
      </c>
      <c r="AE4923">
        <v>-3.13</v>
      </c>
      <c r="AF4923">
        <v>-4.5167562324239601</v>
      </c>
      <c r="AG4923">
        <v>-1.1152773579649999</v>
      </c>
      <c r="AH4923">
        <v>19.784130727983801</v>
      </c>
      <c r="AI4923">
        <v>93.145711271074802</v>
      </c>
      <c r="AJ4923">
        <v>102.860328999195</v>
      </c>
      <c r="AK4923">
        <v>20.323797851540501</v>
      </c>
      <c r="AL4923">
        <v>90.976216089031695</v>
      </c>
      <c r="AM4923">
        <v>103.694982948487</v>
      </c>
      <c r="AN4923">
        <v>0.99999996401744895</v>
      </c>
    </row>
    <row r="4924" spans="1:40" x14ac:dyDescent="0.25">
      <c r="A4924" t="str">
        <f>"20190305135334633"</f>
        <v>20190305135334633</v>
      </c>
      <c r="B4924" t="str">
        <f>"1551765214625146"</f>
        <v>1551765214625146</v>
      </c>
      <c r="C4924" t="s">
        <v>40</v>
      </c>
      <c r="D4924">
        <v>4.6004160000000001</v>
      </c>
      <c r="E4924">
        <v>0.50519099999999995</v>
      </c>
      <c r="F4924" t="s">
        <v>85</v>
      </c>
      <c r="G4924">
        <v>-389.2328</v>
      </c>
      <c r="H4924" s="1">
        <v>-8.9046160000000003E-7</v>
      </c>
      <c r="I4924">
        <v>21.59836</v>
      </c>
      <c r="J4924">
        <v>-405.63459999999998</v>
      </c>
      <c r="K4924">
        <v>1.114471</v>
      </c>
      <c r="L4924">
        <v>24.079899999999999</v>
      </c>
      <c r="M4924">
        <v>0.9306643</v>
      </c>
      <c r="N4924">
        <v>-1.525225E-2</v>
      </c>
      <c r="O4924">
        <v>-0.3655563</v>
      </c>
      <c r="P4924">
        <v>0.98991779999999996</v>
      </c>
      <c r="Q4924">
        <v>-3.1581140000000001E-2</v>
      </c>
      <c r="R4924">
        <v>-0.13807729999999999</v>
      </c>
      <c r="S4924">
        <v>2.9603579999999998</v>
      </c>
      <c r="T4924">
        <v>-0.19760720000000001</v>
      </c>
      <c r="U4924">
        <v>-0.4602966</v>
      </c>
      <c r="V4924">
        <v>-0.23316890000000001</v>
      </c>
      <c r="W4924">
        <v>-1.9641619999999999E-2</v>
      </c>
      <c r="X4924">
        <v>0.97223789999999999</v>
      </c>
      <c r="Y4924">
        <v>-0.21724650000000001</v>
      </c>
      <c r="Z4924">
        <v>2.6817179999999999E-2</v>
      </c>
      <c r="AA4924">
        <v>0.97574830000000001</v>
      </c>
      <c r="AB4924">
        <v>31</v>
      </c>
      <c r="AC4924">
        <v>16.401799999999898</v>
      </c>
      <c r="AD4924">
        <v>-1.1144718904616</v>
      </c>
      <c r="AE4924">
        <v>-2.4815399999999901</v>
      </c>
      <c r="AF4924">
        <v>-3.67016357668812</v>
      </c>
      <c r="AG4924">
        <v>-1.1144718904616</v>
      </c>
      <c r="AH4924">
        <v>16.1009194124129</v>
      </c>
      <c r="AI4924">
        <v>93.860854403432199</v>
      </c>
      <c r="AJ4924">
        <v>102.841020887542</v>
      </c>
      <c r="AK4924">
        <v>16.551487975384401</v>
      </c>
      <c r="AL4924">
        <v>91.125454266495396</v>
      </c>
      <c r="AM4924">
        <v>103.48636065338501</v>
      </c>
      <c r="AN4924">
        <v>1.00000003167992</v>
      </c>
    </row>
    <row r="4925" spans="1:40" x14ac:dyDescent="0.25">
      <c r="A4925" t="str">
        <f>"20190305135334655"</f>
        <v>20190305135334655</v>
      </c>
      <c r="B4925" t="str">
        <f>"1551765214644665"</f>
        <v>1551765214644665</v>
      </c>
      <c r="C4925" t="s">
        <v>40</v>
      </c>
      <c r="D4925">
        <v>4.8707960000000003</v>
      </c>
      <c r="E4925">
        <v>0.50569299999999995</v>
      </c>
      <c r="F4925" t="s">
        <v>42</v>
      </c>
      <c r="G4925">
        <v>-390.60559999999998</v>
      </c>
      <c r="H4925" s="1">
        <v>-4.8569500000000001E-6</v>
      </c>
      <c r="I4925">
        <v>21.748470000000001</v>
      </c>
      <c r="J4925">
        <v>-405.36079999999998</v>
      </c>
      <c r="K4925">
        <v>1.1138209999999999</v>
      </c>
      <c r="L4925">
        <v>23.97662</v>
      </c>
      <c r="M4925">
        <v>0.93191380000000001</v>
      </c>
      <c r="N4925">
        <v>-1.514938E-2</v>
      </c>
      <c r="O4925">
        <v>-0.3623634</v>
      </c>
      <c r="P4925">
        <v>0.98984589999999995</v>
      </c>
      <c r="Q4925">
        <v>-3.3747289999999999E-2</v>
      </c>
      <c r="R4925">
        <v>-0.13807949999999999</v>
      </c>
      <c r="S4925">
        <v>2.9595340000000001</v>
      </c>
      <c r="T4925">
        <v>-0.2194641</v>
      </c>
      <c r="U4925">
        <v>-0.45910640000000003</v>
      </c>
      <c r="V4925">
        <v>-0.22981299999999999</v>
      </c>
      <c r="W4925">
        <v>-2.149531E-2</v>
      </c>
      <c r="X4925">
        <v>0.97299740000000001</v>
      </c>
      <c r="Y4925">
        <v>-0.2139971</v>
      </c>
      <c r="Z4925">
        <v>2.9945820000000001E-2</v>
      </c>
      <c r="AA4925">
        <v>0.9763752</v>
      </c>
      <c r="AB4925">
        <v>31</v>
      </c>
      <c r="AC4925">
        <v>14.7552</v>
      </c>
      <c r="AD4925">
        <v>-1.1138258569499999</v>
      </c>
      <c r="AE4925">
        <v>-2.2281499999999901</v>
      </c>
      <c r="AF4925">
        <v>-3.2525551514065101</v>
      </c>
      <c r="AG4925">
        <v>-1.1138258569499999</v>
      </c>
      <c r="AH4925">
        <v>14.4789789212386</v>
      </c>
      <c r="AI4925">
        <v>94.292378931509006</v>
      </c>
      <c r="AJ4925">
        <v>102.66073932654</v>
      </c>
      <c r="AK4925">
        <v>14.881550781226499</v>
      </c>
      <c r="AL4925">
        <v>91.2316854021512</v>
      </c>
      <c r="AM4925">
        <v>103.289189233995</v>
      </c>
      <c r="AN4925">
        <v>1.0000000018638699</v>
      </c>
    </row>
    <row r="4926" spans="1:40" x14ac:dyDescent="0.25">
      <c r="A4926" t="str">
        <f>"20190305135334676"</f>
        <v>20190305135334676</v>
      </c>
      <c r="B4926" t="str">
        <f>"1551765214665162"</f>
        <v>1551765214665162</v>
      </c>
      <c r="C4926" t="s">
        <v>40</v>
      </c>
      <c r="D4926">
        <v>4.6621600000000001</v>
      </c>
      <c r="E4926">
        <v>0.50621139999999998</v>
      </c>
      <c r="F4926" t="s">
        <v>42</v>
      </c>
      <c r="G4926">
        <v>-391.19850000000002</v>
      </c>
      <c r="H4926" s="1">
        <v>-4.6310040000000003E-6</v>
      </c>
      <c r="I4926">
        <v>21.758369999999999</v>
      </c>
      <c r="J4926">
        <v>-405.09609999999998</v>
      </c>
      <c r="K4926">
        <v>1.113235</v>
      </c>
      <c r="L4926">
        <v>23.877320000000001</v>
      </c>
      <c r="M4926">
        <v>0.93291460000000004</v>
      </c>
      <c r="N4926">
        <v>-1.5057259999999999E-2</v>
      </c>
      <c r="O4926">
        <v>-0.35978339999999998</v>
      </c>
      <c r="P4926">
        <v>0.98986359999999995</v>
      </c>
      <c r="Q4926">
        <v>-3.5973379999999999E-2</v>
      </c>
      <c r="R4926">
        <v>-0.1373905</v>
      </c>
      <c r="S4926">
        <v>2.958221</v>
      </c>
      <c r="T4926">
        <v>-0.23265540000000001</v>
      </c>
      <c r="U4926">
        <v>-0.46334839999999999</v>
      </c>
      <c r="V4926">
        <v>-0.22777819999999999</v>
      </c>
      <c r="W4926">
        <v>-2.3461349999999999E-2</v>
      </c>
      <c r="X4926">
        <v>0.97343029999999997</v>
      </c>
      <c r="Y4926">
        <v>-0.20970949999999999</v>
      </c>
      <c r="Z4926">
        <v>3.1666739999999999E-2</v>
      </c>
      <c r="AA4926">
        <v>0.97725079999999998</v>
      </c>
      <c r="AB4926">
        <v>31</v>
      </c>
      <c r="AC4926">
        <v>13.897599999999899</v>
      </c>
      <c r="AD4926">
        <v>-1.113239631004</v>
      </c>
      <c r="AE4926">
        <v>-2.1189499999999901</v>
      </c>
      <c r="AF4926">
        <v>-3.0048260466432999</v>
      </c>
      <c r="AG4926">
        <v>-1.113239631004</v>
      </c>
      <c r="AH4926">
        <v>13.643634811955399</v>
      </c>
      <c r="AI4926">
        <v>94.555955319580804</v>
      </c>
      <c r="AJ4926">
        <v>102.420341444887</v>
      </c>
      <c r="AK4926">
        <v>14.014886832530101</v>
      </c>
      <c r="AL4926">
        <v>91.344359758752603</v>
      </c>
      <c r="AM4926">
        <v>103.169991326321</v>
      </c>
      <c r="AN4926">
        <v>0.99999994614857401</v>
      </c>
    </row>
    <row r="4927" spans="1:40" x14ac:dyDescent="0.25">
      <c r="A4927" t="str">
        <f>"20190305135334701"</f>
        <v>20190305135334701</v>
      </c>
      <c r="B4927" t="str">
        <f>"1551765214695418"</f>
        <v>1551765214695418</v>
      </c>
      <c r="C4927" t="s">
        <v>40</v>
      </c>
      <c r="D4927">
        <v>4.6474209999999996</v>
      </c>
      <c r="E4927">
        <v>0.50735379999999997</v>
      </c>
      <c r="F4927" t="s">
        <v>42</v>
      </c>
      <c r="G4927">
        <v>-391.4126</v>
      </c>
      <c r="H4927" s="1">
        <v>-4.5425299999999997E-6</v>
      </c>
      <c r="I4927">
        <v>21.723009999999999</v>
      </c>
      <c r="J4927">
        <v>-404.77879999999999</v>
      </c>
      <c r="K4927">
        <v>1.1125799999999999</v>
      </c>
      <c r="L4927">
        <v>23.75873</v>
      </c>
      <c r="M4927">
        <v>0.9338824</v>
      </c>
      <c r="N4927">
        <v>-1.495611E-2</v>
      </c>
      <c r="O4927">
        <v>-0.35726790000000003</v>
      </c>
      <c r="P4927">
        <v>0.98999369999999998</v>
      </c>
      <c r="Q4927">
        <v>-3.8245510000000003E-2</v>
      </c>
      <c r="R4927">
        <v>-0.13583100000000001</v>
      </c>
      <c r="S4927">
        <v>2.9573969999999998</v>
      </c>
      <c r="T4927">
        <v>-0.24060200000000001</v>
      </c>
      <c r="U4927">
        <v>-0.46560669999999998</v>
      </c>
      <c r="V4927">
        <v>-0.22667709999999999</v>
      </c>
      <c r="W4927">
        <v>-2.5450110000000001E-2</v>
      </c>
      <c r="X4927">
        <v>0.97363739999999999</v>
      </c>
      <c r="Y4927">
        <v>-0.20621410000000001</v>
      </c>
      <c r="Z4927">
        <v>3.2595689999999997E-2</v>
      </c>
      <c r="AA4927">
        <v>0.9779639</v>
      </c>
      <c r="AB4927">
        <v>31</v>
      </c>
      <c r="AC4927">
        <v>13.3661999999999</v>
      </c>
      <c r="AD4927">
        <v>-1.1125845425299901</v>
      </c>
      <c r="AE4927">
        <v>-2.0357199999999902</v>
      </c>
      <c r="AF4927">
        <v>-2.8551779818571101</v>
      </c>
      <c r="AG4927">
        <v>-1.1125845425299901</v>
      </c>
      <c r="AH4927">
        <v>13.122372107838</v>
      </c>
      <c r="AI4927">
        <v>94.735965057867503</v>
      </c>
      <c r="AJ4927">
        <v>102.27514801102301</v>
      </c>
      <c r="AK4927">
        <v>13.4754048328398</v>
      </c>
      <c r="AL4927">
        <v>91.458341348180497</v>
      </c>
      <c r="AM4927">
        <v>103.10583792749701</v>
      </c>
      <c r="AN4927">
        <v>1.0000000012210899</v>
      </c>
    </row>
    <row r="4928" spans="1:40" x14ac:dyDescent="0.25">
      <c r="A4928" t="str">
        <f>"20190305135334722"</f>
        <v>20190305135334722</v>
      </c>
      <c r="B4928" t="str">
        <f>"1551765214714938"</f>
        <v>1551765214714938</v>
      </c>
      <c r="C4928" t="s">
        <v>40</v>
      </c>
      <c r="D4928">
        <v>4.6598430000000004</v>
      </c>
      <c r="E4928">
        <v>0.5081156</v>
      </c>
      <c r="F4928" t="s">
        <v>42</v>
      </c>
      <c r="G4928">
        <v>-391.55840000000001</v>
      </c>
      <c r="H4928" s="1">
        <v>-4.474556E-6</v>
      </c>
      <c r="I4928">
        <v>21.655480000000001</v>
      </c>
      <c r="J4928">
        <v>-404.49939999999998</v>
      </c>
      <c r="K4928">
        <v>1.1120350000000001</v>
      </c>
      <c r="L4928">
        <v>23.65457</v>
      </c>
      <c r="M4928">
        <v>0.93454950000000003</v>
      </c>
      <c r="N4928">
        <v>-1.4876260000000001E-2</v>
      </c>
      <c r="O4928">
        <v>-0.35552240000000002</v>
      </c>
      <c r="P4928">
        <v>0.99001989999999995</v>
      </c>
      <c r="Q4928">
        <v>-3.7933410000000001E-2</v>
      </c>
      <c r="R4928">
        <v>-0.1357286</v>
      </c>
      <c r="S4928">
        <v>2.956207</v>
      </c>
      <c r="T4928">
        <v>-0.2487847</v>
      </c>
      <c r="U4928">
        <v>-0.47030640000000001</v>
      </c>
      <c r="V4928">
        <v>-0.2249998</v>
      </c>
      <c r="W4928">
        <v>-2.4886760000000001E-2</v>
      </c>
      <c r="X4928">
        <v>0.97404089999999999</v>
      </c>
      <c r="Y4928">
        <v>-0.202712</v>
      </c>
      <c r="Z4928">
        <v>3.3581140000000002E-2</v>
      </c>
      <c r="AA4928">
        <v>0.97866240000000004</v>
      </c>
      <c r="AB4928">
        <v>31</v>
      </c>
      <c r="AC4928">
        <v>12.940999999999899</v>
      </c>
      <c r="AD4928">
        <v>-1.1120394745559901</v>
      </c>
      <c r="AE4928">
        <v>-1.99909</v>
      </c>
      <c r="AF4928">
        <v>-2.71330025236308</v>
      </c>
      <c r="AG4928">
        <v>-1.1120394745559901</v>
      </c>
      <c r="AH4928">
        <v>12.714443801902799</v>
      </c>
      <c r="AI4928">
        <v>94.8889898807099</v>
      </c>
      <c r="AJ4928">
        <v>102.04639208526299</v>
      </c>
      <c r="AK4928">
        <v>13.048207204217301</v>
      </c>
      <c r="AL4928">
        <v>91.426053590027706</v>
      </c>
      <c r="AM4928">
        <v>103.00696601708999</v>
      </c>
      <c r="AN4928">
        <v>0.99999996784807299</v>
      </c>
    </row>
    <row r="4929" spans="1:40" x14ac:dyDescent="0.25">
      <c r="A4929" t="str">
        <f>"20190305135334744"</f>
        <v>20190305135334744</v>
      </c>
      <c r="B4929" t="str">
        <f>"1551765214735433"</f>
        <v>1551765214735433</v>
      </c>
      <c r="C4929" t="s">
        <v>40</v>
      </c>
      <c r="D4929">
        <v>4.6784319999999999</v>
      </c>
      <c r="E4929">
        <v>0.50884430000000003</v>
      </c>
      <c r="F4929" t="s">
        <v>42</v>
      </c>
      <c r="G4929">
        <v>-391.42439999999999</v>
      </c>
      <c r="H4929" s="1">
        <v>-4.5067990000000004E-6</v>
      </c>
      <c r="I4929">
        <v>21.54712</v>
      </c>
      <c r="J4929">
        <v>-404.21910000000003</v>
      </c>
      <c r="K4929">
        <v>1.111529</v>
      </c>
      <c r="L4929">
        <v>23.550139999999999</v>
      </c>
      <c r="M4929">
        <v>0.93505879999999997</v>
      </c>
      <c r="N4929">
        <v>-1.480471E-2</v>
      </c>
      <c r="O4929">
        <v>-0.35418329999999998</v>
      </c>
      <c r="P4929">
        <v>0.98988739999999997</v>
      </c>
      <c r="Q4929">
        <v>-3.7140960000000001E-2</v>
      </c>
      <c r="R4929">
        <v>-0.1369069</v>
      </c>
      <c r="S4929">
        <v>2.9553530000000001</v>
      </c>
      <c r="T4929">
        <v>-0.25135540000000001</v>
      </c>
      <c r="U4929">
        <v>-0.47634890000000002</v>
      </c>
      <c r="V4929">
        <v>-0.222492</v>
      </c>
      <c r="W4929">
        <v>-2.3845269999999998E-2</v>
      </c>
      <c r="X4929">
        <v>0.97464289999999998</v>
      </c>
      <c r="Y4929">
        <v>-0.1992931</v>
      </c>
      <c r="Z4929">
        <v>3.3733920000000001E-2</v>
      </c>
      <c r="AA4929">
        <v>0.97935910000000004</v>
      </c>
      <c r="AB4929">
        <v>31</v>
      </c>
      <c r="AC4929">
        <v>12.794700000000001</v>
      </c>
      <c r="AD4929">
        <v>-1.111533506799</v>
      </c>
      <c r="AE4929">
        <v>-2.0030199999999998</v>
      </c>
      <c r="AF4929">
        <v>-2.6395742806150202</v>
      </c>
      <c r="AG4929">
        <v>-1.111533506799</v>
      </c>
      <c r="AH4929">
        <v>12.5819358690855</v>
      </c>
      <c r="AI4929">
        <v>94.941584561862598</v>
      </c>
      <c r="AJ4929">
        <v>101.848298145584</v>
      </c>
      <c r="AK4929">
        <v>12.9037967022656</v>
      </c>
      <c r="AL4929">
        <v>91.366362790681904</v>
      </c>
      <c r="AM4929">
        <v>102.859160967432</v>
      </c>
      <c r="AN4929">
        <v>1.0000000347428899</v>
      </c>
    </row>
    <row r="4930" spans="1:40" x14ac:dyDescent="0.25">
      <c r="A4930" t="str">
        <f>"20190305135334765"</f>
        <v>20190305135334765</v>
      </c>
      <c r="B4930" t="str">
        <f>"1551765214754954"</f>
        <v>1551765214754954</v>
      </c>
      <c r="C4930" t="s">
        <v>40</v>
      </c>
      <c r="D4930">
        <v>4.6794560000000001</v>
      </c>
      <c r="E4930">
        <v>0.50958049999999999</v>
      </c>
      <c r="F4930" t="s">
        <v>42</v>
      </c>
      <c r="G4930">
        <v>-391.09</v>
      </c>
      <c r="H4930" s="1">
        <v>-4.6077269999999996E-6</v>
      </c>
      <c r="I4930">
        <v>21.392250000000001</v>
      </c>
      <c r="J4930">
        <v>-403.94920000000002</v>
      </c>
      <c r="K4930">
        <v>1.1110739999999999</v>
      </c>
      <c r="L4930">
        <v>23.449490000000001</v>
      </c>
      <c r="M4930">
        <v>0.93539380000000005</v>
      </c>
      <c r="N4930">
        <v>-1.474279E-2</v>
      </c>
      <c r="O4930">
        <v>-0.35330050000000002</v>
      </c>
      <c r="P4930">
        <v>0.98987510000000001</v>
      </c>
      <c r="Q4930">
        <v>-3.7151450000000003E-2</v>
      </c>
      <c r="R4930">
        <v>-0.13699349999999999</v>
      </c>
      <c r="S4930">
        <v>2.9541019999999998</v>
      </c>
      <c r="T4930">
        <v>-0.25009949999999997</v>
      </c>
      <c r="U4930">
        <v>-0.48553469999999999</v>
      </c>
      <c r="V4930">
        <v>-0.22151470000000001</v>
      </c>
      <c r="W4930">
        <v>-2.364078E-2</v>
      </c>
      <c r="X4930">
        <v>0.97487040000000003</v>
      </c>
      <c r="Y4930">
        <v>-0.19536800000000001</v>
      </c>
      <c r="Z4930">
        <v>3.3316779999999997E-2</v>
      </c>
      <c r="AA4930">
        <v>0.98016389999999998</v>
      </c>
      <c r="AB4930">
        <v>31</v>
      </c>
      <c r="AC4930">
        <v>12.8592</v>
      </c>
      <c r="AD4930">
        <v>-1.1110786077269901</v>
      </c>
      <c r="AE4930">
        <v>-2.0572400000000002</v>
      </c>
      <c r="AF4930">
        <v>-2.6001892896069498</v>
      </c>
      <c r="AG4930">
        <v>-1.1110786077269901</v>
      </c>
      <c r="AH4930">
        <v>12.664437794669301</v>
      </c>
      <c r="AI4930">
        <v>94.911903187433694</v>
      </c>
      <c r="AJ4930">
        <v>101.60240308344</v>
      </c>
      <c r="AK4930">
        <v>12.9762654361485</v>
      </c>
      <c r="AL4930">
        <v>91.354643157197103</v>
      </c>
      <c r="AM4930">
        <v>102.801653111866</v>
      </c>
      <c r="AN4930">
        <v>0.99999997279562802</v>
      </c>
    </row>
    <row r="4931" spans="1:40" x14ac:dyDescent="0.25">
      <c r="A4931" t="str">
        <f>"20190305135334788"</f>
        <v>20190305135334788</v>
      </c>
      <c r="B4931" t="str">
        <f>"1551765214785210"</f>
        <v>1551765214785210</v>
      </c>
      <c r="C4931" t="s">
        <v>40</v>
      </c>
      <c r="D4931">
        <v>4.665635</v>
      </c>
      <c r="E4931">
        <v>0.51048939999999998</v>
      </c>
      <c r="F4931" t="s">
        <v>42</v>
      </c>
      <c r="G4931">
        <v>-390.87799999999999</v>
      </c>
      <c r="H4931" s="1">
        <v>-4.6677189999999997E-6</v>
      </c>
      <c r="I4931">
        <v>21.271550000000001</v>
      </c>
      <c r="J4931">
        <v>-403.66230000000002</v>
      </c>
      <c r="K4931">
        <v>1.110633</v>
      </c>
      <c r="L4931">
        <v>23.342220000000001</v>
      </c>
      <c r="M4931">
        <v>0.93558339999999995</v>
      </c>
      <c r="N4931">
        <v>-1.468503E-2</v>
      </c>
      <c r="O4931">
        <v>-0.35280070000000002</v>
      </c>
      <c r="P4931">
        <v>0.99017920000000004</v>
      </c>
      <c r="Q4931">
        <v>-3.6482069999999998E-2</v>
      </c>
      <c r="R4931">
        <v>-0.13496129999999901</v>
      </c>
      <c r="S4931">
        <v>2.9531860000000001</v>
      </c>
      <c r="T4931">
        <v>-0.2510271</v>
      </c>
      <c r="U4931">
        <v>-0.49206539999999999</v>
      </c>
      <c r="V4931">
        <v>-0.22303200000000001</v>
      </c>
      <c r="W4931">
        <v>-2.2774809999999999E-2</v>
      </c>
      <c r="X4931">
        <v>0.97454510000000005</v>
      </c>
      <c r="Y4931">
        <v>-0.19268299999999999</v>
      </c>
      <c r="Z4931">
        <v>3.330723E-2</v>
      </c>
      <c r="AA4931">
        <v>0.9806956</v>
      </c>
      <c r="AB4931">
        <v>31</v>
      </c>
      <c r="AC4931">
        <v>12.784299999999901</v>
      </c>
      <c r="AD4931">
        <v>-1.110637667719</v>
      </c>
      <c r="AE4931">
        <v>-2.0706699999999998</v>
      </c>
      <c r="AF4931">
        <v>-2.55451581999366</v>
      </c>
      <c r="AG4931">
        <v>-1.110637667719</v>
      </c>
      <c r="AH4931">
        <v>12.6000146152602</v>
      </c>
      <c r="AI4931">
        <v>94.937421585722802</v>
      </c>
      <c r="AJ4931">
        <v>101.460756298814</v>
      </c>
      <c r="AK4931">
        <v>12.904240985363099</v>
      </c>
      <c r="AL4931">
        <v>91.305013249142306</v>
      </c>
      <c r="AM4931">
        <v>102.890579966172</v>
      </c>
      <c r="AN4931">
        <v>1.0000000584642701</v>
      </c>
    </row>
    <row r="4932" spans="1:40" x14ac:dyDescent="0.25">
      <c r="A4932" t="str">
        <f>"20190305135334812"</f>
        <v>20190305135334812</v>
      </c>
      <c r="B4932" t="str">
        <f>"1551765214804730"</f>
        <v>1551765214804730</v>
      </c>
      <c r="C4932" t="s">
        <v>40</v>
      </c>
      <c r="D4932">
        <v>4.6909199999999904</v>
      </c>
      <c r="E4932">
        <v>0.51110040000000001</v>
      </c>
      <c r="F4932" t="s">
        <v>42</v>
      </c>
      <c r="G4932">
        <v>-390.5274</v>
      </c>
      <c r="H4932" s="1">
        <v>-4.7801409999999998E-6</v>
      </c>
      <c r="I4932">
        <v>21.146239999999999</v>
      </c>
      <c r="J4932">
        <v>-403.3503</v>
      </c>
      <c r="K4932">
        <v>1.110236</v>
      </c>
      <c r="L4932">
        <v>23.225249999999999</v>
      </c>
      <c r="M4932">
        <v>0.93563989999999997</v>
      </c>
      <c r="N4932">
        <v>-1.4629939999999999E-2</v>
      </c>
      <c r="O4932">
        <v>-0.35265249999999998</v>
      </c>
      <c r="P4932">
        <v>0.99059160000000002</v>
      </c>
      <c r="Q4932">
        <v>-3.3737169999999997E-2</v>
      </c>
      <c r="R4932">
        <v>-0.13262789999999999</v>
      </c>
      <c r="S4932">
        <v>2.9532470000000002</v>
      </c>
      <c r="T4932">
        <v>-0.24971570000000001</v>
      </c>
      <c r="U4932">
        <v>-0.49374390000000001</v>
      </c>
      <c r="V4932">
        <v>-0.22523509999999999</v>
      </c>
      <c r="W4932">
        <v>-1.9849390000000001E-2</v>
      </c>
      <c r="X4932">
        <v>0.97410220000000003</v>
      </c>
      <c r="Y4932">
        <v>-0.19200829999999999</v>
      </c>
      <c r="Z4932">
        <v>3.3082609999999998E-2</v>
      </c>
      <c r="AA4932">
        <v>0.98083560000000003</v>
      </c>
      <c r="AB4932">
        <v>31</v>
      </c>
      <c r="AC4932">
        <v>12.822900000000001</v>
      </c>
      <c r="AD4932">
        <v>-1.1102407801409999</v>
      </c>
      <c r="AE4932">
        <v>-2.0790099999999998</v>
      </c>
      <c r="AF4932">
        <v>-2.5584110231206001</v>
      </c>
      <c r="AG4932">
        <v>-1.1102407801409999</v>
      </c>
      <c r="AH4932">
        <v>12.6398204753126</v>
      </c>
      <c r="AI4932">
        <v>94.920513420547195</v>
      </c>
      <c r="AJ4932">
        <v>101.44257719171701</v>
      </c>
      <c r="AK4932">
        <v>12.943846538075301</v>
      </c>
      <c r="AL4932">
        <v>91.137360999135296</v>
      </c>
      <c r="AM4932">
        <v>103.019313747148</v>
      </c>
      <c r="AN4932">
        <v>0.99999997230010995</v>
      </c>
    </row>
    <row r="4933" spans="1:40" x14ac:dyDescent="0.25">
      <c r="A4933" t="str">
        <f>"20190305135334834"</f>
        <v>20190305135334834</v>
      </c>
      <c r="B4933" t="str">
        <f>"1551765214825225"</f>
        <v>1551765214825225</v>
      </c>
      <c r="C4933" t="s">
        <v>40</v>
      </c>
      <c r="D4933">
        <v>4.6800860000000002</v>
      </c>
      <c r="E4933">
        <v>0.51171299999999997</v>
      </c>
      <c r="F4933" t="s">
        <v>85</v>
      </c>
      <c r="G4933">
        <v>-389.73140000000001</v>
      </c>
      <c r="H4933" s="1">
        <v>-4.8419950000000005E-7</v>
      </c>
      <c r="I4933">
        <v>20.957260000000002</v>
      </c>
      <c r="J4933">
        <v>-403.0675</v>
      </c>
      <c r="K4933">
        <v>1.10991</v>
      </c>
      <c r="L4933">
        <v>23.118739999999999</v>
      </c>
      <c r="M4933">
        <v>0.93555010000000005</v>
      </c>
      <c r="N4933">
        <v>-1.458507E-2</v>
      </c>
      <c r="O4933">
        <v>-0.35289320000000002</v>
      </c>
      <c r="P4933">
        <v>0.99108339999999995</v>
      </c>
      <c r="Q4933">
        <v>-2.9445329999999999E-2</v>
      </c>
      <c r="R4933">
        <v>-0.12995019999999999</v>
      </c>
      <c r="S4933">
        <v>2.9544069999999998</v>
      </c>
      <c r="T4933">
        <v>-0.2408476</v>
      </c>
      <c r="U4933">
        <v>-0.49200440000000001</v>
      </c>
      <c r="V4933">
        <v>-0.2281852</v>
      </c>
      <c r="W4933">
        <v>-1.540825E-2</v>
      </c>
      <c r="X4933">
        <v>0.97349580000000002</v>
      </c>
      <c r="Y4933">
        <v>-0.1929971</v>
      </c>
      <c r="Z4933">
        <v>3.1837539999999998E-2</v>
      </c>
      <c r="AA4933">
        <v>0.98068270000000002</v>
      </c>
      <c r="AB4933">
        <v>31</v>
      </c>
      <c r="AC4933">
        <v>13.336099999999901</v>
      </c>
      <c r="AD4933">
        <v>-1.1099104841995</v>
      </c>
      <c r="AE4933">
        <v>-2.1614799999999899</v>
      </c>
      <c r="AF4933">
        <v>-2.6663354400740298</v>
      </c>
      <c r="AG4933">
        <v>-1.1099104841995</v>
      </c>
      <c r="AH4933">
        <v>13.152001082789001</v>
      </c>
      <c r="AI4933">
        <v>94.728082861364697</v>
      </c>
      <c r="AJ4933">
        <v>101.460381254821</v>
      </c>
      <c r="AK4933">
        <v>13.4653770256764</v>
      </c>
      <c r="AL4933">
        <v>90.882862643284099</v>
      </c>
      <c r="AM4933">
        <v>103.19184490774801</v>
      </c>
      <c r="AN4933">
        <v>0.99999998614237096</v>
      </c>
    </row>
    <row r="4934" spans="1:40" x14ac:dyDescent="0.25">
      <c r="A4934" t="str">
        <f>"20190305135334855"</f>
        <v>20190305135334855</v>
      </c>
      <c r="B4934" t="str">
        <f>"1551765214844749"</f>
        <v>1551765214844749</v>
      </c>
      <c r="C4934" t="s">
        <v>40</v>
      </c>
      <c r="D4934">
        <v>4.7097049999999996</v>
      </c>
      <c r="E4934">
        <v>0.51184390000000002</v>
      </c>
      <c r="F4934" t="s">
        <v>85</v>
      </c>
      <c r="G4934">
        <v>-388.6891</v>
      </c>
      <c r="H4934" s="1">
        <v>-9.1891639999999999E-7</v>
      </c>
      <c r="I4934">
        <v>20.739249999999998</v>
      </c>
      <c r="J4934">
        <v>-402.79989999999998</v>
      </c>
      <c r="K4934">
        <v>1.1095889999999999</v>
      </c>
      <c r="L4934">
        <v>23.01746</v>
      </c>
      <c r="M4934">
        <v>0.93532499999999996</v>
      </c>
      <c r="N4934">
        <v>-1.454803E-2</v>
      </c>
      <c r="O4934">
        <v>-0.35349000000000003</v>
      </c>
      <c r="P4934">
        <v>0.99153690000000005</v>
      </c>
      <c r="Q4934">
        <v>-2.6213549999999999E-2</v>
      </c>
      <c r="R4934">
        <v>-0.12715129999999999</v>
      </c>
      <c r="S4934">
        <v>2.9560550000000001</v>
      </c>
      <c r="T4934">
        <v>-0.22818579999999999</v>
      </c>
      <c r="U4934">
        <v>-0.48919679999999999</v>
      </c>
      <c r="V4934">
        <v>-0.23159759999999999</v>
      </c>
      <c r="W4934">
        <v>-1.2025559999999999E-2</v>
      </c>
      <c r="X4934">
        <v>0.97273739999999997</v>
      </c>
      <c r="Y4934">
        <v>-0.19476950000000001</v>
      </c>
      <c r="Z4934">
        <v>3.0077079999999999E-2</v>
      </c>
      <c r="AA4934">
        <v>0.98038780000000003</v>
      </c>
      <c r="AB4934">
        <v>31</v>
      </c>
      <c r="AC4934">
        <v>14.1107999999999</v>
      </c>
      <c r="AD4934">
        <v>-1.1095899189164</v>
      </c>
      <c r="AE4934">
        <v>-2.2782100000000001</v>
      </c>
      <c r="AF4934">
        <v>-2.8403461814596298</v>
      </c>
      <c r="AG4934">
        <v>-1.1095899189164</v>
      </c>
      <c r="AH4934">
        <v>13.921100971286</v>
      </c>
      <c r="AI4934">
        <v>94.465544520196005</v>
      </c>
      <c r="AJ4934">
        <v>101.531875211756</v>
      </c>
      <c r="AK4934">
        <v>14.251168670373501</v>
      </c>
      <c r="AL4934">
        <v>90.689030403702901</v>
      </c>
      <c r="AM4934">
        <v>103.392133043653</v>
      </c>
      <c r="AN4934">
        <v>1.0000000558889099</v>
      </c>
    </row>
    <row r="4935" spans="1:40" x14ac:dyDescent="0.25">
      <c r="A4935" t="str">
        <f>"20190305135334876"</f>
        <v>20190305135334876</v>
      </c>
      <c r="B4935" t="str">
        <f>"1551765214865242"</f>
        <v>1551765214865242</v>
      </c>
      <c r="C4935" t="s">
        <v>40</v>
      </c>
      <c r="D4935">
        <v>4.66831</v>
      </c>
      <c r="E4935">
        <v>0.49351840000000002</v>
      </c>
      <c r="F4935" t="s">
        <v>85</v>
      </c>
      <c r="G4935">
        <v>-387.80689999999998</v>
      </c>
      <c r="H4935" s="1">
        <v>-1.2921019999999999E-6</v>
      </c>
      <c r="I4935">
        <v>20.574570000000001</v>
      </c>
      <c r="J4935">
        <v>-402.52420000000001</v>
      </c>
      <c r="K4935">
        <v>1.109227</v>
      </c>
      <c r="L4935">
        <v>22.912479999999999</v>
      </c>
      <c r="M4935">
        <v>0.93494619999999995</v>
      </c>
      <c r="N4935">
        <v>-1.4516579999999999E-2</v>
      </c>
      <c r="O4935">
        <v>-0.35449239999999999</v>
      </c>
      <c r="P4935">
        <v>0.99196050000000002</v>
      </c>
      <c r="Q4935">
        <v>-2.525231E-2</v>
      </c>
      <c r="R4935">
        <v>-0.12400360000000001</v>
      </c>
      <c r="S4935">
        <v>2.958008</v>
      </c>
      <c r="T4935">
        <v>-0.21891430000000001</v>
      </c>
      <c r="U4935">
        <v>-0.48196410000000001</v>
      </c>
      <c r="V4935">
        <v>-0.23574290000000001</v>
      </c>
      <c r="W4935">
        <v>-1.088564E-2</v>
      </c>
      <c r="X4935">
        <v>0.97175449999999997</v>
      </c>
      <c r="Y4935">
        <v>-0.198356</v>
      </c>
      <c r="Z4935">
        <v>2.8910499999999999E-2</v>
      </c>
      <c r="AA4935">
        <v>0.97970349999999995</v>
      </c>
      <c r="AB4935">
        <v>30</v>
      </c>
      <c r="AC4935">
        <v>14.7173</v>
      </c>
      <c r="AD4935">
        <v>-1.109228292102</v>
      </c>
      <c r="AE4935">
        <v>-2.3379099999999902</v>
      </c>
      <c r="AF4935">
        <v>-3.0149654662185301</v>
      </c>
      <c r="AG4935">
        <v>-1.109228292102</v>
      </c>
      <c r="AH4935">
        <v>14.5097984945071</v>
      </c>
      <c r="AI4935">
        <v>94.280498617351498</v>
      </c>
      <c r="AJ4935">
        <v>101.738353181096</v>
      </c>
      <c r="AK4935">
        <v>14.8611795130027</v>
      </c>
      <c r="AL4935">
        <v>90.623713541419605</v>
      </c>
      <c r="AM4935">
        <v>103.636241639182</v>
      </c>
      <c r="AN4935">
        <v>1.00000001016443</v>
      </c>
    </row>
    <row r="4936" spans="1:40" x14ac:dyDescent="0.25">
      <c r="A4936" t="str">
        <f>"20190305135334900"</f>
        <v>20190305135334900</v>
      </c>
      <c r="B4936" t="str">
        <f>"1551765214895498"</f>
        <v>1551765214895498</v>
      </c>
      <c r="C4936" t="s">
        <v>40</v>
      </c>
      <c r="D4936">
        <v>4.6577320000000002</v>
      </c>
      <c r="E4936">
        <v>0.48840869999999997</v>
      </c>
      <c r="F4936" t="s">
        <v>42</v>
      </c>
      <c r="G4936">
        <v>-356.96969999999999</v>
      </c>
      <c r="H4936" s="1">
        <v>-1.565986E-6</v>
      </c>
      <c r="I4936">
        <v>18.016970000000001</v>
      </c>
      <c r="J4936">
        <v>-402.23680000000002</v>
      </c>
      <c r="K4936">
        <v>1.1088129999999901</v>
      </c>
      <c r="L4936">
        <v>22.80209</v>
      </c>
      <c r="M4936">
        <v>0.93439640000000002</v>
      </c>
      <c r="N4936">
        <v>-1.44911E-2</v>
      </c>
      <c r="O4936">
        <v>-0.35594009999999998</v>
      </c>
      <c r="P4936">
        <v>0.99239409999999895</v>
      </c>
      <c r="Q4936">
        <v>-2.62902E-2</v>
      </c>
      <c r="R4936">
        <v>-0.1202607</v>
      </c>
      <c r="S4936">
        <v>2.9823909999999998</v>
      </c>
      <c r="T4936">
        <v>-7.2619680000000006E-2</v>
      </c>
      <c r="U4936">
        <v>-0.32049559999999999</v>
      </c>
      <c r="V4936">
        <v>-0.2409126</v>
      </c>
      <c r="W4936">
        <v>-1.17156E-2</v>
      </c>
      <c r="X4936">
        <v>0.97047609999999995</v>
      </c>
      <c r="Y4936">
        <v>-0.25396079999999999</v>
      </c>
      <c r="Z4936">
        <v>8.1271429999999999E-3</v>
      </c>
      <c r="AA4936">
        <v>0.96718040000000005</v>
      </c>
      <c r="AB4936">
        <v>30</v>
      </c>
      <c r="AC4936">
        <v>45.267099999999999</v>
      </c>
      <c r="AD4936">
        <v>-1.10881456598599</v>
      </c>
      <c r="AE4936">
        <v>-4.7851199999999903</v>
      </c>
      <c r="AF4936">
        <v>-11.6354956220771</v>
      </c>
      <c r="AG4936">
        <v>-1.10881456598599</v>
      </c>
      <c r="AH4936">
        <v>43.979156481623903</v>
      </c>
      <c r="AI4936">
        <v>91.3962317610535</v>
      </c>
      <c r="AJ4936">
        <v>104.819119045562</v>
      </c>
      <c r="AK4936">
        <v>45.505828560177598</v>
      </c>
      <c r="AL4936">
        <v>90.671269792024503</v>
      </c>
      <c r="AM4936">
        <v>103.941385159904</v>
      </c>
      <c r="AN4936">
        <v>0.99999999839666498</v>
      </c>
    </row>
    <row r="4937" spans="1:40" x14ac:dyDescent="0.25">
      <c r="A4937" t="str">
        <f>"20190305135334922"</f>
        <v>20190305135334922</v>
      </c>
      <c r="B4937" t="str">
        <f>"1551765214915017"</f>
        <v>1551765214915017</v>
      </c>
      <c r="C4937" t="s">
        <v>40</v>
      </c>
      <c r="D4937">
        <v>4.6362449999999997</v>
      </c>
      <c r="E4937">
        <v>0.48821700000000001</v>
      </c>
      <c r="F4937" t="s">
        <v>42</v>
      </c>
      <c r="G4937">
        <v>-353.69929999999999</v>
      </c>
      <c r="H4937" s="1">
        <v>-2.893318E-6</v>
      </c>
      <c r="I4937">
        <v>18.443539999999999</v>
      </c>
      <c r="J4937">
        <v>-401.94439999999997</v>
      </c>
      <c r="K4937">
        <v>1.108403</v>
      </c>
      <c r="L4937">
        <v>22.68872</v>
      </c>
      <c r="M4937">
        <v>0.93368329999999999</v>
      </c>
      <c r="N4937">
        <v>-1.4471370000000001E-2</v>
      </c>
      <c r="O4937">
        <v>-0.3578075</v>
      </c>
      <c r="P4937">
        <v>0.99274899999999999</v>
      </c>
      <c r="Q4937">
        <v>-2.813908E-2</v>
      </c>
      <c r="R4937">
        <v>-0.1168671</v>
      </c>
      <c r="S4937">
        <v>2.9886780000000002</v>
      </c>
      <c r="T4937">
        <v>-6.8274970000000004E-2</v>
      </c>
      <c r="U4937">
        <v>-0.26837159999999999</v>
      </c>
      <c r="V4937">
        <v>-0.2461652</v>
      </c>
      <c r="W4937">
        <v>-1.334777E-2</v>
      </c>
      <c r="X4937">
        <v>0.969136</v>
      </c>
      <c r="Y4937">
        <v>-0.27277400000000002</v>
      </c>
      <c r="Z4937">
        <v>7.7946450000000002E-3</v>
      </c>
      <c r="AA4937">
        <v>0.96204659999999997</v>
      </c>
      <c r="AB4937">
        <v>30</v>
      </c>
      <c r="AC4937">
        <v>48.245099999999901</v>
      </c>
      <c r="AD4937">
        <v>-1.1084058933179901</v>
      </c>
      <c r="AE4937">
        <v>-4.2451800000000004</v>
      </c>
      <c r="AF4937">
        <v>-13.293234193685301</v>
      </c>
      <c r="AG4937">
        <v>-1.1084058933179901</v>
      </c>
      <c r="AH4937">
        <v>46.5450959154348</v>
      </c>
      <c r="AI4937">
        <v>91.311731561849399</v>
      </c>
      <c r="AJ4937">
        <v>105.93929038089099</v>
      </c>
      <c r="AK4937">
        <v>48.418845429538401</v>
      </c>
      <c r="AL4937">
        <v>90.764793576616</v>
      </c>
      <c r="AM4937">
        <v>104.251999969336</v>
      </c>
      <c r="AN4937">
        <v>1.0000000275755001</v>
      </c>
    </row>
    <row r="4938" spans="1:40" x14ac:dyDescent="0.25">
      <c r="A4938" t="str">
        <f>"20190305135334945"</f>
        <v>20190305135334945</v>
      </c>
      <c r="B4938" t="str">
        <f>"1551765214935514"</f>
        <v>1551765214935514</v>
      </c>
      <c r="C4938" t="s">
        <v>40</v>
      </c>
      <c r="D4938">
        <v>4.9174100000000003</v>
      </c>
      <c r="E4938">
        <v>0.48846020000000001</v>
      </c>
      <c r="F4938" t="s">
        <v>42</v>
      </c>
      <c r="G4938">
        <v>-356.68020000000001</v>
      </c>
      <c r="H4938" s="1">
        <v>-1.5507780000000001E-6</v>
      </c>
      <c r="I4938">
        <v>18.802849999999999</v>
      </c>
      <c r="J4938">
        <v>-401.6635</v>
      </c>
      <c r="K4938">
        <v>1.1080559999999999</v>
      </c>
      <c r="L4938">
        <v>22.578700000000001</v>
      </c>
      <c r="M4938">
        <v>0.93286279999999999</v>
      </c>
      <c r="N4938">
        <v>-1.4455580000000001E-2</v>
      </c>
      <c r="O4938">
        <v>-0.35994199999999998</v>
      </c>
      <c r="P4938">
        <v>0.9928766</v>
      </c>
      <c r="Q4938">
        <v>-2.872866E-2</v>
      </c>
      <c r="R4938">
        <v>-0.1156335</v>
      </c>
      <c r="S4938">
        <v>2.989655</v>
      </c>
      <c r="T4938">
        <v>-7.3209049999999998E-2</v>
      </c>
      <c r="U4938">
        <v>-0.25665280000000001</v>
      </c>
      <c r="V4938">
        <v>-0.24959029999999999</v>
      </c>
      <c r="W4938">
        <v>-1.374888E-2</v>
      </c>
      <c r="X4938">
        <v>0.9682539</v>
      </c>
      <c r="Y4938">
        <v>-0.27871780000000002</v>
      </c>
      <c r="Z4938">
        <v>8.7311100000000003E-3</v>
      </c>
      <c r="AA4938">
        <v>0.96033329999999995</v>
      </c>
      <c r="AB4938">
        <v>30</v>
      </c>
      <c r="AC4938">
        <v>44.9832999999999</v>
      </c>
      <c r="AD4938">
        <v>-1.1080575507779999</v>
      </c>
      <c r="AE4938">
        <v>-3.7758500000000002</v>
      </c>
      <c r="AF4938">
        <v>-12.6627219544122</v>
      </c>
      <c r="AG4938">
        <v>-1.1080575507779999</v>
      </c>
      <c r="AH4938">
        <v>43.300767074940303</v>
      </c>
      <c r="AI4938">
        <v>91.406965101590004</v>
      </c>
      <c r="AJ4938">
        <v>106.300842976477</v>
      </c>
      <c r="AK4938">
        <v>45.127915397332799</v>
      </c>
      <c r="AL4938">
        <v>90.787777631533601</v>
      </c>
      <c r="AM4938">
        <v>104.45466584402099</v>
      </c>
      <c r="AN4938">
        <v>0.99999998221027697</v>
      </c>
    </row>
    <row r="4939" spans="1:40" x14ac:dyDescent="0.25">
      <c r="A4939" t="str">
        <f>"20190305135334966"</f>
        <v>20190305135334966</v>
      </c>
      <c r="B4939" t="str">
        <f>"1551765214955033"</f>
        <v>1551765214955033</v>
      </c>
      <c r="C4939" t="s">
        <v>40</v>
      </c>
      <c r="D4939">
        <v>4.6134909999999998</v>
      </c>
      <c r="E4939">
        <v>0.48848439999999999</v>
      </c>
      <c r="F4939" t="s">
        <v>42</v>
      </c>
      <c r="G4939">
        <v>-355.29140000000001</v>
      </c>
      <c r="H4939" s="1">
        <v>-2.1775520000000001E-6</v>
      </c>
      <c r="I4939">
        <v>18.628129999999999</v>
      </c>
      <c r="J4939">
        <v>-401.39359999999999</v>
      </c>
      <c r="K4939">
        <v>1.1077939999999999</v>
      </c>
      <c r="L4939">
        <v>22.47186</v>
      </c>
      <c r="M4939">
        <v>0.93196849999999998</v>
      </c>
      <c r="N4939">
        <v>-1.4441600000000001E-2</v>
      </c>
      <c r="O4939">
        <v>-0.36225180000000001</v>
      </c>
      <c r="P4939">
        <v>0.99273529999999999</v>
      </c>
      <c r="Q4939">
        <v>-2.8276389999999998E-2</v>
      </c>
      <c r="R4939">
        <v>-0.1169504</v>
      </c>
      <c r="S4939">
        <v>2.9897459999999998</v>
      </c>
      <c r="T4939">
        <v>-7.1439740000000002E-2</v>
      </c>
      <c r="U4939">
        <v>-0.25469969999999997</v>
      </c>
      <c r="V4939">
        <v>-0.25071450000000001</v>
      </c>
      <c r="W4939">
        <v>-1.3158039999999999E-2</v>
      </c>
      <c r="X4939">
        <v>0.96797160000000004</v>
      </c>
      <c r="Y4939">
        <v>-0.28172619999999998</v>
      </c>
      <c r="Z4939">
        <v>8.5179920000000003E-3</v>
      </c>
      <c r="AA4939">
        <v>0.959457</v>
      </c>
      <c r="AB4939">
        <v>30</v>
      </c>
      <c r="AC4939">
        <v>46.102199999999897</v>
      </c>
      <c r="AD4939">
        <v>-1.107796177552</v>
      </c>
      <c r="AE4939">
        <v>-3.8437299999999999</v>
      </c>
      <c r="AF4939">
        <v>-13.1122177368875</v>
      </c>
      <c r="AG4939">
        <v>-1.107796177552</v>
      </c>
      <c r="AH4939">
        <v>44.337394329383102</v>
      </c>
      <c r="AI4939">
        <v>91.3725320595304</v>
      </c>
      <c r="AJ4939">
        <v>106.474909420012</v>
      </c>
      <c r="AK4939">
        <v>46.248913525290099</v>
      </c>
      <c r="AL4939">
        <v>90.753921947475703</v>
      </c>
      <c r="AM4939">
        <v>104.52108200092501</v>
      </c>
      <c r="AN4939">
        <v>0.99999995646672402</v>
      </c>
    </row>
    <row r="4940" spans="1:40" x14ac:dyDescent="0.25">
      <c r="A4940" t="str">
        <f>"20190305135334989"</f>
        <v>20190305135334989</v>
      </c>
      <c r="B4940" t="str">
        <f>"1551765214985290"</f>
        <v>1551765214985290</v>
      </c>
      <c r="C4940" t="s">
        <v>40</v>
      </c>
      <c r="D4940">
        <v>4.6194309999999996</v>
      </c>
      <c r="E4940">
        <v>0.48878199999999999</v>
      </c>
      <c r="F4940" t="s">
        <v>42</v>
      </c>
      <c r="G4940">
        <v>-355.3492</v>
      </c>
      <c r="H4940" s="1">
        <v>-2.1784990000000002E-6</v>
      </c>
      <c r="I4940">
        <v>18.48291</v>
      </c>
      <c r="J4940">
        <v>-401.10809999999998</v>
      </c>
      <c r="K4940">
        <v>1.107602</v>
      </c>
      <c r="L4940">
        <v>22.357700000000001</v>
      </c>
      <c r="M4940">
        <v>0.93094739999999998</v>
      </c>
      <c r="N4940">
        <v>-1.442712E-2</v>
      </c>
      <c r="O4940">
        <v>-0.36486829999999998</v>
      </c>
      <c r="P4940">
        <v>0.99228419999999895</v>
      </c>
      <c r="Q4940">
        <v>-2.957357E-2</v>
      </c>
      <c r="R4940">
        <v>-0.1204049</v>
      </c>
      <c r="S4940">
        <v>2.9893800000000001</v>
      </c>
      <c r="T4940">
        <v>-7.1922420000000001E-2</v>
      </c>
      <c r="U4940">
        <v>-0.25897219999999999</v>
      </c>
      <c r="V4940">
        <v>-0.25006270000000003</v>
      </c>
      <c r="W4940">
        <v>-1.4364419999999999E-2</v>
      </c>
      <c r="X4940">
        <v>0.96812310000000001</v>
      </c>
      <c r="Y4940">
        <v>-0.2830474</v>
      </c>
      <c r="Z4940">
        <v>8.6455500000000001E-3</v>
      </c>
      <c r="AA4940">
        <v>0.95906690000000006</v>
      </c>
      <c r="AB4940">
        <v>30</v>
      </c>
      <c r="AC4940">
        <v>45.758899999999898</v>
      </c>
      <c r="AD4940">
        <v>-1.1076041784990001</v>
      </c>
      <c r="AE4940">
        <v>-3.87479</v>
      </c>
      <c r="AF4940">
        <v>-13.0824978561135</v>
      </c>
      <c r="AG4940">
        <v>-1.1076041784990001</v>
      </c>
      <c r="AH4940">
        <v>43.991905412835798</v>
      </c>
      <c r="AI4940">
        <v>91.382446820925907</v>
      </c>
      <c r="AJ4940">
        <v>106.561646386638</v>
      </c>
      <c r="AK4940">
        <v>45.909326710629699</v>
      </c>
      <c r="AL4940">
        <v>90.823048935776299</v>
      </c>
      <c r="AM4940">
        <v>104.482749168065</v>
      </c>
      <c r="AN4940">
        <v>1.00000001362341</v>
      </c>
    </row>
    <row r="4941" spans="1:40" x14ac:dyDescent="0.25">
      <c r="A4941" t="str">
        <f>"20190305135335012"</f>
        <v>20190305135335012</v>
      </c>
      <c r="B4941" t="str">
        <f>"1551765215004810"</f>
        <v>1551765215004810</v>
      </c>
      <c r="C4941" t="s">
        <v>40</v>
      </c>
      <c r="D4941">
        <v>4.6194280000000001</v>
      </c>
      <c r="E4941">
        <v>0.48892289999999999</v>
      </c>
      <c r="F4941" t="s">
        <v>42</v>
      </c>
      <c r="G4941">
        <v>-358.51060000000001</v>
      </c>
      <c r="H4941" s="1">
        <v>-8.223818E-7</v>
      </c>
      <c r="I4941">
        <v>18.48254</v>
      </c>
      <c r="J4941">
        <v>-400.8082</v>
      </c>
      <c r="K4941">
        <v>1.1074809999999999</v>
      </c>
      <c r="L4941">
        <v>22.236689999999999</v>
      </c>
      <c r="M4941">
        <v>0.92983039999999995</v>
      </c>
      <c r="N4941">
        <v>-1.441156E-2</v>
      </c>
      <c r="O4941">
        <v>-0.36770599999999998</v>
      </c>
      <c r="P4941">
        <v>0.99155610000000005</v>
      </c>
      <c r="Q4941">
        <v>-3.219764E-2</v>
      </c>
      <c r="R4941">
        <v>-0.12561710000000001</v>
      </c>
      <c r="S4941">
        <v>2.9880369999999998</v>
      </c>
      <c r="T4941">
        <v>-7.7693700000000004E-2</v>
      </c>
      <c r="U4941">
        <v>-0.27182009999999901</v>
      </c>
      <c r="V4941">
        <v>-0.24791659999999999</v>
      </c>
      <c r="W4941">
        <v>-1.694667E-2</v>
      </c>
      <c r="X4941">
        <v>0.96863319999999997</v>
      </c>
      <c r="Y4941">
        <v>-0.28182040000000003</v>
      </c>
      <c r="Z4941">
        <v>9.6118000000000002E-3</v>
      </c>
      <c r="AA4941">
        <v>0.95941900000000002</v>
      </c>
      <c r="AB4941">
        <v>30</v>
      </c>
      <c r="AC4941">
        <v>42.297599999999903</v>
      </c>
      <c r="AD4941">
        <v>-1.1074818223817999</v>
      </c>
      <c r="AE4941">
        <v>-3.7541499999999899</v>
      </c>
      <c r="AF4941">
        <v>-12.055411489157001</v>
      </c>
      <c r="AG4941">
        <v>-1.1074818223817999</v>
      </c>
      <c r="AH4941">
        <v>40.686571868137698</v>
      </c>
      <c r="AI4941">
        <v>91.494983352390705</v>
      </c>
      <c r="AJ4941">
        <v>106.504530887082</v>
      </c>
      <c r="AK4941">
        <v>42.449459272656703</v>
      </c>
      <c r="AL4941">
        <v>90.971019097728899</v>
      </c>
      <c r="AM4941">
        <v>104.35636660062301</v>
      </c>
      <c r="AN4941">
        <v>1.0000000531609401</v>
      </c>
    </row>
    <row r="4942" spans="1:40" x14ac:dyDescent="0.25">
      <c r="A4942" t="str">
        <f>"20190305135335035"</f>
        <v>20190305135335035</v>
      </c>
      <c r="B4942" t="str">
        <f>"1551765215025307"</f>
        <v>1551765215025307</v>
      </c>
      <c r="C4942" t="s">
        <v>40</v>
      </c>
      <c r="D4942">
        <v>4.6178540000000003</v>
      </c>
      <c r="E4942">
        <v>0.48909079999999999</v>
      </c>
      <c r="F4942" t="s">
        <v>86</v>
      </c>
      <c r="G4942">
        <v>-362.06099999999998</v>
      </c>
      <c r="H4942" s="1">
        <v>-3.952773E-6</v>
      </c>
      <c r="I4942">
        <v>18.49147</v>
      </c>
      <c r="J4942">
        <v>-400.52710000000002</v>
      </c>
      <c r="K4942">
        <v>1.107442</v>
      </c>
      <c r="L4942">
        <v>22.122340000000001</v>
      </c>
      <c r="M4942">
        <v>0.92878539999999998</v>
      </c>
      <c r="N4942">
        <v>-1.439706E-2</v>
      </c>
      <c r="O4942">
        <v>-0.37033840000000001</v>
      </c>
      <c r="P4942">
        <v>0.99079720000000004</v>
      </c>
      <c r="Q4942">
        <v>-3.5099770000000002E-2</v>
      </c>
      <c r="R4942">
        <v>-0.13072590000000001</v>
      </c>
      <c r="S4942">
        <v>2.986145</v>
      </c>
      <c r="T4942">
        <v>-8.5350990000000002E-2</v>
      </c>
      <c r="U4942">
        <v>-0.28863529999999998</v>
      </c>
      <c r="V4942">
        <v>-0.24564739999999999</v>
      </c>
      <c r="W4942">
        <v>-1.9855029999999999E-2</v>
      </c>
      <c r="X4942">
        <v>0.96915589999999996</v>
      </c>
      <c r="Y4942">
        <v>-0.27909289999999998</v>
      </c>
      <c r="Z4942">
        <v>1.086877E-2</v>
      </c>
      <c r="AA4942">
        <v>0.96020260000000002</v>
      </c>
      <c r="AB4942">
        <v>30</v>
      </c>
      <c r="AC4942">
        <v>38.466099999999997</v>
      </c>
      <c r="AD4942">
        <v>-1.1074459527730001</v>
      </c>
      <c r="AE4942">
        <v>-3.63086999999999</v>
      </c>
      <c r="AF4942">
        <v>-10.865374749250501</v>
      </c>
      <c r="AG4942">
        <v>-1.1074459527730001</v>
      </c>
      <c r="AH4942">
        <v>37.044808598436099</v>
      </c>
      <c r="AI4942">
        <v>91.643154587791798</v>
      </c>
      <c r="AJ4942">
        <v>106.346601524462</v>
      </c>
      <c r="AK4942">
        <v>38.621246083920298</v>
      </c>
      <c r="AL4942">
        <v>91.137684164814402</v>
      </c>
      <c r="AM4942">
        <v>104.222958894589</v>
      </c>
      <c r="AN4942">
        <v>1.0000000129239299</v>
      </c>
    </row>
    <row r="4943" spans="1:40" x14ac:dyDescent="0.25">
      <c r="A4943" t="str">
        <f>"20190305135335056"</f>
        <v>20190305135335056</v>
      </c>
      <c r="B4943" t="str">
        <f>"1551765215044830"</f>
        <v>1551765215044830</v>
      </c>
      <c r="C4943" t="s">
        <v>40</v>
      </c>
      <c r="D4943">
        <v>4.6321909999999997</v>
      </c>
      <c r="E4943">
        <v>0.48920390000000002</v>
      </c>
      <c r="F4943" t="s">
        <v>86</v>
      </c>
      <c r="G4943">
        <v>-365.38819999999998</v>
      </c>
      <c r="H4943" s="1">
        <v>-2.3737630000000001E-6</v>
      </c>
      <c r="I4943">
        <v>18.526450000000001</v>
      </c>
      <c r="J4943">
        <v>-400.2672</v>
      </c>
      <c r="K4943">
        <v>1.107478</v>
      </c>
      <c r="L4943">
        <v>22.015899999999998</v>
      </c>
      <c r="M4943">
        <v>0.92786380000000002</v>
      </c>
      <c r="N4943">
        <v>-1.438331E-2</v>
      </c>
      <c r="O4943">
        <v>-0.37264190000000003</v>
      </c>
      <c r="P4943">
        <v>0.99014809999999998</v>
      </c>
      <c r="Q4943">
        <v>-3.7017170000000002E-2</v>
      </c>
      <c r="R4943">
        <v>-0.13504179999999999</v>
      </c>
      <c r="S4943">
        <v>2.9842529999999998</v>
      </c>
      <c r="T4943">
        <v>-9.4052430000000006E-2</v>
      </c>
      <c r="U4943">
        <v>-0.30538939999999998</v>
      </c>
      <c r="V4943">
        <v>-0.24381059999999999</v>
      </c>
      <c r="W4943">
        <v>-2.182123E-2</v>
      </c>
      <c r="X4943">
        <v>0.96957740000000003</v>
      </c>
      <c r="Y4943">
        <v>-0.27603490000000003</v>
      </c>
      <c r="Z4943">
        <v>1.2294380000000001E-2</v>
      </c>
      <c r="AA4943">
        <v>0.96106899999999995</v>
      </c>
      <c r="AB4943">
        <v>30</v>
      </c>
      <c r="AC4943">
        <v>34.878999999999998</v>
      </c>
      <c r="AD4943">
        <v>-1.1074803737629999</v>
      </c>
      <c r="AE4943">
        <v>-3.4894499999999899</v>
      </c>
      <c r="AF4943">
        <v>-9.7509183188296102</v>
      </c>
      <c r="AG4943">
        <v>-1.1074803737629999</v>
      </c>
      <c r="AH4943">
        <v>33.633185051805597</v>
      </c>
      <c r="AI4943">
        <v>91.811426075237407</v>
      </c>
      <c r="AJ4943">
        <v>106.167907757574</v>
      </c>
      <c r="AK4943">
        <v>35.035668361938697</v>
      </c>
      <c r="AL4943">
        <v>91.250363557929802</v>
      </c>
      <c r="AM4943">
        <v>104.114984594058</v>
      </c>
      <c r="AN4943">
        <v>1.00000005467091</v>
      </c>
    </row>
    <row r="4944" spans="1:40" x14ac:dyDescent="0.25">
      <c r="A4944" t="str">
        <f>"20190305135335078"</f>
        <v>20190305135335078</v>
      </c>
      <c r="B4944" t="str">
        <f>"1551765215075082"</f>
        <v>1551765215075082</v>
      </c>
      <c r="C4944" t="s">
        <v>40</v>
      </c>
      <c r="D4944">
        <v>4.6399720000000002</v>
      </c>
      <c r="E4944">
        <v>0.48935459999999897</v>
      </c>
      <c r="F4944" t="s">
        <v>86</v>
      </c>
      <c r="G4944">
        <v>-367.14249999999998</v>
      </c>
      <c r="H4944" s="1">
        <v>-1.554519E-6</v>
      </c>
      <c r="I4944">
        <v>18.46997</v>
      </c>
      <c r="J4944">
        <v>-399.98829999999998</v>
      </c>
      <c r="K4944">
        <v>1.107629</v>
      </c>
      <c r="L4944">
        <v>21.901060000000001</v>
      </c>
      <c r="M4944">
        <v>0.92696690000000004</v>
      </c>
      <c r="N4944">
        <v>-1.4367700000000001E-2</v>
      </c>
      <c r="O4944">
        <v>-0.37486760000000002</v>
      </c>
      <c r="P4944">
        <v>0.98962439999999996</v>
      </c>
      <c r="Q4944">
        <v>-3.6278530000000003E-2</v>
      </c>
      <c r="R4944">
        <v>-0.139022799999999</v>
      </c>
      <c r="S4944">
        <v>2.9825439999999999</v>
      </c>
      <c r="T4944">
        <v>-9.9717500000000001E-2</v>
      </c>
      <c r="U4944">
        <v>-0.31927489999999997</v>
      </c>
      <c r="V4944">
        <v>-0.24223749999999999</v>
      </c>
      <c r="W4944">
        <v>-2.118606E-2</v>
      </c>
      <c r="X4944">
        <v>0.96998569999999995</v>
      </c>
      <c r="Y4944">
        <v>-0.27382869999999998</v>
      </c>
      <c r="Z4944">
        <v>1.3233719999999999E-2</v>
      </c>
      <c r="AA4944">
        <v>0.96168739999999997</v>
      </c>
      <c r="AB4944">
        <v>30</v>
      </c>
      <c r="AC4944">
        <v>32.845799999999997</v>
      </c>
      <c r="AD4944">
        <v>-1.1076305545189999</v>
      </c>
      <c r="AE4944">
        <v>-3.4310900000000002</v>
      </c>
      <c r="AF4944">
        <v>-9.1230005609617102</v>
      </c>
      <c r="AG4944">
        <v>-1.1076305545189999</v>
      </c>
      <c r="AH4944">
        <v>31.7007927371533</v>
      </c>
      <c r="AI4944">
        <v>91.923119056995702</v>
      </c>
      <c r="AJ4944">
        <v>106.05500463012901</v>
      </c>
      <c r="AK4944">
        <v>33.006003163736203</v>
      </c>
      <c r="AL4944">
        <v>91.213962579357002</v>
      </c>
      <c r="AM4944">
        <v>104.02184787305301</v>
      </c>
      <c r="AN4944">
        <v>1.00000005687453</v>
      </c>
    </row>
    <row r="4945" spans="1:40" x14ac:dyDescent="0.25">
      <c r="A4945" t="str">
        <f>"20190305135335101"</f>
        <v>20190305135335101</v>
      </c>
      <c r="B4945" t="str">
        <f>"1551765215095578"</f>
        <v>1551765215095578</v>
      </c>
      <c r="C4945" t="s">
        <v>40</v>
      </c>
      <c r="D4945">
        <v>4.6441999999999997</v>
      </c>
      <c r="E4945">
        <v>0.48933979999999999</v>
      </c>
      <c r="F4945" t="s">
        <v>86</v>
      </c>
      <c r="G4945">
        <v>-365.30529999999999</v>
      </c>
      <c r="H4945" s="1">
        <v>-2.5001999999999998E-6</v>
      </c>
      <c r="I4945">
        <v>18.034739999999999</v>
      </c>
      <c r="J4945">
        <v>-399.70859999999999</v>
      </c>
      <c r="K4945">
        <v>1.1078629999999901</v>
      </c>
      <c r="L4945">
        <v>21.78546</v>
      </c>
      <c r="M4945">
        <v>0.92620089999999999</v>
      </c>
      <c r="N4945">
        <v>-1.4351930000000001E-2</v>
      </c>
      <c r="O4945">
        <v>-0.37675740000000002</v>
      </c>
      <c r="P4945">
        <v>0.98921020000000004</v>
      </c>
      <c r="Q4945">
        <v>-3.558803E-2</v>
      </c>
      <c r="R4945">
        <v>-0.14211570000000001</v>
      </c>
      <c r="S4945">
        <v>2.9812319999999999</v>
      </c>
      <c r="T4945">
        <v>-9.5208290000000001E-2</v>
      </c>
      <c r="U4945">
        <v>-0.33233639999999998</v>
      </c>
      <c r="V4945">
        <v>-0.24117859999999999</v>
      </c>
      <c r="W4945">
        <v>-2.0651360000000001E-2</v>
      </c>
      <c r="X4945">
        <v>0.97026100000000004</v>
      </c>
      <c r="Y4945">
        <v>-0.2716075</v>
      </c>
      <c r="Z4945">
        <v>1.2457050000000001E-2</v>
      </c>
      <c r="AA4945">
        <v>0.9623275</v>
      </c>
      <c r="AB4945">
        <v>30</v>
      </c>
      <c r="AC4945">
        <v>34.403300000000002</v>
      </c>
      <c r="AD4945">
        <v>-1.10786550019999</v>
      </c>
      <c r="AE4945">
        <v>-3.7507199999999998</v>
      </c>
      <c r="AF4945">
        <v>-9.4790396539103803</v>
      </c>
      <c r="AG4945">
        <v>-1.10786550019999</v>
      </c>
      <c r="AH4945">
        <v>33.2468313528911</v>
      </c>
      <c r="AI4945">
        <v>91.835439440629003</v>
      </c>
      <c r="AJ4945">
        <v>105.913437517202</v>
      </c>
      <c r="AK4945">
        <v>34.589468827007401</v>
      </c>
      <c r="AL4945">
        <v>91.183319887185206</v>
      </c>
      <c r="AM4945">
        <v>103.959149965295</v>
      </c>
      <c r="AN4945">
        <v>1.0000000019444</v>
      </c>
    </row>
    <row r="4946" spans="1:40" x14ac:dyDescent="0.25">
      <c r="A4946" t="str">
        <f>"20190305135335113"</f>
        <v>20190305135335113</v>
      </c>
      <c r="B4946" t="str">
        <f>"1551765215105338"</f>
        <v>1551765215105338</v>
      </c>
      <c r="C4946" t="s">
        <v>40</v>
      </c>
      <c r="D4946">
        <v>4.6557849999999998</v>
      </c>
      <c r="E4946">
        <v>0.48935580000000001</v>
      </c>
      <c r="F4946" t="s">
        <v>86</v>
      </c>
      <c r="G4946">
        <v>-363.8349</v>
      </c>
      <c r="H4946" s="1">
        <v>-3.259161E-6</v>
      </c>
      <c r="I4946">
        <v>17.67464</v>
      </c>
      <c r="J4946">
        <v>-399.5566</v>
      </c>
      <c r="K4946">
        <v>1.108034</v>
      </c>
      <c r="L4946">
        <v>21.722629999999999</v>
      </c>
      <c r="M4946">
        <v>0.92586069999999998</v>
      </c>
      <c r="N4946">
        <v>-1.4343959999999999E-2</v>
      </c>
      <c r="O4946">
        <v>-0.37759239999999999</v>
      </c>
      <c r="P4946">
        <v>0.98901269999999997</v>
      </c>
      <c r="Q4946">
        <v>-3.5197350000000002E-2</v>
      </c>
      <c r="R4946">
        <v>-0.1435796</v>
      </c>
      <c r="S4946">
        <v>2.9803470000000001</v>
      </c>
      <c r="T4946">
        <v>-9.2040179999999999E-2</v>
      </c>
      <c r="U4946">
        <v>-0.3415222</v>
      </c>
      <c r="V4946">
        <v>-0.24061270000000001</v>
      </c>
      <c r="W4946">
        <v>-2.036551E-2</v>
      </c>
      <c r="X4946">
        <v>0.97040749999999998</v>
      </c>
      <c r="Y4946">
        <v>-0.26953310000000003</v>
      </c>
      <c r="Z4946">
        <v>1.1890970000000001E-2</v>
      </c>
      <c r="AA4946">
        <v>0.96291769999999999</v>
      </c>
      <c r="AB4946">
        <v>30</v>
      </c>
      <c r="AC4946">
        <v>35.721699999999998</v>
      </c>
      <c r="AD4946">
        <v>-1.1080372591609999</v>
      </c>
      <c r="AE4946">
        <v>-4.0479899999999898</v>
      </c>
      <c r="AF4946">
        <v>-9.7321256374124907</v>
      </c>
      <c r="AG4946">
        <v>-1.1080372591609999</v>
      </c>
      <c r="AH4946">
        <v>34.572529642155096</v>
      </c>
      <c r="AI4946">
        <v>91.767049766217298</v>
      </c>
      <c r="AJ4946">
        <v>105.72184725792501</v>
      </c>
      <c r="AK4946">
        <v>35.933296840782198</v>
      </c>
      <c r="AL4946">
        <v>91.166938479674101</v>
      </c>
      <c r="AM4946">
        <v>103.925652026354</v>
      </c>
      <c r="AN4946">
        <v>0.99999997072754898</v>
      </c>
    </row>
    <row r="4947" spans="1:40" x14ac:dyDescent="0.25">
      <c r="A4947" t="str">
        <f>"20190305135335122"</f>
        <v>20190305135335122</v>
      </c>
      <c r="B4947" t="str">
        <f>"1551765215115098"</f>
        <v>1551765215115098</v>
      </c>
      <c r="C4947" t="s">
        <v>40</v>
      </c>
      <c r="D4947">
        <v>4.6857139999999999</v>
      </c>
      <c r="E4947">
        <v>0.48932110000000001</v>
      </c>
      <c r="F4947" t="s">
        <v>86</v>
      </c>
      <c r="G4947">
        <v>-363.1148</v>
      </c>
      <c r="H4947" s="1">
        <v>-3.6320729999999998E-6</v>
      </c>
      <c r="I4947">
        <v>17.491199999999999</v>
      </c>
      <c r="J4947">
        <v>-399.42340000000002</v>
      </c>
      <c r="K4947">
        <v>1.10819</v>
      </c>
      <c r="L4947">
        <v>21.667449999999999</v>
      </c>
      <c r="M4947">
        <v>0.92559020000000003</v>
      </c>
      <c r="N4947">
        <v>-1.433737E-2</v>
      </c>
      <c r="O4947">
        <v>-0.37825619999999999</v>
      </c>
      <c r="P4947">
        <v>0.98890460000000002</v>
      </c>
      <c r="Q4947">
        <v>-3.5429820000000001E-2</v>
      </c>
      <c r="R4947">
        <v>-0.14426700000000001</v>
      </c>
      <c r="S4947">
        <v>2.979889</v>
      </c>
      <c r="T4947">
        <v>-9.0605500000000005E-2</v>
      </c>
      <c r="U4947">
        <v>-0.34600829999999999</v>
      </c>
      <c r="V4947">
        <v>-0.240624</v>
      </c>
      <c r="W4947">
        <v>-2.069638E-2</v>
      </c>
      <c r="X4947">
        <v>0.97039770000000003</v>
      </c>
      <c r="Y4947">
        <v>-0.26878380000000002</v>
      </c>
      <c r="Z4947">
        <v>1.1643580000000001E-2</v>
      </c>
      <c r="AA4947">
        <v>0.96313020000000005</v>
      </c>
      <c r="AB4947">
        <v>30</v>
      </c>
      <c r="AC4947">
        <v>36.308599999999998</v>
      </c>
      <c r="AD4947">
        <v>-1.1081936320729999</v>
      </c>
      <c r="AE4947">
        <v>-4.1762499999999996</v>
      </c>
      <c r="AF4947">
        <v>-9.8604031541082104</v>
      </c>
      <c r="AG4947">
        <v>-1.1081936320729999</v>
      </c>
      <c r="AH4947">
        <v>35.157860352787601</v>
      </c>
      <c r="AI4947">
        <v>91.738363584861006</v>
      </c>
      <c r="AJ4947">
        <v>105.666728282783</v>
      </c>
      <c r="AK4947">
        <v>36.531230311526997</v>
      </c>
      <c r="AL4947">
        <v>91.185899929108103</v>
      </c>
      <c r="AM4947">
        <v>103.926415734912</v>
      </c>
      <c r="AN4947">
        <v>0.99999997284319597</v>
      </c>
    </row>
    <row r="4948" spans="1:40" x14ac:dyDescent="0.25">
      <c r="A4948" t="str">
        <f>"20190305135335144"</f>
        <v>20190305135335144</v>
      </c>
      <c r="B4948" t="str">
        <f>"1551765215134618"</f>
        <v>1551765215134618</v>
      </c>
      <c r="C4948" t="s">
        <v>40</v>
      </c>
      <c r="D4948">
        <v>4.9160899999999996</v>
      </c>
      <c r="E4948">
        <v>0.489284</v>
      </c>
      <c r="F4948" t="s">
        <v>86</v>
      </c>
      <c r="G4948">
        <v>-363.15890000000002</v>
      </c>
      <c r="H4948" s="1">
        <v>-3.6213209999999999E-6</v>
      </c>
      <c r="I4948">
        <v>17.434349999999998</v>
      </c>
      <c r="J4948">
        <v>-399.16399999999999</v>
      </c>
      <c r="K4948">
        <v>1.1085339999999999</v>
      </c>
      <c r="L4948">
        <v>21.560089999999999</v>
      </c>
      <c r="M4948">
        <v>0.92521430000000005</v>
      </c>
      <c r="N4948">
        <v>-1.432608E-2</v>
      </c>
      <c r="O4948">
        <v>-0.37917479999999998</v>
      </c>
      <c r="P4948">
        <v>0.98880789999999996</v>
      </c>
      <c r="Q4948">
        <v>-3.6192759999999997E-2</v>
      </c>
      <c r="R4948">
        <v>-0.1447386</v>
      </c>
      <c r="S4948">
        <v>2.9796450000000001</v>
      </c>
      <c r="T4948">
        <v>-9.1053720000000005E-2</v>
      </c>
      <c r="U4948">
        <v>-0.34780879999999997</v>
      </c>
      <c r="V4948">
        <v>-0.24109839999999999</v>
      </c>
      <c r="W4948">
        <v>-2.1673680000000001E-2</v>
      </c>
      <c r="X4948">
        <v>0.97025870000000003</v>
      </c>
      <c r="Y4948">
        <v>-0.2691539</v>
      </c>
      <c r="Z4948">
        <v>1.1742519999999999E-2</v>
      </c>
      <c r="AA4948">
        <v>0.96302560000000004</v>
      </c>
      <c r="AB4948">
        <v>30</v>
      </c>
      <c r="AC4948">
        <v>36.005099999999899</v>
      </c>
      <c r="AD4948">
        <v>-1.1085376213210001</v>
      </c>
      <c r="AE4948">
        <v>-4.1257400000000004</v>
      </c>
      <c r="AF4948">
        <v>-9.8268466803154695</v>
      </c>
      <c r="AG4948">
        <v>-1.1085376213210001</v>
      </c>
      <c r="AH4948">
        <v>34.847780052032597</v>
      </c>
      <c r="AI4948">
        <v>91.753666053578101</v>
      </c>
      <c r="AJ4948">
        <v>105.748105720891</v>
      </c>
      <c r="AK4948">
        <v>36.223798059993001</v>
      </c>
      <c r="AL4948">
        <v>91.241907552286904</v>
      </c>
      <c r="AM4948">
        <v>103.954721296432</v>
      </c>
      <c r="AN4948">
        <v>1.00000006590649</v>
      </c>
    </row>
    <row r="4949" spans="1:40" x14ac:dyDescent="0.25">
      <c r="A4949" t="str">
        <f>"20190305135335158"</f>
        <v>20190305135335158</v>
      </c>
      <c r="B4949" t="str">
        <f>"1551765215155114"</f>
        <v>1551765215155114</v>
      </c>
      <c r="C4949" t="s">
        <v>40</v>
      </c>
      <c r="D4949">
        <v>4.6654580000000001</v>
      </c>
      <c r="E4949">
        <v>0.48925170000000001</v>
      </c>
      <c r="F4949" t="s">
        <v>86</v>
      </c>
      <c r="G4949">
        <v>-363.07479999999998</v>
      </c>
      <c r="H4949" s="1">
        <v>-3.678889E-6</v>
      </c>
      <c r="I4949">
        <v>17.333970000000001</v>
      </c>
      <c r="J4949">
        <v>-399.00319999999999</v>
      </c>
      <c r="K4949">
        <v>1.10877</v>
      </c>
      <c r="L4949">
        <v>21.493680000000001</v>
      </c>
      <c r="M4949">
        <v>0.92509839999999999</v>
      </c>
      <c r="N4949">
        <v>-1.432042E-2</v>
      </c>
      <c r="O4949">
        <v>-0.37945790000000001</v>
      </c>
      <c r="P4949">
        <v>0.9888538</v>
      </c>
      <c r="Q4949">
        <v>-3.6773090000000001E-2</v>
      </c>
      <c r="R4949">
        <v>-0.14427889999999999</v>
      </c>
      <c r="S4949">
        <v>2.9795229999999999</v>
      </c>
      <c r="T4949">
        <v>-9.1520790000000005E-2</v>
      </c>
      <c r="U4949">
        <v>-0.34890749999999998</v>
      </c>
      <c r="V4949">
        <v>-0.24182590000000001</v>
      </c>
      <c r="W4949">
        <v>-2.2400529999999998E-2</v>
      </c>
      <c r="X4949">
        <v>0.97006110000000001</v>
      </c>
      <c r="Y4949">
        <v>-0.26909129999999998</v>
      </c>
      <c r="Z4949">
        <v>1.182515E-2</v>
      </c>
      <c r="AA4949">
        <v>0.96304210000000001</v>
      </c>
      <c r="AB4949">
        <v>30</v>
      </c>
      <c r="AC4949">
        <v>35.928400000000003</v>
      </c>
      <c r="AD4949">
        <v>-1.1087736788889999</v>
      </c>
      <c r="AE4949">
        <v>-4.1597099999999898</v>
      </c>
      <c r="AF4949">
        <v>-9.7769873433939392</v>
      </c>
      <c r="AG4949">
        <v>-1.1087736788889999</v>
      </c>
      <c r="AH4949">
        <v>34.7866114460302</v>
      </c>
      <c r="AI4949">
        <v>91.757551069966595</v>
      </c>
      <c r="AJ4949">
        <v>105.698338974037</v>
      </c>
      <c r="AK4949">
        <v>36.151448055105099</v>
      </c>
      <c r="AL4949">
        <v>91.283563132218404</v>
      </c>
      <c r="AM4949">
        <v>103.997914891036</v>
      </c>
      <c r="AN4949">
        <v>1.0000000436941401</v>
      </c>
    </row>
    <row r="4950" spans="1:40" x14ac:dyDescent="0.25">
      <c r="A4950" t="str">
        <f>"20190305135335169"</f>
        <v>20190305135335169</v>
      </c>
      <c r="B4950" t="str">
        <f>"1551765215164874"</f>
        <v>1551765215164874</v>
      </c>
      <c r="C4950" t="s">
        <v>40</v>
      </c>
      <c r="D4950">
        <v>4.6886729999999996</v>
      </c>
      <c r="E4950">
        <v>0.48919760000000001</v>
      </c>
      <c r="F4950" t="s">
        <v>86</v>
      </c>
      <c r="G4950">
        <v>-362.92230000000001</v>
      </c>
      <c r="H4950" s="1">
        <v>-3.758965E-6</v>
      </c>
      <c r="I4950">
        <v>17.28884</v>
      </c>
      <c r="J4950">
        <v>-398.85579999999999</v>
      </c>
      <c r="K4950">
        <v>1.1089960000000001</v>
      </c>
      <c r="L4950">
        <v>21.432919999999999</v>
      </c>
      <c r="M4950">
        <v>0.92503769999999996</v>
      </c>
      <c r="N4950">
        <v>-1.431588E-2</v>
      </c>
      <c r="O4950">
        <v>-0.37960579999999999</v>
      </c>
      <c r="P4950">
        <v>0.98893249999999999</v>
      </c>
      <c r="Q4950">
        <v>-3.685389E-2</v>
      </c>
      <c r="R4950">
        <v>-0.14371639999999999</v>
      </c>
      <c r="S4950">
        <v>2.9797669999999998</v>
      </c>
      <c r="T4950">
        <v>-9.1568949999999996E-2</v>
      </c>
      <c r="U4950">
        <v>-0.3472595</v>
      </c>
      <c r="V4950">
        <v>-0.2425194</v>
      </c>
      <c r="W4950">
        <v>-2.2619719999999999E-2</v>
      </c>
      <c r="X4950">
        <v>0.96988280000000004</v>
      </c>
      <c r="Y4950">
        <v>-0.26977899999999999</v>
      </c>
      <c r="Z4950">
        <v>1.185128E-2</v>
      </c>
      <c r="AA4950">
        <v>0.96284930000000002</v>
      </c>
      <c r="AB4950">
        <v>30</v>
      </c>
      <c r="AC4950">
        <v>35.933499999999903</v>
      </c>
      <c r="AD4950">
        <v>-1.10899975896499</v>
      </c>
      <c r="AE4950">
        <v>-4.1440799999999998</v>
      </c>
      <c r="AF4950">
        <v>-9.7989277013612597</v>
      </c>
      <c r="AG4950">
        <v>-1.10899975896499</v>
      </c>
      <c r="AH4950">
        <v>34.7838258415239</v>
      </c>
      <c r="AI4950">
        <v>91.757750662160007</v>
      </c>
      <c r="AJ4950">
        <v>105.733022538144</v>
      </c>
      <c r="AK4950">
        <v>36.154714834103601</v>
      </c>
      <c r="AL4950">
        <v>91.296125061203199</v>
      </c>
      <c r="AM4950">
        <v>104.03895115371699</v>
      </c>
      <c r="AN4950">
        <v>0.99999997842253896</v>
      </c>
    </row>
    <row r="4951" spans="1:40" x14ac:dyDescent="0.25">
      <c r="A4951" t="str">
        <f>"20190305135335190"</f>
        <v>20190305135335190</v>
      </c>
      <c r="B4951" t="str">
        <f>"1551765215185370"</f>
        <v>1551765215185370</v>
      </c>
      <c r="C4951" t="s">
        <v>40</v>
      </c>
      <c r="D4951">
        <v>4.6662520000000001</v>
      </c>
      <c r="E4951">
        <v>0.48918729999999999</v>
      </c>
      <c r="F4951" t="s">
        <v>86</v>
      </c>
      <c r="G4951">
        <v>-362.7072</v>
      </c>
      <c r="H4951" s="1">
        <v>-3.8681000000000003E-6</v>
      </c>
      <c r="I4951">
        <v>17.246779999999902</v>
      </c>
      <c r="J4951">
        <v>-398.59870000000001</v>
      </c>
      <c r="K4951">
        <v>1.1094139999999999</v>
      </c>
      <c r="L4951">
        <v>21.327300000000001</v>
      </c>
      <c r="M4951">
        <v>0.92510440000000005</v>
      </c>
      <c r="N4951">
        <v>-1.431019E-2</v>
      </c>
      <c r="O4951">
        <v>-0.37944299999999997</v>
      </c>
      <c r="P4951">
        <v>0.98932050000000005</v>
      </c>
      <c r="Q4951">
        <v>-3.607453E-2</v>
      </c>
      <c r="R4951">
        <v>-0.14122219999999999</v>
      </c>
      <c r="S4951">
        <v>2.9799799999999999</v>
      </c>
      <c r="T4951">
        <v>-9.1422680000000006E-2</v>
      </c>
      <c r="U4951">
        <v>-0.34509279999999998</v>
      </c>
      <c r="V4951">
        <v>-0.24478040000000001</v>
      </c>
      <c r="W4951">
        <v>-2.209676E-2</v>
      </c>
      <c r="X4951">
        <v>0.96932669999999999</v>
      </c>
      <c r="Y4951">
        <v>-0.27030870000000001</v>
      </c>
      <c r="Z4951">
        <v>1.183761E-2</v>
      </c>
      <c r="AA4951">
        <v>0.96270089999999997</v>
      </c>
      <c r="AB4951">
        <v>30</v>
      </c>
      <c r="AC4951">
        <v>35.891500000000001</v>
      </c>
      <c r="AD4951">
        <v>-1.1094178681</v>
      </c>
      <c r="AE4951">
        <v>-4.0805199999999999</v>
      </c>
      <c r="AF4951">
        <v>-9.8356023941162203</v>
      </c>
      <c r="AG4951">
        <v>-1.1094178681</v>
      </c>
      <c r="AH4951">
        <v>34.722517244276901</v>
      </c>
      <c r="AI4951">
        <v>91.760800408604396</v>
      </c>
      <c r="AJ4951">
        <v>105.815460471547</v>
      </c>
      <c r="AK4951">
        <v>36.105720962754802</v>
      </c>
      <c r="AL4951">
        <v>91.266154163843495</v>
      </c>
      <c r="AM4951">
        <v>104.17238939286101</v>
      </c>
      <c r="AN4951">
        <v>0.99999998117977296</v>
      </c>
    </row>
    <row r="4952" spans="1:40" x14ac:dyDescent="0.25">
      <c r="A4952" t="str">
        <f>"20190305135335201"</f>
        <v>20190305135335201</v>
      </c>
      <c r="B4952" t="str">
        <f>"1551765215195131"</f>
        <v>1551765215195131</v>
      </c>
      <c r="C4952" t="s">
        <v>40</v>
      </c>
      <c r="D4952">
        <v>4.6685349999999897</v>
      </c>
      <c r="E4952">
        <v>0.48914229999999997</v>
      </c>
      <c r="F4952" t="s">
        <v>86</v>
      </c>
      <c r="G4952">
        <v>-361.26240000000001</v>
      </c>
      <c r="H4952" s="1">
        <v>-4.5771510000000001E-6</v>
      </c>
      <c r="I4952">
        <v>17.099869999999999</v>
      </c>
      <c r="J4952">
        <v>-398.44909999999999</v>
      </c>
      <c r="K4952">
        <v>1.1096649999999999</v>
      </c>
      <c r="L4952">
        <v>21.266169999999999</v>
      </c>
      <c r="M4952">
        <v>0.92522669999999996</v>
      </c>
      <c r="N4952">
        <v>-1.430819E-2</v>
      </c>
      <c r="O4952">
        <v>-0.3791448</v>
      </c>
      <c r="P4952">
        <v>0.98952850000000003</v>
      </c>
      <c r="Q4952">
        <v>-3.527843E-2</v>
      </c>
      <c r="R4952">
        <v>-0.13996040000000001</v>
      </c>
      <c r="S4952">
        <v>2.980988</v>
      </c>
      <c r="T4952">
        <v>-8.8577749999999997E-2</v>
      </c>
      <c r="U4952">
        <v>-0.3375244</v>
      </c>
      <c r="V4952">
        <v>-0.24570120000000001</v>
      </c>
      <c r="W4952">
        <v>-2.1451459999999999E-2</v>
      </c>
      <c r="X4952">
        <v>0.96910819999999998</v>
      </c>
      <c r="Y4952">
        <v>-0.2724606</v>
      </c>
      <c r="Z4952">
        <v>1.1399400000000001E-2</v>
      </c>
      <c r="AA4952">
        <v>0.96209940000000005</v>
      </c>
      <c r="AB4952">
        <v>30</v>
      </c>
      <c r="AC4952">
        <v>37.186699999999902</v>
      </c>
      <c r="AD4952">
        <v>-1.1096695771509999</v>
      </c>
      <c r="AE4952">
        <v>-4.1662999999999997</v>
      </c>
      <c r="AF4952">
        <v>-10.236418911661101</v>
      </c>
      <c r="AG4952">
        <v>-1.1096695771509999</v>
      </c>
      <c r="AH4952">
        <v>35.957821849370603</v>
      </c>
      <c r="AI4952">
        <v>91.700098945764196</v>
      </c>
      <c r="AJ4952">
        <v>105.890513889765</v>
      </c>
      <c r="AK4952">
        <v>37.4029489593607</v>
      </c>
      <c r="AL4952">
        <v>91.229172436955395</v>
      </c>
      <c r="AM4952">
        <v>104.226619250399</v>
      </c>
      <c r="AN4952">
        <v>0.99999997406240504</v>
      </c>
    </row>
    <row r="4953" spans="1:40" x14ac:dyDescent="0.25">
      <c r="A4953" t="str">
        <f>"20190305135335215"</f>
        <v>20190305135335215</v>
      </c>
      <c r="B4953" t="str">
        <f>"1551765215204889"</f>
        <v>1551765215204889</v>
      </c>
      <c r="C4953" t="s">
        <v>40</v>
      </c>
      <c r="D4953">
        <v>4.6781290000000002</v>
      </c>
      <c r="E4953">
        <v>0.48904910000000001</v>
      </c>
      <c r="F4953" t="s">
        <v>42</v>
      </c>
      <c r="G4953">
        <v>-359.86739999999998</v>
      </c>
      <c r="H4953" s="1">
        <v>-7.4001619999999895E-7</v>
      </c>
      <c r="I4953">
        <v>16.952169999999999</v>
      </c>
      <c r="J4953">
        <v>-398.28750000000002</v>
      </c>
      <c r="K4953">
        <v>1.1099300000000001</v>
      </c>
      <c r="L4953">
        <v>21.200379999999999</v>
      </c>
      <c r="M4953">
        <v>0.92544669999999896</v>
      </c>
      <c r="N4953">
        <v>-1.4307159999999999E-2</v>
      </c>
      <c r="O4953">
        <v>-0.37860769999999999</v>
      </c>
      <c r="P4953">
        <v>0.9897975</v>
      </c>
      <c r="Q4953">
        <v>-3.3942729999999997E-2</v>
      </c>
      <c r="R4953">
        <v>-0.13838049999999999</v>
      </c>
      <c r="S4953">
        <v>2.9815369999999999</v>
      </c>
      <c r="T4953">
        <v>-8.5753319999999994E-2</v>
      </c>
      <c r="U4953">
        <v>-0.333374</v>
      </c>
      <c r="V4953">
        <v>-0.24669099999999999</v>
      </c>
      <c r="W4953">
        <v>-2.0275709999999999E-2</v>
      </c>
      <c r="X4953">
        <v>0.96888209999999997</v>
      </c>
      <c r="Y4953">
        <v>-0.2732579</v>
      </c>
      <c r="Z4953">
        <v>1.0931980000000001E-2</v>
      </c>
      <c r="AA4953">
        <v>0.96187869999999998</v>
      </c>
      <c r="AB4953">
        <v>30</v>
      </c>
      <c r="AC4953">
        <v>38.420099999999998</v>
      </c>
      <c r="AD4953">
        <v>-1.1099307400162</v>
      </c>
      <c r="AE4953">
        <v>-4.2482099999999896</v>
      </c>
      <c r="AF4953">
        <v>-10.606994296808899</v>
      </c>
      <c r="AG4953">
        <v>-1.1099307400162</v>
      </c>
      <c r="AH4953">
        <v>37.1373423338881</v>
      </c>
      <c r="AI4953">
        <v>91.646112951898303</v>
      </c>
      <c r="AJ4953">
        <v>105.94015393978999</v>
      </c>
      <c r="AK4953">
        <v>38.638354906550603</v>
      </c>
      <c r="AL4953">
        <v>91.161792176808504</v>
      </c>
      <c r="AM4953">
        <v>104.28478700085</v>
      </c>
      <c r="AN4953">
        <v>1.0000000387987</v>
      </c>
    </row>
    <row r="4954" spans="1:40" x14ac:dyDescent="0.25">
      <c r="A4954" t="str">
        <f>"20190305135335237"</f>
        <v>20190305135335237</v>
      </c>
      <c r="B4954" t="str">
        <f>"1551765215225386"</f>
        <v>1551765215225386</v>
      </c>
      <c r="C4954" t="s">
        <v>40</v>
      </c>
      <c r="D4954">
        <v>4.7020869999999997</v>
      </c>
      <c r="E4954">
        <v>0.48887730000000001</v>
      </c>
      <c r="F4954" t="s">
        <v>42</v>
      </c>
      <c r="G4954">
        <v>-357.83940000000001</v>
      </c>
      <c r="H4954" s="1">
        <v>-1.4832919999999901E-6</v>
      </c>
      <c r="I4954">
        <v>16.752469999999999</v>
      </c>
      <c r="J4954">
        <v>-398.03179999999998</v>
      </c>
      <c r="K4954">
        <v>1.1103540000000001</v>
      </c>
      <c r="L4954">
        <v>21.096920000000001</v>
      </c>
      <c r="M4954">
        <v>0.92593899999999996</v>
      </c>
      <c r="N4954">
        <v>-1.4306579999999999E-2</v>
      </c>
      <c r="O4954">
        <v>-0.37740190000000001</v>
      </c>
      <c r="P4954">
        <v>0.99024299999999998</v>
      </c>
      <c r="Q4954">
        <v>-3.0488890000000001E-2</v>
      </c>
      <c r="R4954">
        <v>-0.13597529999999999</v>
      </c>
      <c r="S4954">
        <v>2.9822690000000001</v>
      </c>
      <c r="T4954">
        <v>-8.1836220000000001E-2</v>
      </c>
      <c r="U4954">
        <v>-0.32794190000000001</v>
      </c>
      <c r="V4954">
        <v>-0.2478098</v>
      </c>
      <c r="W4954">
        <v>-1.7078840000000001E-2</v>
      </c>
      <c r="X4954">
        <v>0.96865809999999997</v>
      </c>
      <c r="Y4954">
        <v>-0.27377990000000002</v>
      </c>
      <c r="Z4954">
        <v>1.026705E-2</v>
      </c>
      <c r="AA4954">
        <v>0.96173759999999997</v>
      </c>
      <c r="AB4954">
        <v>30</v>
      </c>
      <c r="AC4954">
        <v>40.1923999999999</v>
      </c>
      <c r="AD4954">
        <v>-1.110355483292</v>
      </c>
      <c r="AE4954">
        <v>-4.3444499999999904</v>
      </c>
      <c r="AF4954">
        <v>-11.138730957482201</v>
      </c>
      <c r="AG4954">
        <v>-1.110355483292</v>
      </c>
      <c r="AH4954">
        <v>38.830000579785498</v>
      </c>
      <c r="AI4954">
        <v>91.574477698447097</v>
      </c>
      <c r="AJ4954">
        <v>106.006009163833</v>
      </c>
      <c r="AK4954">
        <v>40.411299925498497</v>
      </c>
      <c r="AL4954">
        <v>90.978593078379902</v>
      </c>
      <c r="AM4954">
        <v>104.350083838374</v>
      </c>
      <c r="AN4954">
        <v>0.99999994922369595</v>
      </c>
    </row>
    <row r="4955" spans="1:40" x14ac:dyDescent="0.25">
      <c r="A4955" t="str">
        <f>"20190305135335250"</f>
        <v>20190305135335250</v>
      </c>
      <c r="B4955" t="str">
        <f>"1551765215244906"</f>
        <v>1551765215244906</v>
      </c>
      <c r="C4955" t="s">
        <v>40</v>
      </c>
      <c r="D4955">
        <v>4.8751740000000003</v>
      </c>
      <c r="E4955">
        <v>0.48875990000000002</v>
      </c>
      <c r="F4955" t="s">
        <v>42</v>
      </c>
      <c r="G4955">
        <v>-351.62079999999997</v>
      </c>
      <c r="H4955" s="1">
        <v>-4.1956640000000002E-6</v>
      </c>
      <c r="I4955">
        <v>16.128209999999999</v>
      </c>
      <c r="J4955">
        <v>-397.85640000000001</v>
      </c>
      <c r="K4955">
        <v>1.1106549999999999</v>
      </c>
      <c r="L4955">
        <v>21.026489999999999</v>
      </c>
      <c r="M4955">
        <v>0.92639050000000001</v>
      </c>
      <c r="N4955">
        <v>-1.4307520000000001E-2</v>
      </c>
      <c r="O4955">
        <v>-0.37629240000000003</v>
      </c>
      <c r="P4955">
        <v>0.99042220000000003</v>
      </c>
      <c r="Q4955">
        <v>-2.9938309999999999E-2</v>
      </c>
      <c r="R4955">
        <v>-0.13478689999999999</v>
      </c>
      <c r="S4955">
        <v>2.9834290000000001</v>
      </c>
      <c r="T4955">
        <v>-7.1377040000000003E-2</v>
      </c>
      <c r="U4955">
        <v>-0.31939699999999999</v>
      </c>
      <c r="V4955">
        <v>-0.24780720000000001</v>
      </c>
      <c r="W4955">
        <v>-1.6706840000000001E-2</v>
      </c>
      <c r="X4955">
        <v>0.96866529999999995</v>
      </c>
      <c r="Y4955">
        <v>-0.27543379999999901</v>
      </c>
      <c r="Z4955">
        <v>8.5231419999999992E-3</v>
      </c>
      <c r="AA4955">
        <v>0.96128230000000003</v>
      </c>
      <c r="AB4955">
        <v>30</v>
      </c>
      <c r="AC4955">
        <v>46.235599999999998</v>
      </c>
      <c r="AD4955">
        <v>-1.110659195664</v>
      </c>
      <c r="AE4955">
        <v>-4.8982799999999997</v>
      </c>
      <c r="AF4955">
        <v>-12.8543659064577</v>
      </c>
      <c r="AG4955">
        <v>-1.110659195664</v>
      </c>
      <c r="AH4955">
        <v>44.654497129814899</v>
      </c>
      <c r="AI4955">
        <v>91.369204803222203</v>
      </c>
      <c r="AJ4955">
        <v>106.059138207923</v>
      </c>
      <c r="AK4955">
        <v>46.481097239874501</v>
      </c>
      <c r="AL4955">
        <v>90.957275961405102</v>
      </c>
      <c r="AM4955">
        <v>104.349837239045</v>
      </c>
      <c r="AN4955">
        <v>0.999999995149357</v>
      </c>
    </row>
    <row r="4956" spans="1:40" x14ac:dyDescent="0.25">
      <c r="A4956" t="str">
        <f>"20190305135335268"</f>
        <v>20190305135335268</v>
      </c>
      <c r="B4956" t="str">
        <f>"1551765215254666"</f>
        <v>1551765215254666</v>
      </c>
      <c r="C4956" t="s">
        <v>40</v>
      </c>
      <c r="D4956">
        <v>4.7007440000000003</v>
      </c>
      <c r="E4956">
        <v>0.48876380000000003</v>
      </c>
      <c r="F4956" t="s">
        <v>42</v>
      </c>
      <c r="G4956">
        <v>-349.9599</v>
      </c>
      <c r="H4956" s="1">
        <v>-4.9359170000000003E-6</v>
      </c>
      <c r="I4956">
        <v>15.97195</v>
      </c>
      <c r="J4956">
        <v>-397.63560000000001</v>
      </c>
      <c r="K4956">
        <v>1.1110279999999999</v>
      </c>
      <c r="L4956">
        <v>20.938510000000001</v>
      </c>
      <c r="M4956">
        <v>0.92709039999999998</v>
      </c>
      <c r="N4956">
        <v>-1.431144E-2</v>
      </c>
      <c r="O4956">
        <v>-0.37456460000000003</v>
      </c>
      <c r="P4956">
        <v>0.99075849999999999</v>
      </c>
      <c r="Q4956">
        <v>-3.1535609999999999E-2</v>
      </c>
      <c r="R4956">
        <v>-0.13192100000000001</v>
      </c>
      <c r="S4956">
        <v>2.9841310000000001</v>
      </c>
      <c r="T4956">
        <v>-6.9198250000000003E-2</v>
      </c>
      <c r="U4956">
        <v>-0.31491089999999999</v>
      </c>
      <c r="V4956">
        <v>-0.24876300000000001</v>
      </c>
      <c r="W4956">
        <v>-1.8539529999999999E-2</v>
      </c>
      <c r="X4956">
        <v>0.96838690000000005</v>
      </c>
      <c r="Y4956">
        <v>-0.27510279999999998</v>
      </c>
      <c r="Z4956">
        <v>8.1361660000000002E-3</v>
      </c>
      <c r="AA4956">
        <v>0.96138040000000002</v>
      </c>
      <c r="AB4956">
        <v>30</v>
      </c>
      <c r="AC4956">
        <v>47.675699999999999</v>
      </c>
      <c r="AD4956">
        <v>-1.1110329359169999</v>
      </c>
      <c r="AE4956">
        <v>-4.9665600000000003</v>
      </c>
      <c r="AF4956">
        <v>-13.247419305728201</v>
      </c>
      <c r="AG4956">
        <v>-1.1110329359169999</v>
      </c>
      <c r="AH4956">
        <v>46.039962751755802</v>
      </c>
      <c r="AI4956">
        <v>91.3285077141513</v>
      </c>
      <c r="AJ4956">
        <v>106.05250622154099</v>
      </c>
      <c r="AK4956">
        <v>47.920837666192099</v>
      </c>
      <c r="AL4956">
        <v>91.062297719437197</v>
      </c>
      <c r="AM4956">
        <v>104.406855129864</v>
      </c>
      <c r="AN4956">
        <v>0.99999996621661402</v>
      </c>
    </row>
    <row r="4957" spans="1:40" x14ac:dyDescent="0.25">
      <c r="A4957" t="str">
        <f>"20190305135335281"</f>
        <v>20190305135335281</v>
      </c>
      <c r="B4957" t="str">
        <f>"1551765215275162"</f>
        <v>1551765215275162</v>
      </c>
      <c r="C4957" t="s">
        <v>40</v>
      </c>
      <c r="D4957">
        <v>4.7062239999999997</v>
      </c>
      <c r="E4957">
        <v>0.48861959999999999</v>
      </c>
      <c r="F4957" t="s">
        <v>42</v>
      </c>
      <c r="G4957">
        <v>-352.29919999999998</v>
      </c>
      <c r="H4957" s="1">
        <v>-3.8768099999999997E-6</v>
      </c>
      <c r="I4957">
        <v>16.2851</v>
      </c>
      <c r="J4957">
        <v>-397.48579999999998</v>
      </c>
      <c r="K4957">
        <v>1.1112850000000001</v>
      </c>
      <c r="L4957">
        <v>20.879460000000002</v>
      </c>
      <c r="M4957">
        <v>0.92765129999999996</v>
      </c>
      <c r="N4957">
        <v>-1.431634E-2</v>
      </c>
      <c r="O4957">
        <v>-0.37317299999999998</v>
      </c>
      <c r="P4957">
        <v>0.99104429999999999</v>
      </c>
      <c r="Q4957">
        <v>-3.2809249999999998E-2</v>
      </c>
      <c r="R4957">
        <v>-0.129442</v>
      </c>
      <c r="S4957">
        <v>2.9848629999999998</v>
      </c>
      <c r="T4957">
        <v>-7.3148370000000004E-2</v>
      </c>
      <c r="U4957">
        <v>-0.30636600000000003</v>
      </c>
      <c r="V4957">
        <v>-0.2496998</v>
      </c>
      <c r="W4957">
        <v>-1.9976170000000001E-2</v>
      </c>
      <c r="X4957">
        <v>0.96811720000000001</v>
      </c>
      <c r="Y4957">
        <v>-0.27639170000000002</v>
      </c>
      <c r="Z4957">
        <v>8.8132809999999992E-3</v>
      </c>
      <c r="AA4957">
        <v>0.96100469999999905</v>
      </c>
      <c r="AB4957">
        <v>30</v>
      </c>
      <c r="AC4957">
        <v>45.186599999999999</v>
      </c>
      <c r="AD4957">
        <v>-1.11128887681</v>
      </c>
      <c r="AE4957">
        <v>-4.59436</v>
      </c>
      <c r="AF4957">
        <v>-12.5942072245287</v>
      </c>
      <c r="AG4957">
        <v>-1.11128887681</v>
      </c>
      <c r="AH4957">
        <v>43.610264823283899</v>
      </c>
      <c r="AI4957">
        <v>91.402425458238397</v>
      </c>
      <c r="AJ4957">
        <v>106.10818721570899</v>
      </c>
      <c r="AK4957">
        <v>45.405993178643797</v>
      </c>
      <c r="AL4957">
        <v>91.144626395511494</v>
      </c>
      <c r="AM4957">
        <v>104.462697796889</v>
      </c>
      <c r="AN4957">
        <v>0.999999975211874</v>
      </c>
    </row>
    <row r="4958" spans="1:40" x14ac:dyDescent="0.25">
      <c r="A4958" t="str">
        <f>"20190305135335292"</f>
        <v>20190305135335292</v>
      </c>
      <c r="B4958" t="str">
        <f>"1551765215284923"</f>
        <v>1551765215284923</v>
      </c>
      <c r="C4958" t="s">
        <v>40</v>
      </c>
      <c r="D4958">
        <v>4.9405910000000004</v>
      </c>
      <c r="E4958">
        <v>0.48874859999999998</v>
      </c>
      <c r="F4958" t="s">
        <v>42</v>
      </c>
      <c r="G4958">
        <v>-354.26639999999998</v>
      </c>
      <c r="H4958" s="1">
        <v>-2.9823659999999999E-6</v>
      </c>
      <c r="I4958">
        <v>16.57001</v>
      </c>
      <c r="J4958">
        <v>-397.3381</v>
      </c>
      <c r="K4958">
        <v>1.1115360000000001</v>
      </c>
      <c r="L4958">
        <v>20.821619999999999</v>
      </c>
      <c r="M4958">
        <v>0.92826310000000001</v>
      </c>
      <c r="N4958">
        <v>-1.4322400000000001E-2</v>
      </c>
      <c r="O4958">
        <v>-0.37164829999999999</v>
      </c>
      <c r="P4958">
        <v>0.99132430000000005</v>
      </c>
      <c r="Q4958">
        <v>-3.3588140000000002E-2</v>
      </c>
      <c r="R4958">
        <v>-0.12707460000000001</v>
      </c>
      <c r="S4958">
        <v>2.985687</v>
      </c>
      <c r="T4958">
        <v>-7.6770069999999996E-2</v>
      </c>
      <c r="U4958">
        <v>-0.29769899999999999</v>
      </c>
      <c r="V4958">
        <v>-0.25039479999999997</v>
      </c>
      <c r="W4958">
        <v>-2.0910620000000001E-2</v>
      </c>
      <c r="X4958">
        <v>0.96791799999999995</v>
      </c>
      <c r="Y4958">
        <v>-0.27758529999999998</v>
      </c>
      <c r="Z4958">
        <v>9.4298400000000001E-3</v>
      </c>
      <c r="AA4958">
        <v>0.96065469999999997</v>
      </c>
      <c r="AB4958">
        <v>30</v>
      </c>
      <c r="AC4958">
        <v>43.0717</v>
      </c>
      <c r="AD4958">
        <v>-1.111538982366</v>
      </c>
      <c r="AE4958">
        <v>-4.2516100000000003</v>
      </c>
      <c r="AF4958">
        <v>-12.0541983273051</v>
      </c>
      <c r="AG4958">
        <v>-1.111538982366</v>
      </c>
      <c r="AH4958">
        <v>41.538840088493401</v>
      </c>
      <c r="AI4958">
        <v>91.472110856813401</v>
      </c>
      <c r="AJ4958">
        <v>106.182254039144</v>
      </c>
      <c r="AK4958">
        <v>43.266782317625001</v>
      </c>
      <c r="AL4958">
        <v>91.1981775631006</v>
      </c>
      <c r="AM4958">
        <v>104.504115998378</v>
      </c>
      <c r="AN4958">
        <v>1.0000000323099101</v>
      </c>
    </row>
    <row r="4959" spans="1:40" x14ac:dyDescent="0.25">
      <c r="A4959" t="str">
        <f>"20190305135335305"</f>
        <v>20190305135335305</v>
      </c>
      <c r="B4959" t="str">
        <f>"1551765215294682"</f>
        <v>1551765215294682</v>
      </c>
      <c r="C4959" t="s">
        <v>40</v>
      </c>
      <c r="D4959">
        <v>4.7122890000000002</v>
      </c>
      <c r="E4959">
        <v>0.48867169999999999</v>
      </c>
      <c r="F4959" t="s">
        <v>42</v>
      </c>
      <c r="G4959">
        <v>-355.49779999999998</v>
      </c>
      <c r="H4959" s="1">
        <v>-2.4247350000000002E-6</v>
      </c>
      <c r="I4959">
        <v>16.735469999999999</v>
      </c>
      <c r="J4959">
        <v>-397.1798</v>
      </c>
      <c r="K4959">
        <v>1.1118059999999901</v>
      </c>
      <c r="L4959">
        <v>20.759979999999999</v>
      </c>
      <c r="M4959">
        <v>0.92895810000000001</v>
      </c>
      <c r="N4959">
        <v>-1.432923E-2</v>
      </c>
      <c r="O4959">
        <v>-0.36990770000000001</v>
      </c>
      <c r="P4959">
        <v>0.99164799999999997</v>
      </c>
      <c r="Q4959">
        <v>-3.4310279999999999E-2</v>
      </c>
      <c r="R4959">
        <v>-0.12432699999999999</v>
      </c>
      <c r="S4959">
        <v>2.9861759999999999</v>
      </c>
      <c r="T4959">
        <v>-7.9331399999999996E-2</v>
      </c>
      <c r="U4959">
        <v>-0.291626</v>
      </c>
      <c r="V4959">
        <v>-0.25123600000000001</v>
      </c>
      <c r="W4959">
        <v>-2.1798749999999999E-2</v>
      </c>
      <c r="X4959">
        <v>0.9676804</v>
      </c>
      <c r="Y4959">
        <v>-0.27772390000000002</v>
      </c>
      <c r="Z4959">
        <v>9.8437139999999999E-3</v>
      </c>
      <c r="AA4959">
        <v>0.96061050000000003</v>
      </c>
      <c r="AB4959">
        <v>30</v>
      </c>
      <c r="AC4959">
        <v>41.682000000000002</v>
      </c>
      <c r="AD4959">
        <v>-1.11180842473499</v>
      </c>
      <c r="AE4959">
        <v>-4.0245099999999896</v>
      </c>
      <c r="AF4959">
        <v>-11.6728614882741</v>
      </c>
      <c r="AG4959">
        <v>-1.11180842473499</v>
      </c>
      <c r="AH4959">
        <v>40.1853267383187</v>
      </c>
      <c r="AI4959">
        <v>91.521923958477004</v>
      </c>
      <c r="AJ4959">
        <v>106.19729779562201</v>
      </c>
      <c r="AK4959">
        <v>41.861107228108203</v>
      </c>
      <c r="AL4959">
        <v>91.249075267165793</v>
      </c>
      <c r="AM4959">
        <v>104.55419854079</v>
      </c>
      <c r="AN4959">
        <v>1.00000003487086</v>
      </c>
    </row>
    <row r="4960" spans="1:40" x14ac:dyDescent="0.25">
      <c r="A4960" t="str">
        <f>"20190305135335317"</f>
        <v>20190305135335317</v>
      </c>
      <c r="B4960" t="str">
        <f>"1551765215305418"</f>
        <v>1551765215305418</v>
      </c>
      <c r="C4960" t="s">
        <v>40</v>
      </c>
      <c r="D4960">
        <v>4.7093699999999998</v>
      </c>
      <c r="E4960">
        <v>0.48861349999999998</v>
      </c>
      <c r="F4960" t="s">
        <v>42</v>
      </c>
      <c r="G4960">
        <v>-356.48289999999997</v>
      </c>
      <c r="H4960" s="1">
        <v>-1.9716599999999999E-6</v>
      </c>
      <c r="I4960">
        <v>16.907129999999999</v>
      </c>
      <c r="J4960">
        <v>-397.03089999999997</v>
      </c>
      <c r="K4960">
        <v>1.1120479999999999</v>
      </c>
      <c r="L4960">
        <v>20.702760000000001</v>
      </c>
      <c r="M4960">
        <v>0.92970759999999997</v>
      </c>
      <c r="N4960">
        <v>-1.433691E-2</v>
      </c>
      <c r="O4960">
        <v>-0.3680194</v>
      </c>
      <c r="P4960">
        <v>0.99200299999999997</v>
      </c>
      <c r="Q4960">
        <v>-3.4035839999999998E-2</v>
      </c>
      <c r="R4960">
        <v>-0.12154</v>
      </c>
      <c r="S4960">
        <v>2.9869690000000002</v>
      </c>
      <c r="T4960">
        <v>-8.1601740000000006E-2</v>
      </c>
      <c r="U4960">
        <v>-0.28277590000000002</v>
      </c>
      <c r="V4960">
        <v>-0.25198029999999999</v>
      </c>
      <c r="W4960">
        <v>-2.1675949999999999E-2</v>
      </c>
      <c r="X4960">
        <v>0.96748959999999995</v>
      </c>
      <c r="Y4960">
        <v>-0.27860610000000002</v>
      </c>
      <c r="Z4960">
        <v>1.021971E-2</v>
      </c>
      <c r="AA4960">
        <v>0.96035099999999995</v>
      </c>
      <c r="AB4960">
        <v>30</v>
      </c>
      <c r="AC4960">
        <v>40.548000000000002</v>
      </c>
      <c r="AD4960">
        <v>-1.1120499716600001</v>
      </c>
      <c r="AE4960">
        <v>-3.7956300000000001</v>
      </c>
      <c r="AF4960">
        <v>-11.386305526660401</v>
      </c>
      <c r="AG4960">
        <v>-1.1120499716600001</v>
      </c>
      <c r="AH4960">
        <v>39.069535584250801</v>
      </c>
      <c r="AI4960">
        <v>91.565303886928405</v>
      </c>
      <c r="AJ4960">
        <v>106.248073018832</v>
      </c>
      <c r="AK4960">
        <v>40.710112004942502</v>
      </c>
      <c r="AL4960">
        <v>91.242037698488502</v>
      </c>
      <c r="AM4960">
        <v>104.59823284151599</v>
      </c>
      <c r="AN4960">
        <v>1.00000002225232</v>
      </c>
    </row>
    <row r="4961" spans="1:40" x14ac:dyDescent="0.25">
      <c r="A4961" t="str">
        <f>"20190305135335336"</f>
        <v>20190305135335336</v>
      </c>
      <c r="B4961" t="str">
        <f>"1551765215324942"</f>
        <v>1551765215324942</v>
      </c>
      <c r="C4961" t="s">
        <v>40</v>
      </c>
      <c r="D4961">
        <v>4.7117750000000003</v>
      </c>
      <c r="E4961">
        <v>0.48851889999999998</v>
      </c>
      <c r="F4961" t="s">
        <v>42</v>
      </c>
      <c r="G4961">
        <v>-355.91320000000002</v>
      </c>
      <c r="H4961" s="1">
        <v>-2.2115069999999999E-6</v>
      </c>
      <c r="I4961">
        <v>16.932980000000001</v>
      </c>
      <c r="J4961">
        <v>-396.80520000000001</v>
      </c>
      <c r="K4961">
        <v>1.112412</v>
      </c>
      <c r="L4961">
        <v>20.616879999999998</v>
      </c>
      <c r="M4961">
        <v>0.93091829999999998</v>
      </c>
      <c r="N4961">
        <v>-1.4349249999999999E-2</v>
      </c>
      <c r="O4961">
        <v>-0.36494559999999998</v>
      </c>
      <c r="P4961">
        <v>0.99257669999999998</v>
      </c>
      <c r="Q4961">
        <v>-3.3154919999999997E-2</v>
      </c>
      <c r="R4961">
        <v>-0.1170162</v>
      </c>
      <c r="S4961">
        <v>2.9878230000000001</v>
      </c>
      <c r="T4961">
        <v>-8.0807210000000004E-2</v>
      </c>
      <c r="U4961">
        <v>-0.2739258</v>
      </c>
      <c r="V4961">
        <v>-0.25319150000000001</v>
      </c>
      <c r="W4961">
        <v>-2.1017999999999998E-2</v>
      </c>
      <c r="X4961">
        <v>0.96718780000000004</v>
      </c>
      <c r="Y4961">
        <v>-0.2782829</v>
      </c>
      <c r="Z4961">
        <v>1.004611E-2</v>
      </c>
      <c r="AA4961">
        <v>0.96044660000000004</v>
      </c>
      <c r="AB4961">
        <v>30</v>
      </c>
      <c r="AC4961">
        <v>40.892000000000003</v>
      </c>
      <c r="AD4961">
        <v>-1.1124142115069999</v>
      </c>
      <c r="AE4961">
        <v>-3.6838999999999902</v>
      </c>
      <c r="AF4961">
        <v>-11.486696416811</v>
      </c>
      <c r="AG4961">
        <v>-1.1124142115069999</v>
      </c>
      <c r="AH4961">
        <v>39.3866777023458</v>
      </c>
      <c r="AI4961">
        <v>91.553130210430695</v>
      </c>
      <c r="AJ4961">
        <v>106.25875065463801</v>
      </c>
      <c r="AK4961">
        <v>41.042563764687102</v>
      </c>
      <c r="AL4961">
        <v>91.204331415746793</v>
      </c>
      <c r="AM4961">
        <v>104.669763209577</v>
      </c>
      <c r="AN4961">
        <v>0.99999996623254395</v>
      </c>
    </row>
    <row r="4962" spans="1:40" x14ac:dyDescent="0.25">
      <c r="A4962" t="str">
        <f>"20190305135335350"</f>
        <v>20190305135335350</v>
      </c>
      <c r="B4962" t="str">
        <f>"1551765215345434"</f>
        <v>1551765215345434</v>
      </c>
      <c r="C4962" t="s">
        <v>40</v>
      </c>
      <c r="D4962">
        <v>4.7486660000000001</v>
      </c>
      <c r="E4962">
        <v>0.4884598</v>
      </c>
      <c r="F4962" t="s">
        <v>42</v>
      </c>
      <c r="G4962">
        <v>-354.142</v>
      </c>
      <c r="H4962" s="1">
        <v>-2.9750019999999999E-6</v>
      </c>
      <c r="I4962">
        <v>16.912389999999998</v>
      </c>
      <c r="J4962">
        <v>-396.62950000000001</v>
      </c>
      <c r="K4962">
        <v>1.1126830000000001</v>
      </c>
      <c r="L4962">
        <v>20.550809999999998</v>
      </c>
      <c r="M4962">
        <v>0.93193479999999995</v>
      </c>
      <c r="N4962">
        <v>-1.4359800000000001E-2</v>
      </c>
      <c r="O4962">
        <v>-0.36234169999999999</v>
      </c>
      <c r="P4962">
        <v>0.99298889999999995</v>
      </c>
      <c r="Q4962">
        <v>-3.255342E-2</v>
      </c>
      <c r="R4962">
        <v>-0.1136384</v>
      </c>
      <c r="S4962">
        <v>2.9892270000000001</v>
      </c>
      <c r="T4962">
        <v>-7.7942129999999998E-2</v>
      </c>
      <c r="U4962">
        <v>-0.259552</v>
      </c>
      <c r="V4962">
        <v>-0.25377670000000002</v>
      </c>
      <c r="W4962">
        <v>-2.0578160000000002E-2</v>
      </c>
      <c r="X4962">
        <v>0.96704389999999996</v>
      </c>
      <c r="Y4962">
        <v>-0.28023179999999998</v>
      </c>
      <c r="Z4962">
        <v>9.5831430000000006E-3</v>
      </c>
      <c r="AA4962">
        <v>0.95988450000000003</v>
      </c>
      <c r="AB4962">
        <v>30</v>
      </c>
      <c r="AC4962">
        <v>42.487499999999997</v>
      </c>
      <c r="AD4962">
        <v>-1.1126859750019999</v>
      </c>
      <c r="AE4962">
        <v>-3.63842</v>
      </c>
      <c r="AF4962">
        <v>-11.9972911936848</v>
      </c>
      <c r="AG4962">
        <v>-1.1126859750019999</v>
      </c>
      <c r="AH4962">
        <v>40.890306268336197</v>
      </c>
      <c r="AI4962">
        <v>91.495699605214696</v>
      </c>
      <c r="AJ4962">
        <v>106.351785768957</v>
      </c>
      <c r="AK4962">
        <v>42.628514081344299</v>
      </c>
      <c r="AL4962">
        <v>91.179124959555097</v>
      </c>
      <c r="AM4962">
        <v>104.704294994927</v>
      </c>
      <c r="AN4962">
        <v>0.99999998932954204</v>
      </c>
    </row>
    <row r="4963" spans="1:40" x14ac:dyDescent="0.25">
      <c r="A4963" t="str">
        <f>"20190305135335363"</f>
        <v>20190305135335363</v>
      </c>
      <c r="B4963" t="str">
        <f>"1551765215354719"</f>
        <v>1551765215354719</v>
      </c>
      <c r="C4963" t="s">
        <v>40</v>
      </c>
      <c r="D4963">
        <v>5.0698429999999997</v>
      </c>
      <c r="E4963">
        <v>0.4884539</v>
      </c>
      <c r="F4963" t="s">
        <v>42</v>
      </c>
      <c r="G4963">
        <v>-353.10270000000003</v>
      </c>
      <c r="H4963" s="1">
        <v>-3.4182210000000001E-6</v>
      </c>
      <c r="I4963">
        <v>16.927150000000001</v>
      </c>
      <c r="J4963">
        <v>-396.4606</v>
      </c>
      <c r="K4963">
        <v>1.1129340000000001</v>
      </c>
      <c r="L4963">
        <v>20.487950000000001</v>
      </c>
      <c r="M4963">
        <v>0.9329693</v>
      </c>
      <c r="N4963">
        <v>-1.4370519999999999E-2</v>
      </c>
      <c r="O4963">
        <v>-0.35966900000000002</v>
      </c>
      <c r="P4963">
        <v>0.99337109999999995</v>
      </c>
      <c r="Q4963">
        <v>-3.1688340000000002E-2</v>
      </c>
      <c r="R4963">
        <v>-0.1104999</v>
      </c>
      <c r="S4963">
        <v>2.9902039999999999</v>
      </c>
      <c r="T4963">
        <v>-7.6439380000000001E-2</v>
      </c>
      <c r="U4963">
        <v>-0.24893190000000001</v>
      </c>
      <c r="V4963">
        <v>-0.25406489999999998</v>
      </c>
      <c r="W4963">
        <v>-1.9858830000000001E-2</v>
      </c>
      <c r="X4963">
        <v>0.96698329999999999</v>
      </c>
      <c r="Y4963">
        <v>-0.28089839999999999</v>
      </c>
      <c r="Z4963">
        <v>9.3216529999999992E-3</v>
      </c>
      <c r="AA4963">
        <v>0.9596922</v>
      </c>
      <c r="AB4963">
        <v>30</v>
      </c>
      <c r="AC4963">
        <v>43.357899999999901</v>
      </c>
      <c r="AD4963">
        <v>-1.1129374182209999</v>
      </c>
      <c r="AE4963">
        <v>-3.5608</v>
      </c>
      <c r="AF4963">
        <v>-12.2656153420583</v>
      </c>
      <c r="AG4963">
        <v>-1.1129374182209999</v>
      </c>
      <c r="AH4963">
        <v>41.709311187451902</v>
      </c>
      <c r="AI4963">
        <v>91.466407830422696</v>
      </c>
      <c r="AJ4963">
        <v>106.387227703197</v>
      </c>
      <c r="AK4963">
        <v>43.489660715484</v>
      </c>
      <c r="AL4963">
        <v>91.137901918525003</v>
      </c>
      <c r="AM4963">
        <v>104.721151483393</v>
      </c>
      <c r="AN4963">
        <v>1.0000000245099301</v>
      </c>
    </row>
    <row r="4964" spans="1:40" x14ac:dyDescent="0.25">
      <c r="A4964" t="str">
        <f>"20190305135335380"</f>
        <v>20190305135335380</v>
      </c>
      <c r="B4964" t="str">
        <f>"1551765215375215"</f>
        <v>1551765215375215</v>
      </c>
      <c r="C4964" t="s">
        <v>40</v>
      </c>
      <c r="D4964">
        <v>5.0504910000000001</v>
      </c>
      <c r="E4964">
        <v>0.48849480000000001</v>
      </c>
      <c r="F4964" t="s">
        <v>42</v>
      </c>
      <c r="G4964">
        <v>-351.1508</v>
      </c>
      <c r="H4964" s="1">
        <v>-4.2673559999999996E-6</v>
      </c>
      <c r="I4964">
        <v>16.860679999999999</v>
      </c>
      <c r="J4964">
        <v>-396.26490000000001</v>
      </c>
      <c r="K4964">
        <v>1.113216</v>
      </c>
      <c r="L4964">
        <v>20.416319999999999</v>
      </c>
      <c r="M4964">
        <v>0.93425230000000004</v>
      </c>
      <c r="N4964">
        <v>-1.438443E-2</v>
      </c>
      <c r="O4964">
        <v>-0.356323</v>
      </c>
      <c r="P4964">
        <v>0.99387020000000004</v>
      </c>
      <c r="Q4964">
        <v>-2.952196E-2</v>
      </c>
      <c r="R4964">
        <v>-0.1065401</v>
      </c>
      <c r="S4964">
        <v>2.991028</v>
      </c>
      <c r="T4964">
        <v>-7.3468329999999998E-2</v>
      </c>
      <c r="U4964">
        <v>-0.23944090000000001</v>
      </c>
      <c r="V4964">
        <v>-0.25448300000000001</v>
      </c>
      <c r="W4964">
        <v>-1.784761E-2</v>
      </c>
      <c r="X4964">
        <v>0.96691249999999995</v>
      </c>
      <c r="Y4964">
        <v>-0.2805183</v>
      </c>
      <c r="Z4964">
        <v>8.7959359999999903E-3</v>
      </c>
      <c r="AA4964">
        <v>0.95980829999999995</v>
      </c>
      <c r="AB4964">
        <v>30</v>
      </c>
      <c r="AC4964">
        <v>45.114100000000001</v>
      </c>
      <c r="AD4964">
        <v>-1.1132202673560001</v>
      </c>
      <c r="AE4964">
        <v>-3.5556399999999999</v>
      </c>
      <c r="AF4964">
        <v>-12.7469304292853</v>
      </c>
      <c r="AG4964">
        <v>-1.1132202673560001</v>
      </c>
      <c r="AH4964">
        <v>43.393134116427198</v>
      </c>
      <c r="AI4964">
        <v>91.410008713413305</v>
      </c>
      <c r="AJ4964">
        <v>106.370390697457</v>
      </c>
      <c r="AK4964">
        <v>45.240331377863903</v>
      </c>
      <c r="AL4964">
        <v>91.022647066525494</v>
      </c>
      <c r="AM4964">
        <v>104.745355175103</v>
      </c>
      <c r="AN4964">
        <v>0.99999995856398005</v>
      </c>
    </row>
    <row r="4965" spans="1:40" x14ac:dyDescent="0.25">
      <c r="A4965" t="str">
        <f>"20190305135335392"</f>
        <v>20190305135335392</v>
      </c>
      <c r="B4965" t="str">
        <f>"1551765215384974"</f>
        <v>1551765215384974</v>
      </c>
      <c r="C4965" t="s">
        <v>40</v>
      </c>
      <c r="D4965">
        <v>4.7299639999999998</v>
      </c>
      <c r="E4965">
        <v>0.48851060000000002</v>
      </c>
      <c r="F4965" t="s">
        <v>42</v>
      </c>
      <c r="G4965">
        <v>-346.05880000000002</v>
      </c>
      <c r="H4965" s="1">
        <v>-2.209331E-6</v>
      </c>
      <c r="I4965">
        <v>16.5931</v>
      </c>
      <c r="J4965">
        <v>-396.11149999999998</v>
      </c>
      <c r="K4965">
        <v>1.113415</v>
      </c>
      <c r="L4965">
        <v>20.360810000000001</v>
      </c>
      <c r="M4965">
        <v>0.93529770000000001</v>
      </c>
      <c r="N4965">
        <v>-1.439552E-2</v>
      </c>
      <c r="O4965">
        <v>-0.35356910000000003</v>
      </c>
      <c r="P4965">
        <v>0.99421689999999996</v>
      </c>
      <c r="Q4965">
        <v>-2.8244579999999998E-2</v>
      </c>
      <c r="R4965">
        <v>-0.10361090000000001</v>
      </c>
      <c r="S4965">
        <v>2.9920960000000001</v>
      </c>
      <c r="T4965">
        <v>-6.6343669999999993E-2</v>
      </c>
      <c r="U4965">
        <v>-0.2278442</v>
      </c>
      <c r="V4965">
        <v>-0.25450020000000001</v>
      </c>
      <c r="W4965">
        <v>-1.6681370000000001E-2</v>
      </c>
      <c r="X4965">
        <v>0.96692880000000003</v>
      </c>
      <c r="Y4965">
        <v>-0.28144190000000002</v>
      </c>
      <c r="Z4965">
        <v>7.6305879999999998E-3</v>
      </c>
      <c r="AA4965">
        <v>0.95954790000000001</v>
      </c>
      <c r="AB4965">
        <v>30</v>
      </c>
      <c r="AC4965">
        <v>50.052699999999902</v>
      </c>
      <c r="AD4965">
        <v>-1.113417209331</v>
      </c>
      <c r="AE4965">
        <v>-3.7677100000000001</v>
      </c>
      <c r="AF4965">
        <v>-14.1676543229506</v>
      </c>
      <c r="AG4965">
        <v>-1.113417209331</v>
      </c>
      <c r="AH4965">
        <v>48.127626369123199</v>
      </c>
      <c r="AI4965">
        <v>91.271359749124201</v>
      </c>
      <c r="AJ4965">
        <v>106.403203009048</v>
      </c>
      <c r="AK4965">
        <v>50.181974321688202</v>
      </c>
      <c r="AL4965">
        <v>90.955816466103698</v>
      </c>
      <c r="AM4965">
        <v>104.74607060166799</v>
      </c>
      <c r="AN4965">
        <v>0.99999996208727704</v>
      </c>
    </row>
    <row r="4966" spans="1:40" x14ac:dyDescent="0.25">
      <c r="A4966" t="str">
        <f>"20190305135335406"</f>
        <v>20190305135335406</v>
      </c>
      <c r="B4966" t="str">
        <f>"1551765215394735"</f>
        <v>1551765215394735</v>
      </c>
      <c r="C4966" t="s">
        <v>40</v>
      </c>
      <c r="D4966">
        <v>4.7373599999999998</v>
      </c>
      <c r="E4966">
        <v>0.4885002</v>
      </c>
      <c r="F4966" t="s">
        <v>42</v>
      </c>
      <c r="G4966">
        <v>-342.37380000000002</v>
      </c>
      <c r="H4966" s="1">
        <v>-3.819636E-6</v>
      </c>
      <c r="I4966">
        <v>16.426939999999998</v>
      </c>
      <c r="J4966">
        <v>-395.94779999999997</v>
      </c>
      <c r="K4966">
        <v>1.113618</v>
      </c>
      <c r="L4966">
        <v>20.302119999999999</v>
      </c>
      <c r="M4966">
        <v>0.93643900000000002</v>
      </c>
      <c r="N4966">
        <v>-1.4407110000000001E-2</v>
      </c>
      <c r="O4966">
        <v>-0.35053430000000002</v>
      </c>
      <c r="P4966">
        <v>0.99455320000000003</v>
      </c>
      <c r="Q4966">
        <v>-2.7088210000000001E-2</v>
      </c>
      <c r="R4966">
        <v>-0.10064770000000001</v>
      </c>
      <c r="S4966">
        <v>2.9928279999999998</v>
      </c>
      <c r="T4966">
        <v>-6.2010049999999997E-2</v>
      </c>
      <c r="U4966">
        <v>-0.21908569999999999</v>
      </c>
      <c r="V4966">
        <v>-0.25426100000000001</v>
      </c>
      <c r="W4966">
        <v>-1.563515E-2</v>
      </c>
      <c r="X4966">
        <v>0.96700920000000001</v>
      </c>
      <c r="Y4966">
        <v>-0.2811554</v>
      </c>
      <c r="Z4966">
        <v>6.9050709999999996E-3</v>
      </c>
      <c r="AA4966">
        <v>0.95963739999999997</v>
      </c>
      <c r="AB4966">
        <v>30</v>
      </c>
      <c r="AC4966">
        <v>53.573999999999899</v>
      </c>
      <c r="AD4966">
        <v>-1.1136218196359999</v>
      </c>
      <c r="AE4966">
        <v>-3.8751799999999998</v>
      </c>
      <c r="AF4966">
        <v>-15.1457184258367</v>
      </c>
      <c r="AG4966">
        <v>-1.1136218196359999</v>
      </c>
      <c r="AH4966">
        <v>51.510377600523903</v>
      </c>
      <c r="AI4966">
        <v>91.188221716108998</v>
      </c>
      <c r="AJ4966">
        <v>106.385043249492</v>
      </c>
      <c r="AK4966">
        <v>53.702438871437202</v>
      </c>
      <c r="AL4966">
        <v>90.895864651478007</v>
      </c>
      <c r="AM4966">
        <v>104.731642548945</v>
      </c>
      <c r="AN4966">
        <v>0.99999995346058002</v>
      </c>
    </row>
    <row r="4967" spans="1:40" x14ac:dyDescent="0.25">
      <c r="A4967" t="str">
        <f>"20190305135335420"</f>
        <v>20190305135335420</v>
      </c>
      <c r="B4967" t="str">
        <f>"1551765215415231"</f>
        <v>1551765215415231</v>
      </c>
      <c r="C4967" t="s">
        <v>40</v>
      </c>
      <c r="D4967">
        <v>4.7647919999999999</v>
      </c>
      <c r="E4967">
        <v>0.48851879999999998</v>
      </c>
      <c r="F4967" t="s">
        <v>42</v>
      </c>
      <c r="G4967">
        <v>-339.27980000000002</v>
      </c>
      <c r="H4967" s="1">
        <v>-1.1069909999999999E-6</v>
      </c>
      <c r="I4967">
        <v>16.324590000000001</v>
      </c>
      <c r="J4967">
        <v>-395.77109999999999</v>
      </c>
      <c r="K4967">
        <v>1.113807</v>
      </c>
      <c r="L4967">
        <v>20.239989999999999</v>
      </c>
      <c r="M4967">
        <v>0.93772639999999996</v>
      </c>
      <c r="N4967">
        <v>-1.442041E-2</v>
      </c>
      <c r="O4967">
        <v>-0.34707549999999998</v>
      </c>
      <c r="P4967">
        <v>0.99490880000000004</v>
      </c>
      <c r="Q4967">
        <v>-2.6278550000000001E-2</v>
      </c>
      <c r="R4967">
        <v>-9.7295629999999994E-2</v>
      </c>
      <c r="S4967">
        <v>2.9935610000000001</v>
      </c>
      <c r="T4967">
        <v>-5.8828350000000001E-2</v>
      </c>
      <c r="U4967">
        <v>-0.21011350000000001</v>
      </c>
      <c r="V4967">
        <v>-0.25395899999999999</v>
      </c>
      <c r="W4967">
        <v>-1.492828E-2</v>
      </c>
      <c r="X4967">
        <v>0.96709979999999995</v>
      </c>
      <c r="Y4967">
        <v>-0.28050190000000003</v>
      </c>
      <c r="Z4967">
        <v>6.3651609999999898E-3</v>
      </c>
      <c r="AA4967">
        <v>0.95983240000000003</v>
      </c>
      <c r="AB4967">
        <v>29</v>
      </c>
      <c r="AC4967">
        <v>56.491299999999903</v>
      </c>
      <c r="AD4967">
        <v>-1.113808106991</v>
      </c>
      <c r="AE4967">
        <v>-3.9153999999999902</v>
      </c>
      <c r="AF4967">
        <v>-15.9306648812864</v>
      </c>
      <c r="AG4967">
        <v>-1.113808106991</v>
      </c>
      <c r="AH4967">
        <v>54.316954548307699</v>
      </c>
      <c r="AI4967">
        <v>91.127256479569994</v>
      </c>
      <c r="AJ4967">
        <v>106.345929392402</v>
      </c>
      <c r="AK4967">
        <v>56.615882961073602</v>
      </c>
      <c r="AL4967">
        <v>90.855359189817506</v>
      </c>
      <c r="AM4967">
        <v>104.713585986129</v>
      </c>
      <c r="AN4967">
        <v>1.00000002519239</v>
      </c>
    </row>
    <row r="4968" spans="1:40" x14ac:dyDescent="0.25">
      <c r="A4968" t="str">
        <f>"20190305135335437"</f>
        <v>20190305135335437</v>
      </c>
      <c r="B4968" t="str">
        <f>"1551765215424990"</f>
        <v>1551765215424990</v>
      </c>
      <c r="C4968" t="s">
        <v>40</v>
      </c>
      <c r="D4968">
        <v>4.7844920000000002</v>
      </c>
      <c r="E4968">
        <v>0.4885176</v>
      </c>
      <c r="F4968" t="s">
        <v>42</v>
      </c>
      <c r="G4968">
        <v>-337.32170000000002</v>
      </c>
      <c r="H4968" s="1">
        <v>-1.7712000000000001E-6</v>
      </c>
      <c r="I4968">
        <v>16.332639999999898</v>
      </c>
      <c r="J4968">
        <v>-395.55829999999997</v>
      </c>
      <c r="K4968">
        <v>1.114009</v>
      </c>
      <c r="L4968">
        <v>20.16611</v>
      </c>
      <c r="M4968">
        <v>0.93930659999999999</v>
      </c>
      <c r="N4968">
        <v>-1.4435430000000001E-2</v>
      </c>
      <c r="O4968">
        <v>-0.3427752</v>
      </c>
      <c r="P4968">
        <v>0.99530510000000005</v>
      </c>
      <c r="Q4968">
        <v>-2.6790689999999999E-2</v>
      </c>
      <c r="R4968">
        <v>-9.3006039999999998E-2</v>
      </c>
      <c r="S4968">
        <v>2.9942929999999999</v>
      </c>
      <c r="T4968">
        <v>-5.705905E-2</v>
      </c>
      <c r="U4968">
        <v>-0.2001648</v>
      </c>
      <c r="V4968">
        <v>-0.25367899999999999</v>
      </c>
      <c r="W4968">
        <v>-1.5550670000000001E-2</v>
      </c>
      <c r="X4968">
        <v>0.96716340000000001</v>
      </c>
      <c r="Y4968">
        <v>-0.27929989999999999</v>
      </c>
      <c r="Z4968">
        <v>6.0459040000000004E-3</v>
      </c>
      <c r="AA4968">
        <v>0.96018490000000001</v>
      </c>
      <c r="AB4968">
        <v>29</v>
      </c>
      <c r="AC4968">
        <v>58.236599999999903</v>
      </c>
      <c r="AD4968">
        <v>-1.1140107712</v>
      </c>
      <c r="AE4968">
        <v>-3.8334700000000002</v>
      </c>
      <c r="AF4968">
        <v>-16.357003074514299</v>
      </c>
      <c r="AG4968">
        <v>-1.1140107712</v>
      </c>
      <c r="AH4968">
        <v>56.001471748805599</v>
      </c>
      <c r="AI4968">
        <v>91.093912451163405</v>
      </c>
      <c r="AJ4968">
        <v>106.282115713797</v>
      </c>
      <c r="AK4968">
        <v>58.352012883963901</v>
      </c>
      <c r="AL4968">
        <v>90.891023718034006</v>
      </c>
      <c r="AM4968">
        <v>104.697141728997</v>
      </c>
      <c r="AN4968">
        <v>0.99999995033900302</v>
      </c>
    </row>
    <row r="4969" spans="1:40" x14ac:dyDescent="0.25">
      <c r="A4969" t="str">
        <f>"20190305135335452"</f>
        <v>20190305135335452</v>
      </c>
      <c r="B4969" t="str">
        <f>"1551765215445487"</f>
        <v>1551765215445487</v>
      </c>
      <c r="C4969" t="s">
        <v>40</v>
      </c>
      <c r="D4969">
        <v>4.7583000000000002</v>
      </c>
      <c r="E4969">
        <v>0.48857499999999998</v>
      </c>
      <c r="F4969" t="s">
        <v>42</v>
      </c>
      <c r="G4969">
        <v>-338.8623</v>
      </c>
      <c r="H4969" s="1">
        <v>-1.170277E-6</v>
      </c>
      <c r="I4969">
        <v>16.62068</v>
      </c>
      <c r="J4969">
        <v>-395.37110000000001</v>
      </c>
      <c r="K4969">
        <v>1.1141589999999999</v>
      </c>
      <c r="L4969">
        <v>20.102139999999999</v>
      </c>
      <c r="M4969">
        <v>0.94071890000000002</v>
      </c>
      <c r="N4969">
        <v>-1.4447420000000001E-2</v>
      </c>
      <c r="O4969">
        <v>-0.338879299999999</v>
      </c>
      <c r="P4969">
        <v>0.99563889999999999</v>
      </c>
      <c r="Q4969">
        <v>-2.8032640000000001E-2</v>
      </c>
      <c r="R4969">
        <v>-8.898064E-2</v>
      </c>
      <c r="S4969">
        <v>2.9950260000000002</v>
      </c>
      <c r="T4969">
        <v>-5.8848739999999997E-2</v>
      </c>
      <c r="U4969">
        <v>-0.18728639999999999</v>
      </c>
      <c r="V4969">
        <v>-0.25355040000000001</v>
      </c>
      <c r="W4969">
        <v>-1.6876780000000001E-2</v>
      </c>
      <c r="X4969">
        <v>0.96717489999999995</v>
      </c>
      <c r="Y4969">
        <v>-0.27944229999999998</v>
      </c>
      <c r="Z4969">
        <v>6.3170850000000001E-3</v>
      </c>
      <c r="AA4969">
        <v>0.96014169999999999</v>
      </c>
      <c r="AB4969">
        <v>29</v>
      </c>
      <c r="AC4969">
        <v>56.508800000000001</v>
      </c>
      <c r="AD4969">
        <v>-1.1141601702770001</v>
      </c>
      <c r="AE4969">
        <v>-3.48145999999999</v>
      </c>
      <c r="AF4969">
        <v>-15.8700986358139</v>
      </c>
      <c r="AG4969">
        <v>-1.1141601702770001</v>
      </c>
      <c r="AH4969">
        <v>54.323325985950802</v>
      </c>
      <c r="AI4969">
        <v>91.1278298218446</v>
      </c>
      <c r="AJ4969">
        <v>106.285275184342</v>
      </c>
      <c r="AK4969">
        <v>56.6049920923179</v>
      </c>
      <c r="AL4969">
        <v>90.967014214096395</v>
      </c>
      <c r="AM4969">
        <v>104.68984636841699</v>
      </c>
      <c r="AN4969">
        <v>0.99999995911666795</v>
      </c>
    </row>
    <row r="4970" spans="1:40" x14ac:dyDescent="0.25">
      <c r="A4970" t="str">
        <f>"20190305135335469"</f>
        <v>20190305135335469</v>
      </c>
      <c r="B4970" t="str">
        <f>"1551765215465007"</f>
        <v>1551765215465007</v>
      </c>
      <c r="C4970" t="s">
        <v>40</v>
      </c>
      <c r="D4970">
        <v>4.7729330000000001</v>
      </c>
      <c r="E4970">
        <v>0.4886335</v>
      </c>
      <c r="F4970" t="s">
        <v>42</v>
      </c>
      <c r="G4970">
        <v>-342.55309999999997</v>
      </c>
      <c r="H4970" s="1">
        <v>-3.6401160000000001E-6</v>
      </c>
      <c r="I4970">
        <v>17.005400000000002</v>
      </c>
      <c r="J4970">
        <v>-395.15969999999999</v>
      </c>
      <c r="K4970">
        <v>1.1142879999999999</v>
      </c>
      <c r="L4970">
        <v>20.031099999999999</v>
      </c>
      <c r="M4970">
        <v>0.94232969999999905</v>
      </c>
      <c r="N4970">
        <v>-1.4459349999999999E-2</v>
      </c>
      <c r="O4970">
        <v>-0.3343739</v>
      </c>
      <c r="P4970">
        <v>0.99597970000000002</v>
      </c>
      <c r="Q4970">
        <v>-3.0787809999999999E-2</v>
      </c>
      <c r="R4970">
        <v>-8.4124679999999993E-2</v>
      </c>
      <c r="S4970">
        <v>2.9956049999999999</v>
      </c>
      <c r="T4970">
        <v>-6.3190460000000004E-2</v>
      </c>
      <c r="U4970">
        <v>-0.1756287</v>
      </c>
      <c r="V4970">
        <v>-0.25357410000000002</v>
      </c>
      <c r="W4970">
        <v>-1.9713640000000001E-2</v>
      </c>
      <c r="X4970">
        <v>0.96711510000000001</v>
      </c>
      <c r="Y4970">
        <v>-0.27856890000000001</v>
      </c>
      <c r="Z4970">
        <v>6.9621930000000002E-3</v>
      </c>
      <c r="AA4970">
        <v>0.96039099999999999</v>
      </c>
      <c r="AB4970">
        <v>29</v>
      </c>
      <c r="AC4970">
        <v>52.6066</v>
      </c>
      <c r="AD4970">
        <v>-1.1142916401159999</v>
      </c>
      <c r="AE4970">
        <v>-3.0256999999999898</v>
      </c>
      <c r="AF4970">
        <v>-14.734017499036</v>
      </c>
      <c r="AG4970">
        <v>-1.1142916401159999</v>
      </c>
      <c r="AH4970">
        <v>50.567146700174298</v>
      </c>
      <c r="AI4970">
        <v>91.211974568616895</v>
      </c>
      <c r="AJ4970">
        <v>106.244818196541</v>
      </c>
      <c r="AK4970">
        <v>52.681773346367898</v>
      </c>
      <c r="AL4970">
        <v>91.129581504666007</v>
      </c>
      <c r="AM4970">
        <v>104.692029176483</v>
      </c>
      <c r="AN4970">
        <v>1.00000003422043</v>
      </c>
    </row>
    <row r="4971" spans="1:40" x14ac:dyDescent="0.25">
      <c r="A4971" t="str">
        <f>"20190305135335481"</f>
        <v>20190305135335481</v>
      </c>
      <c r="B4971" t="str">
        <f>"1551765215474768"</f>
        <v>1551765215474768</v>
      </c>
      <c r="C4971" t="s">
        <v>40</v>
      </c>
      <c r="D4971">
        <v>4.7763819999999999</v>
      </c>
      <c r="E4971">
        <v>0.4886682</v>
      </c>
      <c r="F4971" t="s">
        <v>42</v>
      </c>
      <c r="G4971">
        <v>-348.88740000000001</v>
      </c>
      <c r="H4971" s="1">
        <v>-9.1809080000000003E-7</v>
      </c>
      <c r="I4971">
        <v>17.536429999999999</v>
      </c>
      <c r="J4971">
        <v>-395.00560000000002</v>
      </c>
      <c r="K4971">
        <v>1.1143730000000001</v>
      </c>
      <c r="L4971">
        <v>19.980039999999999</v>
      </c>
      <c r="M4971">
        <v>0.94351090000000004</v>
      </c>
      <c r="N4971">
        <v>-1.446704E-2</v>
      </c>
      <c r="O4971">
        <v>-0.33102579999999998</v>
      </c>
      <c r="P4971">
        <v>0.99625249999999999</v>
      </c>
      <c r="Q4971">
        <v>-3.1940530000000002E-2</v>
      </c>
      <c r="R4971">
        <v>-8.0381759999999997E-2</v>
      </c>
      <c r="S4971">
        <v>2.9962460000000002</v>
      </c>
      <c r="T4971">
        <v>-7.2152850000000004E-2</v>
      </c>
      <c r="U4971">
        <v>-0.16152949999999999</v>
      </c>
      <c r="V4971">
        <v>-0.25374409999999997</v>
      </c>
      <c r="W4971">
        <v>-2.0916480000000001E-2</v>
      </c>
      <c r="X4971">
        <v>0.96704520000000005</v>
      </c>
      <c r="Y4971">
        <v>-0.27964319999999998</v>
      </c>
      <c r="Z4971">
        <v>8.3546890000000002E-3</v>
      </c>
      <c r="AA4971">
        <v>0.96006760000000002</v>
      </c>
      <c r="AB4971">
        <v>29</v>
      </c>
      <c r="AC4971">
        <v>46.118200000000002</v>
      </c>
      <c r="AD4971">
        <v>-1.1143739180908001</v>
      </c>
      <c r="AE4971">
        <v>-2.4436100000000001</v>
      </c>
      <c r="AF4971">
        <v>-12.954554028435901</v>
      </c>
      <c r="AG4971">
        <v>-1.1143739180908001</v>
      </c>
      <c r="AH4971">
        <v>44.300763424244899</v>
      </c>
      <c r="AI4971">
        <v>91.383059491727195</v>
      </c>
      <c r="AJ4971">
        <v>106.30012418306301</v>
      </c>
      <c r="AK4971">
        <v>46.1694697746888</v>
      </c>
      <c r="AL4971">
        <v>91.198513436769503</v>
      </c>
      <c r="AM4971">
        <v>104.702469020805</v>
      </c>
      <c r="AN4971">
        <v>0.99999999313172006</v>
      </c>
    </row>
    <row r="4972" spans="1:40" x14ac:dyDescent="0.25">
      <c r="A4972" t="str">
        <f>"20190305135335494"</f>
        <v>20190305135335494</v>
      </c>
      <c r="B4972" t="str">
        <f>"1551765215485503"</f>
        <v>1551765215485503</v>
      </c>
      <c r="C4972" t="s">
        <v>40</v>
      </c>
      <c r="D4972">
        <v>4.7565720000000002</v>
      </c>
      <c r="E4972">
        <v>0.48871619999999999</v>
      </c>
      <c r="F4972" t="s">
        <v>42</v>
      </c>
      <c r="G4972">
        <v>-351.19009999999997</v>
      </c>
      <c r="H4972" s="1">
        <v>-4.0876539999999998E-6</v>
      </c>
      <c r="I4972">
        <v>17.77882</v>
      </c>
      <c r="J4972">
        <v>-394.86059999999998</v>
      </c>
      <c r="K4972">
        <v>1.114433</v>
      </c>
      <c r="L4972">
        <v>19.932770000000001</v>
      </c>
      <c r="M4972">
        <v>0.9446215</v>
      </c>
      <c r="N4972">
        <v>-1.447329E-2</v>
      </c>
      <c r="O4972">
        <v>-0.32784239999999998</v>
      </c>
      <c r="P4972">
        <v>0.99649019999999999</v>
      </c>
      <c r="Q4972">
        <v>-3.3245169999999998E-2</v>
      </c>
      <c r="R4972">
        <v>-7.6825640000000001E-2</v>
      </c>
      <c r="S4972">
        <v>2.9966740000000001</v>
      </c>
      <c r="T4972">
        <v>-7.6215740000000004E-2</v>
      </c>
      <c r="U4972">
        <v>-0.15054319999999999</v>
      </c>
      <c r="V4972">
        <v>-0.25390170000000001</v>
      </c>
      <c r="W4972">
        <v>-2.225835E-2</v>
      </c>
      <c r="X4972">
        <v>0.96697390000000005</v>
      </c>
      <c r="Y4972">
        <v>-0.27990730000000003</v>
      </c>
      <c r="Z4972">
        <v>8.9611769999999903E-3</v>
      </c>
      <c r="AA4972">
        <v>0.95998519999999998</v>
      </c>
      <c r="AB4972">
        <v>29</v>
      </c>
      <c r="AC4972">
        <v>43.670499999999997</v>
      </c>
      <c r="AD4972">
        <v>-1.114437087654</v>
      </c>
      <c r="AE4972">
        <v>-2.15395</v>
      </c>
      <c r="AF4972">
        <v>-12.275686435400999</v>
      </c>
      <c r="AG4972">
        <v>-1.114437087654</v>
      </c>
      <c r="AH4972">
        <v>41.935403560602602</v>
      </c>
      <c r="AI4972">
        <v>91.461000316771106</v>
      </c>
      <c r="AJ4972">
        <v>106.31625582295101</v>
      </c>
      <c r="AK4972">
        <v>43.709409962538103</v>
      </c>
      <c r="AL4972">
        <v>91.275414823148594</v>
      </c>
      <c r="AM4972">
        <v>104.71224241146901</v>
      </c>
      <c r="AN4972">
        <v>1.00000001534441</v>
      </c>
    </row>
    <row r="4973" spans="1:40" x14ac:dyDescent="0.25">
      <c r="A4973" t="str">
        <f>"20190305135335505"</f>
        <v>20190305135335505</v>
      </c>
      <c r="B4973" t="str">
        <f>"1551765215495263"</f>
        <v>1551765215495263</v>
      </c>
      <c r="C4973" t="s">
        <v>40</v>
      </c>
      <c r="D4973">
        <v>4.7405980000000003</v>
      </c>
      <c r="E4973">
        <v>0.48873329999999998</v>
      </c>
      <c r="F4973" t="s">
        <v>42</v>
      </c>
      <c r="G4973">
        <v>-353.36669999999998</v>
      </c>
      <c r="H4973" s="1">
        <v>-3.1162369999999999E-6</v>
      </c>
      <c r="I4973">
        <v>17.991239999999902</v>
      </c>
      <c r="J4973">
        <v>-394.71550000000002</v>
      </c>
      <c r="K4973">
        <v>1.114487</v>
      </c>
      <c r="L4973">
        <v>19.885739999999998</v>
      </c>
      <c r="M4973">
        <v>0.94572820000000002</v>
      </c>
      <c r="N4973">
        <v>-1.4478919999999999E-2</v>
      </c>
      <c r="O4973">
        <v>-0.3246368</v>
      </c>
      <c r="P4973">
        <v>0.99677329999999997</v>
      </c>
      <c r="Q4973">
        <v>-3.3500839999999997E-2</v>
      </c>
      <c r="R4973">
        <v>-7.2945579999999996E-2</v>
      </c>
      <c r="S4973">
        <v>2.9970699999999999</v>
      </c>
      <c r="T4973">
        <v>-8.0494759999999999E-2</v>
      </c>
      <c r="U4973">
        <v>-0.1402283</v>
      </c>
      <c r="V4973">
        <v>-0.25437779999999999</v>
      </c>
      <c r="W4973">
        <v>-2.2552119999999998E-2</v>
      </c>
      <c r="X4973">
        <v>0.96684190000000003</v>
      </c>
      <c r="Y4973">
        <v>-0.27993570000000001</v>
      </c>
      <c r="Z4973">
        <v>9.5877870000000004E-3</v>
      </c>
      <c r="AA4973">
        <v>0.95997089999999996</v>
      </c>
      <c r="AB4973">
        <v>29</v>
      </c>
      <c r="AC4973">
        <v>41.348799999999997</v>
      </c>
      <c r="AD4973">
        <v>-1.114490116237</v>
      </c>
      <c r="AE4973">
        <v>-1.8945000000000001</v>
      </c>
      <c r="AF4973">
        <v>-11.6244491406053</v>
      </c>
      <c r="AG4973">
        <v>-1.114490116237</v>
      </c>
      <c r="AH4973">
        <v>39.695126857392999</v>
      </c>
      <c r="AI4973">
        <v>91.543441739716698</v>
      </c>
      <c r="AJ4973">
        <v>106.322312014204</v>
      </c>
      <c r="AK4973">
        <v>41.377203896182202</v>
      </c>
      <c r="AL4973">
        <v>91.292250900113302</v>
      </c>
      <c r="AM4973">
        <v>104.740554513335</v>
      </c>
      <c r="AN4973">
        <v>0.99999996142247105</v>
      </c>
    </row>
    <row r="4974" spans="1:40" x14ac:dyDescent="0.25">
      <c r="A4974" t="str">
        <f>"20190305135335517"</f>
        <v>20190305135335517</v>
      </c>
      <c r="B4974" t="str">
        <f>"1551765215505023"</f>
        <v>1551765215505023</v>
      </c>
      <c r="C4974" t="s">
        <v>40</v>
      </c>
      <c r="D4974">
        <v>4.7711189999999997</v>
      </c>
      <c r="E4974">
        <v>0.48879820000000002</v>
      </c>
      <c r="F4974" t="s">
        <v>42</v>
      </c>
      <c r="G4974">
        <v>-353.87169999999998</v>
      </c>
      <c r="H4974" s="1">
        <v>-2.874577E-6</v>
      </c>
      <c r="I4974">
        <v>18.13213</v>
      </c>
      <c r="J4974">
        <v>-394.56450000000001</v>
      </c>
      <c r="K4974">
        <v>1.11453</v>
      </c>
      <c r="L4974">
        <v>19.837769999999999</v>
      </c>
      <c r="M4974">
        <v>0.94687580000000005</v>
      </c>
      <c r="N4974">
        <v>-1.448374E-2</v>
      </c>
      <c r="O4974">
        <v>-0.32127329999999998</v>
      </c>
      <c r="P4974">
        <v>0.99703149999999996</v>
      </c>
      <c r="Q4974">
        <v>-3.3887090000000002E-2</v>
      </c>
      <c r="R4974">
        <v>-6.9138839999999993E-2</v>
      </c>
      <c r="S4974">
        <v>2.9975589999999999</v>
      </c>
      <c r="T4974">
        <v>-8.179343E-2</v>
      </c>
      <c r="U4974">
        <v>-0.12869259999999999</v>
      </c>
      <c r="V4974">
        <v>-0.25462200000000001</v>
      </c>
      <c r="W4974">
        <v>-2.296254E-2</v>
      </c>
      <c r="X4974">
        <v>0.96676799999999996</v>
      </c>
      <c r="Y4974">
        <v>-0.28021220000000002</v>
      </c>
      <c r="Z4974">
        <v>9.7556029999999998E-3</v>
      </c>
      <c r="AA4974">
        <v>0.95988850000000003</v>
      </c>
      <c r="AB4974">
        <v>29</v>
      </c>
      <c r="AC4974">
        <v>40.692799999999998</v>
      </c>
      <c r="AD4974">
        <v>-1.114532874577</v>
      </c>
      <c r="AE4974">
        <v>-1.70564</v>
      </c>
      <c r="AF4974">
        <v>-11.4511074011274</v>
      </c>
      <c r="AG4974">
        <v>-1.114532874577</v>
      </c>
      <c r="AH4974">
        <v>39.0538569117329</v>
      </c>
      <c r="AI4974">
        <v>91.568676313907801</v>
      </c>
      <c r="AJ4974">
        <v>106.341834951248</v>
      </c>
      <c r="AK4974">
        <v>40.713312121746803</v>
      </c>
      <c r="AL4974">
        <v>91.315772271287997</v>
      </c>
      <c r="AM4974">
        <v>104.755166851631</v>
      </c>
      <c r="AN4974">
        <v>1.00000000347562</v>
      </c>
    </row>
    <row r="4975" spans="1:40" x14ac:dyDescent="0.25">
      <c r="A4975" t="str">
        <f>"20190305135335536"</f>
        <v>20190305135335536</v>
      </c>
      <c r="B4975" t="str">
        <f>"1551765215524543"</f>
        <v>1551765215524543</v>
      </c>
      <c r="C4975" t="s">
        <v>40</v>
      </c>
      <c r="D4975">
        <v>4.7940849999999999</v>
      </c>
      <c r="E4975">
        <v>0.48897279999999999</v>
      </c>
      <c r="F4975" t="s">
        <v>42</v>
      </c>
      <c r="G4975">
        <v>-354.55439999999999</v>
      </c>
      <c r="H4975" s="1">
        <v>-2.5579760000000001E-6</v>
      </c>
      <c r="I4975">
        <v>18.265969999999999</v>
      </c>
      <c r="J4975">
        <v>-394.33960000000002</v>
      </c>
      <c r="K4975">
        <v>1.1145769999999999</v>
      </c>
      <c r="L4975">
        <v>19.767209999999999</v>
      </c>
      <c r="M4975">
        <v>0.94856510000000005</v>
      </c>
      <c r="N4975">
        <v>-1.4489699999999999E-2</v>
      </c>
      <c r="O4975">
        <v>-0.31625039999999999</v>
      </c>
      <c r="P4975">
        <v>0.99745819999999996</v>
      </c>
      <c r="Q4975">
        <v>-3.358589E-2</v>
      </c>
      <c r="R4975">
        <v>-6.2844079999999997E-2</v>
      </c>
      <c r="S4975">
        <v>2.997925</v>
      </c>
      <c r="T4975">
        <v>-8.351111E-2</v>
      </c>
      <c r="U4975">
        <v>-0.11776730000000001</v>
      </c>
      <c r="V4975">
        <v>-0.25560440000000001</v>
      </c>
      <c r="W4975">
        <v>-2.2699069999999998E-2</v>
      </c>
      <c r="X4975">
        <v>0.96651489999999995</v>
      </c>
      <c r="Y4975">
        <v>-0.278615</v>
      </c>
      <c r="Z4975">
        <v>9.9253290000000001E-3</v>
      </c>
      <c r="AA4975">
        <v>0.96035159999999997</v>
      </c>
      <c r="AB4975">
        <v>29</v>
      </c>
      <c r="AC4975">
        <v>39.785200000000003</v>
      </c>
      <c r="AD4975">
        <v>-1.1145795579760001</v>
      </c>
      <c r="AE4975">
        <v>-1.5012399999999899</v>
      </c>
      <c r="AF4975">
        <v>-11.1504940953866</v>
      </c>
      <c r="AG4975">
        <v>-1.1145795579760001</v>
      </c>
      <c r="AH4975">
        <v>38.1877033165567</v>
      </c>
      <c r="AI4975">
        <v>91.604832969807802</v>
      </c>
      <c r="AJ4975">
        <v>106.27736852978499</v>
      </c>
      <c r="AK4975">
        <v>39.797945810753397</v>
      </c>
      <c r="AL4975">
        <v>91.300672680152701</v>
      </c>
      <c r="AM4975">
        <v>104.81330641850801</v>
      </c>
      <c r="AN4975">
        <v>0.99999995450011603</v>
      </c>
    </row>
    <row r="4976" spans="1:40" x14ac:dyDescent="0.25">
      <c r="A4976" t="str">
        <f>"20190305135335547"</f>
        <v>20190305135335547</v>
      </c>
      <c r="B4976" t="str">
        <f>"1551765215535280"</f>
        <v>1551765215535280</v>
      </c>
      <c r="C4976" t="s">
        <v>40</v>
      </c>
      <c r="D4976">
        <v>4.7696709999999998</v>
      </c>
      <c r="E4976">
        <v>0.48897279999999999</v>
      </c>
      <c r="F4976" t="s">
        <v>42</v>
      </c>
      <c r="G4976">
        <v>-354.221</v>
      </c>
      <c r="H4976" s="1">
        <v>-2.6725549999999999E-6</v>
      </c>
      <c r="I4976">
        <v>18.42625</v>
      </c>
      <c r="J4976">
        <v>-394.19189999999998</v>
      </c>
      <c r="K4976">
        <v>1.1145940000000001</v>
      </c>
      <c r="L4976">
        <v>19.721499999999999</v>
      </c>
      <c r="M4976">
        <v>0.94966150000000005</v>
      </c>
      <c r="N4976">
        <v>-1.4492929999999999E-2</v>
      </c>
      <c r="O4976">
        <v>-0.31294260000000002</v>
      </c>
      <c r="P4976">
        <v>0.99770309999999995</v>
      </c>
      <c r="Q4976">
        <v>-3.3193359999999998E-2</v>
      </c>
      <c r="R4976">
        <v>-5.9049709999999998E-2</v>
      </c>
      <c r="S4976">
        <v>2.998535</v>
      </c>
      <c r="T4976">
        <v>-8.330572E-2</v>
      </c>
      <c r="U4976">
        <v>-0.10021969999999999</v>
      </c>
      <c r="V4976">
        <v>-0.25591950000000002</v>
      </c>
      <c r="W4976">
        <v>-2.2321130000000002E-2</v>
      </c>
      <c r="X4976">
        <v>0.96644039999999998</v>
      </c>
      <c r="Y4976">
        <v>-0.2808872</v>
      </c>
      <c r="Z4976">
        <v>9.9051539999999993E-3</v>
      </c>
      <c r="AA4976">
        <v>0.95968969999999998</v>
      </c>
      <c r="AB4976">
        <v>29</v>
      </c>
      <c r="AC4976">
        <v>39.970899999999901</v>
      </c>
      <c r="AD4976">
        <v>-1.1145966725550001</v>
      </c>
      <c r="AE4976">
        <v>-1.29524999999999</v>
      </c>
      <c r="AF4976">
        <v>-11.270977601596501</v>
      </c>
      <c r="AG4976">
        <v>-1.1145966725550001</v>
      </c>
      <c r="AH4976">
        <v>38.338411858036601</v>
      </c>
      <c r="AI4976">
        <v>91.597692426892607</v>
      </c>
      <c r="AJ4976">
        <v>106.38262704432</v>
      </c>
      <c r="AK4976">
        <v>39.976381597570899</v>
      </c>
      <c r="AL4976">
        <v>91.279012720832199</v>
      </c>
      <c r="AM4976">
        <v>104.831856238916</v>
      </c>
      <c r="AN4976">
        <v>1.0000000350384399</v>
      </c>
    </row>
    <row r="4977" spans="1:40" x14ac:dyDescent="0.25">
      <c r="A4977" t="str">
        <f>"20190305135335559"</f>
        <v>20190305135335559</v>
      </c>
      <c r="B4977" t="str">
        <f>"1551765215554799"</f>
        <v>1551765215554799</v>
      </c>
      <c r="C4977" t="s">
        <v>40</v>
      </c>
      <c r="D4977">
        <v>4.7559370000000003</v>
      </c>
      <c r="E4977">
        <v>0.49661280000000002</v>
      </c>
      <c r="F4977" t="s">
        <v>42</v>
      </c>
      <c r="G4977">
        <v>-353.48689999999999</v>
      </c>
      <c r="H4977" s="1">
        <v>-2.971575E-6</v>
      </c>
      <c r="I4977">
        <v>18.516030000000001</v>
      </c>
      <c r="J4977">
        <v>-394.05189999999999</v>
      </c>
      <c r="K4977">
        <v>1.114609</v>
      </c>
      <c r="L4977">
        <v>19.67886</v>
      </c>
      <c r="M4977">
        <v>0.95068989999999998</v>
      </c>
      <c r="N4977">
        <v>-1.449539E-2</v>
      </c>
      <c r="O4977">
        <v>-0.30980469999999999</v>
      </c>
      <c r="P4977">
        <v>0.99793770000000004</v>
      </c>
      <c r="Q4977">
        <v>-3.25767E-2</v>
      </c>
      <c r="R4977">
        <v>-5.5311390000000002E-2</v>
      </c>
      <c r="S4977">
        <v>2.9989319999999999</v>
      </c>
      <c r="T4977">
        <v>-8.2117679999999998E-2</v>
      </c>
      <c r="U4977">
        <v>-8.880615E-2</v>
      </c>
      <c r="V4977">
        <v>-0.25636209999999998</v>
      </c>
      <c r="W4977">
        <v>-2.1716200000000001E-2</v>
      </c>
      <c r="X4977">
        <v>0.9663368</v>
      </c>
      <c r="Y4977">
        <v>-0.28137620000000002</v>
      </c>
      <c r="Z4977">
        <v>9.7029509999999996E-3</v>
      </c>
      <c r="AA4977">
        <v>0.95954850000000003</v>
      </c>
      <c r="AB4977">
        <v>29</v>
      </c>
      <c r="AC4977">
        <v>40.564999999999998</v>
      </c>
      <c r="AD4977">
        <v>-1.114611971575</v>
      </c>
      <c r="AE4977">
        <v>-1.16283</v>
      </c>
      <c r="AF4977">
        <v>-11.4542983811313</v>
      </c>
      <c r="AG4977">
        <v>-1.114611971575</v>
      </c>
      <c r="AH4977">
        <v>38.899724116034797</v>
      </c>
      <c r="AI4977">
        <v>91.574470956182694</v>
      </c>
      <c r="AJ4977">
        <v>106.40743727286799</v>
      </c>
      <c r="AK4977">
        <v>40.566388150225897</v>
      </c>
      <c r="AL4977">
        <v>91.244344467352207</v>
      </c>
      <c r="AM4977">
        <v>104.85789603511</v>
      </c>
      <c r="AN4977">
        <v>0.99999996534654401</v>
      </c>
    </row>
    <row r="4978" spans="1:40" x14ac:dyDescent="0.25">
      <c r="A4978" t="str">
        <f>"20190305135335573"</f>
        <v>20190305135335573</v>
      </c>
      <c r="B4978" t="str">
        <f>"1551765215565535"</f>
        <v>1551765215565535</v>
      </c>
      <c r="C4978" t="s">
        <v>40</v>
      </c>
      <c r="D4978">
        <v>4.7827219999999997</v>
      </c>
      <c r="E4978">
        <v>0.49667620000000001</v>
      </c>
      <c r="F4978" t="s">
        <v>42</v>
      </c>
      <c r="G4978">
        <v>-359.24799999999999</v>
      </c>
      <c r="H4978" s="1">
        <v>-6.5468800000000005E-7</v>
      </c>
      <c r="I4978">
        <v>18.065049999999999</v>
      </c>
      <c r="J4978">
        <v>-393.89060000000001</v>
      </c>
      <c r="K4978">
        <v>1.1146180000000001</v>
      </c>
      <c r="L4978">
        <v>19.630279999999999</v>
      </c>
      <c r="M4978">
        <v>0.95185980000000003</v>
      </c>
      <c r="N4978">
        <v>-1.449783E-2</v>
      </c>
      <c r="O4978">
        <v>-0.30619059999999998</v>
      </c>
      <c r="P4978">
        <v>0.99817820000000002</v>
      </c>
      <c r="Q4978">
        <v>-3.183362E-2</v>
      </c>
      <c r="R4978">
        <v>-5.125275E-2</v>
      </c>
      <c r="S4978">
        <v>2.9953919999999998</v>
      </c>
      <c r="T4978">
        <v>-9.592879E-2</v>
      </c>
      <c r="U4978">
        <v>-0.1388855</v>
      </c>
      <c r="V4978">
        <v>-0.25663609999999998</v>
      </c>
      <c r="W4978">
        <v>-2.0980619999999998E-2</v>
      </c>
      <c r="X4978">
        <v>0.96628029999999998</v>
      </c>
      <c r="Y4978">
        <v>-0.2615672</v>
      </c>
      <c r="Z4978">
        <v>1.124439E-2</v>
      </c>
      <c r="AA4978">
        <v>0.96511979999999997</v>
      </c>
      <c r="AB4978">
        <v>29</v>
      </c>
      <c r="AC4978">
        <v>34.642599999999902</v>
      </c>
      <c r="AD4978">
        <v>-1.1146186546879999</v>
      </c>
      <c r="AE4978">
        <v>-1.5652299999999899</v>
      </c>
      <c r="AF4978">
        <v>-9.1089070316790597</v>
      </c>
      <c r="AG4978">
        <v>-1.1146186546879999</v>
      </c>
      <c r="AH4978">
        <v>33.423144498046398</v>
      </c>
      <c r="AI4978">
        <v>91.8428681424583</v>
      </c>
      <c r="AJ4978">
        <v>105.244753312562</v>
      </c>
      <c r="AK4978">
        <v>34.660080066186197</v>
      </c>
      <c r="AL4978">
        <v>91.202189251144802</v>
      </c>
      <c r="AM4978">
        <v>104.87390379640399</v>
      </c>
      <c r="AN4978">
        <v>0.99999994620344002</v>
      </c>
    </row>
    <row r="4979" spans="1:40" x14ac:dyDescent="0.25">
      <c r="A4979" t="str">
        <f>"20190305135335586"</f>
        <v>20190305135335586</v>
      </c>
      <c r="B4979" t="str">
        <f>"1551765215575294"</f>
        <v>1551765215575294</v>
      </c>
      <c r="C4979" t="s">
        <v>40</v>
      </c>
      <c r="D4979">
        <v>4.7509769999999998</v>
      </c>
      <c r="E4979">
        <v>0.49695070000000002</v>
      </c>
      <c r="F4979" t="s">
        <v>42</v>
      </c>
      <c r="G4979">
        <v>-358.31650000000002</v>
      </c>
      <c r="H4979" s="1">
        <v>-9.7002610000000005E-7</v>
      </c>
      <c r="I4979">
        <v>18.11946</v>
      </c>
      <c r="J4979">
        <v>-393.7251</v>
      </c>
      <c r="K4979">
        <v>1.114622</v>
      </c>
      <c r="L4979">
        <v>19.580960000000001</v>
      </c>
      <c r="M4979">
        <v>0.95304469999999997</v>
      </c>
      <c r="N4979">
        <v>-1.4500000000000001E-2</v>
      </c>
      <c r="O4979">
        <v>-0.30248269999999999</v>
      </c>
      <c r="P4979">
        <v>0.99839409999999895</v>
      </c>
      <c r="Q4979">
        <v>-3.1352379999999999E-2</v>
      </c>
      <c r="R4979">
        <v>-4.7180739999999999E-2</v>
      </c>
      <c r="S4979">
        <v>2.995911</v>
      </c>
      <c r="T4979">
        <v>-9.3868850000000004E-2</v>
      </c>
      <c r="U4979">
        <v>-0.1272278</v>
      </c>
      <c r="V4979">
        <v>-0.2568262</v>
      </c>
      <c r="W4979">
        <v>-2.0503770000000001E-2</v>
      </c>
      <c r="X4979">
        <v>0.96624010000000005</v>
      </c>
      <c r="Y4979">
        <v>-0.26157639999999999</v>
      </c>
      <c r="Z4979">
        <v>1.0891929999999999E-2</v>
      </c>
      <c r="AA4979">
        <v>0.96512129999999996</v>
      </c>
      <c r="AB4979">
        <v>29</v>
      </c>
      <c r="AC4979">
        <v>35.4085999999999</v>
      </c>
      <c r="AD4979">
        <v>-1.1146229700260999</v>
      </c>
      <c r="AE4979">
        <v>-1.4615</v>
      </c>
      <c r="AF4979">
        <v>-9.3093835179309394</v>
      </c>
      <c r="AG4979">
        <v>-1.1146229700260999</v>
      </c>
      <c r="AH4979">
        <v>34.157857487939701</v>
      </c>
      <c r="AI4979">
        <v>91.803259446204606</v>
      </c>
      <c r="AJ4979">
        <v>105.24513275425799</v>
      </c>
      <c r="AK4979">
        <v>35.421268102873299</v>
      </c>
      <c r="AL4979">
        <v>91.174861795405107</v>
      </c>
      <c r="AM4979">
        <v>104.885024344615</v>
      </c>
      <c r="AN4979">
        <v>1.0000000162193301</v>
      </c>
    </row>
    <row r="4980" spans="1:40" x14ac:dyDescent="0.25">
      <c r="A4980" t="str">
        <f>"20190305135335604"</f>
        <v>20190305135335604</v>
      </c>
      <c r="B4980" t="str">
        <f>"1551765215594818"</f>
        <v>1551765215594818</v>
      </c>
      <c r="C4980" t="s">
        <v>40</v>
      </c>
      <c r="D4980">
        <v>4.7673230000000002</v>
      </c>
      <c r="E4980">
        <v>0.49766749999999998</v>
      </c>
      <c r="F4980" t="s">
        <v>42</v>
      </c>
      <c r="G4980">
        <v>-357.67959999999999</v>
      </c>
      <c r="H4980" s="1">
        <v>-1.234077E-6</v>
      </c>
      <c r="I4980">
        <v>18.171130000000002</v>
      </c>
      <c r="J4980">
        <v>-393.49360000000001</v>
      </c>
      <c r="K4980">
        <v>1.114622</v>
      </c>
      <c r="L4980">
        <v>19.513369999999998</v>
      </c>
      <c r="M4980">
        <v>0.95467190000000002</v>
      </c>
      <c r="N4980">
        <v>-1.450249E-2</v>
      </c>
      <c r="O4980">
        <v>-0.29730679999999998</v>
      </c>
      <c r="P4980">
        <v>0.99863360000000001</v>
      </c>
      <c r="Q4980">
        <v>-3.1445109999999998E-2</v>
      </c>
      <c r="R4980">
        <v>-4.1743240000000001E-2</v>
      </c>
      <c r="S4980">
        <v>2.9963380000000002</v>
      </c>
      <c r="T4980">
        <v>-9.2654940000000005E-2</v>
      </c>
      <c r="U4980">
        <v>-0.1171875</v>
      </c>
      <c r="V4980">
        <v>-0.25684279999999998</v>
      </c>
      <c r="W4980">
        <v>-2.0595539999999999E-2</v>
      </c>
      <c r="X4980">
        <v>0.96623369999999997</v>
      </c>
      <c r="Y4980">
        <v>-0.25958110000000001</v>
      </c>
      <c r="Z4980">
        <v>1.059712E-2</v>
      </c>
      <c r="AA4980">
        <v>0.96566320000000005</v>
      </c>
      <c r="AB4980">
        <v>29</v>
      </c>
      <c r="AC4980">
        <v>35.814</v>
      </c>
      <c r="AD4980">
        <v>-1.1146232340769999</v>
      </c>
      <c r="AE4980">
        <v>-1.3422400000000001</v>
      </c>
      <c r="AF4980">
        <v>-9.35827978107638</v>
      </c>
      <c r="AG4980">
        <v>-1.1146232340769999</v>
      </c>
      <c r="AH4980">
        <v>34.5598847555055</v>
      </c>
      <c r="AI4980">
        <v>91.783087831052896</v>
      </c>
      <c r="AJ4980">
        <v>105.15145922213</v>
      </c>
      <c r="AK4980">
        <v>35.821856732010303</v>
      </c>
      <c r="AL4980">
        <v>91.180120980425897</v>
      </c>
      <c r="AM4980">
        <v>104.886037949583</v>
      </c>
      <c r="AN4980">
        <v>0.99999998159770997</v>
      </c>
    </row>
    <row r="4981" spans="1:40" x14ac:dyDescent="0.25">
      <c r="A4981" t="str">
        <f>"20190305135335618"</f>
        <v>20190305135335618</v>
      </c>
      <c r="B4981" t="str">
        <f>"1551765215604575"</f>
        <v>1551765215604575</v>
      </c>
      <c r="C4981" t="s">
        <v>40</v>
      </c>
      <c r="D4981">
        <v>4.907095</v>
      </c>
      <c r="E4981">
        <v>0.49721389999999999</v>
      </c>
      <c r="F4981" t="s">
        <v>42</v>
      </c>
      <c r="G4981">
        <v>-357.41699999999997</v>
      </c>
      <c r="H4981" s="1">
        <v>-1.336308E-6</v>
      </c>
      <c r="I4981">
        <v>18.229970000000002</v>
      </c>
      <c r="J4981">
        <v>-393.33330000000001</v>
      </c>
      <c r="K4981">
        <v>1.114619</v>
      </c>
      <c r="L4981">
        <v>19.467590000000001</v>
      </c>
      <c r="M4981">
        <v>0.95577769999999995</v>
      </c>
      <c r="N4981">
        <v>-1.450386E-2</v>
      </c>
      <c r="O4981">
        <v>-0.29373290000000002</v>
      </c>
      <c r="P4981">
        <v>0.99877150000000003</v>
      </c>
      <c r="Q4981">
        <v>-3.1635969999999999E-2</v>
      </c>
      <c r="R4981">
        <v>-3.8142040000000002E-2</v>
      </c>
      <c r="S4981">
        <v>2.9966740000000001</v>
      </c>
      <c r="T4981">
        <v>-9.2585440000000005E-2</v>
      </c>
      <c r="U4981">
        <v>-0.1065979</v>
      </c>
      <c r="V4981">
        <v>-0.25670720000000002</v>
      </c>
      <c r="W4981">
        <v>-2.0782249999999999E-2</v>
      </c>
      <c r="X4981">
        <v>0.96626570000000001</v>
      </c>
      <c r="Y4981">
        <v>-0.25938070000000002</v>
      </c>
      <c r="Z4981">
        <v>1.0530889999999999E-2</v>
      </c>
      <c r="AA4981">
        <v>0.96571770000000001</v>
      </c>
      <c r="AB4981">
        <v>29</v>
      </c>
      <c r="AC4981">
        <v>35.9163</v>
      </c>
      <c r="AD4981">
        <v>-1.1146203363079901</v>
      </c>
      <c r="AE4981">
        <v>-1.23761999999999</v>
      </c>
      <c r="AF4981">
        <v>-9.3588900628243792</v>
      </c>
      <c r="AG4981">
        <v>-1.1146203363079901</v>
      </c>
      <c r="AH4981">
        <v>34.661827844284304</v>
      </c>
      <c r="AI4981">
        <v>91.778191067861101</v>
      </c>
      <c r="AJ4981">
        <v>105.109877934293</v>
      </c>
      <c r="AK4981">
        <v>35.920377381215602</v>
      </c>
      <c r="AL4981">
        <v>91.190821008563802</v>
      </c>
      <c r="AM4981">
        <v>104.878056653473</v>
      </c>
      <c r="AN4981">
        <v>0.99999994572169404</v>
      </c>
    </row>
    <row r="4982" spans="1:40" x14ac:dyDescent="0.25">
      <c r="A4982" t="str">
        <f>"20190305135335633"</f>
        <v>20190305135335633</v>
      </c>
      <c r="B4982" t="str">
        <f>"1551765215625071"</f>
        <v>1551765215625071</v>
      </c>
      <c r="C4982" t="s">
        <v>40</v>
      </c>
      <c r="D4982">
        <v>4.8496750000000004</v>
      </c>
      <c r="E4982">
        <v>0.49717719999999999</v>
      </c>
      <c r="F4982" t="s">
        <v>86</v>
      </c>
      <c r="G4982">
        <v>-363.34070000000003</v>
      </c>
      <c r="H4982" s="1">
        <v>-3.3391459999999999E-6</v>
      </c>
      <c r="I4982">
        <v>18.54055</v>
      </c>
      <c r="J4982">
        <v>-393.13929999999999</v>
      </c>
      <c r="K4982">
        <v>1.1146100000000001</v>
      </c>
      <c r="L4982">
        <v>19.412749999999999</v>
      </c>
      <c r="M4982">
        <v>0.95709679999999997</v>
      </c>
      <c r="N4982">
        <v>-1.450517E-2</v>
      </c>
      <c r="O4982">
        <v>-0.28940559999999999</v>
      </c>
      <c r="P4982">
        <v>0.9989112</v>
      </c>
      <c r="Q4982">
        <v>-3.221736E-2</v>
      </c>
      <c r="R4982">
        <v>-3.3746060000000001E-2</v>
      </c>
      <c r="S4982">
        <v>2.9965820000000001</v>
      </c>
      <c r="T4982">
        <v>-0.1113627</v>
      </c>
      <c r="U4982">
        <v>-9.2620850000000005E-2</v>
      </c>
      <c r="V4982">
        <v>-0.25657600000000003</v>
      </c>
      <c r="W4982">
        <v>-2.1358909999999998E-2</v>
      </c>
      <c r="X4982">
        <v>0.96628800000000004</v>
      </c>
      <c r="Y4982">
        <v>-0.25940970000000002</v>
      </c>
      <c r="Z4982">
        <v>1.307291E-2</v>
      </c>
      <c r="AA4982">
        <v>0.96567890000000001</v>
      </c>
      <c r="AB4982">
        <v>29</v>
      </c>
      <c r="AC4982">
        <v>29.798599999999901</v>
      </c>
      <c r="AD4982">
        <v>-1.114613339146</v>
      </c>
      <c r="AE4982">
        <v>-0.87219999999999898</v>
      </c>
      <c r="AF4982">
        <v>-7.7790457655017997</v>
      </c>
      <c r="AG4982">
        <v>-1.114613339146</v>
      </c>
      <c r="AH4982">
        <v>28.735417458152899</v>
      </c>
      <c r="AI4982">
        <v>92.144217950141496</v>
      </c>
      <c r="AJ4982">
        <v>105.147634578444</v>
      </c>
      <c r="AK4982">
        <v>29.7906047674748</v>
      </c>
      <c r="AL4982">
        <v>91.223868498647604</v>
      </c>
      <c r="AM4982">
        <v>104.870461667947</v>
      </c>
      <c r="AN4982">
        <v>0.99999997287819298</v>
      </c>
    </row>
    <row r="4983" spans="1:40" x14ac:dyDescent="0.25">
      <c r="A4983" t="str">
        <f>"20190305135335650"</f>
        <v>20190305135335650</v>
      </c>
      <c r="B4983" t="str">
        <f>"1551765215645567"</f>
        <v>1551765215645567</v>
      </c>
      <c r="C4983" t="s">
        <v>40</v>
      </c>
      <c r="D4983">
        <v>4.9039900000000003</v>
      </c>
      <c r="E4983">
        <v>0.49748369999999997</v>
      </c>
      <c r="F4983" t="s">
        <v>86</v>
      </c>
      <c r="G4983">
        <v>-368.17180000000002</v>
      </c>
      <c r="H4983" s="1">
        <v>-1.0185530000000001E-6</v>
      </c>
      <c r="I4983">
        <v>18.748529999999999</v>
      </c>
      <c r="J4983">
        <v>-392.92700000000002</v>
      </c>
      <c r="K4983">
        <v>1.11459</v>
      </c>
      <c r="L4983">
        <v>19.353850000000001</v>
      </c>
      <c r="M4983">
        <v>0.95851359999999997</v>
      </c>
      <c r="N4983">
        <v>-1.450619E-2</v>
      </c>
      <c r="O4983">
        <v>-0.28467819999999999</v>
      </c>
      <c r="P4983">
        <v>0.99898710000000002</v>
      </c>
      <c r="Q4983">
        <v>-3.3597219999999997E-2</v>
      </c>
      <c r="R4983">
        <v>-2.9935960000000001E-2</v>
      </c>
      <c r="S4983">
        <v>2.9962770000000001</v>
      </c>
      <c r="T4983">
        <v>-0.13376150000000001</v>
      </c>
      <c r="U4983">
        <v>-7.9711909999999997E-2</v>
      </c>
      <c r="V4983">
        <v>-0.2554633</v>
      </c>
      <c r="W4983">
        <v>-2.27178E-2</v>
      </c>
      <c r="X4983">
        <v>0.96655179999999996</v>
      </c>
      <c r="Y4983">
        <v>-0.2586521</v>
      </c>
      <c r="Z4983">
        <v>1.602601E-2</v>
      </c>
      <c r="AA4983">
        <v>0.96583759999999996</v>
      </c>
      <c r="AB4983">
        <v>29</v>
      </c>
      <c r="AC4983">
        <v>24.755199999999899</v>
      </c>
      <c r="AD4983">
        <v>-1.1145910185529999</v>
      </c>
      <c r="AE4983">
        <v>-0.60532000000000197</v>
      </c>
      <c r="AF4983">
        <v>-6.4546603590244596</v>
      </c>
      <c r="AG4983">
        <v>-1.1145910185529999</v>
      </c>
      <c r="AH4983">
        <v>23.854697716256101</v>
      </c>
      <c r="AI4983">
        <v>92.5824189595088</v>
      </c>
      <c r="AJ4983">
        <v>105.140670067652</v>
      </c>
      <c r="AK4983">
        <v>24.737654630602201</v>
      </c>
      <c r="AL4983">
        <v>91.301746061929705</v>
      </c>
      <c r="AM4983">
        <v>104.80494797892401</v>
      </c>
      <c r="AN4983">
        <v>0.99999998908348398</v>
      </c>
    </row>
    <row r="4984" spans="1:40" x14ac:dyDescent="0.25">
      <c r="A4984" t="str">
        <f>"20190305135335672"</f>
        <v>20190305135335672</v>
      </c>
      <c r="B4984" t="str">
        <f>"1551765215665087"</f>
        <v>1551765215665087</v>
      </c>
      <c r="C4984" t="s">
        <v>40</v>
      </c>
      <c r="D4984">
        <v>4.8938699999999997</v>
      </c>
      <c r="E4984">
        <v>0.49787930000000002</v>
      </c>
      <c r="F4984" t="s">
        <v>87</v>
      </c>
      <c r="G4984">
        <v>-370.85719999999998</v>
      </c>
      <c r="H4984" s="1">
        <v>-4.4417780000000002E-6</v>
      </c>
      <c r="I4984">
        <v>18.830249999999999</v>
      </c>
      <c r="J4984">
        <v>-392.64929999999998</v>
      </c>
      <c r="K4984">
        <v>1.1145750000000001</v>
      </c>
      <c r="L4984">
        <v>19.278590000000001</v>
      </c>
      <c r="M4984">
        <v>0.96032649999999997</v>
      </c>
      <c r="N4984">
        <v>-1.45071E-2</v>
      </c>
      <c r="O4984">
        <v>-0.27850079999999999</v>
      </c>
      <c r="P4984">
        <v>0.99908019999999997</v>
      </c>
      <c r="Q4984">
        <v>-3.4879350000000003E-2</v>
      </c>
      <c r="R4984">
        <v>-2.4942369999999998E-2</v>
      </c>
      <c r="S4984">
        <v>2.995819</v>
      </c>
      <c r="T4984">
        <v>-0.1512983</v>
      </c>
      <c r="U4984">
        <v>-7.1075440000000004E-2</v>
      </c>
      <c r="V4984">
        <v>-0.25404379999999999</v>
      </c>
      <c r="W4984">
        <v>-2.3971920000000001E-2</v>
      </c>
      <c r="X4984">
        <v>0.96689559999999997</v>
      </c>
      <c r="Y4984">
        <v>-0.25508350000000002</v>
      </c>
      <c r="Z4984">
        <v>1.810697E-2</v>
      </c>
      <c r="AA4984">
        <v>0.96674950000000004</v>
      </c>
      <c r="AB4984">
        <v>29</v>
      </c>
      <c r="AC4984">
        <v>21.792100000000001</v>
      </c>
      <c r="AD4984">
        <v>-1.1145794417779999</v>
      </c>
      <c r="AE4984">
        <v>-0.44833999999999802</v>
      </c>
      <c r="AF4984">
        <v>-5.6244506706574802</v>
      </c>
      <c r="AG4984">
        <v>-1.1145794417779999</v>
      </c>
      <c r="AH4984">
        <v>20.999698148441599</v>
      </c>
      <c r="AI4984">
        <v>92.934923047351802</v>
      </c>
      <c r="AJ4984">
        <v>104.993886495361</v>
      </c>
      <c r="AK4984">
        <v>21.7684187529631</v>
      </c>
      <c r="AL4984">
        <v>91.373621419008003</v>
      </c>
      <c r="AM4984">
        <v>104.72125914528399</v>
      </c>
      <c r="AN4984">
        <v>1.00000000328314</v>
      </c>
    </row>
    <row r="4985" spans="1:40" x14ac:dyDescent="0.25">
      <c r="A4985" t="str">
        <f>"20190305135335686"</f>
        <v>20190305135335686</v>
      </c>
      <c r="B4985" t="str">
        <f>"1551765215674847"</f>
        <v>1551765215674847</v>
      </c>
      <c r="C4985" t="s">
        <v>40</v>
      </c>
      <c r="D4985">
        <v>4.8964619999999996</v>
      </c>
      <c r="E4985">
        <v>0.49810130000000002</v>
      </c>
      <c r="F4985" t="s">
        <v>87</v>
      </c>
      <c r="G4985">
        <v>-372.209</v>
      </c>
      <c r="H4985" s="1">
        <v>-3.795212E-6</v>
      </c>
      <c r="I4985">
        <v>18.87274</v>
      </c>
      <c r="J4985">
        <v>-392.47809999999998</v>
      </c>
      <c r="K4985">
        <v>1.1145590000000001</v>
      </c>
      <c r="L4985">
        <v>19.233000000000001</v>
      </c>
      <c r="M4985">
        <v>0.96142209999999995</v>
      </c>
      <c r="N4985">
        <v>-1.4507569999999999E-2</v>
      </c>
      <c r="O4985">
        <v>-0.27469470000000001</v>
      </c>
      <c r="P4985">
        <v>0.99913439999999998</v>
      </c>
      <c r="Q4985">
        <v>-3.5432789999999999E-2</v>
      </c>
      <c r="R4985">
        <v>-2.180035E-2</v>
      </c>
      <c r="S4985">
        <v>2.9955440000000002</v>
      </c>
      <c r="T4985">
        <v>-0.16334299999999999</v>
      </c>
      <c r="U4985">
        <v>-5.9478759999999999E-2</v>
      </c>
      <c r="V4985">
        <v>-0.2532433</v>
      </c>
      <c r="W4985">
        <v>-2.4508740000000001E-2</v>
      </c>
      <c r="X4985">
        <v>0.96709210000000001</v>
      </c>
      <c r="Y4985">
        <v>-0.25489329999999999</v>
      </c>
      <c r="Z4985">
        <v>1.9579099999999999E-2</v>
      </c>
      <c r="AA4985">
        <v>0.96677089999999999</v>
      </c>
      <c r="AB4985">
        <v>29</v>
      </c>
      <c r="AC4985">
        <v>20.269099999999899</v>
      </c>
      <c r="AD4985">
        <v>-1.1145627952120001</v>
      </c>
      <c r="AE4985">
        <v>-0.36026000000000002</v>
      </c>
      <c r="AF4985">
        <v>-5.20626445348661</v>
      </c>
      <c r="AG4985">
        <v>-1.1145627952120001</v>
      </c>
      <c r="AH4985">
        <v>19.5291508236513</v>
      </c>
      <c r="AI4985">
        <v>93.156423351685504</v>
      </c>
      <c r="AJ4985">
        <v>104.92728355409599</v>
      </c>
      <c r="AK4985">
        <v>20.241916205661699</v>
      </c>
      <c r="AL4985">
        <v>91.404388000696102</v>
      </c>
      <c r="AM4985">
        <v>104.67402426925101</v>
      </c>
      <c r="AN4985">
        <v>0.99999998860684303</v>
      </c>
    </row>
    <row r="4986" spans="1:40" x14ac:dyDescent="0.25">
      <c r="A4986" t="str">
        <f>"20190305135335707"</f>
        <v>20190305135335707</v>
      </c>
      <c r="B4986" t="str">
        <f>"1551765215695343"</f>
        <v>1551765215695343</v>
      </c>
      <c r="C4986" t="s">
        <v>40</v>
      </c>
      <c r="D4986">
        <v>4.8805990000000001</v>
      </c>
      <c r="E4986">
        <v>0.49829830000000003</v>
      </c>
      <c r="F4986" t="s">
        <v>87</v>
      </c>
      <c r="G4986">
        <v>-372.66669999999999</v>
      </c>
      <c r="H4986" s="1">
        <v>-3.5758510000000001E-6</v>
      </c>
      <c r="I4986">
        <v>18.889679999999998</v>
      </c>
      <c r="J4986">
        <v>-392.23500000000001</v>
      </c>
      <c r="K4986">
        <v>1.1145430000000001</v>
      </c>
      <c r="L4986">
        <v>19.169650000000001</v>
      </c>
      <c r="M4986">
        <v>0.9629508</v>
      </c>
      <c r="N4986">
        <v>-1.4507859999999999E-2</v>
      </c>
      <c r="O4986">
        <v>-0.26928679999999999</v>
      </c>
      <c r="P4986">
        <v>0.99921420000000005</v>
      </c>
      <c r="Q4986">
        <v>-3.5279680000000001E-2</v>
      </c>
      <c r="R4986">
        <v>-1.8064469999999999E-2</v>
      </c>
      <c r="S4986">
        <v>2.9954830000000001</v>
      </c>
      <c r="T4986">
        <v>-0.168521799999999</v>
      </c>
      <c r="U4986">
        <v>-5.1910400000000002E-2</v>
      </c>
      <c r="V4986">
        <v>-0.25142799999999998</v>
      </c>
      <c r="W4986">
        <v>-2.4320310000000001E-2</v>
      </c>
      <c r="X4986">
        <v>0.96757040000000005</v>
      </c>
      <c r="Y4986">
        <v>-0.25186330000000001</v>
      </c>
      <c r="Z4986">
        <v>1.994947E-2</v>
      </c>
      <c r="AA4986">
        <v>0.96755720000000001</v>
      </c>
      <c r="AB4986">
        <v>29</v>
      </c>
      <c r="AC4986">
        <v>19.568300000000001</v>
      </c>
      <c r="AD4986">
        <v>-1.114546575851</v>
      </c>
      <c r="AE4986">
        <v>-0.279970000000002</v>
      </c>
      <c r="AF4986">
        <v>-4.9842476242467102</v>
      </c>
      <c r="AG4986">
        <v>-1.114546575851</v>
      </c>
      <c r="AH4986">
        <v>18.8595236028582</v>
      </c>
      <c r="AI4986">
        <v>93.270074977949307</v>
      </c>
      <c r="AJ4986">
        <v>104.803823853547</v>
      </c>
      <c r="AK4986">
        <v>19.538847688037102</v>
      </c>
      <c r="AL4986">
        <v>91.393588524903805</v>
      </c>
      <c r="AM4986">
        <v>104.566433738336</v>
      </c>
      <c r="AN4986">
        <v>0.99999999780932802</v>
      </c>
    </row>
    <row r="4987" spans="1:40" x14ac:dyDescent="0.25">
      <c r="A4987" t="str">
        <f>"20190305135335726"</f>
        <v>20190305135335726</v>
      </c>
      <c r="B4987" t="str">
        <f>"1551765215715109"</f>
        <v>1551765215715109</v>
      </c>
      <c r="C4987" t="s">
        <v>40</v>
      </c>
      <c r="D4987">
        <v>4.9262459999999999</v>
      </c>
      <c r="E4987">
        <v>0.50377640000000001</v>
      </c>
      <c r="F4987" t="s">
        <v>87</v>
      </c>
      <c r="G4987">
        <v>-372.68090000000001</v>
      </c>
      <c r="H4987" s="1">
        <v>-3.568547E-6</v>
      </c>
      <c r="I4987">
        <v>18.893139999999999</v>
      </c>
      <c r="J4987">
        <v>-391.98360000000002</v>
      </c>
      <c r="K4987">
        <v>1.1145370000000001</v>
      </c>
      <c r="L4987">
        <v>19.105740000000001</v>
      </c>
      <c r="M4987">
        <v>0.96449640000000003</v>
      </c>
      <c r="N4987">
        <v>-1.450764E-2</v>
      </c>
      <c r="O4987">
        <v>-0.26369720000000002</v>
      </c>
      <c r="P4987">
        <v>0.99928059999999996</v>
      </c>
      <c r="Q4987">
        <v>-3.5325049999999997E-2</v>
      </c>
      <c r="R4987">
        <v>-1.379757E-2</v>
      </c>
      <c r="S4987">
        <v>2.995514</v>
      </c>
      <c r="T4987">
        <v>-0.1707389</v>
      </c>
      <c r="U4987">
        <v>-4.2358399999999997E-2</v>
      </c>
      <c r="V4987">
        <v>-0.249948</v>
      </c>
      <c r="W4987">
        <v>-2.4335699999999998E-2</v>
      </c>
      <c r="X4987">
        <v>0.96795339999999996</v>
      </c>
      <c r="Y4987">
        <v>-0.24932470000000001</v>
      </c>
      <c r="Z4987">
        <v>1.9925370000000001E-2</v>
      </c>
      <c r="AA4987">
        <v>0.96821489999999999</v>
      </c>
      <c r="AB4987">
        <v>29</v>
      </c>
      <c r="AC4987">
        <v>19.302700000000002</v>
      </c>
      <c r="AD4987">
        <v>-1.114540568547</v>
      </c>
      <c r="AE4987">
        <v>-0.21260000000000101</v>
      </c>
      <c r="AF4987">
        <v>-4.8692982914276</v>
      </c>
      <c r="AG4987">
        <v>-1.114540568547</v>
      </c>
      <c r="AH4987">
        <v>18.6133641922873</v>
      </c>
      <c r="AI4987">
        <v>93.315387835516205</v>
      </c>
      <c r="AJ4987">
        <v>104.66017285562801</v>
      </c>
      <c r="AK4987">
        <v>19.2719898579405</v>
      </c>
      <c r="AL4987">
        <v>91.394470555491793</v>
      </c>
      <c r="AM4987">
        <v>104.47881664449601</v>
      </c>
      <c r="AN4987">
        <v>1.0000000067850201</v>
      </c>
    </row>
    <row r="4988" spans="1:40" x14ac:dyDescent="0.25">
      <c r="A4988" t="str">
        <f>"20190305135335739"</f>
        <v>20190305135335739</v>
      </c>
      <c r="B4988" t="str">
        <f>"1551765215735605"</f>
        <v>1551765215735605</v>
      </c>
      <c r="C4988" t="s">
        <v>40</v>
      </c>
      <c r="D4988">
        <v>4.8406449999999897</v>
      </c>
      <c r="E4988">
        <v>0.50336809999999998</v>
      </c>
      <c r="F4988" t="s">
        <v>87</v>
      </c>
      <c r="G4988">
        <v>-377.03440000000001</v>
      </c>
      <c r="H4988" s="1">
        <v>-1.53896E-6</v>
      </c>
      <c r="I4988">
        <v>18.733250000000002</v>
      </c>
      <c r="J4988">
        <v>-391.82060000000001</v>
      </c>
      <c r="K4988">
        <v>1.11453</v>
      </c>
      <c r="L4988">
        <v>19.06522</v>
      </c>
      <c r="M4988">
        <v>0.96548009999999995</v>
      </c>
      <c r="N4988">
        <v>-1.45072999999999E-2</v>
      </c>
      <c r="O4988">
        <v>-0.26007269999999999</v>
      </c>
      <c r="P4988">
        <v>0.99931080000000005</v>
      </c>
      <c r="Q4988">
        <v>-3.5555759999999999E-2</v>
      </c>
      <c r="R4988">
        <v>-1.06861E-2</v>
      </c>
      <c r="S4988">
        <v>2.9932859999999999</v>
      </c>
      <c r="T4988">
        <v>-0.22316530000000001</v>
      </c>
      <c r="U4988">
        <v>-7.4584960000000006E-2</v>
      </c>
      <c r="V4988">
        <v>-0.24932260000000001</v>
      </c>
      <c r="W4988">
        <v>-2.4552399999999999E-2</v>
      </c>
      <c r="X4988">
        <v>0.9681092</v>
      </c>
      <c r="Y4988">
        <v>-0.2347379</v>
      </c>
      <c r="Z4988">
        <v>2.5813030000000001E-2</v>
      </c>
      <c r="AA4988">
        <v>0.97171589999999997</v>
      </c>
      <c r="AB4988">
        <v>29</v>
      </c>
      <c r="AC4988">
        <v>14.786199999999999</v>
      </c>
      <c r="AD4988">
        <v>-1.1145315389599999</v>
      </c>
      <c r="AE4988">
        <v>-0.33196999999999799</v>
      </c>
      <c r="AF4988">
        <v>-3.50544083559498</v>
      </c>
      <c r="AG4988">
        <v>-1.1145315389599999</v>
      </c>
      <c r="AH4988">
        <v>14.282522219850501</v>
      </c>
      <c r="AI4988">
        <v>94.333899933025606</v>
      </c>
      <c r="AJ4988">
        <v>103.789848472782</v>
      </c>
      <c r="AK4988">
        <v>14.748584235909499</v>
      </c>
      <c r="AL4988">
        <v>91.406890269766393</v>
      </c>
      <c r="AM4988">
        <v>104.441878902922</v>
      </c>
      <c r="AN4988">
        <v>1.0000000011705801</v>
      </c>
    </row>
    <row r="4989" spans="1:40" x14ac:dyDescent="0.25">
      <c r="A4989" t="str">
        <f>"20190305135335753"</f>
        <v>20190305135335753</v>
      </c>
      <c r="B4989" t="str">
        <f>"1551765215745365"</f>
        <v>1551765215745365</v>
      </c>
      <c r="C4989" t="s">
        <v>40</v>
      </c>
      <c r="D4989">
        <v>4.8480339999999904</v>
      </c>
      <c r="E4989">
        <v>0.50347749999999902</v>
      </c>
      <c r="F4989" t="s">
        <v>87</v>
      </c>
      <c r="G4989">
        <v>-377.28230000000002</v>
      </c>
      <c r="H4989" s="1">
        <v>-1.416427E-6</v>
      </c>
      <c r="I4989">
        <v>18.763439999999999</v>
      </c>
      <c r="J4989">
        <v>-391.65030000000002</v>
      </c>
      <c r="K4989">
        <v>1.1145240000000001</v>
      </c>
      <c r="L4989">
        <v>19.023530000000001</v>
      </c>
      <c r="M4989">
        <v>0.96649269999999998</v>
      </c>
      <c r="N4989">
        <v>-1.450682E-2</v>
      </c>
      <c r="O4989">
        <v>-0.2562837</v>
      </c>
      <c r="P4989">
        <v>0.99934529999999999</v>
      </c>
      <c r="Q4989">
        <v>-3.5444650000000001E-2</v>
      </c>
      <c r="R4989">
        <v>-7.2451260000000002E-3</v>
      </c>
      <c r="S4989">
        <v>2.9933169999999998</v>
      </c>
      <c r="T4989">
        <v>-0.22947339999999999</v>
      </c>
      <c r="U4989">
        <v>-6.2133790000000001E-2</v>
      </c>
      <c r="V4989">
        <v>-0.2488612</v>
      </c>
      <c r="W4989">
        <v>-2.4429650000000001E-2</v>
      </c>
      <c r="X4989">
        <v>0.96823099999999995</v>
      </c>
      <c r="Y4989">
        <v>-0.23489869999999999</v>
      </c>
      <c r="Z4989">
        <v>2.6386E-2</v>
      </c>
      <c r="AA4989">
        <v>0.97166160000000001</v>
      </c>
      <c r="AB4989">
        <v>29</v>
      </c>
      <c r="AC4989">
        <v>14.367999999999901</v>
      </c>
      <c r="AD4989">
        <v>-1.114525416427</v>
      </c>
      <c r="AE4989">
        <v>-0.26008999999999799</v>
      </c>
      <c r="AF4989">
        <v>-3.41075418971392</v>
      </c>
      <c r="AG4989">
        <v>-1.114525416427</v>
      </c>
      <c r="AH4989">
        <v>13.8712555239665</v>
      </c>
      <c r="AI4989">
        <v>94.461395122883005</v>
      </c>
      <c r="AJ4989">
        <v>103.81420628081899</v>
      </c>
      <c r="AK4989">
        <v>14.3278449481311</v>
      </c>
      <c r="AL4989">
        <v>91.399855122458405</v>
      </c>
      <c r="AM4989">
        <v>104.41452936897799</v>
      </c>
      <c r="AN4989">
        <v>0.99999998701278103</v>
      </c>
    </row>
    <row r="4990" spans="1:40" x14ac:dyDescent="0.25">
      <c r="A4990" t="str">
        <f>"20190305135335771"</f>
        <v>20190305135335771</v>
      </c>
      <c r="B4990" t="str">
        <f>"1551765215764884"</f>
        <v>1551765215764884</v>
      </c>
      <c r="C4990" t="s">
        <v>40</v>
      </c>
      <c r="D4990">
        <v>4.8354619999999997</v>
      </c>
      <c r="E4990">
        <v>0.50391209999999997</v>
      </c>
      <c r="F4990" t="s">
        <v>87</v>
      </c>
      <c r="G4990">
        <v>-377.05509999999998</v>
      </c>
      <c r="H4990" s="1">
        <v>-1.5232559999999999E-6</v>
      </c>
      <c r="I4990">
        <v>18.7667</v>
      </c>
      <c r="J4990">
        <v>-391.42230000000001</v>
      </c>
      <c r="K4990">
        <v>1.1145130000000001</v>
      </c>
      <c r="L4990">
        <v>18.968720000000001</v>
      </c>
      <c r="M4990">
        <v>0.96782429999999997</v>
      </c>
      <c r="N4990">
        <v>-1.450599E-2</v>
      </c>
      <c r="O4990">
        <v>-0.25120890000000001</v>
      </c>
      <c r="P4990">
        <v>0.99933530000000004</v>
      </c>
      <c r="Q4990">
        <v>-3.637758E-2</v>
      </c>
      <c r="R4990">
        <v>-2.4121419999999999E-3</v>
      </c>
      <c r="S4990">
        <v>2.9934080000000001</v>
      </c>
      <c r="T4990">
        <v>-0.22858410000000001</v>
      </c>
      <c r="U4990">
        <v>-5.2673339999999999E-2</v>
      </c>
      <c r="V4990">
        <v>-0.2484442</v>
      </c>
      <c r="W4990">
        <v>-2.5350870000000001E-2</v>
      </c>
      <c r="X4990">
        <v>0.96831440000000002</v>
      </c>
      <c r="Y4990">
        <v>-0.23289579999999999</v>
      </c>
      <c r="Z4990">
        <v>2.5886340000000001E-2</v>
      </c>
      <c r="AA4990">
        <v>0.9721571</v>
      </c>
      <c r="AB4990">
        <v>29</v>
      </c>
      <c r="AC4990">
        <v>14.3672</v>
      </c>
      <c r="AD4990">
        <v>-1.1145145232560001</v>
      </c>
      <c r="AE4990">
        <v>-0.20202000000000001</v>
      </c>
      <c r="AF4990">
        <v>-3.3935900831033998</v>
      </c>
      <c r="AG4990">
        <v>-1.1145145232560001</v>
      </c>
      <c r="AH4990">
        <v>13.8736711231765</v>
      </c>
      <c r="AI4990">
        <v>94.461893694121599</v>
      </c>
      <c r="AJ4990">
        <v>103.74502934214399</v>
      </c>
      <c r="AK4990">
        <v>14.326107172178601</v>
      </c>
      <c r="AL4990">
        <v>91.452653507525</v>
      </c>
      <c r="AM4990">
        <v>104.39019180500701</v>
      </c>
      <c r="AN4990">
        <v>0.999999982185378</v>
      </c>
    </row>
    <row r="4991" spans="1:40" x14ac:dyDescent="0.25">
      <c r="A4991" t="str">
        <f>"20190305135335794"</f>
        <v>20190305135335794</v>
      </c>
      <c r="B4991" t="str">
        <f>"1551765215785380"</f>
        <v>1551765215785380</v>
      </c>
      <c r="C4991" t="s">
        <v>40</v>
      </c>
      <c r="D4991">
        <v>4.8333069999999996</v>
      </c>
      <c r="E4991">
        <v>0.50426970000000004</v>
      </c>
      <c r="F4991" t="s">
        <v>87</v>
      </c>
      <c r="G4991">
        <v>-376.98829999999998</v>
      </c>
      <c r="H4991" s="1">
        <v>-1.554626E-6</v>
      </c>
      <c r="I4991">
        <v>18.76801</v>
      </c>
      <c r="J4991">
        <v>-391.14030000000002</v>
      </c>
      <c r="K4991">
        <v>1.1144959999999999</v>
      </c>
      <c r="L4991">
        <v>18.90277</v>
      </c>
      <c r="M4991">
        <v>0.96943259999999998</v>
      </c>
      <c r="N4991">
        <v>-1.450474E-2</v>
      </c>
      <c r="O4991">
        <v>-0.2449286</v>
      </c>
      <c r="P4991">
        <v>0.99929480000000004</v>
      </c>
      <c r="Q4991">
        <v>-3.735339E-2</v>
      </c>
      <c r="R4991">
        <v>3.8532480000000001E-3</v>
      </c>
      <c r="S4991">
        <v>2.9934690000000002</v>
      </c>
      <c r="T4991">
        <v>-0.23113890000000001</v>
      </c>
      <c r="U4991">
        <v>-4.162598E-2</v>
      </c>
      <c r="V4991">
        <v>-0.24821679999999999</v>
      </c>
      <c r="W4991">
        <v>-2.6316869999999999E-2</v>
      </c>
      <c r="X4991">
        <v>0.96834699999999996</v>
      </c>
      <c r="Y4991">
        <v>-0.2301696</v>
      </c>
      <c r="Z4991">
        <v>2.569637E-2</v>
      </c>
      <c r="AA4991">
        <v>0.97281119999999999</v>
      </c>
      <c r="AB4991">
        <v>29</v>
      </c>
      <c r="AC4991">
        <v>14.151999999999999</v>
      </c>
      <c r="AD4991">
        <v>-1.1144975546260001</v>
      </c>
      <c r="AE4991">
        <v>-0.13475999999999999</v>
      </c>
      <c r="AF4991">
        <v>-3.3153801049115401</v>
      </c>
      <c r="AG4991">
        <v>-1.1144975546260001</v>
      </c>
      <c r="AH4991">
        <v>13.6690975503742</v>
      </c>
      <c r="AI4991">
        <v>94.5304640033184</v>
      </c>
      <c r="AJ4991">
        <v>103.633564522219</v>
      </c>
      <c r="AK4991">
        <v>14.1095031053881</v>
      </c>
      <c r="AL4991">
        <v>91.508019632599499</v>
      </c>
      <c r="AM4991">
        <v>104.377102785311</v>
      </c>
      <c r="AN4991">
        <v>1.00000003492891</v>
      </c>
    </row>
    <row r="4992" spans="1:40" x14ac:dyDescent="0.25">
      <c r="A4992" t="str">
        <f>"20190305135335815"</f>
        <v>20190305135335815</v>
      </c>
      <c r="B4992" t="str">
        <f>"1551765215804905"</f>
        <v>1551765215804905</v>
      </c>
      <c r="C4992" t="s">
        <v>40</v>
      </c>
      <c r="D4992">
        <v>4.8431519999999999</v>
      </c>
      <c r="E4992">
        <v>0.50496949999999996</v>
      </c>
      <c r="F4992" t="s">
        <v>87</v>
      </c>
      <c r="G4992">
        <v>-376.88049999999998</v>
      </c>
      <c r="H4992" s="1">
        <v>-1.6033660000000001E-6</v>
      </c>
      <c r="I4992">
        <v>18.780360000000002</v>
      </c>
      <c r="J4992">
        <v>-390.87700000000001</v>
      </c>
      <c r="K4992">
        <v>1.114473</v>
      </c>
      <c r="L4992">
        <v>18.842929999999999</v>
      </c>
      <c r="M4992">
        <v>0.97089490000000001</v>
      </c>
      <c r="N4992">
        <v>-1.4503240000000001E-2</v>
      </c>
      <c r="O4992">
        <v>-0.23906649999999999</v>
      </c>
      <c r="P4992">
        <v>0.99923099999999998</v>
      </c>
      <c r="Q4992">
        <v>-3.8012150000000001E-2</v>
      </c>
      <c r="R4992">
        <v>9.6305950000000005E-3</v>
      </c>
      <c r="S4992">
        <v>2.9934690000000002</v>
      </c>
      <c r="T4992">
        <v>-0.2339599</v>
      </c>
      <c r="U4992">
        <v>-2.5695800000000001E-2</v>
      </c>
      <c r="V4992">
        <v>-0.24795159999999999</v>
      </c>
      <c r="W4992">
        <v>-2.6965889999999999E-2</v>
      </c>
      <c r="X4992">
        <v>0.96839710000000001</v>
      </c>
      <c r="Y4992">
        <v>-0.22944809999999999</v>
      </c>
      <c r="Z4992">
        <v>2.5643840000000001E-2</v>
      </c>
      <c r="AA4992">
        <v>0.97298300000000004</v>
      </c>
      <c r="AB4992">
        <v>29</v>
      </c>
      <c r="AC4992">
        <v>13.9964999999999</v>
      </c>
      <c r="AD4992">
        <v>-1.114474603366</v>
      </c>
      <c r="AE4992">
        <v>-6.2569999999997294E-2</v>
      </c>
      <c r="AF4992">
        <v>-3.2649906761709699</v>
      </c>
      <c r="AG4992">
        <v>-1.114474603366</v>
      </c>
      <c r="AH4992">
        <v>13.519803318653899</v>
      </c>
      <c r="AI4992">
        <v>94.581280283622405</v>
      </c>
      <c r="AJ4992">
        <v>103.576801015135</v>
      </c>
      <c r="AK4992">
        <v>13.9530390787139</v>
      </c>
      <c r="AL4992">
        <v>91.545218920367006</v>
      </c>
      <c r="AM4992">
        <v>104.361665438573</v>
      </c>
      <c r="AN4992">
        <v>1.0000000492272301</v>
      </c>
    </row>
    <row r="4993" spans="1:40" x14ac:dyDescent="0.25">
      <c r="A4993" t="str">
        <f>"20190305135335831"</f>
        <v>20190305135335831</v>
      </c>
      <c r="B4993" t="str">
        <f>"1551765215825396"</f>
        <v>1551765215825396</v>
      </c>
      <c r="C4993" t="s">
        <v>40</v>
      </c>
      <c r="D4993">
        <v>4.8260319999999997</v>
      </c>
      <c r="E4993">
        <v>0.52070629999999996</v>
      </c>
      <c r="F4993" t="s">
        <v>87</v>
      </c>
      <c r="G4993">
        <v>-376.91660000000002</v>
      </c>
      <c r="H4993" s="1">
        <v>-1.5867720000000001E-6</v>
      </c>
      <c r="I4993">
        <v>18.7776</v>
      </c>
      <c r="J4993">
        <v>-390.69529999999997</v>
      </c>
      <c r="K4993">
        <v>1.114463</v>
      </c>
      <c r="L4993">
        <v>18.802520000000001</v>
      </c>
      <c r="M4993">
        <v>0.9718831</v>
      </c>
      <c r="N4993">
        <v>-1.4502019999999999E-2</v>
      </c>
      <c r="O4993">
        <v>-0.23501759999999999</v>
      </c>
      <c r="P4993">
        <v>0.99918790000000002</v>
      </c>
      <c r="Q4993">
        <v>-3.8001710000000001E-2</v>
      </c>
      <c r="R4993">
        <v>1.340188E-2</v>
      </c>
      <c r="S4993">
        <v>2.993347</v>
      </c>
      <c r="T4993">
        <v>-0.23896220000000001</v>
      </c>
      <c r="U4993">
        <v>-1.400757E-2</v>
      </c>
      <c r="V4993">
        <v>-0.24757119999999999</v>
      </c>
      <c r="W4993">
        <v>-2.6945569999999999E-2</v>
      </c>
      <c r="X4993">
        <v>0.96849499999999999</v>
      </c>
      <c r="Y4993">
        <v>-0.2291416</v>
      </c>
      <c r="Z4993">
        <v>2.5963819999999999E-2</v>
      </c>
      <c r="AA4993">
        <v>0.97304679999999999</v>
      </c>
      <c r="AB4993">
        <v>29</v>
      </c>
      <c r="AC4993">
        <v>13.778699999999899</v>
      </c>
      <c r="AD4993">
        <v>-1.114464586772</v>
      </c>
      <c r="AE4993">
        <v>-2.4920000000001601E-2</v>
      </c>
      <c r="AF4993">
        <v>-3.1934633171582698</v>
      </c>
      <c r="AG4993">
        <v>-1.114464586772</v>
      </c>
      <c r="AH4993">
        <v>13.3114645903868</v>
      </c>
      <c r="AI4993">
        <v>94.654308121643595</v>
      </c>
      <c r="AJ4993">
        <v>103.490490484714</v>
      </c>
      <c r="AK4993">
        <v>13.7344577182474</v>
      </c>
      <c r="AL4993">
        <v>91.544054224285603</v>
      </c>
      <c r="AM4993">
        <v>104.33915173824499</v>
      </c>
      <c r="AN4993">
        <v>1.00000006391853</v>
      </c>
    </row>
    <row r="4994" spans="1:40" x14ac:dyDescent="0.25">
      <c r="A4994" t="str">
        <f>"20190305135335850"</f>
        <v>20190305135335850</v>
      </c>
      <c r="B4994" t="str">
        <f>"1551765215844916"</f>
        <v>1551765215844916</v>
      </c>
      <c r="C4994" t="s">
        <v>40</v>
      </c>
      <c r="D4994">
        <v>4.8235700000000001</v>
      </c>
      <c r="E4994">
        <v>0.5245263</v>
      </c>
      <c r="F4994" t="s">
        <v>87</v>
      </c>
      <c r="G4994">
        <v>-377.4359</v>
      </c>
      <c r="H4994" s="1">
        <v>-1.4378429999999999E-6</v>
      </c>
      <c r="I4994">
        <v>18.233499999999999</v>
      </c>
      <c r="J4994">
        <v>-390.44580000000002</v>
      </c>
      <c r="K4994">
        <v>1.114452</v>
      </c>
      <c r="L4994">
        <v>18.74841</v>
      </c>
      <c r="M4994">
        <v>0.97321159999999995</v>
      </c>
      <c r="N4994">
        <v>-1.4499980000000001E-2</v>
      </c>
      <c r="O4994">
        <v>-0.2294535</v>
      </c>
      <c r="P4994">
        <v>0.99911360000000005</v>
      </c>
      <c r="Q4994">
        <v>-3.7849960000000002E-2</v>
      </c>
      <c r="R4994">
        <v>1.8419640000000001E-2</v>
      </c>
      <c r="S4994">
        <v>2.9945680000000001</v>
      </c>
      <c r="T4994">
        <v>-0.25169459999999999</v>
      </c>
      <c r="U4994">
        <v>-0.1285095</v>
      </c>
      <c r="V4994">
        <v>-0.24689849999999999</v>
      </c>
      <c r="W4994">
        <v>-2.677831E-2</v>
      </c>
      <c r="X4994">
        <v>0.96867130000000001</v>
      </c>
      <c r="Y4994">
        <v>-0.1862299</v>
      </c>
      <c r="Z4994">
        <v>2.490419E-2</v>
      </c>
      <c r="AA4994">
        <v>0.98219049999999997</v>
      </c>
      <c r="AB4994">
        <v>29</v>
      </c>
      <c r="AC4994">
        <v>13.0099</v>
      </c>
      <c r="AD4994">
        <v>-1.114453437843</v>
      </c>
      <c r="AE4994">
        <v>-0.51490999999999998</v>
      </c>
      <c r="AF4994">
        <v>-2.4662429967217099</v>
      </c>
      <c r="AG4994">
        <v>-1.114453437843</v>
      </c>
      <c r="AH4994">
        <v>12.6879193438436</v>
      </c>
      <c r="AI4994">
        <v>94.927971761445704</v>
      </c>
      <c r="AJ4994">
        <v>100.999831655875</v>
      </c>
      <c r="AK4994">
        <v>12.973344143276201</v>
      </c>
      <c r="AL4994">
        <v>91.534467544982505</v>
      </c>
      <c r="AM4994">
        <v>104.299293622509</v>
      </c>
      <c r="AN4994">
        <v>1.00000001731619</v>
      </c>
    </row>
    <row r="4995" spans="1:40" x14ac:dyDescent="0.25">
      <c r="A4995" t="str">
        <f>"20190305135335873"</f>
        <v>20190305135335873</v>
      </c>
      <c r="B4995" t="str">
        <f>"1551765215865412"</f>
        <v>1551765215865412</v>
      </c>
      <c r="C4995" t="s">
        <v>40</v>
      </c>
      <c r="D4995">
        <v>4.7775889999999999</v>
      </c>
      <c r="E4995">
        <v>0.52636780000000005</v>
      </c>
      <c r="F4995" t="s">
        <v>87</v>
      </c>
      <c r="G4995">
        <v>-377.53640000000001</v>
      </c>
      <c r="H4995" s="1">
        <v>-1.409061E-6</v>
      </c>
      <c r="I4995">
        <v>18.127780000000001</v>
      </c>
      <c r="J4995">
        <v>-390.16890000000001</v>
      </c>
      <c r="K4995">
        <v>1.114436</v>
      </c>
      <c r="L4995">
        <v>18.69012</v>
      </c>
      <c r="M4995">
        <v>0.97464669999999998</v>
      </c>
      <c r="N4995">
        <v>-1.4497390000000001E-2</v>
      </c>
      <c r="O4995">
        <v>-0.22327939999999999</v>
      </c>
      <c r="P4995">
        <v>0.99898739999999997</v>
      </c>
      <c r="Q4995">
        <v>-3.8329599999999998E-2</v>
      </c>
      <c r="R4995">
        <v>2.3569509999999998E-2</v>
      </c>
      <c r="S4995">
        <v>2.9954830000000001</v>
      </c>
      <c r="T4995">
        <v>-0.25859769999999999</v>
      </c>
      <c r="U4995">
        <v>-0.14401249999999999</v>
      </c>
      <c r="V4995">
        <v>-0.24574190000000001</v>
      </c>
      <c r="W4995">
        <v>-2.723507E-2</v>
      </c>
      <c r="X4995">
        <v>0.96895260000000005</v>
      </c>
      <c r="Y4995">
        <v>-0.1749202</v>
      </c>
      <c r="Z4995">
        <v>2.46281E-2</v>
      </c>
      <c r="AA4995">
        <v>0.9842746</v>
      </c>
      <c r="AB4995">
        <v>29</v>
      </c>
      <c r="AC4995">
        <v>12.632499999999901</v>
      </c>
      <c r="AD4995">
        <v>-1.1144374090610001</v>
      </c>
      <c r="AE4995">
        <v>-0.56234000000000195</v>
      </c>
      <c r="AF4995">
        <v>-2.2552159244408498</v>
      </c>
      <c r="AG4995">
        <v>-1.1144374090610001</v>
      </c>
      <c r="AH4995">
        <v>12.3432161860976</v>
      </c>
      <c r="AI4995">
        <v>95.075529139658599</v>
      </c>
      <c r="AJ4995">
        <v>100.354242128235</v>
      </c>
      <c r="AK4995">
        <v>12.5969423044367</v>
      </c>
      <c r="AL4995">
        <v>91.560647563352902</v>
      </c>
      <c r="AM4995">
        <v>104.231072308241</v>
      </c>
      <c r="AN4995">
        <v>0.99999998575013704</v>
      </c>
    </row>
    <row r="4996" spans="1:40" x14ac:dyDescent="0.25">
      <c r="A4996" t="str">
        <f>"20190305135335884"</f>
        <v>20190305135335884</v>
      </c>
      <c r="B4996" t="str">
        <f>"1551765215875173"</f>
        <v>1551765215875173</v>
      </c>
      <c r="C4996" t="s">
        <v>40</v>
      </c>
      <c r="D4996">
        <v>4.7862660000000004</v>
      </c>
      <c r="E4996">
        <v>0.52695890000000001</v>
      </c>
      <c r="F4996" t="s">
        <v>87</v>
      </c>
      <c r="G4996">
        <v>-377.53469999999999</v>
      </c>
      <c r="H4996" s="1">
        <v>-1.4172280000000001E-6</v>
      </c>
      <c r="I4996">
        <v>18.086349999999999</v>
      </c>
      <c r="J4996">
        <v>-390.01179999999999</v>
      </c>
      <c r="K4996">
        <v>1.114419</v>
      </c>
      <c r="L4996">
        <v>18.65775</v>
      </c>
      <c r="M4996">
        <v>0.9754427</v>
      </c>
      <c r="N4996">
        <v>-1.4495879999999999E-2</v>
      </c>
      <c r="O4996">
        <v>-0.21977630000000001</v>
      </c>
      <c r="P4996">
        <v>0.99890029999999996</v>
      </c>
      <c r="Q4996">
        <v>-3.8772189999999998E-2</v>
      </c>
      <c r="R4996">
        <v>2.6368229999999999E-2</v>
      </c>
      <c r="S4996">
        <v>2.9962770000000001</v>
      </c>
      <c r="T4996">
        <v>-0.26429629999999998</v>
      </c>
      <c r="U4996">
        <v>-0.1431885</v>
      </c>
      <c r="V4996">
        <v>-0.2449674</v>
      </c>
      <c r="W4996">
        <v>-2.7663030000000002E-2</v>
      </c>
      <c r="X4996">
        <v>0.96913660000000001</v>
      </c>
      <c r="Y4996">
        <v>-0.17162820000000001</v>
      </c>
      <c r="Z4996">
        <v>2.478754E-2</v>
      </c>
      <c r="AA4996">
        <v>0.98484989999999994</v>
      </c>
      <c r="AB4996">
        <v>29</v>
      </c>
      <c r="AC4996">
        <v>12.4771</v>
      </c>
      <c r="AD4996">
        <v>-1.1144204172279999</v>
      </c>
      <c r="AE4996">
        <v>-0.57140000000000002</v>
      </c>
      <c r="AF4996">
        <v>-2.1677748738074301</v>
      </c>
      <c r="AG4996">
        <v>-1.1144204172279999</v>
      </c>
      <c r="AH4996">
        <v>12.2004408785058</v>
      </c>
      <c r="AI4996">
        <v>95.139016128773804</v>
      </c>
      <c r="AJ4996">
        <v>100.075169728028</v>
      </c>
      <c r="AK4996">
        <v>12.441540837041099</v>
      </c>
      <c r="AL4996">
        <v>91.585177070076298</v>
      </c>
      <c r="AM4996">
        <v>104.185449376542</v>
      </c>
      <c r="AN4996">
        <v>1.0000000098755499</v>
      </c>
    </row>
    <row r="4997" spans="1:40" x14ac:dyDescent="0.25">
      <c r="A4997" t="str">
        <f>"20190305135335896"</f>
        <v>20190305135335896</v>
      </c>
      <c r="B4997" t="str">
        <f>"1551765215884933"</f>
        <v>1551765215884933</v>
      </c>
      <c r="C4997" t="s">
        <v>40</v>
      </c>
      <c r="D4997">
        <v>4.7535619999999996</v>
      </c>
      <c r="E4997">
        <v>0.52755459999999998</v>
      </c>
      <c r="F4997" t="s">
        <v>87</v>
      </c>
      <c r="G4997">
        <v>-377.45359999999999</v>
      </c>
      <c r="H4997" s="1">
        <v>-1.45788999999999E-6</v>
      </c>
      <c r="I4997">
        <v>18.073160000000001</v>
      </c>
      <c r="J4997">
        <v>-389.86340000000001</v>
      </c>
      <c r="K4997">
        <v>1.1144050000000001</v>
      </c>
      <c r="L4997">
        <v>18.62799</v>
      </c>
      <c r="M4997">
        <v>0.97618229999999995</v>
      </c>
      <c r="N4997">
        <v>-1.449432E-2</v>
      </c>
      <c r="O4997">
        <v>-0.21646689999999999</v>
      </c>
      <c r="P4997">
        <v>0.99881010000000003</v>
      </c>
      <c r="Q4997">
        <v>-3.9110810000000003E-2</v>
      </c>
      <c r="R4997">
        <v>2.9131540000000001E-2</v>
      </c>
      <c r="S4997">
        <v>2.9966740000000001</v>
      </c>
      <c r="T4997">
        <v>-0.26592640000000001</v>
      </c>
      <c r="U4997">
        <v>-0.139495799999999</v>
      </c>
      <c r="V4997">
        <v>-0.2443555</v>
      </c>
      <c r="W4997">
        <v>-2.7989819999999999E-2</v>
      </c>
      <c r="X4997">
        <v>0.96928170000000002</v>
      </c>
      <c r="Y4997">
        <v>-0.1695055</v>
      </c>
      <c r="Z4997">
        <v>2.4602760000000001E-2</v>
      </c>
      <c r="AA4997">
        <v>0.98522209999999999</v>
      </c>
      <c r="AB4997">
        <v>29</v>
      </c>
      <c r="AC4997">
        <v>12.409800000000001</v>
      </c>
      <c r="AD4997">
        <v>-1.1144064578899999</v>
      </c>
      <c r="AE4997">
        <v>-0.55482999999999905</v>
      </c>
      <c r="AF4997">
        <v>-2.1277965476275398</v>
      </c>
      <c r="AG4997">
        <v>-1.1144064578899999</v>
      </c>
      <c r="AH4997">
        <v>12.1379288517021</v>
      </c>
      <c r="AI4997">
        <v>95.167367538965706</v>
      </c>
      <c r="AJ4997">
        <v>99.943003320855794</v>
      </c>
      <c r="AK4997">
        <v>12.373307428107699</v>
      </c>
      <c r="AL4997">
        <v>91.603907983181898</v>
      </c>
      <c r="AM4997">
        <v>104.14940766312201</v>
      </c>
      <c r="AN4997">
        <v>1.0000000271793801</v>
      </c>
    </row>
    <row r="4998" spans="1:40" x14ac:dyDescent="0.25">
      <c r="A4998" t="str">
        <f>"20190305135335916"</f>
        <v>20190305135335916</v>
      </c>
      <c r="B4998" t="str">
        <f>"1551765215905430"</f>
        <v>1551765215905430</v>
      </c>
      <c r="C4998" t="s">
        <v>40</v>
      </c>
      <c r="D4998">
        <v>4.7524660000000001</v>
      </c>
      <c r="E4998">
        <v>0.52834289999999995</v>
      </c>
      <c r="F4998" t="s">
        <v>87</v>
      </c>
      <c r="G4998">
        <v>-377.34730000000002</v>
      </c>
      <c r="H4998" s="1">
        <v>-1.5104190000000001E-6</v>
      </c>
      <c r="I4998">
        <v>18.060490000000001</v>
      </c>
      <c r="J4998">
        <v>-389.63209999999998</v>
      </c>
      <c r="K4998">
        <v>1.1143860000000001</v>
      </c>
      <c r="L4998">
        <v>18.5824</v>
      </c>
      <c r="M4998">
        <v>0.97731299999999999</v>
      </c>
      <c r="N4998">
        <v>-1.4491739999999999E-2</v>
      </c>
      <c r="O4998">
        <v>-0.21130399999999999</v>
      </c>
      <c r="P4998">
        <v>0.99865760000000003</v>
      </c>
      <c r="Q4998">
        <v>-4.0079330000000003E-2</v>
      </c>
      <c r="R4998">
        <v>3.2813809999999999E-2</v>
      </c>
      <c r="S4998">
        <v>2.997131</v>
      </c>
      <c r="T4998">
        <v>-0.26685629999999999</v>
      </c>
      <c r="U4998">
        <v>-0.13589479999999901</v>
      </c>
      <c r="V4998">
        <v>-0.242787</v>
      </c>
      <c r="W4998">
        <v>-2.8930770000000001E-2</v>
      </c>
      <c r="X4998">
        <v>0.96964810000000001</v>
      </c>
      <c r="Y4998">
        <v>-0.16550619999999999</v>
      </c>
      <c r="Z4998">
        <v>2.4113099999999998E-2</v>
      </c>
      <c r="AA4998">
        <v>0.98591390000000001</v>
      </c>
      <c r="AB4998">
        <v>29</v>
      </c>
      <c r="AC4998">
        <v>12.284799999999899</v>
      </c>
      <c r="AD4998">
        <v>-1.114387510419</v>
      </c>
      <c r="AE4998">
        <v>-0.52191000000000098</v>
      </c>
      <c r="AF4998">
        <v>-2.06898234673461</v>
      </c>
      <c r="AG4998">
        <v>-1.114387510419</v>
      </c>
      <c r="AH4998">
        <v>12.018925248975</v>
      </c>
      <c r="AI4998">
        <v>95.220926194953705</v>
      </c>
      <c r="AJ4998">
        <v>99.767378291628205</v>
      </c>
      <c r="AK4998">
        <v>12.24651426386</v>
      </c>
      <c r="AL4998">
        <v>91.657842377621094</v>
      </c>
      <c r="AM4998">
        <v>104.057095208947</v>
      </c>
      <c r="AN4998">
        <v>0.99999997732770096</v>
      </c>
    </row>
    <row r="4999" spans="1:40" x14ac:dyDescent="0.25">
      <c r="A4999" t="str">
        <f>"20190305135335928"</f>
        <v>20190305135335928</v>
      </c>
      <c r="B4999" t="str">
        <f>"1551765215924949"</f>
        <v>1551765215924949</v>
      </c>
      <c r="C4999" t="s">
        <v>40</v>
      </c>
      <c r="D4999">
        <v>4.7504220000000004</v>
      </c>
      <c r="E4999">
        <v>0.5286573</v>
      </c>
      <c r="F4999" t="s">
        <v>87</v>
      </c>
      <c r="G4999">
        <v>-377.303</v>
      </c>
      <c r="H4999" s="1">
        <v>-1.5344019999999999E-6</v>
      </c>
      <c r="I4999">
        <v>18.043140000000001</v>
      </c>
      <c r="J4999">
        <v>-389.47500000000002</v>
      </c>
      <c r="K4999">
        <v>1.1143780000000001</v>
      </c>
      <c r="L4999">
        <v>18.552060000000001</v>
      </c>
      <c r="M4999">
        <v>0.97806490000000001</v>
      </c>
      <c r="N4999">
        <v>-1.448994E-2</v>
      </c>
      <c r="O4999">
        <v>-0.2077967</v>
      </c>
      <c r="P4999">
        <v>0.99854830000000006</v>
      </c>
      <c r="Q4999">
        <v>-4.0548899999999999E-2</v>
      </c>
      <c r="R4999">
        <v>3.54591E-2</v>
      </c>
      <c r="S4999">
        <v>2.9974370000000001</v>
      </c>
      <c r="T4999">
        <v>-0.27092959999999999</v>
      </c>
      <c r="U4999">
        <v>-0.13110350000000001</v>
      </c>
      <c r="V4999">
        <v>-0.24186869999999999</v>
      </c>
      <c r="W4999">
        <v>-2.9383920000000001E-2</v>
      </c>
      <c r="X4999">
        <v>0.96986399999999995</v>
      </c>
      <c r="Y4999">
        <v>-0.16352230000000001</v>
      </c>
      <c r="Z4999">
        <v>2.4145449999999999E-2</v>
      </c>
      <c r="AA4999">
        <v>0.98624409999999896</v>
      </c>
      <c r="AB4999">
        <v>29</v>
      </c>
      <c r="AC4999">
        <v>12.171999999999899</v>
      </c>
      <c r="AD4999">
        <v>-1.114379534402</v>
      </c>
      <c r="AE4999">
        <v>-0.50891999999999904</v>
      </c>
      <c r="AF4999">
        <v>-2.01489836516012</v>
      </c>
      <c r="AG4999">
        <v>-1.114379534402</v>
      </c>
      <c r="AH4999">
        <v>11.912342882885699</v>
      </c>
      <c r="AI4999">
        <v>95.2699459572748</v>
      </c>
      <c r="AJ4999">
        <v>99.600357152321195</v>
      </c>
      <c r="AK4999">
        <v>12.1328302604156</v>
      </c>
      <c r="AL4999">
        <v>91.683816914638996</v>
      </c>
      <c r="AM4999">
        <v>104.00302816191601</v>
      </c>
      <c r="AN4999">
        <v>1.00000003064512</v>
      </c>
    </row>
    <row r="5000" spans="1:40" x14ac:dyDescent="0.25">
      <c r="A5000" t="str">
        <f>"20190305135335942"</f>
        <v>20190305135335942</v>
      </c>
      <c r="B5000" t="str">
        <f>"1551765215934709"</f>
        <v>1551765215934709</v>
      </c>
      <c r="C5000" t="s">
        <v>40</v>
      </c>
      <c r="D5000">
        <v>4.711436</v>
      </c>
      <c r="E5000">
        <v>0.52887479999999998</v>
      </c>
      <c r="F5000" t="s">
        <v>87</v>
      </c>
      <c r="G5000">
        <v>-377.2808</v>
      </c>
      <c r="H5000" s="1">
        <v>-1.545276E-6</v>
      </c>
      <c r="I5000">
        <v>18.041219999999999</v>
      </c>
      <c r="J5000">
        <v>-389.30439999999999</v>
      </c>
      <c r="K5000">
        <v>1.1143670000000001</v>
      </c>
      <c r="L5000">
        <v>18.5199</v>
      </c>
      <c r="M5000">
        <v>0.97886589999999996</v>
      </c>
      <c r="N5000">
        <v>-1.4487989999999999E-2</v>
      </c>
      <c r="O5000">
        <v>-0.2039899</v>
      </c>
      <c r="P5000">
        <v>0.99843850000000001</v>
      </c>
      <c r="Q5000">
        <v>-4.0416260000000002E-2</v>
      </c>
      <c r="R5000">
        <v>3.8566700000000002E-2</v>
      </c>
      <c r="S5000">
        <v>2.997681</v>
      </c>
      <c r="T5000">
        <v>-0.27394550000000001</v>
      </c>
      <c r="U5000">
        <v>-0.12557979999999999</v>
      </c>
      <c r="V5000">
        <v>-0.24111759999999999</v>
      </c>
      <c r="W5000">
        <v>-2.9236950000000001E-2</v>
      </c>
      <c r="X5000">
        <v>0.97005540000000001</v>
      </c>
      <c r="Y5000">
        <v>-0.16149079999999999</v>
      </c>
      <c r="Z5000">
        <v>2.404185E-2</v>
      </c>
      <c r="AA5000">
        <v>0.98658129999999999</v>
      </c>
      <c r="AB5000">
        <v>29</v>
      </c>
      <c r="AC5000">
        <v>12.023599999999901</v>
      </c>
      <c r="AD5000">
        <v>-1.1143685452759999</v>
      </c>
      <c r="AE5000">
        <v>-0.478679999999997</v>
      </c>
      <c r="AF5000">
        <v>-1.96746387716663</v>
      </c>
      <c r="AG5000">
        <v>-1.1143685452759999</v>
      </c>
      <c r="AH5000">
        <v>11.7674607312058</v>
      </c>
      <c r="AI5000">
        <v>95.336096032290996</v>
      </c>
      <c r="AJ5000">
        <v>99.491788347003904</v>
      </c>
      <c r="AK5000">
        <v>11.982731884805199</v>
      </c>
      <c r="AL5000">
        <v>91.675392606715107</v>
      </c>
      <c r="AM5000">
        <v>103.958599596075</v>
      </c>
      <c r="AN5000">
        <v>0.99999998767211096</v>
      </c>
    </row>
    <row r="5001" spans="1:40" x14ac:dyDescent="0.25">
      <c r="A5001" t="str">
        <f>"20190305135335955"</f>
        <v>20190305135335955</v>
      </c>
      <c r="B5001" t="str">
        <f>"1551765215945445"</f>
        <v>1551765215945445</v>
      </c>
      <c r="C5001" t="s">
        <v>40</v>
      </c>
      <c r="D5001">
        <v>4.7357760000000004</v>
      </c>
      <c r="E5001">
        <v>0.52920149999999999</v>
      </c>
      <c r="F5001" t="s">
        <v>87</v>
      </c>
      <c r="G5001">
        <v>-377.10390000000001</v>
      </c>
      <c r="H5001" s="1">
        <v>-1.629114E-6</v>
      </c>
      <c r="I5001">
        <v>18.0398</v>
      </c>
      <c r="J5001">
        <v>-389.14870000000002</v>
      </c>
      <c r="K5001">
        <v>1.1143590000000001</v>
      </c>
      <c r="L5001">
        <v>18.491209999999999</v>
      </c>
      <c r="M5001">
        <v>0.97958400000000001</v>
      </c>
      <c r="N5001">
        <v>-1.4486199999999999E-2</v>
      </c>
      <c r="O5001">
        <v>-0.200513</v>
      </c>
      <c r="P5001">
        <v>0.99833099999999997</v>
      </c>
      <c r="Q5001">
        <v>-4.039251E-2</v>
      </c>
      <c r="R5001">
        <v>4.1277460000000002E-2</v>
      </c>
      <c r="S5001">
        <v>2.9981990000000001</v>
      </c>
      <c r="T5001">
        <v>-0.27384899999999901</v>
      </c>
      <c r="U5001">
        <v>-0.117981</v>
      </c>
      <c r="V5001">
        <v>-0.24030840000000001</v>
      </c>
      <c r="W5001">
        <v>-2.9198229999999999E-2</v>
      </c>
      <c r="X5001">
        <v>0.97025729999999999</v>
      </c>
      <c r="Y5001">
        <v>-0.1605065</v>
      </c>
      <c r="Z5001">
        <v>2.3719110000000002E-2</v>
      </c>
      <c r="AA5001">
        <v>0.98674980000000001</v>
      </c>
      <c r="AB5001">
        <v>29</v>
      </c>
      <c r="AC5001">
        <v>12.0448</v>
      </c>
      <c r="AD5001">
        <v>-1.114360629114</v>
      </c>
      <c r="AE5001">
        <v>-0.45140999999999898</v>
      </c>
      <c r="AF5001">
        <v>-1.9564291691650399</v>
      </c>
      <c r="AG5001">
        <v>-1.114360629114</v>
      </c>
      <c r="AH5001">
        <v>11.7898790390296</v>
      </c>
      <c r="AI5001">
        <v>95.327046506845605</v>
      </c>
      <c r="AJ5001">
        <v>99.421886481787894</v>
      </c>
      <c r="AK5001">
        <v>12.002943908084699</v>
      </c>
      <c r="AL5001">
        <v>91.673173236357798</v>
      </c>
      <c r="AM5001">
        <v>103.910794123663</v>
      </c>
      <c r="AN5001">
        <v>0.99999994597448905</v>
      </c>
    </row>
    <row r="5002" spans="1:40" x14ac:dyDescent="0.25">
      <c r="A5002" t="str">
        <f>"20190305135335973"</f>
        <v>20190305135335973</v>
      </c>
      <c r="B5002" t="str">
        <f>"1551765215964964"</f>
        <v>1551765215964964</v>
      </c>
      <c r="C5002" t="s">
        <v>40</v>
      </c>
      <c r="D5002">
        <v>4.7148240000000001</v>
      </c>
      <c r="E5002">
        <v>0.52953209999999995</v>
      </c>
      <c r="F5002" t="s">
        <v>87</v>
      </c>
      <c r="G5002">
        <v>-376.91669999999999</v>
      </c>
      <c r="H5002" s="1">
        <v>-1.718885E-6</v>
      </c>
      <c r="I5002">
        <v>18.032720000000001</v>
      </c>
      <c r="J5002">
        <v>-388.91410000000002</v>
      </c>
      <c r="K5002">
        <v>1.1143419999999999</v>
      </c>
      <c r="L5002">
        <v>18.44894</v>
      </c>
      <c r="M5002">
        <v>0.98064249999999997</v>
      </c>
      <c r="N5002">
        <v>-1.448346E-2</v>
      </c>
      <c r="O5002">
        <v>-0.19527130000000001</v>
      </c>
      <c r="P5002">
        <v>0.99821009999999999</v>
      </c>
      <c r="Q5002">
        <v>-3.9897050000000003E-2</v>
      </c>
      <c r="R5002">
        <v>4.4551670000000002E-2</v>
      </c>
      <c r="S5002">
        <v>2.9986269999999999</v>
      </c>
      <c r="T5002">
        <v>-0.27318009999999998</v>
      </c>
      <c r="U5002">
        <v>-0.1123962</v>
      </c>
      <c r="V5002">
        <v>-0.23831279999999999</v>
      </c>
      <c r="W5002">
        <v>-2.866813E-2</v>
      </c>
      <c r="X5002">
        <v>0.97076519999999999</v>
      </c>
      <c r="Y5002">
        <v>-0.15710639999999901</v>
      </c>
      <c r="Z5002">
        <v>2.3085189999999998E-2</v>
      </c>
      <c r="AA5002">
        <v>0.98731179999999996</v>
      </c>
      <c r="AB5002">
        <v>28</v>
      </c>
      <c r="AC5002">
        <v>11.997400000000001</v>
      </c>
      <c r="AD5002">
        <v>-1.1143437188849901</v>
      </c>
      <c r="AE5002">
        <v>-0.41621999999999898</v>
      </c>
      <c r="AF5002">
        <v>-1.9182583789246199</v>
      </c>
      <c r="AG5002">
        <v>-1.1143437188849901</v>
      </c>
      <c r="AH5002">
        <v>11.7464608139395</v>
      </c>
      <c r="AI5002">
        <v>95.348788638741397</v>
      </c>
      <c r="AJ5002">
        <v>99.274829338525393</v>
      </c>
      <c r="AK5002">
        <v>11.9541130488861</v>
      </c>
      <c r="AL5002">
        <v>91.642787992948996</v>
      </c>
      <c r="AM5002">
        <v>103.792763419927</v>
      </c>
      <c r="AN5002">
        <v>0.99999996292628701</v>
      </c>
    </row>
    <row r="5003" spans="1:40" x14ac:dyDescent="0.25">
      <c r="A5003" t="str">
        <f>"20190305135335986"</f>
        <v>20190305135335986</v>
      </c>
      <c r="B5003" t="str">
        <f>"1551765215974725"</f>
        <v>1551765215974725</v>
      </c>
      <c r="C5003" t="s">
        <v>40</v>
      </c>
      <c r="D5003">
        <v>4.7550330000000001</v>
      </c>
      <c r="E5003">
        <v>0.52953209999999995</v>
      </c>
      <c r="F5003" t="s">
        <v>87</v>
      </c>
      <c r="G5003">
        <v>-376.5949</v>
      </c>
      <c r="H5003" s="1">
        <v>-1.873671E-6</v>
      </c>
      <c r="I5003">
        <v>18.017620000000001</v>
      </c>
      <c r="J5003">
        <v>-388.75540000000001</v>
      </c>
      <c r="K5003">
        <v>1.114331</v>
      </c>
      <c r="L5003">
        <v>18.420929999999998</v>
      </c>
      <c r="M5003">
        <v>0.98134200000000005</v>
      </c>
      <c r="N5003">
        <v>-1.4481539999999999E-2</v>
      </c>
      <c r="O5003">
        <v>-0.1917249</v>
      </c>
      <c r="P5003">
        <v>0.99807820000000003</v>
      </c>
      <c r="Q5003">
        <v>-4.0257519999999998E-2</v>
      </c>
      <c r="R5003">
        <v>4.7110159999999998E-2</v>
      </c>
      <c r="S5003">
        <v>2.9992679999999998</v>
      </c>
      <c r="T5003">
        <v>-0.27130130000000002</v>
      </c>
      <c r="U5003">
        <v>-0.10501099999999999</v>
      </c>
      <c r="V5003">
        <v>-0.23728550000000001</v>
      </c>
      <c r="W5003">
        <v>-2.9010729999999998E-2</v>
      </c>
      <c r="X5003">
        <v>0.9710067</v>
      </c>
      <c r="Y5003">
        <v>-0.1560066</v>
      </c>
      <c r="Z5003">
        <v>2.259208E-2</v>
      </c>
      <c r="AA5003">
        <v>0.98749759999999998</v>
      </c>
      <c r="AB5003">
        <v>28</v>
      </c>
      <c r="AC5003">
        <v>12.160500000000001</v>
      </c>
      <c r="AD5003">
        <v>-1.1143328736710001</v>
      </c>
      <c r="AE5003">
        <v>-0.403309999999997</v>
      </c>
      <c r="AF5003">
        <v>-1.9197855099842001</v>
      </c>
      <c r="AG5003">
        <v>-1.1143328736710001</v>
      </c>
      <c r="AH5003">
        <v>11.9122738350784</v>
      </c>
      <c r="AI5003">
        <v>95.2764865925446</v>
      </c>
      <c r="AJ5003">
        <v>99.155085501361995</v>
      </c>
      <c r="AK5003">
        <v>12.117325698337201</v>
      </c>
      <c r="AL5003">
        <v>91.662425599085907</v>
      </c>
      <c r="AM5003">
        <v>103.73227638511401</v>
      </c>
      <c r="AN5003">
        <v>1.0000000212051301</v>
      </c>
    </row>
    <row r="5004" spans="1:40" x14ac:dyDescent="0.25">
      <c r="A5004" t="str">
        <f>"20190305135336005"</f>
        <v>20190305135336005</v>
      </c>
      <c r="B5004" t="str">
        <f>"1551765215995220"</f>
        <v>1551765215995220</v>
      </c>
      <c r="C5004" t="s">
        <v>40</v>
      </c>
      <c r="D5004">
        <v>4.7235319999999996</v>
      </c>
      <c r="E5004">
        <v>0.53028520000000001</v>
      </c>
      <c r="F5004" t="s">
        <v>87</v>
      </c>
      <c r="G5004">
        <v>-376.48840000000001</v>
      </c>
      <c r="H5004" s="1">
        <v>-1.923037E-6</v>
      </c>
      <c r="I5004">
        <v>18.023160000000001</v>
      </c>
      <c r="J5004">
        <v>-388.51339999999999</v>
      </c>
      <c r="K5004">
        <v>1.1143110000000001</v>
      </c>
      <c r="L5004">
        <v>18.379580000000001</v>
      </c>
      <c r="M5004">
        <v>0.98238329999999996</v>
      </c>
      <c r="N5004">
        <v>-1.447859E-2</v>
      </c>
      <c r="O5004">
        <v>-0.1863156</v>
      </c>
      <c r="P5004">
        <v>0.99785789999999996</v>
      </c>
      <c r="Q5004">
        <v>-4.0850070000000002E-2</v>
      </c>
      <c r="R5004">
        <v>5.1097339999999998E-2</v>
      </c>
      <c r="S5004">
        <v>2.9994200000000002</v>
      </c>
      <c r="T5004">
        <v>-0.27246730000000002</v>
      </c>
      <c r="U5004">
        <v>-9.7259520000000002E-2</v>
      </c>
      <c r="V5004">
        <v>-0.23580570000000001</v>
      </c>
      <c r="W5004">
        <v>-2.9577389999999999E-2</v>
      </c>
      <c r="X5004">
        <v>0.97135000000000005</v>
      </c>
      <c r="Y5004">
        <v>-0.15313309999999999</v>
      </c>
      <c r="Z5004">
        <v>2.2142749999999999E-2</v>
      </c>
      <c r="AA5004">
        <v>0.98795750000000004</v>
      </c>
      <c r="AB5004">
        <v>28</v>
      </c>
      <c r="AC5004">
        <v>12.024999999999901</v>
      </c>
      <c r="AD5004">
        <v>-1.1143129230369999</v>
      </c>
      <c r="AE5004">
        <v>-0.35641999999999602</v>
      </c>
      <c r="AF5004">
        <v>-1.8744205002262899</v>
      </c>
      <c r="AG5004">
        <v>-1.1143129230369999</v>
      </c>
      <c r="AH5004">
        <v>11.7797461387184</v>
      </c>
      <c r="AI5004">
        <v>95.337102087021194</v>
      </c>
      <c r="AJ5004">
        <v>99.041237918087305</v>
      </c>
      <c r="AK5004">
        <v>11.979881660298901</v>
      </c>
      <c r="AL5004">
        <v>91.694906824102702</v>
      </c>
      <c r="AM5004">
        <v>103.64520624606899</v>
      </c>
      <c r="AN5004">
        <v>0.99999998632585096</v>
      </c>
    </row>
    <row r="5005" spans="1:40" x14ac:dyDescent="0.25">
      <c r="A5005" t="str">
        <f>"20190305135336019"</f>
        <v>20190305135336019</v>
      </c>
      <c r="B5005" t="str">
        <f>"1551765216014741"</f>
        <v>1551765216014741</v>
      </c>
      <c r="C5005" t="s">
        <v>40</v>
      </c>
      <c r="D5005">
        <v>4.7865659999999997</v>
      </c>
      <c r="E5005">
        <v>0.53059460000000003</v>
      </c>
      <c r="F5005" t="s">
        <v>87</v>
      </c>
      <c r="G5005">
        <v>-376.25900000000001</v>
      </c>
      <c r="H5005" s="1">
        <v>-2.0342310000000002E-6</v>
      </c>
      <c r="I5005">
        <v>18.007459999999998</v>
      </c>
      <c r="J5005">
        <v>-388.34679999999997</v>
      </c>
      <c r="K5005">
        <v>1.114295</v>
      </c>
      <c r="L5005">
        <v>18.352049999999998</v>
      </c>
      <c r="M5005">
        <v>0.9830816</v>
      </c>
      <c r="N5005">
        <v>-1.447654E-2</v>
      </c>
      <c r="O5005">
        <v>-0.18259510000000001</v>
      </c>
      <c r="P5005">
        <v>0.997672</v>
      </c>
      <c r="Q5005">
        <v>-4.1101480000000003E-2</v>
      </c>
      <c r="R5005">
        <v>5.4419090000000003E-2</v>
      </c>
      <c r="S5005">
        <v>2.999908</v>
      </c>
      <c r="T5005">
        <v>-0.27278829999999998</v>
      </c>
      <c r="U5005">
        <v>-9.1094969999999997E-2</v>
      </c>
      <c r="V5005">
        <v>-0.23535790000000001</v>
      </c>
      <c r="W5005">
        <v>-2.9819269999999998E-2</v>
      </c>
      <c r="X5005">
        <v>0.97145119999999896</v>
      </c>
      <c r="Y5005">
        <v>-0.15144150000000001</v>
      </c>
      <c r="Z5005">
        <v>2.180147E-2</v>
      </c>
      <c r="AA5005">
        <v>0.98822580000000004</v>
      </c>
      <c r="AB5005">
        <v>28</v>
      </c>
      <c r="AC5005">
        <v>12.0877999999999</v>
      </c>
      <c r="AD5005">
        <v>-1.1142970342309999</v>
      </c>
      <c r="AE5005">
        <v>-0.34458999999999601</v>
      </c>
      <c r="AF5005">
        <v>-1.85287618013135</v>
      </c>
      <c r="AG5005">
        <v>-1.1142970342309999</v>
      </c>
      <c r="AH5005">
        <v>11.846875509679901</v>
      </c>
      <c r="AI5005">
        <v>95.309167675981399</v>
      </c>
      <c r="AJ5005">
        <v>98.889165818512495</v>
      </c>
      <c r="AK5005">
        <v>12.0425606646281</v>
      </c>
      <c r="AL5005">
        <v>91.708771650592993</v>
      </c>
      <c r="AM5005">
        <v>103.61889378104701</v>
      </c>
      <c r="AN5005">
        <v>0.99999998196859097</v>
      </c>
    </row>
    <row r="5006" spans="1:40" x14ac:dyDescent="0.25">
      <c r="A5006" t="str">
        <f>"20190305135336041"</f>
        <v>20190305135336041</v>
      </c>
      <c r="B5006" t="str">
        <f>"1551765216035237"</f>
        <v>1551765216035237</v>
      </c>
      <c r="C5006" t="s">
        <v>40</v>
      </c>
      <c r="D5006">
        <v>4.7088769999999904</v>
      </c>
      <c r="E5006">
        <v>0.50948539999999998</v>
      </c>
      <c r="F5006" t="s">
        <v>87</v>
      </c>
      <c r="G5006">
        <v>-376.10890000000001</v>
      </c>
      <c r="H5006" s="1">
        <v>-2.1045330000000002E-6</v>
      </c>
      <c r="I5006">
        <v>18.011229999999902</v>
      </c>
      <c r="J5006">
        <v>-388.08359999999999</v>
      </c>
      <c r="K5006">
        <v>1.1142749999999999</v>
      </c>
      <c r="L5006">
        <v>18.30969</v>
      </c>
      <c r="M5006">
        <v>0.98415509999999995</v>
      </c>
      <c r="N5006">
        <v>-1.44732E-2</v>
      </c>
      <c r="O5006">
        <v>-0.17671799999999999</v>
      </c>
      <c r="P5006">
        <v>0.99737010000000004</v>
      </c>
      <c r="Q5006">
        <v>-4.1866889999999997E-2</v>
      </c>
      <c r="R5006">
        <v>5.9161180000000001E-2</v>
      </c>
      <c r="S5006">
        <v>3.0003359999999999</v>
      </c>
      <c r="T5006">
        <v>-0.27319009999999999</v>
      </c>
      <c r="U5006">
        <v>-8.3557129999999993E-2</v>
      </c>
      <c r="V5006">
        <v>-0.23415830000000001</v>
      </c>
      <c r="W5006">
        <v>-3.0561580000000001E-2</v>
      </c>
      <c r="X5006">
        <v>0.97171799999999997</v>
      </c>
      <c r="Y5006">
        <v>-0.1480496</v>
      </c>
      <c r="Z5006">
        <v>2.1215379999999999E-2</v>
      </c>
      <c r="AA5006">
        <v>0.98875239999999998</v>
      </c>
      <c r="AB5006">
        <v>28</v>
      </c>
      <c r="AC5006">
        <v>11.974699999999901</v>
      </c>
      <c r="AD5006">
        <v>-1.114277104533</v>
      </c>
      <c r="AE5006">
        <v>-0.298460000000002</v>
      </c>
      <c r="AF5006">
        <v>-1.80696857500243</v>
      </c>
      <c r="AG5006">
        <v>-1.114277104533</v>
      </c>
      <c r="AH5006">
        <v>11.737377082058099</v>
      </c>
      <c r="AI5006">
        <v>95.360294590493993</v>
      </c>
      <c r="AJ5006">
        <v>98.751971558363195</v>
      </c>
      <c r="AK5006">
        <v>11.927814957617199</v>
      </c>
      <c r="AL5006">
        <v>91.7513222546458</v>
      </c>
      <c r="AM5006">
        <v>103.548461953784</v>
      </c>
      <c r="AN5006">
        <v>0.99999999557749297</v>
      </c>
    </row>
    <row r="5007" spans="1:40" x14ac:dyDescent="0.25">
      <c r="A5007" t="str">
        <f>"20190305135336064"</f>
        <v>20190305135336064</v>
      </c>
      <c r="B5007" t="str">
        <f>"1551765216054757"</f>
        <v>1551765216054757</v>
      </c>
      <c r="C5007" t="s">
        <v>40</v>
      </c>
      <c r="D5007">
        <v>4.7529490000000001</v>
      </c>
      <c r="E5007">
        <v>0.502857</v>
      </c>
      <c r="F5007" t="s">
        <v>87</v>
      </c>
      <c r="G5007">
        <v>-373.23340000000002</v>
      </c>
      <c r="H5007" s="1">
        <v>-3.3229509999999999E-6</v>
      </c>
      <c r="I5007">
        <v>18.805199999999999</v>
      </c>
      <c r="J5007">
        <v>-387.79750000000001</v>
      </c>
      <c r="K5007">
        <v>1.114247</v>
      </c>
      <c r="L5007">
        <v>18.26538</v>
      </c>
      <c r="M5007">
        <v>0.98527909999999996</v>
      </c>
      <c r="N5007">
        <v>-1.4469030000000001E-2</v>
      </c>
      <c r="O5007">
        <v>-0.1703404</v>
      </c>
      <c r="P5007">
        <v>0.99703839999999999</v>
      </c>
      <c r="Q5007">
        <v>-4.2078310000000001E-2</v>
      </c>
      <c r="R5007">
        <v>6.4374920000000002E-2</v>
      </c>
      <c r="S5007">
        <v>2.9925540000000002</v>
      </c>
      <c r="T5007">
        <v>-0.22454540000000001</v>
      </c>
      <c r="U5007">
        <v>9.9853520000000001E-2</v>
      </c>
      <c r="V5007">
        <v>-0.2329437</v>
      </c>
      <c r="W5007">
        <v>-3.074665E-2</v>
      </c>
      <c r="X5007">
        <v>0.97200410000000004</v>
      </c>
      <c r="Y5007">
        <v>-0.2021386</v>
      </c>
      <c r="Z5007">
        <v>1.928962E-2</v>
      </c>
      <c r="AA5007">
        <v>0.97916689999999995</v>
      </c>
      <c r="AB5007">
        <v>28</v>
      </c>
      <c r="AC5007">
        <v>14.5640999999999</v>
      </c>
      <c r="AD5007">
        <v>-1.1142503229509999</v>
      </c>
      <c r="AE5007">
        <v>0.53981999999999797</v>
      </c>
      <c r="AF5007">
        <v>-2.9955336304106699</v>
      </c>
      <c r="AG5007">
        <v>-1.1142503229509999</v>
      </c>
      <c r="AH5007">
        <v>14.176377824418401</v>
      </c>
      <c r="AI5007">
        <v>94.397449644878407</v>
      </c>
      <c r="AJ5007">
        <v>101.93135038552001</v>
      </c>
      <c r="AK5007">
        <v>14.5321871627701</v>
      </c>
      <c r="AL5007">
        <v>91.761930879293203</v>
      </c>
      <c r="AM5007">
        <v>103.47693305708999</v>
      </c>
      <c r="AN5007">
        <v>1.0000000471363599</v>
      </c>
    </row>
    <row r="5008" spans="1:40" x14ac:dyDescent="0.25">
      <c r="A5008" t="str">
        <f>"20190305135336085"</f>
        <v>20190305135336085</v>
      </c>
      <c r="B5008" t="str">
        <f>"1551765216075252"</f>
        <v>1551765216075252</v>
      </c>
      <c r="C5008" t="s">
        <v>40</v>
      </c>
      <c r="D5008">
        <v>4.7076449999999896</v>
      </c>
      <c r="E5008">
        <v>0.50168979999999996</v>
      </c>
      <c r="F5008" t="s">
        <v>87</v>
      </c>
      <c r="G5008">
        <v>-371.60169999999999</v>
      </c>
      <c r="H5008" s="1">
        <v>-4.0279330000000003E-6</v>
      </c>
      <c r="I5008">
        <v>19.179210000000001</v>
      </c>
      <c r="J5008">
        <v>-387.53649999999999</v>
      </c>
      <c r="K5008">
        <v>1.114209</v>
      </c>
      <c r="L5008">
        <v>18.226649999999999</v>
      </c>
      <c r="M5008">
        <v>0.98626389999999997</v>
      </c>
      <c r="N5008">
        <v>-1.4464609999999999E-2</v>
      </c>
      <c r="O5008">
        <v>-0.16454269999999999</v>
      </c>
      <c r="P5008">
        <v>0.99674390000000002</v>
      </c>
      <c r="Q5008">
        <v>-4.2325809999999998E-2</v>
      </c>
      <c r="R5008">
        <v>6.8631170000000005E-2</v>
      </c>
      <c r="S5008">
        <v>2.9893489999999998</v>
      </c>
      <c r="T5008">
        <v>-0.20566400000000001</v>
      </c>
      <c r="U5008">
        <v>0.16867070000000001</v>
      </c>
      <c r="V5008">
        <v>-0.23137489999999999</v>
      </c>
      <c r="W5008">
        <v>-3.096049E-2</v>
      </c>
      <c r="X5008">
        <v>0.97237189999999996</v>
      </c>
      <c r="Y5008">
        <v>-0.21899940000000001</v>
      </c>
      <c r="Z5008">
        <v>1.7996950000000001E-2</v>
      </c>
      <c r="AA5008">
        <v>0.97555899999999995</v>
      </c>
      <c r="AB5008">
        <v>28</v>
      </c>
      <c r="AC5008">
        <v>15.9347999999999</v>
      </c>
      <c r="AD5008">
        <v>-1.114213027933</v>
      </c>
      <c r="AE5008">
        <v>0.95256000000000096</v>
      </c>
      <c r="AF5008">
        <v>-3.5445347279580899</v>
      </c>
      <c r="AG5008">
        <v>-1.114213027933</v>
      </c>
      <c r="AH5008">
        <v>15.4853666874279</v>
      </c>
      <c r="AI5008">
        <v>94.012080999690994</v>
      </c>
      <c r="AJ5008">
        <v>102.89266031156301</v>
      </c>
      <c r="AK5008">
        <v>15.9248792319885</v>
      </c>
      <c r="AL5008">
        <v>91.774188920437794</v>
      </c>
      <c r="AM5008">
        <v>103.384566990579</v>
      </c>
      <c r="AN5008">
        <v>1.0000000041003201</v>
      </c>
    </row>
    <row r="5009" spans="1:40" x14ac:dyDescent="0.25">
      <c r="A5009" t="str">
        <f>"20190305135336097"</f>
        <v>20190305135336097</v>
      </c>
      <c r="B5009" t="str">
        <f>"1551765216085013"</f>
        <v>1551765216085013</v>
      </c>
      <c r="C5009" t="s">
        <v>40</v>
      </c>
      <c r="D5009">
        <v>4.717956</v>
      </c>
      <c r="E5009">
        <v>0.50196730000000001</v>
      </c>
      <c r="F5009" t="s">
        <v>87</v>
      </c>
      <c r="G5009">
        <v>-371.27600000000001</v>
      </c>
      <c r="H5009" s="1">
        <v>-4.1667439999999998E-6</v>
      </c>
      <c r="I5009">
        <v>19.264800000000001</v>
      </c>
      <c r="J5009">
        <v>-387.38810000000001</v>
      </c>
      <c r="K5009">
        <v>1.1141840000000001</v>
      </c>
      <c r="L5009">
        <v>18.20551</v>
      </c>
      <c r="M5009">
        <v>0.98680630000000003</v>
      </c>
      <c r="N5009">
        <v>-1.4461760000000001E-2</v>
      </c>
      <c r="O5009">
        <v>-0.16125819999999999</v>
      </c>
      <c r="P5009">
        <v>0.99657419999999997</v>
      </c>
      <c r="Q5009">
        <v>-4.2581149999999998E-2</v>
      </c>
      <c r="R5009">
        <v>7.0900409999999997E-2</v>
      </c>
      <c r="S5009">
        <v>2.9879760000000002</v>
      </c>
      <c r="T5009">
        <v>-0.20474329999999999</v>
      </c>
      <c r="U5009">
        <v>0.1907654</v>
      </c>
      <c r="V5009">
        <v>-0.23034840000000001</v>
      </c>
      <c r="W5009">
        <v>-3.119309E-2</v>
      </c>
      <c r="X5009">
        <v>0.97260809999999998</v>
      </c>
      <c r="Y5009">
        <v>-0.22296340000000001</v>
      </c>
      <c r="Z5009">
        <v>1.7909680000000001E-2</v>
      </c>
      <c r="AA5009">
        <v>0.97466229999999998</v>
      </c>
      <c r="AB5009">
        <v>28</v>
      </c>
      <c r="AC5009">
        <v>16.112099999999899</v>
      </c>
      <c r="AD5009">
        <v>-1.1141881667439999</v>
      </c>
      <c r="AE5009">
        <v>1.0592900000000001</v>
      </c>
      <c r="AF5009">
        <v>-3.6266352561546702</v>
      </c>
      <c r="AG5009">
        <v>-1.1141881667439999</v>
      </c>
      <c r="AH5009">
        <v>15.6558030393024</v>
      </c>
      <c r="AI5009">
        <v>93.966075616890706</v>
      </c>
      <c r="AJ5009">
        <v>103.042410855225</v>
      </c>
      <c r="AK5009">
        <v>16.108943707069301</v>
      </c>
      <c r="AL5009">
        <v>91.787522446190096</v>
      </c>
      <c r="AM5009">
        <v>103.324188211568</v>
      </c>
      <c r="AN5009">
        <v>0.99999995521595797</v>
      </c>
    </row>
    <row r="5010" spans="1:40" x14ac:dyDescent="0.25">
      <c r="A5010" t="str">
        <f>"20190305135336110"</f>
        <v>20190305135336110</v>
      </c>
      <c r="B5010" t="str">
        <f>"1551765216105509"</f>
        <v>1551765216105509</v>
      </c>
      <c r="C5010" t="s">
        <v>40</v>
      </c>
      <c r="D5010">
        <v>4.6683440000000003</v>
      </c>
      <c r="E5010">
        <v>0.50228359999999905</v>
      </c>
      <c r="F5010" t="s">
        <v>87</v>
      </c>
      <c r="G5010">
        <v>-370.65179999999998</v>
      </c>
      <c r="H5010" s="1">
        <v>-4.4554109999999998E-6</v>
      </c>
      <c r="I5010">
        <v>19.300879999999999</v>
      </c>
      <c r="J5010">
        <v>-387.22</v>
      </c>
      <c r="K5010">
        <v>1.1141570000000001</v>
      </c>
      <c r="L5010">
        <v>18.181920000000002</v>
      </c>
      <c r="M5010">
        <v>0.98740539999999999</v>
      </c>
      <c r="N5010">
        <v>-1.445843E-2</v>
      </c>
      <c r="O5010">
        <v>-0.15754860000000001</v>
      </c>
      <c r="P5010">
        <v>0.99637750000000003</v>
      </c>
      <c r="Q5010">
        <v>-4.3012620000000001E-2</v>
      </c>
      <c r="R5010">
        <v>7.3361679999999999E-2</v>
      </c>
      <c r="S5010">
        <v>2.9879150000000001</v>
      </c>
      <c r="T5010">
        <v>-0.19891490000000001</v>
      </c>
      <c r="U5010">
        <v>0.1955566</v>
      </c>
      <c r="V5010">
        <v>-0.2290903</v>
      </c>
      <c r="W5010">
        <v>-3.1596550000000001E-2</v>
      </c>
      <c r="X5010">
        <v>0.97289219999999998</v>
      </c>
      <c r="Y5010">
        <v>-0.22091710000000001</v>
      </c>
      <c r="Z5010">
        <v>1.710708E-2</v>
      </c>
      <c r="AA5010">
        <v>0.97514250000000002</v>
      </c>
      <c r="AB5010">
        <v>28</v>
      </c>
      <c r="AC5010">
        <v>16.568200000000001</v>
      </c>
      <c r="AD5010">
        <v>-1.114161455411</v>
      </c>
      <c r="AE5010">
        <v>1.11895999999999</v>
      </c>
      <c r="AF5010">
        <v>-3.6989011220716801</v>
      </c>
      <c r="AG5010">
        <v>-1.114161455411</v>
      </c>
      <c r="AH5010">
        <v>16.1123991386788</v>
      </c>
      <c r="AI5010">
        <v>93.855685586700602</v>
      </c>
      <c r="AJ5010">
        <v>102.929287465716</v>
      </c>
      <c r="AK5010">
        <v>16.569026261783801</v>
      </c>
      <c r="AL5010">
        <v>91.810650376163096</v>
      </c>
      <c r="AM5010">
        <v>103.25025645614301</v>
      </c>
      <c r="AN5010">
        <v>0.99999997017341502</v>
      </c>
    </row>
    <row r="5011" spans="1:40" x14ac:dyDescent="0.25">
      <c r="A5011" t="str">
        <f>"20190305135336129"</f>
        <v>20190305135336129</v>
      </c>
      <c r="B5011" t="str">
        <f>"1551765216125029"</f>
        <v>1551765216125029</v>
      </c>
      <c r="C5011" t="s">
        <v>40</v>
      </c>
      <c r="D5011">
        <v>4.5897230000000002</v>
      </c>
      <c r="E5011">
        <v>0.50258239999999998</v>
      </c>
      <c r="F5011" t="s">
        <v>87</v>
      </c>
      <c r="G5011">
        <v>-370.11900000000003</v>
      </c>
      <c r="H5011" s="1">
        <v>-4.7021019999999999E-6</v>
      </c>
      <c r="I5011">
        <v>19.329719999999998</v>
      </c>
      <c r="J5011">
        <v>-386.98739999999998</v>
      </c>
      <c r="K5011">
        <v>1.1141129999999999</v>
      </c>
      <c r="L5011">
        <v>18.15033</v>
      </c>
      <c r="M5011">
        <v>0.98820660000000005</v>
      </c>
      <c r="N5011">
        <v>-1.445334E-2</v>
      </c>
      <c r="O5011">
        <v>-0.15244349999999901</v>
      </c>
      <c r="P5011">
        <v>0.99612029999999996</v>
      </c>
      <c r="Q5011">
        <v>-4.4174119999999997E-2</v>
      </c>
      <c r="R5011">
        <v>7.6114249999999994E-2</v>
      </c>
      <c r="S5011">
        <v>2.9876710000000002</v>
      </c>
      <c r="T5011">
        <v>-0.19465299999999999</v>
      </c>
      <c r="U5011">
        <v>0.20053099999999999</v>
      </c>
      <c r="V5011">
        <v>-0.22673270000000001</v>
      </c>
      <c r="W5011">
        <v>-3.2708279999999999E-2</v>
      </c>
      <c r="X5011">
        <v>0.97340760000000004</v>
      </c>
      <c r="Y5011">
        <v>-0.2175473</v>
      </c>
      <c r="Z5011">
        <v>1.6338510000000001E-2</v>
      </c>
      <c r="AA5011">
        <v>0.97591300000000003</v>
      </c>
      <c r="AB5011">
        <v>28</v>
      </c>
      <c r="AC5011">
        <v>16.868399999999902</v>
      </c>
      <c r="AD5011">
        <v>-1.1141177021019999</v>
      </c>
      <c r="AE5011">
        <v>1.1793899999999999</v>
      </c>
      <c r="AF5011">
        <v>-3.7211949624876701</v>
      </c>
      <c r="AG5011">
        <v>-1.1141177021019999</v>
      </c>
      <c r="AH5011">
        <v>16.420113975611201</v>
      </c>
      <c r="AI5011">
        <v>93.785902437112398</v>
      </c>
      <c r="AJ5011">
        <v>102.76892751729601</v>
      </c>
      <c r="AK5011">
        <v>16.873313046792099</v>
      </c>
      <c r="AL5011">
        <v>91.874380801910803</v>
      </c>
      <c r="AM5011">
        <v>103.111929382467</v>
      </c>
      <c r="AN5011">
        <v>0.99999995228380301</v>
      </c>
    </row>
    <row r="5012" spans="1:40" x14ac:dyDescent="0.25">
      <c r="A5012" t="str">
        <f>"20190305135336142"</f>
        <v>20190305135336142</v>
      </c>
      <c r="B5012" t="str">
        <f>"1551765216134789"</f>
        <v>1551765216134789</v>
      </c>
      <c r="C5012" t="s">
        <v>40</v>
      </c>
      <c r="D5012">
        <v>4.6825150000000004</v>
      </c>
      <c r="E5012">
        <v>0.50301059999999997</v>
      </c>
      <c r="F5012" t="s">
        <v>87</v>
      </c>
      <c r="G5012">
        <v>-370.39780000000002</v>
      </c>
      <c r="H5012" s="1">
        <v>-4.5763179999999998E-6</v>
      </c>
      <c r="I5012">
        <v>19.29609</v>
      </c>
      <c r="J5012">
        <v>-386.8261</v>
      </c>
      <c r="K5012">
        <v>1.1140810000000001</v>
      </c>
      <c r="L5012">
        <v>18.129149999999999</v>
      </c>
      <c r="M5012">
        <v>0.98874340000000005</v>
      </c>
      <c r="N5012">
        <v>-1.4449490000000001E-2</v>
      </c>
      <c r="O5012">
        <v>-0.14892179999999999</v>
      </c>
      <c r="P5012">
        <v>0.99592650000000005</v>
      </c>
      <c r="Q5012">
        <v>-4.4499459999999998E-2</v>
      </c>
      <c r="R5012">
        <v>7.8423499999999993E-2</v>
      </c>
      <c r="S5012">
        <v>2.9870299999999999</v>
      </c>
      <c r="T5012">
        <v>-0.2006011</v>
      </c>
      <c r="U5012">
        <v>0.2062988</v>
      </c>
      <c r="V5012">
        <v>-0.22551850000000001</v>
      </c>
      <c r="W5012">
        <v>-3.3003949999999997E-2</v>
      </c>
      <c r="X5012">
        <v>0.97367969999999904</v>
      </c>
      <c r="Y5012">
        <v>-0.21592169999999999</v>
      </c>
      <c r="Z5012">
        <v>1.6609809999999999E-2</v>
      </c>
      <c r="AA5012">
        <v>0.97626939999999995</v>
      </c>
      <c r="AB5012">
        <v>28</v>
      </c>
      <c r="AC5012">
        <v>16.428299999999901</v>
      </c>
      <c r="AD5012">
        <v>-1.114085576318</v>
      </c>
      <c r="AE5012">
        <v>1.1669400000000001</v>
      </c>
      <c r="AF5012">
        <v>-3.5843110846173301</v>
      </c>
      <c r="AG5012">
        <v>-1.114085576318</v>
      </c>
      <c r="AH5012">
        <v>15.9980644275704</v>
      </c>
      <c r="AI5012">
        <v>93.887507414179396</v>
      </c>
      <c r="AJ5012">
        <v>102.628376346301</v>
      </c>
      <c r="AK5012">
        <v>16.432484232500101</v>
      </c>
      <c r="AL5012">
        <v>91.891330494897502</v>
      </c>
      <c r="AM5012">
        <v>103.040599011551</v>
      </c>
      <c r="AN5012">
        <v>1.0000000063749701</v>
      </c>
    </row>
    <row r="5013" spans="1:40" x14ac:dyDescent="0.25">
      <c r="A5013" t="str">
        <f>"20190305135336154"</f>
        <v>20190305135336154</v>
      </c>
      <c r="B5013" t="str">
        <f>"1551765216145525"</f>
        <v>1551765216145525</v>
      </c>
      <c r="C5013" t="s">
        <v>40</v>
      </c>
      <c r="D5013">
        <v>4.6418720000000002</v>
      </c>
      <c r="E5013">
        <v>0.50324619999999998</v>
      </c>
      <c r="F5013" t="s">
        <v>87</v>
      </c>
      <c r="G5013">
        <v>-370.0745</v>
      </c>
      <c r="H5013" s="1">
        <v>-4.7273929999999999E-6</v>
      </c>
      <c r="I5013">
        <v>19.306010000000001</v>
      </c>
      <c r="J5013">
        <v>-386.6746</v>
      </c>
      <c r="K5013">
        <v>1.1140460000000001</v>
      </c>
      <c r="L5013">
        <v>18.109860000000001</v>
      </c>
      <c r="M5013">
        <v>0.98923249999999996</v>
      </c>
      <c r="N5013">
        <v>-1.4445639999999999E-2</v>
      </c>
      <c r="O5013">
        <v>-0.14563860000000001</v>
      </c>
      <c r="P5013">
        <v>0.99580139999999995</v>
      </c>
      <c r="Q5013">
        <v>-4.4526200000000002E-2</v>
      </c>
      <c r="R5013">
        <v>7.9983960000000007E-2</v>
      </c>
      <c r="S5013">
        <v>2.9868769999999998</v>
      </c>
      <c r="T5013">
        <v>-0.19864560000000001</v>
      </c>
      <c r="U5013">
        <v>0.20983889999999999</v>
      </c>
      <c r="V5013">
        <v>-0.22381429999999999</v>
      </c>
      <c r="W5013">
        <v>-3.2993340000000003E-2</v>
      </c>
      <c r="X5013">
        <v>0.97407319999999997</v>
      </c>
      <c r="Y5013">
        <v>-0.21386050000000001</v>
      </c>
      <c r="Z5013">
        <v>1.6190909999999999E-2</v>
      </c>
      <c r="AA5013">
        <v>0.97672999999999999</v>
      </c>
      <c r="AB5013">
        <v>28</v>
      </c>
      <c r="AC5013">
        <v>16.600099999999902</v>
      </c>
      <c r="AD5013">
        <v>-1.11405072739299</v>
      </c>
      <c r="AE5013">
        <v>1.1961499999999901</v>
      </c>
      <c r="AF5013">
        <v>-3.5851972014707001</v>
      </c>
      <c r="AG5013">
        <v>-1.11405072739299</v>
      </c>
      <c r="AH5013">
        <v>16.176366142169101</v>
      </c>
      <c r="AI5013">
        <v>93.846632763784299</v>
      </c>
      <c r="AJ5013">
        <v>102.496567107698</v>
      </c>
      <c r="AK5013">
        <v>16.6063111364973</v>
      </c>
      <c r="AL5013">
        <v>91.890722267179697</v>
      </c>
      <c r="AM5013">
        <v>102.94033180184501</v>
      </c>
      <c r="AN5013">
        <v>1.0000000001635401</v>
      </c>
    </row>
    <row r="5014" spans="1:40" x14ac:dyDescent="0.25">
      <c r="A5014" t="str">
        <f>"20190305135336174"</f>
        <v>20190305135336174</v>
      </c>
      <c r="B5014" t="str">
        <f>"1551765216165045"</f>
        <v>1551765216165045</v>
      </c>
      <c r="C5014" t="s">
        <v>40</v>
      </c>
      <c r="D5014">
        <v>4.6652120000000004</v>
      </c>
      <c r="E5014">
        <v>0.5038918</v>
      </c>
      <c r="F5014" t="s">
        <v>86</v>
      </c>
      <c r="G5014">
        <v>-369.73840000000001</v>
      </c>
      <c r="H5014" s="1">
        <v>-1.8080200000000001E-7</v>
      </c>
      <c r="I5014">
        <v>19.315999999999999</v>
      </c>
      <c r="J5014">
        <v>-386.42959999999999</v>
      </c>
      <c r="K5014">
        <v>1.11398</v>
      </c>
      <c r="L5014">
        <v>18.079529999999998</v>
      </c>
      <c r="M5014">
        <v>0.98999300000000001</v>
      </c>
      <c r="N5014">
        <v>-1.443875E-2</v>
      </c>
      <c r="O5014">
        <v>-0.1403749</v>
      </c>
      <c r="P5014">
        <v>0.99561310000000003</v>
      </c>
      <c r="Q5014">
        <v>-4.4940649999999999E-2</v>
      </c>
      <c r="R5014">
        <v>8.2065550000000001E-2</v>
      </c>
      <c r="S5014">
        <v>2.9867859999999999</v>
      </c>
      <c r="T5014">
        <v>-0.19646749999999999</v>
      </c>
      <c r="U5014">
        <v>0.21270749999999999</v>
      </c>
      <c r="V5014">
        <v>-0.220668</v>
      </c>
      <c r="W5014">
        <v>-3.3338270000000003E-2</v>
      </c>
      <c r="X5014">
        <v>0.97477910000000001</v>
      </c>
      <c r="Y5014">
        <v>-0.20963380000000001</v>
      </c>
      <c r="Z5014">
        <v>1.557151E-2</v>
      </c>
      <c r="AA5014">
        <v>0.97765590000000002</v>
      </c>
      <c r="AB5014">
        <v>28</v>
      </c>
      <c r="AC5014">
        <v>16.691199999999899</v>
      </c>
      <c r="AD5014">
        <v>-1.113980180802</v>
      </c>
      <c r="AE5014">
        <v>1.23647</v>
      </c>
      <c r="AF5014">
        <v>-3.5517602746617198</v>
      </c>
      <c r="AG5014">
        <v>-1.113980180802</v>
      </c>
      <c r="AH5014">
        <v>16.280187533078301</v>
      </c>
      <c r="AI5014">
        <v>93.824706116025794</v>
      </c>
      <c r="AJ5014">
        <v>102.307073016399</v>
      </c>
      <c r="AK5014">
        <v>16.700313140898999</v>
      </c>
      <c r="AL5014">
        <v>91.910496083352399</v>
      </c>
      <c r="AM5014">
        <v>102.75548006981499</v>
      </c>
      <c r="AN5014">
        <v>1.0000000501337001</v>
      </c>
    </row>
    <row r="5015" spans="1:40" x14ac:dyDescent="0.25">
      <c r="A5015" t="str">
        <f>"20190305135336195"</f>
        <v>20190305135336195</v>
      </c>
      <c r="B5015" t="str">
        <f>"1551765216185541"</f>
        <v>1551765216185541</v>
      </c>
      <c r="C5015" t="s">
        <v>40</v>
      </c>
      <c r="D5015">
        <v>4.6413979999999997</v>
      </c>
      <c r="E5015">
        <v>0.50453389999999998</v>
      </c>
      <c r="F5015" t="s">
        <v>86</v>
      </c>
      <c r="G5015">
        <v>-369.20119999999997</v>
      </c>
      <c r="H5015" s="1">
        <v>-4.3171170000000002E-7</v>
      </c>
      <c r="I5015">
        <v>19.313639999999999</v>
      </c>
      <c r="J5015">
        <v>-386.1671</v>
      </c>
      <c r="K5015">
        <v>1.113888</v>
      </c>
      <c r="L5015">
        <v>18.048459999999999</v>
      </c>
      <c r="M5015">
        <v>0.99076299999999995</v>
      </c>
      <c r="N5015">
        <v>-1.4429839999999999E-2</v>
      </c>
      <c r="O5015">
        <v>-0.1348355</v>
      </c>
      <c r="P5015">
        <v>0.99540470000000003</v>
      </c>
      <c r="Q5015">
        <v>-4.5469549999999997E-2</v>
      </c>
      <c r="R5015">
        <v>8.4274109999999999E-2</v>
      </c>
      <c r="S5015">
        <v>2.9868769999999998</v>
      </c>
      <c r="T5015">
        <v>-0.19313040000000001</v>
      </c>
      <c r="U5015">
        <v>0.2139587</v>
      </c>
      <c r="V5015">
        <v>-0.21737629999999999</v>
      </c>
      <c r="W5015">
        <v>-3.3786169999999997E-2</v>
      </c>
      <c r="X5015">
        <v>0.97550300000000001</v>
      </c>
      <c r="Y5015">
        <v>-0.20461260000000001</v>
      </c>
      <c r="Z5015">
        <v>1.4824789999999999E-2</v>
      </c>
      <c r="AA5015">
        <v>0.97873069999999895</v>
      </c>
      <c r="AB5015">
        <v>28</v>
      </c>
      <c r="AC5015">
        <v>16.965900000000001</v>
      </c>
      <c r="AD5015">
        <v>-1.1138884317116999</v>
      </c>
      <c r="AE5015">
        <v>1.26517999999999</v>
      </c>
      <c r="AF5015">
        <v>-3.5263512469604401</v>
      </c>
      <c r="AG5015">
        <v>-1.1138884317116999</v>
      </c>
      <c r="AH5015">
        <v>16.569298735992401</v>
      </c>
      <c r="AI5015">
        <v>93.761977541373398</v>
      </c>
      <c r="AJ5015">
        <v>102.01468245207499</v>
      </c>
      <c r="AK5015">
        <v>16.976971495464099</v>
      </c>
      <c r="AL5015">
        <v>91.936173362745194</v>
      </c>
      <c r="AM5015">
        <v>102.562265709035</v>
      </c>
      <c r="AN5015">
        <v>1.00000003204697</v>
      </c>
    </row>
    <row r="5016" spans="1:40" x14ac:dyDescent="0.25">
      <c r="A5016" t="str">
        <f>"20190305135336207"</f>
        <v>20190305135336207</v>
      </c>
      <c r="B5016" t="str">
        <f>"1551765216195301"</f>
        <v>1551765216195301</v>
      </c>
      <c r="C5016" t="s">
        <v>40</v>
      </c>
      <c r="D5016">
        <v>4.6495230000000003</v>
      </c>
      <c r="E5016">
        <v>0.50471920000000003</v>
      </c>
      <c r="F5016" t="s">
        <v>86</v>
      </c>
      <c r="G5016">
        <v>-368.57990000000001</v>
      </c>
      <c r="H5016" s="1">
        <v>-7.2454160000000004E-7</v>
      </c>
      <c r="I5016">
        <v>19.318480000000001</v>
      </c>
      <c r="J5016">
        <v>-386.01710000000003</v>
      </c>
      <c r="K5016">
        <v>1.113837</v>
      </c>
      <c r="L5016">
        <v>18.03125</v>
      </c>
      <c r="M5016">
        <v>0.99118229999999996</v>
      </c>
      <c r="N5016">
        <v>-1.44241E-2</v>
      </c>
      <c r="O5016">
        <v>-0.13171749999999999</v>
      </c>
      <c r="P5016">
        <v>0.99530339999999995</v>
      </c>
      <c r="Q5016">
        <v>-4.5870599999999997E-2</v>
      </c>
      <c r="R5016">
        <v>8.5248340000000006E-2</v>
      </c>
      <c r="S5016">
        <v>2.9869690000000002</v>
      </c>
      <c r="T5016">
        <v>-0.1891805</v>
      </c>
      <c r="U5016">
        <v>0.21569820000000001</v>
      </c>
      <c r="V5016">
        <v>-0.21526049999999999</v>
      </c>
      <c r="W5016">
        <v>-3.413447E-2</v>
      </c>
      <c r="X5016">
        <v>0.97595989999999999</v>
      </c>
      <c r="Y5016">
        <v>-0.20213519999999999</v>
      </c>
      <c r="Z5016">
        <v>1.426491E-2</v>
      </c>
      <c r="AA5016">
        <v>0.9792537</v>
      </c>
      <c r="AB5016">
        <v>28</v>
      </c>
      <c r="AC5016">
        <v>17.437200000000001</v>
      </c>
      <c r="AD5016">
        <v>-1.1138377245416</v>
      </c>
      <c r="AE5016">
        <v>1.2872299999999901</v>
      </c>
      <c r="AF5016">
        <v>-3.5585944871562001</v>
      </c>
      <c r="AG5016">
        <v>-1.1138377245416</v>
      </c>
      <c r="AH5016">
        <v>17.0464971191365</v>
      </c>
      <c r="AI5016">
        <v>93.659782975336597</v>
      </c>
      <c r="AJ5016">
        <v>101.79161236245901</v>
      </c>
      <c r="AK5016">
        <v>17.449564270587299</v>
      </c>
      <c r="AL5016">
        <v>91.956141090687893</v>
      </c>
      <c r="AM5016">
        <v>102.43817519685</v>
      </c>
      <c r="AN5016">
        <v>0.99999998565521997</v>
      </c>
    </row>
    <row r="5017" spans="1:40" x14ac:dyDescent="0.25">
      <c r="A5017" t="str">
        <f>"20190305135336220"</f>
        <v>20190305135336220</v>
      </c>
      <c r="B5017" t="str">
        <f>"1551765216214821"</f>
        <v>1551765216214821</v>
      </c>
      <c r="C5017" t="s">
        <v>40</v>
      </c>
      <c r="D5017">
        <v>4.6421910000000004</v>
      </c>
      <c r="E5017">
        <v>0.50527659999999996</v>
      </c>
      <c r="F5017" t="s">
        <v>86</v>
      </c>
      <c r="G5017">
        <v>-368.44560000000001</v>
      </c>
      <c r="H5017" s="1">
        <v>-7.8974049999999999E-7</v>
      </c>
      <c r="I5017">
        <v>19.30883</v>
      </c>
      <c r="J5017">
        <v>-385.85079999999999</v>
      </c>
      <c r="K5017">
        <v>1.113764</v>
      </c>
      <c r="L5017">
        <v>18.01276</v>
      </c>
      <c r="M5017">
        <v>0.99162740000000005</v>
      </c>
      <c r="N5017">
        <v>-1.441659E-2</v>
      </c>
      <c r="O5017">
        <v>-0.12832499999999999</v>
      </c>
      <c r="P5017">
        <v>0.99515580000000003</v>
      </c>
      <c r="Q5017">
        <v>-4.5941349999999999E-2</v>
      </c>
      <c r="R5017">
        <v>8.6916770000000004E-2</v>
      </c>
      <c r="S5017">
        <v>2.9867859999999999</v>
      </c>
      <c r="T5017">
        <v>-0.1893291</v>
      </c>
      <c r="U5017">
        <v>0.2171631</v>
      </c>
      <c r="V5017">
        <v>-0.21356240000000001</v>
      </c>
      <c r="W5017">
        <v>-3.4151050000000002E-2</v>
      </c>
      <c r="X5017">
        <v>0.97633230000000004</v>
      </c>
      <c r="Y5017">
        <v>-0.19927549999999999</v>
      </c>
      <c r="Z5017">
        <v>1.4001700000000001E-2</v>
      </c>
      <c r="AA5017">
        <v>0.97984340000000003</v>
      </c>
      <c r="AB5017">
        <v>28</v>
      </c>
      <c r="AC5017">
        <v>17.405199999999901</v>
      </c>
      <c r="AD5017">
        <v>-1.1137647897405001</v>
      </c>
      <c r="AE5017">
        <v>1.2960700000000001</v>
      </c>
      <c r="AF5017">
        <v>-3.5048341269584902</v>
      </c>
      <c r="AG5017">
        <v>-1.1137647897405001</v>
      </c>
      <c r="AH5017">
        <v>17.025599861423601</v>
      </c>
      <c r="AI5017">
        <v>93.666131352633101</v>
      </c>
      <c r="AJ5017">
        <v>101.63222500045801</v>
      </c>
      <c r="AK5017">
        <v>17.418248617632798</v>
      </c>
      <c r="AL5017">
        <v>91.957091626900294</v>
      </c>
      <c r="AM5017">
        <v>102.338510952717</v>
      </c>
      <c r="AN5017">
        <v>0.99999997646657601</v>
      </c>
    </row>
    <row r="5018" spans="1:40" x14ac:dyDescent="0.25">
      <c r="A5018" t="str">
        <f>"20190305135336242"</f>
        <v>20190305135336242</v>
      </c>
      <c r="B5018" t="str">
        <f>"1551765216235319"</f>
        <v>1551765216235319</v>
      </c>
      <c r="C5018" t="s">
        <v>40</v>
      </c>
      <c r="D5018">
        <v>4.8267879999999996</v>
      </c>
      <c r="E5018">
        <v>0.50599150000000004</v>
      </c>
      <c r="F5018" t="s">
        <v>86</v>
      </c>
      <c r="G5018">
        <v>-368.19439999999997</v>
      </c>
      <c r="H5018" s="1">
        <v>-9.100733E-7</v>
      </c>
      <c r="I5018">
        <v>19.300070000000002</v>
      </c>
      <c r="J5018">
        <v>-385.60149999999999</v>
      </c>
      <c r="K5018">
        <v>1.1136280000000001</v>
      </c>
      <c r="L5018">
        <v>17.985990000000001</v>
      </c>
      <c r="M5018">
        <v>0.99225529999999995</v>
      </c>
      <c r="N5018">
        <v>-1.4403849999999999E-2</v>
      </c>
      <c r="O5018">
        <v>-0.1233783</v>
      </c>
      <c r="P5018">
        <v>0.99488500000000002</v>
      </c>
      <c r="Q5018">
        <v>-4.6575850000000002E-2</v>
      </c>
      <c r="R5018">
        <v>8.9635759999999995E-2</v>
      </c>
      <c r="S5018">
        <v>2.9869080000000001</v>
      </c>
      <c r="T5018">
        <v>-0.18841350000000001</v>
      </c>
      <c r="U5018">
        <v>0.21777340000000001</v>
      </c>
      <c r="V5018">
        <v>-0.21136269999999999</v>
      </c>
      <c r="W5018">
        <v>-3.4699359999999999E-2</v>
      </c>
      <c r="X5018">
        <v>0.97679159999999998</v>
      </c>
      <c r="Y5018">
        <v>-0.19460659999999999</v>
      </c>
      <c r="Z5018">
        <v>1.3512430000000001E-2</v>
      </c>
      <c r="AA5018">
        <v>0.98078829999999995</v>
      </c>
      <c r="AB5018">
        <v>28</v>
      </c>
      <c r="AC5018">
        <v>17.4071</v>
      </c>
      <c r="AD5018">
        <v>-1.1136289100732999</v>
      </c>
      <c r="AE5018">
        <v>1.3140799999999999</v>
      </c>
      <c r="AF5018">
        <v>-3.4379276507818801</v>
      </c>
      <c r="AG5018">
        <v>-1.1136289100732999</v>
      </c>
      <c r="AH5018">
        <v>17.042573483939702</v>
      </c>
      <c r="AI5018">
        <v>93.664997414184199</v>
      </c>
      <c r="AJ5018">
        <v>101.40498162612199</v>
      </c>
      <c r="AK5018">
        <v>17.421504723669699</v>
      </c>
      <c r="AL5018">
        <v>91.988525996014502</v>
      </c>
      <c r="AM5018">
        <v>102.20968746753501</v>
      </c>
      <c r="AN5018">
        <v>1.00000003318312</v>
      </c>
    </row>
    <row r="5019" spans="1:40" x14ac:dyDescent="0.25">
      <c r="A5019" t="str">
        <f>"20190305135336256"</f>
        <v>20190305135336256</v>
      </c>
      <c r="B5019" t="str">
        <f>"1551765216245077"</f>
        <v>1551765216245077</v>
      </c>
      <c r="C5019" t="s">
        <v>40</v>
      </c>
      <c r="D5019">
        <v>4.6121339999999904</v>
      </c>
      <c r="E5019">
        <v>0.5062449</v>
      </c>
      <c r="F5019" t="s">
        <v>86</v>
      </c>
      <c r="G5019">
        <v>-368.2088</v>
      </c>
      <c r="H5019" s="1">
        <v>-9.0878340000000001E-7</v>
      </c>
      <c r="I5019">
        <v>19.26877</v>
      </c>
      <c r="J5019">
        <v>-385.42180000000002</v>
      </c>
      <c r="K5019">
        <v>1.113504</v>
      </c>
      <c r="L5019">
        <v>17.967410000000001</v>
      </c>
      <c r="M5019">
        <v>0.99267459999999996</v>
      </c>
      <c r="N5019">
        <v>-1.4393029999999999E-2</v>
      </c>
      <c r="O5019">
        <v>-0.1199577</v>
      </c>
      <c r="P5019">
        <v>0.99475530000000001</v>
      </c>
      <c r="Q5019">
        <v>-4.6712820000000002E-2</v>
      </c>
      <c r="R5019">
        <v>9.0993019999999994E-2</v>
      </c>
      <c r="S5019">
        <v>2.9866329999999999</v>
      </c>
      <c r="T5019">
        <v>-0.1912297</v>
      </c>
      <c r="U5019">
        <v>0.2202759</v>
      </c>
      <c r="V5019">
        <v>-0.2093381</v>
      </c>
      <c r="W5019">
        <v>-3.4757219999999998E-2</v>
      </c>
      <c r="X5019">
        <v>0.97722540000000002</v>
      </c>
      <c r="Y5019">
        <v>-0.1920415</v>
      </c>
      <c r="Z5019">
        <v>1.345207E-2</v>
      </c>
      <c r="AA5019">
        <v>0.98129460000000002</v>
      </c>
      <c r="AB5019">
        <v>28</v>
      </c>
      <c r="AC5019">
        <v>17.213000000000001</v>
      </c>
      <c r="AD5019">
        <v>-1.1135049087833999</v>
      </c>
      <c r="AE5019">
        <v>1.3013599999999901</v>
      </c>
      <c r="AF5019">
        <v>-3.3430962969975999</v>
      </c>
      <c r="AG5019">
        <v>-1.1135049087833999</v>
      </c>
      <c r="AH5019">
        <v>16.862390688448201</v>
      </c>
      <c r="AI5019">
        <v>93.706104033780704</v>
      </c>
      <c r="AJ5019">
        <v>101.21390526881299</v>
      </c>
      <c r="AK5019">
        <v>17.226619104245302</v>
      </c>
      <c r="AL5019">
        <v>91.991843209847801</v>
      </c>
      <c r="AM5019">
        <v>102.090981983053</v>
      </c>
      <c r="AN5019">
        <v>0.99999999342944901</v>
      </c>
    </row>
    <row r="5020" spans="1:40" x14ac:dyDescent="0.25">
      <c r="A5020" t="str">
        <f>"20190305135336277"</f>
        <v>20190305135336277</v>
      </c>
      <c r="B5020" t="str">
        <f>"1551765216265572"</f>
        <v>1551765216265572</v>
      </c>
      <c r="C5020" t="s">
        <v>40</v>
      </c>
      <c r="D5020">
        <v>4.6379859999999997</v>
      </c>
      <c r="E5020">
        <v>0.50677179999999999</v>
      </c>
      <c r="F5020" t="s">
        <v>86</v>
      </c>
      <c r="G5020">
        <v>-367.9314</v>
      </c>
      <c r="H5020" s="1">
        <v>-1.0397810000000001E-6</v>
      </c>
      <c r="I5020">
        <v>19.269580000000001</v>
      </c>
      <c r="J5020">
        <v>-385.17160000000001</v>
      </c>
      <c r="K5020">
        <v>1.1133059999999999</v>
      </c>
      <c r="L5020">
        <v>17.942260000000001</v>
      </c>
      <c r="M5020">
        <v>0.99321570000000003</v>
      </c>
      <c r="N5020">
        <v>-1.437604E-2</v>
      </c>
      <c r="O5020">
        <v>-0.1153945</v>
      </c>
      <c r="P5020">
        <v>0.99476779999999998</v>
      </c>
      <c r="Q5020">
        <v>-4.696053E-2</v>
      </c>
      <c r="R5020">
        <v>9.0729199999999996E-2</v>
      </c>
      <c r="S5020">
        <v>2.986542</v>
      </c>
      <c r="T5020">
        <v>-0.1901342</v>
      </c>
      <c r="U5020">
        <v>0.2223511</v>
      </c>
      <c r="V5020">
        <v>-0.20460200000000001</v>
      </c>
      <c r="W5020">
        <v>-3.4859059999999997E-2</v>
      </c>
      <c r="X5020">
        <v>0.97822430000000005</v>
      </c>
      <c r="Y5020">
        <v>-0.18823290000000001</v>
      </c>
      <c r="Z5020">
        <v>1.300217E-2</v>
      </c>
      <c r="AA5020">
        <v>0.98203839999999998</v>
      </c>
      <c r="AB5020">
        <v>28</v>
      </c>
      <c r="AC5020">
        <v>17.240200000000002</v>
      </c>
      <c r="AD5020">
        <v>-1.1133070397810001</v>
      </c>
      <c r="AE5020">
        <v>1.3273199999999901</v>
      </c>
      <c r="AF5020">
        <v>-3.2944241111218902</v>
      </c>
      <c r="AG5020">
        <v>-1.1133070397810001</v>
      </c>
      <c r="AH5020">
        <v>16.901759340973602</v>
      </c>
      <c r="AI5020">
        <v>93.699172617868001</v>
      </c>
      <c r="AJ5020">
        <v>101.029574960674</v>
      </c>
      <c r="AK5020">
        <v>17.2557860327763</v>
      </c>
      <c r="AL5020">
        <v>91.9976818233785</v>
      </c>
      <c r="AM5020">
        <v>101.813485212914</v>
      </c>
      <c r="AN5020">
        <v>0.99999995678928499</v>
      </c>
    </row>
    <row r="5021" spans="1:40" x14ac:dyDescent="0.25">
      <c r="A5021" t="str">
        <f>"20190305135336296"</f>
        <v>20190305135336296</v>
      </c>
      <c r="B5021" t="str">
        <f>"1551765216285113"</f>
        <v>1551765216285113</v>
      </c>
      <c r="C5021" t="s">
        <v>40</v>
      </c>
      <c r="D5021">
        <v>4.6074799999999998</v>
      </c>
      <c r="E5021">
        <v>0.50715940000000004</v>
      </c>
      <c r="F5021" t="s">
        <v>86</v>
      </c>
      <c r="G5021">
        <v>-367.5942</v>
      </c>
      <c r="H5021" s="1">
        <v>-1.2076899999999901E-6</v>
      </c>
      <c r="I5021">
        <v>19.221630000000001</v>
      </c>
      <c r="J5021">
        <v>-384.92759999999998</v>
      </c>
      <c r="K5021">
        <v>1.113086</v>
      </c>
      <c r="L5021">
        <v>17.918579999999999</v>
      </c>
      <c r="M5021">
        <v>0.99369390000000002</v>
      </c>
      <c r="N5021">
        <v>-1.435781E-2</v>
      </c>
      <c r="O5021">
        <v>-0.11120339999999999</v>
      </c>
      <c r="P5021">
        <v>0.99484700000000004</v>
      </c>
      <c r="Q5021">
        <v>-4.7048300000000001E-2</v>
      </c>
      <c r="R5021">
        <v>8.9812089999999997E-2</v>
      </c>
      <c r="S5021">
        <v>2.9869690000000002</v>
      </c>
      <c r="T5021">
        <v>-0.18918699999999999</v>
      </c>
      <c r="U5021">
        <v>0.21740719999999999</v>
      </c>
      <c r="V5021">
        <v>-0.19959099999999999</v>
      </c>
      <c r="W5021">
        <v>-3.4793619999999997E-2</v>
      </c>
      <c r="X5021">
        <v>0.9792613</v>
      </c>
      <c r="Y5021">
        <v>-0.18248490000000001</v>
      </c>
      <c r="Z5021">
        <v>1.250806E-2</v>
      </c>
      <c r="AA5021">
        <v>0.98312909999999998</v>
      </c>
      <c r="AB5021">
        <v>28</v>
      </c>
      <c r="AC5021">
        <v>17.333399999999902</v>
      </c>
      <c r="AD5021">
        <v>-1.11308720769</v>
      </c>
      <c r="AE5021">
        <v>1.30304999999999</v>
      </c>
      <c r="AF5021">
        <v>-3.2095372793527401</v>
      </c>
      <c r="AG5021">
        <v>-1.11308720769</v>
      </c>
      <c r="AH5021">
        <v>17.0111962390001</v>
      </c>
      <c r="AI5021">
        <v>93.678952001106595</v>
      </c>
      <c r="AJ5021">
        <v>100.684514350979</v>
      </c>
      <c r="AK5021">
        <v>17.3470715154244</v>
      </c>
      <c r="AL5021">
        <v>91.993930168015297</v>
      </c>
      <c r="AM5021">
        <v>101.52011435249101</v>
      </c>
      <c r="AN5021">
        <v>0.99999992847569397</v>
      </c>
    </row>
    <row r="5022" spans="1:40" x14ac:dyDescent="0.25">
      <c r="A5022" t="str">
        <f>"20190305135336309"</f>
        <v>20190305135336309</v>
      </c>
      <c r="B5022" t="str">
        <f>"1551765216305589"</f>
        <v>1551765216305589</v>
      </c>
      <c r="C5022" t="s">
        <v>40</v>
      </c>
      <c r="D5022">
        <v>4.607246</v>
      </c>
      <c r="E5022">
        <v>0.50762089999999904</v>
      </c>
      <c r="F5022" t="s">
        <v>86</v>
      </c>
      <c r="G5022">
        <v>-367.19240000000002</v>
      </c>
      <c r="H5022" s="1">
        <v>-1.4058829999999999E-6</v>
      </c>
      <c r="I5022">
        <v>19.17493</v>
      </c>
      <c r="J5022">
        <v>-384.7654</v>
      </c>
      <c r="K5022">
        <v>1.1129290000000001</v>
      </c>
      <c r="L5022">
        <v>17.90326</v>
      </c>
      <c r="M5022">
        <v>0.99398770000000003</v>
      </c>
      <c r="N5022">
        <v>-1.434552E-2</v>
      </c>
      <c r="O5022">
        <v>-0.1085493</v>
      </c>
      <c r="P5022">
        <v>0.99484410000000001</v>
      </c>
      <c r="Q5022">
        <v>-4.7119019999999998E-2</v>
      </c>
      <c r="R5022">
        <v>8.9805449999999995E-2</v>
      </c>
      <c r="S5022">
        <v>2.9875790000000002</v>
      </c>
      <c r="T5022">
        <v>-0.18750520000000001</v>
      </c>
      <c r="U5022">
        <v>0.21163940000000001</v>
      </c>
      <c r="V5022">
        <v>-0.19698209999999999</v>
      </c>
      <c r="W5022">
        <v>-3.4771169999999997E-2</v>
      </c>
      <c r="X5022">
        <v>0.9797903</v>
      </c>
      <c r="Y5022">
        <v>-0.177979</v>
      </c>
      <c r="Z5022">
        <v>1.209149E-2</v>
      </c>
      <c r="AA5022">
        <v>0.98395999999999995</v>
      </c>
      <c r="AB5022">
        <v>28</v>
      </c>
      <c r="AC5022">
        <v>17.572999999999901</v>
      </c>
      <c r="AD5022">
        <v>-1.1129304058830001</v>
      </c>
      <c r="AE5022">
        <v>1.2716700000000001</v>
      </c>
      <c r="AF5022">
        <v>-3.1592814988628102</v>
      </c>
      <c r="AG5022">
        <v>-1.1129304058830001</v>
      </c>
      <c r="AH5022">
        <v>17.2622111460316</v>
      </c>
      <c r="AI5022">
        <v>93.628764146646304</v>
      </c>
      <c r="AJ5022">
        <v>100.371332568635</v>
      </c>
      <c r="AK5022">
        <v>17.5841862856253</v>
      </c>
      <c r="AL5022">
        <v>91.992642942387803</v>
      </c>
      <c r="AM5022">
        <v>101.36750107176201</v>
      </c>
      <c r="AN5022">
        <v>1.00000000697883</v>
      </c>
    </row>
    <row r="5023" spans="1:40" x14ac:dyDescent="0.25">
      <c r="A5023" t="str">
        <f>"20190305135336330"</f>
        <v>20190305135336330</v>
      </c>
      <c r="B5023" t="str">
        <f>"1551765216325109"</f>
        <v>1551765216325109</v>
      </c>
      <c r="C5023" t="s">
        <v>40</v>
      </c>
      <c r="D5023">
        <v>4.5776849999999998</v>
      </c>
      <c r="E5023">
        <v>0.50801209999999997</v>
      </c>
      <c r="F5023" t="s">
        <v>86</v>
      </c>
      <c r="G5023">
        <v>-366.88189999999997</v>
      </c>
      <c r="H5023" s="1">
        <v>-1.5574549999999999E-6</v>
      </c>
      <c r="I5023">
        <v>19.148060000000001</v>
      </c>
      <c r="J5023">
        <v>-384.50420000000003</v>
      </c>
      <c r="K5023">
        <v>1.112681</v>
      </c>
      <c r="L5023">
        <v>17.879239999999999</v>
      </c>
      <c r="M5023">
        <v>0.99441650000000004</v>
      </c>
      <c r="N5023">
        <v>-1.4325539999999999E-2</v>
      </c>
      <c r="O5023">
        <v>-0.1045517</v>
      </c>
      <c r="P5023">
        <v>0.99494740000000004</v>
      </c>
      <c r="Q5023">
        <v>-4.7934320000000002E-2</v>
      </c>
      <c r="R5023">
        <v>8.8216340000000004E-2</v>
      </c>
      <c r="S5023">
        <v>2.9879150000000001</v>
      </c>
      <c r="T5023">
        <v>-0.1859441</v>
      </c>
      <c r="U5023">
        <v>0.2079773</v>
      </c>
      <c r="V5023">
        <v>-0.19148879999999999</v>
      </c>
      <c r="W5023">
        <v>-3.5425360000000003E-2</v>
      </c>
      <c r="X5023">
        <v>0.98085529999999999</v>
      </c>
      <c r="Y5023">
        <v>-0.172838299999999</v>
      </c>
      <c r="Z5023">
        <v>1.16011E-2</v>
      </c>
      <c r="AA5023">
        <v>0.98488189999999998</v>
      </c>
      <c r="AB5023">
        <v>28</v>
      </c>
      <c r="AC5023">
        <v>17.622299999999999</v>
      </c>
      <c r="AD5023">
        <v>-1.1126825574549899</v>
      </c>
      <c r="AE5023">
        <v>1.2688200000000001</v>
      </c>
      <c r="AF5023">
        <v>-3.0922305068796301</v>
      </c>
      <c r="AG5023">
        <v>-1.1126825574549899</v>
      </c>
      <c r="AH5023">
        <v>17.324318186403602</v>
      </c>
      <c r="AI5023">
        <v>93.617844263025006</v>
      </c>
      <c r="AJ5023">
        <v>100.120191772171</v>
      </c>
      <c r="AK5023">
        <v>17.633262676121401</v>
      </c>
      <c r="AL5023">
        <v>92.030148354585904</v>
      </c>
      <c r="AM5023">
        <v>101.04670228846</v>
      </c>
      <c r="AN5023">
        <v>1.0000000180973201</v>
      </c>
    </row>
    <row r="5024" spans="1:40" x14ac:dyDescent="0.25">
      <c r="A5024" t="str">
        <f>"20190305135336342"</f>
        <v>20190305135336342</v>
      </c>
      <c r="B5024" t="str">
        <f>"1551765216334871"</f>
        <v>1551765216334871</v>
      </c>
      <c r="C5024" t="s">
        <v>40</v>
      </c>
      <c r="D5024">
        <v>4.5898649999999996</v>
      </c>
      <c r="E5024">
        <v>0.50816870000000003</v>
      </c>
      <c r="F5024" t="s">
        <v>86</v>
      </c>
      <c r="G5024">
        <v>-366.7749</v>
      </c>
      <c r="H5024" s="1">
        <v>-1.622442E-6</v>
      </c>
      <c r="I5024">
        <v>19.06673</v>
      </c>
      <c r="J5024">
        <v>-384.34710000000001</v>
      </c>
      <c r="K5024">
        <v>1.112533</v>
      </c>
      <c r="L5024">
        <v>17.865110000000001</v>
      </c>
      <c r="M5024">
        <v>0.99465179999999997</v>
      </c>
      <c r="N5024">
        <v>-1.4313609999999999E-2</v>
      </c>
      <c r="O5024">
        <v>-0.10228909999999999</v>
      </c>
      <c r="P5024">
        <v>0.99497970000000002</v>
      </c>
      <c r="Q5024">
        <v>-4.8356179999999999E-2</v>
      </c>
      <c r="R5024">
        <v>8.7619329999999995E-2</v>
      </c>
      <c r="S5024">
        <v>2.988464</v>
      </c>
      <c r="T5024">
        <v>-0.18755530000000001</v>
      </c>
      <c r="U5024">
        <v>0.2001648</v>
      </c>
      <c r="V5024">
        <v>-0.18867719999999999</v>
      </c>
      <c r="W5024">
        <v>-3.5758659999999998E-2</v>
      </c>
      <c r="X5024">
        <v>0.98138789999999998</v>
      </c>
      <c r="Y5024">
        <v>-0.1680256</v>
      </c>
      <c r="Z5024">
        <v>1.140804E-2</v>
      </c>
      <c r="AA5024">
        <v>0.98571660000000005</v>
      </c>
      <c r="AB5024">
        <v>28</v>
      </c>
      <c r="AC5024">
        <v>17.572199999999999</v>
      </c>
      <c r="AD5024">
        <v>-1.1125346224420001</v>
      </c>
      <c r="AE5024">
        <v>1.2016199999999899</v>
      </c>
      <c r="AF5024">
        <v>-2.9810506870361801</v>
      </c>
      <c r="AG5024">
        <v>-1.1125346224420001</v>
      </c>
      <c r="AH5024">
        <v>17.288108922528099</v>
      </c>
      <c r="AI5024">
        <v>93.628650199078905</v>
      </c>
      <c r="AJ5024">
        <v>99.783508565917899</v>
      </c>
      <c r="AK5024">
        <v>17.5784841952315</v>
      </c>
      <c r="AL5024">
        <v>92.049257204725805</v>
      </c>
      <c r="AM5024">
        <v>100.88264207007801</v>
      </c>
      <c r="AN5024">
        <v>0.99999998891562203</v>
      </c>
    </row>
    <row r="5025" spans="1:40" x14ac:dyDescent="0.25">
      <c r="A5025" t="str">
        <f>"20190305135336355"</f>
        <v>20190305135336355</v>
      </c>
      <c r="B5025" t="str">
        <f>"1551765216344629"</f>
        <v>1551765216344629</v>
      </c>
      <c r="C5025" t="s">
        <v>40</v>
      </c>
      <c r="D5025">
        <v>4.6142770000000004</v>
      </c>
      <c r="E5025">
        <v>0.50834299999999999</v>
      </c>
      <c r="F5025" t="s">
        <v>86</v>
      </c>
      <c r="G5025">
        <v>-366.69189999999998</v>
      </c>
      <c r="H5025" s="1">
        <v>-1.6681989999999999E-6</v>
      </c>
      <c r="I5025">
        <v>19.029920000000001</v>
      </c>
      <c r="J5025">
        <v>-384.19549999999998</v>
      </c>
      <c r="K5025">
        <v>1.112392</v>
      </c>
      <c r="L5025">
        <v>17.85181</v>
      </c>
      <c r="M5025">
        <v>0.9948593</v>
      </c>
      <c r="N5025">
        <v>-1.4301889999999999E-2</v>
      </c>
      <c r="O5025">
        <v>-0.1002521</v>
      </c>
      <c r="P5025">
        <v>0.99501569999999995</v>
      </c>
      <c r="Q5025">
        <v>-4.8731959999999998E-2</v>
      </c>
      <c r="R5025">
        <v>8.7001200000000001E-2</v>
      </c>
      <c r="S5025">
        <v>2.9886170000000001</v>
      </c>
      <c r="T5025">
        <v>-0.1883264</v>
      </c>
      <c r="U5025">
        <v>0.19717409999999999</v>
      </c>
      <c r="V5025">
        <v>-0.18606700000000001</v>
      </c>
      <c r="W5025">
        <v>-3.6054040000000002E-2</v>
      </c>
      <c r="X5025">
        <v>0.98187530000000001</v>
      </c>
      <c r="Y5025">
        <v>-0.16502639999999999</v>
      </c>
      <c r="Z5025">
        <v>1.1241269999999999E-2</v>
      </c>
      <c r="AA5025">
        <v>0.98622509999999997</v>
      </c>
      <c r="AB5025">
        <v>28</v>
      </c>
      <c r="AC5025">
        <v>17.503599999999999</v>
      </c>
      <c r="AD5025">
        <v>-1.1123936681990001</v>
      </c>
      <c r="AE5025">
        <v>1.17811</v>
      </c>
      <c r="AF5025">
        <v>-2.9154037474202101</v>
      </c>
      <c r="AG5025">
        <v>-1.1123936681990001</v>
      </c>
      <c r="AH5025">
        <v>17.2280116077571</v>
      </c>
      <c r="AI5025">
        <v>93.642748643199894</v>
      </c>
      <c r="AJ5025">
        <v>99.604861735179895</v>
      </c>
      <c r="AK5025">
        <v>17.508323238977901</v>
      </c>
      <c r="AL5025">
        <v>92.066192205170694</v>
      </c>
      <c r="AM5025">
        <v>100.730406676174</v>
      </c>
      <c r="AN5025">
        <v>0.99999996351970499</v>
      </c>
    </row>
    <row r="5026" spans="1:40" x14ac:dyDescent="0.25">
      <c r="A5026" t="str">
        <f>"20190305135336375"</f>
        <v>20190305135336375</v>
      </c>
      <c r="B5026" t="str">
        <f>"1551765216365125"</f>
        <v>1551765216365125</v>
      </c>
      <c r="C5026" t="s">
        <v>40</v>
      </c>
      <c r="D5026">
        <v>4.5852079999999997</v>
      </c>
      <c r="E5026">
        <v>0.50855609999999996</v>
      </c>
      <c r="F5026" t="s">
        <v>86</v>
      </c>
      <c r="G5026">
        <v>-366.62639999999999</v>
      </c>
      <c r="H5026" s="1">
        <v>-1.705952E-6</v>
      </c>
      <c r="I5026">
        <v>18.99166</v>
      </c>
      <c r="J5026">
        <v>-383.95100000000002</v>
      </c>
      <c r="K5026">
        <v>1.1121559999999999</v>
      </c>
      <c r="L5026">
        <v>17.830690000000001</v>
      </c>
      <c r="M5026">
        <v>0.99516490000000002</v>
      </c>
      <c r="N5026">
        <v>-1.4282970000000001E-2</v>
      </c>
      <c r="O5026">
        <v>-9.7176079999999998E-2</v>
      </c>
      <c r="P5026">
        <v>0.99522169999999999</v>
      </c>
      <c r="Q5026">
        <v>-4.8386909999999998E-2</v>
      </c>
      <c r="R5026">
        <v>8.4811869999999998E-2</v>
      </c>
      <c r="S5026">
        <v>2.9887999999999999</v>
      </c>
      <c r="T5026">
        <v>-0.18923699999999999</v>
      </c>
      <c r="U5026">
        <v>0.19390869999999999</v>
      </c>
      <c r="V5026">
        <v>-0.18089640000000001</v>
      </c>
      <c r="W5026">
        <v>-3.5571249999999999E-2</v>
      </c>
      <c r="X5026">
        <v>0.98285869999999997</v>
      </c>
      <c r="Y5026">
        <v>-0.160908</v>
      </c>
      <c r="Z5026">
        <v>1.098698E-2</v>
      </c>
      <c r="AA5026">
        <v>0.98690829999999996</v>
      </c>
      <c r="AB5026">
        <v>28</v>
      </c>
      <c r="AC5026">
        <v>17.324599999999901</v>
      </c>
      <c r="AD5026">
        <v>-1.112157705952</v>
      </c>
      <c r="AE5026">
        <v>1.1609699999999901</v>
      </c>
      <c r="AF5026">
        <v>-2.8275819273303702</v>
      </c>
      <c r="AG5026">
        <v>-1.112157705952</v>
      </c>
      <c r="AH5026">
        <v>17.059769871410001</v>
      </c>
      <c r="AI5026">
        <v>93.679876115522802</v>
      </c>
      <c r="AJ5026">
        <v>99.410968060719298</v>
      </c>
      <c r="AK5026">
        <v>17.328238871395499</v>
      </c>
      <c r="AL5026">
        <v>92.038512497820605</v>
      </c>
      <c r="AM5026">
        <v>100.42865031059</v>
      </c>
      <c r="AN5026">
        <v>1.0000000227626</v>
      </c>
    </row>
    <row r="5027" spans="1:40" x14ac:dyDescent="0.25">
      <c r="A5027" t="str">
        <f>"20190305135336390"</f>
        <v>20190305135336390</v>
      </c>
      <c r="B5027" t="str">
        <f>"1551765216385623"</f>
        <v>1551765216385623</v>
      </c>
      <c r="C5027" t="s">
        <v>40</v>
      </c>
      <c r="D5027">
        <v>4.5783019999999999</v>
      </c>
      <c r="E5027">
        <v>0.50866</v>
      </c>
      <c r="F5027" t="s">
        <v>86</v>
      </c>
      <c r="G5027">
        <v>-366.21789999999999</v>
      </c>
      <c r="H5027" s="1">
        <v>-1.909595E-6</v>
      </c>
      <c r="I5027">
        <v>18.93242</v>
      </c>
      <c r="J5027">
        <v>-383.77339999999998</v>
      </c>
      <c r="K5027">
        <v>1.1119829999999999</v>
      </c>
      <c r="L5027">
        <v>17.815639999999998</v>
      </c>
      <c r="M5027">
        <v>0.9953632</v>
      </c>
      <c r="N5027">
        <v>-1.42691E-2</v>
      </c>
      <c r="O5027">
        <v>-9.512379E-2</v>
      </c>
      <c r="P5027">
        <v>0.99527359999999998</v>
      </c>
      <c r="Q5027">
        <v>-4.8157850000000002E-2</v>
      </c>
      <c r="R5027">
        <v>8.4328890000000004E-2</v>
      </c>
      <c r="S5027">
        <v>2.9894409999999998</v>
      </c>
      <c r="T5027">
        <v>-0.1874866</v>
      </c>
      <c r="U5027">
        <v>0.18573000000000001</v>
      </c>
      <c r="V5027">
        <v>-0.1784116</v>
      </c>
      <c r="W5027">
        <v>-3.5255090000000003E-2</v>
      </c>
      <c r="X5027">
        <v>0.98332419999999998</v>
      </c>
      <c r="Y5027">
        <v>-0.15619149999999901</v>
      </c>
      <c r="Z5027">
        <v>1.060145E-2</v>
      </c>
      <c r="AA5027">
        <v>0.98766989999999999</v>
      </c>
      <c r="AB5027">
        <v>28</v>
      </c>
      <c r="AC5027">
        <v>17.555499999999899</v>
      </c>
      <c r="AD5027">
        <v>-1.1119849095949901</v>
      </c>
      <c r="AE5027">
        <v>1.1167800000000001</v>
      </c>
      <c r="AF5027">
        <v>-2.7707588182692802</v>
      </c>
      <c r="AG5027">
        <v>-1.1119849095949901</v>
      </c>
      <c r="AH5027">
        <v>17.300502794448001</v>
      </c>
      <c r="AI5027">
        <v>93.631459579056596</v>
      </c>
      <c r="AJ5027">
        <v>99.098925527816903</v>
      </c>
      <c r="AK5027">
        <v>17.5562243039011</v>
      </c>
      <c r="AL5027">
        <v>92.020386437325499</v>
      </c>
      <c r="AM5027">
        <v>100.283715509389</v>
      </c>
      <c r="AN5027">
        <v>1.00000005134555</v>
      </c>
    </row>
    <row r="5028" spans="1:40" x14ac:dyDescent="0.25">
      <c r="A5028" t="str">
        <f>"20190305135336402"</f>
        <v>20190305135336402</v>
      </c>
      <c r="B5028" t="str">
        <f>"1551765216395382"</f>
        <v>1551765216395382</v>
      </c>
      <c r="C5028" t="s">
        <v>40</v>
      </c>
      <c r="D5028">
        <v>4.6150209999999996</v>
      </c>
      <c r="E5028">
        <v>0.50873769999999996</v>
      </c>
      <c r="F5028" t="s">
        <v>86</v>
      </c>
      <c r="G5028">
        <v>-365.96800000000002</v>
      </c>
      <c r="H5028" s="1">
        <v>-2.0319859999999998E-6</v>
      </c>
      <c r="I5028">
        <v>18.90814</v>
      </c>
      <c r="J5028">
        <v>-383.61610000000002</v>
      </c>
      <c r="K5028">
        <v>1.111828</v>
      </c>
      <c r="L5028">
        <v>17.802489999999999</v>
      </c>
      <c r="M5028">
        <v>0.99552339999999995</v>
      </c>
      <c r="N5028">
        <v>-1.425679E-2</v>
      </c>
      <c r="O5028">
        <v>-9.3434649999999994E-2</v>
      </c>
      <c r="P5028">
        <v>0.99539100000000003</v>
      </c>
      <c r="Q5028">
        <v>-4.7516639999999999E-2</v>
      </c>
      <c r="R5028">
        <v>8.3302420000000002E-2</v>
      </c>
      <c r="S5028">
        <v>2.9896850000000001</v>
      </c>
      <c r="T5028">
        <v>-0.18671299999999999</v>
      </c>
      <c r="U5028">
        <v>0.1834412</v>
      </c>
      <c r="V5028">
        <v>-0.1757502</v>
      </c>
      <c r="W5028">
        <v>-3.453353E-2</v>
      </c>
      <c r="X5028">
        <v>0.98382890000000001</v>
      </c>
      <c r="Y5028">
        <v>-0.15376860000000001</v>
      </c>
      <c r="Z5028">
        <v>1.038241E-2</v>
      </c>
      <c r="AA5028">
        <v>0.98805240000000005</v>
      </c>
      <c r="AB5028">
        <v>28</v>
      </c>
      <c r="AC5028">
        <v>17.648099999999999</v>
      </c>
      <c r="AD5028">
        <v>-1.1118300319859999</v>
      </c>
      <c r="AE5028">
        <v>1.10565</v>
      </c>
      <c r="AF5028">
        <v>-2.73909484034824</v>
      </c>
      <c r="AG5028">
        <v>-1.1118300319859999</v>
      </c>
      <c r="AH5028">
        <v>17.398778908832899</v>
      </c>
      <c r="AI5028">
        <v>93.612020172920097</v>
      </c>
      <c r="AJ5028">
        <v>98.946661305676002</v>
      </c>
      <c r="AK5028">
        <v>17.648124945242699</v>
      </c>
      <c r="AL5028">
        <v>91.979019003096894</v>
      </c>
      <c r="AM5028">
        <v>100.12842291566599</v>
      </c>
      <c r="AN5028">
        <v>1.0000000009847501</v>
      </c>
    </row>
    <row r="5029" spans="1:40" x14ac:dyDescent="0.25">
      <c r="A5029" t="str">
        <f>"20190305135336419"</f>
        <v>20190305135336419</v>
      </c>
      <c r="B5029" t="str">
        <f>"1551765216414901"</f>
        <v>1551765216414901</v>
      </c>
      <c r="C5029" t="s">
        <v>40</v>
      </c>
      <c r="D5029">
        <v>4.6132169999999997</v>
      </c>
      <c r="E5029">
        <v>0.50894189999999995</v>
      </c>
      <c r="F5029" t="s">
        <v>86</v>
      </c>
      <c r="G5029">
        <v>-365.61649999999997</v>
      </c>
      <c r="H5029" s="1">
        <v>-2.2023129999999998E-6</v>
      </c>
      <c r="I5029">
        <v>18.88476</v>
      </c>
      <c r="J5029">
        <v>-383.40910000000002</v>
      </c>
      <c r="K5029">
        <v>1.111629</v>
      </c>
      <c r="L5029">
        <v>17.785399999999999</v>
      </c>
      <c r="M5029">
        <v>0.99571200000000004</v>
      </c>
      <c r="N5029">
        <v>-1.424108E-2</v>
      </c>
      <c r="O5029">
        <v>-9.1406440000000005E-2</v>
      </c>
      <c r="P5029">
        <v>0.99566359999999998</v>
      </c>
      <c r="Q5029">
        <v>-4.7078040000000002E-2</v>
      </c>
      <c r="R5029">
        <v>8.0237240000000001E-2</v>
      </c>
      <c r="S5029">
        <v>2.98996</v>
      </c>
      <c r="T5029">
        <v>-0.1846892</v>
      </c>
      <c r="U5029">
        <v>0.1797791</v>
      </c>
      <c r="V5029">
        <v>-0.17073949999999999</v>
      </c>
      <c r="W5029">
        <v>-3.3981079999999997E-2</v>
      </c>
      <c r="X5029">
        <v>0.98473010000000005</v>
      </c>
      <c r="Y5029">
        <v>-0.1505638</v>
      </c>
      <c r="Z5029">
        <v>1.004943E-2</v>
      </c>
      <c r="AA5029">
        <v>0.98854920000000002</v>
      </c>
      <c r="AB5029">
        <v>28</v>
      </c>
      <c r="AC5029">
        <v>17.7926</v>
      </c>
      <c r="AD5029">
        <v>-1.1116312023129999</v>
      </c>
      <c r="AE5029">
        <v>1.0993599999999999</v>
      </c>
      <c r="AF5029">
        <v>-2.7107388334958902</v>
      </c>
      <c r="AG5029">
        <v>-1.1116312023129999</v>
      </c>
      <c r="AH5029">
        <v>17.549358832536399</v>
      </c>
      <c r="AI5029">
        <v>93.5820832326513</v>
      </c>
      <c r="AJ5029">
        <v>98.780723534444405</v>
      </c>
      <c r="AK5029">
        <v>17.7922405667893</v>
      </c>
      <c r="AL5029">
        <v>91.947347302526694</v>
      </c>
      <c r="AM5029">
        <v>99.836554892642098</v>
      </c>
      <c r="AN5029">
        <v>1.0000000302521099</v>
      </c>
    </row>
    <row r="5030" spans="1:40" x14ac:dyDescent="0.25">
      <c r="A5030" t="str">
        <f>"20190305135336432"</f>
        <v>20190305135336432</v>
      </c>
      <c r="B5030" t="str">
        <f>"1551765216424662"</f>
        <v>1551765216424662</v>
      </c>
      <c r="C5030" t="s">
        <v>40</v>
      </c>
      <c r="D5030">
        <v>4.6111089999999999</v>
      </c>
      <c r="E5030">
        <v>0.50904199999999999</v>
      </c>
      <c r="F5030" t="s">
        <v>86</v>
      </c>
      <c r="G5030">
        <v>-365.19279999999998</v>
      </c>
      <c r="H5030" s="1">
        <v>-2.415047E-6</v>
      </c>
      <c r="I5030">
        <v>18.814589999999999</v>
      </c>
      <c r="J5030">
        <v>-383.25040000000001</v>
      </c>
      <c r="K5030">
        <v>1.111475</v>
      </c>
      <c r="L5030">
        <v>17.772459999999999</v>
      </c>
      <c r="M5030">
        <v>0.99584209999999995</v>
      </c>
      <c r="N5030">
        <v>-1.4229469999999999E-2</v>
      </c>
      <c r="O5030">
        <v>-8.9978420000000003E-2</v>
      </c>
      <c r="P5030">
        <v>0.99573929999999999</v>
      </c>
      <c r="Q5030">
        <v>-4.7266200000000001E-2</v>
      </c>
      <c r="R5030">
        <v>7.9181139999999997E-2</v>
      </c>
      <c r="S5030">
        <v>2.9908139999999999</v>
      </c>
      <c r="T5030">
        <v>-0.1825119</v>
      </c>
      <c r="U5030">
        <v>0.16897579999999901</v>
      </c>
      <c r="V5030">
        <v>-0.16829520000000001</v>
      </c>
      <c r="W5030">
        <v>-3.4096550000000003E-2</v>
      </c>
      <c r="X5030">
        <v>0.98514679999999999</v>
      </c>
      <c r="Y5030">
        <v>-0.14559229999999901</v>
      </c>
      <c r="Z5030">
        <v>9.6729160000000002E-3</v>
      </c>
      <c r="AA5030">
        <v>0.98929739999999999</v>
      </c>
      <c r="AB5030">
        <v>28</v>
      </c>
      <c r="AC5030">
        <v>18.057600000000001</v>
      </c>
      <c r="AD5030">
        <v>-1.1114774150469999</v>
      </c>
      <c r="AE5030">
        <v>1.04213</v>
      </c>
      <c r="AF5030">
        <v>-2.6528434777674899</v>
      </c>
      <c r="AG5030">
        <v>-1.1114774150469999</v>
      </c>
      <c r="AH5030">
        <v>17.823258246963999</v>
      </c>
      <c r="AI5030">
        <v>93.529621804733395</v>
      </c>
      <c r="AJ5030">
        <v>98.465847453836503</v>
      </c>
      <c r="AK5030">
        <v>18.0538498692014</v>
      </c>
      <c r="AL5030">
        <v>91.953967076102998</v>
      </c>
      <c r="AM5030">
        <v>99.694404068596995</v>
      </c>
      <c r="AN5030">
        <v>1.00000003330759</v>
      </c>
    </row>
    <row r="5031" spans="1:40" x14ac:dyDescent="0.25">
      <c r="A5031" t="str">
        <f>"20190305135336446"</f>
        <v>20190305135336446</v>
      </c>
      <c r="B5031" t="str">
        <f>"1551765216435398"</f>
        <v>1551765216435398</v>
      </c>
      <c r="C5031" t="s">
        <v>40</v>
      </c>
      <c r="D5031">
        <v>4.5949179999999998</v>
      </c>
      <c r="E5031">
        <v>0.50911830000000002</v>
      </c>
      <c r="F5031" t="s">
        <v>86</v>
      </c>
      <c r="G5031">
        <v>-365.06889999999999</v>
      </c>
      <c r="H5031" s="1">
        <v>-2.4805490000000001E-6</v>
      </c>
      <c r="I5031">
        <v>18.775490000000001</v>
      </c>
      <c r="J5031">
        <v>-383.08609999999999</v>
      </c>
      <c r="K5031">
        <v>1.1113150000000001</v>
      </c>
      <c r="L5031">
        <v>17.75919</v>
      </c>
      <c r="M5031">
        <v>0.99596689999999999</v>
      </c>
      <c r="N5031">
        <v>-1.4217830000000001E-2</v>
      </c>
      <c r="O5031">
        <v>-8.8588429999999996E-2</v>
      </c>
      <c r="P5031">
        <v>0.99578359999999999</v>
      </c>
      <c r="Q5031">
        <v>-4.720017E-2</v>
      </c>
      <c r="R5031">
        <v>7.8657550000000007E-2</v>
      </c>
      <c r="S5031">
        <v>2.991028</v>
      </c>
      <c r="T5031">
        <v>-0.18284880000000001</v>
      </c>
      <c r="U5031">
        <v>0.1650085</v>
      </c>
      <c r="V5031">
        <v>-0.16641710000000001</v>
      </c>
      <c r="W5031">
        <v>-3.3961869999999998E-2</v>
      </c>
      <c r="X5031">
        <v>0.98547039999999997</v>
      </c>
      <c r="Y5031">
        <v>-0.14290510000000001</v>
      </c>
      <c r="Z5031">
        <v>9.5248090000000004E-3</v>
      </c>
      <c r="AA5031">
        <v>0.98969050000000003</v>
      </c>
      <c r="AB5031">
        <v>28</v>
      </c>
      <c r="AC5031">
        <v>18.017199999999999</v>
      </c>
      <c r="AD5031">
        <v>-1.111317480549</v>
      </c>
      <c r="AE5031">
        <v>1.01629999999999</v>
      </c>
      <c r="AF5031">
        <v>-2.5987245501511902</v>
      </c>
      <c r="AG5031">
        <v>-1.111317480549</v>
      </c>
      <c r="AH5031">
        <v>17.788842566063799</v>
      </c>
      <c r="AI5031">
        <v>93.537327910760197</v>
      </c>
      <c r="AJ5031">
        <v>98.311394445559699</v>
      </c>
      <c r="AK5031">
        <v>18.011977006157199</v>
      </c>
      <c r="AL5031">
        <v>91.946246103993801</v>
      </c>
      <c r="AM5031">
        <v>99.585148248019195</v>
      </c>
      <c r="AN5031">
        <v>0.99999998453123295</v>
      </c>
    </row>
    <row r="5032" spans="1:40" x14ac:dyDescent="0.25">
      <c r="A5032" t="str">
        <f>"20190305135336467"</f>
        <v>20190305135336467</v>
      </c>
      <c r="B5032" t="str">
        <f>"1551765216454917"</f>
        <v>1551765216454917</v>
      </c>
      <c r="C5032" t="s">
        <v>40</v>
      </c>
      <c r="D5032">
        <v>4.6050300000000002</v>
      </c>
      <c r="E5032">
        <v>0.50921260000000002</v>
      </c>
      <c r="F5032" t="s">
        <v>86</v>
      </c>
      <c r="G5032">
        <v>-364.8125</v>
      </c>
      <c r="H5032" s="1">
        <v>-2.6055790000000001E-6</v>
      </c>
      <c r="I5032">
        <v>18.753990000000002</v>
      </c>
      <c r="J5032">
        <v>-382.83159999999998</v>
      </c>
      <c r="K5032">
        <v>1.1110789999999999</v>
      </c>
      <c r="L5032">
        <v>17.73883</v>
      </c>
      <c r="M5032">
        <v>0.99613229999999997</v>
      </c>
      <c r="N5032">
        <v>-1.420013E-2</v>
      </c>
      <c r="O5032">
        <v>-8.6712579999999997E-2</v>
      </c>
      <c r="P5032">
        <v>0.99592760000000002</v>
      </c>
      <c r="Q5032">
        <v>-4.6595589999999999E-2</v>
      </c>
      <c r="R5032">
        <v>7.7184450000000002E-2</v>
      </c>
      <c r="S5032">
        <v>2.991241</v>
      </c>
      <c r="T5032">
        <v>-0.18191350000000001</v>
      </c>
      <c r="U5032">
        <v>0.16284179999999901</v>
      </c>
      <c r="V5032">
        <v>-0.16312889999999999</v>
      </c>
      <c r="W5032">
        <v>-3.3255430000000002E-2</v>
      </c>
      <c r="X5032">
        <v>0.98604420000000004</v>
      </c>
      <c r="Y5032">
        <v>-0.1403343</v>
      </c>
      <c r="Z5032">
        <v>9.2912489999999997E-3</v>
      </c>
      <c r="AA5032">
        <v>0.99006059999999996</v>
      </c>
      <c r="AB5032">
        <v>28</v>
      </c>
      <c r="AC5032">
        <v>18.019099999999899</v>
      </c>
      <c r="AD5032">
        <v>-1.111081605579</v>
      </c>
      <c r="AE5032">
        <v>1.0151599999999901</v>
      </c>
      <c r="AF5032">
        <v>-2.56425672631274</v>
      </c>
      <c r="AG5032">
        <v>-1.111081605579</v>
      </c>
      <c r="AH5032">
        <v>17.795731607127301</v>
      </c>
      <c r="AI5032">
        <v>93.536212419029496</v>
      </c>
      <c r="AJ5032">
        <v>98.199535165514803</v>
      </c>
      <c r="AK5032">
        <v>18.013827420223699</v>
      </c>
      <c r="AL5032">
        <v>91.905747043391997</v>
      </c>
      <c r="AM5032">
        <v>99.393797952448594</v>
      </c>
      <c r="AN5032">
        <v>1.0000000629966601</v>
      </c>
    </row>
    <row r="5033" spans="1:40" x14ac:dyDescent="0.25">
      <c r="A5033" t="str">
        <f>"20190305135336487"</f>
        <v>20190305135336487</v>
      </c>
      <c r="B5033" t="str">
        <f>"1551765216475413"</f>
        <v>1551765216475413</v>
      </c>
      <c r="C5033" t="s">
        <v>40</v>
      </c>
      <c r="D5033">
        <v>4.6426660000000002</v>
      </c>
      <c r="E5033">
        <v>0.50925159999999903</v>
      </c>
      <c r="F5033" t="s">
        <v>86</v>
      </c>
      <c r="G5033">
        <v>-364.29840000000002</v>
      </c>
      <c r="H5033" s="1">
        <v>-2.855447E-6</v>
      </c>
      <c r="I5033">
        <v>18.715309999999999</v>
      </c>
      <c r="J5033">
        <v>-382.589</v>
      </c>
      <c r="K5033">
        <v>1.110873</v>
      </c>
      <c r="L5033">
        <v>17.7196</v>
      </c>
      <c r="M5033">
        <v>0.99626749999999997</v>
      </c>
      <c r="N5033">
        <v>-1.4176080000000001E-2</v>
      </c>
      <c r="O5033">
        <v>-8.5149279999999994E-2</v>
      </c>
      <c r="P5033">
        <v>0.99610189999999998</v>
      </c>
      <c r="Q5033">
        <v>-4.5292060000000002E-2</v>
      </c>
      <c r="R5033">
        <v>7.5694020000000001E-2</v>
      </c>
      <c r="S5033">
        <v>2.991638</v>
      </c>
      <c r="T5033">
        <v>-0.17935129999999999</v>
      </c>
      <c r="U5033">
        <v>0.15762329999999999</v>
      </c>
      <c r="V5033">
        <v>-0.1601332</v>
      </c>
      <c r="W5033">
        <v>-3.1874420000000001E-2</v>
      </c>
      <c r="X5033">
        <v>0.98658069999999998</v>
      </c>
      <c r="Y5033">
        <v>-0.1370711</v>
      </c>
      <c r="Z5033">
        <v>8.9645890000000002E-3</v>
      </c>
      <c r="AA5033">
        <v>0.99052070000000003</v>
      </c>
      <c r="AB5033">
        <v>28</v>
      </c>
      <c r="AC5033">
        <v>18.290599999999898</v>
      </c>
      <c r="AD5033">
        <v>-1.110875855447</v>
      </c>
      <c r="AE5033">
        <v>0.99571000000000198</v>
      </c>
      <c r="AF5033">
        <v>-2.5403378709259101</v>
      </c>
      <c r="AG5033">
        <v>-1.110875855447</v>
      </c>
      <c r="AH5033">
        <v>18.072897643817001</v>
      </c>
      <c r="AI5033">
        <v>93.483184497805595</v>
      </c>
      <c r="AJ5033">
        <v>98.001112191437997</v>
      </c>
      <c r="AK5033">
        <v>18.2843373111677</v>
      </c>
      <c r="AL5033">
        <v>91.826579034202297</v>
      </c>
      <c r="AM5033">
        <v>99.219352595345498</v>
      </c>
      <c r="AN5033">
        <v>1.00000004900253</v>
      </c>
    </row>
    <row r="5034" spans="1:40" x14ac:dyDescent="0.25">
      <c r="A5034" t="str">
        <f>"20190305135336508"</f>
        <v>20190305135336508</v>
      </c>
      <c r="B5034" t="str">
        <f>"1551765216504693"</f>
        <v>1551765216504693</v>
      </c>
      <c r="C5034" t="s">
        <v>40</v>
      </c>
      <c r="D5034">
        <v>4.6519909999999998</v>
      </c>
      <c r="E5034">
        <v>0.50922529999999999</v>
      </c>
      <c r="F5034" t="s">
        <v>86</v>
      </c>
      <c r="G5034">
        <v>-363.54640000000001</v>
      </c>
      <c r="H5034" s="1">
        <v>-3.2150039999999998E-6</v>
      </c>
      <c r="I5034">
        <v>18.692229999999999</v>
      </c>
      <c r="J5034">
        <v>-382.32080000000002</v>
      </c>
      <c r="K5034">
        <v>1.1106640000000001</v>
      </c>
      <c r="L5034">
        <v>17.698550000000001</v>
      </c>
      <c r="M5034">
        <v>0.99639480000000002</v>
      </c>
      <c r="N5034">
        <v>-1.4107949999999999E-2</v>
      </c>
      <c r="O5034">
        <v>-8.36586E-2</v>
      </c>
      <c r="P5034">
        <v>0.99625300000000006</v>
      </c>
      <c r="Q5034">
        <v>-4.4774710000000002E-2</v>
      </c>
      <c r="R5034">
        <v>7.3995989999999998E-2</v>
      </c>
      <c r="S5034">
        <v>2.9922179999999998</v>
      </c>
      <c r="T5034">
        <v>-0.17455519999999999</v>
      </c>
      <c r="U5034">
        <v>0.152832</v>
      </c>
      <c r="V5034">
        <v>-0.15699540000000001</v>
      </c>
      <c r="W5034">
        <v>-3.1329330000000002E-2</v>
      </c>
      <c r="X5034">
        <v>0.98710229999999999</v>
      </c>
      <c r="Y5034">
        <v>-0.13402510000000001</v>
      </c>
      <c r="Z5034">
        <v>8.542638E-3</v>
      </c>
      <c r="AA5034">
        <v>0.99094110000000002</v>
      </c>
      <c r="AB5034">
        <v>28</v>
      </c>
      <c r="AC5034">
        <v>18.7744</v>
      </c>
      <c r="AD5034">
        <v>-1.11066721500399</v>
      </c>
      <c r="AE5034">
        <v>0.99367999999999701</v>
      </c>
      <c r="AF5034">
        <v>-2.5520852921567401</v>
      </c>
      <c r="AG5034">
        <v>-1.11066721500399</v>
      </c>
      <c r="AH5034">
        <v>18.5606586161568</v>
      </c>
      <c r="AI5034">
        <v>93.392642685994304</v>
      </c>
      <c r="AJ5034">
        <v>97.829060551086997</v>
      </c>
      <c r="AK5034">
        <v>18.768185028564801</v>
      </c>
      <c r="AL5034">
        <v>91.795332130347305</v>
      </c>
      <c r="AM5034">
        <v>99.037014392691901</v>
      </c>
      <c r="AN5034">
        <v>1.0000000166023399</v>
      </c>
    </row>
    <row r="5035" spans="1:40" x14ac:dyDescent="0.25">
      <c r="A5035" t="str">
        <f>"20190305135336520"</f>
        <v>20190305135336520</v>
      </c>
      <c r="B5035" t="str">
        <f>"1551765216515431"</f>
        <v>1551765216515431</v>
      </c>
      <c r="C5035" t="s">
        <v>40</v>
      </c>
      <c r="D5035">
        <v>4.6522680000000003</v>
      </c>
      <c r="E5035">
        <v>0.50926959999999999</v>
      </c>
      <c r="F5035" t="s">
        <v>86</v>
      </c>
      <c r="G5035">
        <v>-363.18740000000003</v>
      </c>
      <c r="H5035" s="1">
        <v>-3.3931420000000001E-6</v>
      </c>
      <c r="I5035">
        <v>18.644690000000001</v>
      </c>
      <c r="J5035">
        <v>-382.1703</v>
      </c>
      <c r="K5035">
        <v>1.1105499999999999</v>
      </c>
      <c r="L5035">
        <v>17.686800000000002</v>
      </c>
      <c r="M5035">
        <v>0.99645689999999998</v>
      </c>
      <c r="N5035">
        <v>-1.4044849999999999E-2</v>
      </c>
      <c r="O5035">
        <v>-8.2924250000000005E-2</v>
      </c>
      <c r="P5035">
        <v>0.9963033</v>
      </c>
      <c r="Q5035">
        <v>-4.4795410000000001E-2</v>
      </c>
      <c r="R5035">
        <v>7.3301649999999996E-2</v>
      </c>
      <c r="S5035">
        <v>2.9925229999999998</v>
      </c>
      <c r="T5035">
        <v>-0.17371229999999999</v>
      </c>
      <c r="U5035">
        <v>0.14797969999999999</v>
      </c>
      <c r="V5035">
        <v>-0.1555877</v>
      </c>
      <c r="W5035">
        <v>-3.1366579999999998E-2</v>
      </c>
      <c r="X5035">
        <v>0.98732390000000003</v>
      </c>
      <c r="Y5035">
        <v>-0.1316957</v>
      </c>
      <c r="Z5035">
        <v>8.3845550000000001E-3</v>
      </c>
      <c r="AA5035">
        <v>0.99125469999999904</v>
      </c>
      <c r="AB5035">
        <v>28</v>
      </c>
      <c r="AC5035">
        <v>18.982899999999901</v>
      </c>
      <c r="AD5035">
        <v>-1.110553393142</v>
      </c>
      <c r="AE5035">
        <v>0.95788999999999802</v>
      </c>
      <c r="AF5035">
        <v>-2.5202842556416201</v>
      </c>
      <c r="AG5035">
        <v>-1.110553393142</v>
      </c>
      <c r="AH5035">
        <v>18.7739747881139</v>
      </c>
      <c r="AI5035">
        <v>93.355293823132001</v>
      </c>
      <c r="AJ5035">
        <v>97.645875573615001</v>
      </c>
      <c r="AK5035">
        <v>18.974912145066501</v>
      </c>
      <c r="AL5035">
        <v>91.797467586853301</v>
      </c>
      <c r="AM5035">
        <v>98.955325754562097</v>
      </c>
      <c r="AN5035">
        <v>0.99999993912169605</v>
      </c>
    </row>
    <row r="5036" spans="1:40" x14ac:dyDescent="0.25">
      <c r="A5036" t="str">
        <f>"20190305135336532"</f>
        <v>20190305135336532</v>
      </c>
      <c r="B5036" t="str">
        <f>"1551765216525189"</f>
        <v>1551765216525189</v>
      </c>
      <c r="C5036" t="s">
        <v>40</v>
      </c>
      <c r="D5036">
        <v>4.6323610000000004</v>
      </c>
      <c r="E5036">
        <v>0.50932319999999998</v>
      </c>
      <c r="F5036" t="s">
        <v>86</v>
      </c>
      <c r="G5036">
        <v>-362.99029999999999</v>
      </c>
      <c r="H5036" s="1">
        <v>-3.4907969999999998E-6</v>
      </c>
      <c r="I5036">
        <v>18.61956</v>
      </c>
      <c r="J5036">
        <v>-382.02730000000003</v>
      </c>
      <c r="K5036">
        <v>1.1104459999999901</v>
      </c>
      <c r="L5036">
        <v>17.675660000000001</v>
      </c>
      <c r="M5036">
        <v>0.99651069999999997</v>
      </c>
      <c r="N5036">
        <v>-1.397296E-2</v>
      </c>
      <c r="O5036">
        <v>-8.2288449999999999E-2</v>
      </c>
      <c r="P5036">
        <v>0.99633130000000003</v>
      </c>
      <c r="Q5036">
        <v>-4.5157210000000003E-2</v>
      </c>
      <c r="R5036">
        <v>7.2696620000000003E-2</v>
      </c>
      <c r="S5036">
        <v>2.992645</v>
      </c>
      <c r="T5036">
        <v>-0.1732786</v>
      </c>
      <c r="U5036">
        <v>0.14553829999999901</v>
      </c>
      <c r="V5036">
        <v>-0.15436349999999999</v>
      </c>
      <c r="W5036">
        <v>-3.1759000000000003E-2</v>
      </c>
      <c r="X5036">
        <v>0.98750360000000004</v>
      </c>
      <c r="Y5036">
        <v>-0.13025970000000001</v>
      </c>
      <c r="Z5036">
        <v>8.2846220000000002E-3</v>
      </c>
      <c r="AA5036">
        <v>0.99144529999999997</v>
      </c>
      <c r="AB5036">
        <v>28</v>
      </c>
      <c r="AC5036">
        <v>19.036999999999999</v>
      </c>
      <c r="AD5036">
        <v>-1.11044949079699</v>
      </c>
      <c r="AE5036">
        <v>0.94389999999999896</v>
      </c>
      <c r="AF5036">
        <v>-2.49889451299549</v>
      </c>
      <c r="AG5036">
        <v>-1.11044949079699</v>
      </c>
      <c r="AH5036">
        <v>18.830829661716699</v>
      </c>
      <c r="AI5036">
        <v>93.345548709606305</v>
      </c>
      <c r="AJ5036">
        <v>97.559116744273794</v>
      </c>
      <c r="AK5036">
        <v>19.028339854209001</v>
      </c>
      <c r="AL5036">
        <v>91.819962618431106</v>
      </c>
      <c r="AM5036">
        <v>98.884400764554798</v>
      </c>
      <c r="AN5036">
        <v>1.0000000421130999</v>
      </c>
    </row>
    <row r="5037" spans="1:40" x14ac:dyDescent="0.25">
      <c r="A5037" t="str">
        <f>"20190305135336555"</f>
        <v>20190305135336555</v>
      </c>
      <c r="B5037" t="str">
        <f>"1551765216544709"</f>
        <v>1551765216544709</v>
      </c>
      <c r="C5037" t="s">
        <v>40</v>
      </c>
      <c r="D5037">
        <v>4.5762390000000002</v>
      </c>
      <c r="E5037">
        <v>0.50931610000000005</v>
      </c>
      <c r="F5037" t="s">
        <v>86</v>
      </c>
      <c r="G5037">
        <v>-362.86329999999998</v>
      </c>
      <c r="H5037" s="1">
        <v>-3.5554400000000001E-6</v>
      </c>
      <c r="I5037">
        <v>18.593360000000001</v>
      </c>
      <c r="J5037">
        <v>-381.7482</v>
      </c>
      <c r="K5037">
        <v>1.110236</v>
      </c>
      <c r="L5037">
        <v>17.654019999999999</v>
      </c>
      <c r="M5037">
        <v>0.99660090000000001</v>
      </c>
      <c r="N5037">
        <v>-1.3806300000000001E-2</v>
      </c>
      <c r="O5037">
        <v>-8.1217269999999994E-2</v>
      </c>
      <c r="P5037">
        <v>0.99638720000000003</v>
      </c>
      <c r="Q5037">
        <v>-4.5254669999999997E-2</v>
      </c>
      <c r="R5037">
        <v>7.18665E-2</v>
      </c>
      <c r="S5037">
        <v>2.9927060000000001</v>
      </c>
      <c r="T5037">
        <v>-0.17341110000000001</v>
      </c>
      <c r="U5037">
        <v>0.14331050000000001</v>
      </c>
      <c r="V5037">
        <v>-0.1524924</v>
      </c>
      <c r="W5037">
        <v>-3.1947349999999999E-2</v>
      </c>
      <c r="X5037">
        <v>0.98778809999999995</v>
      </c>
      <c r="Y5037">
        <v>-0.12846050000000001</v>
      </c>
      <c r="Z5037">
        <v>8.1822779999999994E-3</v>
      </c>
      <c r="AA5037">
        <v>0.99168089999999998</v>
      </c>
      <c r="AB5037">
        <v>28</v>
      </c>
      <c r="AC5037">
        <v>18.884899999999998</v>
      </c>
      <c r="AD5037">
        <v>-1.11023955544</v>
      </c>
      <c r="AE5037">
        <v>0.93933999999999696</v>
      </c>
      <c r="AF5037">
        <v>-2.4616751392554801</v>
      </c>
      <c r="AG5037">
        <v>-1.11023955544</v>
      </c>
      <c r="AH5037">
        <v>18.6817930170692</v>
      </c>
      <c r="AI5037">
        <v>93.371949068095901</v>
      </c>
      <c r="AJ5037">
        <v>97.506543050775207</v>
      </c>
      <c r="AK5037">
        <v>18.875960020468099</v>
      </c>
      <c r="AL5037">
        <v>91.830759929578804</v>
      </c>
      <c r="AM5037">
        <v>98.775907950639905</v>
      </c>
      <c r="AN5037">
        <v>0.99999994786569402</v>
      </c>
    </row>
    <row r="5038" spans="1:40" x14ac:dyDescent="0.25">
      <c r="A5038" t="str">
        <f>"20190305135336568"</f>
        <v>20190305135336568</v>
      </c>
      <c r="B5038" t="str">
        <f>"1551765216565205"</f>
        <v>1551765216565205</v>
      </c>
      <c r="C5038" t="s">
        <v>40</v>
      </c>
      <c r="D5038">
        <v>4.6177700000000002</v>
      </c>
      <c r="E5038">
        <v>0.5113164</v>
      </c>
      <c r="F5038" t="s">
        <v>86</v>
      </c>
      <c r="G5038">
        <v>-362.39109999999999</v>
      </c>
      <c r="H5038" s="1">
        <v>-3.7836949999999999E-6</v>
      </c>
      <c r="I5038">
        <v>18.56513</v>
      </c>
      <c r="J5038">
        <v>-381.59199999999998</v>
      </c>
      <c r="K5038">
        <v>1.11012</v>
      </c>
      <c r="L5038">
        <v>17.641970000000001</v>
      </c>
      <c r="M5038">
        <v>0.99664399999999997</v>
      </c>
      <c r="N5038">
        <v>-1.3704640000000001E-2</v>
      </c>
      <c r="O5038">
        <v>-8.0704120000000004E-2</v>
      </c>
      <c r="P5038">
        <v>0.99642850000000005</v>
      </c>
      <c r="Q5038">
        <v>-4.5401839999999999E-2</v>
      </c>
      <c r="R5038">
        <v>7.1197350000000006E-2</v>
      </c>
      <c r="S5038">
        <v>2.9928590000000002</v>
      </c>
      <c r="T5038">
        <v>-0.17165720000000001</v>
      </c>
      <c r="U5038">
        <v>0.1408691</v>
      </c>
      <c r="V5038">
        <v>-0.1513275</v>
      </c>
      <c r="W5038">
        <v>-3.2153599999999997E-2</v>
      </c>
      <c r="X5038">
        <v>0.98796059999999997</v>
      </c>
      <c r="Y5038">
        <v>-0.12715029999999999</v>
      </c>
      <c r="Z5038">
        <v>8.0298109999999995E-3</v>
      </c>
      <c r="AA5038">
        <v>0.99185100000000004</v>
      </c>
      <c r="AB5038">
        <v>28</v>
      </c>
      <c r="AC5038">
        <v>19.200899999999901</v>
      </c>
      <c r="AD5038">
        <v>-1.110123783695</v>
      </c>
      <c r="AE5038">
        <v>0.92315999999999898</v>
      </c>
      <c r="AF5038">
        <v>-2.4616755690491998</v>
      </c>
      <c r="AG5038">
        <v>-1.110123783695</v>
      </c>
      <c r="AH5038">
        <v>19.000380635618399</v>
      </c>
      <c r="AI5038">
        <v>93.316131406041904</v>
      </c>
      <c r="AJ5038">
        <v>97.382078796140803</v>
      </c>
      <c r="AK5038">
        <v>19.191317977688801</v>
      </c>
      <c r="AL5038">
        <v>91.842583150512198</v>
      </c>
      <c r="AM5038">
        <v>98.708402641299401</v>
      </c>
      <c r="AN5038">
        <v>1.0000000067007799</v>
      </c>
    </row>
    <row r="5039" spans="1:40" x14ac:dyDescent="0.25">
      <c r="A5039" t="str">
        <f>"20190305135336579"</f>
        <v>20190305135336579</v>
      </c>
      <c r="B5039" t="str">
        <f>"1551765216574965"</f>
        <v>1551765216574965</v>
      </c>
      <c r="C5039" t="s">
        <v>40</v>
      </c>
      <c r="D5039">
        <v>4.6129730000000002</v>
      </c>
      <c r="E5039">
        <v>0.51117990000000002</v>
      </c>
      <c r="F5039" t="s">
        <v>42</v>
      </c>
      <c r="G5039">
        <v>-335.53219999999999</v>
      </c>
      <c r="H5039" s="1">
        <v>-1.9096060000000001E-6</v>
      </c>
      <c r="I5039">
        <v>19.556339999999999</v>
      </c>
      <c r="J5039">
        <v>-381.43810000000002</v>
      </c>
      <c r="K5039">
        <v>1.110007</v>
      </c>
      <c r="L5039">
        <v>17.630040000000001</v>
      </c>
      <c r="M5039">
        <v>0.99667950000000005</v>
      </c>
      <c r="N5039">
        <v>-1.360251E-2</v>
      </c>
      <c r="O5039">
        <v>-8.0279139999999999E-2</v>
      </c>
      <c r="P5039">
        <v>0.99644089999999996</v>
      </c>
      <c r="Q5039">
        <v>-4.5532929999999999E-2</v>
      </c>
      <c r="R5039">
        <v>7.0939820000000001E-2</v>
      </c>
      <c r="S5039">
        <v>2.9985659999999998</v>
      </c>
      <c r="T5039">
        <v>-7.2270630000000002E-2</v>
      </c>
      <c r="U5039">
        <v>0.1246338</v>
      </c>
      <c r="V5039">
        <v>-0.15065799999999999</v>
      </c>
      <c r="W5039">
        <v>-3.2347389999999997E-2</v>
      </c>
      <c r="X5039">
        <v>0.98805659999999895</v>
      </c>
      <c r="Y5039">
        <v>-0.1215523</v>
      </c>
      <c r="Z5039">
        <v>3.1323169999999999E-3</v>
      </c>
      <c r="AA5039">
        <v>0.99258009999999997</v>
      </c>
      <c r="AB5039">
        <v>28</v>
      </c>
      <c r="AC5039">
        <v>45.905900000000003</v>
      </c>
      <c r="AD5039">
        <v>-1.110008909606</v>
      </c>
      <c r="AE5039">
        <v>1.9262999999999899</v>
      </c>
      <c r="AF5039">
        <v>-5.6024392425818998</v>
      </c>
      <c r="AG5039">
        <v>-1.110008909606</v>
      </c>
      <c r="AH5039">
        <v>45.576450905855197</v>
      </c>
      <c r="AI5039">
        <v>91.384737348790097</v>
      </c>
      <c r="AJ5039">
        <v>97.007869975224907</v>
      </c>
      <c r="AK5039">
        <v>45.9329111032608</v>
      </c>
      <c r="AL5039">
        <v>91.8536922616466</v>
      </c>
      <c r="AM5039">
        <v>98.669632254258801</v>
      </c>
      <c r="AN5039">
        <v>1.0000000157036799</v>
      </c>
    </row>
    <row r="5040" spans="1:40" x14ac:dyDescent="0.25">
      <c r="A5040" t="str">
        <f>"20190305135336598"</f>
        <v>20190305135336598</v>
      </c>
      <c r="B5040" t="str">
        <f>"1551765216595461"</f>
        <v>1551765216595461</v>
      </c>
      <c r="C5040" t="s">
        <v>40</v>
      </c>
      <c r="D5040">
        <v>4.6372809999999998</v>
      </c>
      <c r="E5040">
        <v>0.51108529999999996</v>
      </c>
      <c r="F5040" t="s">
        <v>42</v>
      </c>
      <c r="G5040">
        <v>-325.12270000000001</v>
      </c>
      <c r="H5040" s="1">
        <v>-2.3828069999999999E-6</v>
      </c>
      <c r="I5040">
        <v>19.9801</v>
      </c>
      <c r="J5040">
        <v>-381.22539999999998</v>
      </c>
      <c r="K5040">
        <v>1.1098509999999999</v>
      </c>
      <c r="L5040">
        <v>17.61356</v>
      </c>
      <c r="M5040">
        <v>0.99672139999999998</v>
      </c>
      <c r="N5040">
        <v>-1.345937E-2</v>
      </c>
      <c r="O5040">
        <v>-7.9784250000000001E-2</v>
      </c>
      <c r="P5040">
        <v>0.99650399999999995</v>
      </c>
      <c r="Q5040">
        <v>-4.5582209999999998E-2</v>
      </c>
      <c r="R5040">
        <v>7.0017289999999996E-2</v>
      </c>
      <c r="S5040">
        <v>2.9990839999999999</v>
      </c>
      <c r="T5040">
        <v>-5.9113619999999999E-2</v>
      </c>
      <c r="U5040">
        <v>0.1251526</v>
      </c>
      <c r="V5040">
        <v>-0.14926300000000001</v>
      </c>
      <c r="W5040">
        <v>-3.2485180000000002E-2</v>
      </c>
      <c r="X5040">
        <v>0.98826380000000003</v>
      </c>
      <c r="Y5040">
        <v>-0.121242</v>
      </c>
      <c r="Z5040">
        <v>2.5080340000000001E-3</v>
      </c>
      <c r="AA5040">
        <v>0.99261980000000005</v>
      </c>
      <c r="AB5040">
        <v>28</v>
      </c>
      <c r="AC5040">
        <v>56.102699999999899</v>
      </c>
      <c r="AD5040">
        <v>-1.1098533828070001</v>
      </c>
      <c r="AE5040">
        <v>2.3665400000000001</v>
      </c>
      <c r="AF5040">
        <v>-6.8328420141771797</v>
      </c>
      <c r="AG5040">
        <v>-1.1098533828070001</v>
      </c>
      <c r="AH5040">
        <v>55.7132266400668</v>
      </c>
      <c r="AI5040">
        <v>91.132743245990994</v>
      </c>
      <c r="AJ5040">
        <v>96.992014306307695</v>
      </c>
      <c r="AK5040">
        <v>56.141634525274398</v>
      </c>
      <c r="AL5040">
        <v>91.861591163723006</v>
      </c>
      <c r="AM5040">
        <v>98.588785706933606</v>
      </c>
      <c r="AN5040">
        <v>1.0000000342395301</v>
      </c>
    </row>
    <row r="5041" spans="1:40" x14ac:dyDescent="0.25">
      <c r="A5041" t="str">
        <f>"20190305135336611"</f>
        <v>20190305135336611</v>
      </c>
      <c r="B5041" t="str">
        <f>"1551765216605222"</f>
        <v>1551765216605222</v>
      </c>
      <c r="C5041" t="s">
        <v>40</v>
      </c>
      <c r="D5041">
        <v>4.6384720000000002</v>
      </c>
      <c r="E5041">
        <v>0.51120120000000002</v>
      </c>
      <c r="F5041" t="s">
        <v>47</v>
      </c>
      <c r="G5041">
        <v>-315.76929999999999</v>
      </c>
      <c r="H5041">
        <v>-0.05</v>
      </c>
      <c r="I5041">
        <v>20.301380000000002</v>
      </c>
      <c r="J5041">
        <v>-381.06990000000002</v>
      </c>
      <c r="K5041">
        <v>1.109745</v>
      </c>
      <c r="L5041">
        <v>17.601500000000001</v>
      </c>
      <c r="M5041">
        <v>0.99674649999999998</v>
      </c>
      <c r="N5041">
        <v>-1.335357E-2</v>
      </c>
      <c r="O5041">
        <v>-7.9487730000000006E-2</v>
      </c>
      <c r="P5041">
        <v>0.99650030000000001</v>
      </c>
      <c r="Q5041">
        <v>-4.5764289999999999E-2</v>
      </c>
      <c r="R5041">
        <v>6.9952089999999995E-2</v>
      </c>
      <c r="S5041">
        <v>2.9995120000000002</v>
      </c>
      <c r="T5041">
        <v>-5.314994E-2</v>
      </c>
      <c r="U5041">
        <v>0.123168899999999</v>
      </c>
      <c r="V5041">
        <v>-0.14891079999999901</v>
      </c>
      <c r="W5041">
        <v>-3.273703E-2</v>
      </c>
      <c r="X5041">
        <v>0.98830859999999998</v>
      </c>
      <c r="Y5041">
        <v>-0.1202926</v>
      </c>
      <c r="Z5041">
        <v>2.2146929999999998E-3</v>
      </c>
      <c r="AA5041">
        <v>0.99273599999999995</v>
      </c>
      <c r="AB5041">
        <v>28</v>
      </c>
      <c r="AC5041">
        <v>65.300600000000003</v>
      </c>
      <c r="AD5041">
        <v>-1.159745</v>
      </c>
      <c r="AE5041">
        <v>2.6998799999999901</v>
      </c>
      <c r="AF5041">
        <v>-7.8799131727591396</v>
      </c>
      <c r="AG5041">
        <v>-1.159745</v>
      </c>
      <c r="AH5041">
        <v>64.858892480992196</v>
      </c>
      <c r="AI5041">
        <v>91.016923326739899</v>
      </c>
      <c r="AJ5041">
        <v>96.927096959935298</v>
      </c>
      <c r="AK5041">
        <v>65.346109095616001</v>
      </c>
      <c r="AL5041">
        <v>91.876028822149493</v>
      </c>
      <c r="AM5041">
        <v>98.568438190002993</v>
      </c>
      <c r="AN5041">
        <v>1.0000000141619101</v>
      </c>
    </row>
    <row r="5042" spans="1:40" x14ac:dyDescent="0.25">
      <c r="A5042" t="str">
        <f>"20190305135336623"</f>
        <v>20190305135336623</v>
      </c>
      <c r="B5042" t="str">
        <f>"1551765216614981"</f>
        <v>1551765216614981</v>
      </c>
      <c r="C5042" t="s">
        <v>40</v>
      </c>
      <c r="D5042">
        <v>4.6245940000000001</v>
      </c>
      <c r="E5042">
        <v>0.51126680000000002</v>
      </c>
      <c r="F5042" t="s">
        <v>42</v>
      </c>
      <c r="G5042">
        <v>-321.53429999999997</v>
      </c>
      <c r="H5042" s="1">
        <v>-4.09039E-6</v>
      </c>
      <c r="I5042">
        <v>20.022659999999998</v>
      </c>
      <c r="J5042">
        <v>-380.8947</v>
      </c>
      <c r="K5042">
        <v>1.1096280000000001</v>
      </c>
      <c r="L5042">
        <v>17.58792</v>
      </c>
      <c r="M5042">
        <v>0.99676960000000003</v>
      </c>
      <c r="N5042">
        <v>-1.323323E-2</v>
      </c>
      <c r="O5042">
        <v>-7.9219020000000001E-2</v>
      </c>
      <c r="P5042">
        <v>0.99651290000000003</v>
      </c>
      <c r="Q5042">
        <v>-4.5735940000000003E-2</v>
      </c>
      <c r="R5042">
        <v>6.9789889999999993E-2</v>
      </c>
      <c r="S5042">
        <v>2.9994200000000002</v>
      </c>
      <c r="T5042">
        <v>-5.5909399999999998E-2</v>
      </c>
      <c r="U5042">
        <v>0.1219788</v>
      </c>
      <c r="V5042">
        <v>-0.14849200000000001</v>
      </c>
      <c r="W5042">
        <v>-3.2789829999999999E-2</v>
      </c>
      <c r="X5042">
        <v>0.98836979999999997</v>
      </c>
      <c r="Y5042">
        <v>-0.11963</v>
      </c>
      <c r="Z5042">
        <v>2.333454E-3</v>
      </c>
      <c r="AA5042">
        <v>0.99281580000000003</v>
      </c>
      <c r="AB5042">
        <v>28</v>
      </c>
      <c r="AC5042">
        <v>59.360399999999998</v>
      </c>
      <c r="AD5042">
        <v>-1.1096320903899899</v>
      </c>
      <c r="AE5042">
        <v>2.4347400000000001</v>
      </c>
      <c r="AF5042">
        <v>-7.1274840036045903</v>
      </c>
      <c r="AG5042">
        <v>-1.1096320903899899</v>
      </c>
      <c r="AH5042">
        <v>58.960348879916701</v>
      </c>
      <c r="AI5042">
        <v>91.070386843350605</v>
      </c>
      <c r="AJ5042">
        <v>96.892814721418802</v>
      </c>
      <c r="AK5042">
        <v>59.399958347116304</v>
      </c>
      <c r="AL5042">
        <v>91.879055776826505</v>
      </c>
      <c r="AM5042">
        <v>98.544175055652602</v>
      </c>
      <c r="AN5042">
        <v>0.99999995428373301</v>
      </c>
    </row>
    <row r="5043" spans="1:40" x14ac:dyDescent="0.25">
      <c r="A5043" t="str">
        <f>"20190305135336637"</f>
        <v>20190305135336637</v>
      </c>
      <c r="B5043" t="str">
        <f>"1551765216624742"</f>
        <v>1551765216624742</v>
      </c>
      <c r="C5043" t="s">
        <v>40</v>
      </c>
      <c r="D5043">
        <v>4.6096009999999996</v>
      </c>
      <c r="E5043">
        <v>0.51130350000000002</v>
      </c>
      <c r="F5043" t="s">
        <v>47</v>
      </c>
      <c r="G5043">
        <v>-317.0215</v>
      </c>
      <c r="H5043">
        <v>-0.05</v>
      </c>
      <c r="I5043">
        <v>20.16461</v>
      </c>
      <c r="J5043">
        <v>-380.74160000000001</v>
      </c>
      <c r="K5043">
        <v>1.1095379999999999</v>
      </c>
      <c r="L5043">
        <v>17.575990000000001</v>
      </c>
      <c r="M5043">
        <v>0.99678299999999997</v>
      </c>
      <c r="N5043">
        <v>-1.31305E-2</v>
      </c>
      <c r="O5043">
        <v>-7.9067289999999998E-2</v>
      </c>
      <c r="P5043">
        <v>0.99652399999999997</v>
      </c>
      <c r="Q5043">
        <v>-4.5912080000000001E-2</v>
      </c>
      <c r="R5043">
        <v>6.9516439999999999E-2</v>
      </c>
      <c r="S5043">
        <v>2.9995120000000002</v>
      </c>
      <c r="T5043">
        <v>-5.4456589999999999E-2</v>
      </c>
      <c r="U5043">
        <v>0.1210022</v>
      </c>
      <c r="V5043">
        <v>-0.1480756</v>
      </c>
      <c r="W5043">
        <v>-3.3037770000000001E-2</v>
      </c>
      <c r="X5043">
        <v>0.98842410000000003</v>
      </c>
      <c r="Y5043">
        <v>-0.1191567</v>
      </c>
      <c r="Z5043">
        <v>2.259914E-3</v>
      </c>
      <c r="AA5043">
        <v>0.99287289999999995</v>
      </c>
      <c r="AB5043">
        <v>28</v>
      </c>
      <c r="AC5043">
        <v>63.720100000000002</v>
      </c>
      <c r="AD5043">
        <v>-1.159538</v>
      </c>
      <c r="AE5043">
        <v>2.5886200000000001</v>
      </c>
      <c r="AF5043">
        <v>-7.61660532475753</v>
      </c>
      <c r="AG5043">
        <v>-1.159538</v>
      </c>
      <c r="AH5043">
        <v>63.294957911386</v>
      </c>
      <c r="AI5043">
        <v>91.042002495793795</v>
      </c>
      <c r="AJ5043">
        <v>96.861700134484906</v>
      </c>
      <c r="AK5043">
        <v>63.762127489997503</v>
      </c>
      <c r="AL5043">
        <v>91.893269232689605</v>
      </c>
      <c r="AM5043">
        <v>98.520106508322996</v>
      </c>
      <c r="AN5043">
        <v>1.00000003951137</v>
      </c>
    </row>
    <row r="5044" spans="1:40" x14ac:dyDescent="0.25">
      <c r="A5044" t="str">
        <f>"20190305135336656"</f>
        <v>20190305135336656</v>
      </c>
      <c r="B5044" t="str">
        <f>"1551765216645238"</f>
        <v>1551765216645238</v>
      </c>
      <c r="C5044" t="s">
        <v>40</v>
      </c>
      <c r="D5044">
        <v>4.6239429999999997</v>
      </c>
      <c r="E5044">
        <v>0.51125370000000003</v>
      </c>
      <c r="F5044" t="s">
        <v>42</v>
      </c>
      <c r="G5044">
        <v>-322.66079999999999</v>
      </c>
      <c r="H5044" s="1">
        <v>-3.5241700000000001E-6</v>
      </c>
      <c r="I5044">
        <v>19.895980000000002</v>
      </c>
      <c r="J5044">
        <v>-380.50389999999999</v>
      </c>
      <c r="K5044">
        <v>1.1094109999999999</v>
      </c>
      <c r="L5044">
        <v>17.557400000000001</v>
      </c>
      <c r="M5044">
        <v>0.99679759999999995</v>
      </c>
      <c r="N5044">
        <v>-1.2977560000000001E-2</v>
      </c>
      <c r="O5044">
        <v>-7.8907169999999999E-2</v>
      </c>
      <c r="P5044">
        <v>0.99650649999999996</v>
      </c>
      <c r="Q5044">
        <v>-4.6211479999999999E-2</v>
      </c>
      <c r="R5044">
        <v>6.9565039999999995E-2</v>
      </c>
      <c r="S5044">
        <v>2.9994809999999998</v>
      </c>
      <c r="T5044">
        <v>-5.7300329999999997E-2</v>
      </c>
      <c r="U5044">
        <v>0.119812</v>
      </c>
      <c r="V5044">
        <v>-0.1479722</v>
      </c>
      <c r="W5044">
        <v>-3.3448110000000003E-2</v>
      </c>
      <c r="X5044">
        <v>0.98842569999999996</v>
      </c>
      <c r="Y5044">
        <v>-0.1186011</v>
      </c>
      <c r="Z5044">
        <v>2.3843739999999999E-3</v>
      </c>
      <c r="AA5044">
        <v>0.99293909999999996</v>
      </c>
      <c r="AB5044">
        <v>28</v>
      </c>
      <c r="AC5044">
        <v>57.8430999999999</v>
      </c>
      <c r="AD5044">
        <v>-1.10941452417</v>
      </c>
      <c r="AE5044">
        <v>2.3385799999999901</v>
      </c>
      <c r="AF5044">
        <v>-6.8933745671046101</v>
      </c>
      <c r="AG5044">
        <v>-1.10941452417</v>
      </c>
      <c r="AH5044">
        <v>57.457064973282201</v>
      </c>
      <c r="AI5044">
        <v>91.098288767253393</v>
      </c>
      <c r="AJ5044">
        <v>96.841325168644204</v>
      </c>
      <c r="AK5044">
        <v>57.8797350447703</v>
      </c>
      <c r="AL5044">
        <v>91.916793143347306</v>
      </c>
      <c r="AM5044">
        <v>98.514230636554103</v>
      </c>
      <c r="AN5044">
        <v>0.99999995622795002</v>
      </c>
    </row>
    <row r="5045" spans="1:40" x14ac:dyDescent="0.25">
      <c r="A5045" t="str">
        <f>"20190305135336679"</f>
        <v>20190305135336679</v>
      </c>
      <c r="B5045" t="str">
        <f>"1551765216675493"</f>
        <v>1551765216675493</v>
      </c>
      <c r="C5045" t="s">
        <v>40</v>
      </c>
      <c r="D5045">
        <v>4.6071299999999997</v>
      </c>
      <c r="E5045">
        <v>0.51150079999999998</v>
      </c>
      <c r="F5045" t="s">
        <v>42</v>
      </c>
      <c r="G5045">
        <v>-324.42219999999998</v>
      </c>
      <c r="H5045" s="1">
        <v>-2.6675089999999999E-6</v>
      </c>
      <c r="I5045">
        <v>19.805630000000001</v>
      </c>
      <c r="J5045">
        <v>-380.22910000000002</v>
      </c>
      <c r="K5045">
        <v>1.1092979999999999</v>
      </c>
      <c r="L5045">
        <v>17.535799999999998</v>
      </c>
      <c r="M5045">
        <v>0.99680500000000005</v>
      </c>
      <c r="N5045">
        <v>-1.281464E-2</v>
      </c>
      <c r="O5045">
        <v>-7.8839469999999995E-2</v>
      </c>
      <c r="P5045">
        <v>0.99647640000000004</v>
      </c>
      <c r="Q5045">
        <v>-4.6894529999999997E-2</v>
      </c>
      <c r="R5045">
        <v>6.9539260000000006E-2</v>
      </c>
      <c r="S5045">
        <v>2.9993590000000001</v>
      </c>
      <c r="T5045">
        <v>-5.933356E-2</v>
      </c>
      <c r="U5045">
        <v>0.12023929999999999</v>
      </c>
      <c r="V5045">
        <v>-0.14788519999999999</v>
      </c>
      <c r="W5045">
        <v>-3.4255689999999998E-2</v>
      </c>
      <c r="X5045">
        <v>0.98841109999999999</v>
      </c>
      <c r="Y5045">
        <v>-0.118674</v>
      </c>
      <c r="Z5045">
        <v>2.482007E-3</v>
      </c>
      <c r="AA5045">
        <v>0.99293019999999999</v>
      </c>
      <c r="AB5045">
        <v>28</v>
      </c>
      <c r="AC5045">
        <v>55.806899999999999</v>
      </c>
      <c r="AD5045">
        <v>-1.10930066750899</v>
      </c>
      <c r="AE5045">
        <v>2.26982999999999</v>
      </c>
      <c r="AF5045">
        <v>-6.6602838983076298</v>
      </c>
      <c r="AG5045">
        <v>-1.10930066750899</v>
      </c>
      <c r="AH5045">
        <v>55.432329860269903</v>
      </c>
      <c r="AI5045">
        <v>91.138254092039304</v>
      </c>
      <c r="AJ5045">
        <v>96.851336784272803</v>
      </c>
      <c r="AK5045">
        <v>55.842037241801698</v>
      </c>
      <c r="AL5045">
        <v>91.963090533705397</v>
      </c>
      <c r="AM5045">
        <v>98.509421868348696</v>
      </c>
      <c r="AN5045">
        <v>0.99999999363981296</v>
      </c>
    </row>
    <row r="5046" spans="1:40" x14ac:dyDescent="0.25">
      <c r="A5046" t="str">
        <f>"20190305135336699"</f>
        <v>20190305135336699</v>
      </c>
      <c r="B5046" t="str">
        <f>"1551765216695014"</f>
        <v>1551765216695014</v>
      </c>
      <c r="C5046" t="s">
        <v>40</v>
      </c>
      <c r="D5046">
        <v>4.60046</v>
      </c>
      <c r="E5046">
        <v>0.5116695</v>
      </c>
      <c r="F5046" t="s">
        <v>42</v>
      </c>
      <c r="G5046">
        <v>-326.89049999999997</v>
      </c>
      <c r="H5046" s="1">
        <v>-1.45559E-6</v>
      </c>
      <c r="I5046">
        <v>19.635999999999999</v>
      </c>
      <c r="J5046">
        <v>-379.97480000000002</v>
      </c>
      <c r="K5046">
        <v>1.109229</v>
      </c>
      <c r="L5046">
        <v>17.515750000000001</v>
      </c>
      <c r="M5046">
        <v>0.99680579999999996</v>
      </c>
      <c r="N5046">
        <v>-1.267807E-2</v>
      </c>
      <c r="O5046">
        <v>-7.8852179999999994E-2</v>
      </c>
      <c r="P5046">
        <v>0.99644889999999997</v>
      </c>
      <c r="Q5046">
        <v>-4.6913839999999998E-2</v>
      </c>
      <c r="R5046">
        <v>6.9922709999999999E-2</v>
      </c>
      <c r="S5046">
        <v>2.9994510000000001</v>
      </c>
      <c r="T5046">
        <v>-6.238055E-2</v>
      </c>
      <c r="U5046">
        <v>0.118103</v>
      </c>
      <c r="V5046">
        <v>-0.14828329999999901</v>
      </c>
      <c r="W5046">
        <v>-3.4387609999999999E-2</v>
      </c>
      <c r="X5046">
        <v>0.98834690000000003</v>
      </c>
      <c r="Y5046">
        <v>-0.1179757</v>
      </c>
      <c r="Z5046">
        <v>2.6132490000000002E-3</v>
      </c>
      <c r="AA5046">
        <v>0.99301300000000003</v>
      </c>
      <c r="AB5046">
        <v>28</v>
      </c>
      <c r="AC5046">
        <v>53.084299999999999</v>
      </c>
      <c r="AD5046">
        <v>-1.1092304555900001</v>
      </c>
      <c r="AE5046">
        <v>2.1202499999999902</v>
      </c>
      <c r="AF5046">
        <v>-6.2970508639352802</v>
      </c>
      <c r="AG5046">
        <v>-1.1092304555900001</v>
      </c>
      <c r="AH5046">
        <v>52.7287999174155</v>
      </c>
      <c r="AI5046">
        <v>91.196625670219106</v>
      </c>
      <c r="AJ5046">
        <v>96.810201602578601</v>
      </c>
      <c r="AK5046">
        <v>53.115059846689697</v>
      </c>
      <c r="AL5046">
        <v>91.970653397275797</v>
      </c>
      <c r="AM5046">
        <v>98.532538191923294</v>
      </c>
      <c r="AN5046">
        <v>1.0000000197600001</v>
      </c>
    </row>
    <row r="5047" spans="1:40" x14ac:dyDescent="0.25">
      <c r="A5047" t="str">
        <f>"20190305135336722"</f>
        <v>20190305135336722</v>
      </c>
      <c r="B5047" t="str">
        <f>"1551765216715511"</f>
        <v>1551765216715511</v>
      </c>
      <c r="C5047" t="s">
        <v>40</v>
      </c>
      <c r="D5047">
        <v>4.5963609999999999</v>
      </c>
      <c r="E5047">
        <v>0.51169019999999998</v>
      </c>
      <c r="F5047" t="s">
        <v>42</v>
      </c>
      <c r="G5047">
        <v>-327.04169999999999</v>
      </c>
      <c r="H5047" s="1">
        <v>-1.382613E-6</v>
      </c>
      <c r="I5047">
        <v>19.59515</v>
      </c>
      <c r="J5047">
        <v>-379.6961</v>
      </c>
      <c r="K5047">
        <v>1.1091819999999999</v>
      </c>
      <c r="L5047">
        <v>17.49371</v>
      </c>
      <c r="M5047">
        <v>0.99680299999999999</v>
      </c>
      <c r="N5047">
        <v>-1.254279E-2</v>
      </c>
      <c r="O5047">
        <v>-7.8908409999999998E-2</v>
      </c>
      <c r="P5047">
        <v>0.99641800000000003</v>
      </c>
      <c r="Q5047">
        <v>-4.5917020000000003E-2</v>
      </c>
      <c r="R5047">
        <v>7.1014099999999997E-2</v>
      </c>
      <c r="S5047">
        <v>2.9994200000000002</v>
      </c>
      <c r="T5047">
        <v>-6.2853930000000002E-2</v>
      </c>
      <c r="U5047">
        <v>0.1178284</v>
      </c>
      <c r="V5047">
        <v>-0.1494277</v>
      </c>
      <c r="W5047">
        <v>-3.3511199999999998E-2</v>
      </c>
      <c r="X5047">
        <v>0.98820459999999999</v>
      </c>
      <c r="Y5047">
        <v>-0.1179407</v>
      </c>
      <c r="Z5047">
        <v>2.637581E-3</v>
      </c>
      <c r="AA5047">
        <v>0.99301709999999999</v>
      </c>
      <c r="AB5047">
        <v>28</v>
      </c>
      <c r="AC5047">
        <v>52.654400000000003</v>
      </c>
      <c r="AD5047">
        <v>-1.109183382613</v>
      </c>
      <c r="AE5047">
        <v>2.1014400000000002</v>
      </c>
      <c r="AF5047">
        <v>-6.2473202540072199</v>
      </c>
      <c r="AG5047">
        <v>-1.109183382613</v>
      </c>
      <c r="AH5047">
        <v>52.301184860113601</v>
      </c>
      <c r="AI5047">
        <v>91.206351603942593</v>
      </c>
      <c r="AJ5047">
        <v>96.811645271898598</v>
      </c>
      <c r="AK5047">
        <v>52.684658449155499</v>
      </c>
      <c r="AL5047">
        <v>91.920409907019206</v>
      </c>
      <c r="AM5047">
        <v>98.5986285786731</v>
      </c>
      <c r="AN5047">
        <v>0.99999998475694396</v>
      </c>
    </row>
    <row r="5048" spans="1:40" x14ac:dyDescent="0.25">
      <c r="A5048" t="str">
        <f>"20190305135336744"</f>
        <v>20190305135336744</v>
      </c>
      <c r="B5048" t="str">
        <f>"1551765216735034"</f>
        <v>1551765216735034</v>
      </c>
      <c r="C5048" t="s">
        <v>40</v>
      </c>
      <c r="D5048">
        <v>4.5870670000000002</v>
      </c>
      <c r="E5048">
        <v>0.51170099999999996</v>
      </c>
      <c r="F5048" t="s">
        <v>42</v>
      </c>
      <c r="G5048">
        <v>-323.64690000000002</v>
      </c>
      <c r="H5048" s="1">
        <v>-3.0203079999999999E-6</v>
      </c>
      <c r="I5048">
        <v>19.754280000000001</v>
      </c>
      <c r="J5048">
        <v>-379.41669999999999</v>
      </c>
      <c r="K5048">
        <v>1.109162</v>
      </c>
      <c r="L5048">
        <v>17.47156</v>
      </c>
      <c r="M5048">
        <v>0.99679899999999999</v>
      </c>
      <c r="N5048">
        <v>-1.242213E-2</v>
      </c>
      <c r="O5048">
        <v>-7.8979380000000002E-2</v>
      </c>
      <c r="P5048">
        <v>0.99640019999999996</v>
      </c>
      <c r="Q5048">
        <v>-4.472487E-2</v>
      </c>
      <c r="R5048">
        <v>7.2019639999999996E-2</v>
      </c>
      <c r="S5048">
        <v>2.9994200000000002</v>
      </c>
      <c r="T5048">
        <v>-5.9357050000000001E-2</v>
      </c>
      <c r="U5048">
        <v>0.1209717</v>
      </c>
      <c r="V5048">
        <v>-0.1505002</v>
      </c>
      <c r="W5048">
        <v>-3.2433099999999999E-2</v>
      </c>
      <c r="X5048">
        <v>0.98807780000000001</v>
      </c>
      <c r="Y5048">
        <v>-0.1190543</v>
      </c>
      <c r="Z5048">
        <v>2.4978230000000001E-3</v>
      </c>
      <c r="AA5048">
        <v>0.99288460000000001</v>
      </c>
      <c r="AB5048">
        <v>28</v>
      </c>
      <c r="AC5048">
        <v>55.769799999999897</v>
      </c>
      <c r="AD5048">
        <v>-1.1091650203079999</v>
      </c>
      <c r="AE5048">
        <v>2.2827199999999901</v>
      </c>
      <c r="AF5048">
        <v>-6.6779546994961896</v>
      </c>
      <c r="AG5048">
        <v>-1.1091650203079999</v>
      </c>
      <c r="AH5048">
        <v>55.393386665061598</v>
      </c>
      <c r="AI5048">
        <v>91.138860358888607</v>
      </c>
      <c r="AJ5048">
        <v>96.874124168680694</v>
      </c>
      <c r="AK5048">
        <v>55.805489086969096</v>
      </c>
      <c r="AL5048">
        <v>91.858605731905598</v>
      </c>
      <c r="AM5048">
        <v>98.6605063896545</v>
      </c>
      <c r="AN5048">
        <v>0.99999997751424397</v>
      </c>
    </row>
    <row r="5049" spans="1:40" x14ac:dyDescent="0.25">
      <c r="A5049" t="str">
        <f>"20190305135336757"</f>
        <v>20190305135336757</v>
      </c>
      <c r="B5049" t="str">
        <f>"1551765216744790"</f>
        <v>1551765216744790</v>
      </c>
      <c r="C5049" t="s">
        <v>40</v>
      </c>
      <c r="D5049">
        <v>4.572209</v>
      </c>
      <c r="E5049">
        <v>0.51173040000000003</v>
      </c>
      <c r="F5049" t="s">
        <v>47</v>
      </c>
      <c r="G5049">
        <v>-316.89980000000003</v>
      </c>
      <c r="H5049">
        <v>-0.05</v>
      </c>
      <c r="I5049">
        <v>20.054690000000001</v>
      </c>
      <c r="J5049">
        <v>-379.26589999999999</v>
      </c>
      <c r="K5049">
        <v>1.109156</v>
      </c>
      <c r="L5049">
        <v>17.459589999999999</v>
      </c>
      <c r="M5049">
        <v>0.99679689999999999</v>
      </c>
      <c r="N5049">
        <v>-1.2364419999999999E-2</v>
      </c>
      <c r="O5049">
        <v>-7.9014239999999999E-2</v>
      </c>
      <c r="P5049">
        <v>0.99642109999999995</v>
      </c>
      <c r="Q5049">
        <v>-4.4124829999999997E-2</v>
      </c>
      <c r="R5049">
        <v>7.2098019999999999E-2</v>
      </c>
      <c r="S5049">
        <v>2.99939</v>
      </c>
      <c r="T5049">
        <v>-5.56134E-2</v>
      </c>
      <c r="U5049">
        <v>0.1239319</v>
      </c>
      <c r="V5049">
        <v>-0.150615</v>
      </c>
      <c r="W5049">
        <v>-3.1889340000000002E-2</v>
      </c>
      <c r="X5049">
        <v>0.98807809999999996</v>
      </c>
      <c r="Y5049">
        <v>-0.12007180000000001</v>
      </c>
      <c r="Z5049">
        <v>2.3421750000000002E-3</v>
      </c>
      <c r="AA5049">
        <v>0.99276240000000004</v>
      </c>
      <c r="AB5049">
        <v>28</v>
      </c>
      <c r="AC5049">
        <v>62.366099999999904</v>
      </c>
      <c r="AD5049">
        <v>-1.1591559999999901</v>
      </c>
      <c r="AE5049">
        <v>2.5951</v>
      </c>
      <c r="AF5049">
        <v>-7.5125806525952097</v>
      </c>
      <c r="AG5049">
        <v>-1.1591559999999901</v>
      </c>
      <c r="AH5049">
        <v>61.944654404850503</v>
      </c>
      <c r="AI5049">
        <v>91.0642412066817</v>
      </c>
      <c r="AJ5049">
        <v>96.914998838191394</v>
      </c>
      <c r="AK5049">
        <v>62.409315971499403</v>
      </c>
      <c r="AL5049">
        <v>91.827434283660907</v>
      </c>
      <c r="AM5049">
        <v>98.667009666115007</v>
      </c>
      <c r="AN5049">
        <v>1.0000000699651199</v>
      </c>
    </row>
    <row r="5050" spans="1:40" x14ac:dyDescent="0.25">
      <c r="A5050" t="str">
        <f>"20190305135336776"</f>
        <v>20190305135336776</v>
      </c>
      <c r="B5050" t="str">
        <f>"1551765216765285"</f>
        <v>1551765216765285</v>
      </c>
      <c r="C5050" t="s">
        <v>40</v>
      </c>
      <c r="D5050">
        <v>4.5651380000000001</v>
      </c>
      <c r="E5050">
        <v>0.51193770000000005</v>
      </c>
      <c r="F5050" t="s">
        <v>47</v>
      </c>
      <c r="G5050">
        <v>-314.20620000000002</v>
      </c>
      <c r="H5050">
        <v>-0.05</v>
      </c>
      <c r="I5050">
        <v>20.14772</v>
      </c>
      <c r="J5050">
        <v>-379.02809999999999</v>
      </c>
      <c r="K5050">
        <v>1.1091489999999999</v>
      </c>
      <c r="L5050">
        <v>17.4407</v>
      </c>
      <c r="M5050">
        <v>0.99679419999999996</v>
      </c>
      <c r="N5050">
        <v>-1.227962E-2</v>
      </c>
      <c r="O5050">
        <v>-7.9061430000000002E-2</v>
      </c>
      <c r="P5050">
        <v>0.99645260000000002</v>
      </c>
      <c r="Q5050">
        <v>-4.3696810000000003E-2</v>
      </c>
      <c r="R5050">
        <v>7.1923409999999993E-2</v>
      </c>
      <c r="S5050">
        <v>2.9994809999999998</v>
      </c>
      <c r="T5050">
        <v>-5.3441170000000003E-2</v>
      </c>
      <c r="U5050">
        <v>0.1239319</v>
      </c>
      <c r="V5050">
        <v>-0.1504894</v>
      </c>
      <c r="W5050">
        <v>-3.1544919999999997E-2</v>
      </c>
      <c r="X5050">
        <v>0.98810819999999999</v>
      </c>
      <c r="Y5050">
        <v>-0.1201199</v>
      </c>
      <c r="Z5050">
        <v>2.244064E-3</v>
      </c>
      <c r="AA5050">
        <v>0.99275679999999999</v>
      </c>
      <c r="AB5050">
        <v>28</v>
      </c>
      <c r="AC5050">
        <v>64.8218999999999</v>
      </c>
      <c r="AD5050">
        <v>-1.159149</v>
      </c>
      <c r="AE5050">
        <v>2.70702</v>
      </c>
      <c r="AF5050">
        <v>-7.8213464912418402</v>
      </c>
      <c r="AG5050">
        <v>-1.159149</v>
      </c>
      <c r="AH5050">
        <v>64.384371157143093</v>
      </c>
      <c r="AI5050">
        <v>91.023891995668606</v>
      </c>
      <c r="AJ5050">
        <v>96.926294036946601</v>
      </c>
      <c r="AK5050">
        <v>64.868053282343993</v>
      </c>
      <c r="AL5050">
        <v>91.807690705136906</v>
      </c>
      <c r="AM5050">
        <v>98.659631937592295</v>
      </c>
      <c r="AN5050">
        <v>0.99999997819870201</v>
      </c>
    </row>
    <row r="5051" spans="1:40" x14ac:dyDescent="0.25">
      <c r="A5051" t="str">
        <f>"20190305135336799"</f>
        <v>20190305135336799</v>
      </c>
      <c r="B5051" t="str">
        <f>"1551765216795542"</f>
        <v>1551765216795542</v>
      </c>
      <c r="C5051" t="s">
        <v>40</v>
      </c>
      <c r="D5051">
        <v>4.5602019999999897</v>
      </c>
      <c r="E5051">
        <v>0.51218940000000002</v>
      </c>
      <c r="F5051" t="s">
        <v>47</v>
      </c>
      <c r="G5051">
        <v>-313.30399999999997</v>
      </c>
      <c r="H5051">
        <v>-0.05</v>
      </c>
      <c r="I5051">
        <v>20.107379999999999</v>
      </c>
      <c r="J5051">
        <v>-378.74990000000003</v>
      </c>
      <c r="K5051">
        <v>1.1091409999999999</v>
      </c>
      <c r="L5051">
        <v>17.418610000000001</v>
      </c>
      <c r="M5051">
        <v>0.99679289999999998</v>
      </c>
      <c r="N5051">
        <v>-1.219191E-2</v>
      </c>
      <c r="O5051">
        <v>-7.9092999999999997E-2</v>
      </c>
      <c r="P5051">
        <v>0.99643380000000004</v>
      </c>
      <c r="Q5051">
        <v>-4.4309920000000003E-2</v>
      </c>
      <c r="R5051">
        <v>7.1808520000000001E-2</v>
      </c>
      <c r="S5051">
        <v>2.9995729999999998</v>
      </c>
      <c r="T5051">
        <v>-5.290222E-2</v>
      </c>
      <c r="U5051">
        <v>0.1217041</v>
      </c>
      <c r="V5051">
        <v>-0.15040400000000001</v>
      </c>
      <c r="W5051">
        <v>-3.2247539999999998E-2</v>
      </c>
      <c r="X5051">
        <v>0.98809860000000005</v>
      </c>
      <c r="Y5051">
        <v>-0.1194148</v>
      </c>
      <c r="Z5051">
        <v>2.2103219999999998E-3</v>
      </c>
      <c r="AA5051">
        <v>0.992842</v>
      </c>
      <c r="AB5051">
        <v>28</v>
      </c>
      <c r="AC5051">
        <v>65.445899999999995</v>
      </c>
      <c r="AD5051">
        <v>-1.159141</v>
      </c>
      <c r="AE5051">
        <v>2.6887699999999901</v>
      </c>
      <c r="AF5051">
        <v>-7.8545818978830297</v>
      </c>
      <c r="AG5051">
        <v>-1.159141</v>
      </c>
      <c r="AH5051">
        <v>65.007806455904998</v>
      </c>
      <c r="AI5051">
        <v>91.014146912321806</v>
      </c>
      <c r="AJ5051">
        <v>96.889378747987195</v>
      </c>
      <c r="AK5051">
        <v>65.490861689680301</v>
      </c>
      <c r="AL5051">
        <v>91.847968218970095</v>
      </c>
      <c r="AM5051">
        <v>98.654875000421796</v>
      </c>
      <c r="AN5051">
        <v>1.0000000551870001</v>
      </c>
    </row>
    <row r="5052" spans="1:40" x14ac:dyDescent="0.25">
      <c r="A5052" t="str">
        <f>"20190305135336811"</f>
        <v>20190305135336811</v>
      </c>
      <c r="B5052" t="str">
        <f>"1551765216805301"</f>
        <v>1551765216805301</v>
      </c>
      <c r="C5052" t="s">
        <v>40</v>
      </c>
      <c r="D5052">
        <v>4.5405319999999998</v>
      </c>
      <c r="E5052">
        <v>0.51229099999999905</v>
      </c>
      <c r="F5052" t="s">
        <v>47</v>
      </c>
      <c r="G5052">
        <v>-315.31549999999999</v>
      </c>
      <c r="H5052">
        <v>-0.05</v>
      </c>
      <c r="I5052">
        <v>19.942599999999999</v>
      </c>
      <c r="J5052">
        <v>-378.60579999999999</v>
      </c>
      <c r="K5052">
        <v>1.1091409999999999</v>
      </c>
      <c r="L5052">
        <v>17.4072</v>
      </c>
      <c r="M5052">
        <v>0.99679329999999999</v>
      </c>
      <c r="N5052">
        <v>-1.2150920000000001E-2</v>
      </c>
      <c r="O5052">
        <v>-7.9092289999999996E-2</v>
      </c>
      <c r="P5052">
        <v>0.99638409999999999</v>
      </c>
      <c r="Q5052">
        <v>-4.5083489999999997E-2</v>
      </c>
      <c r="R5052">
        <v>7.2014899999999896E-2</v>
      </c>
      <c r="S5052">
        <v>2.999695</v>
      </c>
      <c r="T5052">
        <v>-5.481362E-2</v>
      </c>
      <c r="U5052">
        <v>0.11935419999999999</v>
      </c>
      <c r="V5052">
        <v>-0.15060499999999999</v>
      </c>
      <c r="W5052">
        <v>-3.3065419999999998E-2</v>
      </c>
      <c r="X5052">
        <v>0.9880409</v>
      </c>
      <c r="Y5052">
        <v>-0.118634</v>
      </c>
      <c r="Z5052">
        <v>2.287505E-3</v>
      </c>
      <c r="AA5052">
        <v>0.99293540000000002</v>
      </c>
      <c r="AB5052">
        <v>28</v>
      </c>
      <c r="AC5052">
        <v>63.290300000000002</v>
      </c>
      <c r="AD5052">
        <v>-1.159141</v>
      </c>
      <c r="AE5052">
        <v>2.5353999999999899</v>
      </c>
      <c r="AF5052">
        <v>-7.5310781380896099</v>
      </c>
      <c r="AG5052">
        <v>-1.159141</v>
      </c>
      <c r="AH5052">
        <v>62.870401007876097</v>
      </c>
      <c r="AI5052">
        <v>91.048746343484893</v>
      </c>
      <c r="AJ5052">
        <v>96.830761589436406</v>
      </c>
      <c r="AK5052">
        <v>63.330467143950898</v>
      </c>
      <c r="AL5052">
        <v>91.894854394172796</v>
      </c>
      <c r="AM5052">
        <v>98.666764301455302</v>
      </c>
      <c r="AN5052">
        <v>1.00000000404879</v>
      </c>
    </row>
    <row r="5053" spans="1:40" x14ac:dyDescent="0.25">
      <c r="A5053" t="str">
        <f>"20190305135336822"</f>
        <v>20190305135336822</v>
      </c>
      <c r="B5053" t="str">
        <f>"1551765216815061"</f>
        <v>1551765216815061</v>
      </c>
      <c r="C5053" t="s">
        <v>40</v>
      </c>
      <c r="D5053">
        <v>4.5737509999999997</v>
      </c>
      <c r="E5053">
        <v>0.51248059999999995</v>
      </c>
      <c r="F5053" t="s">
        <v>42</v>
      </c>
      <c r="G5053">
        <v>-320.51260000000002</v>
      </c>
      <c r="H5053" s="1">
        <v>-4.4918389999999999E-6</v>
      </c>
      <c r="I5053">
        <v>19.716290000000001</v>
      </c>
      <c r="J5053">
        <v>-378.44619999999998</v>
      </c>
      <c r="K5053">
        <v>1.109148</v>
      </c>
      <c r="L5053">
        <v>17.39453</v>
      </c>
      <c r="M5053">
        <v>0.99679510000000004</v>
      </c>
      <c r="N5053">
        <v>-1.2108600000000001E-2</v>
      </c>
      <c r="O5053">
        <v>-7.9076110000000005E-2</v>
      </c>
      <c r="P5053">
        <v>0.99635700000000005</v>
      </c>
      <c r="Q5053">
        <v>-4.5843399999999999E-2</v>
      </c>
      <c r="R5053">
        <v>7.1913530000000003E-2</v>
      </c>
      <c r="S5053">
        <v>2.999695</v>
      </c>
      <c r="T5053">
        <v>-5.7271719999999998E-2</v>
      </c>
      <c r="U5053">
        <v>0.119232199999999</v>
      </c>
      <c r="V5053">
        <v>-0.15048449999999999</v>
      </c>
      <c r="W5053">
        <v>-3.3872350000000002E-2</v>
      </c>
      <c r="X5053">
        <v>0.98803189999999996</v>
      </c>
      <c r="Y5053">
        <v>-0.11857470000000001</v>
      </c>
      <c r="Z5053">
        <v>2.4006349999999999E-3</v>
      </c>
      <c r="AA5053">
        <v>0.9929422</v>
      </c>
      <c r="AB5053">
        <v>28</v>
      </c>
      <c r="AC5053">
        <v>57.933599999999899</v>
      </c>
      <c r="AD5053">
        <v>-1.1091524918389899</v>
      </c>
      <c r="AE5053">
        <v>2.3217599999999998</v>
      </c>
      <c r="AF5053">
        <v>-6.8934651787866104</v>
      </c>
      <c r="AG5053">
        <v>-1.1091524918389899</v>
      </c>
      <c r="AH5053">
        <v>57.547490194901201</v>
      </c>
      <c r="AI5053">
        <v>91.096328713203206</v>
      </c>
      <c r="AJ5053">
        <v>96.8307658798945</v>
      </c>
      <c r="AK5053">
        <v>57.969506718218298</v>
      </c>
      <c r="AL5053">
        <v>91.941114045427696</v>
      </c>
      <c r="AM5053">
        <v>98.660012824605602</v>
      </c>
      <c r="AN5053">
        <v>0.99999997812619101</v>
      </c>
    </row>
    <row r="5054" spans="1:40" x14ac:dyDescent="0.25">
      <c r="A5054" t="str">
        <f>"20190305135336845"</f>
        <v>20190305135336845</v>
      </c>
      <c r="B5054" t="str">
        <f>"1551765216834581"</f>
        <v>1551765216834581</v>
      </c>
      <c r="C5054" t="s">
        <v>40</v>
      </c>
      <c r="D5054">
        <v>4.5298489999999996</v>
      </c>
      <c r="E5054">
        <v>0.51268190000000002</v>
      </c>
      <c r="F5054" t="s">
        <v>42</v>
      </c>
      <c r="G5054">
        <v>-322.49220000000003</v>
      </c>
      <c r="H5054" s="1">
        <v>-3.5351240000000001E-6</v>
      </c>
      <c r="I5054">
        <v>19.584420000000001</v>
      </c>
      <c r="J5054">
        <v>-378.178</v>
      </c>
      <c r="K5054">
        <v>1.1091740000000001</v>
      </c>
      <c r="L5054">
        <v>17.373290000000001</v>
      </c>
      <c r="M5054">
        <v>0.99680279999999999</v>
      </c>
      <c r="N5054">
        <v>-1.204509E-2</v>
      </c>
      <c r="O5054">
        <v>-7.8989210000000004E-2</v>
      </c>
      <c r="P5054">
        <v>0.99629319999999999</v>
      </c>
      <c r="Q5054">
        <v>-4.7279929999999998E-2</v>
      </c>
      <c r="R5054">
        <v>7.1865600000000002E-2</v>
      </c>
      <c r="S5054">
        <v>2.9997250000000002</v>
      </c>
      <c r="T5054">
        <v>-5.9462189999999998E-2</v>
      </c>
      <c r="U5054">
        <v>0.11740109999999999</v>
      </c>
      <c r="V5054">
        <v>-0.1503419</v>
      </c>
      <c r="W5054">
        <v>-3.5387139999999997E-2</v>
      </c>
      <c r="X5054">
        <v>0.98800049999999995</v>
      </c>
      <c r="Y5054">
        <v>-0.1178801</v>
      </c>
      <c r="Z5054">
        <v>2.4910800000000001E-3</v>
      </c>
      <c r="AA5054">
        <v>0.99302469999999998</v>
      </c>
      <c r="AB5054">
        <v>28</v>
      </c>
      <c r="AC5054">
        <v>55.6858</v>
      </c>
      <c r="AD5054">
        <v>-1.1091775351240001</v>
      </c>
      <c r="AE5054">
        <v>2.2111299999999998</v>
      </c>
      <c r="AF5054">
        <v>-6.6005016769085199</v>
      </c>
      <c r="AG5054">
        <v>-1.1091775351240001</v>
      </c>
      <c r="AH5054">
        <v>55.315203215447603</v>
      </c>
      <c r="AI5054">
        <v>91.140648292093005</v>
      </c>
      <c r="AJ5054">
        <v>96.804660105067498</v>
      </c>
      <c r="AK5054">
        <v>55.718655798193502</v>
      </c>
      <c r="AL5054">
        <v>92.027957249272205</v>
      </c>
      <c r="AM5054">
        <v>98.652201592768506</v>
      </c>
      <c r="AN5054">
        <v>0.99999996228661903</v>
      </c>
    </row>
    <row r="5055" spans="1:40" x14ac:dyDescent="0.25">
      <c r="A5055" t="str">
        <f>"20190305135336859"</f>
        <v>20190305135336859</v>
      </c>
      <c r="B5055" t="str">
        <f>"1551765216855078"</f>
        <v>1551765216855078</v>
      </c>
      <c r="C5055" t="s">
        <v>40</v>
      </c>
      <c r="D5055">
        <v>4.573493</v>
      </c>
      <c r="E5055">
        <v>0.51289209999999996</v>
      </c>
      <c r="F5055" t="s">
        <v>42</v>
      </c>
      <c r="G5055">
        <v>-326.41239999999999</v>
      </c>
      <c r="H5055" s="1">
        <v>-1.7201860000000001E-6</v>
      </c>
      <c r="I5055">
        <v>19.369240000000001</v>
      </c>
      <c r="J5055">
        <v>-378.00799999999998</v>
      </c>
      <c r="K5055">
        <v>1.10921</v>
      </c>
      <c r="L5055">
        <v>17.35989</v>
      </c>
      <c r="M5055">
        <v>0.99681189999999997</v>
      </c>
      <c r="N5055">
        <v>-1.2010180000000001E-2</v>
      </c>
      <c r="O5055">
        <v>-7.8879589999999999E-2</v>
      </c>
      <c r="P5055">
        <v>0.9962761</v>
      </c>
      <c r="Q5055">
        <v>-4.7750849999999997E-2</v>
      </c>
      <c r="R5055">
        <v>7.1795170000000005E-2</v>
      </c>
      <c r="S5055">
        <v>2.9997250000000002</v>
      </c>
      <c r="T5055">
        <v>-6.4274789999999998E-2</v>
      </c>
      <c r="U5055">
        <v>0.1156616</v>
      </c>
      <c r="V5055">
        <v>-0.15015870000000001</v>
      </c>
      <c r="W5055">
        <v>-3.5907290000000001E-2</v>
      </c>
      <c r="X5055">
        <v>0.98800960000000004</v>
      </c>
      <c r="Y5055">
        <v>-0.11719</v>
      </c>
      <c r="Z5055">
        <v>2.700324E-3</v>
      </c>
      <c r="AA5055">
        <v>0.99310580000000004</v>
      </c>
      <c r="AB5055">
        <v>28</v>
      </c>
      <c r="AC5055">
        <v>51.595599999999997</v>
      </c>
      <c r="AD5055">
        <v>-1.1092117201859999</v>
      </c>
      <c r="AE5055">
        <v>2.0093499999999902</v>
      </c>
      <c r="AF5055">
        <v>-6.0704198643174703</v>
      </c>
      <c r="AG5055">
        <v>-1.1092117201859999</v>
      </c>
      <c r="AH5055">
        <v>51.252652911267099</v>
      </c>
      <c r="AI5055">
        <v>91.231200669816801</v>
      </c>
      <c r="AJ5055">
        <v>96.754705978763198</v>
      </c>
      <c r="AK5055">
        <v>51.622812577504099</v>
      </c>
      <c r="AL5055">
        <v>92.057778589642695</v>
      </c>
      <c r="AM5055">
        <v>98.641739276552002</v>
      </c>
      <c r="AN5055">
        <v>0.99999996917649603</v>
      </c>
    </row>
    <row r="5056" spans="1:40" x14ac:dyDescent="0.25">
      <c r="A5056" t="str">
        <f>"20190305135336878"</f>
        <v>20190305135336878</v>
      </c>
      <c r="B5056" t="str">
        <f>"1551765216875574"</f>
        <v>1551765216875574</v>
      </c>
      <c r="C5056" t="s">
        <v>40</v>
      </c>
      <c r="D5056">
        <v>4.5901940000000003</v>
      </c>
      <c r="E5056">
        <v>0.51313959999999903</v>
      </c>
      <c r="F5056" t="s">
        <v>42</v>
      </c>
      <c r="G5056">
        <v>-327.21289999999999</v>
      </c>
      <c r="H5056" s="1">
        <v>-1.356583E-6</v>
      </c>
      <c r="I5056">
        <v>19.28575</v>
      </c>
      <c r="J5056">
        <v>-377.7756</v>
      </c>
      <c r="K5056">
        <v>1.1092649999999999</v>
      </c>
      <c r="L5056">
        <v>17.341670000000001</v>
      </c>
      <c r="M5056">
        <v>0.99682850000000001</v>
      </c>
      <c r="N5056">
        <v>-1.196647E-2</v>
      </c>
      <c r="O5056">
        <v>-7.867673E-2</v>
      </c>
      <c r="P5056">
        <v>0.99627500000000002</v>
      </c>
      <c r="Q5056">
        <v>-4.8201340000000002E-2</v>
      </c>
      <c r="R5056">
        <v>7.1506829999999993E-2</v>
      </c>
      <c r="S5056">
        <v>2.999908</v>
      </c>
      <c r="T5056">
        <v>-6.5508960000000005E-2</v>
      </c>
      <c r="U5056">
        <v>0.11373900000000001</v>
      </c>
      <c r="V5056">
        <v>-0.14966399999999999</v>
      </c>
      <c r="W5056">
        <v>-3.6424089999999999E-2</v>
      </c>
      <c r="X5056">
        <v>0.98806579999999999</v>
      </c>
      <c r="Y5056">
        <v>-0.1163487</v>
      </c>
      <c r="Z5056">
        <v>2.7413310000000001E-3</v>
      </c>
      <c r="AA5056">
        <v>0.99320469999999905</v>
      </c>
      <c r="AB5056">
        <v>28</v>
      </c>
      <c r="AC5056">
        <v>50.5627</v>
      </c>
      <c r="AD5056">
        <v>-1.1092663565830001</v>
      </c>
      <c r="AE5056">
        <v>1.94408</v>
      </c>
      <c r="AF5056">
        <v>-5.9136030469774497</v>
      </c>
      <c r="AG5056">
        <v>-1.1092663565830001</v>
      </c>
      <c r="AH5056">
        <v>50.228838395287603</v>
      </c>
      <c r="AI5056">
        <v>91.256453678791999</v>
      </c>
      <c r="AJ5056">
        <v>96.714706222581995</v>
      </c>
      <c r="AK5056">
        <v>50.587917326047197</v>
      </c>
      <c r="AL5056">
        <v>92.087408314323099</v>
      </c>
      <c r="AM5056">
        <v>98.613214085603005</v>
      </c>
      <c r="AN5056">
        <v>1.0000000261789801</v>
      </c>
    </row>
    <row r="5057" spans="1:40" x14ac:dyDescent="0.25">
      <c r="A5057" t="str">
        <f>"20190305135336899"</f>
        <v>20190305135336899</v>
      </c>
      <c r="B5057" t="str">
        <f>"1551765216895094"</f>
        <v>1551765216895094</v>
      </c>
      <c r="C5057" t="s">
        <v>40</v>
      </c>
      <c r="D5057">
        <v>4.5981769999999997</v>
      </c>
      <c r="E5057">
        <v>0.51325889999999996</v>
      </c>
      <c r="F5057" t="s">
        <v>42</v>
      </c>
      <c r="G5057">
        <v>-327.98500000000001</v>
      </c>
      <c r="H5057" s="1">
        <v>-1.0100549999999999E-6</v>
      </c>
      <c r="I5057">
        <v>19.181740000000001</v>
      </c>
      <c r="J5057">
        <v>-377.5145</v>
      </c>
      <c r="K5057">
        <v>1.1093440000000001</v>
      </c>
      <c r="L5057">
        <v>17.321379999999898</v>
      </c>
      <c r="M5057">
        <v>0.99685380000000001</v>
      </c>
      <c r="N5057">
        <v>-1.192344E-2</v>
      </c>
      <c r="O5057">
        <v>-7.8360639999999995E-2</v>
      </c>
      <c r="P5057">
        <v>0.99625149999999996</v>
      </c>
      <c r="Q5057">
        <v>-4.8475160000000003E-2</v>
      </c>
      <c r="R5057">
        <v>7.1646500000000002E-2</v>
      </c>
      <c r="S5057">
        <v>3.0000610000000001</v>
      </c>
      <c r="T5057">
        <v>-6.6837190000000005E-2</v>
      </c>
      <c r="U5057">
        <v>0.11087039999999999</v>
      </c>
      <c r="V5057">
        <v>-0.14948020000000001</v>
      </c>
      <c r="W5057">
        <v>-3.6770360000000002E-2</v>
      </c>
      <c r="X5057">
        <v>0.98808070000000003</v>
      </c>
      <c r="Y5057">
        <v>-0.115082</v>
      </c>
      <c r="Z5057">
        <v>2.7776860000000001E-3</v>
      </c>
      <c r="AA5057">
        <v>0.99335209999999996</v>
      </c>
      <c r="AB5057">
        <v>28</v>
      </c>
      <c r="AC5057">
        <v>49.529499999999899</v>
      </c>
      <c r="AD5057">
        <v>-1.109345010055</v>
      </c>
      <c r="AE5057">
        <v>1.86035999999999</v>
      </c>
      <c r="AF5057">
        <v>-5.7332058090742501</v>
      </c>
      <c r="AG5057">
        <v>-1.109345010055</v>
      </c>
      <c r="AH5057">
        <v>49.206739541089597</v>
      </c>
      <c r="AI5057">
        <v>91.282815252542207</v>
      </c>
      <c r="AJ5057">
        <v>96.645716802745497</v>
      </c>
      <c r="AK5057">
        <v>49.552028328466697</v>
      </c>
      <c r="AL5057">
        <v>92.107261626653994</v>
      </c>
      <c r="AM5057">
        <v>98.602666903457305</v>
      </c>
      <c r="AN5057">
        <v>0.999999929639527</v>
      </c>
    </row>
    <row r="5058" spans="1:40" x14ac:dyDescent="0.25">
      <c r="A5058" t="str">
        <f>"20190305135336913"</f>
        <v>20190305135336913</v>
      </c>
      <c r="B5058" t="str">
        <f>"1551765216904854"</f>
        <v>1551765216904854</v>
      </c>
      <c r="C5058" t="s">
        <v>40</v>
      </c>
      <c r="D5058">
        <v>4.592886</v>
      </c>
      <c r="E5058">
        <v>0.51337479999999902</v>
      </c>
      <c r="F5058" t="s">
        <v>42</v>
      </c>
      <c r="G5058">
        <v>-328.22620000000001</v>
      </c>
      <c r="H5058" s="1">
        <v>-9.0435130000000003E-7</v>
      </c>
      <c r="I5058">
        <v>19.134840000000001</v>
      </c>
      <c r="J5058">
        <v>-377.34070000000003</v>
      </c>
      <c r="K5058">
        <v>1.1093999999999999</v>
      </c>
      <c r="L5058">
        <v>17.307950000000002</v>
      </c>
      <c r="M5058">
        <v>0.99687479999999995</v>
      </c>
      <c r="N5058">
        <v>-1.189818E-2</v>
      </c>
      <c r="O5058">
        <v>-7.8096550000000001E-2</v>
      </c>
      <c r="P5058">
        <v>0.99622929999999998</v>
      </c>
      <c r="Q5058">
        <v>-4.8428659999999998E-2</v>
      </c>
      <c r="R5058">
        <v>7.1985129999999994E-2</v>
      </c>
      <c r="S5058">
        <v>3.000092</v>
      </c>
      <c r="T5058">
        <v>-6.7523959999999994E-2</v>
      </c>
      <c r="U5058">
        <v>0.1103821</v>
      </c>
      <c r="V5058">
        <v>-0.1495495</v>
      </c>
      <c r="W5058">
        <v>-3.6769000000000003E-2</v>
      </c>
      <c r="X5058">
        <v>0.98807029999999996</v>
      </c>
      <c r="Y5058">
        <v>-0.1146563</v>
      </c>
      <c r="Z5058">
        <v>2.7991549999999998E-3</v>
      </c>
      <c r="AA5058">
        <v>0.99340130000000004</v>
      </c>
      <c r="AB5058">
        <v>28</v>
      </c>
      <c r="AC5058">
        <v>49.1145</v>
      </c>
      <c r="AD5058">
        <v>-1.1094009043513</v>
      </c>
      <c r="AE5058">
        <v>1.8268899999999899</v>
      </c>
      <c r="AF5058">
        <v>-5.6543730598387896</v>
      </c>
      <c r="AG5058">
        <v>-1.1094009043513</v>
      </c>
      <c r="AH5058">
        <v>48.796926562031999</v>
      </c>
      <c r="AI5058">
        <v>91.293744723879797</v>
      </c>
      <c r="AJ5058">
        <v>96.609704741367807</v>
      </c>
      <c r="AK5058">
        <v>49.135961850428401</v>
      </c>
      <c r="AL5058">
        <v>92.107183577058194</v>
      </c>
      <c r="AM5058">
        <v>98.606684678410005</v>
      </c>
      <c r="AN5058">
        <v>0.99999996502666899</v>
      </c>
    </row>
    <row r="5059" spans="1:40" x14ac:dyDescent="0.25">
      <c r="A5059" t="str">
        <f>"20190305135336926"</f>
        <v>20190305135336926</v>
      </c>
      <c r="B5059" t="str">
        <f>"1551765216915590"</f>
        <v>1551765216915590</v>
      </c>
      <c r="C5059" t="s">
        <v>40</v>
      </c>
      <c r="D5059">
        <v>4.5513830000000004</v>
      </c>
      <c r="E5059">
        <v>0.51345620000000003</v>
      </c>
      <c r="F5059" t="s">
        <v>42</v>
      </c>
      <c r="G5059">
        <v>-327.94049999999999</v>
      </c>
      <c r="H5059" s="1">
        <v>-1.0408920000000001E-6</v>
      </c>
      <c r="I5059">
        <v>19.126519999999999</v>
      </c>
      <c r="J5059">
        <v>-377.17950000000002</v>
      </c>
      <c r="K5059">
        <v>1.109451</v>
      </c>
      <c r="L5059">
        <v>17.295559999999998</v>
      </c>
      <c r="M5059">
        <v>0.99689640000000002</v>
      </c>
      <c r="N5059">
        <v>-1.1876370000000001E-2</v>
      </c>
      <c r="O5059">
        <v>-7.7823980000000001E-2</v>
      </c>
      <c r="P5059">
        <v>0.99618139999999999</v>
      </c>
      <c r="Q5059">
        <v>-4.8657579999999999E-2</v>
      </c>
      <c r="R5059">
        <v>7.2491940000000005E-2</v>
      </c>
      <c r="S5059">
        <v>3.0001220000000002</v>
      </c>
      <c r="T5059">
        <v>-6.7374939999999994E-2</v>
      </c>
      <c r="U5059">
        <v>0.1104431</v>
      </c>
      <c r="V5059">
        <v>-0.14977650000000001</v>
      </c>
      <c r="W5059">
        <v>-3.7038219999999997E-2</v>
      </c>
      <c r="X5059">
        <v>0.98802590000000001</v>
      </c>
      <c r="Y5059">
        <v>-0.1144048</v>
      </c>
      <c r="Z5059">
        <v>2.785671E-3</v>
      </c>
      <c r="AA5059">
        <v>0.99343029999999999</v>
      </c>
      <c r="AB5059">
        <v>28</v>
      </c>
      <c r="AC5059">
        <v>49.238999999999997</v>
      </c>
      <c r="AD5059">
        <v>-1.1094520408919999</v>
      </c>
      <c r="AE5059">
        <v>1.8309599999999999</v>
      </c>
      <c r="AF5059">
        <v>-5.6547843370308097</v>
      </c>
      <c r="AG5059">
        <v>-1.1094520408919999</v>
      </c>
      <c r="AH5059">
        <v>48.9223369518471</v>
      </c>
      <c r="AI5059">
        <v>91.290531370568004</v>
      </c>
      <c r="AJ5059">
        <v>96.593385713959705</v>
      </c>
      <c r="AK5059">
        <v>49.260557473088298</v>
      </c>
      <c r="AL5059">
        <v>92.122619178159894</v>
      </c>
      <c r="AM5059">
        <v>98.619934149744495</v>
      </c>
      <c r="AN5059">
        <v>1.0000000043819099</v>
      </c>
    </row>
    <row r="5060" spans="1:40" x14ac:dyDescent="0.25">
      <c r="A5060" t="str">
        <f>"20190305135336944"</f>
        <v>20190305135336944</v>
      </c>
      <c r="B5060" t="str">
        <f>"1551765216934645"</f>
        <v>1551765216934645</v>
      </c>
      <c r="C5060" t="s">
        <v>40</v>
      </c>
      <c r="D5060">
        <v>4.6077309999999896</v>
      </c>
      <c r="E5060">
        <v>0.51363740000000002</v>
      </c>
      <c r="F5060" t="s">
        <v>42</v>
      </c>
      <c r="G5060">
        <v>-328.10559999999998</v>
      </c>
      <c r="H5060" s="1">
        <v>-9.6453660000000003E-7</v>
      </c>
      <c r="I5060">
        <v>19.117100000000001</v>
      </c>
      <c r="J5060">
        <v>-376.95190000000002</v>
      </c>
      <c r="K5060">
        <v>1.1095079999999999</v>
      </c>
      <c r="L5060">
        <v>17.278289999999998</v>
      </c>
      <c r="M5060">
        <v>0.99693189999999998</v>
      </c>
      <c r="N5060">
        <v>-1.184904E-2</v>
      </c>
      <c r="O5060">
        <v>-7.7372419999999997E-2</v>
      </c>
      <c r="P5060">
        <v>0.99610779999999999</v>
      </c>
      <c r="Q5060">
        <v>-4.8898089999999998E-2</v>
      </c>
      <c r="R5060">
        <v>7.3337940000000004E-2</v>
      </c>
      <c r="S5060">
        <v>3.000092</v>
      </c>
      <c r="T5060">
        <v>-6.7825319999999995E-2</v>
      </c>
      <c r="U5060">
        <v>0.1113586</v>
      </c>
      <c r="V5060">
        <v>-0.15016119999999999</v>
      </c>
      <c r="W5060">
        <v>-3.7329389999999997E-2</v>
      </c>
      <c r="X5060">
        <v>0.98795650000000002</v>
      </c>
      <c r="Y5060">
        <v>-0.114257399999999</v>
      </c>
      <c r="Z5060">
        <v>2.7991470000000001E-3</v>
      </c>
      <c r="AA5060">
        <v>0.99344719999999997</v>
      </c>
      <c r="AB5060">
        <v>28</v>
      </c>
      <c r="AC5060">
        <v>48.846299999999999</v>
      </c>
      <c r="AD5060">
        <v>-1.1095089645366001</v>
      </c>
      <c r="AE5060">
        <v>1.8388100000000001</v>
      </c>
      <c r="AF5060">
        <v>-5.6100281973064998</v>
      </c>
      <c r="AG5060">
        <v>-1.1095089645366001</v>
      </c>
      <c r="AH5060">
        <v>48.532563404608197</v>
      </c>
      <c r="AI5060">
        <v>91.300958123904906</v>
      </c>
      <c r="AJ5060">
        <v>96.593731253246901</v>
      </c>
      <c r="AK5060">
        <v>48.868324476487601</v>
      </c>
      <c r="AL5060">
        <v>92.139313635452893</v>
      </c>
      <c r="AM5060">
        <v>98.642338445991797</v>
      </c>
      <c r="AN5060">
        <v>0.99999995761772997</v>
      </c>
    </row>
    <row r="5061" spans="1:40" x14ac:dyDescent="0.25">
      <c r="A5061" t="str">
        <f>"20190305135336956"</f>
        <v>20190305135336956</v>
      </c>
      <c r="B5061" t="str">
        <f>"1551765216945378"</f>
        <v>1551765216945378</v>
      </c>
      <c r="C5061" t="s">
        <v>40</v>
      </c>
      <c r="D5061">
        <v>4.5728530000000003</v>
      </c>
      <c r="E5061">
        <v>0.51371929999999999</v>
      </c>
      <c r="F5061" t="s">
        <v>42</v>
      </c>
      <c r="G5061">
        <v>-328.08089999999999</v>
      </c>
      <c r="H5061" s="1">
        <v>-9.772215E-7</v>
      </c>
      <c r="I5061">
        <v>19.111190000000001</v>
      </c>
      <c r="J5061">
        <v>-376.81079999999997</v>
      </c>
      <c r="K5061">
        <v>1.10954</v>
      </c>
      <c r="L5061">
        <v>17.267669999999999</v>
      </c>
      <c r="M5061">
        <v>0.99695639999999996</v>
      </c>
      <c r="N5061">
        <v>-1.183413E-2</v>
      </c>
      <c r="O5061">
        <v>-7.7059630000000004E-2</v>
      </c>
      <c r="P5061">
        <v>0.99606340000000004</v>
      </c>
      <c r="Q5061">
        <v>-4.855578E-2</v>
      </c>
      <c r="R5061">
        <v>7.4165780000000001E-2</v>
      </c>
      <c r="S5061">
        <v>3.000092</v>
      </c>
      <c r="T5061">
        <v>-6.8110589999999999E-2</v>
      </c>
      <c r="U5061">
        <v>0.1125183</v>
      </c>
      <c r="V5061">
        <v>-0.15067130000000001</v>
      </c>
      <c r="W5061">
        <v>-3.7014039999999998E-2</v>
      </c>
      <c r="X5061">
        <v>0.98789079999999996</v>
      </c>
      <c r="Y5061">
        <v>-0.11432879999999999</v>
      </c>
      <c r="Z5061">
        <v>2.810079E-3</v>
      </c>
      <c r="AA5061">
        <v>0.99343899999999996</v>
      </c>
      <c r="AB5061">
        <v>28</v>
      </c>
      <c r="AC5061">
        <v>48.729900000000001</v>
      </c>
      <c r="AD5061">
        <v>-1.1095409772214999</v>
      </c>
      <c r="AE5061">
        <v>1.8435199999999901</v>
      </c>
      <c r="AF5061">
        <v>-5.5905137945363199</v>
      </c>
      <c r="AG5061">
        <v>-1.1095409772214999</v>
      </c>
      <c r="AH5061">
        <v>48.417844064048197</v>
      </c>
      <c r="AI5061">
        <v>91.304096308610994</v>
      </c>
      <c r="AJ5061">
        <v>96.586428408742705</v>
      </c>
      <c r="AK5061">
        <v>48.7521543060152</v>
      </c>
      <c r="AL5061">
        <v>92.121232705483806</v>
      </c>
      <c r="AM5061">
        <v>98.671819025571807</v>
      </c>
      <c r="AN5061">
        <v>1.00000005626272</v>
      </c>
    </row>
    <row r="5062" spans="1:40" x14ac:dyDescent="0.25">
      <c r="A5062" t="str">
        <f>"20190305135336968"</f>
        <v>20190305135336968</v>
      </c>
      <c r="B5062" t="str">
        <f>"1551765216964898"</f>
        <v>1551765216964898</v>
      </c>
      <c r="C5062" t="s">
        <v>40</v>
      </c>
      <c r="D5062">
        <v>4.7114520000000004</v>
      </c>
      <c r="E5062">
        <v>0.53072640000000004</v>
      </c>
      <c r="F5062" t="s">
        <v>42</v>
      </c>
      <c r="G5062">
        <v>-326.76830000000001</v>
      </c>
      <c r="H5062" s="1">
        <v>-1.5863050000000001E-6</v>
      </c>
      <c r="I5062">
        <v>19.17559</v>
      </c>
      <c r="J5062">
        <v>-376.65460000000002</v>
      </c>
      <c r="K5062">
        <v>1.109572</v>
      </c>
      <c r="L5062">
        <v>17.255949999999999</v>
      </c>
      <c r="M5062">
        <v>0.99698390000000003</v>
      </c>
      <c r="N5062">
        <v>-1.181829E-2</v>
      </c>
      <c r="O5062">
        <v>-7.6703579999999993E-2</v>
      </c>
      <c r="P5062">
        <v>0.9960213</v>
      </c>
      <c r="Q5062">
        <v>-4.8339260000000002E-2</v>
      </c>
      <c r="R5062">
        <v>7.4867329999999996E-2</v>
      </c>
      <c r="S5062">
        <v>3.0000610000000001</v>
      </c>
      <c r="T5062">
        <v>-6.6517229999999997E-2</v>
      </c>
      <c r="U5062">
        <v>0.11437990000000001</v>
      </c>
      <c r="V5062">
        <v>-0.15101239999999999</v>
      </c>
      <c r="W5062">
        <v>-3.6825030000000002E-2</v>
      </c>
      <c r="X5062">
        <v>0.98784570000000005</v>
      </c>
      <c r="Y5062">
        <v>-0.114591899999999</v>
      </c>
      <c r="Z5062">
        <v>2.7400010000000002E-3</v>
      </c>
      <c r="AA5062">
        <v>0.99340890000000004</v>
      </c>
      <c r="AB5062">
        <v>28</v>
      </c>
      <c r="AC5062">
        <v>49.886299999999999</v>
      </c>
      <c r="AD5062">
        <v>-1.109573586305</v>
      </c>
      <c r="AE5062">
        <v>1.91964</v>
      </c>
      <c r="AF5062">
        <v>-5.7378744957899599</v>
      </c>
      <c r="AG5062">
        <v>-1.109573586305</v>
      </c>
      <c r="AH5062">
        <v>49.567572644706502</v>
      </c>
      <c r="AI5062">
        <v>91.273852258343794</v>
      </c>
      <c r="AJ5062">
        <v>96.6030918788978</v>
      </c>
      <c r="AK5062">
        <v>49.910906775584799</v>
      </c>
      <c r="AL5062">
        <v>92.110396009179695</v>
      </c>
      <c r="AM5062">
        <v>98.691542182925204</v>
      </c>
      <c r="AN5062">
        <v>0.99999997739837498</v>
      </c>
    </row>
    <row r="5063" spans="1:40" x14ac:dyDescent="0.25">
      <c r="A5063" t="str">
        <f>"20190305135336981"</f>
        <v>20190305135336981</v>
      </c>
      <c r="B5063" t="str">
        <f>"1551765216975634"</f>
        <v>1551765216975634</v>
      </c>
      <c r="C5063" t="s">
        <v>40</v>
      </c>
      <c r="D5063">
        <v>4.6707419999999997</v>
      </c>
      <c r="E5063">
        <v>0.54016109999999995</v>
      </c>
      <c r="F5063" t="s">
        <v>88</v>
      </c>
      <c r="G5063">
        <v>-279.68</v>
      </c>
      <c r="H5063">
        <v>-1.269987E-2</v>
      </c>
      <c r="I5063">
        <v>16.664400000000001</v>
      </c>
      <c r="J5063">
        <v>-376.49549999999999</v>
      </c>
      <c r="K5063">
        <v>1.109602</v>
      </c>
      <c r="L5063">
        <v>17.24408</v>
      </c>
      <c r="M5063">
        <v>0.99701340000000005</v>
      </c>
      <c r="N5063">
        <v>-1.180368E-2</v>
      </c>
      <c r="O5063">
        <v>-7.6321639999999996E-2</v>
      </c>
      <c r="P5063">
        <v>0.99596980000000002</v>
      </c>
      <c r="Q5063">
        <v>-4.7927780000000003E-2</v>
      </c>
      <c r="R5063">
        <v>7.5810290000000002E-2</v>
      </c>
      <c r="S5063">
        <v>3.0117189999999998</v>
      </c>
      <c r="T5063">
        <v>-3.4854049999999998E-2</v>
      </c>
      <c r="U5063">
        <v>-1.8371579999999998E-2</v>
      </c>
      <c r="V5063">
        <v>-0.15156849999999999</v>
      </c>
      <c r="W5063">
        <v>-3.6437770000000001E-2</v>
      </c>
      <c r="X5063">
        <v>0.98777490000000001</v>
      </c>
      <c r="Y5063">
        <v>-7.023393E-2</v>
      </c>
      <c r="Z5063">
        <v>8.0185179999999997E-4</v>
      </c>
      <c r="AA5063">
        <v>0.99753020000000003</v>
      </c>
      <c r="AB5063">
        <v>28</v>
      </c>
      <c r="AC5063">
        <v>96.8155</v>
      </c>
      <c r="AD5063">
        <v>-1.12230187</v>
      </c>
      <c r="AE5063">
        <v>-0.57967999999999897</v>
      </c>
      <c r="AF5063">
        <v>-6.81072823236841</v>
      </c>
      <c r="AG5063">
        <v>-1.12230187</v>
      </c>
      <c r="AH5063">
        <v>96.564343495862602</v>
      </c>
      <c r="AI5063">
        <v>90.664230079830304</v>
      </c>
      <c r="AJ5063">
        <v>94.034417132669105</v>
      </c>
      <c r="AK5063">
        <v>96.810732955233505</v>
      </c>
      <c r="AL5063">
        <v>92.088192722712705</v>
      </c>
      <c r="AM5063">
        <v>98.723672810216996</v>
      </c>
      <c r="AN5063">
        <v>0.999999987172416</v>
      </c>
    </row>
    <row r="5064" spans="1:40" x14ac:dyDescent="0.25">
      <c r="A5064" t="str">
        <f>"20190305135337001"</f>
        <v>20190305135337001</v>
      </c>
      <c r="B5064" t="str">
        <f>"1551765216995154"</f>
        <v>1551765216995154</v>
      </c>
      <c r="C5064" t="s">
        <v>40</v>
      </c>
      <c r="D5064">
        <v>4.7110300000000001</v>
      </c>
      <c r="E5064">
        <v>0.54939589999999905</v>
      </c>
      <c r="F5064" t="s">
        <v>47</v>
      </c>
      <c r="G5064">
        <v>-314.3184</v>
      </c>
      <c r="H5064">
        <v>-0.05</v>
      </c>
      <c r="I5064">
        <v>15.37196</v>
      </c>
      <c r="J5064">
        <v>-376.262</v>
      </c>
      <c r="K5064">
        <v>1.109632</v>
      </c>
      <c r="L5064">
        <v>17.226779999999899</v>
      </c>
      <c r="M5064">
        <v>0.99705770000000005</v>
      </c>
      <c r="N5064">
        <v>-1.1784350000000001E-2</v>
      </c>
      <c r="O5064">
        <v>-7.5742870000000004E-2</v>
      </c>
      <c r="P5064">
        <v>0.99592309999999995</v>
      </c>
      <c r="Q5064">
        <v>-4.6871830000000003E-2</v>
      </c>
      <c r="R5064">
        <v>7.7072260000000004E-2</v>
      </c>
      <c r="S5064">
        <v>3.0163570000000002</v>
      </c>
      <c r="T5064">
        <v>-5.6254980000000003E-2</v>
      </c>
      <c r="U5064">
        <v>-9.0820310000000001E-2</v>
      </c>
      <c r="V5064">
        <v>-0.152249</v>
      </c>
      <c r="W5064">
        <v>-3.5410740000000003E-2</v>
      </c>
      <c r="X5064">
        <v>0.98770760000000002</v>
      </c>
      <c r="Y5064">
        <v>-4.568995E-2</v>
      </c>
      <c r="Z5064">
        <v>1.212711E-3</v>
      </c>
      <c r="AA5064">
        <v>0.99895500000000004</v>
      </c>
      <c r="AB5064">
        <v>28</v>
      </c>
      <c r="AC5064">
        <v>61.943599999999897</v>
      </c>
      <c r="AD5064">
        <v>-1.159632</v>
      </c>
      <c r="AE5064">
        <v>-1.8548199999999899</v>
      </c>
      <c r="AF5064">
        <v>-2.8416259870859402</v>
      </c>
      <c r="AG5064">
        <v>-1.159632</v>
      </c>
      <c r="AH5064">
        <v>61.884465087242603</v>
      </c>
      <c r="AI5064">
        <v>91.072390837729003</v>
      </c>
      <c r="AJ5064">
        <v>92.629074851173698</v>
      </c>
      <c r="AK5064">
        <v>61.960524560078198</v>
      </c>
      <c r="AL5064">
        <v>92.029310219822506</v>
      </c>
      <c r="AM5064">
        <v>98.762820920210402</v>
      </c>
      <c r="AN5064">
        <v>0.99999999080305302</v>
      </c>
    </row>
    <row r="5065" spans="1:40" x14ac:dyDescent="0.25">
      <c r="A5065" t="str">
        <f>"20190305135337014"</f>
        <v>20190305135337014</v>
      </c>
      <c r="B5065" t="str">
        <f>"1551765217004913"</f>
        <v>1551765217004913</v>
      </c>
      <c r="C5065" t="s">
        <v>40</v>
      </c>
      <c r="D5065">
        <v>4.6993359999999997</v>
      </c>
      <c r="E5065">
        <v>0.55197790000000002</v>
      </c>
      <c r="F5065" t="s">
        <v>42</v>
      </c>
      <c r="G5065">
        <v>-352.1318</v>
      </c>
      <c r="H5065" s="1">
        <v>-4.0106729999999999E-6</v>
      </c>
      <c r="I5065">
        <v>15.935320000000001</v>
      </c>
      <c r="J5065">
        <v>-376.09</v>
      </c>
      <c r="K5065">
        <v>1.1096469999999901</v>
      </c>
      <c r="L5065">
        <v>17.214169999999999</v>
      </c>
      <c r="M5065">
        <v>0.9970907</v>
      </c>
      <c r="N5065">
        <v>-1.177163E-2</v>
      </c>
      <c r="O5065">
        <v>-7.5309249999999994E-2</v>
      </c>
      <c r="P5065">
        <v>0.99591200000000002</v>
      </c>
      <c r="Q5065">
        <v>-4.6178650000000002E-2</v>
      </c>
      <c r="R5065">
        <v>7.7632290000000007E-2</v>
      </c>
      <c r="S5065">
        <v>3.0182799999999999</v>
      </c>
      <c r="T5065">
        <v>-0.1387969</v>
      </c>
      <c r="U5065">
        <v>-0.16152949999999999</v>
      </c>
      <c r="V5065">
        <v>-0.15237790000000001</v>
      </c>
      <c r="W5065">
        <v>-3.4733800000000002E-2</v>
      </c>
      <c r="X5065">
        <v>0.98771180000000003</v>
      </c>
      <c r="Y5065">
        <v>-2.1845389999999999E-2</v>
      </c>
      <c r="Z5065">
        <v>3.1984119999999999E-3</v>
      </c>
      <c r="AA5065">
        <v>0.99975619999999998</v>
      </c>
      <c r="AB5065">
        <v>28</v>
      </c>
      <c r="AC5065">
        <v>23.958199999999898</v>
      </c>
      <c r="AD5065">
        <v>-1.10965101067299</v>
      </c>
      <c r="AE5065">
        <v>-1.27885</v>
      </c>
      <c r="AF5065">
        <v>-0.52805176958451205</v>
      </c>
      <c r="AG5065">
        <v>-1.10965101067299</v>
      </c>
      <c r="AH5065">
        <v>23.935270928614798</v>
      </c>
      <c r="AI5065">
        <v>92.653715324236003</v>
      </c>
      <c r="AJ5065">
        <v>91.263834895531801</v>
      </c>
      <c r="AK5065">
        <v>23.966797000497198</v>
      </c>
      <c r="AL5065">
        <v>91.990500458015603</v>
      </c>
      <c r="AM5065">
        <v>98.770087863538805</v>
      </c>
      <c r="AN5065">
        <v>1.0000000305650401</v>
      </c>
    </row>
    <row r="5066" spans="1:40" x14ac:dyDescent="0.25">
      <c r="A5066" t="str">
        <f>"20190305135337027"</f>
        <v>20190305135337027</v>
      </c>
      <c r="B5066" t="str">
        <f>"1551765217015650"</f>
        <v>1551765217015650</v>
      </c>
      <c r="C5066" t="s">
        <v>40</v>
      </c>
      <c r="D5066">
        <v>4.6672209999999996</v>
      </c>
      <c r="E5066">
        <v>0.55347290000000005</v>
      </c>
      <c r="F5066" t="s">
        <v>42</v>
      </c>
      <c r="G5066">
        <v>-356.08190000000002</v>
      </c>
      <c r="H5066" s="1">
        <v>-2.301787E-6</v>
      </c>
      <c r="I5066">
        <v>16.016010000000001</v>
      </c>
      <c r="J5066">
        <v>-375.9375</v>
      </c>
      <c r="K5066">
        <v>1.1096539999999999</v>
      </c>
      <c r="L5066">
        <v>17.203029999999998</v>
      </c>
      <c r="M5066">
        <v>0.99712000000000001</v>
      </c>
      <c r="N5066">
        <v>-1.176106E-2</v>
      </c>
      <c r="O5066">
        <v>-7.4923020000000007E-2</v>
      </c>
      <c r="P5066">
        <v>0.99588790000000005</v>
      </c>
      <c r="Q5066">
        <v>-4.5719820000000001E-2</v>
      </c>
      <c r="R5066">
        <v>7.821148E-2</v>
      </c>
      <c r="S5066">
        <v>3.0186459999999999</v>
      </c>
      <c r="T5066">
        <v>-0.16741389999999901</v>
      </c>
      <c r="U5066">
        <v>-0.18075559999999999</v>
      </c>
      <c r="V5066">
        <v>-0.15257100000000001</v>
      </c>
      <c r="W5066">
        <v>-3.4287989999999997E-2</v>
      </c>
      <c r="X5066">
        <v>0.98769750000000001</v>
      </c>
      <c r="Y5066">
        <v>-1.509068E-2</v>
      </c>
      <c r="Z5066">
        <v>3.7687649999999999E-3</v>
      </c>
      <c r="AA5066">
        <v>0.99987899999999996</v>
      </c>
      <c r="AB5066">
        <v>28</v>
      </c>
      <c r="AC5066">
        <v>19.8555999999999</v>
      </c>
      <c r="AD5066">
        <v>-1.109656301787</v>
      </c>
      <c r="AE5066">
        <v>-1.18701999999999</v>
      </c>
      <c r="AF5066">
        <v>-0.30311780165393798</v>
      </c>
      <c r="AG5066">
        <v>-1.109656301787</v>
      </c>
      <c r="AH5066">
        <v>19.8270210078941</v>
      </c>
      <c r="AI5066">
        <v>93.202950130945595</v>
      </c>
      <c r="AJ5066">
        <v>90.875876302409594</v>
      </c>
      <c r="AK5066">
        <v>19.8603620197933</v>
      </c>
      <c r="AL5066">
        <v>91.964942333659494</v>
      </c>
      <c r="AM5066">
        <v>98.781153752097097</v>
      </c>
      <c r="AN5066">
        <v>0.99999996390274404</v>
      </c>
    </row>
    <row r="5067" spans="1:40" x14ac:dyDescent="0.25">
      <c r="A5067" t="str">
        <f>"20190305135337043"</f>
        <v>20190305135337043</v>
      </c>
      <c r="B5067" t="str">
        <f>"1551765217035172"</f>
        <v>1551765217035172</v>
      </c>
      <c r="C5067" t="s">
        <v>40</v>
      </c>
      <c r="D5067">
        <v>4.6860239999999997</v>
      </c>
      <c r="E5067">
        <v>0.5554289</v>
      </c>
      <c r="F5067" t="s">
        <v>42</v>
      </c>
      <c r="G5067">
        <v>-357.4237</v>
      </c>
      <c r="H5067" s="1">
        <v>-1.816618E-6</v>
      </c>
      <c r="I5067">
        <v>16.031420000000001</v>
      </c>
      <c r="J5067">
        <v>-375.71640000000002</v>
      </c>
      <c r="K5067">
        <v>1.109658</v>
      </c>
      <c r="L5067">
        <v>17.187010000000001</v>
      </c>
      <c r="M5067">
        <v>0.99716199999999999</v>
      </c>
      <c r="N5067">
        <v>-1.1747459999999999E-2</v>
      </c>
      <c r="O5067">
        <v>-7.4364310000000003E-2</v>
      </c>
      <c r="P5067">
        <v>0.9958378</v>
      </c>
      <c r="Q5067">
        <v>-4.5550500000000001E-2</v>
      </c>
      <c r="R5067">
        <v>7.8946290000000002E-2</v>
      </c>
      <c r="S5067">
        <v>3.0190429999999999</v>
      </c>
      <c r="T5067">
        <v>-0.18095140000000001</v>
      </c>
      <c r="U5067">
        <v>-0.19103999999999999</v>
      </c>
      <c r="V5067">
        <v>-0.15274660000000001</v>
      </c>
      <c r="W5067">
        <v>-3.413389E-2</v>
      </c>
      <c r="X5067">
        <v>0.98767570000000005</v>
      </c>
      <c r="Y5067">
        <v>-1.1134460000000001E-2</v>
      </c>
      <c r="Z5067">
        <v>3.9683679999999999E-3</v>
      </c>
      <c r="AA5067">
        <v>0.99993010000000004</v>
      </c>
      <c r="AB5067">
        <v>28</v>
      </c>
      <c r="AC5067">
        <v>18.2927</v>
      </c>
      <c r="AD5067">
        <v>-1.1096598166180001</v>
      </c>
      <c r="AE5067">
        <v>-1.1555899999999999</v>
      </c>
      <c r="AF5067">
        <v>-0.207268247636157</v>
      </c>
      <c r="AG5067">
        <v>-1.1096598166180001</v>
      </c>
      <c r="AH5067">
        <v>18.261053775860201</v>
      </c>
      <c r="AI5067">
        <v>93.477163018895098</v>
      </c>
      <c r="AJ5067">
        <v>90.650295762106495</v>
      </c>
      <c r="AK5067">
        <v>18.2959118395327</v>
      </c>
      <c r="AL5067">
        <v>91.956107875649394</v>
      </c>
      <c r="AM5067">
        <v>98.791293550633199</v>
      </c>
      <c r="AN5067">
        <v>0.99999996731428997</v>
      </c>
    </row>
    <row r="5068" spans="1:40" x14ac:dyDescent="0.25">
      <c r="A5068" t="str">
        <f>"20190305135337057"</f>
        <v>20190305135337057</v>
      </c>
      <c r="B5068" t="str">
        <f>"1551765217054689"</f>
        <v>1551765217054689</v>
      </c>
      <c r="C5068" t="s">
        <v>40</v>
      </c>
      <c r="D5068">
        <v>4.7111609999999997</v>
      </c>
      <c r="E5068">
        <v>0.55648149999999996</v>
      </c>
      <c r="F5068" t="s">
        <v>42</v>
      </c>
      <c r="G5068">
        <v>-359.601</v>
      </c>
      <c r="H5068" s="1">
        <v>-1.058881E-6</v>
      </c>
      <c r="I5068">
        <v>16.09459</v>
      </c>
      <c r="J5068">
        <v>-375.55919999999998</v>
      </c>
      <c r="K5068">
        <v>1.109656</v>
      </c>
      <c r="L5068">
        <v>17.175689999999999</v>
      </c>
      <c r="M5068">
        <v>0.9971913</v>
      </c>
      <c r="N5068">
        <v>-1.1738989999999999E-2</v>
      </c>
      <c r="O5068">
        <v>-7.3971839999999997E-2</v>
      </c>
      <c r="P5068">
        <v>0.99579200000000001</v>
      </c>
      <c r="Q5068">
        <v>-4.5972409999999998E-2</v>
      </c>
      <c r="R5068">
        <v>7.9278890000000005E-2</v>
      </c>
      <c r="S5068">
        <v>3.0192570000000001</v>
      </c>
      <c r="T5068">
        <v>-0.20789640000000001</v>
      </c>
      <c r="U5068">
        <v>-0.2046509</v>
      </c>
      <c r="V5068">
        <v>-0.15268590000000001</v>
      </c>
      <c r="W5068">
        <v>-3.4564350000000001E-2</v>
      </c>
      <c r="X5068">
        <v>0.9876701</v>
      </c>
      <c r="Y5068">
        <v>-6.2294789999999996E-3</v>
      </c>
      <c r="Z5068">
        <v>4.4579169999999996E-3</v>
      </c>
      <c r="AA5068">
        <v>0.99997069999999999</v>
      </c>
      <c r="AB5068">
        <v>28</v>
      </c>
      <c r="AC5068">
        <v>15.9581999999999</v>
      </c>
      <c r="AD5068">
        <v>-1.109657058881</v>
      </c>
      <c r="AE5068">
        <v>-1.08109999999999</v>
      </c>
      <c r="AF5068">
        <v>-0.101910451138609</v>
      </c>
      <c r="AG5068">
        <v>-1.109657058881</v>
      </c>
      <c r="AH5068">
        <v>15.917836763630399</v>
      </c>
      <c r="AI5068">
        <v>93.987644717537705</v>
      </c>
      <c r="AJ5068">
        <v>90.366818622908596</v>
      </c>
      <c r="AK5068">
        <v>15.9567932794142</v>
      </c>
      <c r="AL5068">
        <v>91.980786010143305</v>
      </c>
      <c r="AM5068">
        <v>98.787903568506593</v>
      </c>
      <c r="AN5068">
        <v>0.99999995239187001</v>
      </c>
    </row>
    <row r="5069" spans="1:40" x14ac:dyDescent="0.25">
      <c r="A5069" t="str">
        <f>"20190305135337073"</f>
        <v>20190305135337073</v>
      </c>
      <c r="B5069" t="str">
        <f>"1551765217065428"</f>
        <v>1551765217065428</v>
      </c>
      <c r="C5069" t="s">
        <v>40</v>
      </c>
      <c r="D5069">
        <v>4.7148779999999997</v>
      </c>
      <c r="E5069">
        <v>0.55685220000000002</v>
      </c>
      <c r="F5069" t="s">
        <v>86</v>
      </c>
      <c r="G5069">
        <v>-360.5308</v>
      </c>
      <c r="H5069" s="1">
        <v>-5.0968510000000004E-6</v>
      </c>
      <c r="I5069">
        <v>16.119679999999999</v>
      </c>
      <c r="J5069">
        <v>-375.36900000000003</v>
      </c>
      <c r="K5069">
        <v>1.109653</v>
      </c>
      <c r="L5069">
        <v>17.16208</v>
      </c>
      <c r="M5069">
        <v>0.99722639999999996</v>
      </c>
      <c r="N5069">
        <v>-1.17295E-2</v>
      </c>
      <c r="O5069">
        <v>-7.3499499999999995E-2</v>
      </c>
      <c r="P5069">
        <v>0.99570309999999995</v>
      </c>
      <c r="Q5069">
        <v>-4.6331669999999998E-2</v>
      </c>
      <c r="R5069">
        <v>8.0180509999999997E-2</v>
      </c>
      <c r="S5069">
        <v>3.0192869999999998</v>
      </c>
      <c r="T5069">
        <v>-0.2229362</v>
      </c>
      <c r="U5069">
        <v>-0.21215819999999999</v>
      </c>
      <c r="V5069">
        <v>-0.15311060000000001</v>
      </c>
      <c r="W5069">
        <v>-3.4934550000000002E-2</v>
      </c>
      <c r="X5069">
        <v>0.98759140000000001</v>
      </c>
      <c r="Y5069">
        <v>-3.2679610000000002E-3</v>
      </c>
      <c r="Z5069">
        <v>4.6841510000000001E-3</v>
      </c>
      <c r="AA5069">
        <v>0.99998370000000003</v>
      </c>
      <c r="AB5069">
        <v>28</v>
      </c>
      <c r="AC5069">
        <v>14.838200000000001</v>
      </c>
      <c r="AD5069">
        <v>-1.1096580968509999</v>
      </c>
      <c r="AE5069">
        <v>-1.0424</v>
      </c>
      <c r="AF5069">
        <v>-5.0812211888283401E-2</v>
      </c>
      <c r="AG5069">
        <v>-1.1096580968509999</v>
      </c>
      <c r="AH5069">
        <v>14.792360166191401</v>
      </c>
      <c r="AI5069">
        <v>94.290018173305</v>
      </c>
      <c r="AJ5069">
        <v>90.196811989813</v>
      </c>
      <c r="AK5069">
        <v>14.834009648746701</v>
      </c>
      <c r="AL5069">
        <v>92.002009579404799</v>
      </c>
      <c r="AM5069">
        <v>98.812655434739199</v>
      </c>
      <c r="AN5069">
        <v>1.0000000259850099</v>
      </c>
    </row>
    <row r="5070" spans="1:40" x14ac:dyDescent="0.25">
      <c r="A5070" t="str">
        <f>"20190305135337090"</f>
        <v>20190305135337090</v>
      </c>
      <c r="B5070" t="str">
        <f>"1551765217084946"</f>
        <v>1551765217084946</v>
      </c>
      <c r="C5070" t="s">
        <v>40</v>
      </c>
      <c r="D5070">
        <v>4.7147309999999996</v>
      </c>
      <c r="E5070">
        <v>0.55764859999999905</v>
      </c>
      <c r="F5070" t="s">
        <v>41</v>
      </c>
      <c r="G5070">
        <v>-374.48070000000001</v>
      </c>
      <c r="H5070">
        <v>1.0420969999999901</v>
      </c>
      <c r="I5070">
        <v>17.099529999999898</v>
      </c>
      <c r="J5070">
        <v>-375.15370000000001</v>
      </c>
      <c r="K5070">
        <v>1.109645</v>
      </c>
      <c r="L5070">
        <v>17.14676</v>
      </c>
      <c r="M5070">
        <v>0.99726550000000003</v>
      </c>
      <c r="N5070">
        <v>-1.171989E-2</v>
      </c>
      <c r="O5070">
        <v>-7.2968859999999997E-2</v>
      </c>
      <c r="P5070">
        <v>0.99561920000000004</v>
      </c>
      <c r="Q5070">
        <v>-4.659833E-2</v>
      </c>
      <c r="R5070">
        <v>8.1063570000000001E-2</v>
      </c>
      <c r="S5070">
        <v>3.0193479999999999</v>
      </c>
      <c r="T5070">
        <v>-0.229653</v>
      </c>
      <c r="U5070">
        <v>-0.21249390000000001</v>
      </c>
      <c r="V5070">
        <v>-0.1534595</v>
      </c>
      <c r="W5070">
        <v>-3.5212100000000003E-2</v>
      </c>
      <c r="X5070">
        <v>0.98752740000000006</v>
      </c>
      <c r="Y5070">
        <v>-2.6190179999999999E-3</v>
      </c>
      <c r="Z5070">
        <v>4.788474E-3</v>
      </c>
      <c r="AA5070">
        <v>0.99998509999999996</v>
      </c>
      <c r="AB5070">
        <v>28</v>
      </c>
      <c r="AC5070">
        <v>0.67300000000000104</v>
      </c>
      <c r="AD5070">
        <v>-6.7548000000000094E-2</v>
      </c>
      <c r="AE5070">
        <v>-4.7230000000002499E-2</v>
      </c>
      <c r="AF5070">
        <v>-1.98740808688398E-3</v>
      </c>
      <c r="AG5070">
        <v>-6.7548000000000094E-2</v>
      </c>
      <c r="AH5070">
        <v>0.66795633392380305</v>
      </c>
      <c r="AI5070">
        <v>95.774457926828305</v>
      </c>
      <c r="AJ5070">
        <v>90.170474855535105</v>
      </c>
      <c r="AK5070">
        <v>0.67136602991500205</v>
      </c>
      <c r="AL5070">
        <v>92.017921788648806</v>
      </c>
      <c r="AM5070">
        <v>98.832984330829007</v>
      </c>
      <c r="AN5070">
        <v>1.0000000379387</v>
      </c>
    </row>
    <row r="5071" spans="1:40" x14ac:dyDescent="0.25">
      <c r="A5071" t="str">
        <f>"20190305135337113"</f>
        <v>20190305135337113</v>
      </c>
      <c r="B5071" t="str">
        <f>"1551765217105442"</f>
        <v>1551765217105442</v>
      </c>
      <c r="C5071" t="s">
        <v>40</v>
      </c>
      <c r="D5071">
        <v>4.7221299999999999</v>
      </c>
      <c r="E5071">
        <v>0.55820040000000004</v>
      </c>
      <c r="F5071" t="s">
        <v>41</v>
      </c>
      <c r="G5071">
        <v>-374.24169999999998</v>
      </c>
      <c r="H5071">
        <v>1.037798</v>
      </c>
      <c r="I5071">
        <v>17.081150000000001</v>
      </c>
      <c r="J5071">
        <v>-374.87819999999999</v>
      </c>
      <c r="K5071">
        <v>1.1096429999999999</v>
      </c>
      <c r="L5071">
        <v>17.127379999999999</v>
      </c>
      <c r="M5071">
        <v>0.99731530000000002</v>
      </c>
      <c r="N5071">
        <v>-1.170911E-2</v>
      </c>
      <c r="O5071">
        <v>-7.2286779999999995E-2</v>
      </c>
      <c r="P5071">
        <v>0.99555610000000005</v>
      </c>
      <c r="Q5071">
        <v>-4.6983730000000001E-2</v>
      </c>
      <c r="R5071">
        <v>8.1613329999999998E-2</v>
      </c>
      <c r="S5071">
        <v>3.0196529999999999</v>
      </c>
      <c r="T5071">
        <v>-0.2379211</v>
      </c>
      <c r="U5071">
        <v>-0.21621699999999999</v>
      </c>
      <c r="V5071">
        <v>-0.15332680000000001</v>
      </c>
      <c r="W5071">
        <v>-3.5609740000000001E-2</v>
      </c>
      <c r="X5071">
        <v>0.98753369999999996</v>
      </c>
      <c r="Y5071">
        <v>-7.1006659999999996E-4</v>
      </c>
      <c r="Z5071">
        <v>4.8588169999999997E-3</v>
      </c>
      <c r="AA5071">
        <v>0.99998799999999999</v>
      </c>
      <c r="AB5071">
        <v>28</v>
      </c>
      <c r="AC5071">
        <v>0.63650000000001195</v>
      </c>
      <c r="AD5071">
        <v>-7.1844999999999895E-2</v>
      </c>
      <c r="AE5071">
        <v>-4.6229999999997697E-2</v>
      </c>
      <c r="AF5071" s="1">
        <v>9.4163945220826495E-5</v>
      </c>
      <c r="AG5071">
        <v>-7.1844999999999895E-2</v>
      </c>
      <c r="AH5071">
        <v>0.63018968451763002</v>
      </c>
      <c r="AI5071">
        <v>96.503944994057207</v>
      </c>
      <c r="AJ5071">
        <v>89.991438773537794</v>
      </c>
      <c r="AK5071">
        <v>0.63427182766088397</v>
      </c>
      <c r="AL5071">
        <v>92.040719287652294</v>
      </c>
      <c r="AM5071">
        <v>98.825411122223699</v>
      </c>
      <c r="AN5071">
        <v>0.99999998490839803</v>
      </c>
    </row>
    <row r="5072" spans="1:40" x14ac:dyDescent="0.25">
      <c r="A5072" t="str">
        <f>"20190305135337125"</f>
        <v>20190305135337125</v>
      </c>
      <c r="B5072" t="str">
        <f>"1551765217115203"</f>
        <v>1551765217115203</v>
      </c>
      <c r="C5072" t="s">
        <v>40</v>
      </c>
      <c r="D5072">
        <v>4.7052870000000002</v>
      </c>
      <c r="E5072">
        <v>0.5585251</v>
      </c>
      <c r="F5072" t="s">
        <v>41</v>
      </c>
      <c r="G5072">
        <v>-373.99450000000002</v>
      </c>
      <c r="H5072">
        <v>1.0379419999999999</v>
      </c>
      <c r="I5072">
        <v>17.063229999999901</v>
      </c>
      <c r="J5072">
        <v>-374.71929999999998</v>
      </c>
      <c r="K5072">
        <v>1.1096440000000001</v>
      </c>
      <c r="L5072">
        <v>17.116239999999902</v>
      </c>
      <c r="M5072">
        <v>0.99734420000000001</v>
      </c>
      <c r="N5072">
        <v>-1.170356E-2</v>
      </c>
      <c r="O5072">
        <v>-7.1888659999999993E-2</v>
      </c>
      <c r="P5072">
        <v>0.99553910000000001</v>
      </c>
      <c r="Q5072">
        <v>-4.701491E-2</v>
      </c>
      <c r="R5072">
        <v>8.1805660000000002E-2</v>
      </c>
      <c r="S5072">
        <v>3.019806</v>
      </c>
      <c r="T5072">
        <v>-0.2450621</v>
      </c>
      <c r="U5072">
        <v>-0.21896360000000001</v>
      </c>
      <c r="V5072">
        <v>-0.15312319999999999</v>
      </c>
      <c r="W5072">
        <v>-3.5647850000000002E-2</v>
      </c>
      <c r="X5072">
        <v>0.98756390000000005</v>
      </c>
      <c r="Y5072">
        <v>5.9618289999999999E-4</v>
      </c>
      <c r="Z5072">
        <v>4.9413449999999998E-3</v>
      </c>
      <c r="AA5072">
        <v>0.99998759999999998</v>
      </c>
      <c r="AB5072">
        <v>28</v>
      </c>
      <c r="AC5072">
        <v>0.72479999999995903</v>
      </c>
      <c r="AD5072">
        <v>-7.1702000000000099E-2</v>
      </c>
      <c r="AE5072">
        <v>-5.3010000000000397E-2</v>
      </c>
      <c r="AF5072">
        <v>7.5699854134522E-4</v>
      </c>
      <c r="AG5072">
        <v>-7.1702000000000099E-2</v>
      </c>
      <c r="AH5072">
        <v>0.71972938459400704</v>
      </c>
      <c r="AI5072">
        <v>95.689234063597695</v>
      </c>
      <c r="AJ5072">
        <v>89.939737342324193</v>
      </c>
      <c r="AK5072">
        <v>0.72329256660003005</v>
      </c>
      <c r="AL5072">
        <v>92.042904247364305</v>
      </c>
      <c r="AM5072">
        <v>98.813610839770107</v>
      </c>
      <c r="AN5072">
        <v>0.99999997008553498</v>
      </c>
    </row>
    <row r="5073" spans="1:40" x14ac:dyDescent="0.25">
      <c r="A5073" t="str">
        <f>"20190305135337137"</f>
        <v>20190305135337137</v>
      </c>
      <c r="B5073" t="str">
        <f>"1551765217135698"</f>
        <v>1551765217135698</v>
      </c>
      <c r="C5073" t="s">
        <v>40</v>
      </c>
      <c r="D5073">
        <v>5.028346</v>
      </c>
      <c r="E5073">
        <v>0.55903169999999902</v>
      </c>
      <c r="F5073" t="s">
        <v>41</v>
      </c>
      <c r="G5073">
        <v>-373.75279999999998</v>
      </c>
      <c r="H5073">
        <v>1.030424</v>
      </c>
      <c r="I5073">
        <v>17.045349999999999</v>
      </c>
      <c r="J5073">
        <v>-374.55970000000002</v>
      </c>
      <c r="K5073">
        <v>1.109653</v>
      </c>
      <c r="L5073">
        <v>17.10519</v>
      </c>
      <c r="M5073">
        <v>0.99737419999999999</v>
      </c>
      <c r="N5073">
        <v>-1.169891E-2</v>
      </c>
      <c r="O5073">
        <v>-7.1470179999999994E-2</v>
      </c>
      <c r="P5073">
        <v>0.99552600000000002</v>
      </c>
      <c r="Q5073">
        <v>-4.7244349999999997E-2</v>
      </c>
      <c r="R5073">
        <v>8.1828880000000007E-2</v>
      </c>
      <c r="S5073">
        <v>3.0198670000000001</v>
      </c>
      <c r="T5073">
        <v>-0.2475927</v>
      </c>
      <c r="U5073">
        <v>-0.22094730000000001</v>
      </c>
      <c r="V5073">
        <v>-0.15272959999999999</v>
      </c>
      <c r="W5073">
        <v>-3.5885529999999999E-2</v>
      </c>
      <c r="X5073">
        <v>0.98761620000000006</v>
      </c>
      <c r="Y5073">
        <v>1.6667260000000001E-3</v>
      </c>
      <c r="Z5073">
        <v>4.9217369999999998E-3</v>
      </c>
      <c r="AA5073">
        <v>0.9999865</v>
      </c>
      <c r="AB5073">
        <v>28</v>
      </c>
      <c r="AC5073">
        <v>0.80690000000004103</v>
      </c>
      <c r="AD5073">
        <v>-7.9228999999999994E-2</v>
      </c>
      <c r="AE5073">
        <v>-5.9840000000001198E-2</v>
      </c>
      <c r="AF5073">
        <v>1.9945965225648399E-3</v>
      </c>
      <c r="AG5073">
        <v>-7.9228999999999994E-2</v>
      </c>
      <c r="AH5073">
        <v>0.80142889480906199</v>
      </c>
      <c r="AI5073">
        <v>95.645879561938301</v>
      </c>
      <c r="AJ5073">
        <v>89.8574025376967</v>
      </c>
      <c r="AK5073">
        <v>0.80533811923387899</v>
      </c>
      <c r="AL5073">
        <v>92.056531109516101</v>
      </c>
      <c r="AM5073">
        <v>98.790851712924507</v>
      </c>
      <c r="AN5073">
        <v>0.99999993024098799</v>
      </c>
    </row>
    <row r="5074" spans="1:40" x14ac:dyDescent="0.25">
      <c r="A5074" t="str">
        <f>"20190305135337156"</f>
        <v>20190305135337156</v>
      </c>
      <c r="B5074" t="str">
        <f>"1551765217145458"</f>
        <v>1551765217145458</v>
      </c>
      <c r="C5074" t="s">
        <v>40</v>
      </c>
      <c r="D5074">
        <v>4.7092809999999998</v>
      </c>
      <c r="E5074">
        <v>0.55921319999999997</v>
      </c>
      <c r="F5074" t="s">
        <v>41</v>
      </c>
      <c r="G5074">
        <v>-373.7439</v>
      </c>
      <c r="H5074">
        <v>1.0422389999999999</v>
      </c>
      <c r="I5074">
        <v>17.044260000000001</v>
      </c>
      <c r="J5074">
        <v>-374.3408</v>
      </c>
      <c r="K5074">
        <v>1.109672</v>
      </c>
      <c r="L5074">
        <v>17.090119999999999</v>
      </c>
      <c r="M5074">
        <v>0.99741740000000001</v>
      </c>
      <c r="N5074">
        <v>-1.1690539999999999E-2</v>
      </c>
      <c r="O5074">
        <v>-7.086626E-2</v>
      </c>
      <c r="P5074">
        <v>0.99554100000000001</v>
      </c>
      <c r="Q5074">
        <v>-4.7521000000000001E-2</v>
      </c>
      <c r="R5074">
        <v>8.1488519999999995E-2</v>
      </c>
      <c r="S5074">
        <v>3.020111</v>
      </c>
      <c r="T5074">
        <v>-0.2496063</v>
      </c>
      <c r="U5074">
        <v>-0.224884</v>
      </c>
      <c r="V5074">
        <v>-0.1517908</v>
      </c>
      <c r="W5074">
        <v>-3.6177679999999997E-2</v>
      </c>
      <c r="X5074">
        <v>0.98775040000000003</v>
      </c>
      <c r="Y5074">
        <v>3.557185E-3</v>
      </c>
      <c r="Z5074">
        <v>4.836814E-3</v>
      </c>
      <c r="AA5074">
        <v>0.99998200000000004</v>
      </c>
      <c r="AB5074">
        <v>28</v>
      </c>
      <c r="AC5074">
        <v>0.59690000000000498</v>
      </c>
      <c r="AD5074">
        <v>-6.7433000000000007E-2</v>
      </c>
      <c r="AE5074">
        <v>-4.5860000000001101E-2</v>
      </c>
      <c r="AF5074">
        <v>3.3986055118941298E-3</v>
      </c>
      <c r="AG5074">
        <v>-6.7433000000000007E-2</v>
      </c>
      <c r="AH5074">
        <v>0.59114886435758596</v>
      </c>
      <c r="AI5074">
        <v>96.507556761958895</v>
      </c>
      <c r="AJ5074">
        <v>89.670601402732203</v>
      </c>
      <c r="AK5074">
        <v>0.59499221830179305</v>
      </c>
      <c r="AL5074">
        <v>92.073280675728398</v>
      </c>
      <c r="AM5074">
        <v>98.736483604015206</v>
      </c>
      <c r="AN5074">
        <v>1.00000006209748</v>
      </c>
    </row>
    <row r="5075" spans="1:40" x14ac:dyDescent="0.25">
      <c r="A5075" t="str">
        <f>"20190305135337167"</f>
        <v>20190305135337167</v>
      </c>
      <c r="B5075" t="str">
        <f>"1551765217164978"</f>
        <v>1551765217164978</v>
      </c>
      <c r="C5075" t="s">
        <v>40</v>
      </c>
      <c r="D5075">
        <v>4.7447249999999999</v>
      </c>
      <c r="E5075">
        <v>0.55964219999999998</v>
      </c>
      <c r="F5075" t="s">
        <v>41</v>
      </c>
      <c r="G5075">
        <v>-373.49889999999999</v>
      </c>
      <c r="H5075">
        <v>1.0398210000000001</v>
      </c>
      <c r="I5075">
        <v>17.026820000000001</v>
      </c>
      <c r="J5075">
        <v>-374.19380000000001</v>
      </c>
      <c r="K5075">
        <v>1.1096919999999999</v>
      </c>
      <c r="L5075">
        <v>17.080079999999999</v>
      </c>
      <c r="M5075">
        <v>0.99744790000000005</v>
      </c>
      <c r="N5075">
        <v>-1.168306E-2</v>
      </c>
      <c r="O5075">
        <v>-7.0436180000000001E-2</v>
      </c>
      <c r="P5075">
        <v>0.99556089999999997</v>
      </c>
      <c r="Q5075">
        <v>-4.7750269999999997E-2</v>
      </c>
      <c r="R5075">
        <v>8.110713E-2</v>
      </c>
      <c r="S5075">
        <v>3.0200499999999999</v>
      </c>
      <c r="T5075">
        <v>-0.25056450000000002</v>
      </c>
      <c r="U5075">
        <v>-0.22732540000000001</v>
      </c>
      <c r="V5075">
        <v>-0.15098349999999999</v>
      </c>
      <c r="W5075">
        <v>-3.6421380000000003E-2</v>
      </c>
      <c r="X5075">
        <v>0.98786510000000005</v>
      </c>
      <c r="Y5075">
        <v>4.7893780000000004E-3</v>
      </c>
      <c r="Z5075">
        <v>4.7704260000000004E-3</v>
      </c>
      <c r="AA5075">
        <v>0.99997720000000001</v>
      </c>
      <c r="AB5075">
        <v>28</v>
      </c>
      <c r="AC5075">
        <v>0.69490000000001795</v>
      </c>
      <c r="AD5075">
        <v>-6.9871000000000003E-2</v>
      </c>
      <c r="AE5075">
        <v>-5.3259999999998003E-2</v>
      </c>
      <c r="AF5075">
        <v>4.1366812751234203E-3</v>
      </c>
      <c r="AG5075">
        <v>-6.9871000000000003E-2</v>
      </c>
      <c r="AH5075">
        <v>0.68999048423978604</v>
      </c>
      <c r="AI5075">
        <v>95.782169591616295</v>
      </c>
      <c r="AJ5075">
        <v>89.656500279297305</v>
      </c>
      <c r="AK5075">
        <v>0.69353149684381799</v>
      </c>
      <c r="AL5075">
        <v>92.087253004785495</v>
      </c>
      <c r="AM5075">
        <v>98.689736182092403</v>
      </c>
      <c r="AN5075">
        <v>0.99999999499568204</v>
      </c>
    </row>
    <row r="5076" spans="1:40" x14ac:dyDescent="0.25">
      <c r="A5076" t="str">
        <f>"20190305135337190"</f>
        <v>20190305135337190</v>
      </c>
      <c r="B5076" t="str">
        <f>"1551765217185474"</f>
        <v>1551765217185474</v>
      </c>
      <c r="C5076" t="s">
        <v>40</v>
      </c>
      <c r="D5076">
        <v>4.7351839999999896</v>
      </c>
      <c r="E5076">
        <v>0.55993539999999997</v>
      </c>
      <c r="F5076" t="s">
        <v>41</v>
      </c>
      <c r="G5076">
        <v>-373.25749999999999</v>
      </c>
      <c r="H5076">
        <v>1.032308</v>
      </c>
      <c r="I5076">
        <v>17.008050000000001</v>
      </c>
      <c r="J5076">
        <v>-373.92540000000002</v>
      </c>
      <c r="K5076">
        <v>1.109747</v>
      </c>
      <c r="L5076">
        <v>17.062069999999999</v>
      </c>
      <c r="M5076">
        <v>0.99751049999999997</v>
      </c>
      <c r="N5076">
        <v>-1.1660510000000001E-2</v>
      </c>
      <c r="O5076">
        <v>-6.9549109999999997E-2</v>
      </c>
      <c r="P5076">
        <v>0.99555959999999999</v>
      </c>
      <c r="Q5076">
        <v>-4.8421150000000003E-2</v>
      </c>
      <c r="R5076">
        <v>8.0726939999999997E-2</v>
      </c>
      <c r="S5076">
        <v>3.0202640000000001</v>
      </c>
      <c r="T5076">
        <v>-0.2496177</v>
      </c>
      <c r="U5076">
        <v>-0.2318115</v>
      </c>
      <c r="V5076">
        <v>-0.1497185</v>
      </c>
      <c r="W5076">
        <v>-3.713785E-2</v>
      </c>
      <c r="X5076">
        <v>0.98803099999999999</v>
      </c>
      <c r="Y5076">
        <v>7.1375259999999999E-3</v>
      </c>
      <c r="Z5076">
        <v>4.577177E-3</v>
      </c>
      <c r="AA5076">
        <v>0.99996410000000002</v>
      </c>
      <c r="AB5076">
        <v>28</v>
      </c>
      <c r="AC5076">
        <v>0.66790000000003102</v>
      </c>
      <c r="AD5076">
        <v>-7.7438999999999994E-2</v>
      </c>
      <c r="AE5076">
        <v>-5.4020000000001199E-2</v>
      </c>
      <c r="AF5076">
        <v>7.33619158982867E-3</v>
      </c>
      <c r="AG5076">
        <v>-7.7438999999999994E-2</v>
      </c>
      <c r="AH5076">
        <v>0.66120890663350396</v>
      </c>
      <c r="AI5076">
        <v>96.679488838741705</v>
      </c>
      <c r="AJ5076">
        <v>89.364322584037595</v>
      </c>
      <c r="AK5076">
        <v>0.66576860592815301</v>
      </c>
      <c r="AL5076">
        <v>92.128331383070304</v>
      </c>
      <c r="AM5076">
        <v>98.616602437699697</v>
      </c>
      <c r="AN5076">
        <v>1.00000005305293</v>
      </c>
    </row>
    <row r="5077" spans="1:40" x14ac:dyDescent="0.25">
      <c r="A5077" t="str">
        <f>"20190305135337202"</f>
        <v>20190305135337202</v>
      </c>
      <c r="B5077" t="str">
        <f>"1551765217195234"</f>
        <v>1551765217195234</v>
      </c>
      <c r="C5077" t="s">
        <v>40</v>
      </c>
      <c r="D5077">
        <v>4.723725</v>
      </c>
      <c r="E5077">
        <v>0.5601121</v>
      </c>
      <c r="F5077" t="s">
        <v>41</v>
      </c>
      <c r="G5077">
        <v>-373.0093</v>
      </c>
      <c r="H5077">
        <v>1.0338419999999999</v>
      </c>
      <c r="I5077">
        <v>16.990459999999999</v>
      </c>
      <c r="J5077">
        <v>-373.7704</v>
      </c>
      <c r="K5077">
        <v>1.109793</v>
      </c>
      <c r="L5077">
        <v>17.051819999999999</v>
      </c>
      <c r="M5077">
        <v>0.99755039999999995</v>
      </c>
      <c r="N5077">
        <v>-1.164133E-2</v>
      </c>
      <c r="O5077">
        <v>-6.8978319999999996E-2</v>
      </c>
      <c r="P5077">
        <v>0.99556389999999995</v>
      </c>
      <c r="Q5077">
        <v>-4.8567909999999999E-2</v>
      </c>
      <c r="R5077">
        <v>8.0584680000000006E-2</v>
      </c>
      <c r="S5077">
        <v>3.0203250000000001</v>
      </c>
      <c r="T5077">
        <v>-0.25036940000000002</v>
      </c>
      <c r="U5077">
        <v>-0.23535159999999999</v>
      </c>
      <c r="V5077">
        <v>-0.14900649999999999</v>
      </c>
      <c r="W5077">
        <v>-3.7321420000000001E-2</v>
      </c>
      <c r="X5077">
        <v>0.9881316</v>
      </c>
      <c r="Y5077">
        <v>8.8662299999999993E-3</v>
      </c>
      <c r="Z5077">
        <v>4.4726059999999996E-3</v>
      </c>
      <c r="AA5077">
        <v>0.99995069999999997</v>
      </c>
      <c r="AB5077">
        <v>28</v>
      </c>
      <c r="AC5077">
        <v>0.761099999999999</v>
      </c>
      <c r="AD5077">
        <v>-7.5951000000000102E-2</v>
      </c>
      <c r="AE5077">
        <v>-6.1360000000000497E-2</v>
      </c>
      <c r="AF5077">
        <v>8.6255413085910403E-3</v>
      </c>
      <c r="AG5077">
        <v>-7.5951000000000102E-2</v>
      </c>
      <c r="AH5077">
        <v>0.75603951031330696</v>
      </c>
      <c r="AI5077">
        <v>95.736261525373806</v>
      </c>
      <c r="AJ5077">
        <v>89.346349409487104</v>
      </c>
      <c r="AK5077">
        <v>0.75989387122061403</v>
      </c>
      <c r="AL5077">
        <v>92.138856702683995</v>
      </c>
      <c r="AM5077">
        <v>98.575375996604905</v>
      </c>
      <c r="AN5077">
        <v>0.99999994217581101</v>
      </c>
    </row>
    <row r="5078" spans="1:40" x14ac:dyDescent="0.25">
      <c r="A5078" t="str">
        <f>"20190305135337224"</f>
        <v>20190305135337224</v>
      </c>
      <c r="B5078" t="str">
        <f>"1551765217215729"</f>
        <v>1551765217215729</v>
      </c>
      <c r="C5078" t="s">
        <v>40</v>
      </c>
      <c r="D5078">
        <v>4.7384250000000003</v>
      </c>
      <c r="E5078">
        <v>0.56044949999999905</v>
      </c>
      <c r="F5078" t="s">
        <v>41</v>
      </c>
      <c r="G5078">
        <v>-373</v>
      </c>
      <c r="H5078">
        <v>1.0455399999999999</v>
      </c>
      <c r="I5078">
        <v>16.991099999999999</v>
      </c>
      <c r="J5078">
        <v>-373.49059999999997</v>
      </c>
      <c r="K5078">
        <v>1.1098920000000001</v>
      </c>
      <c r="L5078">
        <v>17.033660000000001</v>
      </c>
      <c r="M5078">
        <v>0.99762989999999996</v>
      </c>
      <c r="N5078">
        <v>-1.1591590000000001E-2</v>
      </c>
      <c r="O5078">
        <v>-6.7825090000000005E-2</v>
      </c>
      <c r="P5078">
        <v>0.99565709999999996</v>
      </c>
      <c r="Q5078">
        <v>-4.8389840000000003E-2</v>
      </c>
      <c r="R5078">
        <v>7.9532099999999994E-2</v>
      </c>
      <c r="S5078">
        <v>3.0202939999999998</v>
      </c>
      <c r="T5078">
        <v>-0.2520366</v>
      </c>
      <c r="U5078">
        <v>-0.2371521</v>
      </c>
      <c r="V5078">
        <v>-0.14681050000000001</v>
      </c>
      <c r="W5078">
        <v>-3.7226460000000003E-2</v>
      </c>
      <c r="X5078">
        <v>0.98846389999999995</v>
      </c>
      <c r="Y5078">
        <v>1.060823E-2</v>
      </c>
      <c r="Z5078">
        <v>4.3466959999999997E-3</v>
      </c>
      <c r="AA5078">
        <v>0.99993430000000005</v>
      </c>
      <c r="AB5078">
        <v>28</v>
      </c>
      <c r="AC5078">
        <v>0.490599999999972</v>
      </c>
      <c r="AD5078">
        <v>-6.4352000000000104E-2</v>
      </c>
      <c r="AE5078">
        <v>-4.2560000000001701E-2</v>
      </c>
      <c r="AF5078">
        <v>9.0305413375811692E-3</v>
      </c>
      <c r="AG5078">
        <v>-6.4352000000000104E-2</v>
      </c>
      <c r="AH5078">
        <v>0.484090106159073</v>
      </c>
      <c r="AI5078">
        <v>97.570855838159702</v>
      </c>
      <c r="AJ5078">
        <v>88.931290079899995</v>
      </c>
      <c r="AK5078">
        <v>0.48843214622089798</v>
      </c>
      <c r="AL5078">
        <v>92.133411973430398</v>
      </c>
      <c r="AM5078">
        <v>98.448033738567204</v>
      </c>
      <c r="AN5078">
        <v>1.00000000691879</v>
      </c>
    </row>
    <row r="5079" spans="1:40" x14ac:dyDescent="0.25">
      <c r="A5079" t="str">
        <f>"20190305135337237"</f>
        <v>20190305135337237</v>
      </c>
      <c r="B5079" t="str">
        <f>"1551765217225491"</f>
        <v>1551765217225491</v>
      </c>
      <c r="C5079" t="s">
        <v>40</v>
      </c>
      <c r="D5079">
        <v>4.7481479999999996</v>
      </c>
      <c r="E5079">
        <v>0.5605656</v>
      </c>
      <c r="F5079" t="s">
        <v>41</v>
      </c>
      <c r="G5079">
        <v>-372.74259999999998</v>
      </c>
      <c r="H5079">
        <v>1.0469569999999999</v>
      </c>
      <c r="I5079">
        <v>16.97307</v>
      </c>
      <c r="J5079">
        <v>-373.34109999999998</v>
      </c>
      <c r="K5079">
        <v>1.109958</v>
      </c>
      <c r="L5079">
        <v>17.024260000000002</v>
      </c>
      <c r="M5079">
        <v>0.99767989999999995</v>
      </c>
      <c r="N5079">
        <v>-1.154967E-2</v>
      </c>
      <c r="O5079">
        <v>-6.7092319999999997E-2</v>
      </c>
      <c r="P5079">
        <v>0.9956798</v>
      </c>
      <c r="Q5079">
        <v>-4.8248190000000003E-2</v>
      </c>
      <c r="R5079">
        <v>7.9334059999999998E-2</v>
      </c>
      <c r="S5079">
        <v>3.0201419999999999</v>
      </c>
      <c r="T5079">
        <v>-0.25434089999999998</v>
      </c>
      <c r="U5079">
        <v>-0.24301149999999999</v>
      </c>
      <c r="V5079">
        <v>-0.14588139999999999</v>
      </c>
      <c r="W5079">
        <v>-3.7150900000000001E-2</v>
      </c>
      <c r="X5079">
        <v>0.98860429999999999</v>
      </c>
      <c r="Y5079">
        <v>1.326507E-2</v>
      </c>
      <c r="Z5079">
        <v>4.2171589999999998E-3</v>
      </c>
      <c r="AA5079">
        <v>0.99990310000000004</v>
      </c>
      <c r="AB5079">
        <v>28</v>
      </c>
      <c r="AC5079">
        <v>0.59850000000000103</v>
      </c>
      <c r="AD5079">
        <v>-6.3001000000000001E-2</v>
      </c>
      <c r="AE5079">
        <v>-5.1190000000001797E-2</v>
      </c>
      <c r="AF5079">
        <v>1.0798424010358E-2</v>
      </c>
      <c r="AG5079">
        <v>-6.3001000000000001E-2</v>
      </c>
      <c r="AH5079">
        <v>0.59405125769229095</v>
      </c>
      <c r="AI5079">
        <v>96.052776276914003</v>
      </c>
      <c r="AJ5079">
        <v>88.958615133665404</v>
      </c>
      <c r="AK5079">
        <v>0.59748023291812702</v>
      </c>
      <c r="AL5079">
        <v>92.129079685862607</v>
      </c>
      <c r="AM5079">
        <v>98.394158829569903</v>
      </c>
      <c r="AN5079">
        <v>1.00000001710763</v>
      </c>
    </row>
    <row r="5080" spans="1:40" x14ac:dyDescent="0.25">
      <c r="A5080" t="str">
        <f>"20190305135337249"</f>
        <v>20190305135337249</v>
      </c>
      <c r="B5080" t="str">
        <f>"1551765217245009"</f>
        <v>1551765217245009</v>
      </c>
      <c r="C5080" t="s">
        <v>40</v>
      </c>
      <c r="D5080">
        <v>4.7605380000000004</v>
      </c>
      <c r="E5080">
        <v>0.56101049999999997</v>
      </c>
      <c r="F5080" t="s">
        <v>41</v>
      </c>
      <c r="G5080">
        <v>-372.5104</v>
      </c>
      <c r="H5080">
        <v>1.0396110000000001</v>
      </c>
      <c r="I5080">
        <v>16.957059999999998</v>
      </c>
      <c r="J5080">
        <v>-373.18669999999997</v>
      </c>
      <c r="K5080">
        <v>1.1100399999999999</v>
      </c>
      <c r="L5080">
        <v>17.014589999999998</v>
      </c>
      <c r="M5080">
        <v>0.99773440000000002</v>
      </c>
      <c r="N5080">
        <v>-1.150051E-2</v>
      </c>
      <c r="O5080">
        <v>-6.6287940000000004E-2</v>
      </c>
      <c r="P5080">
        <v>0.9957085</v>
      </c>
      <c r="Q5080">
        <v>-4.8344020000000001E-2</v>
      </c>
      <c r="R5080">
        <v>7.8916050000000001E-2</v>
      </c>
      <c r="S5080">
        <v>3.020111</v>
      </c>
      <c r="T5080">
        <v>-0.25562580000000001</v>
      </c>
      <c r="U5080">
        <v>-0.24447630000000001</v>
      </c>
      <c r="V5080">
        <v>-0.14466180000000001</v>
      </c>
      <c r="W5080">
        <v>-3.7321609999999998E-2</v>
      </c>
      <c r="X5080">
        <v>0.98877700000000002</v>
      </c>
      <c r="Y5080">
        <v>1.4548429999999999E-2</v>
      </c>
      <c r="Z5080">
        <v>4.1263100000000002E-3</v>
      </c>
      <c r="AA5080">
        <v>0.99988569999999999</v>
      </c>
      <c r="AB5080">
        <v>28</v>
      </c>
      <c r="AC5080">
        <v>0.67629999999996904</v>
      </c>
      <c r="AD5080">
        <v>-7.0428999999999797E-2</v>
      </c>
      <c r="AE5080">
        <v>-5.7529999999996299E-2</v>
      </c>
      <c r="AF5080">
        <v>1.24360572202721E-2</v>
      </c>
      <c r="AG5080">
        <v>-7.0428999999999797E-2</v>
      </c>
      <c r="AH5080">
        <v>0.67139719834087597</v>
      </c>
      <c r="AI5080">
        <v>95.9873584603979</v>
      </c>
      <c r="AJ5080">
        <v>88.938851511988204</v>
      </c>
      <c r="AK5080">
        <v>0.67519559943779595</v>
      </c>
      <c r="AL5080">
        <v>92.1388675854204</v>
      </c>
      <c r="AM5080">
        <v>98.323535768643097</v>
      </c>
      <c r="AN5080">
        <v>0.99999994734061404</v>
      </c>
    </row>
    <row r="5081" spans="1:40" x14ac:dyDescent="0.25">
      <c r="A5081" t="str">
        <f>"20190305135337270"</f>
        <v>20190305135337270</v>
      </c>
      <c r="B5081" t="str">
        <f>"1551765217265506"</f>
        <v>1551765217265506</v>
      </c>
      <c r="C5081" t="s">
        <v>40</v>
      </c>
      <c r="D5081">
        <v>4.7200889999999998</v>
      </c>
      <c r="E5081">
        <v>0.56132109999999902</v>
      </c>
      <c r="F5081" t="s">
        <v>41</v>
      </c>
      <c r="G5081">
        <v>-372.26690000000002</v>
      </c>
      <c r="H5081">
        <v>1.032762</v>
      </c>
      <c r="I5081">
        <v>16.938589999999898</v>
      </c>
      <c r="J5081">
        <v>-372.9436</v>
      </c>
      <c r="K5081">
        <v>1.1101700000000001</v>
      </c>
      <c r="L5081">
        <v>16.99991</v>
      </c>
      <c r="M5081">
        <v>0.99783029999999995</v>
      </c>
      <c r="N5081">
        <v>-1.140438E-2</v>
      </c>
      <c r="O5081">
        <v>-6.4842070000000002E-2</v>
      </c>
      <c r="P5081">
        <v>0.99573460000000003</v>
      </c>
      <c r="Q5081">
        <v>-4.8406089999999999E-2</v>
      </c>
      <c r="R5081">
        <v>7.8546379999999999E-2</v>
      </c>
      <c r="S5081">
        <v>3.0203549999999999</v>
      </c>
      <c r="T5081">
        <v>-0.25381100000000001</v>
      </c>
      <c r="U5081">
        <v>-0.24923709999999999</v>
      </c>
      <c r="V5081">
        <v>-0.1428471</v>
      </c>
      <c r="W5081">
        <v>-3.7526209999999997E-2</v>
      </c>
      <c r="X5081">
        <v>0.9890331</v>
      </c>
      <c r="Y5081">
        <v>1.753917E-2</v>
      </c>
      <c r="Z5081">
        <v>3.8508570000000001E-3</v>
      </c>
      <c r="AA5081">
        <v>0.99983880000000003</v>
      </c>
      <c r="AB5081">
        <v>28</v>
      </c>
      <c r="AC5081">
        <v>0.67669999999998198</v>
      </c>
      <c r="AD5081">
        <v>-7.7407999999999894E-2</v>
      </c>
      <c r="AE5081">
        <v>-6.1320000000001998E-2</v>
      </c>
      <c r="AF5081">
        <v>1.7087677992036102E-2</v>
      </c>
      <c r="AG5081">
        <v>-7.7407999999999894E-2</v>
      </c>
      <c r="AH5081">
        <v>0.67054931002709095</v>
      </c>
      <c r="AI5081">
        <v>96.582940011846603</v>
      </c>
      <c r="AJ5081">
        <v>88.540241604675302</v>
      </c>
      <c r="AK5081">
        <v>0.67521875298377698</v>
      </c>
      <c r="AL5081">
        <v>92.150598424952406</v>
      </c>
      <c r="AM5081">
        <v>98.218458104751704</v>
      </c>
      <c r="AN5081">
        <v>0.99999999165549103</v>
      </c>
    </row>
    <row r="5082" spans="1:40" x14ac:dyDescent="0.25">
      <c r="A5082" t="str">
        <f>"20190305135337291"</f>
        <v>20190305135337291</v>
      </c>
      <c r="B5082" t="str">
        <f>"1551765217285027"</f>
        <v>1551765217285027</v>
      </c>
      <c r="C5082" t="s">
        <v>40</v>
      </c>
      <c r="D5082">
        <v>4.7087320000000004</v>
      </c>
      <c r="E5082">
        <v>0.56149490000000002</v>
      </c>
      <c r="F5082" t="s">
        <v>41</v>
      </c>
      <c r="G5082">
        <v>-372.01859999999999</v>
      </c>
      <c r="H5082">
        <v>1.033007</v>
      </c>
      <c r="I5082">
        <v>16.922350000000002</v>
      </c>
      <c r="J5082">
        <v>-372.66230000000002</v>
      </c>
      <c r="K5082">
        <v>1.110331</v>
      </c>
      <c r="L5082">
        <v>16.983609999999999</v>
      </c>
      <c r="M5082">
        <v>0.99795449999999997</v>
      </c>
      <c r="N5082">
        <v>-1.128526E-2</v>
      </c>
      <c r="O5082">
        <v>-6.2926490000000002E-2</v>
      </c>
      <c r="P5082">
        <v>0.99566500000000002</v>
      </c>
      <c r="Q5082">
        <v>-4.9275579999999999E-2</v>
      </c>
      <c r="R5082">
        <v>7.8890539999999995E-2</v>
      </c>
      <c r="S5082">
        <v>3.0205380000000002</v>
      </c>
      <c r="T5082">
        <v>-0.25204840000000001</v>
      </c>
      <c r="U5082">
        <v>-0.25283810000000001</v>
      </c>
      <c r="V5082">
        <v>-0.14126749999999999</v>
      </c>
      <c r="W5082">
        <v>-3.8572040000000002E-2</v>
      </c>
      <c r="X5082">
        <v>0.98921970000000004</v>
      </c>
      <c r="Y5082">
        <v>2.0619220000000001E-2</v>
      </c>
      <c r="Z5082">
        <v>3.5438850000000001E-3</v>
      </c>
      <c r="AA5082">
        <v>0.99978109999999998</v>
      </c>
      <c r="AB5082">
        <v>28</v>
      </c>
      <c r="AC5082">
        <v>0.64370000000002303</v>
      </c>
      <c r="AD5082">
        <v>-7.7323999999999907E-2</v>
      </c>
      <c r="AE5082">
        <v>-6.1260000000000703E-2</v>
      </c>
      <c r="AF5082">
        <v>2.03393623924162E-2</v>
      </c>
      <c r="AG5082">
        <v>-7.7323999999999907E-2</v>
      </c>
      <c r="AH5082">
        <v>0.63716754946133003</v>
      </c>
      <c r="AI5082">
        <v>96.915853412244402</v>
      </c>
      <c r="AJ5082">
        <v>88.171651964575801</v>
      </c>
      <c r="AK5082">
        <v>0.64216444679309903</v>
      </c>
      <c r="AL5082">
        <v>92.210563561729202</v>
      </c>
      <c r="AM5082">
        <v>98.127286950460999</v>
      </c>
      <c r="AN5082">
        <v>0.99999996184704998</v>
      </c>
    </row>
    <row r="5083" spans="1:40" x14ac:dyDescent="0.25">
      <c r="A5083" t="str">
        <f>"20190305135337313"</f>
        <v>20190305135337313</v>
      </c>
      <c r="B5083" t="str">
        <f>"1551765217305531"</f>
        <v>1551765217305531</v>
      </c>
      <c r="C5083" t="s">
        <v>40</v>
      </c>
      <c r="D5083">
        <v>4.7214609999999997</v>
      </c>
      <c r="E5083">
        <v>0.56174060000000003</v>
      </c>
      <c r="F5083" t="s">
        <v>41</v>
      </c>
      <c r="G5083">
        <v>-371.7688</v>
      </c>
      <c r="H5083">
        <v>1.0355719999999999</v>
      </c>
      <c r="I5083">
        <v>16.908390000000001</v>
      </c>
      <c r="J5083">
        <v>-372.39019999999999</v>
      </c>
      <c r="K5083">
        <v>1.110474</v>
      </c>
      <c r="L5083">
        <v>16.96857</v>
      </c>
      <c r="M5083">
        <v>0.99808410000000003</v>
      </c>
      <c r="N5083">
        <v>-1.1168859999999999E-2</v>
      </c>
      <c r="O5083">
        <v>-6.0856399999999998E-2</v>
      </c>
      <c r="P5083">
        <v>0.99556909999999998</v>
      </c>
      <c r="Q5083">
        <v>-4.9771330000000003E-2</v>
      </c>
      <c r="R5083">
        <v>7.9781779999999997E-2</v>
      </c>
      <c r="S5083">
        <v>3.0206300000000001</v>
      </c>
      <c r="T5083">
        <v>-0.25296800000000003</v>
      </c>
      <c r="U5083">
        <v>-0.25308229999999998</v>
      </c>
      <c r="V5083">
        <v>-0.14008219999999999</v>
      </c>
      <c r="W5083">
        <v>-3.9235989999999998E-2</v>
      </c>
      <c r="X5083">
        <v>0.98936219999999997</v>
      </c>
      <c r="Y5083">
        <v>2.275837E-2</v>
      </c>
      <c r="Z5083">
        <v>3.3177150000000002E-3</v>
      </c>
      <c r="AA5083">
        <v>0.9997355</v>
      </c>
      <c r="AB5083">
        <v>28</v>
      </c>
      <c r="AC5083">
        <v>0.62139999999999396</v>
      </c>
      <c r="AD5083">
        <v>-7.4901999999999996E-2</v>
      </c>
      <c r="AE5083">
        <v>-6.0179999999998998E-2</v>
      </c>
      <c r="AF5083">
        <v>2.1934193725109099E-2</v>
      </c>
      <c r="AG5083">
        <v>-7.4901999999999996E-2</v>
      </c>
      <c r="AH5083">
        <v>0.61505736805469102</v>
      </c>
      <c r="AI5083">
        <v>96.938951707043799</v>
      </c>
      <c r="AJ5083">
        <v>87.957581789050295</v>
      </c>
      <c r="AK5083">
        <v>0.61998950350528803</v>
      </c>
      <c r="AL5083">
        <v>92.248633777425894</v>
      </c>
      <c r="AM5083">
        <v>98.058849376087593</v>
      </c>
      <c r="AN5083">
        <v>1.0000000242284799</v>
      </c>
    </row>
    <row r="5084" spans="1:40" x14ac:dyDescent="0.25">
      <c r="A5084" t="str">
        <f>"20190305135337325"</f>
        <v>20190305135337325</v>
      </c>
      <c r="B5084" t="str">
        <f>"1551765217315282"</f>
        <v>1551765217315282</v>
      </c>
      <c r="C5084" t="s">
        <v>40</v>
      </c>
      <c r="D5084">
        <v>4.731001</v>
      </c>
      <c r="E5084">
        <v>0.56180929999999996</v>
      </c>
      <c r="F5084" t="s">
        <v>41</v>
      </c>
      <c r="G5084">
        <v>-371.51909999999998</v>
      </c>
      <c r="H5084">
        <v>1.0374810000000001</v>
      </c>
      <c r="I5084">
        <v>16.895689999999998</v>
      </c>
      <c r="J5084">
        <v>-372.23829999999998</v>
      </c>
      <c r="K5084">
        <v>1.1105529999999999</v>
      </c>
      <c r="L5084">
        <v>16.960450000000002</v>
      </c>
      <c r="M5084">
        <v>0.99815880000000001</v>
      </c>
      <c r="N5084">
        <v>-1.110304E-2</v>
      </c>
      <c r="O5084">
        <v>-5.9630799999999998E-2</v>
      </c>
      <c r="P5084">
        <v>0.99550150000000004</v>
      </c>
      <c r="Q5084">
        <v>-4.9789720000000003E-2</v>
      </c>
      <c r="R5084">
        <v>8.0609520000000004E-2</v>
      </c>
      <c r="S5084">
        <v>3.020966</v>
      </c>
      <c r="T5084">
        <v>-0.25316699999999998</v>
      </c>
      <c r="U5084">
        <v>-0.25244139999999998</v>
      </c>
      <c r="V5084">
        <v>-0.139681</v>
      </c>
      <c r="W5084">
        <v>-3.9348000000000001E-2</v>
      </c>
      <c r="X5084">
        <v>0.98941449999999997</v>
      </c>
      <c r="Y5084">
        <v>2.3759490000000001E-2</v>
      </c>
      <c r="Z5084">
        <v>3.1894190000000002E-3</v>
      </c>
      <c r="AA5084">
        <v>0.99971259999999995</v>
      </c>
      <c r="AB5084">
        <v>28</v>
      </c>
      <c r="AC5084">
        <v>0.71919999999999995</v>
      </c>
      <c r="AD5084">
        <v>-7.3072000000000206E-2</v>
      </c>
      <c r="AE5084">
        <v>-6.4760000000003204E-2</v>
      </c>
      <c r="AF5084">
        <v>2.1535115124293999E-2</v>
      </c>
      <c r="AG5084">
        <v>-7.3072000000000206E-2</v>
      </c>
      <c r="AH5084">
        <v>0.71446589783187398</v>
      </c>
      <c r="AI5084">
        <v>95.836988631183502</v>
      </c>
      <c r="AJ5084">
        <v>88.273538663828006</v>
      </c>
      <c r="AK5084">
        <v>0.71851569052604702</v>
      </c>
      <c r="AL5084">
        <v>92.255056379518606</v>
      </c>
      <c r="AM5084">
        <v>98.035651261500902</v>
      </c>
      <c r="AN5084">
        <v>1.00000004983762</v>
      </c>
    </row>
    <row r="5085" spans="1:40" x14ac:dyDescent="0.25">
      <c r="A5085" t="str">
        <f>"20190305135337346"</f>
        <v>20190305135337346</v>
      </c>
      <c r="B5085" t="str">
        <f>"1551765217335435"</f>
        <v>1551765217335435</v>
      </c>
      <c r="C5085" t="s">
        <v>40</v>
      </c>
      <c r="D5085">
        <v>4.7048249999999996</v>
      </c>
      <c r="E5085">
        <v>0.56210199999999999</v>
      </c>
      <c r="F5085" t="s">
        <v>41</v>
      </c>
      <c r="G5085">
        <v>-371.27429999999998</v>
      </c>
      <c r="H5085">
        <v>1.029366</v>
      </c>
      <c r="I5085">
        <v>16.880389999999998</v>
      </c>
      <c r="J5085">
        <v>-371.98309999999998</v>
      </c>
      <c r="K5085">
        <v>1.1106799999999999</v>
      </c>
      <c r="L5085">
        <v>16.947479999999999</v>
      </c>
      <c r="M5085">
        <v>0.99829080000000003</v>
      </c>
      <c r="N5085">
        <v>-1.0994479999999999E-2</v>
      </c>
      <c r="O5085">
        <v>-5.7399230000000002E-2</v>
      </c>
      <c r="P5085">
        <v>0.99537770000000003</v>
      </c>
      <c r="Q5085">
        <v>-4.9012680000000003E-2</v>
      </c>
      <c r="R5085">
        <v>8.2590449999999996E-2</v>
      </c>
      <c r="S5085">
        <v>3.0210880000000002</v>
      </c>
      <c r="T5085">
        <v>-0.25453910000000002</v>
      </c>
      <c r="U5085">
        <v>-0.2504883</v>
      </c>
      <c r="V5085">
        <v>-0.13942969999999999</v>
      </c>
      <c r="W5085">
        <v>-3.8722689999999997E-2</v>
      </c>
      <c r="X5085">
        <v>0.98947459999999998</v>
      </c>
      <c r="Y5085">
        <v>2.5338610000000001E-2</v>
      </c>
      <c r="Z5085">
        <v>2.9812660000000002E-3</v>
      </c>
      <c r="AA5085">
        <v>0.99967450000000002</v>
      </c>
      <c r="AB5085">
        <v>28</v>
      </c>
      <c r="AC5085">
        <v>0.70879999999999599</v>
      </c>
      <c r="AD5085">
        <v>-8.1313999999999803E-2</v>
      </c>
      <c r="AE5085">
        <v>-6.7090000000000302E-2</v>
      </c>
      <c r="AF5085">
        <v>2.59538032348192E-2</v>
      </c>
      <c r="AG5085">
        <v>-8.1313999999999803E-2</v>
      </c>
      <c r="AH5085">
        <v>0.70232135526657202</v>
      </c>
      <c r="AI5085">
        <v>96.599773094382897</v>
      </c>
      <c r="AJ5085">
        <v>87.883636859480006</v>
      </c>
      <c r="AK5085">
        <v>0.70748911833456996</v>
      </c>
      <c r="AL5085">
        <v>92.219201459996597</v>
      </c>
      <c r="AM5085">
        <v>98.020901783483495</v>
      </c>
      <c r="AN5085">
        <v>1.00000003600404</v>
      </c>
    </row>
    <row r="5086" spans="1:40" x14ac:dyDescent="0.25">
      <c r="A5086" t="str">
        <f>"20190305135337358"</f>
        <v>20190305135337358</v>
      </c>
      <c r="B5086" t="str">
        <f>"1551765217354955"</f>
        <v>1551765217354955</v>
      </c>
      <c r="C5086" t="s">
        <v>40</v>
      </c>
      <c r="D5086">
        <v>4.7083899999999996</v>
      </c>
      <c r="E5086">
        <v>0.56239249999999996</v>
      </c>
      <c r="F5086" t="s">
        <v>41</v>
      </c>
      <c r="G5086">
        <v>-371.02429999999998</v>
      </c>
      <c r="H5086">
        <v>1.030637</v>
      </c>
      <c r="I5086">
        <v>16.86917</v>
      </c>
      <c r="J5086">
        <v>-371.8229</v>
      </c>
      <c r="K5086">
        <v>1.110751</v>
      </c>
      <c r="L5086">
        <v>16.93976</v>
      </c>
      <c r="M5086">
        <v>0.99837600000000004</v>
      </c>
      <c r="N5086">
        <v>-1.0930260000000001E-2</v>
      </c>
      <c r="O5086">
        <v>-5.5908600000000003E-2</v>
      </c>
      <c r="P5086">
        <v>0.99527069999999995</v>
      </c>
      <c r="Q5086">
        <v>-4.861008E-2</v>
      </c>
      <c r="R5086">
        <v>8.4102380000000004E-2</v>
      </c>
      <c r="S5086">
        <v>3.0220340000000001</v>
      </c>
      <c r="T5086">
        <v>-0.25221379999999999</v>
      </c>
      <c r="U5086">
        <v>-0.24691769999999999</v>
      </c>
      <c r="V5086">
        <v>-0.13945109999999999</v>
      </c>
      <c r="W5086">
        <v>-3.8409480000000003E-2</v>
      </c>
      <c r="X5086">
        <v>0.98948380000000002</v>
      </c>
      <c r="Y5086">
        <v>2.5626179999999998E-2</v>
      </c>
      <c r="Z5086">
        <v>2.8297000000000001E-3</v>
      </c>
      <c r="AA5086">
        <v>0.99966759999999999</v>
      </c>
      <c r="AB5086">
        <v>28</v>
      </c>
      <c r="AC5086">
        <v>0.79860000000002096</v>
      </c>
      <c r="AD5086">
        <v>-8.0114000000000005E-2</v>
      </c>
      <c r="AE5086">
        <v>-7.0589999999999195E-2</v>
      </c>
      <c r="AF5086">
        <v>2.5572934879550299E-2</v>
      </c>
      <c r="AG5086">
        <v>-8.0114000000000005E-2</v>
      </c>
      <c r="AH5086">
        <v>0.79337517658851098</v>
      </c>
      <c r="AI5086">
        <v>95.763135422841103</v>
      </c>
      <c r="AJ5086">
        <v>88.153819080432001</v>
      </c>
      <c r="AK5086">
        <v>0.797819778409387</v>
      </c>
      <c r="AL5086">
        <v>92.201242471416705</v>
      </c>
      <c r="AM5086">
        <v>98.0220432089409</v>
      </c>
      <c r="AN5086">
        <v>1.00000004395375</v>
      </c>
    </row>
    <row r="5087" spans="1:40" x14ac:dyDescent="0.25">
      <c r="A5087" t="str">
        <f>"20190305135337373"</f>
        <v>20190305135337373</v>
      </c>
      <c r="B5087" t="str">
        <f>"1551765217365692"</f>
        <v>1551765217365692</v>
      </c>
      <c r="C5087" t="s">
        <v>40</v>
      </c>
      <c r="D5087">
        <v>4.7069609999999997</v>
      </c>
      <c r="E5087">
        <v>0.56251039999999997</v>
      </c>
      <c r="F5087" t="s">
        <v>41</v>
      </c>
      <c r="G5087">
        <v>-371.01659999999998</v>
      </c>
      <c r="H5087">
        <v>1.043606</v>
      </c>
      <c r="I5087">
        <v>16.87454</v>
      </c>
      <c r="J5087">
        <v>-371.6472</v>
      </c>
      <c r="K5087">
        <v>1.110822</v>
      </c>
      <c r="L5087">
        <v>16.93158</v>
      </c>
      <c r="M5087">
        <v>0.99846919999999995</v>
      </c>
      <c r="N5087">
        <v>-1.0863090000000001E-2</v>
      </c>
      <c r="O5087">
        <v>-5.4231300000000003E-2</v>
      </c>
      <c r="P5087">
        <v>0.99514769999999997</v>
      </c>
      <c r="Q5087">
        <v>-4.830653E-2</v>
      </c>
      <c r="R5087">
        <v>8.5718150000000007E-2</v>
      </c>
      <c r="S5087">
        <v>3.022583</v>
      </c>
      <c r="T5087">
        <v>-0.251627299999999</v>
      </c>
      <c r="U5087">
        <v>-0.24462890000000001</v>
      </c>
      <c r="V5087">
        <v>-0.13938999999999999</v>
      </c>
      <c r="W5087">
        <v>-3.8198049999999997E-2</v>
      </c>
      <c r="X5087">
        <v>0.98950050000000001</v>
      </c>
      <c r="Y5087">
        <v>2.6530970000000001E-2</v>
      </c>
      <c r="Z5087">
        <v>2.6623739999999999E-3</v>
      </c>
      <c r="AA5087">
        <v>0.99964450000000005</v>
      </c>
      <c r="AB5087">
        <v>28</v>
      </c>
      <c r="AC5087">
        <v>0.63060000000001504</v>
      </c>
      <c r="AD5087">
        <v>-6.7215999999999901E-2</v>
      </c>
      <c r="AE5087">
        <v>-5.7040000000000597E-2</v>
      </c>
      <c r="AF5087">
        <v>2.2502185746045698E-2</v>
      </c>
      <c r="AG5087">
        <v>-6.7215999999999901E-2</v>
      </c>
      <c r="AH5087">
        <v>0.62571405054774598</v>
      </c>
      <c r="AI5087">
        <v>96.127433799640997</v>
      </c>
      <c r="AJ5087">
        <v>87.940393225529903</v>
      </c>
      <c r="AK5087">
        <v>0.629716136105958</v>
      </c>
      <c r="AL5087">
        <v>92.189119731643103</v>
      </c>
      <c r="AM5087">
        <v>98.018440533481694</v>
      </c>
      <c r="AN5087">
        <v>0.99999995131202501</v>
      </c>
    </row>
    <row r="5088" spans="1:40" x14ac:dyDescent="0.25">
      <c r="A5088" t="str">
        <f>"20190305135337391"</f>
        <v>20190305135337391</v>
      </c>
      <c r="B5088" t="str">
        <f>"1551765217385211"</f>
        <v>1551765217385211</v>
      </c>
      <c r="C5088" t="s">
        <v>40</v>
      </c>
      <c r="D5088">
        <v>4.6943729999999997</v>
      </c>
      <c r="E5088">
        <v>0.56272330000000004</v>
      </c>
      <c r="F5088" t="s">
        <v>41</v>
      </c>
      <c r="G5088">
        <v>-370.77069999999998</v>
      </c>
      <c r="H5088">
        <v>1.0380480000000001</v>
      </c>
      <c r="I5088">
        <v>16.861609999999999</v>
      </c>
      <c r="J5088">
        <v>-371.42</v>
      </c>
      <c r="K5088">
        <v>1.1109070000000001</v>
      </c>
      <c r="L5088">
        <v>16.921479999999999</v>
      </c>
      <c r="M5088">
        <v>0.99858930000000001</v>
      </c>
      <c r="N5088">
        <v>-1.0782089999999999E-2</v>
      </c>
      <c r="O5088">
        <v>-5.1991269999999999E-2</v>
      </c>
      <c r="P5088">
        <v>0.99501649999999997</v>
      </c>
      <c r="Q5088">
        <v>-4.7012119999999998E-2</v>
      </c>
      <c r="R5088">
        <v>8.7930690000000006E-2</v>
      </c>
      <c r="S5088">
        <v>3.0231629999999998</v>
      </c>
      <c r="T5088">
        <v>-0.25115850000000001</v>
      </c>
      <c r="U5088">
        <v>-0.24063109999999999</v>
      </c>
      <c r="V5088">
        <v>-0.1393712</v>
      </c>
      <c r="W5088">
        <v>-3.7012940000000001E-2</v>
      </c>
      <c r="X5088">
        <v>0.98954819999999999</v>
      </c>
      <c r="Y5088">
        <v>2.7435540000000001E-2</v>
      </c>
      <c r="Z5088">
        <v>2.4577760000000001E-3</v>
      </c>
      <c r="AA5088">
        <v>0.99962059999999997</v>
      </c>
      <c r="AB5088">
        <v>28</v>
      </c>
      <c r="AC5088">
        <v>0.64930000000003896</v>
      </c>
      <c r="AD5088">
        <v>-7.2858999999999993E-2</v>
      </c>
      <c r="AE5088">
        <v>-5.987E-2</v>
      </c>
      <c r="AF5088">
        <v>2.5708149829905699E-2</v>
      </c>
      <c r="AG5088">
        <v>-7.2858999999999993E-2</v>
      </c>
      <c r="AH5088">
        <v>0.64350035211713597</v>
      </c>
      <c r="AI5088">
        <v>96.454581674950703</v>
      </c>
      <c r="AJ5088">
        <v>87.712222550195094</v>
      </c>
      <c r="AK5088">
        <v>0.64812193761942205</v>
      </c>
      <c r="AL5088">
        <v>92.121169831391697</v>
      </c>
      <c r="AM5088">
        <v>98.016991678831204</v>
      </c>
      <c r="AN5088">
        <v>0.99999996462006102</v>
      </c>
    </row>
    <row r="5089" spans="1:40" x14ac:dyDescent="0.25">
      <c r="A5089" t="str">
        <f>"20190305135337403"</f>
        <v>20190305135337403</v>
      </c>
      <c r="B5089" t="str">
        <f>"1551765217394971"</f>
        <v>1551765217394971</v>
      </c>
      <c r="C5089" t="s">
        <v>40</v>
      </c>
      <c r="D5089">
        <v>4.7216170000000002</v>
      </c>
      <c r="E5089">
        <v>0.56275959999999903</v>
      </c>
      <c r="F5089" t="s">
        <v>41</v>
      </c>
      <c r="G5089">
        <v>-370.5213</v>
      </c>
      <c r="H5089">
        <v>1.037039</v>
      </c>
      <c r="I5089">
        <v>16.85164</v>
      </c>
      <c r="J5089">
        <v>-371.25659999999999</v>
      </c>
      <c r="K5089">
        <v>1.110959</v>
      </c>
      <c r="L5089">
        <v>16.91452</v>
      </c>
      <c r="M5089">
        <v>0.99867450000000002</v>
      </c>
      <c r="N5089">
        <v>-1.072736E-2</v>
      </c>
      <c r="O5089">
        <v>-5.034247E-2</v>
      </c>
      <c r="P5089">
        <v>0.99491410000000002</v>
      </c>
      <c r="Q5089">
        <v>-4.6658659999999998E-2</v>
      </c>
      <c r="R5089">
        <v>8.9271349999999999E-2</v>
      </c>
      <c r="S5089">
        <v>3.0240779999999998</v>
      </c>
      <c r="T5089">
        <v>-0.2484295</v>
      </c>
      <c r="U5089">
        <v>-0.2355042</v>
      </c>
      <c r="V5089">
        <v>-0.13906830000000001</v>
      </c>
      <c r="W5089">
        <v>-3.6730579999999999E-2</v>
      </c>
      <c r="X5089">
        <v>0.98960139999999996</v>
      </c>
      <c r="Y5089">
        <v>2.737293E-2</v>
      </c>
      <c r="Z5089">
        <v>2.3121859999999999E-3</v>
      </c>
      <c r="AA5089">
        <v>0.99962260000000003</v>
      </c>
      <c r="AB5089">
        <v>28</v>
      </c>
      <c r="AC5089">
        <v>0.73529999999999496</v>
      </c>
      <c r="AD5089">
        <v>-7.3919999999999902E-2</v>
      </c>
      <c r="AE5089">
        <v>-6.2879999999999797E-2</v>
      </c>
      <c r="AF5089">
        <v>2.5525221008653998E-2</v>
      </c>
      <c r="AG5089">
        <v>-7.3919999999999902E-2</v>
      </c>
      <c r="AH5089">
        <v>0.73020709912461701</v>
      </c>
      <c r="AI5089">
        <v>95.776944285567694</v>
      </c>
      <c r="AJ5089">
        <v>87.997975935226094</v>
      </c>
      <c r="AK5089">
        <v>0.734382809520709</v>
      </c>
      <c r="AL5089">
        <v>92.104980649941098</v>
      </c>
      <c r="AM5089">
        <v>97.999369396072893</v>
      </c>
      <c r="AN5089">
        <v>1.0000000292269899</v>
      </c>
    </row>
    <row r="5090" spans="1:40" x14ac:dyDescent="0.25">
      <c r="A5090" t="str">
        <f>"20190305135337416"</f>
        <v>20190305135337416</v>
      </c>
      <c r="B5090" t="str">
        <f>"1551765217405707"</f>
        <v>1551765217405707</v>
      </c>
      <c r="C5090" t="s">
        <v>40</v>
      </c>
      <c r="D5090">
        <v>4.7246360000000003</v>
      </c>
      <c r="E5090">
        <v>0.56284579999999995</v>
      </c>
      <c r="F5090" t="s">
        <v>41</v>
      </c>
      <c r="G5090">
        <v>-370.51139999999998</v>
      </c>
      <c r="H5090">
        <v>1.0496509999999999</v>
      </c>
      <c r="I5090">
        <v>16.857600000000001</v>
      </c>
      <c r="J5090">
        <v>-371.10669999999999</v>
      </c>
      <c r="K5090">
        <v>1.1109960000000001</v>
      </c>
      <c r="L5090">
        <v>16.90851</v>
      </c>
      <c r="M5090">
        <v>0.99875159999999996</v>
      </c>
      <c r="N5090">
        <v>-1.0681629999999999E-2</v>
      </c>
      <c r="O5090">
        <v>-4.8798349999999997E-2</v>
      </c>
      <c r="P5090">
        <v>0.99476129999999996</v>
      </c>
      <c r="Q5090">
        <v>-4.651541E-2</v>
      </c>
      <c r="R5090">
        <v>9.1030600000000003E-2</v>
      </c>
      <c r="S5090">
        <v>3.0244749999999998</v>
      </c>
      <c r="T5090">
        <v>-0.24868860000000001</v>
      </c>
      <c r="U5090">
        <v>-0.23162840000000001</v>
      </c>
      <c r="V5090">
        <v>-0.139285299999999</v>
      </c>
      <c r="W5090">
        <v>-3.6648029999999998E-2</v>
      </c>
      <c r="X5090">
        <v>0.98957390000000001</v>
      </c>
      <c r="Y5090">
        <v>2.7630390000000001E-2</v>
      </c>
      <c r="Z5090">
        <v>2.1962190000000001E-3</v>
      </c>
      <c r="AA5090">
        <v>0.99961580000000005</v>
      </c>
      <c r="AB5090">
        <v>28</v>
      </c>
      <c r="AC5090">
        <v>0.59530000000000804</v>
      </c>
      <c r="AD5090">
        <v>-6.1344999999999698E-2</v>
      </c>
      <c r="AE5090">
        <v>-5.09099999999982E-2</v>
      </c>
      <c r="AF5090">
        <v>2.15706313256799E-2</v>
      </c>
      <c r="AG5090">
        <v>-6.1344999999999698E-2</v>
      </c>
      <c r="AH5090">
        <v>0.59084648746120205</v>
      </c>
      <c r="AI5090">
        <v>95.923613119665603</v>
      </c>
      <c r="AJ5090">
        <v>87.909173507890898</v>
      </c>
      <c r="AK5090">
        <v>0.59441405846937101</v>
      </c>
      <c r="AL5090">
        <v>92.100247783022795</v>
      </c>
      <c r="AM5090">
        <v>98.011909293173403</v>
      </c>
      <c r="AN5090">
        <v>0.99999998823008995</v>
      </c>
    </row>
    <row r="5091" spans="1:40" x14ac:dyDescent="0.25">
      <c r="A5091" t="str">
        <f>"20190305135337429"</f>
        <v>20190305135337429</v>
      </c>
      <c r="B5091" t="str">
        <f>"1551765217425232"</f>
        <v>1551765217425232</v>
      </c>
      <c r="C5091" t="s">
        <v>40</v>
      </c>
      <c r="D5091">
        <v>4.7616509999999996</v>
      </c>
      <c r="E5091">
        <v>0.56301679999999998</v>
      </c>
      <c r="F5091" t="s">
        <v>41</v>
      </c>
      <c r="G5091">
        <v>-370.26839999999999</v>
      </c>
      <c r="H5091">
        <v>1.0419339999999999</v>
      </c>
      <c r="I5091">
        <v>16.84554</v>
      </c>
      <c r="J5091">
        <v>-370.95370000000003</v>
      </c>
      <c r="K5091">
        <v>1.111029</v>
      </c>
      <c r="L5091">
        <v>16.902560000000001</v>
      </c>
      <c r="M5091">
        <v>0.99882820000000005</v>
      </c>
      <c r="N5091">
        <v>-1.063645E-2</v>
      </c>
      <c r="O5091">
        <v>-4.7214079999999999E-2</v>
      </c>
      <c r="P5091">
        <v>0.9946256</v>
      </c>
      <c r="Q5091">
        <v>-4.6485430000000001E-2</v>
      </c>
      <c r="R5091">
        <v>9.2515520000000004E-2</v>
      </c>
      <c r="S5091">
        <v>3.024902</v>
      </c>
      <c r="T5091">
        <v>-0.2492549</v>
      </c>
      <c r="U5091">
        <v>-0.22689819999999999</v>
      </c>
      <c r="V5091">
        <v>-0.13918889999999901</v>
      </c>
      <c r="W5091">
        <v>-3.667517E-2</v>
      </c>
      <c r="X5091">
        <v>0.98958650000000004</v>
      </c>
      <c r="Y5091">
        <v>2.76473E-2</v>
      </c>
      <c r="Z5091">
        <v>2.091472E-3</v>
      </c>
      <c r="AA5091">
        <v>0.99961560000000005</v>
      </c>
      <c r="AB5091">
        <v>28</v>
      </c>
      <c r="AC5091">
        <v>0.68530000000003999</v>
      </c>
      <c r="AD5091">
        <v>-6.9095000000000101E-2</v>
      </c>
      <c r="AE5091">
        <v>-5.7020000000001403E-2</v>
      </c>
      <c r="AF5091">
        <v>2.4352906395103201E-2</v>
      </c>
      <c r="AG5091">
        <v>-6.9095000000000101E-2</v>
      </c>
      <c r="AH5091">
        <v>0.68035927282638198</v>
      </c>
      <c r="AI5091">
        <v>95.795199157595505</v>
      </c>
      <c r="AJ5091">
        <v>87.950019403692394</v>
      </c>
      <c r="AK5091">
        <v>0.68429227907067003</v>
      </c>
      <c r="AL5091">
        <v>92.101803749835398</v>
      </c>
      <c r="AM5091">
        <v>98.006335521382795</v>
      </c>
      <c r="AN5091">
        <v>1.00000002947999</v>
      </c>
    </row>
    <row r="5092" spans="1:40" x14ac:dyDescent="0.25">
      <c r="A5092" t="str">
        <f>"20190305135337447"</f>
        <v>20190305135337447</v>
      </c>
      <c r="B5092" t="str">
        <f>"1551765217434993"</f>
        <v>1551765217434993</v>
      </c>
      <c r="C5092" t="s">
        <v>40</v>
      </c>
      <c r="D5092">
        <v>4.7061099999999998</v>
      </c>
      <c r="E5092">
        <v>0.56311080000000002</v>
      </c>
      <c r="F5092" t="s">
        <v>41</v>
      </c>
      <c r="G5092">
        <v>-370.02190000000002</v>
      </c>
      <c r="H5092">
        <v>1.03394599999999</v>
      </c>
      <c r="I5092">
        <v>16.833469999999998</v>
      </c>
      <c r="J5092">
        <v>-370.72140000000002</v>
      </c>
      <c r="K5092">
        <v>1.1110679999999999</v>
      </c>
      <c r="L5092">
        <v>16.894010000000002</v>
      </c>
      <c r="M5092">
        <v>0.99894090000000002</v>
      </c>
      <c r="N5092">
        <v>-1.05735E-2</v>
      </c>
      <c r="O5092">
        <v>-4.4782780000000001E-2</v>
      </c>
      <c r="P5092">
        <v>0.99433700000000003</v>
      </c>
      <c r="Q5092">
        <v>-4.6890830000000001E-2</v>
      </c>
      <c r="R5092">
        <v>9.5369800000000005E-2</v>
      </c>
      <c r="S5092">
        <v>3.0253299999999999</v>
      </c>
      <c r="T5092">
        <v>-0.25041770000000002</v>
      </c>
      <c r="U5092">
        <v>-0.2236938</v>
      </c>
      <c r="V5092">
        <v>-0.1396135</v>
      </c>
      <c r="W5092">
        <v>-3.7160930000000002E-2</v>
      </c>
      <c r="X5092">
        <v>0.98950850000000001</v>
      </c>
      <c r="Y5092">
        <v>2.90061E-2</v>
      </c>
      <c r="Z5092">
        <v>1.869894E-3</v>
      </c>
      <c r="AA5092">
        <v>0.99957750000000001</v>
      </c>
      <c r="AB5092">
        <v>28</v>
      </c>
      <c r="AC5092">
        <v>0.69950000000000001</v>
      </c>
      <c r="AD5092">
        <v>-7.7122000000000093E-2</v>
      </c>
      <c r="AE5092">
        <v>-6.0539999999999601E-2</v>
      </c>
      <c r="AF5092">
        <v>2.8804418329149099E-2</v>
      </c>
      <c r="AG5092">
        <v>-7.7122000000000093E-2</v>
      </c>
      <c r="AH5092">
        <v>0.693146388973643</v>
      </c>
      <c r="AI5092">
        <v>96.343394909781296</v>
      </c>
      <c r="AJ5092">
        <v>87.620383515443194</v>
      </c>
      <c r="AK5092">
        <v>0.69801820459532604</v>
      </c>
      <c r="AL5092">
        <v>92.1296548645998</v>
      </c>
      <c r="AM5092">
        <v>98.031065725132507</v>
      </c>
      <c r="AN5092">
        <v>0.99999996783648104</v>
      </c>
    </row>
    <row r="5093" spans="1:40" x14ac:dyDescent="0.25">
      <c r="A5093" t="str">
        <f>"20190305135337460"</f>
        <v>20190305135337460</v>
      </c>
      <c r="B5093" t="str">
        <f>"1551765217455488"</f>
        <v>1551765217455488</v>
      </c>
      <c r="C5093" t="s">
        <v>40</v>
      </c>
      <c r="D5093">
        <v>4.7137989999999999</v>
      </c>
      <c r="E5093">
        <v>0.56332530000000003</v>
      </c>
      <c r="F5093" t="s">
        <v>41</v>
      </c>
      <c r="G5093">
        <v>-369.77179999999998</v>
      </c>
      <c r="H5093">
        <v>1.0319689999999999</v>
      </c>
      <c r="I5093">
        <v>16.8262</v>
      </c>
      <c r="J5093">
        <v>-370.55459999999999</v>
      </c>
      <c r="K5093">
        <v>1.111084</v>
      </c>
      <c r="L5093">
        <v>16.888310000000001</v>
      </c>
      <c r="M5093">
        <v>0.99901839999999997</v>
      </c>
      <c r="N5093">
        <v>-1.053258E-2</v>
      </c>
      <c r="O5093">
        <v>-4.3026750000000002E-2</v>
      </c>
      <c r="P5093">
        <v>0.99414349999999996</v>
      </c>
      <c r="Q5093">
        <v>-4.7167380000000002E-2</v>
      </c>
      <c r="R5093">
        <v>9.7232650000000004E-2</v>
      </c>
      <c r="S5093">
        <v>3.0258790000000002</v>
      </c>
      <c r="T5093">
        <v>-0.25218740000000001</v>
      </c>
      <c r="U5093">
        <v>-0.21569820000000001</v>
      </c>
      <c r="V5093">
        <v>-0.1397236</v>
      </c>
      <c r="W5093">
        <v>-3.7486279999999997E-2</v>
      </c>
      <c r="X5093">
        <v>0.98948069999999999</v>
      </c>
      <c r="Y5093">
        <v>2.8121799999999999E-2</v>
      </c>
      <c r="Z5093">
        <v>1.8039099999999999E-3</v>
      </c>
      <c r="AA5093">
        <v>0.99960289999999996</v>
      </c>
      <c r="AB5093">
        <v>28</v>
      </c>
      <c r="AC5093">
        <v>0.78280000000000804</v>
      </c>
      <c r="AD5093">
        <v>-7.9114999999999797E-2</v>
      </c>
      <c r="AE5093">
        <v>-6.2110000000000498E-2</v>
      </c>
      <c r="AF5093">
        <v>2.8084195865458801E-2</v>
      </c>
      <c r="AG5093">
        <v>-7.9114999999999797E-2</v>
      </c>
      <c r="AH5093">
        <v>0.77686193057632402</v>
      </c>
      <c r="AI5093">
        <v>95.811139262384103</v>
      </c>
      <c r="AJ5093">
        <v>87.929612187770104</v>
      </c>
      <c r="AK5093">
        <v>0.78138490160815299</v>
      </c>
      <c r="AL5093">
        <v>92.148309017297606</v>
      </c>
      <c r="AM5093">
        <v>98.037539205249502</v>
      </c>
      <c r="AN5093">
        <v>0.99999998062884399</v>
      </c>
    </row>
    <row r="5094" spans="1:40" x14ac:dyDescent="0.25">
      <c r="A5094" t="str">
        <f>"20190305135337482"</f>
        <v>20190305135337482</v>
      </c>
      <c r="B5094" t="str">
        <f>"1551765217475008"</f>
        <v>1551765217475008</v>
      </c>
      <c r="C5094" t="s">
        <v>40</v>
      </c>
      <c r="D5094">
        <v>4.686801</v>
      </c>
      <c r="E5094">
        <v>0.56357469999999998</v>
      </c>
      <c r="F5094" t="s">
        <v>41</v>
      </c>
      <c r="G5094">
        <v>-369.76409999999998</v>
      </c>
      <c r="H5094">
        <v>1.0449059999999999</v>
      </c>
      <c r="I5094">
        <v>16.83287</v>
      </c>
      <c r="J5094">
        <v>-370.27850000000001</v>
      </c>
      <c r="K5094">
        <v>1.111094</v>
      </c>
      <c r="L5094">
        <v>16.879460000000002</v>
      </c>
      <c r="M5094">
        <v>0.99914029999999998</v>
      </c>
      <c r="N5094">
        <v>-1.047061E-2</v>
      </c>
      <c r="O5094">
        <v>-4.011315E-2</v>
      </c>
      <c r="P5094">
        <v>0.99382879999999996</v>
      </c>
      <c r="Q5094">
        <v>-4.7115990000000003E-2</v>
      </c>
      <c r="R5094">
        <v>0.1004201</v>
      </c>
      <c r="S5094">
        <v>3.0263979999999999</v>
      </c>
      <c r="T5094">
        <v>-0.25345970000000001</v>
      </c>
      <c r="U5094">
        <v>-0.211731</v>
      </c>
      <c r="V5094">
        <v>-0.14000839999999901</v>
      </c>
      <c r="W5094">
        <v>-3.750672E-2</v>
      </c>
      <c r="X5094">
        <v>0.98943970000000003</v>
      </c>
      <c r="Y5094">
        <v>2.9707460000000002E-2</v>
      </c>
      <c r="Z5094">
        <v>1.5322339999999999E-3</v>
      </c>
      <c r="AA5094">
        <v>0.99955740000000004</v>
      </c>
      <c r="AB5094">
        <v>28</v>
      </c>
      <c r="AC5094">
        <v>0.51440000000002295</v>
      </c>
      <c r="AD5094">
        <v>-6.6188000000000094E-2</v>
      </c>
      <c r="AE5094">
        <v>-4.6590000000001901E-2</v>
      </c>
      <c r="AF5094">
        <v>2.5498443916231399E-2</v>
      </c>
      <c r="AG5094">
        <v>-6.6188000000000094E-2</v>
      </c>
      <c r="AH5094">
        <v>0.50752074128747204</v>
      </c>
      <c r="AI5094">
        <v>97.421002694740096</v>
      </c>
      <c r="AJ5094">
        <v>87.123810466428495</v>
      </c>
      <c r="AK5094">
        <v>0.51245324159686501</v>
      </c>
      <c r="AL5094">
        <v>92.149480897547306</v>
      </c>
      <c r="AM5094">
        <v>98.054036815264894</v>
      </c>
      <c r="AN5094">
        <v>1.0000000130258999</v>
      </c>
    </row>
    <row r="5095" spans="1:40" x14ac:dyDescent="0.25">
      <c r="A5095" t="str">
        <f>"20190305135337506"</f>
        <v>20190305135337506</v>
      </c>
      <c r="B5095" t="str">
        <f>"1551765217495504"</f>
        <v>1551765217495504</v>
      </c>
      <c r="C5095" t="s">
        <v>40</v>
      </c>
      <c r="D5095">
        <v>4.7548839999999997</v>
      </c>
      <c r="E5095">
        <v>0.56371870000000002</v>
      </c>
      <c r="F5095" t="s">
        <v>41</v>
      </c>
      <c r="G5095">
        <v>-369.51100000000002</v>
      </c>
      <c r="H5095">
        <v>1.0467200000000001</v>
      </c>
      <c r="I5095">
        <v>16.827729999999999</v>
      </c>
      <c r="J5095">
        <v>-369.98919999999998</v>
      </c>
      <c r="K5095">
        <v>1.111105</v>
      </c>
      <c r="L5095">
        <v>16.871029999999902</v>
      </c>
      <c r="M5095">
        <v>0.9992588</v>
      </c>
      <c r="N5095">
        <v>-1.041393E-2</v>
      </c>
      <c r="O5095">
        <v>-3.7061829999999997E-2</v>
      </c>
      <c r="P5095">
        <v>0.99352289999999999</v>
      </c>
      <c r="Q5095">
        <v>-4.7081909999999998E-2</v>
      </c>
      <c r="R5095">
        <v>0.103419899999999</v>
      </c>
      <c r="S5095">
        <v>3.0271910000000002</v>
      </c>
      <c r="T5095">
        <v>-0.25396049999999998</v>
      </c>
      <c r="U5095">
        <v>-0.20397950000000001</v>
      </c>
      <c r="V5095">
        <v>-0.1399725</v>
      </c>
      <c r="W5095">
        <v>-3.7533499999999997E-2</v>
      </c>
      <c r="X5095">
        <v>0.98944379999999998</v>
      </c>
      <c r="Y5095">
        <v>3.0184430000000002E-2</v>
      </c>
      <c r="Z5095">
        <v>1.2935069999999999E-3</v>
      </c>
      <c r="AA5095">
        <v>0.99954350000000003</v>
      </c>
      <c r="AB5095">
        <v>28</v>
      </c>
      <c r="AC5095">
        <v>0.478200000000015</v>
      </c>
      <c r="AD5095">
        <v>-6.4384999999999901E-2</v>
      </c>
      <c r="AE5095">
        <v>-4.3299999999998499E-2</v>
      </c>
      <c r="AF5095">
        <v>2.5095097191642001E-2</v>
      </c>
      <c r="AG5095">
        <v>-6.4384999999999901E-2</v>
      </c>
      <c r="AH5095">
        <v>0.47100730193527202</v>
      </c>
      <c r="AI5095">
        <v>97.772992975894297</v>
      </c>
      <c r="AJ5095">
        <v>86.950185447643193</v>
      </c>
      <c r="AK5095">
        <v>0.47604944134449101</v>
      </c>
      <c r="AL5095">
        <v>92.151016282529199</v>
      </c>
      <c r="AM5095">
        <v>98.0519658133625</v>
      </c>
      <c r="AN5095">
        <v>1.0000000488684599</v>
      </c>
    </row>
    <row r="5096" spans="1:40" x14ac:dyDescent="0.25">
      <c r="A5096" t="str">
        <f>"20190305135337526"</f>
        <v>20190305135337526</v>
      </c>
      <c r="B5096" t="str">
        <f>"1551765217515027"</f>
        <v>1551765217515027</v>
      </c>
      <c r="C5096" t="s">
        <v>40</v>
      </c>
      <c r="D5096">
        <v>4.7186510000000004</v>
      </c>
      <c r="E5096">
        <v>0.56396440000000003</v>
      </c>
      <c r="F5096" t="s">
        <v>41</v>
      </c>
      <c r="G5096">
        <v>-369.01819999999998</v>
      </c>
      <c r="H5096">
        <v>1.0292749999999999</v>
      </c>
      <c r="I5096">
        <v>16.808239999999898</v>
      </c>
      <c r="J5096">
        <v>-369.7328</v>
      </c>
      <c r="K5096">
        <v>1.111105</v>
      </c>
      <c r="L5096">
        <v>16.864350000000002</v>
      </c>
      <c r="M5096">
        <v>0.99935560000000001</v>
      </c>
      <c r="N5096">
        <v>-1.0370829999999999E-2</v>
      </c>
      <c r="O5096">
        <v>-3.4365220000000002E-2</v>
      </c>
      <c r="P5096">
        <v>0.99323119999999998</v>
      </c>
      <c r="Q5096">
        <v>-4.7114250000000003E-2</v>
      </c>
      <c r="R5096">
        <v>0.106169899999999</v>
      </c>
      <c r="S5096">
        <v>3.0278320000000001</v>
      </c>
      <c r="T5096">
        <v>-0.25511</v>
      </c>
      <c r="U5096">
        <v>-0.19592290000000001</v>
      </c>
      <c r="V5096">
        <v>-0.1400409</v>
      </c>
      <c r="W5096">
        <v>-3.7611440000000003E-2</v>
      </c>
      <c r="X5096">
        <v>0.98943110000000001</v>
      </c>
      <c r="Y5096">
        <v>3.0212159999999998E-2</v>
      </c>
      <c r="Z5096">
        <v>1.1041239999999999E-3</v>
      </c>
      <c r="AA5096">
        <v>0.99954290000000001</v>
      </c>
      <c r="AB5096">
        <v>28</v>
      </c>
      <c r="AC5096">
        <v>0.714600000000018</v>
      </c>
      <c r="AD5096">
        <v>-8.183E-2</v>
      </c>
      <c r="AE5096">
        <v>-5.6110000000003803E-2</v>
      </c>
      <c r="AF5096">
        <v>3.1112671565997899E-2</v>
      </c>
      <c r="AG5096">
        <v>-8.183E-2</v>
      </c>
      <c r="AH5096">
        <v>0.70689357298643796</v>
      </c>
      <c r="AI5096">
        <v>96.596838996641594</v>
      </c>
      <c r="AJ5096">
        <v>87.479853976628405</v>
      </c>
      <c r="AK5096">
        <v>0.71229394968756099</v>
      </c>
      <c r="AL5096">
        <v>92.155485202298493</v>
      </c>
      <c r="AM5096">
        <v>98.0559509521336</v>
      </c>
      <c r="AN5096">
        <v>0.99999998786944599</v>
      </c>
    </row>
    <row r="5097" spans="1:40" x14ac:dyDescent="0.25">
      <c r="A5097" t="str">
        <f>"20190305135337547"</f>
        <v>20190305135337547</v>
      </c>
      <c r="B5097" t="str">
        <f>"1551765217534984"</f>
        <v>1551765217534984</v>
      </c>
      <c r="C5097" t="s">
        <v>40</v>
      </c>
      <c r="D5097">
        <v>4.7324840000000004</v>
      </c>
      <c r="E5097">
        <v>0.564245199999999</v>
      </c>
      <c r="F5097" t="s">
        <v>41</v>
      </c>
      <c r="G5097">
        <v>-368.76580000000001</v>
      </c>
      <c r="H5097">
        <v>1.0292829999999999</v>
      </c>
      <c r="I5097">
        <v>16.803719999999998</v>
      </c>
      <c r="J5097">
        <v>-369.4606</v>
      </c>
      <c r="K5097">
        <v>1.111105</v>
      </c>
      <c r="L5097">
        <v>16.858000000000001</v>
      </c>
      <c r="M5097">
        <v>0.9994499</v>
      </c>
      <c r="N5097">
        <v>-1.033134E-2</v>
      </c>
      <c r="O5097">
        <v>-3.1511879999999999E-2</v>
      </c>
      <c r="P5097">
        <v>0.99284819999999996</v>
      </c>
      <c r="Q5097">
        <v>-4.7964960000000001E-2</v>
      </c>
      <c r="R5097">
        <v>0.10932459999999999</v>
      </c>
      <c r="S5097">
        <v>3.0285030000000002</v>
      </c>
      <c r="T5097">
        <v>-0.25634879999999999</v>
      </c>
      <c r="U5097">
        <v>-0.18936159999999999</v>
      </c>
      <c r="V5097">
        <v>-0.1403527</v>
      </c>
      <c r="W5097">
        <v>-3.8505669999999999E-2</v>
      </c>
      <c r="X5097">
        <v>0.98935249999999997</v>
      </c>
      <c r="Y5097">
        <v>3.0884410000000001E-2</v>
      </c>
      <c r="Z5097">
        <v>8.7061440000000005E-4</v>
      </c>
      <c r="AA5097">
        <v>0.99952260000000004</v>
      </c>
      <c r="AB5097">
        <v>28</v>
      </c>
      <c r="AC5097">
        <v>0.69479999999998598</v>
      </c>
      <c r="AD5097">
        <v>-8.1822000000000006E-2</v>
      </c>
      <c r="AE5097">
        <v>-5.4279999999998503E-2</v>
      </c>
      <c r="AF5097">
        <v>3.1917462783404897E-2</v>
      </c>
      <c r="AG5097">
        <v>-8.1822000000000006E-2</v>
      </c>
      <c r="AH5097">
        <v>0.68669993410624597</v>
      </c>
      <c r="AI5097">
        <v>96.787639238747303</v>
      </c>
      <c r="AJ5097">
        <v>87.338836622963299</v>
      </c>
      <c r="AK5097">
        <v>0.692293553065499</v>
      </c>
      <c r="AL5097">
        <v>92.206757999675105</v>
      </c>
      <c r="AM5097">
        <v>98.0742841912366</v>
      </c>
      <c r="AN5097">
        <v>0.99999996813784298</v>
      </c>
    </row>
    <row r="5098" spans="1:40" x14ac:dyDescent="0.25">
      <c r="A5098" t="str">
        <f>"20190305135337560"</f>
        <v>20190305135337560</v>
      </c>
      <c r="B5098" t="str">
        <f>"1551765217555477"</f>
        <v>1551765217555477</v>
      </c>
      <c r="C5098" t="s">
        <v>40</v>
      </c>
      <c r="D5098">
        <v>4.7292449999999997</v>
      </c>
      <c r="E5098">
        <v>0.56452349999999996</v>
      </c>
      <c r="F5098" t="s">
        <v>41</v>
      </c>
      <c r="G5098">
        <v>-368.51280000000003</v>
      </c>
      <c r="H5098">
        <v>1.030038</v>
      </c>
      <c r="I5098">
        <v>16.801010000000002</v>
      </c>
      <c r="J5098">
        <v>-369.29570000000001</v>
      </c>
      <c r="K5098">
        <v>1.111103</v>
      </c>
      <c r="L5098">
        <v>16.85455</v>
      </c>
      <c r="M5098">
        <v>0.99950300000000003</v>
      </c>
      <c r="N5098">
        <v>-1.0310160000000001E-2</v>
      </c>
      <c r="O5098">
        <v>-2.9790460000000001E-2</v>
      </c>
      <c r="P5098">
        <v>0.99260959999999998</v>
      </c>
      <c r="Q5098">
        <v>-4.8417269999999998E-2</v>
      </c>
      <c r="R5098">
        <v>0.1112737</v>
      </c>
      <c r="S5098">
        <v>3.0291139999999999</v>
      </c>
      <c r="T5098">
        <v>-0.25913140000000001</v>
      </c>
      <c r="U5098">
        <v>-0.18197630000000001</v>
      </c>
      <c r="V5098">
        <v>-0.1405874</v>
      </c>
      <c r="W5098">
        <v>-3.8981769999999999E-2</v>
      </c>
      <c r="X5098">
        <v>0.98930050000000003</v>
      </c>
      <c r="Y5098">
        <v>3.0163349999999998E-2</v>
      </c>
      <c r="Z5098">
        <v>7.9158029999999995E-4</v>
      </c>
      <c r="AA5098">
        <v>0.99954469999999995</v>
      </c>
      <c r="AB5098">
        <v>28</v>
      </c>
      <c r="AC5098">
        <v>0.78289999999998305</v>
      </c>
      <c r="AD5098">
        <v>-8.1065000000000095E-2</v>
      </c>
      <c r="AE5098">
        <v>-5.3539999999998103E-2</v>
      </c>
      <c r="AF5098">
        <v>2.9873249832992999E-2</v>
      </c>
      <c r="AG5098">
        <v>-8.1065000000000095E-2</v>
      </c>
      <c r="AH5098">
        <v>0.77586783251309199</v>
      </c>
      <c r="AI5098">
        <v>95.960407939159097</v>
      </c>
      <c r="AJ5098">
        <v>87.795028992458796</v>
      </c>
      <c r="AK5098">
        <v>0.78066307637107302</v>
      </c>
      <c r="AL5098">
        <v>92.234057086855699</v>
      </c>
      <c r="AM5098">
        <v>98.088027125855305</v>
      </c>
      <c r="AN5098">
        <v>0.99999993736566894</v>
      </c>
    </row>
    <row r="5099" spans="1:40" x14ac:dyDescent="0.25">
      <c r="A5099" t="str">
        <f>"20190305135337572"</f>
        <v>20190305135337572</v>
      </c>
      <c r="B5099" t="str">
        <f>"1551765217565238"</f>
        <v>1551765217565238</v>
      </c>
      <c r="C5099" t="s">
        <v>40</v>
      </c>
      <c r="D5099">
        <v>5.4826489999999897</v>
      </c>
      <c r="E5099">
        <v>0.56452349999999996</v>
      </c>
      <c r="F5099" t="s">
        <v>41</v>
      </c>
      <c r="G5099">
        <v>-368.5059</v>
      </c>
      <c r="H5099">
        <v>1.0432140000000001</v>
      </c>
      <c r="I5099">
        <v>16.808019999999999</v>
      </c>
      <c r="J5099">
        <v>-369.14389999999997</v>
      </c>
      <c r="K5099">
        <v>1.1111009999999999</v>
      </c>
      <c r="L5099">
        <v>16.85162</v>
      </c>
      <c r="M5099">
        <v>0.99954909999999997</v>
      </c>
      <c r="N5099">
        <v>-1.029216E-2</v>
      </c>
      <c r="O5099">
        <v>-2.820721E-2</v>
      </c>
      <c r="P5099">
        <v>0.99237229999999998</v>
      </c>
      <c r="Q5099">
        <v>-4.8743090000000003E-2</v>
      </c>
      <c r="R5099">
        <v>0.11323080000000001</v>
      </c>
      <c r="S5099">
        <v>3.029633</v>
      </c>
      <c r="T5099">
        <v>-0.26049909999999998</v>
      </c>
      <c r="U5099">
        <v>-0.17828369999999999</v>
      </c>
      <c r="V5099">
        <v>-0.14096810000000001</v>
      </c>
      <c r="W5099">
        <v>-3.9329070000000001E-2</v>
      </c>
      <c r="X5099">
        <v>0.98923269999999996</v>
      </c>
      <c r="Y5099">
        <v>3.0516270000000002E-2</v>
      </c>
      <c r="Z5099">
        <v>6.6247110000000001E-4</v>
      </c>
      <c r="AA5099">
        <v>0.99953409999999998</v>
      </c>
      <c r="AB5099">
        <v>28</v>
      </c>
      <c r="AC5099">
        <v>0.63799999999997603</v>
      </c>
      <c r="AD5099">
        <v>-6.7887000000000197E-2</v>
      </c>
      <c r="AE5099">
        <v>-4.35999999999978E-2</v>
      </c>
      <c r="AF5099">
        <v>2.53003712275481E-2</v>
      </c>
      <c r="AG5099">
        <v>-6.7887000000000197E-2</v>
      </c>
      <c r="AH5099">
        <v>0.63185525689085298</v>
      </c>
      <c r="AI5099">
        <v>96.127504294555195</v>
      </c>
      <c r="AJ5099">
        <v>87.707021511087206</v>
      </c>
      <c r="AK5099">
        <v>0.63599514087283604</v>
      </c>
      <c r="AL5099">
        <v>92.253970912179199</v>
      </c>
      <c r="AM5099">
        <v>98.110186354302499</v>
      </c>
      <c r="AN5099">
        <v>1.0000000578569801</v>
      </c>
    </row>
    <row r="5100" spans="1:40" x14ac:dyDescent="0.25">
      <c r="A5100" t="str">
        <f>"20190305135337584"</f>
        <v>20190305135337584</v>
      </c>
      <c r="B5100" t="str">
        <f>"1551765217574998"</f>
        <v>1551765217574998</v>
      </c>
      <c r="C5100" t="s">
        <v>40</v>
      </c>
      <c r="D5100">
        <v>4.7406309999999996</v>
      </c>
      <c r="E5100">
        <v>0.56470299999999995</v>
      </c>
      <c r="F5100" t="s">
        <v>41</v>
      </c>
      <c r="G5100">
        <v>-368.25740000000002</v>
      </c>
      <c r="H5100">
        <v>1.0346839999999999</v>
      </c>
      <c r="I5100">
        <v>16.801089999999999</v>
      </c>
      <c r="J5100">
        <v>-368.9819</v>
      </c>
      <c r="K5100">
        <v>1.1111</v>
      </c>
      <c r="L5100">
        <v>16.848659999999999</v>
      </c>
      <c r="M5100">
        <v>0.99959560000000003</v>
      </c>
      <c r="N5100">
        <v>-1.027409E-2</v>
      </c>
      <c r="O5100">
        <v>-2.6519419999999998E-2</v>
      </c>
      <c r="P5100">
        <v>0.99218130000000004</v>
      </c>
      <c r="Q5100">
        <v>-4.8693090000000001E-2</v>
      </c>
      <c r="R5100">
        <v>0.114915</v>
      </c>
      <c r="S5100">
        <v>3.0299070000000001</v>
      </c>
      <c r="T5100">
        <v>-0.26127719999999999</v>
      </c>
      <c r="U5100">
        <v>-0.17233280000000001</v>
      </c>
      <c r="V5100">
        <v>-0.1409772</v>
      </c>
      <c r="W5100">
        <v>-3.9297899999999997E-2</v>
      </c>
      <c r="X5100">
        <v>0.98923260000000002</v>
      </c>
      <c r="Y5100">
        <v>3.0238299999999999E-2</v>
      </c>
      <c r="Z5100">
        <v>5.5216960000000002E-4</v>
      </c>
      <c r="AA5100">
        <v>0.99954259999999995</v>
      </c>
      <c r="AB5100">
        <v>28</v>
      </c>
      <c r="AC5100">
        <v>0.72449999999997705</v>
      </c>
      <c r="AD5100">
        <v>-7.6415999999999998E-2</v>
      </c>
      <c r="AE5100">
        <v>-4.75700000000003E-2</v>
      </c>
      <c r="AF5100">
        <v>2.8028463502245499E-2</v>
      </c>
      <c r="AG5100">
        <v>-7.6415999999999998E-2</v>
      </c>
      <c r="AH5100">
        <v>0.71755834123878903</v>
      </c>
      <c r="AI5100">
        <v>96.074175791507898</v>
      </c>
      <c r="AJ5100">
        <v>87.7631133558328</v>
      </c>
      <c r="AK5100">
        <v>0.72215993582007798</v>
      </c>
      <c r="AL5100">
        <v>92.252183714581193</v>
      </c>
      <c r="AM5100">
        <v>98.110703739210095</v>
      </c>
      <c r="AN5100">
        <v>1.0000000163834999</v>
      </c>
    </row>
    <row r="5101" spans="1:40" x14ac:dyDescent="0.25">
      <c r="A5101" t="str">
        <f>"20190305135337597"</f>
        <v>20190305135337597</v>
      </c>
      <c r="B5101" t="str">
        <f>"1551765217584758"</f>
        <v>1551765217584758</v>
      </c>
      <c r="C5101" t="s">
        <v>40</v>
      </c>
      <c r="D5101">
        <v>4.6984250000000003</v>
      </c>
      <c r="E5101">
        <v>0.56491709999999995</v>
      </c>
      <c r="F5101" t="s">
        <v>41</v>
      </c>
      <c r="G5101">
        <v>-368.2484</v>
      </c>
      <c r="H5101">
        <v>1.0479400000000001</v>
      </c>
      <c r="I5101">
        <v>16.807739999999999</v>
      </c>
      <c r="J5101">
        <v>-368.83359999999999</v>
      </c>
      <c r="K5101">
        <v>1.1110979999999999</v>
      </c>
      <c r="L5101">
        <v>16.846339999999898</v>
      </c>
      <c r="M5101">
        <v>0.99963539999999995</v>
      </c>
      <c r="N5101">
        <v>-1.025977E-2</v>
      </c>
      <c r="O5101">
        <v>-2.4977429999999998E-2</v>
      </c>
      <c r="P5101">
        <v>0.99201019999999895</v>
      </c>
      <c r="Q5101">
        <v>-4.8560619999999999E-2</v>
      </c>
      <c r="R5101">
        <v>0.11643870000000001</v>
      </c>
      <c r="S5101">
        <v>3.0303339999999999</v>
      </c>
      <c r="T5101">
        <v>-0.2610112</v>
      </c>
      <c r="U5101">
        <v>-0.16864009999999999</v>
      </c>
      <c r="V5101">
        <v>-0.14097079999999901</v>
      </c>
      <c r="W5101">
        <v>-3.918029E-2</v>
      </c>
      <c r="X5101">
        <v>0.98923810000000001</v>
      </c>
      <c r="Y5101">
        <v>3.055244E-2</v>
      </c>
      <c r="Z5101">
        <v>4.1996889999999998E-4</v>
      </c>
      <c r="AA5101">
        <v>0.99953309999999995</v>
      </c>
      <c r="AB5101">
        <v>28</v>
      </c>
      <c r="AC5101">
        <v>0.58519999999998595</v>
      </c>
      <c r="AD5101">
        <v>-6.3158000000000006E-2</v>
      </c>
      <c r="AE5101">
        <v>-3.8599999999998802E-2</v>
      </c>
      <c r="AF5101">
        <v>2.3695586725867801E-2</v>
      </c>
      <c r="AG5101">
        <v>-6.3158000000000006E-2</v>
      </c>
      <c r="AH5101">
        <v>0.57926360344236205</v>
      </c>
      <c r="AI5101">
        <v>96.217308313006498</v>
      </c>
      <c r="AJ5101">
        <v>87.657542105422706</v>
      </c>
      <c r="AK5101">
        <v>0.58317813407852803</v>
      </c>
      <c r="AL5101">
        <v>92.245440135886298</v>
      </c>
      <c r="AM5101">
        <v>98.110295940950294</v>
      </c>
      <c r="AN5101">
        <v>0.99999994003436499</v>
      </c>
    </row>
    <row r="5102" spans="1:40" x14ac:dyDescent="0.25">
      <c r="A5102" t="str">
        <f>"20190305135337615"</f>
        <v>20190305135337615</v>
      </c>
      <c r="B5102" t="str">
        <f>"1551765217605253"</f>
        <v>1551765217605253</v>
      </c>
      <c r="C5102" t="s">
        <v>40</v>
      </c>
      <c r="D5102">
        <v>4.7581619999999996</v>
      </c>
      <c r="E5102">
        <v>0.56511559999999905</v>
      </c>
      <c r="F5102" t="s">
        <v>41</v>
      </c>
      <c r="G5102">
        <v>-368.0016</v>
      </c>
      <c r="H5102">
        <v>1.039763</v>
      </c>
      <c r="I5102">
        <v>16.800709999999999</v>
      </c>
      <c r="J5102">
        <v>-368.59620000000001</v>
      </c>
      <c r="K5102">
        <v>1.1111</v>
      </c>
      <c r="L5102">
        <v>16.84299</v>
      </c>
      <c r="M5102">
        <v>0.99969430000000004</v>
      </c>
      <c r="N5102">
        <v>-1.023871E-2</v>
      </c>
      <c r="O5102">
        <v>-2.2509660000000001E-2</v>
      </c>
      <c r="P5102">
        <v>0.99182859999999995</v>
      </c>
      <c r="Q5102">
        <v>-4.7971470000000002E-2</v>
      </c>
      <c r="R5102">
        <v>0.1182163</v>
      </c>
      <c r="S5102">
        <v>3.0309140000000001</v>
      </c>
      <c r="T5102">
        <v>-0.26000240000000002</v>
      </c>
      <c r="U5102">
        <v>-0.16571040000000001</v>
      </c>
      <c r="V5102">
        <v>-0.1403055</v>
      </c>
      <c r="W5102">
        <v>-3.860831E-2</v>
      </c>
      <c r="X5102">
        <v>0.98935519999999999</v>
      </c>
      <c r="Y5102">
        <v>3.2033319999999997E-2</v>
      </c>
      <c r="Z5102">
        <v>1.607054E-4</v>
      </c>
      <c r="AA5102">
        <v>0.99948680000000001</v>
      </c>
      <c r="AB5102">
        <v>28</v>
      </c>
      <c r="AC5102">
        <v>0.59460000000001401</v>
      </c>
      <c r="AD5102">
        <v>-7.13369999999999E-2</v>
      </c>
      <c r="AE5102">
        <v>-4.2279999999998097E-2</v>
      </c>
      <c r="AF5102">
        <v>2.8476514789844701E-2</v>
      </c>
      <c r="AG5102">
        <v>-7.13369999999999E-2</v>
      </c>
      <c r="AH5102">
        <v>0.58699442518571299</v>
      </c>
      <c r="AI5102">
        <v>96.921073886356197</v>
      </c>
      <c r="AJ5102">
        <v>87.222621043106301</v>
      </c>
      <c r="AK5102">
        <v>0.59199859346343198</v>
      </c>
      <c r="AL5102">
        <v>92.212643203367705</v>
      </c>
      <c r="AM5102">
        <v>98.071582896735606</v>
      </c>
      <c r="AN5102">
        <v>0.99999997334917201</v>
      </c>
    </row>
    <row r="5103" spans="1:40" x14ac:dyDescent="0.25">
      <c r="A5103" t="str">
        <f>"20190305135337628"</f>
        <v>20190305135337628</v>
      </c>
      <c r="B5103" t="str">
        <f>"1551765217625749"</f>
        <v>1551765217625749</v>
      </c>
      <c r="C5103" t="s">
        <v>40</v>
      </c>
      <c r="D5103">
        <v>4.7623150000000001</v>
      </c>
      <c r="E5103">
        <v>0.5770305</v>
      </c>
      <c r="F5103" t="s">
        <v>41</v>
      </c>
      <c r="G5103">
        <v>-367.74860000000001</v>
      </c>
      <c r="H5103">
        <v>1.0389269999999999</v>
      </c>
      <c r="I5103">
        <v>16.797470000000001</v>
      </c>
      <c r="J5103">
        <v>-368.4366</v>
      </c>
      <c r="K5103">
        <v>1.111102</v>
      </c>
      <c r="L5103">
        <v>16.84103</v>
      </c>
      <c r="M5103">
        <v>0.99973020000000001</v>
      </c>
      <c r="N5103">
        <v>-1.0225969999999999E-2</v>
      </c>
      <c r="O5103">
        <v>-2.08518E-2</v>
      </c>
      <c r="P5103">
        <v>0.99168690000000004</v>
      </c>
      <c r="Q5103">
        <v>-4.8030730000000001E-2</v>
      </c>
      <c r="R5103">
        <v>0.1193732</v>
      </c>
      <c r="S5103">
        <v>3.0315249999999998</v>
      </c>
      <c r="T5103">
        <v>-0.25839709999999999</v>
      </c>
      <c r="U5103">
        <v>-0.1618347</v>
      </c>
      <c r="V5103">
        <v>-0.13981769999999999</v>
      </c>
      <c r="W5103">
        <v>-3.8677620000000003E-2</v>
      </c>
      <c r="X5103">
        <v>0.98942149999999995</v>
      </c>
      <c r="Y5103">
        <v>3.2400289999999998E-2</v>
      </c>
      <c r="Z5103" s="1">
        <v>1.6245870000000001E-5</v>
      </c>
      <c r="AA5103">
        <v>0.999475</v>
      </c>
      <c r="AB5103">
        <v>28</v>
      </c>
      <c r="AC5103">
        <v>0.68799999999998795</v>
      </c>
      <c r="AD5103">
        <v>-7.21750000000001E-2</v>
      </c>
      <c r="AE5103">
        <v>-4.3559999999999301E-2</v>
      </c>
      <c r="AF5103">
        <v>2.8887100279152499E-2</v>
      </c>
      <c r="AG5103">
        <v>-7.21750000000001E-2</v>
      </c>
      <c r="AH5103">
        <v>0.68129096341264195</v>
      </c>
      <c r="AI5103">
        <v>96.041889806419903</v>
      </c>
      <c r="AJ5103">
        <v>87.572082661853599</v>
      </c>
      <c r="AK5103">
        <v>0.68571209119809395</v>
      </c>
      <c r="AL5103">
        <v>92.216617447112597</v>
      </c>
      <c r="AM5103">
        <v>98.043356391756404</v>
      </c>
      <c r="AN5103">
        <v>0.99999992609219901</v>
      </c>
    </row>
    <row r="5104" spans="1:40" x14ac:dyDescent="0.25">
      <c r="A5104" t="str">
        <f>"20190305135337641"</f>
        <v>20190305135337641</v>
      </c>
      <c r="B5104" t="str">
        <f>"1551765217635511"</f>
        <v>1551765217635511</v>
      </c>
      <c r="C5104" t="s">
        <v>40</v>
      </c>
      <c r="D5104">
        <v>4.7638179999999997</v>
      </c>
      <c r="E5104">
        <v>0.577399199999999</v>
      </c>
      <c r="F5104" t="s">
        <v>41</v>
      </c>
      <c r="G5104">
        <v>-367.50080000000003</v>
      </c>
      <c r="H5104">
        <v>1.0283370000000001</v>
      </c>
      <c r="I5104">
        <v>16.763200000000001</v>
      </c>
      <c r="J5104">
        <v>-368.27210000000002</v>
      </c>
      <c r="K5104">
        <v>1.111102</v>
      </c>
      <c r="L5104">
        <v>16.839320000000001</v>
      </c>
      <c r="M5104">
        <v>0.9997646</v>
      </c>
      <c r="N5104">
        <v>-1.0214320000000001E-2</v>
      </c>
      <c r="O5104">
        <v>-1.9144479999999998E-2</v>
      </c>
      <c r="P5104">
        <v>0.99153409999999997</v>
      </c>
      <c r="Q5104">
        <v>-4.785242E-2</v>
      </c>
      <c r="R5104">
        <v>0.12070739999999899</v>
      </c>
      <c r="S5104">
        <v>3.0425420000000001</v>
      </c>
      <c r="T5104">
        <v>-0.26910289999999998</v>
      </c>
      <c r="U5104">
        <v>-0.2527161</v>
      </c>
      <c r="V5104">
        <v>-0.13946049999999999</v>
      </c>
      <c r="W5104">
        <v>-3.8509059999999998E-2</v>
      </c>
      <c r="X5104">
        <v>0.98947850000000004</v>
      </c>
      <c r="Y5104">
        <v>6.346425E-2</v>
      </c>
      <c r="Z5104">
        <v>-1.6299979999999999E-3</v>
      </c>
      <c r="AA5104">
        <v>0.99798279999999995</v>
      </c>
      <c r="AB5104">
        <v>28</v>
      </c>
      <c r="AC5104">
        <v>0.77129999999999599</v>
      </c>
      <c r="AD5104">
        <v>-8.2764999999999894E-2</v>
      </c>
      <c r="AE5104">
        <v>-7.6119999999999494E-2</v>
      </c>
      <c r="AF5104">
        <v>6.0647547886457202E-2</v>
      </c>
      <c r="AG5104">
        <v>-8.2764999999999894E-2</v>
      </c>
      <c r="AH5104">
        <v>0.76390481009724198</v>
      </c>
      <c r="AI5104">
        <v>96.164324739465499</v>
      </c>
      <c r="AJ5104">
        <v>85.460723242696204</v>
      </c>
      <c r="AK5104">
        <v>0.77076502851345297</v>
      </c>
      <c r="AL5104">
        <v>92.206952437869703</v>
      </c>
      <c r="AM5104">
        <v>98.022619324386795</v>
      </c>
      <c r="AN5104">
        <v>0.99999994036229001</v>
      </c>
    </row>
    <row r="5105" spans="1:40" x14ac:dyDescent="0.25">
      <c r="A5105" t="str">
        <f>"20190305135337660"</f>
        <v>20190305135337660</v>
      </c>
      <c r="B5105" t="str">
        <f>"1551765217655029"</f>
        <v>1551765217655029</v>
      </c>
      <c r="C5105" t="s">
        <v>40</v>
      </c>
      <c r="D5105">
        <v>4.7395250000000004</v>
      </c>
      <c r="E5105">
        <v>0.57808890000000002</v>
      </c>
      <c r="F5105" t="s">
        <v>41</v>
      </c>
      <c r="G5105">
        <v>-367.4932</v>
      </c>
      <c r="H5105">
        <v>1.0431469999999901</v>
      </c>
      <c r="I5105">
        <v>16.774840000000001</v>
      </c>
      <c r="J5105">
        <v>-368.0342</v>
      </c>
      <c r="K5105">
        <v>1.1111009999999999</v>
      </c>
      <c r="L5105">
        <v>16.83737</v>
      </c>
      <c r="M5105">
        <v>0.99980899999999995</v>
      </c>
      <c r="N5105">
        <v>-1.019929E-2</v>
      </c>
      <c r="O5105">
        <v>-1.6678399999999999E-2</v>
      </c>
      <c r="P5105">
        <v>0.99128879999999997</v>
      </c>
      <c r="Q5105">
        <v>-4.8357509999999999E-2</v>
      </c>
      <c r="R5105">
        <v>0.1225078</v>
      </c>
      <c r="S5105">
        <v>3.0434269999999999</v>
      </c>
      <c r="T5105">
        <v>-0.26553179999999998</v>
      </c>
      <c r="U5105">
        <v>-0.25155640000000001</v>
      </c>
      <c r="V5105">
        <v>-0.13881370000000001</v>
      </c>
      <c r="W5105">
        <v>-3.9025299999999999E-2</v>
      </c>
      <c r="X5105">
        <v>0.98954929999999997</v>
      </c>
      <c r="Y5105">
        <v>6.5513489999999994E-2</v>
      </c>
      <c r="Z5105">
        <v>-1.9030200000000001E-3</v>
      </c>
      <c r="AA5105">
        <v>0.99784989999999996</v>
      </c>
      <c r="AB5105">
        <v>28</v>
      </c>
      <c r="AC5105">
        <v>0.54099999999999604</v>
      </c>
      <c r="AD5105">
        <v>-6.7954000000000195E-2</v>
      </c>
      <c r="AE5105">
        <v>-6.2529999999998795E-2</v>
      </c>
      <c r="AF5105">
        <v>5.2677658900673302E-2</v>
      </c>
      <c r="AG5105">
        <v>-6.7954000000000195E-2</v>
      </c>
      <c r="AH5105">
        <v>0.53365894322784202</v>
      </c>
      <c r="AI5105">
        <v>97.222036333296202</v>
      </c>
      <c r="AJ5105">
        <v>84.362576298890801</v>
      </c>
      <c r="AK5105">
        <v>0.54054097860413197</v>
      </c>
      <c r="AL5105">
        <v>92.2365528928256</v>
      </c>
      <c r="AM5105">
        <v>97.985328551468896</v>
      </c>
      <c r="AN5105">
        <v>1.0000000172391299</v>
      </c>
    </row>
    <row r="5106" spans="1:40" x14ac:dyDescent="0.25">
      <c r="A5106" t="str">
        <f>"20190305135337684"</f>
        <v>20190305135337684</v>
      </c>
      <c r="B5106" t="str">
        <f>"1551765217675526"</f>
        <v>1551765217675526</v>
      </c>
      <c r="C5106" t="s">
        <v>40</v>
      </c>
      <c r="D5106">
        <v>4.7759530000000003</v>
      </c>
      <c r="E5106">
        <v>0.57871510000000004</v>
      </c>
      <c r="F5106" t="s">
        <v>41</v>
      </c>
      <c r="G5106">
        <v>-367.23950000000002</v>
      </c>
      <c r="H5106">
        <v>1.0421129999999901</v>
      </c>
      <c r="I5106">
        <v>16.77131</v>
      </c>
      <c r="J5106">
        <v>-367.72669999999999</v>
      </c>
      <c r="K5106">
        <v>1.1110869999999999</v>
      </c>
      <c r="L5106">
        <v>16.835599999999999</v>
      </c>
      <c r="M5106">
        <v>0.99985679999999999</v>
      </c>
      <c r="N5106">
        <v>-1.018237E-2</v>
      </c>
      <c r="O5106">
        <v>-1.351775E-2</v>
      </c>
      <c r="P5106">
        <v>0.99087729999999996</v>
      </c>
      <c r="Q5106">
        <v>-4.8961129999999999E-2</v>
      </c>
      <c r="R5106">
        <v>0.12555999999999901</v>
      </c>
      <c r="S5106">
        <v>3.0445250000000001</v>
      </c>
      <c r="T5106">
        <v>-0.26460739999999999</v>
      </c>
      <c r="U5106">
        <v>-0.25161739999999999</v>
      </c>
      <c r="V5106">
        <v>-0.1387301</v>
      </c>
      <c r="W5106">
        <v>-3.9642299999999998E-2</v>
      </c>
      <c r="X5106">
        <v>0.98953650000000004</v>
      </c>
      <c r="Y5106">
        <v>6.8637130000000005E-2</v>
      </c>
      <c r="Z5106">
        <v>-2.2895720000000001E-3</v>
      </c>
      <c r="AA5106">
        <v>0.9976391</v>
      </c>
      <c r="AB5106">
        <v>29</v>
      </c>
      <c r="AC5106">
        <v>0.48719999999997199</v>
      </c>
      <c r="AD5106">
        <v>-6.8974000000000299E-2</v>
      </c>
      <c r="AE5106">
        <v>-6.4289999999999695E-2</v>
      </c>
      <c r="AF5106">
        <v>5.6583264366551901E-2</v>
      </c>
      <c r="AG5106">
        <v>-6.8974000000000299E-2</v>
      </c>
      <c r="AH5106">
        <v>0.47859638949168598</v>
      </c>
      <c r="AI5106">
        <v>98.144888129595998</v>
      </c>
      <c r="AJ5106">
        <v>83.257361445057398</v>
      </c>
      <c r="AK5106">
        <v>0.48684040764592701</v>
      </c>
      <c r="AL5106">
        <v>92.271931764155298</v>
      </c>
      <c r="AM5106">
        <v>97.980683299241207</v>
      </c>
      <c r="AN5106">
        <v>1.0000000187137701</v>
      </c>
    </row>
    <row r="5107" spans="1:40" x14ac:dyDescent="0.25">
      <c r="A5107" t="str">
        <f>"20190305135337707"</f>
        <v>20190305135337707</v>
      </c>
      <c r="B5107" t="str">
        <f>"1551765217695047"</f>
        <v>1551765217695047</v>
      </c>
      <c r="C5107" t="s">
        <v>40</v>
      </c>
      <c r="D5107">
        <v>4.7334779999999999</v>
      </c>
      <c r="E5107">
        <v>0.57926610000000001</v>
      </c>
      <c r="F5107" t="s">
        <v>41</v>
      </c>
      <c r="G5107">
        <v>-366.98309999999998</v>
      </c>
      <c r="H5107">
        <v>1.0457289999999999</v>
      </c>
      <c r="I5107">
        <v>16.77524</v>
      </c>
      <c r="J5107">
        <v>-367.44290000000001</v>
      </c>
      <c r="K5107">
        <v>1.111057</v>
      </c>
      <c r="L5107">
        <v>16.83484</v>
      </c>
      <c r="M5107">
        <v>0.99989150000000004</v>
      </c>
      <c r="N5107">
        <v>-1.016884E-2</v>
      </c>
      <c r="O5107">
        <v>-1.066277E-2</v>
      </c>
      <c r="P5107">
        <v>0.99050640000000001</v>
      </c>
      <c r="Q5107">
        <v>-4.9205230000000003E-2</v>
      </c>
      <c r="R5107">
        <v>0.12835930000000001</v>
      </c>
      <c r="S5107">
        <v>3.0457459999999998</v>
      </c>
      <c r="T5107">
        <v>-0.26764690000000002</v>
      </c>
      <c r="U5107">
        <v>-0.24731449999999999</v>
      </c>
      <c r="V5107">
        <v>-0.13870189999999999</v>
      </c>
      <c r="W5107">
        <v>-3.9889250000000001E-2</v>
      </c>
      <c r="X5107">
        <v>0.98953049999999998</v>
      </c>
      <c r="Y5107">
        <v>7.0033209999999999E-2</v>
      </c>
      <c r="Z5107">
        <v>-2.5981329999999999E-3</v>
      </c>
      <c r="AA5107">
        <v>0.99754120000000002</v>
      </c>
      <c r="AB5107">
        <v>29</v>
      </c>
      <c r="AC5107">
        <v>0.45980000000002902</v>
      </c>
      <c r="AD5107">
        <v>-6.5327999999999803E-2</v>
      </c>
      <c r="AE5107">
        <v>-5.9599999999999598E-2</v>
      </c>
      <c r="AF5107">
        <v>5.3628925531830199E-2</v>
      </c>
      <c r="AG5107">
        <v>-6.5327999999999803E-2</v>
      </c>
      <c r="AH5107">
        <v>0.45144685151763703</v>
      </c>
      <c r="AI5107">
        <v>98.177293615956501</v>
      </c>
      <c r="AJ5107">
        <v>83.225385594422804</v>
      </c>
      <c r="AK5107">
        <v>0.45929083267891002</v>
      </c>
      <c r="AL5107">
        <v>92.286092223093107</v>
      </c>
      <c r="AM5107">
        <v>97.979129699716296</v>
      </c>
      <c r="AN5107">
        <v>0.99999998987971095</v>
      </c>
    </row>
    <row r="5108" spans="1:40" x14ac:dyDescent="0.25">
      <c r="A5108" t="str">
        <f>"20190305135337726"</f>
        <v>20190305135337726</v>
      </c>
      <c r="B5108" t="str">
        <f>"1551765217715543"</f>
        <v>1551765217715543</v>
      </c>
      <c r="C5108" t="s">
        <v>40</v>
      </c>
      <c r="D5108">
        <v>4.7888149999999996</v>
      </c>
      <c r="E5108">
        <v>0.57955179999999995</v>
      </c>
      <c r="F5108" t="s">
        <v>41</v>
      </c>
      <c r="G5108">
        <v>-366.4819</v>
      </c>
      <c r="H5108">
        <v>1.028057</v>
      </c>
      <c r="I5108">
        <v>16.75806</v>
      </c>
      <c r="J5108">
        <v>-367.18889999999999</v>
      </c>
      <c r="K5108">
        <v>1.1110120000000001</v>
      </c>
      <c r="L5108">
        <v>16.834779999999999</v>
      </c>
      <c r="M5108">
        <v>0.99991509999999995</v>
      </c>
      <c r="N5108">
        <v>-1.015755E-2</v>
      </c>
      <c r="O5108">
        <v>-8.1914180000000007E-3</v>
      </c>
      <c r="P5108">
        <v>0.99009320000000001</v>
      </c>
      <c r="Q5108">
        <v>-4.9022789999999997E-2</v>
      </c>
      <c r="R5108">
        <v>0.13157729999999901</v>
      </c>
      <c r="S5108">
        <v>3.0471499999999998</v>
      </c>
      <c r="T5108">
        <v>-0.26323190000000002</v>
      </c>
      <c r="U5108">
        <v>-0.2431335</v>
      </c>
      <c r="V5108">
        <v>-0.13947760000000001</v>
      </c>
      <c r="W5108">
        <v>-3.9704870000000003E-2</v>
      </c>
      <c r="X5108">
        <v>0.98942889999999994</v>
      </c>
      <c r="Y5108">
        <v>7.1098449999999994E-2</v>
      </c>
      <c r="Z5108">
        <v>-2.8006559999999999E-3</v>
      </c>
      <c r="AA5108">
        <v>0.99746539999999995</v>
      </c>
      <c r="AB5108">
        <v>29</v>
      </c>
      <c r="AC5108">
        <v>0.70699999999999297</v>
      </c>
      <c r="AD5108">
        <v>-8.2955000000000098E-2</v>
      </c>
      <c r="AE5108">
        <v>-7.6719999999998095E-2</v>
      </c>
      <c r="AF5108">
        <v>6.9973664683675899E-2</v>
      </c>
      <c r="AG5108">
        <v>-8.2955000000000098E-2</v>
      </c>
      <c r="AH5108">
        <v>0.69810563691748795</v>
      </c>
      <c r="AI5108">
        <v>96.743132313871101</v>
      </c>
      <c r="AJ5108">
        <v>84.276153482128507</v>
      </c>
      <c r="AK5108">
        <v>0.70649085349368501</v>
      </c>
      <c r="AL5108">
        <v>92.275519599011801</v>
      </c>
      <c r="AM5108">
        <v>98.023987194911996</v>
      </c>
      <c r="AN5108">
        <v>1.00000001287934</v>
      </c>
    </row>
    <row r="5109" spans="1:40" x14ac:dyDescent="0.25">
      <c r="A5109" t="str">
        <f>"20190305135337739"</f>
        <v>20190305135337739</v>
      </c>
      <c r="B5109" t="str">
        <f>"1551765217735061"</f>
        <v>1551765217735061</v>
      </c>
      <c r="C5109" t="s">
        <v>40</v>
      </c>
      <c r="D5109">
        <v>4.7817689999999997</v>
      </c>
      <c r="E5109">
        <v>0.5801307</v>
      </c>
      <c r="F5109" t="s">
        <v>41</v>
      </c>
      <c r="G5109">
        <v>-366.22649999999999</v>
      </c>
      <c r="H5109">
        <v>1.027674</v>
      </c>
      <c r="I5109">
        <v>16.760100000000001</v>
      </c>
      <c r="J5109">
        <v>-367.01530000000002</v>
      </c>
      <c r="K5109">
        <v>1.1109690000000001</v>
      </c>
      <c r="L5109">
        <v>16.835079999999898</v>
      </c>
      <c r="M5109">
        <v>0.99992720000000002</v>
      </c>
      <c r="N5109">
        <v>-1.0150589999999999E-2</v>
      </c>
      <c r="O5109">
        <v>-6.5495930000000003E-3</v>
      </c>
      <c r="P5109">
        <v>0.98981330000000001</v>
      </c>
      <c r="Q5109">
        <v>-4.8620599999999903E-2</v>
      </c>
      <c r="R5109">
        <v>0.1338134</v>
      </c>
      <c r="S5109">
        <v>3.0482480000000001</v>
      </c>
      <c r="T5109">
        <v>-0.26407180000000002</v>
      </c>
      <c r="U5109">
        <v>-0.23562620000000001</v>
      </c>
      <c r="V5109">
        <v>-0.14009460000000001</v>
      </c>
      <c r="W5109">
        <v>-3.9298239999999998E-2</v>
      </c>
      <c r="X5109">
        <v>0.98935790000000001</v>
      </c>
      <c r="Y5109">
        <v>7.0263409999999998E-2</v>
      </c>
      <c r="Z5109">
        <v>-2.8920069999999998E-3</v>
      </c>
      <c r="AA5109">
        <v>0.99752430000000003</v>
      </c>
      <c r="AB5109">
        <v>29</v>
      </c>
      <c r="AC5109">
        <v>0.78880000000003703</v>
      </c>
      <c r="AD5109">
        <v>-8.3295000000000105E-2</v>
      </c>
      <c r="AE5109">
        <v>-7.4979999999996494E-2</v>
      </c>
      <c r="AF5109">
        <v>6.90487565717358E-2</v>
      </c>
      <c r="AG5109">
        <v>-8.3295000000000105E-2</v>
      </c>
      <c r="AH5109">
        <v>0.78064733899796901</v>
      </c>
      <c r="AI5109">
        <v>96.066903022466207</v>
      </c>
      <c r="AJ5109">
        <v>84.945306082727299</v>
      </c>
      <c r="AK5109">
        <v>0.788109164832965</v>
      </c>
      <c r="AL5109">
        <v>92.252203356514698</v>
      </c>
      <c r="AM5109">
        <v>98.059587937062204</v>
      </c>
      <c r="AN5109">
        <v>0.99999995145433196</v>
      </c>
    </row>
    <row r="5110" spans="1:40" x14ac:dyDescent="0.25">
      <c r="A5110" t="str">
        <f>"20190305135337760"</f>
        <v>20190305135337760</v>
      </c>
      <c r="B5110" t="str">
        <f>"1551765217755558"</f>
        <v>1551765217755558</v>
      </c>
      <c r="C5110" t="s">
        <v>40</v>
      </c>
      <c r="D5110">
        <v>4.893103</v>
      </c>
      <c r="E5110">
        <v>0.57629809999999904</v>
      </c>
      <c r="F5110" t="s">
        <v>41</v>
      </c>
      <c r="G5110">
        <v>-366.21929999999998</v>
      </c>
      <c r="H5110">
        <v>1.0421579999999999</v>
      </c>
      <c r="I5110">
        <v>16.773889999999898</v>
      </c>
      <c r="J5110">
        <v>-366.76159999999999</v>
      </c>
      <c r="K5110">
        <v>1.110892</v>
      </c>
      <c r="L5110">
        <v>16.835909999999998</v>
      </c>
      <c r="M5110">
        <v>0.99993960000000004</v>
      </c>
      <c r="N5110">
        <v>-1.0141219999999999E-2</v>
      </c>
      <c r="O5110">
        <v>-4.2248999999999898E-3</v>
      </c>
      <c r="P5110">
        <v>0.98927520000000002</v>
      </c>
      <c r="Q5110">
        <v>-4.7844640000000001E-2</v>
      </c>
      <c r="R5110">
        <v>0.13800499999999999</v>
      </c>
      <c r="S5110">
        <v>3.0494690000000002</v>
      </c>
      <c r="T5110">
        <v>-0.26379190000000002</v>
      </c>
      <c r="U5110">
        <v>-0.23336789999999999</v>
      </c>
      <c r="V5110">
        <v>-0.14199510000000001</v>
      </c>
      <c r="W5110">
        <v>-3.8517740000000002E-2</v>
      </c>
      <c r="X5110">
        <v>0.98911769999999999</v>
      </c>
      <c r="Y5110">
        <v>7.1804950000000006E-2</v>
      </c>
      <c r="Z5110">
        <v>-3.1392870000000002E-3</v>
      </c>
      <c r="AA5110">
        <v>0.99741380000000002</v>
      </c>
      <c r="AB5110">
        <v>29</v>
      </c>
      <c r="AC5110">
        <v>0.542300000000011</v>
      </c>
      <c r="AD5110">
        <v>-6.8734000000000003E-2</v>
      </c>
      <c r="AE5110">
        <v>-6.2020000000003898E-2</v>
      </c>
      <c r="AF5110">
        <v>5.8795840501639898E-2</v>
      </c>
      <c r="AG5110">
        <v>-6.8734000000000003E-2</v>
      </c>
      <c r="AH5110">
        <v>0.53408817365349104</v>
      </c>
      <c r="AI5110">
        <v>97.289759790483998</v>
      </c>
      <c r="AJ5110">
        <v>83.717810788906704</v>
      </c>
      <c r="AK5110">
        <v>0.54169317039521203</v>
      </c>
      <c r="AL5110">
        <v>92.207449948503097</v>
      </c>
      <c r="AM5110">
        <v>98.169414130397499</v>
      </c>
      <c r="AN5110">
        <v>1.0000000245859999</v>
      </c>
    </row>
    <row r="5111" spans="1:40" x14ac:dyDescent="0.25">
      <c r="A5111" t="str">
        <f>"20190305135337774"</f>
        <v>20190305135337774</v>
      </c>
      <c r="B5111" t="str">
        <f>"1551765217765318"</f>
        <v>1551765217765318</v>
      </c>
      <c r="C5111" t="s">
        <v>40</v>
      </c>
      <c r="D5111">
        <v>5.2856759999999996</v>
      </c>
      <c r="E5111">
        <v>0.57307790000000003</v>
      </c>
      <c r="F5111" t="s">
        <v>41</v>
      </c>
      <c r="G5111">
        <v>-365.96179999999998</v>
      </c>
      <c r="H5111">
        <v>1.0454559999999999</v>
      </c>
      <c r="I5111">
        <v>16.785720000000001</v>
      </c>
      <c r="J5111">
        <v>-366.58609999999999</v>
      </c>
      <c r="K5111">
        <v>1.1108260000000001</v>
      </c>
      <c r="L5111">
        <v>16.836729999999999</v>
      </c>
      <c r="M5111">
        <v>0.99994499999999997</v>
      </c>
      <c r="N5111">
        <v>-1.0135190000000001E-2</v>
      </c>
      <c r="O5111">
        <v>-2.7007680000000001E-3</v>
      </c>
      <c r="P5111">
        <v>0.98896459999999997</v>
      </c>
      <c r="Q5111">
        <v>-4.7162320000000001E-2</v>
      </c>
      <c r="R5111">
        <v>0.1404453</v>
      </c>
      <c r="S5111">
        <v>3.0469970000000002</v>
      </c>
      <c r="T5111">
        <v>-0.24941859999999999</v>
      </c>
      <c r="U5111">
        <v>-0.19003300000000001</v>
      </c>
      <c r="V5111">
        <v>-0.14293689999999901</v>
      </c>
      <c r="W5111">
        <v>-3.7824160000000003E-2</v>
      </c>
      <c r="X5111">
        <v>0.98900880000000002</v>
      </c>
      <c r="Y5111">
        <v>5.9335039999999999E-2</v>
      </c>
      <c r="Z5111">
        <v>-2.530469E-3</v>
      </c>
      <c r="AA5111">
        <v>0.99823490000000004</v>
      </c>
      <c r="AB5111">
        <v>29</v>
      </c>
      <c r="AC5111">
        <v>0.62430000000000496</v>
      </c>
      <c r="AD5111">
        <v>-6.5370000000000095E-2</v>
      </c>
      <c r="AE5111">
        <v>-5.1009999999997897E-2</v>
      </c>
      <c r="AF5111">
        <v>4.8792226123085002E-2</v>
      </c>
      <c r="AG5111">
        <v>-6.5370000000000095E-2</v>
      </c>
      <c r="AH5111">
        <v>0.61770784211802698</v>
      </c>
      <c r="AI5111">
        <v>96.022320635267505</v>
      </c>
      <c r="AJ5111">
        <v>85.483631665373693</v>
      </c>
      <c r="AK5111">
        <v>0.62307053889921304</v>
      </c>
      <c r="AL5111">
        <v>92.167681779584797</v>
      </c>
      <c r="AM5111">
        <v>98.223753239614993</v>
      </c>
      <c r="AN5111">
        <v>1.00000001546937</v>
      </c>
    </row>
    <row r="5112" spans="1:40" x14ac:dyDescent="0.25">
      <c r="A5112" t="str">
        <f>"20190305135337786"</f>
        <v>20190305135337786</v>
      </c>
      <c r="B5112" t="str">
        <f>"1551765217775078"</f>
        <v>1551765217775078</v>
      </c>
      <c r="C5112" t="s">
        <v>40</v>
      </c>
      <c r="D5112">
        <v>4.7404970000000004</v>
      </c>
      <c r="E5112">
        <v>0.57307790000000003</v>
      </c>
      <c r="F5112" t="s">
        <v>41</v>
      </c>
      <c r="G5112">
        <v>-365.7081</v>
      </c>
      <c r="H5112">
        <v>1.040243</v>
      </c>
      <c r="I5112">
        <v>16.79121</v>
      </c>
      <c r="J5112">
        <v>-366.42189999999999</v>
      </c>
      <c r="K5112">
        <v>1.1107590000000001</v>
      </c>
      <c r="L5112">
        <v>16.83765</v>
      </c>
      <c r="M5112">
        <v>0.99994780000000005</v>
      </c>
      <c r="N5112">
        <v>-1.012981E-2</v>
      </c>
      <c r="O5112">
        <v>-1.3280739999999901E-3</v>
      </c>
      <c r="P5112">
        <v>0.98871240000000005</v>
      </c>
      <c r="Q5112">
        <v>-4.6692570000000003E-2</v>
      </c>
      <c r="R5112">
        <v>0.14236460000000001</v>
      </c>
      <c r="S5112">
        <v>3.0441280000000002</v>
      </c>
      <c r="T5112">
        <v>-0.24480399999999999</v>
      </c>
      <c r="U5112">
        <v>-0.1570435</v>
      </c>
      <c r="V5112">
        <v>-0.14350689999999999</v>
      </c>
      <c r="W5112">
        <v>-3.7338490000000002E-2</v>
      </c>
      <c r="X5112">
        <v>0.98894470000000001</v>
      </c>
      <c r="Y5112">
        <v>5.0015869999999997E-2</v>
      </c>
      <c r="Z5112">
        <v>-2.167357E-3</v>
      </c>
      <c r="AA5112">
        <v>0.99874609999999997</v>
      </c>
      <c r="AB5112">
        <v>29</v>
      </c>
      <c r="AC5112">
        <v>0.713799999999992</v>
      </c>
      <c r="AD5112">
        <v>-7.0515999999999995E-2</v>
      </c>
      <c r="AE5112">
        <v>-4.6440000000000398E-2</v>
      </c>
      <c r="AF5112">
        <v>4.5054084546661897E-2</v>
      </c>
      <c r="AG5112">
        <v>-7.0515999999999995E-2</v>
      </c>
      <c r="AH5112">
        <v>0.70699034414193695</v>
      </c>
      <c r="AI5112">
        <v>95.684451125624804</v>
      </c>
      <c r="AJ5112">
        <v>86.353665971323693</v>
      </c>
      <c r="AK5112">
        <v>0.71192536371467496</v>
      </c>
      <c r="AL5112">
        <v>92.139835286334005</v>
      </c>
      <c r="AM5112">
        <v>98.256624263967495</v>
      </c>
      <c r="AN5112">
        <v>1.0000000064205801</v>
      </c>
    </row>
    <row r="5113" spans="1:40" x14ac:dyDescent="0.25">
      <c r="A5113" t="str">
        <f>"20190305135337804"</f>
        <v>20190305135337804</v>
      </c>
      <c r="B5113" t="str">
        <f>"1551765217795584"</f>
        <v>1551765217795584</v>
      </c>
      <c r="C5113" t="s">
        <v>40</v>
      </c>
      <c r="D5113">
        <v>4.7175949999999904</v>
      </c>
      <c r="E5113">
        <v>0.48313270000000003</v>
      </c>
      <c r="F5113" t="s">
        <v>41</v>
      </c>
      <c r="G5113">
        <v>-365.45490000000001</v>
      </c>
      <c r="H5113">
        <v>1.033399</v>
      </c>
      <c r="I5113">
        <v>16.789680000000001</v>
      </c>
      <c r="J5113">
        <v>-366.18299999999999</v>
      </c>
      <c r="K5113">
        <v>1.110636</v>
      </c>
      <c r="L5113">
        <v>16.839359999999999</v>
      </c>
      <c r="M5113">
        <v>0.99994870000000002</v>
      </c>
      <c r="N5113">
        <v>-1.012209E-2</v>
      </c>
      <c r="O5113">
        <v>5.0853159999999999E-4</v>
      </c>
      <c r="P5113">
        <v>0.98834999999999995</v>
      </c>
      <c r="Q5113">
        <v>-4.6045259999999998E-2</v>
      </c>
      <c r="R5113">
        <v>0.145067</v>
      </c>
      <c r="S5113">
        <v>3.044495</v>
      </c>
      <c r="T5113">
        <v>-0.24350050000000001</v>
      </c>
      <c r="U5113">
        <v>-0.15109249999999999</v>
      </c>
      <c r="V5113">
        <v>-0.14440790000000001</v>
      </c>
      <c r="W5113">
        <v>-3.6659600000000001E-2</v>
      </c>
      <c r="X5113">
        <v>0.98883889999999997</v>
      </c>
      <c r="Y5113">
        <v>4.9894630000000002E-2</v>
      </c>
      <c r="Z5113">
        <v>-2.27948E-3</v>
      </c>
      <c r="AA5113">
        <v>0.99875190000000003</v>
      </c>
      <c r="AB5113">
        <v>29</v>
      </c>
      <c r="AC5113">
        <v>0.72810000000004005</v>
      </c>
      <c r="AD5113">
        <v>-7.7237E-2</v>
      </c>
      <c r="AE5113">
        <v>-4.96799999999986E-2</v>
      </c>
      <c r="AF5113">
        <v>4.9495877819856801E-2</v>
      </c>
      <c r="AG5113">
        <v>-7.7237E-2</v>
      </c>
      <c r="AH5113">
        <v>0.72000990814893495</v>
      </c>
      <c r="AI5113">
        <v>96.108519511204406</v>
      </c>
      <c r="AJ5113">
        <v>86.0674841641993</v>
      </c>
      <c r="AK5113">
        <v>0.72583032722723495</v>
      </c>
      <c r="AL5113">
        <v>92.100911181371401</v>
      </c>
      <c r="AM5113">
        <v>98.308618161982395</v>
      </c>
      <c r="AN5113">
        <v>0.99999996900388899</v>
      </c>
    </row>
    <row r="5114" spans="1:40" x14ac:dyDescent="0.25">
      <c r="A5114" t="str">
        <f>"20190305135337826"</f>
        <v>20190305135337826</v>
      </c>
      <c r="B5114" t="str">
        <f>"1551765217815093"</f>
        <v>1551765217815093</v>
      </c>
      <c r="C5114" t="s">
        <v>40</v>
      </c>
      <c r="D5114">
        <v>4.5627779999999998</v>
      </c>
      <c r="E5114">
        <v>0.48593520000000001</v>
      </c>
      <c r="F5114" t="s">
        <v>47</v>
      </c>
      <c r="G5114">
        <v>-316.55399999999997</v>
      </c>
      <c r="H5114">
        <v>-0.05</v>
      </c>
      <c r="I5114">
        <v>26.41835</v>
      </c>
      <c r="J5114">
        <v>-365.90660000000003</v>
      </c>
      <c r="K5114">
        <v>1.110468</v>
      </c>
      <c r="L5114">
        <v>16.841609999999999</v>
      </c>
      <c r="M5114">
        <v>0.99994590000000005</v>
      </c>
      <c r="N5114">
        <v>-1.0113850000000001E-2</v>
      </c>
      <c r="O5114">
        <v>2.4266520000000001E-3</v>
      </c>
      <c r="P5114">
        <v>0.98806760000000005</v>
      </c>
      <c r="Q5114">
        <v>-4.6378160000000002E-2</v>
      </c>
      <c r="R5114">
        <v>0.14687259999999999</v>
      </c>
      <c r="S5114">
        <v>2.948639</v>
      </c>
      <c r="T5114">
        <v>-6.8957569999999996E-2</v>
      </c>
      <c r="U5114">
        <v>0.56912229999999997</v>
      </c>
      <c r="V5114">
        <v>-0.1443314</v>
      </c>
      <c r="W5114">
        <v>-3.69431E-2</v>
      </c>
      <c r="X5114">
        <v>0.98883960000000004</v>
      </c>
      <c r="Y5114">
        <v>-0.18705959999999999</v>
      </c>
      <c r="Z5114">
        <v>3.0899220000000002E-3</v>
      </c>
      <c r="AA5114">
        <v>0.98234370000000004</v>
      </c>
      <c r="AB5114">
        <v>29</v>
      </c>
      <c r="AC5114">
        <v>49.352600000000002</v>
      </c>
      <c r="AD5114">
        <v>-1.1604680000000001</v>
      </c>
      <c r="AE5114">
        <v>9.5767399999999991</v>
      </c>
      <c r="AF5114">
        <v>-9.4519077712237802</v>
      </c>
      <c r="AG5114">
        <v>-1.1604680000000001</v>
      </c>
      <c r="AH5114">
        <v>49.349400142997901</v>
      </c>
      <c r="AI5114">
        <v>91.323041758439302</v>
      </c>
      <c r="AJ5114">
        <v>100.842570702278</v>
      </c>
      <c r="AK5114">
        <v>50.259810395269803</v>
      </c>
      <c r="AL5114">
        <v>92.117165374351202</v>
      </c>
      <c r="AM5114">
        <v>98.304272277784904</v>
      </c>
      <c r="AN5114">
        <v>1.0000000500958599</v>
      </c>
    </row>
    <row r="5115" spans="1:40" x14ac:dyDescent="0.25">
      <c r="A5115" t="str">
        <f>"20190305135337850"</f>
        <v>20190305135337850</v>
      </c>
      <c r="B5115" t="str">
        <f>"1551765217845349"</f>
        <v>1551765217845349</v>
      </c>
      <c r="C5115" t="s">
        <v>40</v>
      </c>
      <c r="D5115">
        <v>4.5695940000000004</v>
      </c>
      <c r="E5115">
        <v>0.48878959999999999</v>
      </c>
      <c r="F5115" t="s">
        <v>42</v>
      </c>
      <c r="G5115">
        <v>-320.1542</v>
      </c>
      <c r="H5115" s="1">
        <v>-5.6790099999999899E-6</v>
      </c>
      <c r="I5115">
        <v>25.405729999999998</v>
      </c>
      <c r="J5115">
        <v>-365.61320000000001</v>
      </c>
      <c r="K5115">
        <v>1.1102780000000001</v>
      </c>
      <c r="L5115">
        <v>16.844329999999999</v>
      </c>
      <c r="M5115">
        <v>0.9999401</v>
      </c>
      <c r="N5115">
        <v>-1.010637E-2</v>
      </c>
      <c r="O5115">
        <v>4.198411E-3</v>
      </c>
      <c r="P5115">
        <v>0.98780950000000001</v>
      </c>
      <c r="Q5115">
        <v>-4.6935749999999998E-2</v>
      </c>
      <c r="R5115">
        <v>0.14842249999999901</v>
      </c>
      <c r="S5115">
        <v>2.9507750000000001</v>
      </c>
      <c r="T5115">
        <v>-7.1619390000000005E-2</v>
      </c>
      <c r="U5115">
        <v>0.55233759999999998</v>
      </c>
      <c r="V5115">
        <v>-0.1441453</v>
      </c>
      <c r="W5115">
        <v>-3.7441700000000001E-2</v>
      </c>
      <c r="X5115">
        <v>0.98884799999999995</v>
      </c>
      <c r="Y5115">
        <v>-0.17978720000000001</v>
      </c>
      <c r="Z5115">
        <v>3.020343E-3</v>
      </c>
      <c r="AA5115">
        <v>0.98370089999999999</v>
      </c>
      <c r="AB5115">
        <v>29</v>
      </c>
      <c r="AC5115">
        <v>45.458999999999897</v>
      </c>
      <c r="AD5115">
        <v>-1.1102836790099999</v>
      </c>
      <c r="AE5115">
        <v>8.5613999999999901</v>
      </c>
      <c r="AF5115">
        <v>-8.3656398522136097</v>
      </c>
      <c r="AG5115">
        <v>-1.1102836790099999</v>
      </c>
      <c r="AH5115">
        <v>45.468351520429998</v>
      </c>
      <c r="AI5115">
        <v>91.375735020092193</v>
      </c>
      <c r="AJ5115">
        <v>100.425154207571</v>
      </c>
      <c r="AK5115">
        <v>46.244866201235901</v>
      </c>
      <c r="AL5115">
        <v>92.145752811424998</v>
      </c>
      <c r="AM5115">
        <v>98.293644368345099</v>
      </c>
      <c r="AN5115">
        <v>1.0000000577574799</v>
      </c>
    </row>
    <row r="5116" spans="1:40" x14ac:dyDescent="0.25">
      <c r="A5116" t="str">
        <f>"20190305135337861"</f>
        <v>20190305135337861</v>
      </c>
      <c r="B5116" t="str">
        <f>"1551765217855110"</f>
        <v>1551765217855110</v>
      </c>
      <c r="C5116" t="s">
        <v>40</v>
      </c>
      <c r="D5116">
        <v>4.5423809999999998</v>
      </c>
      <c r="E5116">
        <v>0.4895678</v>
      </c>
      <c r="F5116" t="s">
        <v>42</v>
      </c>
      <c r="G5116">
        <v>-322.51249999999999</v>
      </c>
      <c r="H5116" s="1">
        <v>-4.6385609999999999E-6</v>
      </c>
      <c r="I5116">
        <v>24.64564</v>
      </c>
      <c r="J5116">
        <v>-365.44209999999998</v>
      </c>
      <c r="K5116">
        <v>1.1101730000000001</v>
      </c>
      <c r="L5116">
        <v>16.846039999999999</v>
      </c>
      <c r="M5116">
        <v>0.99993580000000004</v>
      </c>
      <c r="N5116">
        <v>-1.010262E-2</v>
      </c>
      <c r="O5116">
        <v>5.134413E-3</v>
      </c>
      <c r="P5116">
        <v>0.98767000000000005</v>
      </c>
      <c r="Q5116">
        <v>-4.6990249999999997E-2</v>
      </c>
      <c r="R5116">
        <v>0.1493322</v>
      </c>
      <c r="S5116">
        <v>2.9530940000000001</v>
      </c>
      <c r="T5116">
        <v>-7.6072340000000002E-2</v>
      </c>
      <c r="U5116">
        <v>0.53451539999999997</v>
      </c>
      <c r="V5116">
        <v>-0.14413999999999999</v>
      </c>
      <c r="W5116">
        <v>-3.746356E-2</v>
      </c>
      <c r="X5116">
        <v>0.9888479</v>
      </c>
      <c r="Y5116">
        <v>-0.1729755</v>
      </c>
      <c r="Z5116">
        <v>3.0109400000000001E-3</v>
      </c>
      <c r="AA5116">
        <v>0.98492150000000001</v>
      </c>
      <c r="AB5116">
        <v>29</v>
      </c>
      <c r="AC5116">
        <v>42.929599999999901</v>
      </c>
      <c r="AD5116">
        <v>-1.1101776385609901</v>
      </c>
      <c r="AE5116">
        <v>7.7995999999999999</v>
      </c>
      <c r="AF5116">
        <v>-7.5741641873843299</v>
      </c>
      <c r="AG5116">
        <v>-1.1101776385609901</v>
      </c>
      <c r="AH5116">
        <v>42.941282655039601</v>
      </c>
      <c r="AI5116">
        <v>91.458456527688796</v>
      </c>
      <c r="AJ5116">
        <v>100.00318005292399</v>
      </c>
      <c r="AK5116">
        <v>43.618278434466198</v>
      </c>
      <c r="AL5116">
        <v>92.1470062712323</v>
      </c>
      <c r="AM5116">
        <v>98.293344492492494</v>
      </c>
      <c r="AN5116">
        <v>1.00000001363114</v>
      </c>
    </row>
    <row r="5117" spans="1:40" x14ac:dyDescent="0.25">
      <c r="A5117" t="str">
        <f>"20190305135337874"</f>
        <v>20190305135337874</v>
      </c>
      <c r="B5117" t="str">
        <f>"1551765217864871"</f>
        <v>1551765217864871</v>
      </c>
      <c r="C5117" t="s">
        <v>40</v>
      </c>
      <c r="D5117">
        <v>4.5369769999999896</v>
      </c>
      <c r="E5117">
        <v>0.49018060000000002</v>
      </c>
      <c r="F5117" t="s">
        <v>42</v>
      </c>
      <c r="G5117">
        <v>-323.15929999999997</v>
      </c>
      <c r="H5117" s="1">
        <v>-4.3554590000000004E-6</v>
      </c>
      <c r="I5117">
        <v>24.449929999999998</v>
      </c>
      <c r="J5117">
        <v>-365.28160000000003</v>
      </c>
      <c r="K5117">
        <v>1.110082</v>
      </c>
      <c r="L5117">
        <v>16.847719999999999</v>
      </c>
      <c r="M5117">
        <v>0.99993149999999997</v>
      </c>
      <c r="N5117">
        <v>-1.0099459999999999E-2</v>
      </c>
      <c r="O5117">
        <v>5.9252940000000002E-3</v>
      </c>
      <c r="P5117">
        <v>0.98753979999999997</v>
      </c>
      <c r="Q5117">
        <v>-4.7452109999999999E-2</v>
      </c>
      <c r="R5117">
        <v>0.15004600000000001</v>
      </c>
      <c r="S5117">
        <v>2.95343</v>
      </c>
      <c r="T5117">
        <v>-7.75454E-2</v>
      </c>
      <c r="U5117">
        <v>0.53112789999999999</v>
      </c>
      <c r="V5117">
        <v>-0.1440796</v>
      </c>
      <c r="W5117">
        <v>-3.7896480000000003E-2</v>
      </c>
      <c r="X5117">
        <v>0.98884019999999995</v>
      </c>
      <c r="Y5117">
        <v>-0.17108090000000001</v>
      </c>
      <c r="Z5117">
        <v>3.0037990000000001E-3</v>
      </c>
      <c r="AA5117">
        <v>0.98525240000000003</v>
      </c>
      <c r="AB5117">
        <v>29</v>
      </c>
      <c r="AC5117">
        <v>42.122300000000003</v>
      </c>
      <c r="AD5117">
        <v>-1.1100863554589999</v>
      </c>
      <c r="AE5117">
        <v>7.6022099999999897</v>
      </c>
      <c r="AF5117">
        <v>-7.3475347183384603</v>
      </c>
      <c r="AG5117">
        <v>-1.1100863554589999</v>
      </c>
      <c r="AH5117">
        <v>42.138265135877198</v>
      </c>
      <c r="AI5117">
        <v>91.486625282347703</v>
      </c>
      <c r="AJ5117">
        <v>99.891066835245894</v>
      </c>
      <c r="AK5117">
        <v>42.788455765723199</v>
      </c>
      <c r="AL5117">
        <v>92.171828400047801</v>
      </c>
      <c r="AM5117">
        <v>98.289981237234301</v>
      </c>
      <c r="AN5117">
        <v>1.0000000077342901</v>
      </c>
    </row>
    <row r="5118" spans="1:40" x14ac:dyDescent="0.25">
      <c r="A5118" t="str">
        <f>"20190305135337896"</f>
        <v>20190305135337896</v>
      </c>
      <c r="B5118" t="str">
        <f>"1551765217885365"</f>
        <v>1551765217885365</v>
      </c>
      <c r="C5118" t="s">
        <v>40</v>
      </c>
      <c r="D5118">
        <v>4.5513649999999997</v>
      </c>
      <c r="E5118">
        <v>0.49149019999999999</v>
      </c>
      <c r="F5118" t="s">
        <v>42</v>
      </c>
      <c r="G5118">
        <v>-324.20030000000003</v>
      </c>
      <c r="H5118" s="1">
        <v>-3.9110130000000001E-6</v>
      </c>
      <c r="I5118">
        <v>24.197939999999999</v>
      </c>
      <c r="J5118">
        <v>-365.01069999999999</v>
      </c>
      <c r="K5118">
        <v>1.1099239999999999</v>
      </c>
      <c r="L5118">
        <v>16.850709999999999</v>
      </c>
      <c r="M5118">
        <v>0.99992380000000003</v>
      </c>
      <c r="N5118">
        <v>-1.009465E-2</v>
      </c>
      <c r="O5118">
        <v>7.1052149999999998E-3</v>
      </c>
      <c r="P5118">
        <v>0.98734860000000002</v>
      </c>
      <c r="Q5118">
        <v>-4.762972E-2</v>
      </c>
      <c r="R5118">
        <v>0.1512425</v>
      </c>
      <c r="S5118">
        <v>2.9537049999999998</v>
      </c>
      <c r="T5118">
        <v>-7.9814079999999996E-2</v>
      </c>
      <c r="U5118">
        <v>0.52847290000000002</v>
      </c>
      <c r="V5118">
        <v>-0.14412469999999999</v>
      </c>
      <c r="W5118">
        <v>-3.802498E-2</v>
      </c>
      <c r="X5118">
        <v>0.9888287</v>
      </c>
      <c r="Y5118">
        <v>-0.1690412</v>
      </c>
      <c r="Z5118">
        <v>3.0064010000000001E-3</v>
      </c>
      <c r="AA5118">
        <v>0.98560440000000005</v>
      </c>
      <c r="AB5118">
        <v>29</v>
      </c>
      <c r="AC5118">
        <v>40.810399999999902</v>
      </c>
      <c r="AD5118">
        <v>-1.10992791101299</v>
      </c>
      <c r="AE5118">
        <v>7.3472299999999997</v>
      </c>
      <c r="AF5118">
        <v>-7.0520105603147902</v>
      </c>
      <c r="AG5118">
        <v>-1.10992791101299</v>
      </c>
      <c r="AH5118">
        <v>40.832321135983698</v>
      </c>
      <c r="AI5118">
        <v>91.534359920724697</v>
      </c>
      <c r="AJ5118">
        <v>99.798697438358303</v>
      </c>
      <c r="AK5118">
        <v>41.451673576136102</v>
      </c>
      <c r="AL5118">
        <v>92.179196206456595</v>
      </c>
      <c r="AM5118">
        <v>98.2926351981435</v>
      </c>
      <c r="AN5118">
        <v>1.00000001309889</v>
      </c>
    </row>
    <row r="5119" spans="1:40" x14ac:dyDescent="0.25">
      <c r="A5119" t="str">
        <f>"20190305135337918"</f>
        <v>20190305135337918</v>
      </c>
      <c r="B5119" t="str">
        <f>"1551765217915623"</f>
        <v>1551765217915623</v>
      </c>
      <c r="C5119" t="s">
        <v>40</v>
      </c>
      <c r="D5119">
        <v>4.6609850000000002</v>
      </c>
      <c r="E5119">
        <v>0.49182629999999999</v>
      </c>
      <c r="F5119" t="s">
        <v>42</v>
      </c>
      <c r="G5119">
        <v>-324.36079999999998</v>
      </c>
      <c r="H5119" s="1">
        <v>-3.8196489999999997E-6</v>
      </c>
      <c r="I5119">
        <v>24.030449999999998</v>
      </c>
      <c r="J5119">
        <v>-364.72699999999998</v>
      </c>
      <c r="K5119">
        <v>1.109756</v>
      </c>
      <c r="L5119">
        <v>16.853909999999999</v>
      </c>
      <c r="M5119">
        <v>0.99991640000000004</v>
      </c>
      <c r="N5119">
        <v>-1.009027E-2</v>
      </c>
      <c r="O5119">
        <v>8.1030890000000008E-3</v>
      </c>
      <c r="P5119">
        <v>0.98708910000000005</v>
      </c>
      <c r="Q5119">
        <v>-4.7949550000000001E-2</v>
      </c>
      <c r="R5119">
        <v>0.15282679999999901</v>
      </c>
      <c r="S5119">
        <v>2.95459</v>
      </c>
      <c r="T5119">
        <v>-8.0673809999999999E-2</v>
      </c>
      <c r="U5119">
        <v>0.52185059999999905</v>
      </c>
      <c r="V5119">
        <v>-0.14473939999999999</v>
      </c>
      <c r="W5119">
        <v>-3.829283E-2</v>
      </c>
      <c r="X5119">
        <v>0.98872859999999996</v>
      </c>
      <c r="Y5119">
        <v>-0.16586429999999999</v>
      </c>
      <c r="Z5119">
        <v>2.9517649999999999E-3</v>
      </c>
      <c r="AA5119">
        <v>0.98614420000000003</v>
      </c>
      <c r="AB5119">
        <v>29</v>
      </c>
      <c r="AC5119">
        <v>40.3661999999999</v>
      </c>
      <c r="AD5119">
        <v>-1.1097598196489999</v>
      </c>
      <c r="AE5119">
        <v>7.1765399999999904</v>
      </c>
      <c r="AF5119">
        <v>-6.8441823303874703</v>
      </c>
      <c r="AG5119">
        <v>-1.1097598196489999</v>
      </c>
      <c r="AH5119">
        <v>40.393434710046797</v>
      </c>
      <c r="AI5119">
        <v>91.551630616715002</v>
      </c>
      <c r="AJ5119">
        <v>99.616745998590702</v>
      </c>
      <c r="AK5119">
        <v>40.9841916634171</v>
      </c>
      <c r="AL5119">
        <v>92.194554008036405</v>
      </c>
      <c r="AM5119">
        <v>98.328340054259399</v>
      </c>
      <c r="AN5119">
        <v>1.0000000395998601</v>
      </c>
    </row>
    <row r="5120" spans="1:40" x14ac:dyDescent="0.25">
      <c r="A5120" t="str">
        <f>"20190305135337939"</f>
        <v>20190305135337939</v>
      </c>
      <c r="B5120" t="str">
        <f>"1551765217925381"</f>
        <v>1551765217925381</v>
      </c>
      <c r="C5120" t="s">
        <v>40</v>
      </c>
      <c r="D5120">
        <v>4.5622569999999998</v>
      </c>
      <c r="E5120">
        <v>0.49225089999999999</v>
      </c>
      <c r="F5120" t="s">
        <v>42</v>
      </c>
      <c r="G5120">
        <v>-331.71719999999999</v>
      </c>
      <c r="H5120" s="1">
        <v>-4.2397210000000002E-6</v>
      </c>
      <c r="I5120">
        <v>22.706060000000001</v>
      </c>
      <c r="J5120">
        <v>-364.45679999999999</v>
      </c>
      <c r="K5120">
        <v>1.1095969999999999</v>
      </c>
      <c r="L5120">
        <v>16.857060000000001</v>
      </c>
      <c r="M5120">
        <v>0.99990990000000002</v>
      </c>
      <c r="N5120">
        <v>-1.0096249999999999E-2</v>
      </c>
      <c r="O5120">
        <v>8.8479430000000005E-3</v>
      </c>
      <c r="P5120">
        <v>0.98678480000000002</v>
      </c>
      <c r="Q5120">
        <v>-4.8409670000000002E-2</v>
      </c>
      <c r="R5120">
        <v>0.15463660000000001</v>
      </c>
      <c r="S5120">
        <v>2.9533390000000002</v>
      </c>
      <c r="T5120">
        <v>-9.9288699999999994E-2</v>
      </c>
      <c r="U5120">
        <v>0.52359009999999995</v>
      </c>
      <c r="V5120">
        <v>-0.14582989999999901</v>
      </c>
      <c r="W5120">
        <v>-3.8693949999999998E-2</v>
      </c>
      <c r="X5120">
        <v>0.98855269999999995</v>
      </c>
      <c r="Y5120">
        <v>-0.16572970000000001</v>
      </c>
      <c r="Z5120">
        <v>3.400574E-3</v>
      </c>
      <c r="AA5120">
        <v>0.98616530000000002</v>
      </c>
      <c r="AB5120">
        <v>29</v>
      </c>
      <c r="AC5120">
        <v>32.739600000000003</v>
      </c>
      <c r="AD5120">
        <v>-1.109601239721</v>
      </c>
      <c r="AE5120">
        <v>5.8490000000000002</v>
      </c>
      <c r="AF5120">
        <v>-5.5528971001814504</v>
      </c>
      <c r="AG5120">
        <v>-1.109601239721</v>
      </c>
      <c r="AH5120">
        <v>32.753613823726397</v>
      </c>
      <c r="AI5120">
        <v>91.913002911061994</v>
      </c>
      <c r="AJ5120">
        <v>99.622171545584706</v>
      </c>
      <c r="AK5120">
        <v>33.239511122009603</v>
      </c>
      <c r="AL5120">
        <v>92.217553599603903</v>
      </c>
      <c r="AM5120">
        <v>98.391669433994906</v>
      </c>
      <c r="AN5120">
        <v>1.00000001108895</v>
      </c>
    </row>
    <row r="5121" spans="1:40" x14ac:dyDescent="0.25">
      <c r="A5121" t="str">
        <f>"20190305135337961"</f>
        <v>20190305135337961</v>
      </c>
      <c r="B5121" t="str">
        <f>"1551765217955637"</f>
        <v>1551765217955637</v>
      </c>
      <c r="C5121" t="s">
        <v>40</v>
      </c>
      <c r="D5121">
        <v>4.676933</v>
      </c>
      <c r="E5121">
        <v>0.49271120000000002</v>
      </c>
      <c r="F5121" t="s">
        <v>42</v>
      </c>
      <c r="G5121">
        <v>-331.51650000000001</v>
      </c>
      <c r="H5121" s="1">
        <v>-4.31082E-6</v>
      </c>
      <c r="I5121">
        <v>22.721900000000002</v>
      </c>
      <c r="J5121">
        <v>-364.16789999999997</v>
      </c>
      <c r="K5121">
        <v>1.1094440000000001</v>
      </c>
      <c r="L5121">
        <v>16.860379999999999</v>
      </c>
      <c r="M5121">
        <v>0.99990429999999997</v>
      </c>
      <c r="N5121">
        <v>-1.0128359999999999E-2</v>
      </c>
      <c r="O5121">
        <v>9.4457689999999997E-3</v>
      </c>
      <c r="P5121">
        <v>0.98643760000000003</v>
      </c>
      <c r="Q5121">
        <v>-4.8428010000000001E-2</v>
      </c>
      <c r="R5121">
        <v>0.15683129999999901</v>
      </c>
      <c r="S5121">
        <v>2.9529109999999998</v>
      </c>
      <c r="T5121">
        <v>-9.9469539999999995E-2</v>
      </c>
      <c r="U5121">
        <v>0.52575680000000002</v>
      </c>
      <c r="V5121">
        <v>-0.14745259999999999</v>
      </c>
      <c r="W5121">
        <v>-3.862492E-2</v>
      </c>
      <c r="X5121">
        <v>0.98831460000000004</v>
      </c>
      <c r="Y5121">
        <v>-0.1658656</v>
      </c>
      <c r="Z5121">
        <v>3.3972849999999999E-3</v>
      </c>
      <c r="AA5121">
        <v>0.98614250000000003</v>
      </c>
      <c r="AB5121">
        <v>29</v>
      </c>
      <c r="AC5121">
        <v>32.651399999999903</v>
      </c>
      <c r="AD5121">
        <v>-1.1094483108199999</v>
      </c>
      <c r="AE5121">
        <v>5.8615199999999996</v>
      </c>
      <c r="AF5121">
        <v>-5.5466212515638897</v>
      </c>
      <c r="AG5121">
        <v>-1.1094483108199999</v>
      </c>
      <c r="AH5121">
        <v>32.668772616978799</v>
      </c>
      <c r="AI5121">
        <v>91.917624726762796</v>
      </c>
      <c r="AJ5121">
        <v>99.635993366226401</v>
      </c>
      <c r="AK5121">
        <v>33.154857670672399</v>
      </c>
      <c r="AL5121">
        <v>92.213595645883899</v>
      </c>
      <c r="AM5121">
        <v>98.485709018330894</v>
      </c>
      <c r="AN5121">
        <v>0.99999995113246198</v>
      </c>
    </row>
    <row r="5122" spans="1:40" x14ac:dyDescent="0.25">
      <c r="A5122" t="str">
        <f>"20190305135337983"</f>
        <v>20190305135337983</v>
      </c>
      <c r="B5122" t="str">
        <f>"1551765217975157"</f>
        <v>1551765217975157</v>
      </c>
      <c r="C5122" t="s">
        <v>40</v>
      </c>
      <c r="D5122">
        <v>4.6826349999999897</v>
      </c>
      <c r="E5122">
        <v>0.49275069999999999</v>
      </c>
      <c r="F5122" t="s">
        <v>42</v>
      </c>
      <c r="G5122">
        <v>-334.66750000000002</v>
      </c>
      <c r="H5122" s="1">
        <v>-2.9420220000000001E-6</v>
      </c>
      <c r="I5122">
        <v>22.14218</v>
      </c>
      <c r="J5122">
        <v>-363.8768</v>
      </c>
      <c r="K5122">
        <v>1.1093109999999999</v>
      </c>
      <c r="L5122">
        <v>16.86374</v>
      </c>
      <c r="M5122">
        <v>0.99989950000000005</v>
      </c>
      <c r="N5122">
        <v>-1.019811E-2</v>
      </c>
      <c r="O5122">
        <v>9.8552510000000006E-3</v>
      </c>
      <c r="P5122">
        <v>0.98616839999999995</v>
      </c>
      <c r="Q5122">
        <v>-4.7921640000000001E-2</v>
      </c>
      <c r="R5122">
        <v>0.15866820000000001</v>
      </c>
      <c r="S5122">
        <v>2.951813</v>
      </c>
      <c r="T5122">
        <v>-0.1110111</v>
      </c>
      <c r="U5122">
        <v>0.52850339999999996</v>
      </c>
      <c r="V5122">
        <v>-0.14890329999999999</v>
      </c>
      <c r="W5122">
        <v>-3.799516E-2</v>
      </c>
      <c r="X5122">
        <v>0.98812149999999999</v>
      </c>
      <c r="Y5122">
        <v>-0.16638900000000001</v>
      </c>
      <c r="Z5122">
        <v>3.6907379999999998E-3</v>
      </c>
      <c r="AA5122">
        <v>0.98605330000000002</v>
      </c>
      <c r="AB5122">
        <v>29</v>
      </c>
      <c r="AC5122">
        <v>29.209299999999899</v>
      </c>
      <c r="AD5122">
        <v>-1.109313942022</v>
      </c>
      <c r="AE5122">
        <v>5.2784399999999998</v>
      </c>
      <c r="AF5122">
        <v>-4.98334333847101</v>
      </c>
      <c r="AG5122">
        <v>-1.109313942022</v>
      </c>
      <c r="AH5122">
        <v>29.219093353456199</v>
      </c>
      <c r="AI5122">
        <v>92.143293034881196</v>
      </c>
      <c r="AJ5122">
        <v>99.678721458002499</v>
      </c>
      <c r="AK5122">
        <v>29.661754915193999</v>
      </c>
      <c r="AL5122">
        <v>92.177486522411897</v>
      </c>
      <c r="AM5122">
        <v>98.5696113008879</v>
      </c>
      <c r="AN5122">
        <v>0.99999996184828199</v>
      </c>
    </row>
    <row r="5123" spans="1:40" x14ac:dyDescent="0.25">
      <c r="A5123" t="str">
        <f>"20190305135337995"</f>
        <v>20190305135337995</v>
      </c>
      <c r="B5123" t="str">
        <f>"1551765217984918"</f>
        <v>1551765217984918</v>
      </c>
      <c r="C5123" t="s">
        <v>40</v>
      </c>
      <c r="D5123">
        <v>4.7046510000000001</v>
      </c>
      <c r="E5123">
        <v>0.49275530000000001</v>
      </c>
      <c r="F5123" t="s">
        <v>42</v>
      </c>
      <c r="G5123">
        <v>-336.65280000000001</v>
      </c>
      <c r="H5123" s="1">
        <v>-1.995777E-6</v>
      </c>
      <c r="I5123">
        <v>21.78679</v>
      </c>
      <c r="J5123">
        <v>-363.71480000000003</v>
      </c>
      <c r="K5123">
        <v>1.1092470000000001</v>
      </c>
      <c r="L5123">
        <v>16.865539999999999</v>
      </c>
      <c r="M5123">
        <v>0.99989749999999999</v>
      </c>
      <c r="N5123">
        <v>-1.02586E-2</v>
      </c>
      <c r="O5123">
        <v>9.9909000000000005E-3</v>
      </c>
      <c r="P5123">
        <v>0.98606780000000005</v>
      </c>
      <c r="Q5123">
        <v>-4.7279370000000001E-2</v>
      </c>
      <c r="R5123">
        <v>0.15948399999999999</v>
      </c>
      <c r="S5123">
        <v>2.9503780000000002</v>
      </c>
      <c r="T5123">
        <v>-0.12022049999999999</v>
      </c>
      <c r="U5123">
        <v>0.53353879999999998</v>
      </c>
      <c r="V5123">
        <v>-0.149593899999999</v>
      </c>
      <c r="W5123">
        <v>-3.7265300000000001E-2</v>
      </c>
      <c r="X5123">
        <v>0.98804499999999995</v>
      </c>
      <c r="Y5123">
        <v>-0.16794500000000001</v>
      </c>
      <c r="Z5123">
        <v>3.9596930000000002E-3</v>
      </c>
      <c r="AA5123">
        <v>0.98578840000000001</v>
      </c>
      <c r="AB5123">
        <v>29</v>
      </c>
      <c r="AC5123">
        <v>27.062000000000001</v>
      </c>
      <c r="AD5123">
        <v>-1.109248995777</v>
      </c>
      <c r="AE5123">
        <v>4.9212499999999997</v>
      </c>
      <c r="AF5123">
        <v>-4.6430652424038898</v>
      </c>
      <c r="AG5123">
        <v>-1.109248995777</v>
      </c>
      <c r="AH5123">
        <v>27.065801564491501</v>
      </c>
      <c r="AI5123">
        <v>92.313111987470705</v>
      </c>
      <c r="AJ5123">
        <v>99.734186986414898</v>
      </c>
      <c r="AK5123">
        <v>27.483560586435701</v>
      </c>
      <c r="AL5123">
        <v>92.135638944697902</v>
      </c>
      <c r="AM5123">
        <v>98.6094187939092</v>
      </c>
      <c r="AN5123">
        <v>0.99999997976314903</v>
      </c>
    </row>
    <row r="5124" spans="1:40" x14ac:dyDescent="0.25">
      <c r="A5124" t="str">
        <f>"20190305135338009"</f>
        <v>20190305135338009</v>
      </c>
      <c r="B5124" t="str">
        <f>"1551765218005414"</f>
        <v>1551765218005414</v>
      </c>
      <c r="C5124" t="s">
        <v>40</v>
      </c>
      <c r="D5124">
        <v>4.693568</v>
      </c>
      <c r="E5124">
        <v>0.4929558</v>
      </c>
      <c r="F5124" t="s">
        <v>42</v>
      </c>
      <c r="G5124">
        <v>-337.0994</v>
      </c>
      <c r="H5124" s="1">
        <v>-1.781261E-6</v>
      </c>
      <c r="I5124">
        <v>21.700669999999999</v>
      </c>
      <c r="J5124">
        <v>-363.5446</v>
      </c>
      <c r="K5124">
        <v>1.1091899999999999</v>
      </c>
      <c r="L5124">
        <v>16.8674</v>
      </c>
      <c r="M5124">
        <v>0.9998956</v>
      </c>
      <c r="N5124">
        <v>-1.033339E-2</v>
      </c>
      <c r="O5124">
        <v>1.009899E-2</v>
      </c>
      <c r="P5124">
        <v>0.98596189999999995</v>
      </c>
      <c r="Q5124">
        <v>-4.6873280000000003E-2</v>
      </c>
      <c r="R5124">
        <v>0.1602566</v>
      </c>
      <c r="S5124">
        <v>2.9497990000000001</v>
      </c>
      <c r="T5124">
        <v>-0.1229386</v>
      </c>
      <c r="U5124">
        <v>0.5358887</v>
      </c>
      <c r="V5124">
        <v>-0.1502685</v>
      </c>
      <c r="W5124">
        <v>-3.6757810000000002E-2</v>
      </c>
      <c r="X5124">
        <v>0.9879616</v>
      </c>
      <c r="Y5124">
        <v>-0.168625</v>
      </c>
      <c r="Z5124">
        <v>4.0489799999999998E-3</v>
      </c>
      <c r="AA5124">
        <v>0.98567199999999999</v>
      </c>
      <c r="AB5124">
        <v>29</v>
      </c>
      <c r="AC5124">
        <v>26.4452</v>
      </c>
      <c r="AD5124">
        <v>-1.1091917812609999</v>
      </c>
      <c r="AE5124">
        <v>4.8332699999999997</v>
      </c>
      <c r="AF5124">
        <v>-4.5581797892412901</v>
      </c>
      <c r="AG5124">
        <v>-1.1091917812609999</v>
      </c>
      <c r="AH5124">
        <v>26.447641769061502</v>
      </c>
      <c r="AI5124">
        <v>92.366677650114795</v>
      </c>
      <c r="AJ5124">
        <v>99.7787074907516</v>
      </c>
      <c r="AK5124">
        <v>26.8604740193332</v>
      </c>
      <c r="AL5124">
        <v>92.106542054443693</v>
      </c>
      <c r="AM5124">
        <v>98.648376650194805</v>
      </c>
      <c r="AN5124">
        <v>0.99999994088140098</v>
      </c>
    </row>
    <row r="5125" spans="1:40" x14ac:dyDescent="0.25">
      <c r="A5125" t="str">
        <f>"20190305135338027"</f>
        <v>20190305135338027</v>
      </c>
      <c r="B5125" t="str">
        <f>"1551765218015174"</f>
        <v>1551765218015174</v>
      </c>
      <c r="C5125" t="s">
        <v>40</v>
      </c>
      <c r="D5125">
        <v>4.5982209999999997</v>
      </c>
      <c r="E5125">
        <v>0.49273410000000001</v>
      </c>
      <c r="F5125" t="s">
        <v>42</v>
      </c>
      <c r="G5125">
        <v>-337.91879999999998</v>
      </c>
      <c r="H5125" s="1">
        <v>-1.3838209999999999E-6</v>
      </c>
      <c r="I5125">
        <v>21.52806</v>
      </c>
      <c r="J5125">
        <v>-363.30880000000002</v>
      </c>
      <c r="K5125">
        <v>1.109127</v>
      </c>
      <c r="L5125">
        <v>16.869959999999999</v>
      </c>
      <c r="M5125">
        <v>0.99989349999999999</v>
      </c>
      <c r="N5125">
        <v>-1.0469350000000001E-2</v>
      </c>
      <c r="O5125">
        <v>1.017032E-2</v>
      </c>
      <c r="P5125">
        <v>0.98584899999999998</v>
      </c>
      <c r="Q5125">
        <v>-4.6108070000000001E-2</v>
      </c>
      <c r="R5125">
        <v>0.16117000000000001</v>
      </c>
      <c r="S5125">
        <v>2.9494630000000002</v>
      </c>
      <c r="T5125">
        <v>-0.12766469999999999</v>
      </c>
      <c r="U5125">
        <v>0.53643799999999997</v>
      </c>
      <c r="V5125">
        <v>-0.15112100000000001</v>
      </c>
      <c r="W5125">
        <v>-3.5825530000000001E-2</v>
      </c>
      <c r="X5125">
        <v>0.98786589999999996</v>
      </c>
      <c r="Y5125">
        <v>-0.16873949999999999</v>
      </c>
      <c r="Z5125">
        <v>4.1807820000000001E-3</v>
      </c>
      <c r="AA5125">
        <v>0.98565190000000003</v>
      </c>
      <c r="AB5125">
        <v>29</v>
      </c>
      <c r="AC5125">
        <v>25.39</v>
      </c>
      <c r="AD5125">
        <v>-1.109128383821</v>
      </c>
      <c r="AE5125">
        <v>4.6581000000000001</v>
      </c>
      <c r="AF5125">
        <v>-4.3915132056483799</v>
      </c>
      <c r="AG5125">
        <v>-1.109128383821</v>
      </c>
      <c r="AH5125">
        <v>25.389192035600999</v>
      </c>
      <c r="AI5125">
        <v>92.464825899347602</v>
      </c>
      <c r="AJ5125">
        <v>99.813231209216397</v>
      </c>
      <c r="AK5125">
        <v>25.790048976840001</v>
      </c>
      <c r="AL5125">
        <v>92.053090943985694</v>
      </c>
      <c r="AM5125">
        <v>98.697521990648895</v>
      </c>
      <c r="AN5125">
        <v>1.00000003081179</v>
      </c>
    </row>
    <row r="5126" spans="1:40" x14ac:dyDescent="0.25">
      <c r="A5126" t="str">
        <f>"20190305135338040"</f>
        <v>20190305135338040</v>
      </c>
      <c r="B5126" t="str">
        <f>"1551765218035670"</f>
        <v>1551765218035670</v>
      </c>
      <c r="C5126" t="s">
        <v>40</v>
      </c>
      <c r="D5126">
        <v>4.6135760000000001</v>
      </c>
      <c r="E5126">
        <v>0.49242809999999998</v>
      </c>
      <c r="F5126" t="s">
        <v>42</v>
      </c>
      <c r="G5126">
        <v>-337.66989999999998</v>
      </c>
      <c r="H5126" s="1">
        <v>-1.502546E-6</v>
      </c>
      <c r="I5126">
        <v>21.572959999999998</v>
      </c>
      <c r="J5126">
        <v>-363.13299999999998</v>
      </c>
      <c r="K5126">
        <v>1.109103</v>
      </c>
      <c r="L5126">
        <v>16.871860000000002</v>
      </c>
      <c r="M5126">
        <v>0.99989209999999995</v>
      </c>
      <c r="N5126">
        <v>-1.0599859999999999E-2</v>
      </c>
      <c r="O5126">
        <v>1.017989E-2</v>
      </c>
      <c r="P5126">
        <v>0.98582820000000004</v>
      </c>
      <c r="Q5126">
        <v>-4.5805970000000001E-2</v>
      </c>
      <c r="R5126">
        <v>0.16138359999999999</v>
      </c>
      <c r="S5126">
        <v>2.9487000000000001</v>
      </c>
      <c r="T5126">
        <v>-0.12755919999999901</v>
      </c>
      <c r="U5126">
        <v>0.54089359999999997</v>
      </c>
      <c r="V5126">
        <v>-0.1513303</v>
      </c>
      <c r="W5126">
        <v>-3.5375129999999998E-2</v>
      </c>
      <c r="X5126">
        <v>0.98785009999999995</v>
      </c>
      <c r="Y5126">
        <v>-0.170214</v>
      </c>
      <c r="Z5126">
        <v>4.2302599999999996E-3</v>
      </c>
      <c r="AA5126">
        <v>0.98539810000000005</v>
      </c>
      <c r="AB5126">
        <v>29</v>
      </c>
      <c r="AC5126">
        <v>25.463100000000001</v>
      </c>
      <c r="AD5126">
        <v>-1.109104502546</v>
      </c>
      <c r="AE5126">
        <v>4.7011000000000003</v>
      </c>
      <c r="AF5126">
        <v>-4.4334961362615601</v>
      </c>
      <c r="AG5126">
        <v>-1.109104502546</v>
      </c>
      <c r="AH5126">
        <v>25.4629229151654</v>
      </c>
      <c r="AI5126">
        <v>92.457169960428004</v>
      </c>
      <c r="AJ5126">
        <v>99.877080288277597</v>
      </c>
      <c r="AK5126">
        <v>25.869797915164899</v>
      </c>
      <c r="AL5126">
        <v>92.027268538628704</v>
      </c>
      <c r="AM5126">
        <v>98.709520497461895</v>
      </c>
      <c r="AN5126">
        <v>1.0000000397952999</v>
      </c>
    </row>
    <row r="5127" spans="1:40" x14ac:dyDescent="0.25">
      <c r="A5127" t="str">
        <f>"20190305135338062"</f>
        <v>20190305135338062</v>
      </c>
      <c r="B5127" t="str">
        <f>"1551765218055190"</f>
        <v>1551765218055190</v>
      </c>
      <c r="C5127" t="s">
        <v>40</v>
      </c>
      <c r="D5127">
        <v>4.6142729999999998</v>
      </c>
      <c r="E5127">
        <v>0.47553430000000002</v>
      </c>
      <c r="F5127" t="s">
        <v>42</v>
      </c>
      <c r="G5127">
        <v>-337.5052</v>
      </c>
      <c r="H5127" s="1">
        <v>-1.580426E-6</v>
      </c>
      <c r="I5127">
        <v>21.600159999999999</v>
      </c>
      <c r="J5127">
        <v>-362.84840000000003</v>
      </c>
      <c r="K5127">
        <v>1.109092</v>
      </c>
      <c r="L5127">
        <v>16.87482</v>
      </c>
      <c r="M5127">
        <v>0.99988940000000004</v>
      </c>
      <c r="N5127">
        <v>-1.0861819999999999E-2</v>
      </c>
      <c r="O5127">
        <v>1.015725E-2</v>
      </c>
      <c r="P5127">
        <v>0.98576379999999997</v>
      </c>
      <c r="Q5127">
        <v>-4.5732700000000001E-2</v>
      </c>
      <c r="R5127">
        <v>0.16179649999999901</v>
      </c>
      <c r="S5127">
        <v>2.9481809999999999</v>
      </c>
      <c r="T5127">
        <v>-0.1275896</v>
      </c>
      <c r="U5127">
        <v>0.54394529999999996</v>
      </c>
      <c r="V5127">
        <v>-0.1517712</v>
      </c>
      <c r="W5127">
        <v>-3.5020999999999997E-2</v>
      </c>
      <c r="X5127">
        <v>0.98779510000000004</v>
      </c>
      <c r="Y5127">
        <v>-0.17125119999999999</v>
      </c>
      <c r="Z5127">
        <v>4.2851590000000002E-3</v>
      </c>
      <c r="AA5127">
        <v>0.98521800000000004</v>
      </c>
      <c r="AB5127">
        <v>29</v>
      </c>
      <c r="AC5127">
        <v>25.3432</v>
      </c>
      <c r="AD5127">
        <v>-1.109093580426</v>
      </c>
      <c r="AE5127">
        <v>4.7253399999999903</v>
      </c>
      <c r="AF5127">
        <v>-4.45941009088064</v>
      </c>
      <c r="AG5127">
        <v>-1.109093580426</v>
      </c>
      <c r="AH5127">
        <v>25.342985660261299</v>
      </c>
      <c r="AI5127">
        <v>92.467986889014696</v>
      </c>
      <c r="AJ5127">
        <v>99.979734221968798</v>
      </c>
      <c r="AK5127">
        <v>25.756229326223199</v>
      </c>
      <c r="AL5127">
        <v>92.006965756697795</v>
      </c>
      <c r="AM5127">
        <v>98.734983707193194</v>
      </c>
      <c r="AN5127">
        <v>1.0000000635872199</v>
      </c>
    </row>
    <row r="5128" spans="1:40" x14ac:dyDescent="0.25">
      <c r="A5128" t="str">
        <f>"20190305135338085"</f>
        <v>20190305135338085</v>
      </c>
      <c r="B5128" t="str">
        <f>"1551765218075685"</f>
        <v>1551765218075685</v>
      </c>
      <c r="C5128" t="s">
        <v>40</v>
      </c>
      <c r="D5128">
        <v>4.5846439999999999</v>
      </c>
      <c r="E5128">
        <v>0.47699750000000002</v>
      </c>
      <c r="F5128" t="s">
        <v>42</v>
      </c>
      <c r="G5128">
        <v>-337.01310000000001</v>
      </c>
      <c r="H5128" s="1">
        <v>-2.1272999999999999E-6</v>
      </c>
      <c r="I5128">
        <v>22.861979999999999</v>
      </c>
      <c r="J5128">
        <v>-362.55759999999998</v>
      </c>
      <c r="K5128">
        <v>1.1090990000000001</v>
      </c>
      <c r="L5128">
        <v>16.87781</v>
      </c>
      <c r="M5128">
        <v>0.99988650000000001</v>
      </c>
      <c r="N5128">
        <v>-1.117785E-2</v>
      </c>
      <c r="O5128">
        <v>1.010701E-2</v>
      </c>
      <c r="P5128">
        <v>0.9857998</v>
      </c>
      <c r="Q5128">
        <v>-4.6607820000000001E-2</v>
      </c>
      <c r="R5128">
        <v>0.16132650000000001</v>
      </c>
      <c r="S5128">
        <v>2.9261780000000002</v>
      </c>
      <c r="T5128">
        <v>-0.12561889999999901</v>
      </c>
      <c r="U5128">
        <v>0.67813109999999999</v>
      </c>
      <c r="V5128">
        <v>-0.15135370000000001</v>
      </c>
      <c r="W5128">
        <v>-3.5569469999999999E-2</v>
      </c>
      <c r="X5128">
        <v>0.98783949999999998</v>
      </c>
      <c r="Y5128">
        <v>-0.2156701</v>
      </c>
      <c r="Z5128">
        <v>5.4721680000000003E-3</v>
      </c>
      <c r="AA5128">
        <v>0.97645090000000001</v>
      </c>
      <c r="AB5128">
        <v>29</v>
      </c>
      <c r="AC5128">
        <v>25.5444999999999</v>
      </c>
      <c r="AD5128">
        <v>-1.1091011273</v>
      </c>
      <c r="AE5128">
        <v>5.98416999999999</v>
      </c>
      <c r="AF5128">
        <v>-5.7154556863172097</v>
      </c>
      <c r="AG5128">
        <v>-1.1091011273</v>
      </c>
      <c r="AH5128">
        <v>25.558006685449602</v>
      </c>
      <c r="AI5128">
        <v>92.424995114758204</v>
      </c>
      <c r="AJ5128">
        <v>102.60547504741901</v>
      </c>
      <c r="AK5128">
        <v>26.212749660162</v>
      </c>
      <c r="AL5128">
        <v>92.038410485567496</v>
      </c>
      <c r="AM5128">
        <v>98.710938621655899</v>
      </c>
      <c r="AN5128">
        <v>1.0000000037300101</v>
      </c>
    </row>
    <row r="5129" spans="1:40" x14ac:dyDescent="0.25">
      <c r="A5129" t="str">
        <f>"20190305135338107"</f>
        <v>20190305135338107</v>
      </c>
      <c r="B5129" t="str">
        <f>"1551765218095205"</f>
        <v>1551765218095205</v>
      </c>
      <c r="C5129" t="s">
        <v>40</v>
      </c>
      <c r="D5129">
        <v>4.5843759999999998</v>
      </c>
      <c r="E5129">
        <v>0.47791610000000001</v>
      </c>
      <c r="F5129" t="s">
        <v>42</v>
      </c>
      <c r="G5129">
        <v>-336.72430000000003</v>
      </c>
      <c r="H5129" s="1">
        <v>-2.2203749999999999E-6</v>
      </c>
      <c r="I5129">
        <v>22.746269999999999</v>
      </c>
      <c r="J5129">
        <v>-362.2706</v>
      </c>
      <c r="K5129">
        <v>1.109121</v>
      </c>
      <c r="L5129">
        <v>16.880710000000001</v>
      </c>
      <c r="M5129">
        <v>0.99988330000000003</v>
      </c>
      <c r="N5129">
        <v>-1.149375E-2</v>
      </c>
      <c r="O5129">
        <v>1.0059179999999999E-2</v>
      </c>
      <c r="P5129">
        <v>0.98587849999999999</v>
      </c>
      <c r="Q5129">
        <v>-4.7930229999999997E-2</v>
      </c>
      <c r="R5129">
        <v>0.16045690000000001</v>
      </c>
      <c r="S5129">
        <v>2.928436</v>
      </c>
      <c r="T5129">
        <v>-0.1257267</v>
      </c>
      <c r="U5129">
        <v>0.66525269999999903</v>
      </c>
      <c r="V5129">
        <v>-0.15053239999999901</v>
      </c>
      <c r="W5129">
        <v>-3.6572479999999997E-2</v>
      </c>
      <c r="X5129">
        <v>0.98792840000000004</v>
      </c>
      <c r="Y5129">
        <v>-0.21147260000000001</v>
      </c>
      <c r="Z5129">
        <v>5.3998469999999897E-3</v>
      </c>
      <c r="AA5129">
        <v>0.97736900000000004</v>
      </c>
      <c r="AB5129">
        <v>29</v>
      </c>
      <c r="AC5129">
        <v>25.546299999999899</v>
      </c>
      <c r="AD5129">
        <v>-1.1091232203749899</v>
      </c>
      <c r="AE5129">
        <v>5.8655600000000003</v>
      </c>
      <c r="AF5129">
        <v>-5.5982473217892998</v>
      </c>
      <c r="AG5129">
        <v>-1.1091232203749899</v>
      </c>
      <c r="AH5129">
        <v>25.558250104093599</v>
      </c>
      <c r="AI5129">
        <v>92.427366187453899</v>
      </c>
      <c r="AJ5129">
        <v>102.354875328063</v>
      </c>
      <c r="AK5129">
        <v>26.187681756453699</v>
      </c>
      <c r="AL5129">
        <v>92.095916081512499</v>
      </c>
      <c r="AM5129">
        <v>98.663621319803994</v>
      </c>
      <c r="AN5129">
        <v>1.0000000366348301</v>
      </c>
    </row>
    <row r="5130" spans="1:40" x14ac:dyDescent="0.25">
      <c r="A5130" t="str">
        <f>"20190305135338130"</f>
        <v>20190305135338130</v>
      </c>
      <c r="B5130" t="str">
        <f>"1551765218125461"</f>
        <v>1551765218125461</v>
      </c>
      <c r="C5130" t="s">
        <v>40</v>
      </c>
      <c r="D5130">
        <v>5.0017909999999999</v>
      </c>
      <c r="E5130">
        <v>0.47850710000000002</v>
      </c>
      <c r="F5130" t="s">
        <v>42</v>
      </c>
      <c r="G5130">
        <v>-337.34530000000001</v>
      </c>
      <c r="H5130" s="1">
        <v>-1.876984E-6</v>
      </c>
      <c r="I5130">
        <v>22.456900000000001</v>
      </c>
      <c r="J5130">
        <v>-361.98289999999997</v>
      </c>
      <c r="K5130">
        <v>1.10914</v>
      </c>
      <c r="L5130">
        <v>16.88364</v>
      </c>
      <c r="M5130">
        <v>0.99988010000000005</v>
      </c>
      <c r="N5130">
        <v>-1.179088E-2</v>
      </c>
      <c r="O5130">
        <v>1.0029639999999999E-2</v>
      </c>
      <c r="P5130">
        <v>0.98597690000000004</v>
      </c>
      <c r="Q5130">
        <v>-4.9197129999999999E-2</v>
      </c>
      <c r="R5130">
        <v>0.1594651</v>
      </c>
      <c r="S5130">
        <v>2.9299620000000002</v>
      </c>
      <c r="T5130">
        <v>-0.13037679999999999</v>
      </c>
      <c r="U5130">
        <v>0.65548709999999999</v>
      </c>
      <c r="V5130">
        <v>-0.14956920000000001</v>
      </c>
      <c r="W5130">
        <v>-3.754304E-2</v>
      </c>
      <c r="X5130">
        <v>0.98803819999999998</v>
      </c>
      <c r="Y5130">
        <v>-0.2082772</v>
      </c>
      <c r="Z5130">
        <v>5.4951430000000001E-3</v>
      </c>
      <c r="AA5130">
        <v>0.97805439999999999</v>
      </c>
      <c r="AB5130">
        <v>29</v>
      </c>
      <c r="AC5130">
        <v>24.6375999999999</v>
      </c>
      <c r="AD5130">
        <v>-1.109141876984</v>
      </c>
      <c r="AE5130">
        <v>5.5732600000000003</v>
      </c>
      <c r="AF5130">
        <v>-5.3156077552116798</v>
      </c>
      <c r="AG5130">
        <v>-1.109141876984</v>
      </c>
      <c r="AH5130">
        <v>24.6447475282481</v>
      </c>
      <c r="AI5130">
        <v>92.519017946669507</v>
      </c>
      <c r="AJ5130">
        <v>102.17162254465801</v>
      </c>
      <c r="AK5130">
        <v>25.235876490457802</v>
      </c>
      <c r="AL5130">
        <v>92.151563471711597</v>
      </c>
      <c r="AM5130">
        <v>98.608076912912395</v>
      </c>
      <c r="AN5130">
        <v>0.99999995505015904</v>
      </c>
    </row>
    <row r="5131" spans="1:40" x14ac:dyDescent="0.25">
      <c r="A5131" t="str">
        <f>"20190305135338152"</f>
        <v>20190305135338152</v>
      </c>
      <c r="B5131" t="str">
        <f>"1551765218144982"</f>
        <v>1551765218144982</v>
      </c>
      <c r="C5131" t="s">
        <v>40</v>
      </c>
      <c r="D5131">
        <v>4.5383180000000003</v>
      </c>
      <c r="E5131">
        <v>0.4791916</v>
      </c>
      <c r="F5131" t="s">
        <v>42</v>
      </c>
      <c r="G5131">
        <v>-338.0188</v>
      </c>
      <c r="H5131" s="1">
        <v>-1.5144090000000001E-6</v>
      </c>
      <c r="I5131">
        <v>22.180040000000002</v>
      </c>
      <c r="J5131">
        <v>-361.69510000000002</v>
      </c>
      <c r="K5131">
        <v>1.1091719999999901</v>
      </c>
      <c r="L5131">
        <v>16.88654</v>
      </c>
      <c r="M5131">
        <v>0.99987689999999996</v>
      </c>
      <c r="N5131">
        <v>-1.20661E-2</v>
      </c>
      <c r="O5131">
        <v>1.004125E-2</v>
      </c>
      <c r="P5131">
        <v>0.98611590000000005</v>
      </c>
      <c r="Q5131">
        <v>-5.0330779999999999E-2</v>
      </c>
      <c r="R5131">
        <v>0.1582481</v>
      </c>
      <c r="S5131">
        <v>2.9311219999999998</v>
      </c>
      <c r="T5131">
        <v>-0.13566199999999901</v>
      </c>
      <c r="U5131">
        <v>0.64782709999999999</v>
      </c>
      <c r="V5131">
        <v>-0.14833829999999901</v>
      </c>
      <c r="W5131">
        <v>-3.8407080000000003E-2</v>
      </c>
      <c r="X5131">
        <v>0.98819060000000003</v>
      </c>
      <c r="Y5131">
        <v>-0.2057312</v>
      </c>
      <c r="Z5131">
        <v>5.619481E-3</v>
      </c>
      <c r="AA5131">
        <v>0.97859240000000003</v>
      </c>
      <c r="AB5131">
        <v>29</v>
      </c>
      <c r="AC5131">
        <v>23.676300000000001</v>
      </c>
      <c r="AD5131">
        <v>-1.10917351440899</v>
      </c>
      <c r="AE5131">
        <v>5.2934999999999901</v>
      </c>
      <c r="AF5131">
        <v>-5.04493126037955</v>
      </c>
      <c r="AG5131">
        <v>-1.10917351440899</v>
      </c>
      <c r="AH5131">
        <v>23.678770107429099</v>
      </c>
      <c r="AI5131">
        <v>92.6231283327146</v>
      </c>
      <c r="AJ5131">
        <v>102.027438942949</v>
      </c>
      <c r="AK5131">
        <v>24.235629785658499</v>
      </c>
      <c r="AL5131">
        <v>92.201104938122199</v>
      </c>
      <c r="AM5131">
        <v>98.536986574655003</v>
      </c>
      <c r="AN5131">
        <v>1.0000000084846801</v>
      </c>
    </row>
    <row r="5132" spans="1:40" x14ac:dyDescent="0.25">
      <c r="A5132" t="str">
        <f>"20190305135338165"</f>
        <v>20190305135338165</v>
      </c>
      <c r="B5132" t="str">
        <f>"1551765218155719"</f>
        <v>1551765218155719</v>
      </c>
      <c r="C5132" t="s">
        <v>40</v>
      </c>
      <c r="D5132">
        <v>4.5373659999999996</v>
      </c>
      <c r="E5132">
        <v>0.47937489999999999</v>
      </c>
      <c r="F5132" t="s">
        <v>42</v>
      </c>
      <c r="G5132">
        <v>-338.44389999999999</v>
      </c>
      <c r="H5132" s="1">
        <v>-1.2712100000000001E-6</v>
      </c>
      <c r="I5132">
        <v>21.95147</v>
      </c>
      <c r="J5132">
        <v>-361.52440000000001</v>
      </c>
      <c r="K5132">
        <v>1.1091959999999901</v>
      </c>
      <c r="L5132">
        <v>16.888279999999899</v>
      </c>
      <c r="M5132">
        <v>0.99987470000000001</v>
      </c>
      <c r="N5132">
        <v>-1.22212E-2</v>
      </c>
      <c r="O5132">
        <v>1.006868E-2</v>
      </c>
      <c r="P5132">
        <v>0.98618070000000002</v>
      </c>
      <c r="Q5132">
        <v>-5.0776540000000002E-2</v>
      </c>
      <c r="R5132">
        <v>0.15770020000000001</v>
      </c>
      <c r="S5132">
        <v>2.9325559999999999</v>
      </c>
      <c r="T5132">
        <v>-0.1398945</v>
      </c>
      <c r="U5132">
        <v>0.63882450000000002</v>
      </c>
      <c r="V5132">
        <v>-0.14776129999999901</v>
      </c>
      <c r="W5132">
        <v>-3.870349E-2</v>
      </c>
      <c r="X5132">
        <v>0.98826550000000002</v>
      </c>
      <c r="Y5132">
        <v>-0.20272509999999999</v>
      </c>
      <c r="Z5132">
        <v>5.6780190000000003E-3</v>
      </c>
      <c r="AA5132">
        <v>0.97921930000000001</v>
      </c>
      <c r="AB5132">
        <v>29</v>
      </c>
      <c r="AC5132">
        <v>23.080500000000001</v>
      </c>
      <c r="AD5132">
        <v>-1.10919727120999</v>
      </c>
      <c r="AE5132">
        <v>5.0631899999999996</v>
      </c>
      <c r="AF5132">
        <v>-4.8199050984526002</v>
      </c>
      <c r="AG5132">
        <v>-1.10919727120999</v>
      </c>
      <c r="AH5132">
        <v>23.0794575351518</v>
      </c>
      <c r="AI5132">
        <v>92.693492631065297</v>
      </c>
      <c r="AJ5132">
        <v>101.79608744737099</v>
      </c>
      <c r="AK5132">
        <v>23.603456608332301</v>
      </c>
      <c r="AL5132">
        <v>92.218100568669399</v>
      </c>
      <c r="AM5132">
        <v>98.503631153214101</v>
      </c>
      <c r="AN5132">
        <v>1.0000000302030501</v>
      </c>
    </row>
    <row r="5133" spans="1:40" x14ac:dyDescent="0.25">
      <c r="A5133" t="str">
        <f>"20190305135338177"</f>
        <v>20190305135338177</v>
      </c>
      <c r="B5133" t="str">
        <f>"1551765218165479"</f>
        <v>1551765218165479</v>
      </c>
      <c r="C5133" t="s">
        <v>40</v>
      </c>
      <c r="D5133">
        <v>4.5363369999999996</v>
      </c>
      <c r="E5133">
        <v>0.4795507</v>
      </c>
      <c r="F5133" t="s">
        <v>42</v>
      </c>
      <c r="G5133">
        <v>-338.5249</v>
      </c>
      <c r="H5133" s="1">
        <v>-1.215658E-6</v>
      </c>
      <c r="I5133">
        <v>21.87323</v>
      </c>
      <c r="J5133">
        <v>-361.36619999999999</v>
      </c>
      <c r="K5133">
        <v>1.109226</v>
      </c>
      <c r="L5133">
        <v>16.88992</v>
      </c>
      <c r="M5133">
        <v>0.9998726</v>
      </c>
      <c r="N5133">
        <v>-1.2353650000000001E-2</v>
      </c>
      <c r="O5133">
        <v>1.0123170000000001E-2</v>
      </c>
      <c r="P5133">
        <v>0.98628519999999997</v>
      </c>
      <c r="Q5133">
        <v>-5.1090150000000001E-2</v>
      </c>
      <c r="R5133">
        <v>0.156945899999999</v>
      </c>
      <c r="S5133">
        <v>2.9331360000000002</v>
      </c>
      <c r="T5133">
        <v>-0.141456</v>
      </c>
      <c r="U5133">
        <v>0.63574219999999904</v>
      </c>
      <c r="V5133">
        <v>-0.14695059999999999</v>
      </c>
      <c r="W5133">
        <v>-3.8891990000000001E-2</v>
      </c>
      <c r="X5133">
        <v>0.98837889999999995</v>
      </c>
      <c r="Y5133">
        <v>-0.2016442</v>
      </c>
      <c r="Z5133">
        <v>5.7059900000000002E-3</v>
      </c>
      <c r="AA5133">
        <v>0.97944219999999904</v>
      </c>
      <c r="AB5133">
        <v>29</v>
      </c>
      <c r="AC5133">
        <v>22.841299999999901</v>
      </c>
      <c r="AD5133">
        <v>-1.1092272156579901</v>
      </c>
      <c r="AE5133">
        <v>4.9833100000000004</v>
      </c>
      <c r="AF5133">
        <v>-4.7411376265891203</v>
      </c>
      <c r="AG5133">
        <v>-1.1092272156579901</v>
      </c>
      <c r="AH5133">
        <v>22.8391657617757</v>
      </c>
      <c r="AI5133">
        <v>92.722540845828902</v>
      </c>
      <c r="AJ5133">
        <v>101.72735691158501</v>
      </c>
      <c r="AK5133">
        <v>23.352435926559899</v>
      </c>
      <c r="AL5133">
        <v>92.228909121964605</v>
      </c>
      <c r="AM5133">
        <v>98.4566958166982</v>
      </c>
      <c r="AN5133">
        <v>0.99999995784586404</v>
      </c>
    </row>
    <row r="5134" spans="1:40" x14ac:dyDescent="0.25">
      <c r="A5134" t="str">
        <f>"20190305135338195"</f>
        <v>20190305135338195</v>
      </c>
      <c r="B5134" t="str">
        <f>"1551765218184998"</f>
        <v>1551765218184998</v>
      </c>
      <c r="C5134" t="s">
        <v>40</v>
      </c>
      <c r="D5134">
        <v>4.5421760000000004</v>
      </c>
      <c r="E5134">
        <v>0.4797206</v>
      </c>
      <c r="F5134" t="s">
        <v>42</v>
      </c>
      <c r="G5134">
        <v>-338.48140000000001</v>
      </c>
      <c r="H5134" s="1">
        <v>-1.220424E-6</v>
      </c>
      <c r="I5134">
        <v>21.821120000000001</v>
      </c>
      <c r="J5134">
        <v>-361.1395</v>
      </c>
      <c r="K5134">
        <v>1.109272</v>
      </c>
      <c r="L5134">
        <v>16.892299999999999</v>
      </c>
      <c r="M5134">
        <v>0.99986929999999996</v>
      </c>
      <c r="N5134">
        <v>-1.25337E-2</v>
      </c>
      <c r="O5134">
        <v>1.0222119999999999E-2</v>
      </c>
      <c r="P5134">
        <v>0.98634560000000004</v>
      </c>
      <c r="Q5134">
        <v>-5.1525689999999999E-2</v>
      </c>
      <c r="R5134">
        <v>0.15642200000000001</v>
      </c>
      <c r="S5134">
        <v>2.9337460000000002</v>
      </c>
      <c r="T5134">
        <v>-0.14219879999999999</v>
      </c>
      <c r="U5134">
        <v>0.63217159999999994</v>
      </c>
      <c r="V5134">
        <v>-0.1463255</v>
      </c>
      <c r="W5134">
        <v>-3.9159720000000002E-2</v>
      </c>
      <c r="X5134">
        <v>0.98846109999999998</v>
      </c>
      <c r="Y5134">
        <v>-0.2003644</v>
      </c>
      <c r="Z5134">
        <v>5.7060929999999998E-3</v>
      </c>
      <c r="AA5134">
        <v>0.97970480000000004</v>
      </c>
      <c r="AB5134">
        <v>29</v>
      </c>
      <c r="AC5134">
        <v>22.658099999999902</v>
      </c>
      <c r="AD5134">
        <v>-1.1092732204239999</v>
      </c>
      <c r="AE5134">
        <v>4.92882</v>
      </c>
      <c r="AF5134">
        <v>-4.6862060707306403</v>
      </c>
      <c r="AG5134">
        <v>-1.1092732204239999</v>
      </c>
      <c r="AH5134">
        <v>22.6554559193949</v>
      </c>
      <c r="AI5134">
        <v>92.745101268049197</v>
      </c>
      <c r="AJ5134">
        <v>101.68662956173701</v>
      </c>
      <c r="AK5134">
        <v>23.161621215505399</v>
      </c>
      <c r="AL5134">
        <v>92.244260542199996</v>
      </c>
      <c r="AM5134">
        <v>98.420549289651802</v>
      </c>
      <c r="AN5134">
        <v>0.99999999091696901</v>
      </c>
    </row>
    <row r="5135" spans="1:40" x14ac:dyDescent="0.25">
      <c r="A5135" t="str">
        <f>"20190305135338207"</f>
        <v>20190305135338207</v>
      </c>
      <c r="B5135" t="str">
        <f>"1551765218195734"</f>
        <v>1551765218195734</v>
      </c>
      <c r="C5135" t="s">
        <v>40</v>
      </c>
      <c r="D5135">
        <v>4.4663620000000002</v>
      </c>
      <c r="E5135">
        <v>0.4797865</v>
      </c>
      <c r="F5135" t="s">
        <v>42</v>
      </c>
      <c r="G5135">
        <v>-338.46440000000001</v>
      </c>
      <c r="H5135" s="1">
        <v>-1.2101090000000001E-6</v>
      </c>
      <c r="I5135">
        <v>21.75487</v>
      </c>
      <c r="J5135">
        <v>-360.98599999999999</v>
      </c>
      <c r="K5135">
        <v>1.1092979999999999</v>
      </c>
      <c r="L5135">
        <v>16.89395</v>
      </c>
      <c r="M5135">
        <v>0.9998669</v>
      </c>
      <c r="N5135">
        <v>-1.2648619999999999E-2</v>
      </c>
      <c r="O5135">
        <v>1.0303390000000001E-2</v>
      </c>
      <c r="P5135">
        <v>0.98639169999999998</v>
      </c>
      <c r="Q5135">
        <v>-5.1997040000000001E-2</v>
      </c>
      <c r="R5135">
        <v>0.15597469999999999</v>
      </c>
      <c r="S5135">
        <v>2.9342350000000001</v>
      </c>
      <c r="T5135">
        <v>-0.14354359999999999</v>
      </c>
      <c r="U5135">
        <v>0.62924190000000002</v>
      </c>
      <c r="V5135">
        <v>-0.14579500000000001</v>
      </c>
      <c r="W5135">
        <v>-3.9524610000000002E-2</v>
      </c>
      <c r="X5135">
        <v>0.98852499999999999</v>
      </c>
      <c r="Y5135">
        <v>-0.1993124</v>
      </c>
      <c r="Z5135">
        <v>5.7241740000000003E-3</v>
      </c>
      <c r="AA5135">
        <v>0.97991930000000005</v>
      </c>
      <c r="AB5135">
        <v>29</v>
      </c>
      <c r="AC5135">
        <v>22.5215999999999</v>
      </c>
      <c r="AD5135">
        <v>-1.10929921010899</v>
      </c>
      <c r="AE5135">
        <v>4.8609200000000001</v>
      </c>
      <c r="AF5135">
        <v>-4.6178899894273897</v>
      </c>
      <c r="AG5135">
        <v>-1.10929921010899</v>
      </c>
      <c r="AH5135">
        <v>22.518293528500902</v>
      </c>
      <c r="AI5135">
        <v>92.762827541340002</v>
      </c>
      <c r="AJ5135">
        <v>101.589130260522</v>
      </c>
      <c r="AK5135">
        <v>23.013669766634901</v>
      </c>
      <c r="AL5135">
        <v>92.265183318008297</v>
      </c>
      <c r="AM5135">
        <v>98.389921473392107</v>
      </c>
      <c r="AN5135">
        <v>1.0000000262228199</v>
      </c>
    </row>
    <row r="5136" spans="1:40" x14ac:dyDescent="0.25">
      <c r="A5136" t="str">
        <f>"20190305135338241"</f>
        <v>20190305135338241</v>
      </c>
      <c r="B5136" t="str">
        <f>"1551765218235750"</f>
        <v>1551765218235750</v>
      </c>
      <c r="C5136" t="s">
        <v>40</v>
      </c>
      <c r="D5136">
        <v>4.570513</v>
      </c>
      <c r="E5136">
        <v>0.47996179999999999</v>
      </c>
      <c r="F5136" t="s">
        <v>42</v>
      </c>
      <c r="G5136">
        <v>-338.9742</v>
      </c>
      <c r="H5136" s="1">
        <v>-9.5017400000000005E-7</v>
      </c>
      <c r="I5136">
        <v>21.599830000000001</v>
      </c>
      <c r="J5136">
        <v>-360.55470000000003</v>
      </c>
      <c r="K5136">
        <v>1.1093789999999999</v>
      </c>
      <c r="L5136">
        <v>16.89874</v>
      </c>
      <c r="M5136">
        <v>0.99986030000000004</v>
      </c>
      <c r="N5136">
        <v>-1.292925E-2</v>
      </c>
      <c r="O5136">
        <v>1.060059E-2</v>
      </c>
      <c r="P5136">
        <v>0.98622779999999999</v>
      </c>
      <c r="Q5136">
        <v>-5.2038389999999997E-2</v>
      </c>
      <c r="R5136">
        <v>0.15699360000000001</v>
      </c>
      <c r="S5136">
        <v>2.9343870000000001</v>
      </c>
      <c r="T5136">
        <v>-0.14788019999999999</v>
      </c>
      <c r="U5136">
        <v>0.62734990000000002</v>
      </c>
      <c r="V5136">
        <v>-0.14651689999999901</v>
      </c>
      <c r="W5136">
        <v>-3.9308559999999999E-2</v>
      </c>
      <c r="X5136">
        <v>0.9884269</v>
      </c>
      <c r="Y5136">
        <v>-0.19839129999999999</v>
      </c>
      <c r="Z5136">
        <v>5.8457719999999999E-3</v>
      </c>
      <c r="AA5136">
        <v>0.98010549999999996</v>
      </c>
      <c r="AB5136">
        <v>29</v>
      </c>
      <c r="AC5136">
        <v>21.580500000000001</v>
      </c>
      <c r="AD5136">
        <v>-1.109379950174</v>
      </c>
      <c r="AE5136">
        <v>4.70108999999999</v>
      </c>
      <c r="AF5136">
        <v>-4.4607864893608697</v>
      </c>
      <c r="AG5136">
        <v>-1.109379950174</v>
      </c>
      <c r="AH5136">
        <v>21.574694607000399</v>
      </c>
      <c r="AI5136">
        <v>92.882714080874507</v>
      </c>
      <c r="AJ5136">
        <v>101.681872999966</v>
      </c>
      <c r="AK5136">
        <v>22.058938944628402</v>
      </c>
      <c r="AL5136">
        <v>92.252794882390603</v>
      </c>
      <c r="AM5136">
        <v>98.4316930420689</v>
      </c>
      <c r="AN5136">
        <v>1.0000000507592399</v>
      </c>
    </row>
    <row r="5137" spans="1:40" x14ac:dyDescent="0.25">
      <c r="A5137" t="str">
        <f>"20190305135338263"</f>
        <v>20190305135338263</v>
      </c>
      <c r="B5137" t="str">
        <f>"1551765218255269"</f>
        <v>1551765218255269</v>
      </c>
      <c r="C5137" t="s">
        <v>40</v>
      </c>
      <c r="D5137">
        <v>4.5870870000000004</v>
      </c>
      <c r="E5137">
        <v>0.48011330000000002</v>
      </c>
      <c r="F5137" t="s">
        <v>42</v>
      </c>
      <c r="G5137">
        <v>-338.44170000000003</v>
      </c>
      <c r="H5137" s="1">
        <v>-1.189193E-6</v>
      </c>
      <c r="I5137">
        <v>21.639710000000001</v>
      </c>
      <c r="J5137">
        <v>-360.27370000000002</v>
      </c>
      <c r="K5137">
        <v>1.109418</v>
      </c>
      <c r="L5137">
        <v>16.901949999999999</v>
      </c>
      <c r="M5137">
        <v>0.99985590000000002</v>
      </c>
      <c r="N5137">
        <v>-1.3085970000000001E-2</v>
      </c>
      <c r="O5137">
        <v>1.0828600000000001E-2</v>
      </c>
      <c r="P5137">
        <v>0.98603949999999996</v>
      </c>
      <c r="Q5137">
        <v>-5.137009E-2</v>
      </c>
      <c r="R5137">
        <v>0.1583899</v>
      </c>
      <c r="S5137">
        <v>2.934021</v>
      </c>
      <c r="T5137">
        <v>-0.1471963</v>
      </c>
      <c r="U5137">
        <v>0.62905880000000003</v>
      </c>
      <c r="V5137">
        <v>-0.1476885</v>
      </c>
      <c r="W5137">
        <v>-3.849495E-2</v>
      </c>
      <c r="X5137">
        <v>0.98828450000000001</v>
      </c>
      <c r="Y5137">
        <v>-0.19873979999999999</v>
      </c>
      <c r="Z5137">
        <v>5.845706E-3</v>
      </c>
      <c r="AA5137">
        <v>0.98003490000000004</v>
      </c>
      <c r="AB5137">
        <v>29</v>
      </c>
      <c r="AC5137">
        <v>21.831999999999901</v>
      </c>
      <c r="AD5137">
        <v>-1.1094191891930001</v>
      </c>
      <c r="AE5137">
        <v>4.7377599999999997</v>
      </c>
      <c r="AF5137">
        <v>-4.4899790240393802</v>
      </c>
      <c r="AG5137">
        <v>-1.1094191891930001</v>
      </c>
      <c r="AH5137">
        <v>21.828195906610599</v>
      </c>
      <c r="AI5137">
        <v>92.849990549325696</v>
      </c>
      <c r="AJ5137">
        <v>101.623406778012</v>
      </c>
      <c r="AK5137">
        <v>22.312795860470601</v>
      </c>
      <c r="AL5137">
        <v>92.206143254962299</v>
      </c>
      <c r="AM5137">
        <v>98.499341720012794</v>
      </c>
      <c r="AN5137">
        <v>1.000000003574</v>
      </c>
    </row>
    <row r="5138" spans="1:40" x14ac:dyDescent="0.25">
      <c r="A5138" t="str">
        <f>"20190305135338284"</f>
        <v>20190305135338284</v>
      </c>
      <c r="B5138" t="str">
        <f>"1551765218274790"</f>
        <v>1551765218274790</v>
      </c>
      <c r="C5138" t="s">
        <v>40</v>
      </c>
      <c r="D5138">
        <v>4.5599439999999998</v>
      </c>
      <c r="E5138">
        <v>0.48018899999999998</v>
      </c>
      <c r="F5138" t="s">
        <v>42</v>
      </c>
      <c r="G5138">
        <v>-337.96710000000002</v>
      </c>
      <c r="H5138" s="1">
        <v>-1.41094E-6</v>
      </c>
      <c r="I5138">
        <v>21.707830000000001</v>
      </c>
      <c r="J5138">
        <v>-359.99439999999998</v>
      </c>
      <c r="K5138">
        <v>1.109434</v>
      </c>
      <c r="L5138">
        <v>16.905239999999999</v>
      </c>
      <c r="M5138">
        <v>0.9998515</v>
      </c>
      <c r="N5138">
        <v>-1.322272E-2</v>
      </c>
      <c r="O5138">
        <v>1.1063369999999999E-2</v>
      </c>
      <c r="P5138">
        <v>0.98595730000000004</v>
      </c>
      <c r="Q5138">
        <v>-5.0604879999999998E-2</v>
      </c>
      <c r="R5138">
        <v>0.15914629999999999</v>
      </c>
      <c r="S5138">
        <v>2.9333499999999999</v>
      </c>
      <c r="T5138">
        <v>-0.14588960000000001</v>
      </c>
      <c r="U5138">
        <v>0.63198849999999995</v>
      </c>
      <c r="V5138">
        <v>-0.14821280000000001</v>
      </c>
      <c r="W5138">
        <v>-3.7597899999999997E-2</v>
      </c>
      <c r="X5138">
        <v>0.98824049999999997</v>
      </c>
      <c r="Y5138">
        <v>-0.199494</v>
      </c>
      <c r="Z5138">
        <v>5.8377610000000003E-3</v>
      </c>
      <c r="AA5138">
        <v>0.97988160000000002</v>
      </c>
      <c r="AB5138">
        <v>29</v>
      </c>
      <c r="AC5138">
        <v>22.027299999999901</v>
      </c>
      <c r="AD5138">
        <v>-1.10943541094</v>
      </c>
      <c r="AE5138">
        <v>4.8025899999999897</v>
      </c>
      <c r="AF5138">
        <v>-4.5475659443060703</v>
      </c>
      <c r="AG5138">
        <v>-1.10943541094</v>
      </c>
      <c r="AH5138">
        <v>22.0257503707099</v>
      </c>
      <c r="AI5138">
        <v>92.824082101876797</v>
      </c>
      <c r="AJ5138">
        <v>101.665704423316</v>
      </c>
      <c r="AK5138">
        <v>22.517657123726</v>
      </c>
      <c r="AL5138">
        <v>92.154708926243003</v>
      </c>
      <c r="AM5138">
        <v>98.529445871535103</v>
      </c>
      <c r="AN5138">
        <v>0.99999996100424904</v>
      </c>
    </row>
    <row r="5139" spans="1:40" x14ac:dyDescent="0.25">
      <c r="A5139" t="str">
        <f>"20190305135338307"</f>
        <v>20190305135338307</v>
      </c>
      <c r="B5139" t="str">
        <f>"1551765218305046"</f>
        <v>1551765218305046</v>
      </c>
      <c r="C5139" t="s">
        <v>40</v>
      </c>
      <c r="D5139">
        <v>4.5850970000000002</v>
      </c>
      <c r="E5139">
        <v>0.48027439999999999</v>
      </c>
      <c r="F5139" t="s">
        <v>42</v>
      </c>
      <c r="G5139">
        <v>-337.30889999999999</v>
      </c>
      <c r="H5139" s="1">
        <v>-1.7193729999999999E-6</v>
      </c>
      <c r="I5139">
        <v>21.80584</v>
      </c>
      <c r="J5139">
        <v>-359.70729999999998</v>
      </c>
      <c r="K5139">
        <v>1.109434</v>
      </c>
      <c r="L5139">
        <v>16.908629999999999</v>
      </c>
      <c r="M5139">
        <v>0.99984740000000005</v>
      </c>
      <c r="N5139">
        <v>-1.334435E-2</v>
      </c>
      <c r="O5139">
        <v>1.128505E-2</v>
      </c>
      <c r="P5139">
        <v>0.98591240000000002</v>
      </c>
      <c r="Q5139">
        <v>-5.0332149999999999E-2</v>
      </c>
      <c r="R5139">
        <v>0.15951119999999999</v>
      </c>
      <c r="S5139">
        <v>2.9331360000000002</v>
      </c>
      <c r="T5139">
        <v>-0.14344509999999999</v>
      </c>
      <c r="U5139">
        <v>0.63363649999999905</v>
      </c>
      <c r="V5139">
        <v>-0.1483611</v>
      </c>
      <c r="W5139">
        <v>-3.7201930000000001E-2</v>
      </c>
      <c r="X5139">
        <v>0.98823329999999998</v>
      </c>
      <c r="Y5139">
        <v>-0.19982510000000001</v>
      </c>
      <c r="Z5139">
        <v>5.7809869999999996E-3</v>
      </c>
      <c r="AA5139">
        <v>0.97981450000000003</v>
      </c>
      <c r="AB5139">
        <v>29</v>
      </c>
      <c r="AC5139">
        <v>22.398399999999899</v>
      </c>
      <c r="AD5139">
        <v>-1.109435719373</v>
      </c>
      <c r="AE5139">
        <v>4.8972100000000003</v>
      </c>
      <c r="AF5139">
        <v>-4.6332598769930904</v>
      </c>
      <c r="AG5139">
        <v>-1.109435719373</v>
      </c>
      <c r="AH5139">
        <v>22.399794979496001</v>
      </c>
      <c r="AI5139">
        <v>92.776791482992195</v>
      </c>
      <c r="AJ5139">
        <v>101.686473618368</v>
      </c>
      <c r="AK5139">
        <v>22.900846268787301</v>
      </c>
      <c r="AL5139">
        <v>92.132005490039404</v>
      </c>
      <c r="AM5139">
        <v>98.537915905709497</v>
      </c>
      <c r="AN5139">
        <v>1.00000002740891</v>
      </c>
    </row>
    <row r="5140" spans="1:40" x14ac:dyDescent="0.25">
      <c r="A5140" t="str">
        <f>"20190305135338330"</f>
        <v>20190305135338330</v>
      </c>
      <c r="B5140" t="str">
        <f>"1551765218325542"</f>
        <v>1551765218325542</v>
      </c>
      <c r="C5140" t="s">
        <v>40</v>
      </c>
      <c r="D5140">
        <v>4.8331799999999996</v>
      </c>
      <c r="E5140">
        <v>0.48025770000000001</v>
      </c>
      <c r="F5140" t="s">
        <v>42</v>
      </c>
      <c r="G5140">
        <v>-336.92070000000001</v>
      </c>
      <c r="H5140" s="1">
        <v>-1.893348E-6</v>
      </c>
      <c r="I5140">
        <v>21.83389</v>
      </c>
      <c r="J5140">
        <v>-359.41559999999998</v>
      </c>
      <c r="K5140">
        <v>1.1094139999999999</v>
      </c>
      <c r="L5140">
        <v>16.912140000000001</v>
      </c>
      <c r="M5140">
        <v>0.9998437</v>
      </c>
      <c r="N5140">
        <v>-1.345151E-2</v>
      </c>
      <c r="O5140">
        <v>1.147137E-2</v>
      </c>
      <c r="P5140">
        <v>0.98595080000000002</v>
      </c>
      <c r="Q5140">
        <v>-5.0732869999999999E-2</v>
      </c>
      <c r="R5140">
        <v>0.1591456</v>
      </c>
      <c r="S5140">
        <v>2.933014</v>
      </c>
      <c r="T5140">
        <v>-0.14280279999999901</v>
      </c>
      <c r="U5140">
        <v>0.63397219999999999</v>
      </c>
      <c r="V5140">
        <v>-0.14781240000000001</v>
      </c>
      <c r="W5140">
        <v>-3.7487510000000002E-2</v>
      </c>
      <c r="X5140">
        <v>0.98830469999999904</v>
      </c>
      <c r="Y5140">
        <v>-0.19975989999999999</v>
      </c>
      <c r="Z5140">
        <v>5.7655090000000003E-3</v>
      </c>
      <c r="AA5140">
        <v>0.97982789999999997</v>
      </c>
      <c r="AB5140">
        <v>29</v>
      </c>
      <c r="AC5140">
        <v>22.494899999999902</v>
      </c>
      <c r="AD5140">
        <v>-1.1094158933479901</v>
      </c>
      <c r="AE5140">
        <v>4.9217499999999896</v>
      </c>
      <c r="AF5140">
        <v>-4.6525559024388796</v>
      </c>
      <c r="AG5140">
        <v>-1.1094158933479901</v>
      </c>
      <c r="AH5140">
        <v>22.4976623181023</v>
      </c>
      <c r="AI5140">
        <v>92.764704634545595</v>
      </c>
      <c r="AJ5140">
        <v>101.684160218839</v>
      </c>
      <c r="AK5140">
        <v>23.0004758609271</v>
      </c>
      <c r="AL5140">
        <v>92.148379500070902</v>
      </c>
      <c r="AM5140">
        <v>98.506196463861002</v>
      </c>
      <c r="AN5140">
        <v>0.999999999520924</v>
      </c>
    </row>
    <row r="5141" spans="1:40" x14ac:dyDescent="0.25">
      <c r="A5141" t="str">
        <f>"20190305135338352"</f>
        <v>20190305135338352</v>
      </c>
      <c r="B5141" t="str">
        <f>"1551765218345062"</f>
        <v>1551765218345062</v>
      </c>
      <c r="C5141" t="s">
        <v>40</v>
      </c>
      <c r="D5141">
        <v>4.5887659999999997</v>
      </c>
      <c r="E5141">
        <v>0.48019329999999999</v>
      </c>
      <c r="F5141" t="s">
        <v>42</v>
      </c>
      <c r="G5141">
        <v>-336.7912</v>
      </c>
      <c r="H5141" s="1">
        <v>-1.9386750000000001E-6</v>
      </c>
      <c r="I5141">
        <v>21.79533</v>
      </c>
      <c r="J5141">
        <v>-359.13189999999997</v>
      </c>
      <c r="K5141">
        <v>1.1093740000000001</v>
      </c>
      <c r="L5141">
        <v>16.915589999999899</v>
      </c>
      <c r="M5141">
        <v>0.99984090000000003</v>
      </c>
      <c r="N5141">
        <v>-1.354202E-2</v>
      </c>
      <c r="O5141">
        <v>1.161265E-2</v>
      </c>
      <c r="P5141">
        <v>0.98602599999999996</v>
      </c>
      <c r="Q5141">
        <v>-5.2026160000000002E-2</v>
      </c>
      <c r="R5141">
        <v>0.1582587</v>
      </c>
      <c r="S5141">
        <v>2.9331360000000002</v>
      </c>
      <c r="T5141">
        <v>-0.14382929999999999</v>
      </c>
      <c r="U5141">
        <v>0.63308719999999996</v>
      </c>
      <c r="V5141">
        <v>-0.14678729999999901</v>
      </c>
      <c r="W5141">
        <v>-3.8679850000000002E-2</v>
      </c>
      <c r="X5141">
        <v>0.9884115</v>
      </c>
      <c r="Y5141">
        <v>-0.19932720000000001</v>
      </c>
      <c r="Z5141">
        <v>5.7877629999999996E-3</v>
      </c>
      <c r="AA5141">
        <v>0.97991589999999995</v>
      </c>
      <c r="AB5141">
        <v>29</v>
      </c>
      <c r="AC5141">
        <v>22.340699999999899</v>
      </c>
      <c r="AD5141">
        <v>-1.109375938675</v>
      </c>
      <c r="AE5141">
        <v>4.87974</v>
      </c>
      <c r="AF5141">
        <v>-4.6091046357039804</v>
      </c>
      <c r="AG5141">
        <v>-1.109375938675</v>
      </c>
      <c r="AH5141">
        <v>22.343279211523701</v>
      </c>
      <c r="AI5141">
        <v>92.783961582990202</v>
      </c>
      <c r="AJ5141">
        <v>101.65581645032699</v>
      </c>
      <c r="AK5141">
        <v>22.840680516138001</v>
      </c>
      <c r="AL5141">
        <v>92.216745219924306</v>
      </c>
      <c r="AM5141">
        <v>98.447159319943097</v>
      </c>
      <c r="AN5141">
        <v>0.99999996778477995</v>
      </c>
    </row>
    <row r="5142" spans="1:40" x14ac:dyDescent="0.25">
      <c r="A5142" t="str">
        <f>"20190305135338375"</f>
        <v>20190305135338375</v>
      </c>
      <c r="B5142" t="str">
        <f>"1551765218365558"</f>
        <v>1551765218365558</v>
      </c>
      <c r="C5142" t="s">
        <v>40</v>
      </c>
      <c r="D5142">
        <v>4.568136</v>
      </c>
      <c r="E5142">
        <v>0.48014479999999998</v>
      </c>
      <c r="F5142" t="s">
        <v>42</v>
      </c>
      <c r="G5142">
        <v>-337.08920000000001</v>
      </c>
      <c r="H5142" s="1">
        <v>-1.773782E-6</v>
      </c>
      <c r="I5142">
        <v>21.656140000000001</v>
      </c>
      <c r="J5142">
        <v>-358.84559999999999</v>
      </c>
      <c r="K5142">
        <v>1.10934</v>
      </c>
      <c r="L5142">
        <v>16.919039999999999</v>
      </c>
      <c r="M5142">
        <v>0.99983869999999997</v>
      </c>
      <c r="N5142">
        <v>-1.3620989999999999E-2</v>
      </c>
      <c r="O5142">
        <v>1.170828E-2</v>
      </c>
      <c r="P5142">
        <v>0.9863558</v>
      </c>
      <c r="Q5142">
        <v>-5.2642899999999999E-2</v>
      </c>
      <c r="R5142">
        <v>0.15598429999999999</v>
      </c>
      <c r="S5142">
        <v>2.9334720000000001</v>
      </c>
      <c r="T5142">
        <v>-0.14763699999999999</v>
      </c>
      <c r="U5142">
        <v>0.6308899</v>
      </c>
      <c r="V5142">
        <v>-0.14441799999999999</v>
      </c>
      <c r="W5142">
        <v>-3.9202670000000002E-2</v>
      </c>
      <c r="X5142">
        <v>0.9887399</v>
      </c>
      <c r="Y5142">
        <v>-0.19849629999999999</v>
      </c>
      <c r="Z5142">
        <v>5.8793919999999998E-3</v>
      </c>
      <c r="AA5142">
        <v>0.98008399999999996</v>
      </c>
      <c r="AB5142">
        <v>28</v>
      </c>
      <c r="AC5142">
        <v>21.7563999999999</v>
      </c>
      <c r="AD5142">
        <v>-1.1093417737819999</v>
      </c>
      <c r="AE5142">
        <v>4.7370999999999999</v>
      </c>
      <c r="AF5142">
        <v>-4.47092375748083</v>
      </c>
      <c r="AG5142">
        <v>-1.1093417737819999</v>
      </c>
      <c r="AH5142">
        <v>21.756372714891601</v>
      </c>
      <c r="AI5142">
        <v>92.859295100357699</v>
      </c>
      <c r="AJ5142">
        <v>101.612588656352</v>
      </c>
      <c r="AK5142">
        <v>22.2386949285596</v>
      </c>
      <c r="AL5142">
        <v>92.246723268970101</v>
      </c>
      <c r="AM5142">
        <v>98.310011519951601</v>
      </c>
      <c r="AN5142">
        <v>0.99999999895556901</v>
      </c>
    </row>
    <row r="5143" spans="1:40" x14ac:dyDescent="0.25">
      <c r="A5143" t="str">
        <f>"20190305135338396"</f>
        <v>20190305135338396</v>
      </c>
      <c r="B5143" t="str">
        <f>"1551765218385081"</f>
        <v>1551765218385081</v>
      </c>
      <c r="C5143" t="s">
        <v>40</v>
      </c>
      <c r="D5143">
        <v>4.5882170000000002</v>
      </c>
      <c r="E5143">
        <v>0.48013080000000002</v>
      </c>
      <c r="F5143" t="s">
        <v>42</v>
      </c>
      <c r="G5143">
        <v>-337.06240000000003</v>
      </c>
      <c r="H5143" s="1">
        <v>-1.7583740000000001E-6</v>
      </c>
      <c r="I5143">
        <v>21.554970000000001</v>
      </c>
      <c r="J5143">
        <v>-358.57600000000002</v>
      </c>
      <c r="K5143">
        <v>1.1093120000000001</v>
      </c>
      <c r="L5143">
        <v>16.922239999999999</v>
      </c>
      <c r="M5143">
        <v>0.99983730000000004</v>
      </c>
      <c r="N5143">
        <v>-1.368545E-2</v>
      </c>
      <c r="O5143">
        <v>1.175816E-2</v>
      </c>
      <c r="P5143">
        <v>0.98671880000000001</v>
      </c>
      <c r="Q5143">
        <v>-5.3670379999999997E-2</v>
      </c>
      <c r="R5143">
        <v>0.15331549999999999</v>
      </c>
      <c r="S5143">
        <v>2.9348139999999998</v>
      </c>
      <c r="T5143">
        <v>-0.1494598</v>
      </c>
      <c r="U5143">
        <v>0.62460329999999997</v>
      </c>
      <c r="V5143">
        <v>-0.1416983</v>
      </c>
      <c r="W5143">
        <v>-4.0151560000000003E-2</v>
      </c>
      <c r="X5143">
        <v>0.98909530000000001</v>
      </c>
      <c r="Y5143">
        <v>-0.19634389999999999</v>
      </c>
      <c r="Z5143">
        <v>5.8681419999999998E-3</v>
      </c>
      <c r="AA5143">
        <v>0.98051759999999999</v>
      </c>
      <c r="AB5143">
        <v>28</v>
      </c>
      <c r="AC5143">
        <v>21.513599999999901</v>
      </c>
      <c r="AD5143">
        <v>-1.109313758374</v>
      </c>
      <c r="AE5143">
        <v>4.6327299999999996</v>
      </c>
      <c r="AF5143">
        <v>-4.3683259434586601</v>
      </c>
      <c r="AG5143">
        <v>-1.109313758374</v>
      </c>
      <c r="AH5143">
        <v>21.511929143516699</v>
      </c>
      <c r="AI5143">
        <v>92.893036307181006</v>
      </c>
      <c r="AJ5143">
        <v>101.478705270166</v>
      </c>
      <c r="AK5143">
        <v>21.978988694626</v>
      </c>
      <c r="AL5143">
        <v>92.301133427236095</v>
      </c>
      <c r="AM5143">
        <v>98.152750247878501</v>
      </c>
      <c r="AN5143">
        <v>1.0000000342377</v>
      </c>
    </row>
    <row r="5144" spans="1:40" x14ac:dyDescent="0.25">
      <c r="A5144" t="str">
        <f>"20190305135338418"</f>
        <v>20190305135338418</v>
      </c>
      <c r="B5144" t="str">
        <f>"1551765218415334"</f>
        <v>1551765218415334</v>
      </c>
      <c r="C5144" t="s">
        <v>40</v>
      </c>
      <c r="D5144">
        <v>4.5906529999999997</v>
      </c>
      <c r="E5144">
        <v>0.4800758</v>
      </c>
      <c r="F5144" t="s">
        <v>42</v>
      </c>
      <c r="G5144">
        <v>-337.29149999999998</v>
      </c>
      <c r="H5144" s="1">
        <v>-1.6168820000000001E-6</v>
      </c>
      <c r="I5144">
        <v>21.39254</v>
      </c>
      <c r="J5144">
        <v>-358.29570000000001</v>
      </c>
      <c r="K5144">
        <v>1.109294</v>
      </c>
      <c r="L5144">
        <v>16.92557</v>
      </c>
      <c r="M5144">
        <v>0.99983610000000001</v>
      </c>
      <c r="N5144">
        <v>-1.3743440000000001E-2</v>
      </c>
      <c r="O5144">
        <v>1.177899E-2</v>
      </c>
      <c r="P5144">
        <v>0.98718430000000001</v>
      </c>
      <c r="Q5144">
        <v>-5.4350999999999997E-2</v>
      </c>
      <c r="R5144">
        <v>0.150042799999999</v>
      </c>
      <c r="S5144">
        <v>2.9362490000000001</v>
      </c>
      <c r="T5144">
        <v>-0.15303220000000001</v>
      </c>
      <c r="U5144">
        <v>0.616699199999999</v>
      </c>
      <c r="V5144">
        <v>-0.1384021</v>
      </c>
      <c r="W5144">
        <v>-4.0760369999999997E-2</v>
      </c>
      <c r="X5144">
        <v>0.989537</v>
      </c>
      <c r="Y5144">
        <v>-0.19369</v>
      </c>
      <c r="Z5144">
        <v>5.8895980000000002E-3</v>
      </c>
      <c r="AA5144">
        <v>0.9810451</v>
      </c>
      <c r="AB5144">
        <v>28</v>
      </c>
      <c r="AC5144">
        <v>21.004200000000001</v>
      </c>
      <c r="AD5144">
        <v>-1.1092956168820001</v>
      </c>
      <c r="AE5144">
        <v>4.4669699999999999</v>
      </c>
      <c r="AF5144">
        <v>-4.2079992541103799</v>
      </c>
      <c r="AG5144">
        <v>-1.1092956168820001</v>
      </c>
      <c r="AH5144">
        <v>20.999326741131998</v>
      </c>
      <c r="AI5144">
        <v>92.965019730535403</v>
      </c>
      <c r="AJ5144">
        <v>101.331270325901</v>
      </c>
      <c r="AK5144">
        <v>21.445501114896999</v>
      </c>
      <c r="AL5144">
        <v>92.336044303478701</v>
      </c>
      <c r="AM5144">
        <v>97.962052834778106</v>
      </c>
      <c r="AN5144">
        <v>1.0000000117079699</v>
      </c>
    </row>
    <row r="5145" spans="1:40" x14ac:dyDescent="0.25">
      <c r="A5145" t="str">
        <f>"20190305135338440"</f>
        <v>20190305135338440</v>
      </c>
      <c r="B5145" t="str">
        <f>"1551765218434855"</f>
        <v>1551765218434855</v>
      </c>
      <c r="C5145" t="s">
        <v>40</v>
      </c>
      <c r="D5145">
        <v>4.5669320000000004</v>
      </c>
      <c r="E5145">
        <v>0.48001070000000001</v>
      </c>
      <c r="F5145" t="s">
        <v>42</v>
      </c>
      <c r="G5145">
        <v>-337.36759999999998</v>
      </c>
      <c r="H5145" s="1">
        <v>-1.546885E-6</v>
      </c>
      <c r="I5145">
        <v>21.252189999999999</v>
      </c>
      <c r="J5145">
        <v>-358.00920000000002</v>
      </c>
      <c r="K5145">
        <v>1.1092770000000001</v>
      </c>
      <c r="L5145">
        <v>16.928989999999999</v>
      </c>
      <c r="M5145">
        <v>0.99983569999999999</v>
      </c>
      <c r="N5145">
        <v>-1.3794300000000001E-2</v>
      </c>
      <c r="O5145">
        <v>1.1771739999999999E-2</v>
      </c>
      <c r="P5145">
        <v>0.98770100000000005</v>
      </c>
      <c r="Q5145">
        <v>-5.4421589999999999E-2</v>
      </c>
      <c r="R5145">
        <v>0.1465793</v>
      </c>
      <c r="S5145">
        <v>2.9380799999999998</v>
      </c>
      <c r="T5145">
        <v>-0.15573310000000001</v>
      </c>
      <c r="U5145">
        <v>0.60742189999999996</v>
      </c>
      <c r="V5145">
        <v>-0.13494210000000001</v>
      </c>
      <c r="W5145">
        <v>-4.076722E-2</v>
      </c>
      <c r="X5145">
        <v>0.99001450000000002</v>
      </c>
      <c r="Y5145">
        <v>-0.19059960000000001</v>
      </c>
      <c r="Z5145">
        <v>5.8685040000000001E-3</v>
      </c>
      <c r="AA5145">
        <v>0.98165040000000003</v>
      </c>
      <c r="AB5145">
        <v>28</v>
      </c>
      <c r="AC5145">
        <v>20.6416</v>
      </c>
      <c r="AD5145">
        <v>-1.1092785468849999</v>
      </c>
      <c r="AE5145">
        <v>4.3231999999999999</v>
      </c>
      <c r="AF5145">
        <v>-4.0686333826777599</v>
      </c>
      <c r="AG5145">
        <v>-1.1092785468849999</v>
      </c>
      <c r="AH5145">
        <v>20.633979471797002</v>
      </c>
      <c r="AI5145">
        <v>93.019223228692397</v>
      </c>
      <c r="AJ5145">
        <v>101.154556497996</v>
      </c>
      <c r="AK5145">
        <v>21.0605172144408</v>
      </c>
      <c r="AL5145">
        <v>92.336437078736793</v>
      </c>
      <c r="AM5145">
        <v>97.761763934317102</v>
      </c>
      <c r="AN5145">
        <v>1.00000002339459</v>
      </c>
    </row>
    <row r="5146" spans="1:40" x14ac:dyDescent="0.25">
      <c r="A5146" t="str">
        <f>"20190305135338464"</f>
        <v>20190305135338464</v>
      </c>
      <c r="B5146" t="str">
        <f>"1551765218455355"</f>
        <v>1551765218455355</v>
      </c>
      <c r="C5146" t="s">
        <v>40</v>
      </c>
      <c r="D5146">
        <v>4.9302469999999996</v>
      </c>
      <c r="E5146">
        <v>0.47998030000000003</v>
      </c>
      <c r="F5146" t="s">
        <v>42</v>
      </c>
      <c r="G5146">
        <v>-337.1336</v>
      </c>
      <c r="H5146" s="1">
        <v>-1.626046E-6</v>
      </c>
      <c r="I5146">
        <v>21.172460000000001</v>
      </c>
      <c r="J5146">
        <v>-357.7133</v>
      </c>
      <c r="K5146">
        <v>1.109262</v>
      </c>
      <c r="L5146">
        <v>16.932459999999999</v>
      </c>
      <c r="M5146">
        <v>0.99983540000000004</v>
      </c>
      <c r="N5146">
        <v>-1.3839280000000001E-2</v>
      </c>
      <c r="O5146">
        <v>1.1733520000000001E-2</v>
      </c>
      <c r="P5146">
        <v>0.98830810000000002</v>
      </c>
      <c r="Q5146">
        <v>-5.4299399999999998E-2</v>
      </c>
      <c r="R5146">
        <v>0.1424733</v>
      </c>
      <c r="S5146">
        <v>2.9400940000000002</v>
      </c>
      <c r="T5146">
        <v>-0.15622939999999999</v>
      </c>
      <c r="U5146">
        <v>0.59765630000000003</v>
      </c>
      <c r="V5146">
        <v>-0.13086880000000001</v>
      </c>
      <c r="W5146">
        <v>-4.0586179999999999E-2</v>
      </c>
      <c r="X5146">
        <v>0.99056860000000002</v>
      </c>
      <c r="Y5146">
        <v>-0.18737719999999999</v>
      </c>
      <c r="Z5146">
        <v>5.7796590000000004E-3</v>
      </c>
      <c r="AA5146">
        <v>0.98227100000000001</v>
      </c>
      <c r="AB5146">
        <v>28</v>
      </c>
      <c r="AC5146">
        <v>20.579699999999999</v>
      </c>
      <c r="AD5146">
        <v>-1.109263626046</v>
      </c>
      <c r="AE5146">
        <v>4.24</v>
      </c>
      <c r="AF5146">
        <v>-3.98710056100211</v>
      </c>
      <c r="AG5146">
        <v>-1.109263626046</v>
      </c>
      <c r="AH5146">
        <v>20.5707073153872</v>
      </c>
      <c r="AI5146">
        <v>93.030363413858694</v>
      </c>
      <c r="AJ5146">
        <v>100.969293277717</v>
      </c>
      <c r="AK5146">
        <v>20.982884361568001</v>
      </c>
      <c r="AL5146">
        <v>92.326055676032595</v>
      </c>
      <c r="AM5146">
        <v>97.526036704509394</v>
      </c>
      <c r="AN5146">
        <v>1.0000000160631899</v>
      </c>
    </row>
    <row r="5147" spans="1:40" x14ac:dyDescent="0.25">
      <c r="A5147" t="str">
        <f>"20190305135338484"</f>
        <v>20190305135338484</v>
      </c>
      <c r="B5147" t="str">
        <f>"1551765218474873"</f>
        <v>1551765218474873</v>
      </c>
      <c r="C5147" t="s">
        <v>40</v>
      </c>
      <c r="D5147">
        <v>5.3684649999999996</v>
      </c>
      <c r="E5147">
        <v>0.48026829999999998</v>
      </c>
      <c r="F5147" t="s">
        <v>42</v>
      </c>
      <c r="G5147">
        <v>-336.76240000000001</v>
      </c>
      <c r="H5147" s="1">
        <v>-1.766478E-6</v>
      </c>
      <c r="I5147">
        <v>21.101669999999999</v>
      </c>
      <c r="J5147">
        <v>-357.45710000000003</v>
      </c>
      <c r="K5147">
        <v>1.1092489999999999</v>
      </c>
      <c r="L5147">
        <v>16.935389999999899</v>
      </c>
      <c r="M5147">
        <v>0.99983580000000005</v>
      </c>
      <c r="N5147">
        <v>-1.387248E-2</v>
      </c>
      <c r="O5147">
        <v>1.1672129999999999E-2</v>
      </c>
      <c r="P5147">
        <v>0.98894820000000005</v>
      </c>
      <c r="Q5147">
        <v>-5.450878E-2</v>
      </c>
      <c r="R5147">
        <v>0.13787929999999901</v>
      </c>
      <c r="S5147">
        <v>2.9425349999999999</v>
      </c>
      <c r="T5147">
        <v>-0.15579489999999999</v>
      </c>
      <c r="U5147">
        <v>0.58557130000000002</v>
      </c>
      <c r="V5147">
        <v>-0.12633079999999999</v>
      </c>
      <c r="W5147">
        <v>-4.0748279999999998E-2</v>
      </c>
      <c r="X5147">
        <v>0.99115089999999995</v>
      </c>
      <c r="Y5147">
        <v>-0.18340780000000001</v>
      </c>
      <c r="Z5147">
        <v>5.6395289999999999E-3</v>
      </c>
      <c r="AA5147">
        <v>0.98302069999999997</v>
      </c>
      <c r="AB5147">
        <v>28</v>
      </c>
      <c r="AC5147">
        <v>20.694700000000001</v>
      </c>
      <c r="AD5147">
        <v>-1.109250766478</v>
      </c>
      <c r="AE5147">
        <v>4.1662800000000004</v>
      </c>
      <c r="AF5147">
        <v>-3.9136157010827501</v>
      </c>
      <c r="AG5147">
        <v>-1.109250766478</v>
      </c>
      <c r="AH5147">
        <v>20.684810599498899</v>
      </c>
      <c r="AI5147">
        <v>93.016212535111606</v>
      </c>
      <c r="AJ5147">
        <v>100.713853500178</v>
      </c>
      <c r="AK5147">
        <v>21.080991785393699</v>
      </c>
      <c r="AL5147">
        <v>92.335351048980101</v>
      </c>
      <c r="AM5147">
        <v>97.263679674517903</v>
      </c>
      <c r="AN5147">
        <v>0.99999999996120403</v>
      </c>
    </row>
    <row r="5148" spans="1:40" x14ac:dyDescent="0.25">
      <c r="A5148" t="str">
        <f>"20190305135338509"</f>
        <v>20190305135338509</v>
      </c>
      <c r="B5148" t="str">
        <f>"1551765218505126"</f>
        <v>1551765218505126</v>
      </c>
      <c r="C5148" t="s">
        <v>40</v>
      </c>
      <c r="D5148">
        <v>4.8612760000000002</v>
      </c>
      <c r="E5148">
        <v>0.61397489999999999</v>
      </c>
      <c r="F5148" t="s">
        <v>42</v>
      </c>
      <c r="G5148">
        <v>-336.39389999999997</v>
      </c>
      <c r="H5148" s="1">
        <v>-1.8999429999999999E-6</v>
      </c>
      <c r="I5148">
        <v>21.0092</v>
      </c>
      <c r="J5148">
        <v>-357.16570000000002</v>
      </c>
      <c r="K5148">
        <v>1.1092280000000001</v>
      </c>
      <c r="L5148">
        <v>16.938690000000001</v>
      </c>
      <c r="M5148">
        <v>0.99983639999999996</v>
      </c>
      <c r="N5148">
        <v>-1.3904700000000001E-2</v>
      </c>
      <c r="O5148">
        <v>1.157183E-2</v>
      </c>
      <c r="P5148">
        <v>0.9898865</v>
      </c>
      <c r="Q5148">
        <v>-5.4392599999999902E-2</v>
      </c>
      <c r="R5148">
        <v>0.13101960000000001</v>
      </c>
      <c r="S5148">
        <v>2.9455260000000001</v>
      </c>
      <c r="T5148">
        <v>-0.15512010000000001</v>
      </c>
      <c r="U5148">
        <v>0.56970209999999999</v>
      </c>
      <c r="V5148">
        <v>-0.11956219999999999</v>
      </c>
      <c r="W5148">
        <v>-4.0581079999999999E-2</v>
      </c>
      <c r="X5148">
        <v>0.99199700000000002</v>
      </c>
      <c r="Y5148">
        <v>-0.17822399999999999</v>
      </c>
      <c r="Z5148">
        <v>5.4544240000000003E-3</v>
      </c>
      <c r="AA5148">
        <v>0.98397480000000004</v>
      </c>
      <c r="AB5148">
        <v>28</v>
      </c>
      <c r="AC5148">
        <v>20.771799999999999</v>
      </c>
      <c r="AD5148">
        <v>-1.1092298999429999</v>
      </c>
      <c r="AE5148">
        <v>4.0705099999999899</v>
      </c>
      <c r="AF5148">
        <v>-3.8193577770850999</v>
      </c>
      <c r="AG5148">
        <v>-1.1092298999429999</v>
      </c>
      <c r="AH5148">
        <v>20.760504588692601</v>
      </c>
      <c r="AI5148">
        <v>93.008009129828594</v>
      </c>
      <c r="AJ5148">
        <v>100.42427339489301</v>
      </c>
      <c r="AK5148">
        <v>21.138032916462102</v>
      </c>
      <c r="AL5148">
        <v>92.325763273625796</v>
      </c>
      <c r="AM5148">
        <v>96.8725251337586</v>
      </c>
      <c r="AN5148">
        <v>0.99999999586590305</v>
      </c>
    </row>
    <row r="5149" spans="1:40" x14ac:dyDescent="0.25">
      <c r="A5149" t="str">
        <f>"20190305135338531"</f>
        <v>20190305135338531</v>
      </c>
      <c r="B5149" t="str">
        <f>"1551765218525622"</f>
        <v>1551765218525622</v>
      </c>
      <c r="C5149" t="s">
        <v>40</v>
      </c>
      <c r="D5149">
        <v>4.8104239999999896</v>
      </c>
      <c r="E5149">
        <v>0.62039909999999998</v>
      </c>
      <c r="F5149" t="s">
        <v>42</v>
      </c>
      <c r="G5149">
        <v>-333.44420000000002</v>
      </c>
      <c r="H5149" s="1">
        <v>-3.9665430000000002E-6</v>
      </c>
      <c r="I5149">
        <v>13.041040000000001</v>
      </c>
      <c r="J5149">
        <v>-356.86939999999998</v>
      </c>
      <c r="K5149">
        <v>1.109208</v>
      </c>
      <c r="L5149">
        <v>16.941960000000002</v>
      </c>
      <c r="M5149">
        <v>0.99983750000000005</v>
      </c>
      <c r="N5149">
        <v>-1.393224E-2</v>
      </c>
      <c r="O5149">
        <v>1.143895E-2</v>
      </c>
      <c r="P5149">
        <v>0.99098419999999998</v>
      </c>
      <c r="Q5149">
        <v>-5.3919740000000001E-2</v>
      </c>
      <c r="R5149">
        <v>0.1226486</v>
      </c>
      <c r="S5149">
        <v>3.0899350000000001</v>
      </c>
      <c r="T5149">
        <v>-0.1444868</v>
      </c>
      <c r="U5149">
        <v>-0.50769039999999999</v>
      </c>
      <c r="V5149">
        <v>-0.11131389999999999</v>
      </c>
      <c r="W5149">
        <v>-4.006113E-2</v>
      </c>
      <c r="X5149">
        <v>0.99297749999999996</v>
      </c>
      <c r="Y5149">
        <v>0.17316229999999999</v>
      </c>
      <c r="Z5149">
        <v>-5.6075969999999998E-3</v>
      </c>
      <c r="AA5149">
        <v>0.98487729999999996</v>
      </c>
      <c r="AB5149">
        <v>28</v>
      </c>
      <c r="AC5149">
        <v>23.425199999999901</v>
      </c>
      <c r="AD5149">
        <v>-1.109211966543</v>
      </c>
      <c r="AE5149">
        <v>-3.9009200000000002</v>
      </c>
      <c r="AF5149">
        <v>4.1595757349458298</v>
      </c>
      <c r="AG5149">
        <v>-1.109211966543</v>
      </c>
      <c r="AH5149">
        <v>23.3281466989154</v>
      </c>
      <c r="AI5149">
        <v>92.6800546821393</v>
      </c>
      <c r="AJ5149">
        <v>79.890002227393794</v>
      </c>
      <c r="AK5149">
        <v>23.722033004942698</v>
      </c>
      <c r="AL5149">
        <v>92.295948083530504</v>
      </c>
      <c r="AM5149">
        <v>96.396217799838595</v>
      </c>
      <c r="AN5149">
        <v>0.99999999698816799</v>
      </c>
    </row>
    <row r="5150" spans="1:40" x14ac:dyDescent="0.25">
      <c r="A5150" t="str">
        <f>"20190305135338553"</f>
        <v>20190305135338553</v>
      </c>
      <c r="B5150" t="str">
        <f>"1551765218545142"</f>
        <v>1551765218545142</v>
      </c>
      <c r="C5150" t="s">
        <v>40</v>
      </c>
      <c r="D5150">
        <v>4.7942669999999996</v>
      </c>
      <c r="E5150">
        <v>0.61910980000000004</v>
      </c>
      <c r="F5150" t="s">
        <v>42</v>
      </c>
      <c r="G5150">
        <v>-329.6653</v>
      </c>
      <c r="H5150" s="1">
        <v>-2.1915149999999999E-6</v>
      </c>
      <c r="I5150">
        <v>11.803559999999999</v>
      </c>
      <c r="J5150">
        <v>-356.58100000000002</v>
      </c>
      <c r="K5150">
        <v>1.1091850000000001</v>
      </c>
      <c r="L5150">
        <v>16.945039999999999</v>
      </c>
      <c r="M5150">
        <v>0.99983909999999998</v>
      </c>
      <c r="N5150">
        <v>-1.3954980000000001E-2</v>
      </c>
      <c r="O5150">
        <v>1.128319E-2</v>
      </c>
      <c r="P5150">
        <v>0.99189360000000004</v>
      </c>
      <c r="Q5150">
        <v>-5.4372480000000001E-2</v>
      </c>
      <c r="R5150">
        <v>0.11485140000000001</v>
      </c>
      <c r="S5150">
        <v>3.092743</v>
      </c>
      <c r="T5150">
        <v>-0.12610270000000001</v>
      </c>
      <c r="U5150">
        <v>-0.58416749999999995</v>
      </c>
      <c r="V5150">
        <v>-0.10366350000000001</v>
      </c>
      <c r="W5150">
        <v>-4.047618E-2</v>
      </c>
      <c r="X5150">
        <v>0.99378849999999996</v>
      </c>
      <c r="Y5150">
        <v>0.19646069999999999</v>
      </c>
      <c r="Z5150">
        <v>-5.6520909999999997E-3</v>
      </c>
      <c r="AA5150">
        <v>0.98049540000000002</v>
      </c>
      <c r="AB5150">
        <v>28</v>
      </c>
      <c r="AC5150">
        <v>26.915699999999902</v>
      </c>
      <c r="AD5150">
        <v>-1.109187191515</v>
      </c>
      <c r="AE5150">
        <v>-5.1414799999999898</v>
      </c>
      <c r="AF5150">
        <v>5.4359705613534501</v>
      </c>
      <c r="AG5150">
        <v>-1.109187191515</v>
      </c>
      <c r="AH5150">
        <v>26.812038132937399</v>
      </c>
      <c r="AI5150">
        <v>92.321734674060806</v>
      </c>
      <c r="AJ5150">
        <v>78.538993980803198</v>
      </c>
      <c r="AK5150">
        <v>27.380019375665398</v>
      </c>
      <c r="AL5150">
        <v>92.319747965308807</v>
      </c>
      <c r="AM5150">
        <v>95.955068251915407</v>
      </c>
      <c r="AN5150">
        <v>1.0000000125559401</v>
      </c>
    </row>
    <row r="5151" spans="1:40" x14ac:dyDescent="0.25">
      <c r="A5151" t="str">
        <f>"20190305135338574"</f>
        <v>20190305135338574</v>
      </c>
      <c r="B5151" t="str">
        <f>"1551765218565638"</f>
        <v>1551765218565638</v>
      </c>
      <c r="C5151" t="s">
        <v>40</v>
      </c>
      <c r="D5151">
        <v>5.0445359999999999</v>
      </c>
      <c r="E5151">
        <v>0.61706329999999998</v>
      </c>
      <c r="F5151" t="s">
        <v>42</v>
      </c>
      <c r="G5151">
        <v>-334.86470000000003</v>
      </c>
      <c r="H5151" s="1">
        <v>-3.5665250000000001E-6</v>
      </c>
      <c r="I5151">
        <v>12.727650000000001</v>
      </c>
      <c r="J5151">
        <v>-356.32440000000003</v>
      </c>
      <c r="K5151">
        <v>1.109173</v>
      </c>
      <c r="L5151">
        <v>16.947749999999999</v>
      </c>
      <c r="M5151">
        <v>0.99984059999999997</v>
      </c>
      <c r="N5151">
        <v>-1.3972190000000001E-2</v>
      </c>
      <c r="O5151">
        <v>1.112148E-2</v>
      </c>
      <c r="P5151">
        <v>0.9928032</v>
      </c>
      <c r="Q5151">
        <v>-5.4470169999999998E-2</v>
      </c>
      <c r="R5151">
        <v>0.106654</v>
      </c>
      <c r="S5151">
        <v>3.0852360000000001</v>
      </c>
      <c r="T5151">
        <v>-0.15758220000000001</v>
      </c>
      <c r="U5151">
        <v>-0.59915160000000001</v>
      </c>
      <c r="V5151">
        <v>-9.5619209999999996E-2</v>
      </c>
      <c r="W5151">
        <v>-4.0544049999999998E-2</v>
      </c>
      <c r="X5151">
        <v>0.99459200000000003</v>
      </c>
      <c r="Y5151">
        <v>0.20121320000000001</v>
      </c>
      <c r="Z5151">
        <v>-6.9164509999999997E-3</v>
      </c>
      <c r="AA5151">
        <v>0.97952309999999998</v>
      </c>
      <c r="AB5151">
        <v>28</v>
      </c>
      <c r="AC5151">
        <v>21.459700000000002</v>
      </c>
      <c r="AD5151">
        <v>-1.109176566525</v>
      </c>
      <c r="AE5151">
        <v>-4.2200999999999897</v>
      </c>
      <c r="AF5151">
        <v>4.4470878305624604</v>
      </c>
      <c r="AG5151">
        <v>-1.109176566525</v>
      </c>
      <c r="AH5151">
        <v>21.356504701158201</v>
      </c>
      <c r="AI5151">
        <v>92.910731699174306</v>
      </c>
      <c r="AJ5151">
        <v>78.237326697194803</v>
      </c>
      <c r="AK5151">
        <v>21.8427826954136</v>
      </c>
      <c r="AL5151">
        <v>92.323639737739796</v>
      </c>
      <c r="AM5151">
        <v>95.491489130338906</v>
      </c>
      <c r="AN5151">
        <v>1.00000004988771</v>
      </c>
    </row>
    <row r="5152" spans="1:40" x14ac:dyDescent="0.25">
      <c r="A5152" t="str">
        <f>"20190305135338596"</f>
        <v>20190305135338596</v>
      </c>
      <c r="B5152" t="str">
        <f>"1551765218585158"</f>
        <v>1551765218585158</v>
      </c>
      <c r="C5152" t="s">
        <v>40</v>
      </c>
      <c r="D5152">
        <v>4.822368</v>
      </c>
      <c r="E5152">
        <v>0.61538870000000001</v>
      </c>
      <c r="F5152" t="s">
        <v>42</v>
      </c>
      <c r="G5152">
        <v>-336.0772</v>
      </c>
      <c r="H5152" s="1">
        <v>-3.0963869999999898E-6</v>
      </c>
      <c r="I5152">
        <v>12.94383</v>
      </c>
      <c r="J5152">
        <v>-356.04969999999997</v>
      </c>
      <c r="K5152">
        <v>1.109164</v>
      </c>
      <c r="L5152">
        <v>16.950559999999999</v>
      </c>
      <c r="M5152">
        <v>0.99984260000000003</v>
      </c>
      <c r="N5152">
        <v>-1.398786E-2</v>
      </c>
      <c r="O5152">
        <v>1.092578E-2</v>
      </c>
      <c r="P5152">
        <v>0.99357930000000005</v>
      </c>
      <c r="Q5152">
        <v>-5.4702430000000003E-2</v>
      </c>
      <c r="R5152">
        <v>9.9036849999999996E-2</v>
      </c>
      <c r="S5152">
        <v>3.0778810000000001</v>
      </c>
      <c r="T5152">
        <v>-0.16861099999999901</v>
      </c>
      <c r="U5152">
        <v>-0.60864259999999903</v>
      </c>
      <c r="V5152">
        <v>-8.819043E-2</v>
      </c>
      <c r="W5152">
        <v>-4.0750469999999997E-2</v>
      </c>
      <c r="X5152">
        <v>0.99526970000000003</v>
      </c>
      <c r="Y5152">
        <v>0.2043169</v>
      </c>
      <c r="Z5152">
        <v>-7.4240130000000001E-3</v>
      </c>
      <c r="AA5152">
        <v>0.97887670000000004</v>
      </c>
      <c r="AB5152">
        <v>28</v>
      </c>
      <c r="AC5152">
        <v>19.972499999999901</v>
      </c>
      <c r="AD5152">
        <v>-1.109167096387</v>
      </c>
      <c r="AE5152">
        <v>-4.0067299999999904</v>
      </c>
      <c r="AF5152">
        <v>4.2122388769681098</v>
      </c>
      <c r="AG5152">
        <v>-1.109167096387</v>
      </c>
      <c r="AH5152">
        <v>19.868620513089599</v>
      </c>
      <c r="AI5152">
        <v>93.125890735931506</v>
      </c>
      <c r="AJ5152">
        <v>78.030261588736394</v>
      </c>
      <c r="AK5152">
        <v>20.3404839936888</v>
      </c>
      <c r="AL5152">
        <v>92.335476714509994</v>
      </c>
      <c r="AM5152">
        <v>95.063729696816495</v>
      </c>
      <c r="AN5152">
        <v>0.99999996424344695</v>
      </c>
    </row>
    <row r="5153" spans="1:40" x14ac:dyDescent="0.25">
      <c r="A5153" t="str">
        <f>"20190305135338619"</f>
        <v>20190305135338619</v>
      </c>
      <c r="B5153" t="str">
        <f>"1551765218615414"</f>
        <v>1551765218615414</v>
      </c>
      <c r="C5153" t="s">
        <v>40</v>
      </c>
      <c r="D5153">
        <v>4.7843489999999997</v>
      </c>
      <c r="E5153">
        <v>0.61322480000000001</v>
      </c>
      <c r="F5153" t="s">
        <v>42</v>
      </c>
      <c r="G5153">
        <v>-335.83769999999998</v>
      </c>
      <c r="H5153" s="1">
        <v>-3.1955510000000001E-6</v>
      </c>
      <c r="I5153">
        <v>12.87739</v>
      </c>
      <c r="J5153">
        <v>-355.7681</v>
      </c>
      <c r="K5153">
        <v>1.109164</v>
      </c>
      <c r="L5153">
        <v>16.953399999999998</v>
      </c>
      <c r="M5153">
        <v>0.99984470000000003</v>
      </c>
      <c r="N5153">
        <v>-1.400146E-2</v>
      </c>
      <c r="O5153">
        <v>1.070627E-2</v>
      </c>
      <c r="P5153">
        <v>0.99425989999999997</v>
      </c>
      <c r="Q5153">
        <v>-5.4079149999999999E-2</v>
      </c>
      <c r="R5153">
        <v>9.2318289999999997E-2</v>
      </c>
      <c r="S5153">
        <v>3.071777</v>
      </c>
      <c r="T5153">
        <v>-0.16856869999999999</v>
      </c>
      <c r="U5153">
        <v>-0.61901859999999997</v>
      </c>
      <c r="V5153">
        <v>-8.1684190000000004E-2</v>
      </c>
      <c r="W5153">
        <v>-4.0105149999999999E-2</v>
      </c>
      <c r="X5153">
        <v>0.99585100000000004</v>
      </c>
      <c r="Y5153">
        <v>0.20764360000000001</v>
      </c>
      <c r="Z5153">
        <v>-7.5391999999999898E-3</v>
      </c>
      <c r="AA5153">
        <v>0.97817549999999998</v>
      </c>
      <c r="AB5153">
        <v>28</v>
      </c>
      <c r="AC5153">
        <v>19.930399999999999</v>
      </c>
      <c r="AD5153">
        <v>-1.1091671955509901</v>
      </c>
      <c r="AE5153">
        <v>-4.0760099999999904</v>
      </c>
      <c r="AF5153">
        <v>4.2764643802463702</v>
      </c>
      <c r="AG5153">
        <v>-1.1091671955509901</v>
      </c>
      <c r="AH5153">
        <v>19.826673420795601</v>
      </c>
      <c r="AI5153">
        <v>93.130134469678694</v>
      </c>
      <c r="AJ5153">
        <v>77.828201993372303</v>
      </c>
      <c r="AK5153">
        <v>20.312936232807001</v>
      </c>
      <c r="AL5153">
        <v>92.298472329610803</v>
      </c>
      <c r="AM5153">
        <v>94.689160767219704</v>
      </c>
      <c r="AN5153">
        <v>0.99999997207673896</v>
      </c>
    </row>
    <row r="5154" spans="1:40" x14ac:dyDescent="0.25">
      <c r="A5154" t="str">
        <f>"20190305135338642"</f>
        <v>20190305135338642</v>
      </c>
      <c r="B5154" t="str">
        <f>"1551765218635176"</f>
        <v>1551765218635176</v>
      </c>
      <c r="C5154" t="s">
        <v>40</v>
      </c>
      <c r="D5154">
        <v>4.8062199999999997</v>
      </c>
      <c r="E5154">
        <v>0.61198059999999999</v>
      </c>
      <c r="F5154" t="s">
        <v>42</v>
      </c>
      <c r="G5154">
        <v>-337.09969999999998</v>
      </c>
      <c r="H5154" s="1">
        <v>-2.691157E-6</v>
      </c>
      <c r="I5154">
        <v>13.159050000000001</v>
      </c>
      <c r="J5154">
        <v>-355.47649999999999</v>
      </c>
      <c r="K5154">
        <v>1.109162</v>
      </c>
      <c r="L5154">
        <v>16.956209999999999</v>
      </c>
      <c r="M5154">
        <v>0.99984720000000005</v>
      </c>
      <c r="N5154">
        <v>-1.401315E-2</v>
      </c>
      <c r="O5154">
        <v>1.046572E-2</v>
      </c>
      <c r="P5154">
        <v>0.99491839999999998</v>
      </c>
      <c r="Q5154">
        <v>-5.2901650000000001E-2</v>
      </c>
      <c r="R5154">
        <v>8.5668739999999993E-2</v>
      </c>
      <c r="S5154">
        <v>3.0653380000000001</v>
      </c>
      <c r="T5154">
        <v>-0.18212429999999999</v>
      </c>
      <c r="U5154">
        <v>-0.62301640000000003</v>
      </c>
      <c r="V5154">
        <v>-7.5268399999999999E-2</v>
      </c>
      <c r="W5154">
        <v>-3.890863E-2</v>
      </c>
      <c r="X5154">
        <v>0.99640390000000001</v>
      </c>
      <c r="Y5154">
        <v>0.20896870000000001</v>
      </c>
      <c r="Z5154">
        <v>-8.0904540000000004E-3</v>
      </c>
      <c r="AA5154">
        <v>0.97788889999999995</v>
      </c>
      <c r="AB5154">
        <v>28</v>
      </c>
      <c r="AC5154">
        <v>18.376799999999999</v>
      </c>
      <c r="AD5154">
        <v>-1.1091646911569999</v>
      </c>
      <c r="AE5154">
        <v>-3.7971599999999999</v>
      </c>
      <c r="AF5154">
        <v>3.9754081155910299</v>
      </c>
      <c r="AG5154">
        <v>-1.1091646911569999</v>
      </c>
      <c r="AH5154">
        <v>18.272210451983401</v>
      </c>
      <c r="AI5154">
        <v>93.394503456005395</v>
      </c>
      <c r="AJ5154">
        <v>77.725679828413305</v>
      </c>
      <c r="AK5154">
        <v>18.732532952038</v>
      </c>
      <c r="AL5154">
        <v>92.229863212746906</v>
      </c>
      <c r="AM5154">
        <v>94.319921569481494</v>
      </c>
      <c r="AN5154">
        <v>0.99999997273112295</v>
      </c>
    </row>
    <row r="5155" spans="1:40" x14ac:dyDescent="0.25">
      <c r="A5155" t="str">
        <f>"20190305135338665"</f>
        <v>20190305135338665</v>
      </c>
      <c r="B5155" t="str">
        <f>"1551765218655672"</f>
        <v>1551765218655672</v>
      </c>
      <c r="C5155" t="s">
        <v>40</v>
      </c>
      <c r="D5155">
        <v>4.7825119999999997</v>
      </c>
      <c r="E5155">
        <v>0.61043919999999996</v>
      </c>
      <c r="F5155" t="s">
        <v>42</v>
      </c>
      <c r="G5155">
        <v>-337.505</v>
      </c>
      <c r="H5155" s="1">
        <v>-2.533624E-6</v>
      </c>
      <c r="I5155">
        <v>13.232710000000001</v>
      </c>
      <c r="J5155">
        <v>-355.18849999999998</v>
      </c>
      <c r="K5155">
        <v>1.1091549999999999</v>
      </c>
      <c r="L5155">
        <v>16.95889</v>
      </c>
      <c r="M5155">
        <v>0.9998494</v>
      </c>
      <c r="N5155">
        <v>-1.402258E-2</v>
      </c>
      <c r="O5155">
        <v>1.022084E-2</v>
      </c>
      <c r="P5155">
        <v>0.99544840000000001</v>
      </c>
      <c r="Q5155">
        <v>-5.265388E-2</v>
      </c>
      <c r="R5155">
        <v>7.9435049999999993E-2</v>
      </c>
      <c r="S5155">
        <v>3.0599370000000001</v>
      </c>
      <c r="T5155">
        <v>-0.1888533</v>
      </c>
      <c r="U5155">
        <v>-0.63397219999999999</v>
      </c>
      <c r="V5155">
        <v>-6.9273619999999994E-2</v>
      </c>
      <c r="W5155">
        <v>-3.8646519999999997E-2</v>
      </c>
      <c r="X5155">
        <v>0.99684879999999998</v>
      </c>
      <c r="Y5155">
        <v>0.21238480000000001</v>
      </c>
      <c r="Z5155">
        <v>-8.4677150000000007E-3</v>
      </c>
      <c r="AA5155">
        <v>0.97714939999999995</v>
      </c>
      <c r="AB5155">
        <v>28</v>
      </c>
      <c r="AC5155">
        <v>17.683499999999899</v>
      </c>
      <c r="AD5155">
        <v>-1.1091575336239901</v>
      </c>
      <c r="AE5155">
        <v>-3.7261799999999998</v>
      </c>
      <c r="AF5155">
        <v>3.8920822902989798</v>
      </c>
      <c r="AG5155">
        <v>-1.1091575336239901</v>
      </c>
      <c r="AH5155">
        <v>17.578272302618501</v>
      </c>
      <c r="AI5155">
        <v>93.5253185838354</v>
      </c>
      <c r="AJ5155">
        <v>77.515307532832793</v>
      </c>
      <c r="AK5155">
        <v>18.038131614273698</v>
      </c>
      <c r="AL5155">
        <v>92.214834142072405</v>
      </c>
      <c r="AM5155">
        <v>93.9752420903135</v>
      </c>
      <c r="AN5155">
        <v>0.99999995899872596</v>
      </c>
    </row>
    <row r="5156" spans="1:40" x14ac:dyDescent="0.25">
      <c r="A5156" t="str">
        <f>"20190305135338687"</f>
        <v>20190305135338687</v>
      </c>
      <c r="B5156" t="str">
        <f>"1551765218675193"</f>
        <v>1551765218675193</v>
      </c>
      <c r="C5156" t="s">
        <v>40</v>
      </c>
      <c r="D5156">
        <v>4.768256</v>
      </c>
      <c r="E5156">
        <v>0.60900049999999994</v>
      </c>
      <c r="F5156" t="s">
        <v>42</v>
      </c>
      <c r="G5156">
        <v>-337.92079999999999</v>
      </c>
      <c r="H5156" s="1">
        <v>-2.365008E-6</v>
      </c>
      <c r="I5156">
        <v>13.334630000000001</v>
      </c>
      <c r="J5156">
        <v>-354.9169</v>
      </c>
      <c r="K5156">
        <v>1.109151</v>
      </c>
      <c r="L5156">
        <v>16.961400000000001</v>
      </c>
      <c r="M5156">
        <v>0.99985170000000001</v>
      </c>
      <c r="N5156">
        <v>-1.402976E-2</v>
      </c>
      <c r="O5156">
        <v>9.9850500000000005E-3</v>
      </c>
      <c r="P5156">
        <v>0.99594210000000005</v>
      </c>
      <c r="Q5156">
        <v>-5.2823509999999997E-2</v>
      </c>
      <c r="R5156">
        <v>7.2864349999999994E-2</v>
      </c>
      <c r="S5156">
        <v>3.0545040000000001</v>
      </c>
      <c r="T5156">
        <v>-0.1961995</v>
      </c>
      <c r="U5156">
        <v>-0.64108279999999995</v>
      </c>
      <c r="V5156">
        <v>-6.2934249999999997E-2</v>
      </c>
      <c r="W5156">
        <v>-3.8805590000000001E-2</v>
      </c>
      <c r="X5156">
        <v>0.99726300000000001</v>
      </c>
      <c r="Y5156">
        <v>0.21463670000000001</v>
      </c>
      <c r="Z5156">
        <v>-8.8315979999999995E-3</v>
      </c>
      <c r="AA5156">
        <v>0.97665400000000002</v>
      </c>
      <c r="AB5156">
        <v>28</v>
      </c>
      <c r="AC5156">
        <v>16.996099999999998</v>
      </c>
      <c r="AD5156">
        <v>-1.1091533650079901</v>
      </c>
      <c r="AE5156">
        <v>-3.62677</v>
      </c>
      <c r="AF5156">
        <v>3.7809119963882201</v>
      </c>
      <c r="AG5156">
        <v>-1.1091533650079901</v>
      </c>
      <c r="AH5156">
        <v>16.890236525467099</v>
      </c>
      <c r="AI5156">
        <v>93.666635521463604</v>
      </c>
      <c r="AJ5156">
        <v>77.382241973385803</v>
      </c>
      <c r="AK5156">
        <v>17.3437483433589</v>
      </c>
      <c r="AL5156">
        <v>92.2239548384144</v>
      </c>
      <c r="AM5156">
        <v>93.610974778853702</v>
      </c>
      <c r="AN5156">
        <v>1.0000000424036499</v>
      </c>
    </row>
    <row r="5157" spans="1:40" x14ac:dyDescent="0.25">
      <c r="A5157" t="str">
        <f>"20190305135338711"</f>
        <v>20190305135338711</v>
      </c>
      <c r="B5157" t="str">
        <f>"1551765218705448"</f>
        <v>1551765218705448</v>
      </c>
      <c r="C5157" t="s">
        <v>40</v>
      </c>
      <c r="D5157">
        <v>4.7819510000000003</v>
      </c>
      <c r="E5157">
        <v>0.60710710000000001</v>
      </c>
      <c r="F5157" t="s">
        <v>42</v>
      </c>
      <c r="G5157">
        <v>-337.73669999999998</v>
      </c>
      <c r="H5157" s="1">
        <v>-2.4365139999999998E-6</v>
      </c>
      <c r="I5157">
        <v>13.30132</v>
      </c>
      <c r="J5157">
        <v>-354.6266</v>
      </c>
      <c r="K5157">
        <v>1.1091470000000001</v>
      </c>
      <c r="L5157">
        <v>16.96396</v>
      </c>
      <c r="M5157">
        <v>0.99985420000000003</v>
      </c>
      <c r="N5157">
        <v>-1.4035860000000001E-2</v>
      </c>
      <c r="O5157">
        <v>9.7313799999999995E-3</v>
      </c>
      <c r="P5157">
        <v>0.99638340000000003</v>
      </c>
      <c r="Q5157">
        <v>-5.3309700000000002E-2</v>
      </c>
      <c r="R5157">
        <v>6.6168779999999996E-2</v>
      </c>
      <c r="S5157">
        <v>3.0493769999999998</v>
      </c>
      <c r="T5157">
        <v>-0.19686809999999999</v>
      </c>
      <c r="U5157">
        <v>-0.64962769999999903</v>
      </c>
      <c r="V5157">
        <v>-5.6487500000000003E-2</v>
      </c>
      <c r="W5157">
        <v>-3.928355E-2</v>
      </c>
      <c r="X5157">
        <v>0.99763020000000002</v>
      </c>
      <c r="Y5157">
        <v>0.21732670000000001</v>
      </c>
      <c r="Z5157">
        <v>-8.960417E-3</v>
      </c>
      <c r="AA5157">
        <v>0.97605779999999998</v>
      </c>
      <c r="AB5157">
        <v>28</v>
      </c>
      <c r="AC5157">
        <v>16.889900000000001</v>
      </c>
      <c r="AD5157">
        <v>-1.10914943651399</v>
      </c>
      <c r="AE5157">
        <v>-3.6626400000000001</v>
      </c>
      <c r="AF5157">
        <v>3.81114747264489</v>
      </c>
      <c r="AG5157">
        <v>-1.10914943651399</v>
      </c>
      <c r="AH5157">
        <v>16.784323091836601</v>
      </c>
      <c r="AI5157">
        <v>93.687159801982304</v>
      </c>
      <c r="AJ5157">
        <v>77.207002585763206</v>
      </c>
      <c r="AK5157">
        <v>17.247276862795701</v>
      </c>
      <c r="AL5157">
        <v>92.251360864354595</v>
      </c>
      <c r="AM5157">
        <v>93.240723098184105</v>
      </c>
      <c r="AN5157">
        <v>1.0000000254544399</v>
      </c>
    </row>
    <row r="5158" spans="1:40" x14ac:dyDescent="0.25">
      <c r="A5158" t="str">
        <f>"20190305135338733"</f>
        <v>20190305135338733</v>
      </c>
      <c r="B5158" t="str">
        <f>"1551765218724968"</f>
        <v>1551765218724968</v>
      </c>
      <c r="C5158" t="s">
        <v>40</v>
      </c>
      <c r="D5158">
        <v>4.7853260000000004</v>
      </c>
      <c r="E5158">
        <v>0.60643740000000002</v>
      </c>
      <c r="F5158" t="s">
        <v>42</v>
      </c>
      <c r="G5158">
        <v>-338.29689999999999</v>
      </c>
      <c r="H5158" s="1">
        <v>-2.2069239999999998E-6</v>
      </c>
      <c r="I5158">
        <v>13.447710000000001</v>
      </c>
      <c r="J5158">
        <v>-354.34350000000001</v>
      </c>
      <c r="K5158">
        <v>1.109148</v>
      </c>
      <c r="L5158">
        <v>16.9664</v>
      </c>
      <c r="M5158">
        <v>0.99985650000000004</v>
      </c>
      <c r="N5158">
        <v>-1.404071E-2</v>
      </c>
      <c r="O5158">
        <v>9.4842450000000005E-3</v>
      </c>
      <c r="P5158">
        <v>0.9968129</v>
      </c>
      <c r="Q5158">
        <v>-5.3284030000000003E-2</v>
      </c>
      <c r="R5158">
        <v>5.9372260000000003E-2</v>
      </c>
      <c r="S5158">
        <v>3.0433349999999999</v>
      </c>
      <c r="T5158">
        <v>-0.20671059999999999</v>
      </c>
      <c r="U5158">
        <v>-0.655304</v>
      </c>
      <c r="V5158">
        <v>-4.9933529999999997E-2</v>
      </c>
      <c r="W5158">
        <v>-3.9251370000000001E-2</v>
      </c>
      <c r="X5158">
        <v>0.99798100000000001</v>
      </c>
      <c r="Y5158">
        <v>0.2191632</v>
      </c>
      <c r="Z5158">
        <v>-9.4135250000000007E-3</v>
      </c>
      <c r="AA5158">
        <v>0.97564280000000003</v>
      </c>
      <c r="AB5158">
        <v>28</v>
      </c>
      <c r="AC5158">
        <v>16.046600000000002</v>
      </c>
      <c r="AD5158">
        <v>-1.109150206924</v>
      </c>
      <c r="AE5158">
        <v>-3.5186899999999901</v>
      </c>
      <c r="AF5158">
        <v>3.6540795909706199</v>
      </c>
      <c r="AG5158">
        <v>-1.109150206924</v>
      </c>
      <c r="AH5158">
        <v>15.9398414939856</v>
      </c>
      <c r="AI5158">
        <v>93.880097485227097</v>
      </c>
      <c r="AJ5158">
        <v>77.088495785917999</v>
      </c>
      <c r="AK5158">
        <v>16.390883401819799</v>
      </c>
      <c r="AL5158">
        <v>92.249515603529602</v>
      </c>
      <c r="AM5158">
        <v>92.864379841361199</v>
      </c>
      <c r="AN5158">
        <v>1.0000000519130601</v>
      </c>
    </row>
    <row r="5159" spans="1:40" x14ac:dyDescent="0.25">
      <c r="A5159" t="str">
        <f>"20190305135338754"</f>
        <v>20190305135338754</v>
      </c>
      <c r="B5159" t="str">
        <f>"1551765218745465"</f>
        <v>1551765218745465</v>
      </c>
      <c r="C5159" t="s">
        <v>40</v>
      </c>
      <c r="D5159">
        <v>4.6441980000000003</v>
      </c>
      <c r="E5159">
        <v>0.58930499999999997</v>
      </c>
      <c r="F5159" t="s">
        <v>42</v>
      </c>
      <c r="G5159">
        <v>-338.04489999999998</v>
      </c>
      <c r="H5159" s="1">
        <v>-2.3137150000000002E-6</v>
      </c>
      <c r="I5159">
        <v>13.368740000000001</v>
      </c>
      <c r="J5159">
        <v>-354.08190000000002</v>
      </c>
      <c r="K5159">
        <v>1.109156</v>
      </c>
      <c r="L5159">
        <v>16.968629999999902</v>
      </c>
      <c r="M5159">
        <v>0.99985860000000004</v>
      </c>
      <c r="N5159">
        <v>-1.404423E-2</v>
      </c>
      <c r="O5159">
        <v>9.2575720000000004E-3</v>
      </c>
      <c r="P5159">
        <v>0.99703589999999997</v>
      </c>
      <c r="Q5159">
        <v>-5.3156210000000002E-2</v>
      </c>
      <c r="R5159">
        <v>5.5624750000000001E-2</v>
      </c>
      <c r="S5159">
        <v>3.038513</v>
      </c>
      <c r="T5159">
        <v>-0.2067753</v>
      </c>
      <c r="U5159">
        <v>-0.67068479999999997</v>
      </c>
      <c r="V5159">
        <v>-4.6410569999999998E-2</v>
      </c>
      <c r="W5159">
        <v>-3.9119370000000001E-2</v>
      </c>
      <c r="X5159">
        <v>0.99815620000000005</v>
      </c>
      <c r="Y5159">
        <v>0.2239582</v>
      </c>
      <c r="Z5159">
        <v>-9.6085040000000004E-3</v>
      </c>
      <c r="AA5159">
        <v>0.97455139999999996</v>
      </c>
      <c r="AB5159">
        <v>28</v>
      </c>
      <c r="AC5159">
        <v>16.036999999999999</v>
      </c>
      <c r="AD5159">
        <v>-1.1091583137150001</v>
      </c>
      <c r="AE5159">
        <v>-3.59988999999999</v>
      </c>
      <c r="AF5159">
        <v>3.7312221206246301</v>
      </c>
      <c r="AG5159">
        <v>-1.1091583137150001</v>
      </c>
      <c r="AH5159">
        <v>15.9304362790096</v>
      </c>
      <c r="AI5159">
        <v>93.878174700980594</v>
      </c>
      <c r="AJ5159">
        <v>76.817823890928594</v>
      </c>
      <c r="AK5159">
        <v>16.399117376185401</v>
      </c>
      <c r="AL5159">
        <v>92.241946790568804</v>
      </c>
      <c r="AM5159">
        <v>92.662124429863198</v>
      </c>
      <c r="AN5159">
        <v>1.0000000328576799</v>
      </c>
    </row>
    <row r="5160" spans="1:40" x14ac:dyDescent="0.25">
      <c r="A5160" t="str">
        <f>"20190305135338775"</f>
        <v>20190305135338775</v>
      </c>
      <c r="B5160" t="str">
        <f>"1551765218764984"</f>
        <v>1551765218764984</v>
      </c>
      <c r="C5160" t="s">
        <v>40</v>
      </c>
      <c r="D5160">
        <v>4.7135309999999997</v>
      </c>
      <c r="E5160">
        <v>0.58867100000000006</v>
      </c>
      <c r="F5160" t="s">
        <v>42</v>
      </c>
      <c r="G5160">
        <v>-340.88819999999998</v>
      </c>
      <c r="H5160" s="1">
        <v>-4.7839040000000002E-6</v>
      </c>
      <c r="I5160">
        <v>14.583769999999999</v>
      </c>
      <c r="J5160">
        <v>-353.81400000000002</v>
      </c>
      <c r="K5160">
        <v>1.109167</v>
      </c>
      <c r="L5160">
        <v>16.970829999999999</v>
      </c>
      <c r="M5160">
        <v>0.99986059999999999</v>
      </c>
      <c r="N5160">
        <v>-1.4046990000000001E-2</v>
      </c>
      <c r="O5160">
        <v>9.0271520000000001E-3</v>
      </c>
      <c r="P5160">
        <v>0.99748170000000003</v>
      </c>
      <c r="Q5160">
        <v>-5.2338019999999999E-2</v>
      </c>
      <c r="R5160">
        <v>4.7870099999999999E-2</v>
      </c>
      <c r="S5160">
        <v>3.025909</v>
      </c>
      <c r="T5160">
        <v>-0.25438110000000003</v>
      </c>
      <c r="U5160">
        <v>-0.54693599999999998</v>
      </c>
      <c r="V5160">
        <v>-3.8881859999999997E-2</v>
      </c>
      <c r="W5160">
        <v>-3.8297119999999997E-2</v>
      </c>
      <c r="X5160">
        <v>0.9985096</v>
      </c>
      <c r="Y5160">
        <v>0.18597929999999999</v>
      </c>
      <c r="Z5160">
        <v>-9.6867210000000006E-3</v>
      </c>
      <c r="AA5160">
        <v>0.98250590000000004</v>
      </c>
      <c r="AB5160">
        <v>28</v>
      </c>
      <c r="AC5160">
        <v>12.925800000000001</v>
      </c>
      <c r="AD5160">
        <v>-1.1091717839040001</v>
      </c>
      <c r="AE5160">
        <v>-2.3870599999999902</v>
      </c>
      <c r="AF5160">
        <v>2.48595582400847</v>
      </c>
      <c r="AG5160">
        <v>-1.1091717839040001</v>
      </c>
      <c r="AH5160">
        <v>12.812489767323999</v>
      </c>
      <c r="AI5160">
        <v>94.857591591845704</v>
      </c>
      <c r="AJ5160">
        <v>79.0195639766699</v>
      </c>
      <c r="AK5160">
        <v>13.0984782491293</v>
      </c>
      <c r="AL5160">
        <v>92.194800195378306</v>
      </c>
      <c r="AM5160">
        <v>92.229965041882096</v>
      </c>
      <c r="AN5160">
        <v>0.99999994486475496</v>
      </c>
    </row>
    <row r="5161" spans="1:40" x14ac:dyDescent="0.25">
      <c r="A5161" t="str">
        <f>"20190305135338788"</f>
        <v>20190305135338788</v>
      </c>
      <c r="B5161" t="str">
        <f>"1551765218785481"</f>
        <v>1551765218785481</v>
      </c>
      <c r="C5161" t="s">
        <v>40</v>
      </c>
      <c r="D5161">
        <v>4.6613009999999999</v>
      </c>
      <c r="E5161">
        <v>0.58798090000000003</v>
      </c>
      <c r="F5161" t="s">
        <v>42</v>
      </c>
      <c r="G5161">
        <v>-340.32139999999998</v>
      </c>
      <c r="H5161" s="1">
        <v>-5.0514200000000002E-6</v>
      </c>
      <c r="I5161">
        <v>14.446479999999999</v>
      </c>
      <c r="J5161">
        <v>-353.66149999999999</v>
      </c>
      <c r="K5161">
        <v>1.109173</v>
      </c>
      <c r="L5161">
        <v>16.972020000000001</v>
      </c>
      <c r="M5161">
        <v>0.99986180000000002</v>
      </c>
      <c r="N5161">
        <v>-1.404827E-2</v>
      </c>
      <c r="O5161">
        <v>8.8967460000000005E-3</v>
      </c>
      <c r="P5161">
        <v>0.99770709999999996</v>
      </c>
      <c r="Q5161">
        <v>-5.1868770000000002E-2</v>
      </c>
      <c r="R5161">
        <v>4.3478530000000001E-2</v>
      </c>
      <c r="S5161">
        <v>3.0216669999999999</v>
      </c>
      <c r="T5161">
        <v>-0.24839890000000001</v>
      </c>
      <c r="U5161">
        <v>-0.56530760000000002</v>
      </c>
      <c r="V5161">
        <v>-3.4617479999999999E-2</v>
      </c>
      <c r="W5161">
        <v>-3.7826199999999997E-2</v>
      </c>
      <c r="X5161">
        <v>0.99868449999999998</v>
      </c>
      <c r="Y5161">
        <v>0.19187689999999999</v>
      </c>
      <c r="Z5161">
        <v>-9.768367E-3</v>
      </c>
      <c r="AA5161">
        <v>0.98137039999999998</v>
      </c>
      <c r="AB5161">
        <v>28</v>
      </c>
      <c r="AC5161">
        <v>13.3401</v>
      </c>
      <c r="AD5161">
        <v>-1.10917805142</v>
      </c>
      <c r="AE5161">
        <v>-2.5255399999999999</v>
      </c>
      <c r="AF5161">
        <v>2.6266050620189101</v>
      </c>
      <c r="AG5161">
        <v>-1.10917805142</v>
      </c>
      <c r="AH5161">
        <v>13.228810593353099</v>
      </c>
      <c r="AI5161">
        <v>94.701438068402993</v>
      </c>
      <c r="AJ5161">
        <v>78.769870294756601</v>
      </c>
      <c r="AK5161">
        <v>13.532581417319699</v>
      </c>
      <c r="AL5161">
        <v>92.167798864956097</v>
      </c>
      <c r="AM5161">
        <v>91.9852532891408</v>
      </c>
      <c r="AN5161">
        <v>0.99999996093411903</v>
      </c>
    </row>
    <row r="5162" spans="1:40" x14ac:dyDescent="0.25">
      <c r="A5162" t="str">
        <f>"20190305135338800"</f>
        <v>20190305135338800</v>
      </c>
      <c r="B5162" t="str">
        <f>"1551765218795241"</f>
        <v>1551765218795241</v>
      </c>
      <c r="C5162" t="s">
        <v>40</v>
      </c>
      <c r="D5162">
        <v>4.6519909999999998</v>
      </c>
      <c r="E5162">
        <v>0.58731060000000002</v>
      </c>
      <c r="F5162" t="s">
        <v>42</v>
      </c>
      <c r="G5162">
        <v>-340.10219999999998</v>
      </c>
      <c r="H5162" s="1">
        <v>-5.15403199999999E-6</v>
      </c>
      <c r="I5162">
        <v>14.398070000000001</v>
      </c>
      <c r="J5162">
        <v>-353.50970000000001</v>
      </c>
      <c r="K5162">
        <v>1.1091799999999901</v>
      </c>
      <c r="L5162">
        <v>16.973210000000002</v>
      </c>
      <c r="M5162">
        <v>0.99986299999999995</v>
      </c>
      <c r="N5162">
        <v>-1.4049270000000001E-2</v>
      </c>
      <c r="O5162">
        <v>8.7671720000000002E-3</v>
      </c>
      <c r="P5162">
        <v>0.99793200000000004</v>
      </c>
      <c r="Q5162">
        <v>-5.1073229999999997E-2</v>
      </c>
      <c r="R5162">
        <v>3.9031730000000001E-2</v>
      </c>
      <c r="S5162">
        <v>3.0190730000000001</v>
      </c>
      <c r="T5162">
        <v>-0.24696709999999999</v>
      </c>
      <c r="U5162">
        <v>-0.57308959999999998</v>
      </c>
      <c r="V5162">
        <v>-3.0297890000000001E-2</v>
      </c>
      <c r="W5162">
        <v>-3.7029279999999998E-2</v>
      </c>
      <c r="X5162">
        <v>0.99885480000000004</v>
      </c>
      <c r="Y5162">
        <v>0.1943425</v>
      </c>
      <c r="Z5162">
        <v>-9.8335309999999995E-3</v>
      </c>
      <c r="AA5162">
        <v>0.98088439999999999</v>
      </c>
      <c r="AB5162">
        <v>28</v>
      </c>
      <c r="AC5162">
        <v>13.407500000000001</v>
      </c>
      <c r="AD5162">
        <v>-1.1091851540319999</v>
      </c>
      <c r="AE5162">
        <v>-2.5751400000000002</v>
      </c>
      <c r="AF5162">
        <v>2.6749423758437798</v>
      </c>
      <c r="AG5162">
        <v>-1.1091851540319999</v>
      </c>
      <c r="AH5162">
        <v>13.2966406016628</v>
      </c>
      <c r="AI5162">
        <v>94.675244751680694</v>
      </c>
      <c r="AJ5162">
        <v>78.625387468697099</v>
      </c>
      <c r="AK5162">
        <v>13.608315829293399</v>
      </c>
      <c r="AL5162">
        <v>92.122106567843105</v>
      </c>
      <c r="AM5162">
        <v>91.737398793154995</v>
      </c>
      <c r="AN5162">
        <v>1.0000000205994</v>
      </c>
    </row>
    <row r="5163" spans="1:40" x14ac:dyDescent="0.25">
      <c r="A5163" t="str">
        <f>"20190305135338811"</f>
        <v>20190305135338811</v>
      </c>
      <c r="B5163" t="str">
        <f>"1551765218805001"</f>
        <v>1551765218805001</v>
      </c>
      <c r="C5163" t="s">
        <v>40</v>
      </c>
      <c r="D5163">
        <v>4.6600570000000001</v>
      </c>
      <c r="E5163">
        <v>0.58689080000000005</v>
      </c>
      <c r="F5163" t="s">
        <v>42</v>
      </c>
      <c r="G5163">
        <v>-339.48939999999999</v>
      </c>
      <c r="H5163" s="1">
        <v>-1.581545E-6</v>
      </c>
      <c r="I5163">
        <v>14.27291</v>
      </c>
      <c r="J5163">
        <v>-353.37079999999997</v>
      </c>
      <c r="K5163">
        <v>1.1091789999999999</v>
      </c>
      <c r="L5163">
        <v>16.974270000000001</v>
      </c>
      <c r="M5163">
        <v>0.99986390000000003</v>
      </c>
      <c r="N5163">
        <v>-1.405003E-2</v>
      </c>
      <c r="O5163">
        <v>8.6476629999999999E-3</v>
      </c>
      <c r="P5163">
        <v>0.99812279999999998</v>
      </c>
      <c r="Q5163">
        <v>-5.0464589999999997E-2</v>
      </c>
      <c r="R5163">
        <v>3.4700340000000003E-2</v>
      </c>
      <c r="S5163">
        <v>3.0166930000000001</v>
      </c>
      <c r="T5163">
        <v>-0.23865819999999999</v>
      </c>
      <c r="U5163">
        <v>-0.58099369999999995</v>
      </c>
      <c r="V5163">
        <v>-2.6083990000000001E-2</v>
      </c>
      <c r="W5163">
        <v>-3.6419840000000002E-2</v>
      </c>
      <c r="X5163">
        <v>0.99899610000000005</v>
      </c>
      <c r="Y5163">
        <v>0.196883</v>
      </c>
      <c r="Z5163">
        <v>-9.6603499999999998E-3</v>
      </c>
      <c r="AA5163">
        <v>0.98037940000000001</v>
      </c>
      <c r="AB5163">
        <v>28</v>
      </c>
      <c r="AC5163">
        <v>13.8813999999999</v>
      </c>
      <c r="AD5163">
        <v>-1.109180581545</v>
      </c>
      <c r="AE5163">
        <v>-2.70135999999999</v>
      </c>
      <c r="AF5163">
        <v>2.8040627473045299</v>
      </c>
      <c r="AG5163">
        <v>-1.109180581545</v>
      </c>
      <c r="AH5163">
        <v>13.7727920531755</v>
      </c>
      <c r="AI5163">
        <v>94.512159399629994</v>
      </c>
      <c r="AJ5163">
        <v>78.492184414245301</v>
      </c>
      <c r="AK5163">
        <v>14.099037215119001</v>
      </c>
      <c r="AL5163">
        <v>92.087164713729607</v>
      </c>
      <c r="AM5163">
        <v>91.495664554320001</v>
      </c>
      <c r="AN5163">
        <v>0.99999999354757796</v>
      </c>
    </row>
    <row r="5164" spans="1:40" x14ac:dyDescent="0.25">
      <c r="A5164" t="str">
        <f>"20190305135338823"</f>
        <v>20190305135338823</v>
      </c>
      <c r="B5164" t="str">
        <f>"1551765218815737"</f>
        <v>1551765218815737</v>
      </c>
      <c r="C5164" t="s">
        <v>40</v>
      </c>
      <c r="D5164">
        <v>4.6772320000000001</v>
      </c>
      <c r="E5164">
        <v>0.586252</v>
      </c>
      <c r="F5164" t="s">
        <v>42</v>
      </c>
      <c r="G5164">
        <v>-338.93220000000002</v>
      </c>
      <c r="H5164" s="1">
        <v>-1.8051249999999999E-6</v>
      </c>
      <c r="I5164">
        <v>14.145300000000001</v>
      </c>
      <c r="J5164">
        <v>-353.22050000000002</v>
      </c>
      <c r="K5164">
        <v>1.1091839999999999</v>
      </c>
      <c r="L5164">
        <v>16.975429999999999</v>
      </c>
      <c r="M5164">
        <v>0.999865</v>
      </c>
      <c r="N5164">
        <v>-1.4050709999999999E-2</v>
      </c>
      <c r="O5164">
        <v>8.5174180000000006E-3</v>
      </c>
      <c r="P5164">
        <v>0.99829210000000002</v>
      </c>
      <c r="Q5164">
        <v>-4.986724E-2</v>
      </c>
      <c r="R5164">
        <v>3.0435469999999999E-2</v>
      </c>
      <c r="S5164">
        <v>3.0144350000000002</v>
      </c>
      <c r="T5164">
        <v>-0.23157069999999999</v>
      </c>
      <c r="U5164">
        <v>-0.59060669999999904</v>
      </c>
      <c r="V5164">
        <v>-2.1948039999999999E-2</v>
      </c>
      <c r="W5164">
        <v>-3.5821989999999998E-2</v>
      </c>
      <c r="X5164">
        <v>0.99911709999999998</v>
      </c>
      <c r="Y5164">
        <v>0.199932</v>
      </c>
      <c r="Z5164">
        <v>-9.5454730000000005E-3</v>
      </c>
      <c r="AA5164">
        <v>0.9797633</v>
      </c>
      <c r="AB5164">
        <v>28</v>
      </c>
      <c r="AC5164">
        <v>14.2882999999999</v>
      </c>
      <c r="AD5164">
        <v>-1.1091858051250001</v>
      </c>
      <c r="AE5164">
        <v>-2.8301299999999898</v>
      </c>
      <c r="AF5164">
        <v>2.9347210391130099</v>
      </c>
      <c r="AG5164">
        <v>-1.1091858051250001</v>
      </c>
      <c r="AH5164">
        <v>14.181439173738701</v>
      </c>
      <c r="AI5164">
        <v>94.379796504444599</v>
      </c>
      <c r="AJ5164">
        <v>78.308189326017498</v>
      </c>
      <c r="AK5164">
        <v>14.5243277905091</v>
      </c>
      <c r="AL5164">
        <v>92.052888141393495</v>
      </c>
      <c r="AM5164">
        <v>91.258438913509195</v>
      </c>
      <c r="AN5164">
        <v>0.99999995546990395</v>
      </c>
    </row>
    <row r="5165" spans="1:40" x14ac:dyDescent="0.25">
      <c r="A5165" t="str">
        <f>"20190305135338843"</f>
        <v>20190305135338843</v>
      </c>
      <c r="B5165" t="str">
        <f>"1551765218835256"</f>
        <v>1551765218835256</v>
      </c>
      <c r="C5165" t="s">
        <v>40</v>
      </c>
      <c r="D5165">
        <v>4.6601499999999998</v>
      </c>
      <c r="E5165">
        <v>0.58534410000000003</v>
      </c>
      <c r="F5165" t="s">
        <v>42</v>
      </c>
      <c r="G5165">
        <v>-338.69589999999999</v>
      </c>
      <c r="H5165" s="1">
        <v>-1.900276E-6</v>
      </c>
      <c r="I5165">
        <v>14.08991</v>
      </c>
      <c r="J5165">
        <v>-352.9812</v>
      </c>
      <c r="K5165">
        <v>1.109186</v>
      </c>
      <c r="L5165">
        <v>16.9772</v>
      </c>
      <c r="M5165">
        <v>0.9998667</v>
      </c>
      <c r="N5165">
        <v>-1.405143E-2</v>
      </c>
      <c r="O5165">
        <v>8.305003E-3</v>
      </c>
      <c r="P5165">
        <v>0.99858219999999998</v>
      </c>
      <c r="Q5165">
        <v>-4.8757990000000001E-2</v>
      </c>
      <c r="R5165">
        <v>2.1365789999999999E-2</v>
      </c>
      <c r="S5165">
        <v>3.011841</v>
      </c>
      <c r="T5165">
        <v>-0.23000200000000001</v>
      </c>
      <c r="U5165">
        <v>-0.59832759999999996</v>
      </c>
      <c r="V5165">
        <v>-1.308837E-2</v>
      </c>
      <c r="W5165">
        <v>-3.4713319999999999E-2</v>
      </c>
      <c r="X5165">
        <v>0.99931159999999997</v>
      </c>
      <c r="Y5165">
        <v>0.20230039999999999</v>
      </c>
      <c r="Z5165">
        <v>-9.5882799999999994E-3</v>
      </c>
      <c r="AA5165">
        <v>0.97927660000000005</v>
      </c>
      <c r="AB5165">
        <v>28</v>
      </c>
      <c r="AC5165">
        <v>14.285299999999999</v>
      </c>
      <c r="AD5165">
        <v>-1.1091879002759999</v>
      </c>
      <c r="AE5165">
        <v>-2.8872900000000001</v>
      </c>
      <c r="AF5165">
        <v>2.9885314402112502</v>
      </c>
      <c r="AG5165">
        <v>-1.1091879002759999</v>
      </c>
      <c r="AH5165">
        <v>14.178700163164301</v>
      </c>
      <c r="AI5165">
        <v>94.377299668078095</v>
      </c>
      <c r="AJ5165">
        <v>78.097637232134502</v>
      </c>
      <c r="AK5165">
        <v>14.532623860960699</v>
      </c>
      <c r="AL5165">
        <v>91.989326399325904</v>
      </c>
      <c r="AM5165">
        <v>90.750382048979404</v>
      </c>
      <c r="AN5165">
        <v>0.99999999695461905</v>
      </c>
    </row>
    <row r="5166" spans="1:40" x14ac:dyDescent="0.25">
      <c r="A5166" t="str">
        <f>"20190305135338854"</f>
        <v>20190305135338854</v>
      </c>
      <c r="B5166" t="str">
        <f>"1551765218845018"</f>
        <v>1551765218845018</v>
      </c>
      <c r="C5166" t="s">
        <v>40</v>
      </c>
      <c r="D5166">
        <v>4.6147910000000003</v>
      </c>
      <c r="E5166">
        <v>0.58487299999999998</v>
      </c>
      <c r="F5166" t="s">
        <v>42</v>
      </c>
      <c r="G5166">
        <v>-338.08269999999999</v>
      </c>
      <c r="H5166" s="1">
        <v>-2.156077E-6</v>
      </c>
      <c r="I5166">
        <v>13.912850000000001</v>
      </c>
      <c r="J5166">
        <v>-352.83300000000003</v>
      </c>
      <c r="K5166">
        <v>1.1091850000000001</v>
      </c>
      <c r="L5166">
        <v>16.97824</v>
      </c>
      <c r="M5166">
        <v>0.99986799999999998</v>
      </c>
      <c r="N5166">
        <v>-1.4051660000000001E-2</v>
      </c>
      <c r="O5166">
        <v>8.1689950000000001E-3</v>
      </c>
      <c r="P5166">
        <v>0.99868630000000003</v>
      </c>
      <c r="Q5166">
        <v>-4.8441749999999999E-2</v>
      </c>
      <c r="R5166">
        <v>1.671044E-2</v>
      </c>
      <c r="S5166">
        <v>3.006561</v>
      </c>
      <c r="T5166">
        <v>-0.22383700000000001</v>
      </c>
      <c r="U5166">
        <v>-0.61837769999999903</v>
      </c>
      <c r="V5166">
        <v>-8.567702E-3</v>
      </c>
      <c r="W5166">
        <v>-3.4398100000000001E-2</v>
      </c>
      <c r="X5166">
        <v>0.99937149999999997</v>
      </c>
      <c r="Y5166">
        <v>0.2087773</v>
      </c>
      <c r="Z5166">
        <v>-9.6530469999999997E-3</v>
      </c>
      <c r="AA5166">
        <v>0.9779156</v>
      </c>
      <c r="AB5166">
        <v>28</v>
      </c>
      <c r="AC5166">
        <v>14.750299999999999</v>
      </c>
      <c r="AD5166">
        <v>-1.1091871560769999</v>
      </c>
      <c r="AE5166">
        <v>-3.0653899999999901</v>
      </c>
      <c r="AF5166">
        <v>3.1686189835326202</v>
      </c>
      <c r="AG5166">
        <v>-1.1091871560769999</v>
      </c>
      <c r="AH5166">
        <v>14.645377785730799</v>
      </c>
      <c r="AI5166">
        <v>94.233519724073602</v>
      </c>
      <c r="AJ5166">
        <v>77.791866611726903</v>
      </c>
      <c r="AK5166">
        <v>15.0252298783342</v>
      </c>
      <c r="AL5166">
        <v>91.971254795348898</v>
      </c>
      <c r="AM5166">
        <v>90.491189851542899</v>
      </c>
      <c r="AN5166">
        <v>1.0000000149067101</v>
      </c>
    </row>
    <row r="5167" spans="1:40" x14ac:dyDescent="0.25">
      <c r="A5167" t="str">
        <f>"20190305135338867"</f>
        <v>20190305135338867</v>
      </c>
      <c r="B5167" t="str">
        <f>"1551765218855753"</f>
        <v>1551765218855753</v>
      </c>
      <c r="C5167" t="s">
        <v>40</v>
      </c>
      <c r="D5167">
        <v>4.6473879999999896</v>
      </c>
      <c r="E5167">
        <v>0.58442590000000005</v>
      </c>
      <c r="F5167" t="s">
        <v>42</v>
      </c>
      <c r="G5167">
        <v>-337.54950000000002</v>
      </c>
      <c r="H5167" s="1">
        <v>-2.372862E-6</v>
      </c>
      <c r="I5167">
        <v>13.780029999999901</v>
      </c>
      <c r="J5167">
        <v>-352.68869999999998</v>
      </c>
      <c r="K5167">
        <v>1.109183</v>
      </c>
      <c r="L5167">
        <v>16.979279999999999</v>
      </c>
      <c r="M5167">
        <v>0.99986889999999995</v>
      </c>
      <c r="N5167">
        <v>-1.40518E-2</v>
      </c>
      <c r="O5167">
        <v>8.0349469999999902E-3</v>
      </c>
      <c r="P5167">
        <v>0.99876509999999996</v>
      </c>
      <c r="Q5167">
        <v>-4.8139399999999999E-2</v>
      </c>
      <c r="R5167">
        <v>1.228598E-2</v>
      </c>
      <c r="S5167">
        <v>3.003876</v>
      </c>
      <c r="T5167">
        <v>-0.21800349999999999</v>
      </c>
      <c r="U5167">
        <v>-0.62857059999999998</v>
      </c>
      <c r="V5167">
        <v>-4.2774140000000002E-3</v>
      </c>
      <c r="W5167">
        <v>-3.4097120000000002E-2</v>
      </c>
      <c r="X5167">
        <v>0.9994094</v>
      </c>
      <c r="Y5167">
        <v>0.21202080000000001</v>
      </c>
      <c r="Z5167">
        <v>-9.5741279999999995E-3</v>
      </c>
      <c r="AA5167">
        <v>0.97721829999999998</v>
      </c>
      <c r="AB5167">
        <v>28</v>
      </c>
      <c r="AC5167">
        <v>15.139199999999899</v>
      </c>
      <c r="AD5167">
        <v>-1.109185372862</v>
      </c>
      <c r="AE5167">
        <v>-3.1992500000000001</v>
      </c>
      <c r="AF5167">
        <v>3.3038249930894898</v>
      </c>
      <c r="AG5167">
        <v>-1.109185372862</v>
      </c>
      <c r="AH5167">
        <v>15.035743059862099</v>
      </c>
      <c r="AI5167">
        <v>94.121098443563596</v>
      </c>
      <c r="AJ5167">
        <v>77.607261035986994</v>
      </c>
      <c r="AK5167">
        <v>15.4343487435825</v>
      </c>
      <c r="AL5167">
        <v>91.953999761461404</v>
      </c>
      <c r="AM5167">
        <v>90.245221100591806</v>
      </c>
      <c r="AN5167">
        <v>1.00000002933559</v>
      </c>
    </row>
    <row r="5168" spans="1:40" x14ac:dyDescent="0.25">
      <c r="A5168" t="str">
        <f>"20190305135338879"</f>
        <v>20190305135338879</v>
      </c>
      <c r="B5168" t="str">
        <f>"1551765218875273"</f>
        <v>1551765218875273</v>
      </c>
      <c r="C5168" t="s">
        <v>40</v>
      </c>
      <c r="D5168">
        <v>4.625051</v>
      </c>
      <c r="E5168">
        <v>0.58354700000000004</v>
      </c>
      <c r="F5168" t="s">
        <v>42</v>
      </c>
      <c r="G5168">
        <v>-337.36090000000002</v>
      </c>
      <c r="H5168" s="1">
        <v>-2.4533389999999999E-6</v>
      </c>
      <c r="I5168">
        <v>13.718769999999999</v>
      </c>
      <c r="J5168">
        <v>-352.53539999999998</v>
      </c>
      <c r="K5168">
        <v>1.109186</v>
      </c>
      <c r="L5168">
        <v>16.980319999999999</v>
      </c>
      <c r="M5168">
        <v>0.99987029999999999</v>
      </c>
      <c r="N5168">
        <v>-1.405177E-2</v>
      </c>
      <c r="O5168">
        <v>7.885731E-3</v>
      </c>
      <c r="P5168">
        <v>0.99880749999999996</v>
      </c>
      <c r="Q5168">
        <v>-4.8206230000000003E-2</v>
      </c>
      <c r="R5168">
        <v>7.7377660000000001E-3</v>
      </c>
      <c r="S5168">
        <v>3.0010680000000001</v>
      </c>
      <c r="T5168">
        <v>-0.2171701</v>
      </c>
      <c r="U5168">
        <v>-0.63836669999999995</v>
      </c>
      <c r="V5168">
        <v>1.2214649999999999E-4</v>
      </c>
      <c r="W5168">
        <v>-3.416611E-2</v>
      </c>
      <c r="X5168">
        <v>0.99941619999999998</v>
      </c>
      <c r="Y5168">
        <v>0.21510599999999999</v>
      </c>
      <c r="Z5168">
        <v>-9.6718220000000001E-3</v>
      </c>
      <c r="AA5168">
        <v>0.97654280000000004</v>
      </c>
      <c r="AB5168">
        <v>28</v>
      </c>
      <c r="AC5168">
        <v>15.174499999999901</v>
      </c>
      <c r="AD5168">
        <v>-1.109188453339</v>
      </c>
      <c r="AE5168">
        <v>-3.2615500000000002</v>
      </c>
      <c r="AF5168">
        <v>3.3639426472915499</v>
      </c>
      <c r="AG5168">
        <v>-1.109188453339</v>
      </c>
      <c r="AH5168">
        <v>15.071336119988301</v>
      </c>
      <c r="AI5168">
        <v>94.108410310810697</v>
      </c>
      <c r="AJ5168">
        <v>77.417743208098699</v>
      </c>
      <c r="AK5168">
        <v>15.4819760237817</v>
      </c>
      <c r="AL5168">
        <v>91.957954881922504</v>
      </c>
      <c r="AM5168">
        <v>89.992997433003893</v>
      </c>
      <c r="AN5168">
        <v>1.00000003940736</v>
      </c>
    </row>
    <row r="5169" spans="1:40" x14ac:dyDescent="0.25">
      <c r="A5169" t="str">
        <f>"20190305135338891"</f>
        <v>20190305135338891</v>
      </c>
      <c r="B5169" t="str">
        <f>"1551765218885033"</f>
        <v>1551765218885033</v>
      </c>
      <c r="C5169" t="s">
        <v>40</v>
      </c>
      <c r="D5169">
        <v>4.6154510000000002</v>
      </c>
      <c r="E5169">
        <v>0.58315289999999997</v>
      </c>
      <c r="F5169" t="s">
        <v>42</v>
      </c>
      <c r="G5169">
        <v>-337.09809999999999</v>
      </c>
      <c r="H5169" s="1">
        <v>-2.5586139999999999E-6</v>
      </c>
      <c r="I5169">
        <v>13.659269999999999</v>
      </c>
      <c r="J5169">
        <v>-352.37630000000001</v>
      </c>
      <c r="K5169">
        <v>1.109183</v>
      </c>
      <c r="L5169">
        <v>16.981379999999898</v>
      </c>
      <c r="M5169">
        <v>0.99987139999999997</v>
      </c>
      <c r="N5169">
        <v>-1.4051630000000001E-2</v>
      </c>
      <c r="O5169">
        <v>7.7263050000000002E-3</v>
      </c>
      <c r="P5169">
        <v>0.99884439999999997</v>
      </c>
      <c r="Q5169">
        <v>-4.7940429999999999E-2</v>
      </c>
      <c r="R5169">
        <v>3.4096959999999998E-3</v>
      </c>
      <c r="S5169">
        <v>2.9981990000000001</v>
      </c>
      <c r="T5169">
        <v>-0.21542320000000001</v>
      </c>
      <c r="U5169">
        <v>-0.64498900000000003</v>
      </c>
      <c r="V5169">
        <v>4.2905979999999996E-3</v>
      </c>
      <c r="W5169">
        <v>-3.3902630000000003E-2</v>
      </c>
      <c r="X5169">
        <v>0.99941590000000002</v>
      </c>
      <c r="Y5169">
        <v>0.21720539999999999</v>
      </c>
      <c r="Z5169">
        <v>-9.6920610000000001E-3</v>
      </c>
      <c r="AA5169">
        <v>0.9760778</v>
      </c>
      <c r="AB5169">
        <v>28</v>
      </c>
      <c r="AC5169">
        <v>15.2782</v>
      </c>
      <c r="AD5169">
        <v>-1.109185558614</v>
      </c>
      <c r="AE5169">
        <v>-3.3221099999999901</v>
      </c>
      <c r="AF5169">
        <v>3.42284038698716</v>
      </c>
      <c r="AG5169">
        <v>-1.109185558614</v>
      </c>
      <c r="AH5169">
        <v>15.175698988272</v>
      </c>
      <c r="AI5169">
        <v>94.078204526155901</v>
      </c>
      <c r="AJ5169">
        <v>77.289764213276896</v>
      </c>
      <c r="AK5169">
        <v>15.5964088398858</v>
      </c>
      <c r="AL5169">
        <v>91.942849975717294</v>
      </c>
      <c r="AM5169">
        <v>89.754024679107999</v>
      </c>
      <c r="AN5169">
        <v>0.99999996936246105</v>
      </c>
    </row>
    <row r="5170" spans="1:40" x14ac:dyDescent="0.25">
      <c r="A5170" t="str">
        <f>"20190305135338905"</f>
        <v>20190305135338905</v>
      </c>
      <c r="B5170" t="str">
        <f>"1551765218895769"</f>
        <v>1551765218895769</v>
      </c>
      <c r="C5170" t="s">
        <v>40</v>
      </c>
      <c r="D5170">
        <v>4.6124859999999996</v>
      </c>
      <c r="E5170">
        <v>0.58257700000000001</v>
      </c>
      <c r="F5170" t="s">
        <v>42</v>
      </c>
      <c r="G5170">
        <v>-336.79520000000002</v>
      </c>
      <c r="H5170" s="1">
        <v>-2.6839729999999902E-6</v>
      </c>
      <c r="I5170">
        <v>13.575430000000001</v>
      </c>
      <c r="J5170">
        <v>-352.21300000000002</v>
      </c>
      <c r="K5170">
        <v>1.109181</v>
      </c>
      <c r="L5170">
        <v>16.98245</v>
      </c>
      <c r="M5170">
        <v>0.99987289999999995</v>
      </c>
      <c r="N5170">
        <v>-1.405139E-2</v>
      </c>
      <c r="O5170">
        <v>7.5577450000000003E-3</v>
      </c>
      <c r="P5170">
        <v>0.9988496</v>
      </c>
      <c r="Q5170">
        <v>-4.7947539999999997E-2</v>
      </c>
      <c r="R5170">
        <v>-9.2002839999999995E-4</v>
      </c>
      <c r="S5170">
        <v>2.9954830000000001</v>
      </c>
      <c r="T5170">
        <v>-0.2132425</v>
      </c>
      <c r="U5170">
        <v>-0.65478519999999996</v>
      </c>
      <c r="V5170">
        <v>8.451208E-3</v>
      </c>
      <c r="W5170">
        <v>-3.3912709999999999E-2</v>
      </c>
      <c r="X5170">
        <v>0.99938910000000003</v>
      </c>
      <c r="Y5170">
        <v>0.2202732</v>
      </c>
      <c r="Z5170">
        <v>-9.7337889999999996E-3</v>
      </c>
      <c r="AA5170">
        <v>0.97538970000000003</v>
      </c>
      <c r="AB5170">
        <v>28</v>
      </c>
      <c r="AC5170">
        <v>15.4178</v>
      </c>
      <c r="AD5170">
        <v>-1.109183683973</v>
      </c>
      <c r="AE5170">
        <v>-3.4070200000000002</v>
      </c>
      <c r="AF5170">
        <v>3.5061563116609298</v>
      </c>
      <c r="AG5170">
        <v>-1.109183683973</v>
      </c>
      <c r="AH5170">
        <v>15.316028439908999</v>
      </c>
      <c r="AI5170">
        <v>94.038021935887897</v>
      </c>
      <c r="AJ5170">
        <v>77.105980428203495</v>
      </c>
      <c r="AK5170">
        <v>15.751322093674901</v>
      </c>
      <c r="AL5170">
        <v>91.943427723806295</v>
      </c>
      <c r="AM5170">
        <v>89.515497008638505</v>
      </c>
      <c r="AN5170">
        <v>1.0000000340074999</v>
      </c>
    </row>
    <row r="5171" spans="1:40" x14ac:dyDescent="0.25">
      <c r="A5171" t="str">
        <f>"20190305135338922"</f>
        <v>20190305135338922</v>
      </c>
      <c r="B5171" t="str">
        <f>"1551765218915289"</f>
        <v>1551765218915289</v>
      </c>
      <c r="C5171" t="s">
        <v>40</v>
      </c>
      <c r="D5171">
        <v>4.6158279999999996</v>
      </c>
      <c r="E5171">
        <v>0.58157239999999999</v>
      </c>
      <c r="F5171" t="s">
        <v>42</v>
      </c>
      <c r="G5171">
        <v>-336.64800000000002</v>
      </c>
      <c r="H5171" s="1">
        <v>-2.7453889999999999E-6</v>
      </c>
      <c r="I5171">
        <v>13.53293</v>
      </c>
      <c r="J5171">
        <v>-352.00459999999998</v>
      </c>
      <c r="K5171">
        <v>1.109175</v>
      </c>
      <c r="L5171">
        <v>16.983729999999898</v>
      </c>
      <c r="M5171">
        <v>0.9998745</v>
      </c>
      <c r="N5171">
        <v>-1.405088E-2</v>
      </c>
      <c r="O5171">
        <v>7.3257449999999998E-3</v>
      </c>
      <c r="P5171">
        <v>0.99886129999999995</v>
      </c>
      <c r="Q5171">
        <v>-4.6778739999999999E-2</v>
      </c>
      <c r="R5171">
        <v>-9.3866490000000004E-3</v>
      </c>
      <c r="S5171">
        <v>2.9926149999999998</v>
      </c>
      <c r="T5171">
        <v>-0.21325769999999999</v>
      </c>
      <c r="U5171">
        <v>-0.66320800000000002</v>
      </c>
      <c r="V5171">
        <v>1.668565E-2</v>
      </c>
      <c r="W5171">
        <v>-3.27502E-2</v>
      </c>
      <c r="X5171">
        <v>0.99932430000000005</v>
      </c>
      <c r="Y5171">
        <v>0.22285150000000001</v>
      </c>
      <c r="Z5171">
        <v>-9.8360180000000002E-3</v>
      </c>
      <c r="AA5171">
        <v>0.97480279999999997</v>
      </c>
      <c r="AB5171">
        <v>28</v>
      </c>
      <c r="AC5171">
        <v>15.356599999999901</v>
      </c>
      <c r="AD5171">
        <v>-1.1091777453889999</v>
      </c>
      <c r="AE5171">
        <v>-3.4507999999999899</v>
      </c>
      <c r="AF5171">
        <v>3.54560906393854</v>
      </c>
      <c r="AG5171">
        <v>-1.1091777453889999</v>
      </c>
      <c r="AH5171">
        <v>15.255146624283499</v>
      </c>
      <c r="AI5171">
        <v>94.050966078422704</v>
      </c>
      <c r="AJ5171">
        <v>76.915587781899504</v>
      </c>
      <c r="AK5171">
        <v>15.7009909697935</v>
      </c>
      <c r="AL5171">
        <v>91.876783798534703</v>
      </c>
      <c r="AM5171">
        <v>89.043425145987399</v>
      </c>
      <c r="AN5171">
        <v>1.0000000215432201</v>
      </c>
    </row>
    <row r="5172" spans="1:40" x14ac:dyDescent="0.25">
      <c r="A5172" t="str">
        <f>"20190305135338944"</f>
        <v>20190305135338944</v>
      </c>
      <c r="B5172" t="str">
        <f>"1551765218935784"</f>
        <v>1551765218935784</v>
      </c>
      <c r="C5172" t="s">
        <v>40</v>
      </c>
      <c r="D5172">
        <v>4.6452849999999897</v>
      </c>
      <c r="E5172">
        <v>0.56993249999999995</v>
      </c>
      <c r="F5172" t="s">
        <v>42</v>
      </c>
      <c r="G5172">
        <v>-336.13010000000003</v>
      </c>
      <c r="H5172" s="1">
        <v>-2.965706E-6</v>
      </c>
      <c r="I5172">
        <v>13.367229999999999</v>
      </c>
      <c r="J5172">
        <v>-351.733</v>
      </c>
      <c r="K5172">
        <v>1.109165</v>
      </c>
      <c r="L5172">
        <v>16.985320000000002</v>
      </c>
      <c r="M5172">
        <v>0.99987689999999996</v>
      </c>
      <c r="N5172">
        <v>-1.404999E-2</v>
      </c>
      <c r="O5172">
        <v>7.0037700000000003E-3</v>
      </c>
      <c r="P5172">
        <v>0.99879569999999995</v>
      </c>
      <c r="Q5172">
        <v>-4.578219E-2</v>
      </c>
      <c r="R5172">
        <v>-1.7646200000000001E-2</v>
      </c>
      <c r="S5172">
        <v>2.9872740000000002</v>
      </c>
      <c r="T5172">
        <v>-0.20872640000000001</v>
      </c>
      <c r="U5172">
        <v>-0.68054199999999998</v>
      </c>
      <c r="V5172">
        <v>2.4622149999999999E-2</v>
      </c>
      <c r="W5172">
        <v>-3.1761900000000003E-2</v>
      </c>
      <c r="X5172">
        <v>0.99919210000000003</v>
      </c>
      <c r="Y5172">
        <v>0.22829579999999999</v>
      </c>
      <c r="Z5172">
        <v>-9.8776579999999992E-3</v>
      </c>
      <c r="AA5172">
        <v>0.97354169999999995</v>
      </c>
      <c r="AB5172">
        <v>28</v>
      </c>
      <c r="AC5172">
        <v>15.602899999999901</v>
      </c>
      <c r="AD5172">
        <v>-1.1091679657059901</v>
      </c>
      <c r="AE5172">
        <v>-3.61809</v>
      </c>
      <c r="AF5172">
        <v>3.7095020636029101</v>
      </c>
      <c r="AG5172">
        <v>-1.1091679657059901</v>
      </c>
      <c r="AH5172">
        <v>15.5028299884476</v>
      </c>
      <c r="AI5172">
        <v>93.980336330688004</v>
      </c>
      <c r="AJ5172">
        <v>76.543332062241902</v>
      </c>
      <c r="AK5172">
        <v>15.978998616519499</v>
      </c>
      <c r="AL5172">
        <v>91.820129008407505</v>
      </c>
      <c r="AM5172">
        <v>88.5883997360569</v>
      </c>
      <c r="AN5172">
        <v>0.99999996063232</v>
      </c>
    </row>
    <row r="5173" spans="1:40" x14ac:dyDescent="0.25">
      <c r="A5173" t="str">
        <f>"20190305135338956"</f>
        <v>20190305135338956</v>
      </c>
      <c r="B5173" t="str">
        <f>"1551765218945547"</f>
        <v>1551765218945547</v>
      </c>
      <c r="C5173" t="s">
        <v>40</v>
      </c>
      <c r="D5173">
        <v>4.6416789999999999</v>
      </c>
      <c r="E5173">
        <v>0.56878960000000001</v>
      </c>
      <c r="F5173" t="s">
        <v>42</v>
      </c>
      <c r="G5173">
        <v>-332.30009999999999</v>
      </c>
      <c r="H5173" s="1">
        <v>-4.4583789999999996E-6</v>
      </c>
      <c r="I5173">
        <v>13.00436</v>
      </c>
      <c r="J5173">
        <v>-351.58879999999999</v>
      </c>
      <c r="K5173">
        <v>1.1091549999999999</v>
      </c>
      <c r="L5173">
        <v>16.98611</v>
      </c>
      <c r="M5173">
        <v>0.99987820000000005</v>
      </c>
      <c r="N5173">
        <v>-1.40494E-2</v>
      </c>
      <c r="O5173">
        <v>6.817984E-3</v>
      </c>
      <c r="P5173">
        <v>0.99874540000000001</v>
      </c>
      <c r="Q5173">
        <v>-4.5326529999999997E-2</v>
      </c>
      <c r="R5173">
        <v>-2.1292100000000001E-2</v>
      </c>
      <c r="S5173">
        <v>2.984985</v>
      </c>
      <c r="T5173">
        <v>-0.17037339999999901</v>
      </c>
      <c r="U5173">
        <v>-0.61148069999999999</v>
      </c>
      <c r="V5173">
        <v>2.808157E-2</v>
      </c>
      <c r="W5173">
        <v>-3.1310739999999997E-2</v>
      </c>
      <c r="X5173">
        <v>0.99911519999999998</v>
      </c>
      <c r="Y5173">
        <v>0.2069481</v>
      </c>
      <c r="Z5173">
        <v>-7.6010269999999998E-3</v>
      </c>
      <c r="AA5173">
        <v>0.97832240000000004</v>
      </c>
      <c r="AB5173">
        <v>28</v>
      </c>
      <c r="AC5173">
        <v>19.288699999999999</v>
      </c>
      <c r="AD5173">
        <v>-1.1091594583790001</v>
      </c>
      <c r="AE5173">
        <v>-3.9817499999999999</v>
      </c>
      <c r="AF5173">
        <v>4.10017690764455</v>
      </c>
      <c r="AG5173">
        <v>-1.1091594583790001</v>
      </c>
      <c r="AH5173">
        <v>19.200208756214899</v>
      </c>
      <c r="AI5173">
        <v>93.233447892781498</v>
      </c>
      <c r="AJ5173">
        <v>77.945630657749504</v>
      </c>
      <c r="AK5173">
        <v>19.664427315849402</v>
      </c>
      <c r="AL5173">
        <v>91.794266401234793</v>
      </c>
      <c r="AM5173">
        <v>88.390043543247401</v>
      </c>
      <c r="AN5173">
        <v>1.00000005994202</v>
      </c>
    </row>
    <row r="5174" spans="1:40" x14ac:dyDescent="0.25">
      <c r="A5174" t="str">
        <f>"20190305135338968"</f>
        <v>20190305135338968</v>
      </c>
      <c r="B5174" t="str">
        <f>"1551765218965065"</f>
        <v>1551765218965065</v>
      </c>
      <c r="C5174" t="s">
        <v>40</v>
      </c>
      <c r="D5174">
        <v>4.6298069999999996</v>
      </c>
      <c r="E5174">
        <v>0.56720719999999902</v>
      </c>
      <c r="F5174" t="s">
        <v>42</v>
      </c>
      <c r="G5174">
        <v>-332.07369999999997</v>
      </c>
      <c r="H5174" s="1">
        <v>-4.5609069999999998E-6</v>
      </c>
      <c r="I5174">
        <v>12.97381</v>
      </c>
      <c r="J5174">
        <v>-351.43880000000001</v>
      </c>
      <c r="K5174">
        <v>1.109143</v>
      </c>
      <c r="L5174">
        <v>16.986910000000002</v>
      </c>
      <c r="M5174">
        <v>0.99987950000000003</v>
      </c>
      <c r="N5174">
        <v>-1.4048740000000001E-2</v>
      </c>
      <c r="O5174">
        <v>6.6195489999999997E-3</v>
      </c>
      <c r="P5174">
        <v>0.99866880000000002</v>
      </c>
      <c r="Q5174">
        <v>-4.5087309999999998E-2</v>
      </c>
      <c r="R5174">
        <v>-2.5056220000000001E-2</v>
      </c>
      <c r="S5174">
        <v>2.9829409999999998</v>
      </c>
      <c r="T5174">
        <v>-0.16953859999999901</v>
      </c>
      <c r="U5174">
        <v>-0.61328130000000003</v>
      </c>
      <c r="V5174">
        <v>3.1646309999999997E-2</v>
      </c>
      <c r="W5174">
        <v>-3.107673E-2</v>
      </c>
      <c r="X5174">
        <v>0.99901589999999996</v>
      </c>
      <c r="Y5174">
        <v>0.20745479999999999</v>
      </c>
      <c r="Z5174">
        <v>-7.5838269999999996E-3</v>
      </c>
      <c r="AA5174">
        <v>0.97821519999999995</v>
      </c>
      <c r="AB5174">
        <v>27</v>
      </c>
      <c r="AC5174">
        <v>19.365100000000002</v>
      </c>
      <c r="AD5174">
        <v>-1.1091475609070001</v>
      </c>
      <c r="AE5174">
        <v>-4.0130999999999997</v>
      </c>
      <c r="AF5174">
        <v>4.1282279505616204</v>
      </c>
      <c r="AG5174">
        <v>-1.1091475609070001</v>
      </c>
      <c r="AH5174">
        <v>19.277472526854201</v>
      </c>
      <c r="AI5174">
        <v>93.220087373472296</v>
      </c>
      <c r="AJ5174">
        <v>77.912799211632006</v>
      </c>
      <c r="AK5174">
        <v>19.7457190638195</v>
      </c>
      <c r="AL5174">
        <v>91.780852177153605</v>
      </c>
      <c r="AM5174">
        <v>88.185620597198096</v>
      </c>
      <c r="AN5174">
        <v>1.0000000102684501</v>
      </c>
    </row>
    <row r="5175" spans="1:40" x14ac:dyDescent="0.25">
      <c r="A5175" t="str">
        <f>"20190305135338979"</f>
        <v>20190305135338979</v>
      </c>
      <c r="B5175" t="str">
        <f>"1551765218974825"</f>
        <v>1551765218974825</v>
      </c>
      <c r="C5175" t="s">
        <v>40</v>
      </c>
      <c r="D5175">
        <v>4.6405289999999999</v>
      </c>
      <c r="E5175">
        <v>0.5665289</v>
      </c>
      <c r="F5175" t="s">
        <v>42</v>
      </c>
      <c r="G5175">
        <v>-332.1977</v>
      </c>
      <c r="H5175" s="1">
        <v>-4.4966649999999997E-6</v>
      </c>
      <c r="I5175">
        <v>13.03628</v>
      </c>
      <c r="J5175">
        <v>-351.29410000000001</v>
      </c>
      <c r="K5175">
        <v>1.1091359999999999</v>
      </c>
      <c r="L5175">
        <v>16.987639999999999</v>
      </c>
      <c r="M5175">
        <v>0.99988080000000001</v>
      </c>
      <c r="N5175">
        <v>-1.4048039999999999E-2</v>
      </c>
      <c r="O5175">
        <v>6.4166980000000002E-3</v>
      </c>
      <c r="P5175">
        <v>0.99858049999999998</v>
      </c>
      <c r="Q5175">
        <v>-4.4811219999999999E-2</v>
      </c>
      <c r="R5175">
        <v>-2.8791199999999999E-2</v>
      </c>
      <c r="S5175">
        <v>2.980896</v>
      </c>
      <c r="T5175">
        <v>-0.17183219999999999</v>
      </c>
      <c r="U5175">
        <v>-0.61202999999999996</v>
      </c>
      <c r="V5175">
        <v>3.5177310000000003E-2</v>
      </c>
      <c r="W5175">
        <v>-3.0806239999999999E-2</v>
      </c>
      <c r="X5175">
        <v>0.99890619999999997</v>
      </c>
      <c r="Y5175">
        <v>0.20698520000000001</v>
      </c>
      <c r="Z5175">
        <v>-7.646534E-3</v>
      </c>
      <c r="AA5175">
        <v>0.97831420000000002</v>
      </c>
      <c r="AB5175">
        <v>27</v>
      </c>
      <c r="AC5175">
        <v>19.096399999999999</v>
      </c>
      <c r="AD5175">
        <v>-1.109140496665</v>
      </c>
      <c r="AE5175">
        <v>-3.95135999999999</v>
      </c>
      <c r="AF5175">
        <v>4.0606905574637402</v>
      </c>
      <c r="AG5175">
        <v>-1.109140496665</v>
      </c>
      <c r="AH5175">
        <v>19.009156560675098</v>
      </c>
      <c r="AI5175">
        <v>93.265774104291594</v>
      </c>
      <c r="AJ5175">
        <v>77.941847019643404</v>
      </c>
      <c r="AK5175">
        <v>19.469654172405701</v>
      </c>
      <c r="AL5175">
        <v>91.765346779521394</v>
      </c>
      <c r="AM5175">
        <v>87.983115096174899</v>
      </c>
      <c r="AN5175">
        <v>1.0000000319800999</v>
      </c>
    </row>
    <row r="5176" spans="1:40" x14ac:dyDescent="0.25">
      <c r="A5176" t="str">
        <f>"20190305135338999"</f>
        <v>20190305135338999</v>
      </c>
      <c r="B5176" t="str">
        <f>"1551765218995321"</f>
        <v>1551765218995321</v>
      </c>
      <c r="C5176" t="s">
        <v>40</v>
      </c>
      <c r="D5176">
        <v>4.5350199999999896</v>
      </c>
      <c r="E5176">
        <v>0.56501000000000001</v>
      </c>
      <c r="F5176" t="s">
        <v>42</v>
      </c>
      <c r="G5176">
        <v>-332.34870000000001</v>
      </c>
      <c r="H5176" s="1">
        <v>-4.4279000000000004E-6</v>
      </c>
      <c r="I5176">
        <v>13.058579999999999</v>
      </c>
      <c r="J5176">
        <v>-351.07049999999998</v>
      </c>
      <c r="K5176">
        <v>1.1091200000000001</v>
      </c>
      <c r="L5176">
        <v>16.988679999999999</v>
      </c>
      <c r="M5176">
        <v>0.99988279999999996</v>
      </c>
      <c r="N5176">
        <v>-1.4046990000000001E-2</v>
      </c>
      <c r="O5176">
        <v>6.0890010000000001E-3</v>
      </c>
      <c r="P5176">
        <v>0.99841230000000003</v>
      </c>
      <c r="Q5176">
        <v>-4.3994760000000001E-2</v>
      </c>
      <c r="R5176">
        <v>-3.517551E-2</v>
      </c>
      <c r="S5176">
        <v>2.9786990000000002</v>
      </c>
      <c r="T5176">
        <v>-0.1743854</v>
      </c>
      <c r="U5176">
        <v>-0.61773679999999997</v>
      </c>
      <c r="V5176">
        <v>4.1232619999999998E-2</v>
      </c>
      <c r="W5176">
        <v>-2.9999649999999999E-2</v>
      </c>
      <c r="X5176">
        <v>0.99869909999999995</v>
      </c>
      <c r="Y5176">
        <v>0.20858959999999999</v>
      </c>
      <c r="Z5176">
        <v>-7.7865089999999996E-3</v>
      </c>
      <c r="AA5176">
        <v>0.97797230000000002</v>
      </c>
      <c r="AB5176">
        <v>27</v>
      </c>
      <c r="AC5176">
        <v>18.721799999999899</v>
      </c>
      <c r="AD5176">
        <v>-1.1091244279000001</v>
      </c>
      <c r="AE5176">
        <v>-3.9300999999999902</v>
      </c>
      <c r="AF5176">
        <v>4.0304868322144598</v>
      </c>
      <c r="AG5176">
        <v>-1.1091244279000001</v>
      </c>
      <c r="AH5176">
        <v>18.634878411529002</v>
      </c>
      <c r="AI5176">
        <v>93.329349612502696</v>
      </c>
      <c r="AJ5176">
        <v>77.795642498020101</v>
      </c>
      <c r="AK5176">
        <v>19.098001846101301</v>
      </c>
      <c r="AL5176">
        <v>91.7191112580729</v>
      </c>
      <c r="AM5176">
        <v>87.635810266415803</v>
      </c>
      <c r="AN5176">
        <v>1.0000000001464899</v>
      </c>
    </row>
    <row r="5177" spans="1:40" x14ac:dyDescent="0.25">
      <c r="A5177" t="str">
        <f>"20190305135339010"</f>
        <v>20190305135339010</v>
      </c>
      <c r="B5177" t="str">
        <f>"1551765219005082"</f>
        <v>1551765219005082</v>
      </c>
      <c r="C5177" t="s">
        <v>40</v>
      </c>
      <c r="D5177">
        <v>4.4991459999999996</v>
      </c>
      <c r="E5177">
        <v>0.56265379999999998</v>
      </c>
      <c r="F5177" t="s">
        <v>42</v>
      </c>
      <c r="G5177">
        <v>-329.161</v>
      </c>
      <c r="H5177" s="1">
        <v>-2.228288E-6</v>
      </c>
      <c r="I5177">
        <v>12.39321</v>
      </c>
      <c r="J5177">
        <v>-350.91800000000001</v>
      </c>
      <c r="K5177">
        <v>1.1091089999999999</v>
      </c>
      <c r="L5177">
        <v>16.989350000000002</v>
      </c>
      <c r="M5177">
        <v>0.9998842</v>
      </c>
      <c r="N5177">
        <v>-1.404621E-2</v>
      </c>
      <c r="O5177">
        <v>5.8567209999999996E-3</v>
      </c>
      <c r="P5177">
        <v>0.99830929999999996</v>
      </c>
      <c r="Q5177">
        <v>-4.3634050000000001E-2</v>
      </c>
      <c r="R5177">
        <v>-3.840408E-2</v>
      </c>
      <c r="S5177">
        <v>2.9761350000000002</v>
      </c>
      <c r="T5177">
        <v>-0.1506604</v>
      </c>
      <c r="U5177">
        <v>-0.62423709999999999</v>
      </c>
      <c r="V5177">
        <v>4.4227950000000002E-2</v>
      </c>
      <c r="W5177">
        <v>-2.9644719999999999E-2</v>
      </c>
      <c r="X5177">
        <v>0.99858150000000001</v>
      </c>
      <c r="Y5177">
        <v>0.210673</v>
      </c>
      <c r="Z5177">
        <v>-6.980338E-3</v>
      </c>
      <c r="AA5177">
        <v>0.9775317</v>
      </c>
      <c r="AB5177">
        <v>27</v>
      </c>
      <c r="AC5177">
        <v>21.757000000000001</v>
      </c>
      <c r="AD5177">
        <v>-1.109111228288</v>
      </c>
      <c r="AE5177">
        <v>-4.5961400000000001</v>
      </c>
      <c r="AF5177">
        <v>4.7117770997862802</v>
      </c>
      <c r="AG5177">
        <v>-1.109111228288</v>
      </c>
      <c r="AH5177">
        <v>21.675783794296802</v>
      </c>
      <c r="AI5177">
        <v>92.862436123578405</v>
      </c>
      <c r="AJ5177">
        <v>77.736109209499105</v>
      </c>
      <c r="AK5177">
        <v>22.2096955011069</v>
      </c>
      <c r="AL5177">
        <v>91.6987662749398</v>
      </c>
      <c r="AM5177">
        <v>87.463982849229595</v>
      </c>
      <c r="AN5177">
        <v>0.99999996656366397</v>
      </c>
    </row>
    <row r="5178" spans="1:40" x14ac:dyDescent="0.25">
      <c r="A5178" t="str">
        <f>"20190305135339023"</f>
        <v>20190305135339023</v>
      </c>
      <c r="B5178" t="str">
        <f>"1551765219014841"</f>
        <v>1551765219014841</v>
      </c>
      <c r="C5178" t="s">
        <v>40</v>
      </c>
      <c r="D5178">
        <v>4.551361</v>
      </c>
      <c r="E5178">
        <v>0.56053160000000002</v>
      </c>
      <c r="F5178" t="s">
        <v>42</v>
      </c>
      <c r="G5178">
        <v>-329.27460000000002</v>
      </c>
      <c r="H5178" s="1">
        <v>-2.1525979999999999E-6</v>
      </c>
      <c r="I5178">
        <v>12.51376</v>
      </c>
      <c r="J5178">
        <v>-350.75699999999898</v>
      </c>
      <c r="K5178">
        <v>1.1090990000000001</v>
      </c>
      <c r="L5178">
        <v>16.990020000000001</v>
      </c>
      <c r="M5178">
        <v>0.99988569999999999</v>
      </c>
      <c r="N5178">
        <v>-1.404529E-2</v>
      </c>
      <c r="O5178">
        <v>5.6047220000000003E-3</v>
      </c>
      <c r="P5178">
        <v>0.99820969999999998</v>
      </c>
      <c r="Q5178">
        <v>-4.2895549999999998E-2</v>
      </c>
      <c r="R5178">
        <v>-4.1685550000000002E-2</v>
      </c>
      <c r="S5178">
        <v>2.9747620000000001</v>
      </c>
      <c r="T5178">
        <v>-0.15244079999999999</v>
      </c>
      <c r="U5178">
        <v>-0.61514279999999999</v>
      </c>
      <c r="V5178">
        <v>4.7257130000000001E-2</v>
      </c>
      <c r="W5178">
        <v>-2.891225E-2</v>
      </c>
      <c r="X5178">
        <v>0.99846420000000002</v>
      </c>
      <c r="Y5178">
        <v>0.20764959999999999</v>
      </c>
      <c r="Z5178">
        <v>-6.9424129999999997E-3</v>
      </c>
      <c r="AA5178">
        <v>0.97817860000000001</v>
      </c>
      <c r="AB5178">
        <v>27</v>
      </c>
      <c r="AC5178">
        <v>21.482399999999899</v>
      </c>
      <c r="AD5178">
        <v>-1.1091011525979999</v>
      </c>
      <c r="AE5178">
        <v>-4.4762599999999999</v>
      </c>
      <c r="AF5178">
        <v>4.5848919825807997</v>
      </c>
      <c r="AG5178">
        <v>-1.1091011525979999</v>
      </c>
      <c r="AH5178">
        <v>21.402298084606599</v>
      </c>
      <c r="AI5178">
        <v>92.900805828876699</v>
      </c>
      <c r="AJ5178">
        <v>77.908608139603999</v>
      </c>
      <c r="AK5178">
        <v>21.915969135791901</v>
      </c>
      <c r="AL5178">
        <v>91.656780850030103</v>
      </c>
      <c r="AM5178">
        <v>87.290223311980498</v>
      </c>
      <c r="AN5178">
        <v>0.99999995660876795</v>
      </c>
    </row>
    <row r="5179" spans="1:40" x14ac:dyDescent="0.25">
      <c r="A5179" t="str">
        <f>"20190305135339035"</f>
        <v>20190305135339035</v>
      </c>
      <c r="B5179" t="str">
        <f>"1551765219025576"</f>
        <v>1551765219025576</v>
      </c>
      <c r="C5179" t="s">
        <v>40</v>
      </c>
      <c r="D5179">
        <v>4.5252520000000001</v>
      </c>
      <c r="E5179">
        <v>0.55868229999999997</v>
      </c>
      <c r="F5179" t="s">
        <v>42</v>
      </c>
      <c r="G5179">
        <v>-329.18049999999999</v>
      </c>
      <c r="H5179" s="1">
        <v>-2.1717049999999998E-6</v>
      </c>
      <c r="I5179">
        <v>12.57769</v>
      </c>
      <c r="J5179">
        <v>-350.61700000000002</v>
      </c>
      <c r="K5179">
        <v>1.109097</v>
      </c>
      <c r="L5179">
        <v>16.990539999999999</v>
      </c>
      <c r="M5179">
        <v>0.99988699999999997</v>
      </c>
      <c r="N5179">
        <v>-1.4044299999999999E-2</v>
      </c>
      <c r="O5179">
        <v>5.3788330000000004E-3</v>
      </c>
      <c r="P5179">
        <v>0.99810390000000004</v>
      </c>
      <c r="Q5179">
        <v>-4.2040340000000002E-2</v>
      </c>
      <c r="R5179">
        <v>-4.4962090000000003E-2</v>
      </c>
      <c r="S5179">
        <v>2.9734500000000001</v>
      </c>
      <c r="T5179">
        <v>-0.15284500000000001</v>
      </c>
      <c r="U5179">
        <v>-0.60806269999999996</v>
      </c>
      <c r="V5179">
        <v>5.0307860000000003E-2</v>
      </c>
      <c r="W5179">
        <v>-2.8062960000000001E-2</v>
      </c>
      <c r="X5179">
        <v>0.99833939999999999</v>
      </c>
      <c r="Y5179">
        <v>0.20528099999999999</v>
      </c>
      <c r="Z5179">
        <v>-6.8749960000000004E-3</v>
      </c>
      <c r="AA5179">
        <v>0.97867890000000002</v>
      </c>
      <c r="AB5179">
        <v>27</v>
      </c>
      <c r="AC5179">
        <v>21.436499999999899</v>
      </c>
      <c r="AD5179">
        <v>-1.1090991717050001</v>
      </c>
      <c r="AE5179">
        <v>-4.4128499999999997</v>
      </c>
      <c r="AF5179">
        <v>4.5165021381597104</v>
      </c>
      <c r="AG5179">
        <v>-1.1090991717050001</v>
      </c>
      <c r="AH5179">
        <v>21.357603528993501</v>
      </c>
      <c r="AI5179">
        <v>92.908488346408504</v>
      </c>
      <c r="AJ5179">
        <v>78.059552451149301</v>
      </c>
      <c r="AK5179">
        <v>21.858090516748099</v>
      </c>
      <c r="AL5179">
        <v>91.608100312550405</v>
      </c>
      <c r="AM5179">
        <v>87.115217555662596</v>
      </c>
      <c r="AN5179">
        <v>0.99999998404705004</v>
      </c>
    </row>
    <row r="5180" spans="1:40" x14ac:dyDescent="0.25">
      <c r="A5180" t="str">
        <f>"20190305135339048"</f>
        <v>20190305135339048</v>
      </c>
      <c r="B5180" t="str">
        <f>"1551765219045097"</f>
        <v>1551765219045097</v>
      </c>
      <c r="C5180" t="s">
        <v>40</v>
      </c>
      <c r="D5180">
        <v>4.5086570000000004</v>
      </c>
      <c r="E5180">
        <v>0.55582379999999998</v>
      </c>
      <c r="F5180" t="s">
        <v>42</v>
      </c>
      <c r="G5180">
        <v>-329.1481</v>
      </c>
      <c r="H5180" s="1">
        <v>-2.169227E-6</v>
      </c>
      <c r="I5180">
        <v>12.633839999999999</v>
      </c>
      <c r="J5180">
        <v>-350.4717</v>
      </c>
      <c r="K5180">
        <v>1.1090949999999999</v>
      </c>
      <c r="L5180">
        <v>16.991060000000001</v>
      </c>
      <c r="M5180">
        <v>0.9998882</v>
      </c>
      <c r="N5180">
        <v>-1.404323E-2</v>
      </c>
      <c r="O5180">
        <v>5.143E-3</v>
      </c>
      <c r="P5180">
        <v>0.99800239999999996</v>
      </c>
      <c r="Q5180">
        <v>-4.0725070000000002E-2</v>
      </c>
      <c r="R5180">
        <v>-4.8299010000000003E-2</v>
      </c>
      <c r="S5180">
        <v>2.9720460000000002</v>
      </c>
      <c r="T5180">
        <v>-0.15353800000000001</v>
      </c>
      <c r="U5180">
        <v>-0.60311890000000001</v>
      </c>
      <c r="V5180">
        <v>5.3409350000000001E-2</v>
      </c>
      <c r="W5180">
        <v>-2.6753740000000002E-2</v>
      </c>
      <c r="X5180">
        <v>0.99821420000000005</v>
      </c>
      <c r="Y5180">
        <v>0.20357739999999999</v>
      </c>
      <c r="Z5180">
        <v>-6.8385869999999897E-3</v>
      </c>
      <c r="AA5180">
        <v>0.97903499999999999</v>
      </c>
      <c r="AB5180">
        <v>27</v>
      </c>
      <c r="AC5180">
        <v>21.323599999999999</v>
      </c>
      <c r="AD5180">
        <v>-1.109097169227</v>
      </c>
      <c r="AE5180">
        <v>-4.3572199999999999</v>
      </c>
      <c r="AF5180">
        <v>4.4552706170511698</v>
      </c>
      <c r="AG5180">
        <v>-1.109097169227</v>
      </c>
      <c r="AH5180">
        <v>21.245733782199199</v>
      </c>
      <c r="AI5180">
        <v>92.924812313847099</v>
      </c>
      <c r="AJ5180">
        <v>78.156580643337804</v>
      </c>
      <c r="AK5180">
        <v>21.736161959877499</v>
      </c>
      <c r="AL5180">
        <v>91.533059378446893</v>
      </c>
      <c r="AM5180">
        <v>86.937315464894994</v>
      </c>
      <c r="AN5180">
        <v>0.99999995517652396</v>
      </c>
    </row>
    <row r="5181" spans="1:40" x14ac:dyDescent="0.25">
      <c r="A5181" t="str">
        <f>"20190305135339059"</f>
        <v>20190305135339059</v>
      </c>
      <c r="B5181" t="str">
        <f>"1551765219054857"</f>
        <v>1551765219054857</v>
      </c>
      <c r="C5181" t="s">
        <v>40</v>
      </c>
      <c r="D5181">
        <v>4.4957880000000001</v>
      </c>
      <c r="E5181">
        <v>0.55582379999999998</v>
      </c>
      <c r="F5181" t="s">
        <v>42</v>
      </c>
      <c r="G5181">
        <v>-329.07490000000001</v>
      </c>
      <c r="H5181" s="1">
        <v>-2.1692150000000001E-6</v>
      </c>
      <c r="I5181">
        <v>12.739560000000001</v>
      </c>
      <c r="J5181">
        <v>-350.3193</v>
      </c>
      <c r="K5181">
        <v>1.1091</v>
      </c>
      <c r="L5181">
        <v>16.991579999999999</v>
      </c>
      <c r="M5181">
        <v>0.99988949999999999</v>
      </c>
      <c r="N5181">
        <v>-1.4042020000000001E-2</v>
      </c>
      <c r="O5181">
        <v>4.8905750000000003E-3</v>
      </c>
      <c r="P5181">
        <v>0.9978764</v>
      </c>
      <c r="Q5181">
        <v>-3.905699E-2</v>
      </c>
      <c r="R5181">
        <v>-5.2127119999999999E-2</v>
      </c>
      <c r="S5181">
        <v>2.9711609999999999</v>
      </c>
      <c r="T5181">
        <v>-0.15400910000000001</v>
      </c>
      <c r="U5181">
        <v>-0.59036250000000001</v>
      </c>
      <c r="V5181">
        <v>5.6986210000000002E-2</v>
      </c>
      <c r="W5181">
        <v>-2.5092449999999999E-2</v>
      </c>
      <c r="X5181">
        <v>0.99805960000000005</v>
      </c>
      <c r="Y5181">
        <v>0.19934969999999999</v>
      </c>
      <c r="Z5181">
        <v>-6.7106179999999998E-3</v>
      </c>
      <c r="AA5181">
        <v>0.97990540000000004</v>
      </c>
      <c r="AB5181">
        <v>27</v>
      </c>
      <c r="AC5181">
        <v>21.244399999999899</v>
      </c>
      <c r="AD5181">
        <v>-1.109102169215</v>
      </c>
      <c r="AE5181">
        <v>-4.2520199999999901</v>
      </c>
      <c r="AF5181">
        <v>4.3444916567680201</v>
      </c>
      <c r="AG5181">
        <v>-1.109102169215</v>
      </c>
      <c r="AH5181">
        <v>21.167877066879701</v>
      </c>
      <c r="AI5181">
        <v>92.9381663966426</v>
      </c>
      <c r="AJ5181">
        <v>78.401686905547194</v>
      </c>
      <c r="AK5181">
        <v>21.6375538103552</v>
      </c>
      <c r="AL5181">
        <v>91.437842377109803</v>
      </c>
      <c r="AM5181">
        <v>86.732130894694507</v>
      </c>
      <c r="AN5181">
        <v>1.0000000121646599</v>
      </c>
    </row>
    <row r="5182" spans="1:40" x14ac:dyDescent="0.25">
      <c r="A5182" t="str">
        <f>"20190305135339076"</f>
        <v>20190305135339076</v>
      </c>
      <c r="B5182" t="str">
        <f>"1551765219065593"</f>
        <v>1551765219065593</v>
      </c>
      <c r="C5182" t="s">
        <v>40</v>
      </c>
      <c r="D5182">
        <v>4.5584290000000003</v>
      </c>
      <c r="E5182">
        <v>0.53847919999999905</v>
      </c>
      <c r="F5182" t="s">
        <v>42</v>
      </c>
      <c r="G5182">
        <v>-328.24919999999997</v>
      </c>
      <c r="H5182" s="1">
        <v>-2.5450639999999998E-6</v>
      </c>
      <c r="I5182">
        <v>12.51862</v>
      </c>
      <c r="J5182">
        <v>-350.11680000000001</v>
      </c>
      <c r="K5182">
        <v>1.1091139999999999</v>
      </c>
      <c r="L5182">
        <v>16.992159999999998</v>
      </c>
      <c r="M5182">
        <v>0.99989119999999998</v>
      </c>
      <c r="N5182">
        <v>-1.404037E-2</v>
      </c>
      <c r="O5182">
        <v>4.5522790000000002E-3</v>
      </c>
      <c r="P5182">
        <v>0.99764600000000003</v>
      </c>
      <c r="Q5182">
        <v>-3.4495350000000001E-2</v>
      </c>
      <c r="R5182">
        <v>-5.927263E-2</v>
      </c>
      <c r="S5182">
        <v>2.9690859999999999</v>
      </c>
      <c r="T5182">
        <v>-0.14920739999999999</v>
      </c>
      <c r="U5182">
        <v>-0.60174559999999999</v>
      </c>
      <c r="V5182">
        <v>6.3796469999999994E-2</v>
      </c>
      <c r="W5182">
        <v>-2.0542620000000001E-2</v>
      </c>
      <c r="X5182">
        <v>0.99775150000000001</v>
      </c>
      <c r="Y5182">
        <v>0.20277220000000001</v>
      </c>
      <c r="Z5182">
        <v>-6.6427819999999999E-3</v>
      </c>
      <c r="AA5182">
        <v>0.97920339999999995</v>
      </c>
      <c r="AB5182">
        <v>27</v>
      </c>
      <c r="AC5182">
        <v>21.867599999999999</v>
      </c>
      <c r="AD5182">
        <v>-1.1091165450639999</v>
      </c>
      <c r="AE5182">
        <v>-4.4735399999999998</v>
      </c>
      <c r="AF5182">
        <v>4.5617871364788902</v>
      </c>
      <c r="AG5182">
        <v>-1.1091165450639999</v>
      </c>
      <c r="AH5182">
        <v>21.793195985594899</v>
      </c>
      <c r="AI5182">
        <v>92.851728560832996</v>
      </c>
      <c r="AJ5182">
        <v>78.177452450510401</v>
      </c>
      <c r="AK5182">
        <v>22.293125233031599</v>
      </c>
      <c r="AL5182">
        <v>91.177088198193502</v>
      </c>
      <c r="AM5182">
        <v>86.341474486954098</v>
      </c>
      <c r="AN5182">
        <v>1.0000000222865799</v>
      </c>
    </row>
    <row r="5183" spans="1:40" x14ac:dyDescent="0.25">
      <c r="A5183" t="str">
        <f>"20190305135339088"</f>
        <v>20190305135339088</v>
      </c>
      <c r="B5183" t="str">
        <f>"1551765219085113"</f>
        <v>1551765219085113</v>
      </c>
      <c r="C5183" t="s">
        <v>40</v>
      </c>
      <c r="D5183">
        <v>4.5239320000000003</v>
      </c>
      <c r="E5183">
        <v>0.53683340000000002</v>
      </c>
      <c r="F5183" t="s">
        <v>42</v>
      </c>
      <c r="G5183">
        <v>-330.36900000000003</v>
      </c>
      <c r="H5183" s="1">
        <v>-5.1516790000000002E-6</v>
      </c>
      <c r="I5183">
        <v>13.7662</v>
      </c>
      <c r="J5183">
        <v>-349.97559999999999</v>
      </c>
      <c r="K5183">
        <v>1.109118</v>
      </c>
      <c r="L5183">
        <v>16.992519999999999</v>
      </c>
      <c r="M5183">
        <v>0.99989209999999995</v>
      </c>
      <c r="N5183">
        <v>-1.403919E-2</v>
      </c>
      <c r="O5183">
        <v>4.3156399999999999E-3</v>
      </c>
      <c r="P5183">
        <v>0.99764200000000003</v>
      </c>
      <c r="Q5183">
        <v>-3.4279120000000003E-2</v>
      </c>
      <c r="R5183">
        <v>-5.9458650000000002E-2</v>
      </c>
      <c r="S5183">
        <v>2.9724729999999999</v>
      </c>
      <c r="T5183">
        <v>-0.16694679999999901</v>
      </c>
      <c r="U5183">
        <v>-0.48556519999999997</v>
      </c>
      <c r="V5183">
        <v>6.3746800000000006E-2</v>
      </c>
      <c r="W5183">
        <v>-2.0327669999999999E-2</v>
      </c>
      <c r="X5183">
        <v>0.99775899999999995</v>
      </c>
      <c r="Y5183">
        <v>0.1651531</v>
      </c>
      <c r="Z5183">
        <v>-5.9523469999999898E-3</v>
      </c>
      <c r="AA5183">
        <v>0.98624999999999996</v>
      </c>
      <c r="AB5183">
        <v>27</v>
      </c>
      <c r="AC5183">
        <v>19.606599999999901</v>
      </c>
      <c r="AD5183">
        <v>-1.1091231516789899</v>
      </c>
      <c r="AE5183">
        <v>-3.2263199999999999</v>
      </c>
      <c r="AF5183">
        <v>3.3006296405164401</v>
      </c>
      <c r="AG5183">
        <v>-1.1091231516789899</v>
      </c>
      <c r="AH5183">
        <v>19.531638196427998</v>
      </c>
      <c r="AI5183">
        <v>93.204765525190595</v>
      </c>
      <c r="AJ5183">
        <v>80.4082698136868</v>
      </c>
      <c r="AK5183">
        <v>19.839586710050501</v>
      </c>
      <c r="AL5183">
        <v>91.164769987929802</v>
      </c>
      <c r="AM5183">
        <v>86.344342581701497</v>
      </c>
      <c r="AN5183">
        <v>0.99999994537943204</v>
      </c>
    </row>
    <row r="5184" spans="1:40" x14ac:dyDescent="0.25">
      <c r="A5184" t="str">
        <f>"20190305135339099"</f>
        <v>20190305135339099</v>
      </c>
      <c r="B5184" t="str">
        <f>"1551765219094872"</f>
        <v>1551765219094872</v>
      </c>
      <c r="C5184" t="s">
        <v>40</v>
      </c>
      <c r="D5184">
        <v>4.5700690000000002</v>
      </c>
      <c r="E5184">
        <v>0.53666729999999996</v>
      </c>
      <c r="F5184" t="s">
        <v>42</v>
      </c>
      <c r="G5184">
        <v>-330.74970000000002</v>
      </c>
      <c r="H5184" s="1">
        <v>-4.9586919999999901E-6</v>
      </c>
      <c r="I5184">
        <v>13.93351</v>
      </c>
      <c r="J5184">
        <v>-349.83460000000002</v>
      </c>
      <c r="K5184">
        <v>1.109127</v>
      </c>
      <c r="L5184">
        <v>16.992889999999999</v>
      </c>
      <c r="M5184">
        <v>0.99989309999999998</v>
      </c>
      <c r="N5184">
        <v>-1.403802E-2</v>
      </c>
      <c r="O5184">
        <v>4.0786019999999997E-3</v>
      </c>
      <c r="P5184">
        <v>0.99747220000000003</v>
      </c>
      <c r="Q5184">
        <v>-3.2360979999999998E-2</v>
      </c>
      <c r="R5184">
        <v>-6.3263009999999995E-2</v>
      </c>
      <c r="S5184">
        <v>2.9730219999999998</v>
      </c>
      <c r="T5184">
        <v>-0.17151069999999999</v>
      </c>
      <c r="U5184">
        <v>-0.47302250000000001</v>
      </c>
      <c r="V5184">
        <v>6.73155E-2</v>
      </c>
      <c r="W5184">
        <v>-1.8416399999999999E-2</v>
      </c>
      <c r="X5184">
        <v>0.99756180000000005</v>
      </c>
      <c r="Y5184">
        <v>0.1608261</v>
      </c>
      <c r="Z5184">
        <v>-5.920079E-3</v>
      </c>
      <c r="AA5184">
        <v>0.98696499999999998</v>
      </c>
      <c r="AB5184">
        <v>27</v>
      </c>
      <c r="AC5184">
        <v>19.084900000000001</v>
      </c>
      <c r="AD5184">
        <v>-1.1091319586920001</v>
      </c>
      <c r="AE5184">
        <v>-3.0593799999999902</v>
      </c>
      <c r="AF5184">
        <v>3.1269056093940799</v>
      </c>
      <c r="AG5184">
        <v>-1.1091319586920001</v>
      </c>
      <c r="AH5184">
        <v>19.009666671802101</v>
      </c>
      <c r="AI5184">
        <v>93.294996245823199</v>
      </c>
      <c r="AJ5184">
        <v>80.659047372547505</v>
      </c>
      <c r="AK5184">
        <v>19.297024106449001</v>
      </c>
      <c r="AL5184">
        <v>91.055241604586001</v>
      </c>
      <c r="AM5184">
        <v>86.139531609881004</v>
      </c>
      <c r="AN5184">
        <v>1.0000000425742199</v>
      </c>
    </row>
    <row r="5185" spans="1:40" x14ac:dyDescent="0.25">
      <c r="A5185" t="str">
        <f>"20190305135339113"</f>
        <v>20190305135339113</v>
      </c>
      <c r="B5185" t="str">
        <f>"1551765219105609"</f>
        <v>1551765219105609</v>
      </c>
      <c r="C5185" t="s">
        <v>40</v>
      </c>
      <c r="D5185">
        <v>4.5642319999999996</v>
      </c>
      <c r="E5185">
        <v>0.536099199999999</v>
      </c>
      <c r="F5185" t="s">
        <v>42</v>
      </c>
      <c r="G5185">
        <v>-330.14229999999998</v>
      </c>
      <c r="H5185" s="1">
        <v>-5.2444610000000003E-6</v>
      </c>
      <c r="I5185">
        <v>13.791359999999999</v>
      </c>
      <c r="J5185">
        <v>-349.67399999999998</v>
      </c>
      <c r="K5185">
        <v>1.1091340000000001</v>
      </c>
      <c r="L5185">
        <v>16.993230000000001</v>
      </c>
      <c r="M5185">
        <v>0.99989430000000001</v>
      </c>
      <c r="N5185">
        <v>-1.403663E-2</v>
      </c>
      <c r="O5185">
        <v>3.80927E-3</v>
      </c>
      <c r="P5185">
        <v>0.99729449999999997</v>
      </c>
      <c r="Q5185">
        <v>-3.0700080000000001E-2</v>
      </c>
      <c r="R5185">
        <v>-6.6792320000000002E-2</v>
      </c>
      <c r="S5185">
        <v>2.971527</v>
      </c>
      <c r="T5185">
        <v>-0.16736599999999999</v>
      </c>
      <c r="U5185">
        <v>-0.4830933</v>
      </c>
      <c r="V5185">
        <v>7.0576760000000002E-2</v>
      </c>
      <c r="W5185">
        <v>-1.6762280000000001E-2</v>
      </c>
      <c r="X5185">
        <v>0.99736550000000002</v>
      </c>
      <c r="Y5185">
        <v>0.16390539999999901</v>
      </c>
      <c r="Z5185">
        <v>-5.9011059999999997E-3</v>
      </c>
      <c r="AA5185">
        <v>0.98645839999999996</v>
      </c>
      <c r="AB5185">
        <v>27</v>
      </c>
      <c r="AC5185">
        <v>19.531700000000001</v>
      </c>
      <c r="AD5185">
        <v>-1.109139244461</v>
      </c>
      <c r="AE5185">
        <v>-3.2018699999999898</v>
      </c>
      <c r="AF5185">
        <v>3.26599929945026</v>
      </c>
      <c r="AG5185">
        <v>-1.109139244461</v>
      </c>
      <c r="AH5185">
        <v>19.458254970527101</v>
      </c>
      <c r="AI5185">
        <v>93.217473605106505</v>
      </c>
      <c r="AJ5185">
        <v>80.471919930478904</v>
      </c>
      <c r="AK5185">
        <v>19.761594768278599</v>
      </c>
      <c r="AL5185">
        <v>90.960452882689097</v>
      </c>
      <c r="AM5185">
        <v>85.952315285337207</v>
      </c>
      <c r="AN5185">
        <v>0.99999999683657204</v>
      </c>
    </row>
    <row r="5186" spans="1:40" x14ac:dyDescent="0.25">
      <c r="A5186" t="str">
        <f>"20190305135339134"</f>
        <v>20190305135339134</v>
      </c>
      <c r="B5186" t="str">
        <f>"1551765219125129"</f>
        <v>1551765219125129</v>
      </c>
      <c r="C5186" t="s">
        <v>40</v>
      </c>
      <c r="D5186">
        <v>4.53878</v>
      </c>
      <c r="E5186">
        <v>0.53652519999999904</v>
      </c>
      <c r="F5186" t="s">
        <v>42</v>
      </c>
      <c r="G5186">
        <v>-329.83730000000003</v>
      </c>
      <c r="H5186" s="1">
        <v>-1.613911E-6</v>
      </c>
      <c r="I5186">
        <v>13.72617</v>
      </c>
      <c r="J5186">
        <v>-349.40800000000002</v>
      </c>
      <c r="K5186">
        <v>1.1091470000000001</v>
      </c>
      <c r="L5186">
        <v>16.99371</v>
      </c>
      <c r="M5186">
        <v>0.99989589999999995</v>
      </c>
      <c r="N5186">
        <v>-1.403428E-2</v>
      </c>
      <c r="O5186">
        <v>3.3653929999999999E-3</v>
      </c>
      <c r="P5186">
        <v>0.99693469999999995</v>
      </c>
      <c r="Q5186">
        <v>-2.797908E-2</v>
      </c>
      <c r="R5186">
        <v>-7.3065359999999996E-2</v>
      </c>
      <c r="S5186">
        <v>2.9702760000000001</v>
      </c>
      <c r="T5186">
        <v>-0.16607759999999999</v>
      </c>
      <c r="U5186">
        <v>-0.48919679999999999</v>
      </c>
      <c r="V5186">
        <v>7.640835E-2</v>
      </c>
      <c r="W5186">
        <v>-1.405358E-2</v>
      </c>
      <c r="X5186">
        <v>0.99697760000000002</v>
      </c>
      <c r="Y5186">
        <v>0.16550889999999999</v>
      </c>
      <c r="Z5186">
        <v>-5.9028240000000001E-3</v>
      </c>
      <c r="AA5186">
        <v>0.98619060000000003</v>
      </c>
      <c r="AB5186">
        <v>27</v>
      </c>
      <c r="AC5186">
        <v>19.570699999999899</v>
      </c>
      <c r="AD5186">
        <v>-1.1091486139109901</v>
      </c>
      <c r="AE5186">
        <v>-3.2675399999999901</v>
      </c>
      <c r="AF5186">
        <v>3.32300724816047</v>
      </c>
      <c r="AG5186">
        <v>-1.1091486139109901</v>
      </c>
      <c r="AH5186">
        <v>19.498661554086802</v>
      </c>
      <c r="AI5186">
        <v>93.209490324645003</v>
      </c>
      <c r="AJ5186">
        <v>80.328438516319395</v>
      </c>
      <c r="AK5186">
        <v>19.8108654586288</v>
      </c>
      <c r="AL5186">
        <v>90.805237298898504</v>
      </c>
      <c r="AM5186">
        <v>85.617419457864003</v>
      </c>
      <c r="AN5186">
        <v>1.0000000369811399</v>
      </c>
    </row>
    <row r="5187" spans="1:40" x14ac:dyDescent="0.25">
      <c r="A5187" t="str">
        <f>"20190305135339148"</f>
        <v>20190305135339148</v>
      </c>
      <c r="B5187" t="str">
        <f>"1551765219145624"</f>
        <v>1551765219145624</v>
      </c>
      <c r="C5187" t="s">
        <v>40</v>
      </c>
      <c r="D5187">
        <v>4.546036</v>
      </c>
      <c r="E5187">
        <v>0.53547789999999995</v>
      </c>
      <c r="F5187" t="s">
        <v>42</v>
      </c>
      <c r="G5187">
        <v>-327.49689999999998</v>
      </c>
      <c r="H5187" s="1">
        <v>-2.647289E-6</v>
      </c>
      <c r="I5187">
        <v>13.22015</v>
      </c>
      <c r="J5187">
        <v>-349.24430000000001</v>
      </c>
      <c r="K5187">
        <v>1.1091500000000001</v>
      </c>
      <c r="L5187">
        <v>16.993960000000001</v>
      </c>
      <c r="M5187">
        <v>0.99989680000000003</v>
      </c>
      <c r="N5187">
        <v>-1.403279E-2</v>
      </c>
      <c r="O5187">
        <v>3.0944789999999998E-3</v>
      </c>
      <c r="P5187">
        <v>0.99673319999999999</v>
      </c>
      <c r="Q5187">
        <v>-2.7392610000000001E-2</v>
      </c>
      <c r="R5187">
        <v>-7.5978160000000003E-2</v>
      </c>
      <c r="S5187">
        <v>2.9675600000000002</v>
      </c>
      <c r="T5187">
        <v>-0.1502193</v>
      </c>
      <c r="U5187">
        <v>-0.51107789999999997</v>
      </c>
      <c r="V5187">
        <v>7.9051090000000004E-2</v>
      </c>
      <c r="W5187">
        <v>-1.3473300000000001E-2</v>
      </c>
      <c r="X5187">
        <v>0.99677950000000004</v>
      </c>
      <c r="Y5187">
        <v>0.1724945</v>
      </c>
      <c r="Z5187">
        <v>-5.6637509999999999E-3</v>
      </c>
      <c r="AA5187">
        <v>0.98499420000000004</v>
      </c>
      <c r="AB5187">
        <v>27</v>
      </c>
      <c r="AC5187">
        <v>21.747399999999999</v>
      </c>
      <c r="AD5187">
        <v>-1.1091526472890001</v>
      </c>
      <c r="AE5187">
        <v>-3.7738100000000001</v>
      </c>
      <c r="AF5187">
        <v>3.8314205976787701</v>
      </c>
      <c r="AG5187">
        <v>-1.1091526472890001</v>
      </c>
      <c r="AH5187">
        <v>21.6808697656781</v>
      </c>
      <c r="AI5187">
        <v>92.883982192348896</v>
      </c>
      <c r="AJ5187">
        <v>79.9782203244025</v>
      </c>
      <c r="AK5187">
        <v>22.044729918681298</v>
      </c>
      <c r="AL5187">
        <v>90.771986592907794</v>
      </c>
      <c r="AM5187">
        <v>85.465563044351995</v>
      </c>
      <c r="AN5187">
        <v>0.99999998813166402</v>
      </c>
    </row>
    <row r="5188" spans="1:40" x14ac:dyDescent="0.25">
      <c r="A5188" t="str">
        <f>"20190305135339166"</f>
        <v>20190305135339166</v>
      </c>
      <c r="B5188" t="str">
        <f>"1551765219155389"</f>
        <v>1551765219155389</v>
      </c>
      <c r="C5188" t="s">
        <v>40</v>
      </c>
      <c r="D5188">
        <v>4.5696180000000002</v>
      </c>
      <c r="E5188">
        <v>0.53499200000000002</v>
      </c>
      <c r="F5188" t="s">
        <v>42</v>
      </c>
      <c r="G5188">
        <v>-327.77800000000002</v>
      </c>
      <c r="H5188" s="1">
        <v>-2.5200879999999999E-6</v>
      </c>
      <c r="I5188">
        <v>13.29255</v>
      </c>
      <c r="J5188">
        <v>-349.03050000000002</v>
      </c>
      <c r="K5188">
        <v>1.1091569999999999</v>
      </c>
      <c r="L5188">
        <v>16.994199999999999</v>
      </c>
      <c r="M5188">
        <v>0.99989779999999995</v>
      </c>
      <c r="N5188">
        <v>-1.403077E-2</v>
      </c>
      <c r="O5188">
        <v>2.7443799999999998E-3</v>
      </c>
      <c r="P5188">
        <v>0.99634920000000005</v>
      </c>
      <c r="Q5188">
        <v>-2.642481E-2</v>
      </c>
      <c r="R5188">
        <v>-8.1180390000000005E-2</v>
      </c>
      <c r="S5188">
        <v>2.9666440000000001</v>
      </c>
      <c r="T5188">
        <v>-0.153285</v>
      </c>
      <c r="U5188">
        <v>-0.51153559999999998</v>
      </c>
      <c r="V5188">
        <v>8.3904220000000002E-2</v>
      </c>
      <c r="W5188">
        <v>-1.25164E-2</v>
      </c>
      <c r="X5188">
        <v>0.99639520000000004</v>
      </c>
      <c r="Y5188">
        <v>0.172338299999999</v>
      </c>
      <c r="Z5188">
        <v>-5.738234E-3</v>
      </c>
      <c r="AA5188">
        <v>0.98502109999999998</v>
      </c>
      <c r="AB5188">
        <v>27</v>
      </c>
      <c r="AC5188">
        <v>21.252500000000001</v>
      </c>
      <c r="AD5188">
        <v>-1.109159520088</v>
      </c>
      <c r="AE5188">
        <v>-3.7016499999999901</v>
      </c>
      <c r="AF5188">
        <v>3.7500532543692602</v>
      </c>
      <c r="AG5188">
        <v>-1.109159520088</v>
      </c>
      <c r="AH5188">
        <v>21.186253141901499</v>
      </c>
      <c r="AI5188">
        <v>92.951068494279099</v>
      </c>
      <c r="AJ5188">
        <v>79.962379218288902</v>
      </c>
      <c r="AK5188">
        <v>21.544151328013299</v>
      </c>
      <c r="AL5188">
        <v>90.717155630181296</v>
      </c>
      <c r="AM5188">
        <v>85.186605795701098</v>
      </c>
      <c r="AN5188">
        <v>0.999999986492904</v>
      </c>
    </row>
    <row r="5189" spans="1:40" x14ac:dyDescent="0.25">
      <c r="A5189" t="str">
        <f>"20190305135339177"</f>
        <v>20190305135339177</v>
      </c>
      <c r="B5189" t="str">
        <f>"1551765219165146"</f>
        <v>1551765219165146</v>
      </c>
      <c r="C5189" t="s">
        <v>40</v>
      </c>
      <c r="D5189">
        <v>4.586557</v>
      </c>
      <c r="E5189">
        <v>0.53457710000000003</v>
      </c>
      <c r="F5189" t="s">
        <v>42</v>
      </c>
      <c r="G5189">
        <v>-327.5564</v>
      </c>
      <c r="H5189" s="1">
        <v>-2.628665E-6</v>
      </c>
      <c r="I5189">
        <v>13.204269999999999</v>
      </c>
      <c r="J5189">
        <v>-348.88830000000002</v>
      </c>
      <c r="K5189">
        <v>1.109167</v>
      </c>
      <c r="L5189">
        <v>16.994289999999999</v>
      </c>
      <c r="M5189">
        <v>0.99989859999999997</v>
      </c>
      <c r="N5189">
        <v>-1.4029410000000001E-2</v>
      </c>
      <c r="O5189">
        <v>2.515509E-3</v>
      </c>
      <c r="P5189">
        <v>0.99616899999999997</v>
      </c>
      <c r="Q5189">
        <v>-2.5345429999999999E-2</v>
      </c>
      <c r="R5189">
        <v>-8.3697359999999998E-2</v>
      </c>
      <c r="S5189">
        <v>2.9642940000000002</v>
      </c>
      <c r="T5189">
        <v>-0.15310869999999999</v>
      </c>
      <c r="U5189">
        <v>-0.52316279999999904</v>
      </c>
      <c r="V5189">
        <v>8.6193560000000002E-2</v>
      </c>
      <c r="W5189">
        <v>-1.144219E-2</v>
      </c>
      <c r="X5189">
        <v>0.99621269999999995</v>
      </c>
      <c r="Y5189">
        <v>0.17598629999999901</v>
      </c>
      <c r="Z5189">
        <v>-5.8460379999999996E-3</v>
      </c>
      <c r="AA5189">
        <v>0.98437520000000001</v>
      </c>
      <c r="AB5189">
        <v>27</v>
      </c>
      <c r="AC5189">
        <v>21.331900000000001</v>
      </c>
      <c r="AD5189">
        <v>-1.1091696286649999</v>
      </c>
      <c r="AE5189">
        <v>-3.79001999999999</v>
      </c>
      <c r="AF5189">
        <v>3.8336265614618799</v>
      </c>
      <c r="AG5189">
        <v>-1.1091696286649999</v>
      </c>
      <c r="AH5189">
        <v>21.266561576352199</v>
      </c>
      <c r="AI5189">
        <v>92.938314307108001</v>
      </c>
      <c r="AJ5189">
        <v>79.781294405940002</v>
      </c>
      <c r="AK5189">
        <v>21.637781567403799</v>
      </c>
      <c r="AL5189">
        <v>90.655603502529402</v>
      </c>
      <c r="AM5189">
        <v>85.055012733257399</v>
      </c>
      <c r="AN5189">
        <v>0.99999999856937904</v>
      </c>
    </row>
    <row r="5190" spans="1:40" x14ac:dyDescent="0.25">
      <c r="A5190" t="str">
        <f>"20190305135339189"</f>
        <v>20190305135339189</v>
      </c>
      <c r="B5190" t="str">
        <f>"1551765219185641"</f>
        <v>1551765219185641</v>
      </c>
      <c r="C5190" t="s">
        <v>40</v>
      </c>
      <c r="D5190">
        <v>4.5524659999999999</v>
      </c>
      <c r="E5190">
        <v>0.53396119999999903</v>
      </c>
      <c r="F5190" t="s">
        <v>42</v>
      </c>
      <c r="G5190">
        <v>-327.10820000000001</v>
      </c>
      <c r="H5190" s="1">
        <v>-2.823754E-6</v>
      </c>
      <c r="I5190">
        <v>13.11796</v>
      </c>
      <c r="J5190">
        <v>-348.75439999999998</v>
      </c>
      <c r="K5190">
        <v>1.109175</v>
      </c>
      <c r="L5190">
        <v>16.99438</v>
      </c>
      <c r="M5190">
        <v>0.99989910000000004</v>
      </c>
      <c r="N5190">
        <v>-1.402813E-2</v>
      </c>
      <c r="O5190">
        <v>2.3013640000000002E-3</v>
      </c>
      <c r="P5190">
        <v>0.99596779999999996</v>
      </c>
      <c r="Q5190">
        <v>-2.3965110000000001E-2</v>
      </c>
      <c r="R5190">
        <v>-8.6452390000000004E-2</v>
      </c>
      <c r="S5190">
        <v>2.9633479999999999</v>
      </c>
      <c r="T5190">
        <v>-0.15091089999999999</v>
      </c>
      <c r="U5190">
        <v>-0.52740480000000001</v>
      </c>
      <c r="V5190">
        <v>8.8736129999999996E-2</v>
      </c>
      <c r="W5190">
        <v>-1.0067420000000001E-2</v>
      </c>
      <c r="X5190">
        <v>0.99600429999999995</v>
      </c>
      <c r="Y5190">
        <v>0.17720089999999999</v>
      </c>
      <c r="Z5190">
        <v>-5.8118919999999999E-3</v>
      </c>
      <c r="AA5190">
        <v>0.98415759999999997</v>
      </c>
      <c r="AB5190">
        <v>27</v>
      </c>
      <c r="AC5190">
        <v>21.646199999999901</v>
      </c>
      <c r="AD5190">
        <v>-1.109177823754</v>
      </c>
      <c r="AE5190">
        <v>-3.87642</v>
      </c>
      <c r="AF5190">
        <v>3.91626713624684</v>
      </c>
      <c r="AG5190">
        <v>-1.109177823754</v>
      </c>
      <c r="AH5190">
        <v>21.5823137145467</v>
      </c>
      <c r="AI5190">
        <v>92.894818181912996</v>
      </c>
      <c r="AJ5190">
        <v>79.715173324901698</v>
      </c>
      <c r="AK5190">
        <v>21.962779628277101</v>
      </c>
      <c r="AL5190">
        <v>90.576830415200106</v>
      </c>
      <c r="AM5190">
        <v>84.908839608706799</v>
      </c>
      <c r="AN5190">
        <v>1.0000000096656601</v>
      </c>
    </row>
    <row r="5191" spans="1:40" x14ac:dyDescent="0.25">
      <c r="A5191" t="str">
        <f>"20190305135339200"</f>
        <v>20190305135339200</v>
      </c>
      <c r="B5191" t="str">
        <f>"1551765219195401"</f>
        <v>1551765219195401</v>
      </c>
      <c r="C5191" t="s">
        <v>40</v>
      </c>
      <c r="D5191">
        <v>4.5971120000000001</v>
      </c>
      <c r="E5191">
        <v>0.53349709999999995</v>
      </c>
      <c r="F5191" t="s">
        <v>42</v>
      </c>
      <c r="G5191">
        <v>-327.10879999999997</v>
      </c>
      <c r="H5191" s="1">
        <v>-2.8240110000000001E-6</v>
      </c>
      <c r="I5191">
        <v>13.11609</v>
      </c>
      <c r="J5191">
        <v>-348.6112</v>
      </c>
      <c r="K5191">
        <v>1.1091850000000001</v>
      </c>
      <c r="L5191">
        <v>16.994450000000001</v>
      </c>
      <c r="M5191">
        <v>0.9998996</v>
      </c>
      <c r="N5191">
        <v>-1.4026800000000001E-2</v>
      </c>
      <c r="O5191">
        <v>2.0758529999999999E-3</v>
      </c>
      <c r="P5191">
        <v>0.99576379999999998</v>
      </c>
      <c r="Q5191">
        <v>-2.2286839999999999E-2</v>
      </c>
      <c r="R5191">
        <v>-8.9207159999999994E-2</v>
      </c>
      <c r="S5191">
        <v>2.9624630000000001</v>
      </c>
      <c r="T5191">
        <v>-0.15180479999999999</v>
      </c>
      <c r="U5191">
        <v>-0.53079219999999905</v>
      </c>
      <c r="V5191">
        <v>9.1267210000000001E-2</v>
      </c>
      <c r="W5191">
        <v>-8.3945029999999993E-3</v>
      </c>
      <c r="X5191">
        <v>0.99579110000000004</v>
      </c>
      <c r="Y5191">
        <v>0.17811569999999999</v>
      </c>
      <c r="Z5191">
        <v>-5.8613619999999898E-3</v>
      </c>
      <c r="AA5191">
        <v>0.98399210000000004</v>
      </c>
      <c r="AB5191">
        <v>27</v>
      </c>
      <c r="AC5191">
        <v>21.502400000000002</v>
      </c>
      <c r="AD5191">
        <v>-1.109187824011</v>
      </c>
      <c r="AE5191">
        <v>-3.8783599999999998</v>
      </c>
      <c r="AF5191">
        <v>3.91290786759774</v>
      </c>
      <c r="AG5191">
        <v>-1.109187824011</v>
      </c>
      <c r="AH5191">
        <v>21.439051239684201</v>
      </c>
      <c r="AI5191">
        <v>92.913614236886701</v>
      </c>
      <c r="AJ5191">
        <v>79.656616053355407</v>
      </c>
      <c r="AK5191">
        <v>21.821412962204001</v>
      </c>
      <c r="AL5191">
        <v>90.480975221274605</v>
      </c>
      <c r="AM5191">
        <v>84.763302259660193</v>
      </c>
      <c r="AN5191">
        <v>1.0000000430705001</v>
      </c>
    </row>
    <row r="5192" spans="1:40" x14ac:dyDescent="0.25">
      <c r="A5192" t="str">
        <f>"20190305135339211"</f>
        <v>20190305135339211</v>
      </c>
      <c r="B5192" t="str">
        <f>"1551765219205162"</f>
        <v>1551765219205162</v>
      </c>
      <c r="C5192" t="s">
        <v>40</v>
      </c>
      <c r="D5192">
        <v>4.5702610000000004</v>
      </c>
      <c r="E5192">
        <v>0.53300539999999996</v>
      </c>
      <c r="F5192" t="s">
        <v>42</v>
      </c>
      <c r="G5192">
        <v>-326.41640000000001</v>
      </c>
      <c r="H5192" s="1">
        <v>-3.1255220000000002E-6</v>
      </c>
      <c r="I5192">
        <v>12.98235</v>
      </c>
      <c r="J5192">
        <v>-348.48390000000001</v>
      </c>
      <c r="K5192">
        <v>1.1092</v>
      </c>
      <c r="L5192">
        <v>16.994509999999998</v>
      </c>
      <c r="M5192">
        <v>0.99990000000000001</v>
      </c>
      <c r="N5192">
        <v>-1.4025610000000001E-2</v>
      </c>
      <c r="O5192">
        <v>1.8791979999999999E-3</v>
      </c>
      <c r="P5192">
        <v>0.99553689999999995</v>
      </c>
      <c r="Q5192">
        <v>-2.058314E-2</v>
      </c>
      <c r="R5192">
        <v>-9.2103740000000003E-2</v>
      </c>
      <c r="S5192">
        <v>2.961487</v>
      </c>
      <c r="T5192">
        <v>-0.14800060000000001</v>
      </c>
      <c r="U5192">
        <v>-0.53533940000000002</v>
      </c>
      <c r="V5192">
        <v>9.3969140000000007E-2</v>
      </c>
      <c r="W5192">
        <v>-6.6963439999999999E-3</v>
      </c>
      <c r="X5192">
        <v>0.99555260000000001</v>
      </c>
      <c r="Y5192">
        <v>0.17945259999999999</v>
      </c>
      <c r="Z5192">
        <v>-5.7819259999999997E-3</v>
      </c>
      <c r="AA5192">
        <v>0.9837496</v>
      </c>
      <c r="AB5192">
        <v>27</v>
      </c>
      <c r="AC5192">
        <v>22.0674999999999</v>
      </c>
      <c r="AD5192">
        <v>-1.1092031255220001</v>
      </c>
      <c r="AE5192">
        <v>-4.0121599999999997</v>
      </c>
      <c r="AF5192">
        <v>4.0437366773509202</v>
      </c>
      <c r="AG5192">
        <v>-1.1092031255220001</v>
      </c>
      <c r="AH5192">
        <v>22.006101702509401</v>
      </c>
      <c r="AI5192">
        <v>92.8380764059022</v>
      </c>
      <c r="AJ5192">
        <v>79.587756093706204</v>
      </c>
      <c r="AK5192">
        <v>22.402023346800799</v>
      </c>
      <c r="AL5192">
        <v>90.383675113029597</v>
      </c>
      <c r="AM5192">
        <v>84.607888337467401</v>
      </c>
      <c r="AN5192">
        <v>1.00000000983103</v>
      </c>
    </row>
    <row r="5193" spans="1:40" x14ac:dyDescent="0.25">
      <c r="A5193" t="str">
        <f>"20190305135339223"</f>
        <v>20190305135339223</v>
      </c>
      <c r="B5193" t="str">
        <f>"1551765219214921"</f>
        <v>1551765219214921</v>
      </c>
      <c r="C5193" t="s">
        <v>40</v>
      </c>
      <c r="D5193">
        <v>4.5730930000000001</v>
      </c>
      <c r="E5193">
        <v>0.53254369999999995</v>
      </c>
      <c r="F5193" t="s">
        <v>42</v>
      </c>
      <c r="G5193">
        <v>-325.77409999999998</v>
      </c>
      <c r="H5193" s="1">
        <v>-3.4070760000000001E-6</v>
      </c>
      <c r="I5193">
        <v>12.85116</v>
      </c>
      <c r="J5193">
        <v>-348.3356</v>
      </c>
      <c r="K5193">
        <v>1.1092109999999999</v>
      </c>
      <c r="L5193">
        <v>16.994509999999998</v>
      </c>
      <c r="M5193">
        <v>0.99990040000000002</v>
      </c>
      <c r="N5193">
        <v>-1.402421E-2</v>
      </c>
      <c r="O5193">
        <v>1.6534879999999901E-3</v>
      </c>
      <c r="P5193">
        <v>0.99532580000000004</v>
      </c>
      <c r="Q5193">
        <v>-1.9153480000000001E-2</v>
      </c>
      <c r="R5193">
        <v>-9.4657039999999998E-2</v>
      </c>
      <c r="S5193">
        <v>2.96048</v>
      </c>
      <c r="T5193">
        <v>-0.14459669999999999</v>
      </c>
      <c r="U5193">
        <v>-0.54013059999999902</v>
      </c>
      <c r="V5193">
        <v>9.6298449999999994E-2</v>
      </c>
      <c r="W5193">
        <v>-5.2713739999999997E-3</v>
      </c>
      <c r="X5193">
        <v>0.99533859999999996</v>
      </c>
      <c r="Y5193">
        <v>0.18083949999999999</v>
      </c>
      <c r="Z5193">
        <v>-5.7141369999999898E-3</v>
      </c>
      <c r="AA5193">
        <v>0.98349600000000004</v>
      </c>
      <c r="AB5193">
        <v>27</v>
      </c>
      <c r="AC5193">
        <v>22.561499999999999</v>
      </c>
      <c r="AD5193">
        <v>-1.1092144070759999</v>
      </c>
      <c r="AE5193">
        <v>-4.1433499999999999</v>
      </c>
      <c r="AF5193">
        <v>4.1709005924742497</v>
      </c>
      <c r="AG5193">
        <v>-1.1092144070759999</v>
      </c>
      <c r="AH5193">
        <v>22.502002362139599</v>
      </c>
      <c r="AI5193">
        <v>92.774865707705203</v>
      </c>
      <c r="AJ5193">
        <v>79.499012949277898</v>
      </c>
      <c r="AK5193">
        <v>22.912155696461699</v>
      </c>
      <c r="AL5193">
        <v>90.302028864976293</v>
      </c>
      <c r="AM5193">
        <v>84.473865089494197</v>
      </c>
      <c r="AN5193">
        <v>1.0000000537531</v>
      </c>
    </row>
    <row r="5194" spans="1:40" x14ac:dyDescent="0.25">
      <c r="A5194" t="str">
        <f>"20190305135339234"</f>
        <v>20190305135339234</v>
      </c>
      <c r="B5194" t="str">
        <f>"1551765219225657"</f>
        <v>1551765219225657</v>
      </c>
      <c r="C5194" t="s">
        <v>40</v>
      </c>
      <c r="D5194">
        <v>4.6069659999999999</v>
      </c>
      <c r="E5194">
        <v>0.53198669999999904</v>
      </c>
      <c r="F5194" t="s">
        <v>42</v>
      </c>
      <c r="G5194">
        <v>-325.08449999999999</v>
      </c>
      <c r="H5194" s="1">
        <v>-3.7064389999999998E-6</v>
      </c>
      <c r="I5194">
        <v>12.721259999999999</v>
      </c>
      <c r="J5194">
        <v>-348.20060000000001</v>
      </c>
      <c r="K5194">
        <v>1.1092229999999901</v>
      </c>
      <c r="L5194">
        <v>16.994479999999999</v>
      </c>
      <c r="M5194">
        <v>0.99990060000000003</v>
      </c>
      <c r="N5194">
        <v>-1.402289E-2</v>
      </c>
      <c r="O5194">
        <v>1.455212E-3</v>
      </c>
      <c r="P5194">
        <v>0.995116</v>
      </c>
      <c r="Q5194">
        <v>-1.8028019999999999E-2</v>
      </c>
      <c r="R5194">
        <v>-9.7052050000000001E-2</v>
      </c>
      <c r="S5194">
        <v>2.9596559999999998</v>
      </c>
      <c r="T5194">
        <v>-0.14119300000000001</v>
      </c>
      <c r="U5194">
        <v>-0.54394529999999996</v>
      </c>
      <c r="V5194">
        <v>9.8497009999999996E-2</v>
      </c>
      <c r="W5194">
        <v>-4.150094E-3</v>
      </c>
      <c r="X5194">
        <v>0.99512869999999998</v>
      </c>
      <c r="Y5194">
        <v>0.1819289</v>
      </c>
      <c r="Z5194">
        <v>-5.6368529999999998E-3</v>
      </c>
      <c r="AA5194">
        <v>0.98329549999999999</v>
      </c>
      <c r="AB5194">
        <v>27</v>
      </c>
      <c r="AC5194">
        <v>23.116099999999999</v>
      </c>
      <c r="AD5194">
        <v>-1.10922670643899</v>
      </c>
      <c r="AE5194">
        <v>-4.2732199999999896</v>
      </c>
      <c r="AF5194">
        <v>4.2972897887660997</v>
      </c>
      <c r="AG5194">
        <v>-1.10922670643899</v>
      </c>
      <c r="AH5194">
        <v>23.058517190293799</v>
      </c>
      <c r="AI5194">
        <v>92.707536058830797</v>
      </c>
      <c r="AJ5194">
        <v>79.443205592973101</v>
      </c>
      <c r="AK5194">
        <v>23.4817439392815</v>
      </c>
      <c r="AL5194">
        <v>90.237783551711203</v>
      </c>
      <c r="AM5194">
        <v>84.347323003478394</v>
      </c>
      <c r="AN5194">
        <v>1.0000000069114101</v>
      </c>
    </row>
    <row r="5195" spans="1:40" x14ac:dyDescent="0.25">
      <c r="A5195" t="str">
        <f>"20190305135339246"</f>
        <v>20190305135339246</v>
      </c>
      <c r="B5195" t="str">
        <f>"1551765219235417"</f>
        <v>1551765219235417</v>
      </c>
      <c r="C5195" t="s">
        <v>40</v>
      </c>
      <c r="D5195">
        <v>4.5912089999999903</v>
      </c>
      <c r="E5195">
        <v>0.53152999999999995</v>
      </c>
      <c r="F5195" t="s">
        <v>42</v>
      </c>
      <c r="G5195">
        <v>-324.57380000000001</v>
      </c>
      <c r="H5195" s="1">
        <v>-3.9271260000000004E-6</v>
      </c>
      <c r="I5195">
        <v>12.62889</v>
      </c>
      <c r="J5195">
        <v>-348.0591</v>
      </c>
      <c r="K5195">
        <v>1.1092280000000001</v>
      </c>
      <c r="L5195">
        <v>16.994450000000001</v>
      </c>
      <c r="M5195">
        <v>0.99990089999999998</v>
      </c>
      <c r="N5195">
        <v>-1.4021499999999999E-2</v>
      </c>
      <c r="O5195">
        <v>1.2497980000000001E-3</v>
      </c>
      <c r="P5195">
        <v>0.99491010000000002</v>
      </c>
      <c r="Q5195">
        <v>-1.69167E-2</v>
      </c>
      <c r="R5195">
        <v>-9.9336450000000007E-2</v>
      </c>
      <c r="S5195">
        <v>2.9588930000000002</v>
      </c>
      <c r="T5195">
        <v>-0.1389136</v>
      </c>
      <c r="U5195">
        <v>-0.54672240000000005</v>
      </c>
      <c r="V5195">
        <v>0.10057770000000001</v>
      </c>
      <c r="W5195">
        <v>-3.0425949999999999E-3</v>
      </c>
      <c r="X5195">
        <v>0.99492449999999999</v>
      </c>
      <c r="Y5195">
        <v>0.182671</v>
      </c>
      <c r="Z5195">
        <v>-5.5828809999999996E-3</v>
      </c>
      <c r="AA5195">
        <v>0.98315819999999998</v>
      </c>
      <c r="AB5195">
        <v>27</v>
      </c>
      <c r="AC5195">
        <v>23.485299999999899</v>
      </c>
      <c r="AD5195">
        <v>-1.1092319271259901</v>
      </c>
      <c r="AE5195">
        <v>-4.3655599999999897</v>
      </c>
      <c r="AF5195">
        <v>4.3854552065857701</v>
      </c>
      <c r="AG5195">
        <v>-1.1092319271259901</v>
      </c>
      <c r="AH5195">
        <v>23.429305542601</v>
      </c>
      <c r="AI5195">
        <v>92.664371099649799</v>
      </c>
      <c r="AJ5195">
        <v>79.398157430478307</v>
      </c>
      <c r="AK5195">
        <v>23.861998471328501</v>
      </c>
      <c r="AL5195">
        <v>90.174328130667902</v>
      </c>
      <c r="AM5195">
        <v>84.227534904752503</v>
      </c>
      <c r="AN5195">
        <v>0.999999945910935</v>
      </c>
    </row>
    <row r="5196" spans="1:40" x14ac:dyDescent="0.25">
      <c r="A5196" t="str">
        <f>"20190305135339258"</f>
        <v>20190305135339258</v>
      </c>
      <c r="B5196" t="str">
        <f>"1551765219254937"</f>
        <v>1551765219254937</v>
      </c>
      <c r="C5196" t="s">
        <v>40</v>
      </c>
      <c r="D5196">
        <v>4.6015620000000004</v>
      </c>
      <c r="E5196">
        <v>0.53110049999999998</v>
      </c>
      <c r="F5196" t="s">
        <v>42</v>
      </c>
      <c r="G5196">
        <v>-324.02879999999999</v>
      </c>
      <c r="H5196" s="1">
        <v>-4.1634230000000002E-6</v>
      </c>
      <c r="I5196">
        <v>12.527380000000001</v>
      </c>
      <c r="J5196">
        <v>-347.90910000000002</v>
      </c>
      <c r="K5196">
        <v>1.1092420000000001</v>
      </c>
      <c r="L5196">
        <v>16.99438</v>
      </c>
      <c r="M5196">
        <v>0.99990129999999999</v>
      </c>
      <c r="N5196">
        <v>-1.401999E-2</v>
      </c>
      <c r="O5196">
        <v>1.041255E-3</v>
      </c>
      <c r="P5196">
        <v>0.99470239999999999</v>
      </c>
      <c r="Q5196">
        <v>-1.6081169999999999E-2</v>
      </c>
      <c r="R5196">
        <v>-0.1015325</v>
      </c>
      <c r="S5196">
        <v>2.9581300000000001</v>
      </c>
      <c r="T5196">
        <v>-0.13654669999999999</v>
      </c>
      <c r="U5196">
        <v>-0.54989619999999995</v>
      </c>
      <c r="V5196">
        <v>0.10256659999999999</v>
      </c>
      <c r="W5196">
        <v>-2.210428E-3</v>
      </c>
      <c r="X5196">
        <v>0.99472369999999999</v>
      </c>
      <c r="Y5196">
        <v>0.18353739999999999</v>
      </c>
      <c r="Z5196">
        <v>-5.5294919999999996E-3</v>
      </c>
      <c r="AA5196">
        <v>0.98299720000000002</v>
      </c>
      <c r="AB5196">
        <v>27</v>
      </c>
      <c r="AC5196">
        <v>23.880299999999998</v>
      </c>
      <c r="AD5196">
        <v>-1.109246163423</v>
      </c>
      <c r="AE5196">
        <v>-4.4669999999999899</v>
      </c>
      <c r="AF5196">
        <v>4.4825208688464997</v>
      </c>
      <c r="AG5196">
        <v>-1.109246163423</v>
      </c>
      <c r="AH5196">
        <v>23.825965740405799</v>
      </c>
      <c r="AI5196">
        <v>92.619655726142696</v>
      </c>
      <c r="AJ5196">
        <v>79.345148629136204</v>
      </c>
      <c r="AK5196">
        <v>24.269323514546201</v>
      </c>
      <c r="AL5196">
        <v>90.126648296376302</v>
      </c>
      <c r="AM5196">
        <v>84.112999674160093</v>
      </c>
      <c r="AN5196">
        <v>1.0000000163845899</v>
      </c>
    </row>
    <row r="5197" spans="1:40" x14ac:dyDescent="0.25">
      <c r="A5197" t="str">
        <f>"20190305135339271"</f>
        <v>20190305135339271</v>
      </c>
      <c r="B5197" t="str">
        <f>"1551765219265673"</f>
        <v>1551765219265673</v>
      </c>
      <c r="C5197" t="s">
        <v>40</v>
      </c>
      <c r="D5197">
        <v>4.6372689999999999</v>
      </c>
      <c r="E5197">
        <v>0.52294280000000004</v>
      </c>
      <c r="F5197" t="s">
        <v>42</v>
      </c>
      <c r="G5197">
        <v>-323.51920000000001</v>
      </c>
      <c r="H5197" s="1">
        <v>-4.3840629999999997E-6</v>
      </c>
      <c r="I5197">
        <v>12.43366</v>
      </c>
      <c r="J5197">
        <v>-347.75699999999898</v>
      </c>
      <c r="K5197">
        <v>1.109256</v>
      </c>
      <c r="L5197">
        <v>16.994289999999999</v>
      </c>
      <c r="M5197">
        <v>0.9999015</v>
      </c>
      <c r="N5197">
        <v>-1.401846E-2</v>
      </c>
      <c r="O5197">
        <v>8.3402179999999995E-4</v>
      </c>
      <c r="P5197">
        <v>0.99450210000000006</v>
      </c>
      <c r="Q5197">
        <v>-1.517012E-2</v>
      </c>
      <c r="R5197">
        <v>-0.10361380000000001</v>
      </c>
      <c r="S5197">
        <v>2.9573969999999998</v>
      </c>
      <c r="T5197">
        <v>-0.1345015</v>
      </c>
      <c r="U5197">
        <v>-0.55300899999999997</v>
      </c>
      <c r="V5197">
        <v>0.1044423</v>
      </c>
      <c r="W5197">
        <v>-1.3024899999999999E-3</v>
      </c>
      <c r="X5197">
        <v>0.99453009999999997</v>
      </c>
      <c r="Y5197">
        <v>0.18438270000000001</v>
      </c>
      <c r="Z5197">
        <v>-5.4851149999999996E-3</v>
      </c>
      <c r="AA5197">
        <v>0.98283920000000002</v>
      </c>
      <c r="AB5197">
        <v>27</v>
      </c>
      <c r="AC5197">
        <v>24.237799999999901</v>
      </c>
      <c r="AD5197">
        <v>-1.109260384063</v>
      </c>
      <c r="AE5197">
        <v>-4.5606299999999997</v>
      </c>
      <c r="AF5197">
        <v>4.5715974524699003</v>
      </c>
      <c r="AG5197">
        <v>-1.109260384063</v>
      </c>
      <c r="AH5197">
        <v>24.185064016777499</v>
      </c>
      <c r="AI5197">
        <v>92.580427731720704</v>
      </c>
      <c r="AJ5197">
        <v>79.295923547368801</v>
      </c>
      <c r="AK5197">
        <v>24.6383295570683</v>
      </c>
      <c r="AL5197">
        <v>90.074627200573701</v>
      </c>
      <c r="AM5197">
        <v>84.004958889377505</v>
      </c>
      <c r="AN5197">
        <v>1.00000000515775</v>
      </c>
    </row>
    <row r="5198" spans="1:40" x14ac:dyDescent="0.25">
      <c r="A5198" t="str">
        <f>"20190305135339289"</f>
        <v>20190305135339289</v>
      </c>
      <c r="B5198" t="str">
        <f>"1551765219275433"</f>
        <v>1551765219275433</v>
      </c>
      <c r="C5198" t="s">
        <v>40</v>
      </c>
      <c r="D5198">
        <v>4.6911110000000003</v>
      </c>
      <c r="E5198">
        <v>0.52270379999999905</v>
      </c>
      <c r="F5198" t="s">
        <v>42</v>
      </c>
      <c r="G5198">
        <v>-326.24579999999997</v>
      </c>
      <c r="H5198" s="1">
        <v>-3.079518E-6</v>
      </c>
      <c r="I5198">
        <v>13.40138</v>
      </c>
      <c r="J5198">
        <v>-347.54759999999999</v>
      </c>
      <c r="K5198">
        <v>1.1092789999999999</v>
      </c>
      <c r="L5198">
        <v>16.994139999999899</v>
      </c>
      <c r="M5198">
        <v>0.9999017</v>
      </c>
      <c r="N5198">
        <v>-1.401635E-2</v>
      </c>
      <c r="O5198">
        <v>5.5740650000000004E-4</v>
      </c>
      <c r="P5198">
        <v>0.99406369999999999</v>
      </c>
      <c r="Q5198">
        <v>-1.326711E-2</v>
      </c>
      <c r="R5198">
        <v>-0.107987899999999</v>
      </c>
      <c r="S5198">
        <v>2.9626769999999998</v>
      </c>
      <c r="T5198">
        <v>-0.1527753</v>
      </c>
      <c r="U5198">
        <v>-0.49484250000000002</v>
      </c>
      <c r="V5198">
        <v>0.1085424</v>
      </c>
      <c r="W5198">
        <v>5.930105E-4</v>
      </c>
      <c r="X5198">
        <v>0.99409159999999996</v>
      </c>
      <c r="Y5198">
        <v>0.16502</v>
      </c>
      <c r="Z5198">
        <v>-5.4089790000000004E-3</v>
      </c>
      <c r="AA5198">
        <v>0.98627540000000002</v>
      </c>
      <c r="AB5198">
        <v>27</v>
      </c>
      <c r="AC5198">
        <v>21.3018</v>
      </c>
      <c r="AD5198">
        <v>-1.1092820795180001</v>
      </c>
      <c r="AE5198">
        <v>-3.59275999999999</v>
      </c>
      <c r="AF5198">
        <v>3.5951548255544998</v>
      </c>
      <c r="AG5198">
        <v>-1.1092820795180001</v>
      </c>
      <c r="AH5198">
        <v>21.243779218903001</v>
      </c>
      <c r="AI5198">
        <v>92.947256133123702</v>
      </c>
      <c r="AJ5198">
        <v>80.394654974498806</v>
      </c>
      <c r="AK5198">
        <v>21.574378332947202</v>
      </c>
      <c r="AL5198">
        <v>89.966022997681307</v>
      </c>
      <c r="AM5198">
        <v>83.768700494457505</v>
      </c>
      <c r="AN5198">
        <v>0.99999995672488495</v>
      </c>
    </row>
    <row r="5199" spans="1:40" x14ac:dyDescent="0.25">
      <c r="A5199" t="str">
        <f>"20190305135339301"</f>
        <v>20190305135339301</v>
      </c>
      <c r="B5199" t="str">
        <f>"1551765219294954"</f>
        <v>1551765219294954</v>
      </c>
      <c r="C5199" t="s">
        <v>40</v>
      </c>
      <c r="D5199">
        <v>4.6731470000000002</v>
      </c>
      <c r="E5199">
        <v>0.52226890000000004</v>
      </c>
      <c r="F5199" t="s">
        <v>42</v>
      </c>
      <c r="G5199">
        <v>-324.69240000000002</v>
      </c>
      <c r="H5199" s="1">
        <v>-3.7588010000000001E-6</v>
      </c>
      <c r="I5199">
        <v>13.09037</v>
      </c>
      <c r="J5199">
        <v>-347.39350000000002</v>
      </c>
      <c r="K5199">
        <v>1.1092930000000001</v>
      </c>
      <c r="L5199">
        <v>16.99399</v>
      </c>
      <c r="M5199">
        <v>0.9999017</v>
      </c>
      <c r="N5199">
        <v>-1.4014799999999999E-2</v>
      </c>
      <c r="O5199">
        <v>3.5967319999999998E-4</v>
      </c>
      <c r="P5199">
        <v>0.99383100000000002</v>
      </c>
      <c r="Q5199">
        <v>-1.169677E-2</v>
      </c>
      <c r="R5199">
        <v>-0.1102876</v>
      </c>
      <c r="S5199">
        <v>2.96109</v>
      </c>
      <c r="T5199">
        <v>-0.14371719999999999</v>
      </c>
      <c r="U5199">
        <v>-0.50576779999999999</v>
      </c>
      <c r="V5199">
        <v>0.11064649999999999</v>
      </c>
      <c r="W5199">
        <v>2.1594190000000001E-3</v>
      </c>
      <c r="X5199">
        <v>0.99385749999999995</v>
      </c>
      <c r="Y5199">
        <v>0.16847089999999901</v>
      </c>
      <c r="Z5199">
        <v>-5.2589430000000003E-3</v>
      </c>
      <c r="AA5199">
        <v>0.98569260000000003</v>
      </c>
      <c r="AB5199">
        <v>27</v>
      </c>
      <c r="AC5199">
        <v>22.7011</v>
      </c>
      <c r="AD5199">
        <v>-1.1092967588009901</v>
      </c>
      <c r="AE5199">
        <v>-3.9036199999999899</v>
      </c>
      <c r="AF5199">
        <v>3.9027341414099102</v>
      </c>
      <c r="AG5199">
        <v>-1.1092967588009901</v>
      </c>
      <c r="AH5199">
        <v>22.6471700946129</v>
      </c>
      <c r="AI5199">
        <v>92.763533817893602</v>
      </c>
      <c r="AJ5199">
        <v>80.222384863446607</v>
      </c>
      <c r="AK5199">
        <v>23.007741879027201</v>
      </c>
      <c r="AL5199">
        <v>89.876274311500694</v>
      </c>
      <c r="AM5199">
        <v>83.647400467736205</v>
      </c>
      <c r="AN5199">
        <v>1.0000000206794499</v>
      </c>
    </row>
    <row r="5200" spans="1:40" x14ac:dyDescent="0.25">
      <c r="A5200" t="str">
        <f>"20190305135339313"</f>
        <v>20190305135339313</v>
      </c>
      <c r="B5200" t="str">
        <f>"1551765219305689"</f>
        <v>1551765219305689</v>
      </c>
      <c r="C5200" t="s">
        <v>40</v>
      </c>
      <c r="D5200">
        <v>4.6039339999999997</v>
      </c>
      <c r="E5200">
        <v>0.52181160000000004</v>
      </c>
      <c r="F5200" t="s">
        <v>42</v>
      </c>
      <c r="G5200">
        <v>-323.0487</v>
      </c>
      <c r="H5200" s="1">
        <v>-4.4741150000000003E-6</v>
      </c>
      <c r="I5200">
        <v>12.80786</v>
      </c>
      <c r="J5200">
        <v>-347.2484</v>
      </c>
      <c r="K5200">
        <v>1.1093109999999999</v>
      </c>
      <c r="L5200">
        <v>16.9938</v>
      </c>
      <c r="M5200">
        <v>0.99990190000000001</v>
      </c>
      <c r="N5200">
        <v>-1.4013340000000001E-2</v>
      </c>
      <c r="O5200">
        <v>1.7704169999999901E-4</v>
      </c>
      <c r="P5200">
        <v>0.99362740000000005</v>
      </c>
      <c r="Q5200">
        <v>-9.8645790000000001E-3</v>
      </c>
      <c r="R5200">
        <v>-0.1122842</v>
      </c>
      <c r="S5200">
        <v>2.9605100000000002</v>
      </c>
      <c r="T5200">
        <v>-0.13489889999999999</v>
      </c>
      <c r="U5200">
        <v>-0.50906370000000001</v>
      </c>
      <c r="V5200">
        <v>0.1124626</v>
      </c>
      <c r="W5200">
        <v>3.987127E-3</v>
      </c>
      <c r="X5200">
        <v>0.99364790000000003</v>
      </c>
      <c r="Y5200">
        <v>0.16941410000000001</v>
      </c>
      <c r="Z5200">
        <v>-5.031776E-3</v>
      </c>
      <c r="AA5200">
        <v>0.98553210000000002</v>
      </c>
      <c r="AB5200">
        <v>27</v>
      </c>
      <c r="AC5200">
        <v>24.1997</v>
      </c>
      <c r="AD5200">
        <v>-1.109315474115</v>
      </c>
      <c r="AE5200">
        <v>-4.1859400000000004</v>
      </c>
      <c r="AF5200">
        <v>4.18169294935735</v>
      </c>
      <c r="AG5200">
        <v>-1.109315474115</v>
      </c>
      <c r="AH5200">
        <v>24.149686704040001</v>
      </c>
      <c r="AI5200">
        <v>92.591521295383998</v>
      </c>
      <c r="AJ5200">
        <v>80.176231780963604</v>
      </c>
      <c r="AK5200">
        <v>24.534149764096199</v>
      </c>
      <c r="AL5200">
        <v>89.771553831847399</v>
      </c>
      <c r="AM5200">
        <v>83.5426548450138</v>
      </c>
      <c r="AN5200">
        <v>0.99999994137743997</v>
      </c>
    </row>
    <row r="5201" spans="1:40" x14ac:dyDescent="0.25">
      <c r="A5201" t="str">
        <f>"20190305135339326"</f>
        <v>20190305135339326</v>
      </c>
      <c r="B5201" t="str">
        <f>"1551765219315449"</f>
        <v>1551765219315449</v>
      </c>
      <c r="C5201" t="s">
        <v>40</v>
      </c>
      <c r="D5201">
        <v>4.6088809999999896</v>
      </c>
      <c r="E5201">
        <v>0.52146780000000004</v>
      </c>
      <c r="F5201" t="s">
        <v>42</v>
      </c>
      <c r="G5201">
        <v>-322.03609999999998</v>
      </c>
      <c r="H5201" s="1">
        <v>-4.9828050000000003E-6</v>
      </c>
      <c r="I5201">
        <v>12.63857</v>
      </c>
      <c r="J5201">
        <v>-347.10059999999999</v>
      </c>
      <c r="K5201">
        <v>1.109324</v>
      </c>
      <c r="L5201">
        <v>16.99362</v>
      </c>
      <c r="M5201">
        <v>0.99990190000000001</v>
      </c>
      <c r="N5201">
        <v>-1.4011839999999999E-2</v>
      </c>
      <c r="O5201" s="1">
        <v>-7.0926840000000003E-6</v>
      </c>
      <c r="P5201">
        <v>0.99341930000000001</v>
      </c>
      <c r="Q5201">
        <v>-7.7604989999999997E-3</v>
      </c>
      <c r="R5201">
        <v>-0.11427130000000001</v>
      </c>
      <c r="S5201">
        <v>2.9602050000000002</v>
      </c>
      <c r="T5201">
        <v>-0.130245899999999</v>
      </c>
      <c r="U5201">
        <v>-0.51135249999999999</v>
      </c>
      <c r="V5201">
        <v>0.1142682</v>
      </c>
      <c r="W5201">
        <v>6.0875679999999998E-3</v>
      </c>
      <c r="X5201">
        <v>0.99343130000000002</v>
      </c>
      <c r="Y5201">
        <v>0.1700024</v>
      </c>
      <c r="Z5201">
        <v>-4.9110849999999999E-3</v>
      </c>
      <c r="AA5201">
        <v>0.98543139999999996</v>
      </c>
      <c r="AB5201">
        <v>27</v>
      </c>
      <c r="AC5201">
        <v>25.064499999999999</v>
      </c>
      <c r="AD5201">
        <v>-1.1093289828049999</v>
      </c>
      <c r="AE5201">
        <v>-4.3550500000000003</v>
      </c>
      <c r="AF5201">
        <v>4.3466073467711199</v>
      </c>
      <c r="AG5201">
        <v>-1.1093289828049999</v>
      </c>
      <c r="AH5201">
        <v>25.0169623620632</v>
      </c>
      <c r="AI5201">
        <v>92.501578467106597</v>
      </c>
      <c r="AJ5201">
        <v>80.143460539304996</v>
      </c>
      <c r="AK5201">
        <v>25.4159794626134</v>
      </c>
      <c r="AL5201">
        <v>89.651205896636</v>
      </c>
      <c r="AM5201">
        <v>83.438460219270993</v>
      </c>
      <c r="AN5201">
        <v>1.00000001391754</v>
      </c>
    </row>
    <row r="5202" spans="1:40" x14ac:dyDescent="0.25">
      <c r="A5202" t="str">
        <f>"20190305135339346"</f>
        <v>20190305135339346</v>
      </c>
      <c r="B5202" t="str">
        <f>"1551765219334969"</f>
        <v>1551765219334969</v>
      </c>
      <c r="C5202" t="s">
        <v>40</v>
      </c>
      <c r="D5202">
        <v>4.7626799999999996</v>
      </c>
      <c r="E5202">
        <v>0.52115920000000004</v>
      </c>
      <c r="F5202" t="s">
        <v>42</v>
      </c>
      <c r="G5202">
        <v>-320.84019999999998</v>
      </c>
      <c r="H5202" s="1">
        <v>-5.585379E-6</v>
      </c>
      <c r="I5202">
        <v>12.428430000000001</v>
      </c>
      <c r="J5202">
        <v>-346.85289999999998</v>
      </c>
      <c r="K5202">
        <v>1.1093409999999999</v>
      </c>
      <c r="L5202">
        <v>16.993230000000001</v>
      </c>
      <c r="M5202">
        <v>0.99990199999999996</v>
      </c>
      <c r="N5202">
        <v>-1.400936E-2</v>
      </c>
      <c r="O5202">
        <v>-3.0971329999999997E-4</v>
      </c>
      <c r="P5202">
        <v>0.9929519</v>
      </c>
      <c r="Q5202">
        <v>-2.5335100000000001E-3</v>
      </c>
      <c r="R5202">
        <v>-0.11849320000000001</v>
      </c>
      <c r="S5202">
        <v>2.9597169999999999</v>
      </c>
      <c r="T5202">
        <v>-0.12502869999999999</v>
      </c>
      <c r="U5202">
        <v>-0.51452640000000005</v>
      </c>
      <c r="V5202">
        <v>0.11819259999999999</v>
      </c>
      <c r="W5202">
        <v>1.130396E-2</v>
      </c>
      <c r="X5202">
        <v>0.99292639999999999</v>
      </c>
      <c r="Y5202">
        <v>0.17077110000000001</v>
      </c>
      <c r="Z5202">
        <v>-4.7757540000000001E-3</v>
      </c>
      <c r="AA5202">
        <v>0.98529920000000004</v>
      </c>
      <c r="AB5202">
        <v>27</v>
      </c>
      <c r="AC5202">
        <v>26.012699999999899</v>
      </c>
      <c r="AD5202">
        <v>-1.1093465853790001</v>
      </c>
      <c r="AE5202">
        <v>-4.5648</v>
      </c>
      <c r="AF5202">
        <v>4.5487168580545898</v>
      </c>
      <c r="AG5202">
        <v>-1.1093465853790001</v>
      </c>
      <c r="AH5202">
        <v>25.968294789708999</v>
      </c>
      <c r="AI5202">
        <v>92.409505218214306</v>
      </c>
      <c r="AJ5202">
        <v>80.064623607267606</v>
      </c>
      <c r="AK5202">
        <v>26.387000761482401</v>
      </c>
      <c r="AL5202">
        <v>89.352317040616001</v>
      </c>
      <c r="AM5202">
        <v>83.211760760204101</v>
      </c>
      <c r="AN5202">
        <v>1.0000000530116899</v>
      </c>
    </row>
    <row r="5203" spans="1:40" x14ac:dyDescent="0.25">
      <c r="A5203" t="str">
        <f>"20190305135339362"</f>
        <v>20190305135339362</v>
      </c>
      <c r="B5203" t="str">
        <f>"1551765219355465"</f>
        <v>1551765219355465</v>
      </c>
      <c r="C5203" t="s">
        <v>40</v>
      </c>
      <c r="D5203">
        <v>5.3360510000000003</v>
      </c>
      <c r="E5203">
        <v>0.52060329999999999</v>
      </c>
      <c r="F5203" t="s">
        <v>47</v>
      </c>
      <c r="G5203">
        <v>-315.38</v>
      </c>
      <c r="H5203">
        <v>-0.05</v>
      </c>
      <c r="I5203">
        <v>11.41399</v>
      </c>
      <c r="J5203">
        <v>-346.66989999999998</v>
      </c>
      <c r="K5203">
        <v>1.109354</v>
      </c>
      <c r="L5203">
        <v>16.992920000000002</v>
      </c>
      <c r="M5203">
        <v>0.99990179999999995</v>
      </c>
      <c r="N5203">
        <v>-1.4007530000000001E-2</v>
      </c>
      <c r="O5203">
        <v>-5.3139039999999999E-4</v>
      </c>
      <c r="P5203">
        <v>0.99269629999999998</v>
      </c>
      <c r="Q5203">
        <v>-1.137806E-4</v>
      </c>
      <c r="R5203">
        <v>-0.1206415</v>
      </c>
      <c r="S5203">
        <v>2.9584350000000001</v>
      </c>
      <c r="T5203">
        <v>-0.1089773</v>
      </c>
      <c r="U5203">
        <v>-0.52444460000000004</v>
      </c>
      <c r="V5203">
        <v>0.1201223</v>
      </c>
      <c r="W5203">
        <v>1.371752E-2</v>
      </c>
      <c r="X5203">
        <v>0.99266430000000005</v>
      </c>
      <c r="Y5203">
        <v>0.17386740000000001</v>
      </c>
      <c r="Z5203">
        <v>-4.392211E-3</v>
      </c>
      <c r="AA5203">
        <v>0.9847593</v>
      </c>
      <c r="AB5203">
        <v>27</v>
      </c>
      <c r="AC5203">
        <v>31.2898999999999</v>
      </c>
      <c r="AD5203">
        <v>-1.159354</v>
      </c>
      <c r="AE5203">
        <v>-5.5789299999999997</v>
      </c>
      <c r="AF5203">
        <v>5.5549093244999499</v>
      </c>
      <c r="AG5203">
        <v>-1.159354</v>
      </c>
      <c r="AH5203">
        <v>31.251278960267499</v>
      </c>
      <c r="AI5203">
        <v>92.091814979536807</v>
      </c>
      <c r="AJ5203">
        <v>79.920954603305105</v>
      </c>
      <c r="AK5203">
        <v>31.762297712117601</v>
      </c>
      <c r="AL5203">
        <v>89.2140193278629</v>
      </c>
      <c r="AM5203">
        <v>83.100186559527202</v>
      </c>
      <c r="AN5203">
        <v>0.99999997490336501</v>
      </c>
    </row>
    <row r="5204" spans="1:40" x14ac:dyDescent="0.25">
      <c r="A5204" t="str">
        <f>"20190305135339377"</f>
        <v>20190305135339377</v>
      </c>
      <c r="B5204" t="str">
        <f>"1551765219365225"</f>
        <v>1551765219365225</v>
      </c>
      <c r="C5204" t="s">
        <v>40</v>
      </c>
      <c r="D5204">
        <v>4.6461670000000002</v>
      </c>
      <c r="E5204">
        <v>0.52030339999999997</v>
      </c>
      <c r="F5204" t="s">
        <v>47</v>
      </c>
      <c r="G5204">
        <v>-312.9615</v>
      </c>
      <c r="H5204">
        <v>-0.05</v>
      </c>
      <c r="I5204">
        <v>10.995509999999999</v>
      </c>
      <c r="J5204">
        <v>-346.47840000000002</v>
      </c>
      <c r="K5204">
        <v>1.10937</v>
      </c>
      <c r="L5204">
        <v>16.992519999999999</v>
      </c>
      <c r="M5204">
        <v>0.99990179999999995</v>
      </c>
      <c r="N5204">
        <v>-1.400562E-2</v>
      </c>
      <c r="O5204">
        <v>-7.6356869999999997E-4</v>
      </c>
      <c r="P5204">
        <v>0.99217359999999999</v>
      </c>
      <c r="Q5204">
        <v>3.9709439999999997E-3</v>
      </c>
      <c r="R5204">
        <v>-0.1248059</v>
      </c>
      <c r="S5204">
        <v>2.9580989999999998</v>
      </c>
      <c r="T5204">
        <v>-0.10173989999999999</v>
      </c>
      <c r="U5204">
        <v>-0.52630619999999995</v>
      </c>
      <c r="V5204">
        <v>0.12405910000000001</v>
      </c>
      <c r="W5204">
        <v>1.7791109999999999E-2</v>
      </c>
      <c r="X5204">
        <v>0.99211530000000003</v>
      </c>
      <c r="Y5204">
        <v>0.17427599999999999</v>
      </c>
      <c r="Z5204">
        <v>-4.1878360000000003E-3</v>
      </c>
      <c r="AA5204">
        <v>0.98468789999999995</v>
      </c>
      <c r="AB5204">
        <v>27</v>
      </c>
      <c r="AC5204">
        <v>33.5169</v>
      </c>
      <c r="AD5204">
        <v>-1.15937</v>
      </c>
      <c r="AE5204">
        <v>-5.9970100000000004</v>
      </c>
      <c r="AF5204">
        <v>5.9644980906532101</v>
      </c>
      <c r="AG5204">
        <v>-1.15937</v>
      </c>
      <c r="AH5204">
        <v>33.482650244906203</v>
      </c>
      <c r="AI5204">
        <v>91.952419359176304</v>
      </c>
      <c r="AJ5204">
        <v>79.899453179505301</v>
      </c>
      <c r="AK5204">
        <v>34.029505487047899</v>
      </c>
      <c r="AL5204">
        <v>88.980590677200297</v>
      </c>
      <c r="AM5204">
        <v>82.872442615473304</v>
      </c>
      <c r="AN5204">
        <v>0.99999997619096503</v>
      </c>
    </row>
    <row r="5205" spans="1:40" x14ac:dyDescent="0.25">
      <c r="A5205" t="str">
        <f>"20190305135339401"</f>
        <v>20190305135339401</v>
      </c>
      <c r="B5205" t="str">
        <f>"1551765219395481"</f>
        <v>1551765219395481</v>
      </c>
      <c r="C5205" t="s">
        <v>40</v>
      </c>
      <c r="D5205">
        <v>4.6476069999999998</v>
      </c>
      <c r="E5205">
        <v>0.51981670000000002</v>
      </c>
      <c r="F5205" t="s">
        <v>47</v>
      </c>
      <c r="G5205">
        <v>-308.45319999999998</v>
      </c>
      <c r="H5205">
        <v>-0.05</v>
      </c>
      <c r="I5205">
        <v>10.096410000000001</v>
      </c>
      <c r="J5205">
        <v>-346.20280000000002</v>
      </c>
      <c r="K5205">
        <v>1.10938</v>
      </c>
      <c r="L5205">
        <v>16.991879999999998</v>
      </c>
      <c r="M5205">
        <v>0.99990140000000005</v>
      </c>
      <c r="N5205">
        <v>-1.4002870000000001E-2</v>
      </c>
      <c r="O5205">
        <v>-1.0995709999999999E-3</v>
      </c>
      <c r="P5205">
        <v>0.99162700000000004</v>
      </c>
      <c r="Q5205">
        <v>7.4397650000000001E-3</v>
      </c>
      <c r="R5205">
        <v>-0.12892200000000001</v>
      </c>
      <c r="S5205">
        <v>2.9565730000000001</v>
      </c>
      <c r="T5205">
        <v>-9.01444E-2</v>
      </c>
      <c r="U5205">
        <v>-0.53619380000000005</v>
      </c>
      <c r="V5205">
        <v>0.1278444</v>
      </c>
      <c r="W5205">
        <v>2.1248E-2</v>
      </c>
      <c r="X5205">
        <v>0.99156659999999996</v>
      </c>
      <c r="Y5205">
        <v>0.1772463</v>
      </c>
      <c r="Z5205">
        <v>-3.9131239999999996E-3</v>
      </c>
      <c r="AA5205">
        <v>0.9841588</v>
      </c>
      <c r="AB5205">
        <v>27</v>
      </c>
      <c r="AC5205">
        <v>37.749600000000001</v>
      </c>
      <c r="AD5205">
        <v>-1.1593799999999901</v>
      </c>
      <c r="AE5205">
        <v>-6.8954699999999898</v>
      </c>
      <c r="AF5205">
        <v>6.8477028552745196</v>
      </c>
      <c r="AG5205">
        <v>-1.1593799999999901</v>
      </c>
      <c r="AH5205">
        <v>37.722726898677301</v>
      </c>
      <c r="AI5205">
        <v>91.732099863567697</v>
      </c>
      <c r="AJ5205">
        <v>79.711290140172196</v>
      </c>
      <c r="AK5205">
        <v>38.356737622622802</v>
      </c>
      <c r="AL5205">
        <v>88.782487646070095</v>
      </c>
      <c r="AM5205">
        <v>82.653286057246106</v>
      </c>
      <c r="AN5205">
        <v>0.99999999517545901</v>
      </c>
    </row>
    <row r="5206" spans="1:40" x14ac:dyDescent="0.25">
      <c r="A5206" t="str">
        <f>"20190305135339413"</f>
        <v>20190305135339413</v>
      </c>
      <c r="B5206" t="str">
        <f>"1551765219405241"</f>
        <v>1551765219405241</v>
      </c>
      <c r="C5206" t="s">
        <v>40</v>
      </c>
      <c r="D5206">
        <v>4.6198379999999997</v>
      </c>
      <c r="E5206">
        <v>0.514239</v>
      </c>
      <c r="F5206" t="s">
        <v>47</v>
      </c>
      <c r="G5206">
        <v>-303.71730000000002</v>
      </c>
      <c r="H5206">
        <v>-0.05</v>
      </c>
      <c r="I5206">
        <v>9.1636959999999998</v>
      </c>
      <c r="J5206">
        <v>-346.0598</v>
      </c>
      <c r="K5206">
        <v>1.1093900000000001</v>
      </c>
      <c r="L5206">
        <v>16.991520000000001</v>
      </c>
      <c r="M5206">
        <v>0.99990120000000005</v>
      </c>
      <c r="N5206">
        <v>-1.400144E-2</v>
      </c>
      <c r="O5206">
        <v>-1.2752639999999999E-3</v>
      </c>
      <c r="P5206">
        <v>0.99130589999999996</v>
      </c>
      <c r="Q5206">
        <v>8.9327669999999994E-3</v>
      </c>
      <c r="R5206">
        <v>-0.13127539999999999</v>
      </c>
      <c r="S5206">
        <v>2.9551090000000002</v>
      </c>
      <c r="T5206">
        <v>-8.064151E-2</v>
      </c>
      <c r="U5206">
        <v>-0.54449459999999905</v>
      </c>
      <c r="V5206">
        <v>0.130025</v>
      </c>
      <c r="W5206">
        <v>2.273346E-2</v>
      </c>
      <c r="X5206">
        <v>0.99124999999999996</v>
      </c>
      <c r="Y5206">
        <v>0.17985179999999901</v>
      </c>
      <c r="Z5206">
        <v>-3.6862650000000002E-3</v>
      </c>
      <c r="AA5206">
        <v>0.98368679999999997</v>
      </c>
      <c r="AB5206">
        <v>27</v>
      </c>
      <c r="AC5206">
        <v>42.342499999999902</v>
      </c>
      <c r="AD5206">
        <v>-1.1593899999999999</v>
      </c>
      <c r="AE5206">
        <v>-7.8278239999999997</v>
      </c>
      <c r="AF5206">
        <v>7.7681828885726203</v>
      </c>
      <c r="AG5206">
        <v>-1.1593899999999999</v>
      </c>
      <c r="AH5206">
        <v>42.321767681546604</v>
      </c>
      <c r="AI5206">
        <v>91.543433746137794</v>
      </c>
      <c r="AJ5206">
        <v>79.599102866523793</v>
      </c>
      <c r="AK5206">
        <v>43.044405795099799</v>
      </c>
      <c r="AL5206">
        <v>88.697356386073395</v>
      </c>
      <c r="AM5206">
        <v>82.527020223393393</v>
      </c>
      <c r="AN5206">
        <v>0.999999936664283</v>
      </c>
    </row>
    <row r="5207" spans="1:40" x14ac:dyDescent="0.25">
      <c r="A5207" t="str">
        <f>"20190305135339423"</f>
        <v>20190305135339423</v>
      </c>
      <c r="B5207" t="str">
        <f>"1551765219415002"</f>
        <v>1551765219415002</v>
      </c>
      <c r="C5207" t="s">
        <v>40</v>
      </c>
      <c r="D5207">
        <v>4.647386</v>
      </c>
      <c r="E5207">
        <v>0.51506790000000002</v>
      </c>
      <c r="F5207" t="s">
        <v>42</v>
      </c>
      <c r="G5207">
        <v>-320.99509999999998</v>
      </c>
      <c r="H5207" s="1">
        <v>-5.4654659999999999E-6</v>
      </c>
      <c r="I5207">
        <v>12.691549999999999</v>
      </c>
      <c r="J5207">
        <v>-345.9248</v>
      </c>
      <c r="K5207">
        <v>1.109394</v>
      </c>
      <c r="L5207">
        <v>16.991150000000001</v>
      </c>
      <c r="M5207">
        <v>0.99990089999999998</v>
      </c>
      <c r="N5207">
        <v>-1.400008E-2</v>
      </c>
      <c r="O5207">
        <v>-1.441421E-3</v>
      </c>
      <c r="P5207">
        <v>0.99100169999999999</v>
      </c>
      <c r="Q5207">
        <v>9.8892319999999995E-3</v>
      </c>
      <c r="R5207">
        <v>-0.1334854</v>
      </c>
      <c r="S5207">
        <v>2.9602360000000001</v>
      </c>
      <c r="T5207">
        <v>-0.13102420000000001</v>
      </c>
      <c r="U5207">
        <v>-0.50784300000000004</v>
      </c>
      <c r="V5207">
        <v>0.1320711</v>
      </c>
      <c r="W5207">
        <v>2.3683539999999999E-2</v>
      </c>
      <c r="X5207">
        <v>0.99095730000000004</v>
      </c>
      <c r="Y5207">
        <v>0.16745350000000001</v>
      </c>
      <c r="Z5207">
        <v>-4.8154349999999999E-3</v>
      </c>
      <c r="AA5207">
        <v>0.98586819999999997</v>
      </c>
      <c r="AB5207">
        <v>27</v>
      </c>
      <c r="AC5207">
        <v>24.9297</v>
      </c>
      <c r="AD5207">
        <v>-1.109399465466</v>
      </c>
      <c r="AE5207">
        <v>-4.2995999999999999</v>
      </c>
      <c r="AF5207">
        <v>4.2554739248009001</v>
      </c>
      <c r="AG5207">
        <v>-1.109399465466</v>
      </c>
      <c r="AH5207">
        <v>24.888009005178699</v>
      </c>
      <c r="AI5207">
        <v>92.515844168358797</v>
      </c>
      <c r="AJ5207">
        <v>80.297117614528901</v>
      </c>
      <c r="AK5207">
        <v>25.2735596570901</v>
      </c>
      <c r="AL5207">
        <v>88.642906263944596</v>
      </c>
      <c r="AM5207">
        <v>82.408568618392906</v>
      </c>
      <c r="AN5207">
        <v>1.0000000279727099</v>
      </c>
    </row>
    <row r="5208" spans="1:40" x14ac:dyDescent="0.25">
      <c r="A5208" t="str">
        <f>"20190305135339435"</f>
        <v>20190305135339435</v>
      </c>
      <c r="B5208" t="str">
        <f>"1551765219425738"</f>
        <v>1551765219425738</v>
      </c>
      <c r="C5208" t="s">
        <v>40</v>
      </c>
      <c r="D5208">
        <v>4.6333099999999998</v>
      </c>
      <c r="E5208">
        <v>0.51506790000000002</v>
      </c>
      <c r="F5208" t="s">
        <v>42</v>
      </c>
      <c r="G5208">
        <v>-321.94760000000002</v>
      </c>
      <c r="H5208" s="1">
        <v>-5.0014780000000001E-6</v>
      </c>
      <c r="I5208">
        <v>12.769119999999999</v>
      </c>
      <c r="J5208">
        <v>-345.79570000000001</v>
      </c>
      <c r="K5208">
        <v>1.1093919999999999</v>
      </c>
      <c r="L5208">
        <v>16.990779999999901</v>
      </c>
      <c r="M5208">
        <v>0.99990089999999998</v>
      </c>
      <c r="N5208">
        <v>-1.3998689999999999E-2</v>
      </c>
      <c r="O5208">
        <v>-1.6017399999999999E-3</v>
      </c>
      <c r="P5208">
        <v>0.99065559999999997</v>
      </c>
      <c r="Q5208">
        <v>1.018466E-2</v>
      </c>
      <c r="R5208">
        <v>-0.13600770000000001</v>
      </c>
      <c r="S5208">
        <v>2.9584350000000001</v>
      </c>
      <c r="T5208">
        <v>-0.13688330000000001</v>
      </c>
      <c r="U5208">
        <v>-0.52093509999999998</v>
      </c>
      <c r="V5208">
        <v>0.13443529999999901</v>
      </c>
      <c r="W5208">
        <v>2.3971470000000002E-2</v>
      </c>
      <c r="X5208">
        <v>0.99063239999999997</v>
      </c>
      <c r="Y5208">
        <v>0.17160629999999999</v>
      </c>
      <c r="Z5208">
        <v>-5.0975650000000001E-3</v>
      </c>
      <c r="AA5208">
        <v>0.98515240000000004</v>
      </c>
      <c r="AB5208">
        <v>27</v>
      </c>
      <c r="AC5208">
        <v>23.848099999999899</v>
      </c>
      <c r="AD5208">
        <v>-1.1093970014779999</v>
      </c>
      <c r="AE5208">
        <v>-4.2216599999999902</v>
      </c>
      <c r="AF5208">
        <v>4.1746926699777296</v>
      </c>
      <c r="AG5208">
        <v>-1.1093970014779999</v>
      </c>
      <c r="AH5208">
        <v>23.804882489394402</v>
      </c>
      <c r="AI5208">
        <v>92.628216142716497</v>
      </c>
      <c r="AJ5208">
        <v>80.053115237607599</v>
      </c>
      <c r="AK5208">
        <v>24.193620045985899</v>
      </c>
      <c r="AL5208">
        <v>88.626404389792299</v>
      </c>
      <c r="AM5208">
        <v>82.271798514714902</v>
      </c>
      <c r="AN5208">
        <v>1.0000000165948999</v>
      </c>
    </row>
    <row r="5209" spans="1:40" x14ac:dyDescent="0.25">
      <c r="A5209" t="str">
        <f>"20190305135339446"</f>
        <v>20190305135339446</v>
      </c>
      <c r="B5209" t="str">
        <f>"1551765219435498"</f>
        <v>1551765219435498</v>
      </c>
      <c r="C5209" t="s">
        <v>40</v>
      </c>
      <c r="D5209">
        <v>4.6113229999999996</v>
      </c>
      <c r="E5209">
        <v>0.52825059999999902</v>
      </c>
      <c r="F5209" t="s">
        <v>42</v>
      </c>
      <c r="G5209">
        <v>-321.6927</v>
      </c>
      <c r="H5209" s="1">
        <v>-5.1370309999999999E-6</v>
      </c>
      <c r="I5209">
        <v>12.684089999999999</v>
      </c>
      <c r="J5209">
        <v>-345.6628</v>
      </c>
      <c r="K5209">
        <v>1.109389</v>
      </c>
      <c r="L5209">
        <v>16.990389999999898</v>
      </c>
      <c r="M5209">
        <v>0.99990060000000003</v>
      </c>
      <c r="N5209">
        <v>-1.3997249999999999E-2</v>
      </c>
      <c r="O5209">
        <v>-1.766707E-3</v>
      </c>
      <c r="P5209">
        <v>0.99031970000000002</v>
      </c>
      <c r="Q5209">
        <v>1.0157289999999999E-2</v>
      </c>
      <c r="R5209">
        <v>-0.1384339</v>
      </c>
      <c r="S5209">
        <v>2.9571529999999999</v>
      </c>
      <c r="T5209">
        <v>-0.13611019999999999</v>
      </c>
      <c r="U5209">
        <v>-0.52838130000000005</v>
      </c>
      <c r="V5209">
        <v>0.13669870000000001</v>
      </c>
      <c r="W5209">
        <v>2.3937150000000001E-2</v>
      </c>
      <c r="X5209">
        <v>0.99032339999999996</v>
      </c>
      <c r="Y5209">
        <v>0.1739204</v>
      </c>
      <c r="Z5209">
        <v>-5.140599E-3</v>
      </c>
      <c r="AA5209">
        <v>0.98474629999999996</v>
      </c>
      <c r="AB5209">
        <v>27</v>
      </c>
      <c r="AC5209">
        <v>23.970099999999999</v>
      </c>
      <c r="AD5209">
        <v>-1.1093941370310001</v>
      </c>
      <c r="AE5209">
        <v>-4.3062999999999896</v>
      </c>
      <c r="AF5209">
        <v>4.2551112600406098</v>
      </c>
      <c r="AG5209">
        <v>-1.1093941370310001</v>
      </c>
      <c r="AH5209">
        <v>23.928018551396999</v>
      </c>
      <c r="AI5209">
        <v>92.613604065358302</v>
      </c>
      <c r="AJ5209">
        <v>79.9165208103217</v>
      </c>
      <c r="AK5209">
        <v>24.328723743398498</v>
      </c>
      <c r="AL5209">
        <v>88.628371293965003</v>
      </c>
      <c r="AM5209">
        <v>82.140874732865498</v>
      </c>
      <c r="AN5209">
        <v>0.99999997915968597</v>
      </c>
    </row>
    <row r="5210" spans="1:40" x14ac:dyDescent="0.25">
      <c r="A5210" t="str">
        <f>"20190305135339457"</f>
        <v>20190305135339457</v>
      </c>
      <c r="B5210" t="str">
        <f>"1551765219445257"</f>
        <v>1551765219445257</v>
      </c>
      <c r="C5210" t="s">
        <v>40</v>
      </c>
      <c r="D5210">
        <v>4.5667609999999996</v>
      </c>
      <c r="E5210">
        <v>0.52989770000000003</v>
      </c>
      <c r="F5210" t="s">
        <v>42</v>
      </c>
      <c r="G5210">
        <v>-326.49950000000001</v>
      </c>
      <c r="H5210" s="1">
        <v>-3.1361849999999999E-6</v>
      </c>
      <c r="I5210">
        <v>12.82236</v>
      </c>
      <c r="J5210">
        <v>-345.52190000000002</v>
      </c>
      <c r="K5210">
        <v>1.109386</v>
      </c>
      <c r="L5210">
        <v>16.989929999999902</v>
      </c>
      <c r="M5210">
        <v>0.99990020000000002</v>
      </c>
      <c r="N5210">
        <v>-1.3995830000000001E-2</v>
      </c>
      <c r="O5210">
        <v>-1.942523E-3</v>
      </c>
      <c r="P5210">
        <v>0.9899559</v>
      </c>
      <c r="Q5210">
        <v>9.7279510000000003E-3</v>
      </c>
      <c r="R5210">
        <v>-0.14104169999999999</v>
      </c>
      <c r="S5210">
        <v>2.9416199999999999</v>
      </c>
      <c r="T5210">
        <v>-0.1702938</v>
      </c>
      <c r="U5210">
        <v>-0.63980099999999995</v>
      </c>
      <c r="V5210">
        <v>0.1391328</v>
      </c>
      <c r="W5210">
        <v>2.3500489999999999E-2</v>
      </c>
      <c r="X5210">
        <v>0.98999479999999995</v>
      </c>
      <c r="Y5210">
        <v>0.21021319999999999</v>
      </c>
      <c r="Z5210">
        <v>-7.4149719999999997E-3</v>
      </c>
      <c r="AA5210">
        <v>0.97762749999999998</v>
      </c>
      <c r="AB5210">
        <v>27</v>
      </c>
      <c r="AC5210">
        <v>19.022400000000001</v>
      </c>
      <c r="AD5210">
        <v>-1.1093891361849999</v>
      </c>
      <c r="AE5210">
        <v>-4.1675699999999898</v>
      </c>
      <c r="AF5210">
        <v>4.1172447166736701</v>
      </c>
      <c r="AG5210">
        <v>-1.1093891361849999</v>
      </c>
      <c r="AH5210">
        <v>18.9688977076848</v>
      </c>
      <c r="AI5210">
        <v>93.271114277209094</v>
      </c>
      <c r="AJ5210">
        <v>77.7537692726589</v>
      </c>
      <c r="AK5210">
        <v>19.442261405429999</v>
      </c>
      <c r="AL5210">
        <v>88.653397079844098</v>
      </c>
      <c r="AM5210">
        <v>82.000107579378593</v>
      </c>
      <c r="AN5210">
        <v>0.99999995654655904</v>
      </c>
    </row>
    <row r="5211" spans="1:40" x14ac:dyDescent="0.25">
      <c r="A5211" t="str">
        <f>"20190305135339469"</f>
        <v>20190305135339469</v>
      </c>
      <c r="B5211" t="str">
        <f>"1551765219465754"</f>
        <v>1551765219465754</v>
      </c>
      <c r="C5211" t="s">
        <v>40</v>
      </c>
      <c r="D5211">
        <v>4.5810599999999999</v>
      </c>
      <c r="E5211">
        <v>0.53048580000000001</v>
      </c>
      <c r="F5211" t="s">
        <v>42</v>
      </c>
      <c r="G5211">
        <v>-327.09050000000002</v>
      </c>
      <c r="H5211" s="1">
        <v>-2.90297E-6</v>
      </c>
      <c r="I5211">
        <v>12.845840000000001</v>
      </c>
      <c r="J5211">
        <v>-345.39170000000001</v>
      </c>
      <c r="K5211">
        <v>1.1093850000000001</v>
      </c>
      <c r="L5211">
        <v>16.989470000000001</v>
      </c>
      <c r="M5211">
        <v>0.99990000000000001</v>
      </c>
      <c r="N5211">
        <v>-1.39945E-2</v>
      </c>
      <c r="O5211">
        <v>-2.1053460000000001E-3</v>
      </c>
      <c r="P5211">
        <v>0.9895931</v>
      </c>
      <c r="Q5211">
        <v>9.9395230000000005E-3</v>
      </c>
      <c r="R5211">
        <v>-0.1435517</v>
      </c>
      <c r="S5211">
        <v>2.9380489999999999</v>
      </c>
      <c r="T5211">
        <v>-0.176841</v>
      </c>
      <c r="U5211">
        <v>-0.66058349999999999</v>
      </c>
      <c r="V5211">
        <v>0.14148229999999901</v>
      </c>
      <c r="W5211">
        <v>2.3704039999999999E-2</v>
      </c>
      <c r="X5211">
        <v>0.98965689999999995</v>
      </c>
      <c r="Y5211">
        <v>0.2168445</v>
      </c>
      <c r="Z5211">
        <v>-7.8816259999999992E-3</v>
      </c>
      <c r="AA5211">
        <v>0.9761744</v>
      </c>
      <c r="AB5211">
        <v>27</v>
      </c>
      <c r="AC5211">
        <v>18.301199999999898</v>
      </c>
      <c r="AD5211">
        <v>-1.10938790297</v>
      </c>
      <c r="AE5211">
        <v>-4.1436299999999999</v>
      </c>
      <c r="AF5211">
        <v>4.0907877650880096</v>
      </c>
      <c r="AG5211">
        <v>-1.10938790297</v>
      </c>
      <c r="AH5211">
        <v>18.246106689938902</v>
      </c>
      <c r="AI5211">
        <v>93.395294398954405</v>
      </c>
      <c r="AJ5211">
        <v>77.3632201060379</v>
      </c>
      <c r="AK5211">
        <v>18.731943182672801</v>
      </c>
      <c r="AL5211">
        <v>88.641731266392895</v>
      </c>
      <c r="AM5211">
        <v>81.864068440206793</v>
      </c>
      <c r="AN5211">
        <v>0.99999995122160901</v>
      </c>
    </row>
    <row r="5212" spans="1:40" x14ac:dyDescent="0.25">
      <c r="A5212" t="str">
        <f>"20190305135339481"</f>
        <v>20190305135339481</v>
      </c>
      <c r="B5212" t="str">
        <f>"1551765219475514"</f>
        <v>1551765219475514</v>
      </c>
      <c r="C5212" t="s">
        <v>40</v>
      </c>
      <c r="D5212">
        <v>4.558395</v>
      </c>
      <c r="E5212">
        <v>0.53003610000000001</v>
      </c>
      <c r="F5212" t="s">
        <v>42</v>
      </c>
      <c r="G5212">
        <v>-326.71960000000001</v>
      </c>
      <c r="H5212" s="1">
        <v>-3.0809649999999999E-6</v>
      </c>
      <c r="I5212">
        <v>12.71213</v>
      </c>
      <c r="J5212">
        <v>-345.24549999999999</v>
      </c>
      <c r="K5212">
        <v>1.1093869999999999</v>
      </c>
      <c r="L5212">
        <v>16.988979999999898</v>
      </c>
      <c r="M5212">
        <v>0.99989939999999999</v>
      </c>
      <c r="N5212">
        <v>-1.399301E-2</v>
      </c>
      <c r="O5212">
        <v>-2.2880750000000001E-3</v>
      </c>
      <c r="P5212">
        <v>0.98925010000000002</v>
      </c>
      <c r="Q5212">
        <v>1.0142989999999999E-2</v>
      </c>
      <c r="R5212">
        <v>-0.1458808</v>
      </c>
      <c r="S5212">
        <v>2.9357600000000001</v>
      </c>
      <c r="T5212">
        <v>-0.17442629999999901</v>
      </c>
      <c r="U5212">
        <v>-0.67251590000000006</v>
      </c>
      <c r="V5212">
        <v>0.1436315</v>
      </c>
      <c r="W5212">
        <v>2.3900919999999999E-2</v>
      </c>
      <c r="X5212">
        <v>0.98934259999999996</v>
      </c>
      <c r="Y5212">
        <v>0.22060399999999999</v>
      </c>
      <c r="Z5212">
        <v>-7.9266340000000001E-3</v>
      </c>
      <c r="AA5212">
        <v>0.97533119999999995</v>
      </c>
      <c r="AB5212">
        <v>27</v>
      </c>
      <c r="AC5212">
        <v>18.525899999999901</v>
      </c>
      <c r="AD5212">
        <v>-1.1093900809649999</v>
      </c>
      <c r="AE5212">
        <v>-4.2768499999999898</v>
      </c>
      <c r="AF5212">
        <v>4.2200785305225903</v>
      </c>
      <c r="AG5212">
        <v>-1.1093900809649999</v>
      </c>
      <c r="AH5212">
        <v>18.472746813035702</v>
      </c>
      <c r="AI5212">
        <v>93.350681059550695</v>
      </c>
      <c r="AJ5212">
        <v>77.131670888703695</v>
      </c>
      <c r="AK5212">
        <v>18.9811007050182</v>
      </c>
      <c r="AL5212">
        <v>88.630447771441098</v>
      </c>
      <c r="AM5212">
        <v>81.739583548422303</v>
      </c>
      <c r="AN5212">
        <v>1.00000002097192</v>
      </c>
    </row>
    <row r="5213" spans="1:40" x14ac:dyDescent="0.25">
      <c r="A5213" t="str">
        <f>"20190305135339516"</f>
        <v>20190305135339516</v>
      </c>
      <c r="B5213" t="str">
        <f>"1551765219504794"</f>
        <v>1551765219504794</v>
      </c>
      <c r="C5213" t="s">
        <v>40</v>
      </c>
      <c r="D5213">
        <v>4.5604189999999996</v>
      </c>
      <c r="E5213">
        <v>0.52952399999999999</v>
      </c>
      <c r="F5213" t="s">
        <v>42</v>
      </c>
      <c r="G5213">
        <v>-326.6397</v>
      </c>
      <c r="H5213" s="1">
        <v>-3.1139189999999998E-6</v>
      </c>
      <c r="I5213">
        <v>12.70363</v>
      </c>
      <c r="J5213">
        <v>-344.8254</v>
      </c>
      <c r="K5213">
        <v>1.10938</v>
      </c>
      <c r="L5213">
        <v>16.98734</v>
      </c>
      <c r="M5213">
        <v>0.99989819999999996</v>
      </c>
      <c r="N5213">
        <v>-1.398874E-2</v>
      </c>
      <c r="O5213">
        <v>-2.8143310000000002E-3</v>
      </c>
      <c r="P5213">
        <v>0.98826230000000004</v>
      </c>
      <c r="Q5213">
        <v>1.1919859999999999E-2</v>
      </c>
      <c r="R5213">
        <v>-0.15230070000000001</v>
      </c>
      <c r="S5213">
        <v>2.934723</v>
      </c>
      <c r="T5213">
        <v>-0.17498549999999999</v>
      </c>
      <c r="U5213">
        <v>-0.67593380000000003</v>
      </c>
      <c r="V5213">
        <v>0.14953429999999901</v>
      </c>
      <c r="W5213">
        <v>2.565657E-2</v>
      </c>
      <c r="X5213">
        <v>0.98842359999999896</v>
      </c>
      <c r="Y5213">
        <v>0.2212411</v>
      </c>
      <c r="Z5213">
        <v>-7.9475629999999995E-3</v>
      </c>
      <c r="AA5213">
        <v>0.97518680000000002</v>
      </c>
      <c r="AB5213">
        <v>27</v>
      </c>
      <c r="AC5213">
        <v>18.185700000000001</v>
      </c>
      <c r="AD5213">
        <v>-1.109383113919</v>
      </c>
      <c r="AE5213">
        <v>-4.2837099999999904</v>
      </c>
      <c r="AF5213">
        <v>4.2176371367914296</v>
      </c>
      <c r="AG5213">
        <v>-1.109383113919</v>
      </c>
      <c r="AH5213">
        <v>18.1337499664989</v>
      </c>
      <c r="AI5213">
        <v>93.410070112009194</v>
      </c>
      <c r="AJ5213">
        <v>76.906650210862693</v>
      </c>
      <c r="AK5213">
        <v>18.650793059775999</v>
      </c>
      <c r="AL5213">
        <v>88.529825484308702</v>
      </c>
      <c r="AM5213">
        <v>81.397207010443495</v>
      </c>
      <c r="AN5213">
        <v>0.99999998974880699</v>
      </c>
    </row>
    <row r="5214" spans="1:40" x14ac:dyDescent="0.25">
      <c r="A5214" t="str">
        <f>"20190305135339536"</f>
        <v>20190305135339536</v>
      </c>
      <c r="B5214" t="str">
        <f>"1551765219525289"</f>
        <v>1551765219525289</v>
      </c>
      <c r="C5214" t="s">
        <v>40</v>
      </c>
      <c r="D5214">
        <v>4.5155919999999998</v>
      </c>
      <c r="E5214">
        <v>0.52854849999999998</v>
      </c>
      <c r="F5214" t="s">
        <v>42</v>
      </c>
      <c r="G5214">
        <v>-325.91050000000001</v>
      </c>
      <c r="H5214" s="1">
        <v>-3.441178E-6</v>
      </c>
      <c r="I5214">
        <v>12.52605</v>
      </c>
      <c r="J5214">
        <v>-344.5976</v>
      </c>
      <c r="K5214">
        <v>1.1093710000000001</v>
      </c>
      <c r="L5214">
        <v>16.986360000000001</v>
      </c>
      <c r="M5214">
        <v>0.99989740000000005</v>
      </c>
      <c r="N5214">
        <v>-1.398639E-2</v>
      </c>
      <c r="O5214">
        <v>-3.0999259999999998E-3</v>
      </c>
      <c r="P5214">
        <v>0.98774899999999999</v>
      </c>
      <c r="Q5214">
        <v>1.115178E-2</v>
      </c>
      <c r="R5214">
        <v>-0.15565179999999901</v>
      </c>
      <c r="S5214">
        <v>2.931152</v>
      </c>
      <c r="T5214">
        <v>-0.17191600000000001</v>
      </c>
      <c r="U5214">
        <v>-0.69134519999999899</v>
      </c>
      <c r="V5214">
        <v>0.152604399999999</v>
      </c>
      <c r="W5214">
        <v>2.4878150000000002E-2</v>
      </c>
      <c r="X5214">
        <v>0.98797420000000002</v>
      </c>
      <c r="Y5214">
        <v>0.2260868</v>
      </c>
      <c r="Z5214">
        <v>-8.0027409999999903E-3</v>
      </c>
      <c r="AA5214">
        <v>0.97407429999999995</v>
      </c>
      <c r="AB5214">
        <v>27</v>
      </c>
      <c r="AC5214">
        <v>18.687099999999901</v>
      </c>
      <c r="AD5214">
        <v>-1.109374441178</v>
      </c>
      <c r="AE5214">
        <v>-4.4603099999999998</v>
      </c>
      <c r="AF5214">
        <v>4.3877241099523596</v>
      </c>
      <c r="AG5214">
        <v>-1.109374441178</v>
      </c>
      <c r="AH5214">
        <v>18.6386904547286</v>
      </c>
      <c r="AI5214">
        <v>93.315797573050503</v>
      </c>
      <c r="AJ5214">
        <v>76.753218138176393</v>
      </c>
      <c r="AK5214">
        <v>19.180292395659301</v>
      </c>
      <c r="AL5214">
        <v>88.574439957441697</v>
      </c>
      <c r="AM5214">
        <v>81.219375408043405</v>
      </c>
      <c r="AN5214">
        <v>1.00000002255621</v>
      </c>
    </row>
    <row r="5215" spans="1:40" x14ac:dyDescent="0.25">
      <c r="A5215" t="str">
        <f>"20190305135339550"</f>
        <v>20190305135339550</v>
      </c>
      <c r="B5215" t="str">
        <f>"1551765219544809"</f>
        <v>1551765219544809</v>
      </c>
      <c r="C5215" t="s">
        <v>40</v>
      </c>
      <c r="D5215">
        <v>4.501932</v>
      </c>
      <c r="E5215">
        <v>0.5279604</v>
      </c>
      <c r="F5215" t="s">
        <v>42</v>
      </c>
      <c r="G5215">
        <v>-326.13679999999999</v>
      </c>
      <c r="H5215" s="1">
        <v>-3.330756E-6</v>
      </c>
      <c r="I5215">
        <v>12.6145</v>
      </c>
      <c r="J5215">
        <v>-344.42689999999999</v>
      </c>
      <c r="K5215">
        <v>1.1093580000000001</v>
      </c>
      <c r="L5215">
        <v>16.985600000000002</v>
      </c>
      <c r="M5215">
        <v>0.99989680000000003</v>
      </c>
      <c r="N5215">
        <v>-1.398462E-2</v>
      </c>
      <c r="O5215">
        <v>-3.3138820000000002E-3</v>
      </c>
      <c r="P5215">
        <v>0.9875351</v>
      </c>
      <c r="Q5215">
        <v>9.925995E-3</v>
      </c>
      <c r="R5215">
        <v>-0.15708549999999999</v>
      </c>
      <c r="S5215">
        <v>2.9298709999999999</v>
      </c>
      <c r="T5215">
        <v>-0.17606620000000001</v>
      </c>
      <c r="U5215">
        <v>-0.69384769999999996</v>
      </c>
      <c r="V5215">
        <v>0.1538265</v>
      </c>
      <c r="W5215">
        <v>2.3647310000000001E-2</v>
      </c>
      <c r="X5215">
        <v>0.98781479999999999</v>
      </c>
      <c r="Y5215">
        <v>0.2267401</v>
      </c>
      <c r="Z5215">
        <v>-8.1723390000000007E-3</v>
      </c>
      <c r="AA5215">
        <v>0.97392100000000004</v>
      </c>
      <c r="AB5215">
        <v>27</v>
      </c>
      <c r="AC5215">
        <v>18.290099999999899</v>
      </c>
      <c r="AD5215">
        <v>-1.109361330756</v>
      </c>
      <c r="AE5215">
        <v>-4.3711000000000002</v>
      </c>
      <c r="AF5215">
        <v>4.2955100343622998</v>
      </c>
      <c r="AG5215">
        <v>-1.109361330756</v>
      </c>
      <c r="AH5215">
        <v>18.241005755532299</v>
      </c>
      <c r="AI5215">
        <v>93.387822950899903</v>
      </c>
      <c r="AJ5215">
        <v>76.749037764700901</v>
      </c>
      <c r="AK5215">
        <v>18.772756323748698</v>
      </c>
      <c r="AL5215">
        <v>88.644982543114097</v>
      </c>
      <c r="AM5215">
        <v>81.148760951489706</v>
      </c>
      <c r="AN5215">
        <v>0.99999993323575997</v>
      </c>
    </row>
    <row r="5216" spans="1:40" x14ac:dyDescent="0.25">
      <c r="A5216" t="str">
        <f>"20190305135339563"</f>
        <v>20190305135339563</v>
      </c>
      <c r="B5216" t="str">
        <f>"1551765219555545"</f>
        <v>1551765219555545</v>
      </c>
      <c r="C5216" t="s">
        <v>40</v>
      </c>
      <c r="D5216">
        <v>5.267862</v>
      </c>
      <c r="E5216">
        <v>0.5279604</v>
      </c>
      <c r="F5216" t="s">
        <v>42</v>
      </c>
      <c r="G5216">
        <v>-326.74700000000001</v>
      </c>
      <c r="H5216" s="1">
        <v>-3.0471949999999999E-6</v>
      </c>
      <c r="I5216">
        <v>12.79945</v>
      </c>
      <c r="J5216">
        <v>-344.2627</v>
      </c>
      <c r="K5216">
        <v>1.109348</v>
      </c>
      <c r="L5216">
        <v>16.984829999999999</v>
      </c>
      <c r="M5216">
        <v>0.99989600000000001</v>
      </c>
      <c r="N5216">
        <v>-1.3982899999999999E-2</v>
      </c>
      <c r="O5216">
        <v>-3.5198510000000001E-3</v>
      </c>
      <c r="P5216">
        <v>0.9873902</v>
      </c>
      <c r="Q5216">
        <v>7.6753269999999896E-3</v>
      </c>
      <c r="R5216">
        <v>-0.1581196</v>
      </c>
      <c r="S5216">
        <v>2.9293819999999999</v>
      </c>
      <c r="T5216">
        <v>-0.1838101</v>
      </c>
      <c r="U5216">
        <v>-0.69360350000000004</v>
      </c>
      <c r="V5216">
        <v>0.15465609999999999</v>
      </c>
      <c r="W5216">
        <v>2.13934E-2</v>
      </c>
      <c r="X5216">
        <v>0.98773670000000002</v>
      </c>
      <c r="Y5216">
        <v>0.2264612</v>
      </c>
      <c r="Z5216">
        <v>-8.4390779999999992E-3</v>
      </c>
      <c r="AA5216">
        <v>0.97398359999999995</v>
      </c>
      <c r="AB5216">
        <v>26</v>
      </c>
      <c r="AC5216">
        <v>17.515699999999899</v>
      </c>
      <c r="AD5216">
        <v>-1.1093510471950001</v>
      </c>
      <c r="AE5216">
        <v>-4.1853799999999897</v>
      </c>
      <c r="AF5216">
        <v>4.10810668698982</v>
      </c>
      <c r="AG5216">
        <v>-1.1093510471950001</v>
      </c>
      <c r="AH5216">
        <v>17.464055408043698</v>
      </c>
      <c r="AI5216">
        <v>93.538334971044407</v>
      </c>
      <c r="AJ5216">
        <v>76.762846270909506</v>
      </c>
      <c r="AK5216">
        <v>17.974994620105502</v>
      </c>
      <c r="AL5216">
        <v>88.774154936367694</v>
      </c>
      <c r="AM5216">
        <v>81.101094979460001</v>
      </c>
      <c r="AN5216">
        <v>0.99999998767882903</v>
      </c>
    </row>
    <row r="5217" spans="1:40" x14ac:dyDescent="0.25">
      <c r="A5217" t="str">
        <f>"20190305135339579"</f>
        <v>20190305135339579</v>
      </c>
      <c r="B5217" t="str">
        <f>"1551765219575065"</f>
        <v>1551765219575065</v>
      </c>
      <c r="C5217" t="s">
        <v>40</v>
      </c>
      <c r="D5217">
        <v>4.4965089999999996</v>
      </c>
      <c r="E5217">
        <v>0.52742069999999996</v>
      </c>
      <c r="F5217" t="s">
        <v>42</v>
      </c>
      <c r="G5217">
        <v>-327.20839999999998</v>
      </c>
      <c r="H5217" s="1">
        <v>-2.8359650000000001E-6</v>
      </c>
      <c r="I5217">
        <v>12.92745</v>
      </c>
      <c r="J5217">
        <v>-344.08659999999998</v>
      </c>
      <c r="K5217">
        <v>1.1093280000000001</v>
      </c>
      <c r="L5217">
        <v>16.983920000000001</v>
      </c>
      <c r="M5217">
        <v>0.99989519999999998</v>
      </c>
      <c r="N5217">
        <v>-1.398108E-2</v>
      </c>
      <c r="O5217">
        <v>-3.7407159999999998E-3</v>
      </c>
      <c r="P5217">
        <v>0.98718689999999998</v>
      </c>
      <c r="Q5217">
        <v>4.3824140000000003E-3</v>
      </c>
      <c r="R5217">
        <v>-0.15950799999999901</v>
      </c>
      <c r="S5217">
        <v>2.928223</v>
      </c>
      <c r="T5217">
        <v>-0.1904759</v>
      </c>
      <c r="U5217">
        <v>-0.69665529999999998</v>
      </c>
      <c r="V5217">
        <v>0.15582489999999999</v>
      </c>
      <c r="W5217">
        <v>1.809624E-2</v>
      </c>
      <c r="X5217">
        <v>0.98761889999999997</v>
      </c>
      <c r="Y5217">
        <v>0.2272573</v>
      </c>
      <c r="Z5217">
        <v>-8.7066179999999993E-3</v>
      </c>
      <c r="AA5217">
        <v>0.97379579999999999</v>
      </c>
      <c r="AB5217">
        <v>26</v>
      </c>
      <c r="AC5217">
        <v>16.8781999999999</v>
      </c>
      <c r="AD5217">
        <v>-1.109330835965</v>
      </c>
      <c r="AE5217">
        <v>-4.05647</v>
      </c>
      <c r="AF5217">
        <v>3.9770567309571501</v>
      </c>
      <c r="AG5217">
        <v>-1.109330835965</v>
      </c>
      <c r="AH5217">
        <v>16.824546642557198</v>
      </c>
      <c r="AI5217">
        <v>93.671458222146995</v>
      </c>
      <c r="AJ5217">
        <v>76.700314668929906</v>
      </c>
      <c r="AK5217">
        <v>17.323768783739201</v>
      </c>
      <c r="AL5217">
        <v>88.963105206881394</v>
      </c>
      <c r="AM5217">
        <v>81.033878664984599</v>
      </c>
      <c r="AN5217">
        <v>0.99999998249967803</v>
      </c>
    </row>
    <row r="5218" spans="1:40" x14ac:dyDescent="0.25">
      <c r="A5218" t="str">
        <f>"20190305135339592"</f>
        <v>20190305135339592</v>
      </c>
      <c r="B5218" t="str">
        <f>"1551765219585802"</f>
        <v>1551765219585802</v>
      </c>
      <c r="C5218" t="s">
        <v>40</v>
      </c>
      <c r="D5218">
        <v>4.489611</v>
      </c>
      <c r="E5218">
        <v>0.52717460000000005</v>
      </c>
      <c r="F5218" t="s">
        <v>42</v>
      </c>
      <c r="G5218">
        <v>-328.10399999999998</v>
      </c>
      <c r="H5218" s="1">
        <v>-2.4246710000000001E-6</v>
      </c>
      <c r="I5218">
        <v>13.1806</v>
      </c>
      <c r="J5218">
        <v>-343.9357</v>
      </c>
      <c r="K5218">
        <v>1.109321</v>
      </c>
      <c r="L5218">
        <v>16.983149999999998</v>
      </c>
      <c r="M5218">
        <v>0.99989470000000003</v>
      </c>
      <c r="N5218">
        <v>-1.3979500000000001E-2</v>
      </c>
      <c r="O5218">
        <v>-3.9298750000000002E-3</v>
      </c>
      <c r="P5218">
        <v>0.9870873</v>
      </c>
      <c r="Q5218">
        <v>3.1157789999999999E-3</v>
      </c>
      <c r="R5218">
        <v>-0.16015480000000001</v>
      </c>
      <c r="S5218">
        <v>2.9272770000000001</v>
      </c>
      <c r="T5218">
        <v>-0.20317859999999999</v>
      </c>
      <c r="U5218">
        <v>-0.69659419999999905</v>
      </c>
      <c r="V5218">
        <v>0.15628410000000001</v>
      </c>
      <c r="W5218">
        <v>1.682662E-2</v>
      </c>
      <c r="X5218">
        <v>0.98756880000000002</v>
      </c>
      <c r="Y5218">
        <v>0.2270566</v>
      </c>
      <c r="Z5218">
        <v>-9.1590560000000005E-3</v>
      </c>
      <c r="AA5218">
        <v>0.97383850000000005</v>
      </c>
      <c r="AB5218">
        <v>26</v>
      </c>
      <c r="AC5218">
        <v>15.8316999999999</v>
      </c>
      <c r="AD5218">
        <v>-1.109323424671</v>
      </c>
      <c r="AE5218">
        <v>-3.8025499999999899</v>
      </c>
      <c r="AF5218">
        <v>3.72301579595094</v>
      </c>
      <c r="AG5218">
        <v>-1.109323424671</v>
      </c>
      <c r="AH5218">
        <v>15.773303383755801</v>
      </c>
      <c r="AI5218">
        <v>93.915693305300607</v>
      </c>
      <c r="AJ5218">
        <v>76.719387571829998</v>
      </c>
      <c r="AK5218">
        <v>16.244646647847599</v>
      </c>
      <c r="AL5218">
        <v>89.035860184978503</v>
      </c>
      <c r="AM5218">
        <v>81.007438820508298</v>
      </c>
      <c r="AN5218">
        <v>0.99999999489343705</v>
      </c>
    </row>
    <row r="5219" spans="1:40" x14ac:dyDescent="0.25">
      <c r="A5219" t="str">
        <f>"20190305135339603"</f>
        <v>20190305135339603</v>
      </c>
      <c r="B5219" t="str">
        <f>"1551765219595561"</f>
        <v>1551765219595561</v>
      </c>
      <c r="C5219" t="s">
        <v>40</v>
      </c>
      <c r="D5219">
        <v>4.4924019999999896</v>
      </c>
      <c r="E5219">
        <v>0.52673579999999998</v>
      </c>
      <c r="F5219" t="s">
        <v>42</v>
      </c>
      <c r="G5219">
        <v>-328.23540000000003</v>
      </c>
      <c r="H5219" s="1">
        <v>-2.356731E-6</v>
      </c>
      <c r="I5219">
        <v>13.246370000000001</v>
      </c>
      <c r="J5219">
        <v>-343.79570000000001</v>
      </c>
      <c r="K5219">
        <v>1.1093150000000001</v>
      </c>
      <c r="L5219">
        <v>16.982420000000001</v>
      </c>
      <c r="M5219">
        <v>0.99989399999999995</v>
      </c>
      <c r="N5219">
        <v>-1.3978030000000001E-2</v>
      </c>
      <c r="O5219">
        <v>-4.1055650000000003E-3</v>
      </c>
      <c r="P5219">
        <v>0.98699429999999999</v>
      </c>
      <c r="Q5219">
        <v>2.1490120000000001E-3</v>
      </c>
      <c r="R5219">
        <v>-0.160742</v>
      </c>
      <c r="S5219">
        <v>2.9269099999999999</v>
      </c>
      <c r="T5219">
        <v>-0.20680390000000001</v>
      </c>
      <c r="U5219">
        <v>-0.69662480000000004</v>
      </c>
      <c r="V5219">
        <v>0.156697799999999</v>
      </c>
      <c r="W5219">
        <v>1.585781E-2</v>
      </c>
      <c r="X5219">
        <v>0.98751929999999999</v>
      </c>
      <c r="Y5219">
        <v>0.22690279999999999</v>
      </c>
      <c r="Z5219">
        <v>-9.2770219999999994E-3</v>
      </c>
      <c r="AA5219">
        <v>0.97387319999999999</v>
      </c>
      <c r="AB5219">
        <v>26</v>
      </c>
      <c r="AC5219">
        <v>15.5602999999999</v>
      </c>
      <c r="AD5219">
        <v>-1.109317356731</v>
      </c>
      <c r="AE5219">
        <v>-3.7360500000000001</v>
      </c>
      <c r="AF5219">
        <v>3.65456660536901</v>
      </c>
      <c r="AG5219">
        <v>-1.109317356731</v>
      </c>
      <c r="AH5219">
        <v>15.501019520843499</v>
      </c>
      <c r="AI5219">
        <v>93.984472648404207</v>
      </c>
      <c r="AJ5219">
        <v>76.734027987950896</v>
      </c>
      <c r="AK5219">
        <v>15.9645873187061</v>
      </c>
      <c r="AL5219">
        <v>89.091376347521205</v>
      </c>
      <c r="AM5219">
        <v>80.983580595060801</v>
      </c>
      <c r="AN5219">
        <v>1.0000000192676599</v>
      </c>
    </row>
    <row r="5220" spans="1:40" x14ac:dyDescent="0.25">
      <c r="A5220" t="str">
        <f>"20190305135339615"</f>
        <v>20190305135339615</v>
      </c>
      <c r="B5220" t="str">
        <f>"1551765219605322"</f>
        <v>1551765219605322</v>
      </c>
      <c r="C5220" t="s">
        <v>40</v>
      </c>
      <c r="D5220">
        <v>4.5372349999999999</v>
      </c>
      <c r="E5220">
        <v>0.52673579999999998</v>
      </c>
      <c r="F5220" t="s">
        <v>42</v>
      </c>
      <c r="G5220">
        <v>-328.38659999999999</v>
      </c>
      <c r="H5220" s="1">
        <v>-2.278067E-6</v>
      </c>
      <c r="I5220">
        <v>13.3238</v>
      </c>
      <c r="J5220">
        <v>-343.66680000000002</v>
      </c>
      <c r="K5220">
        <v>1.1093170000000001</v>
      </c>
      <c r="L5220">
        <v>16.981719999999999</v>
      </c>
      <c r="M5220">
        <v>0.99989340000000004</v>
      </c>
      <c r="N5220">
        <v>-1.397668E-2</v>
      </c>
      <c r="O5220">
        <v>-4.2671890000000002E-3</v>
      </c>
      <c r="P5220">
        <v>0.98691390000000001</v>
      </c>
      <c r="Q5220">
        <v>1.7671060000000001E-3</v>
      </c>
      <c r="R5220">
        <v>-0.16124089999999999</v>
      </c>
      <c r="S5220">
        <v>2.9267880000000002</v>
      </c>
      <c r="T5220">
        <v>-0.21070269999999999</v>
      </c>
      <c r="U5220">
        <v>-0.69491579999999997</v>
      </c>
      <c r="V5220">
        <v>0.15703699999999901</v>
      </c>
      <c r="W5220">
        <v>1.5473529999999999E-2</v>
      </c>
      <c r="X5220">
        <v>0.98747149999999995</v>
      </c>
      <c r="Y5220">
        <v>0.22619639999999999</v>
      </c>
      <c r="Z5220">
        <v>-9.3814950000000001E-3</v>
      </c>
      <c r="AA5220">
        <v>0.97403660000000003</v>
      </c>
      <c r="AB5220">
        <v>26</v>
      </c>
      <c r="AC5220">
        <v>15.280200000000001</v>
      </c>
      <c r="AD5220">
        <v>-1.109319278067</v>
      </c>
      <c r="AE5220">
        <v>-3.6579199999999998</v>
      </c>
      <c r="AF5220">
        <v>3.5748566372706798</v>
      </c>
      <c r="AG5220">
        <v>-1.109319278067</v>
      </c>
      <c r="AH5220">
        <v>15.2198026823901</v>
      </c>
      <c r="AI5220">
        <v>94.058651770050602</v>
      </c>
      <c r="AJ5220">
        <v>76.781859816448701</v>
      </c>
      <c r="AK5220">
        <v>15.673307976576501</v>
      </c>
      <c r="AL5220">
        <v>89.113396660184705</v>
      </c>
      <c r="AM5220">
        <v>80.963954454285599</v>
      </c>
      <c r="AN5220">
        <v>1.00000000640595</v>
      </c>
    </row>
    <row r="5221" spans="1:40" x14ac:dyDescent="0.25">
      <c r="A5221" t="str">
        <f>"20190305135339626"</f>
        <v>20190305135339626</v>
      </c>
      <c r="B5221" t="str">
        <f>"1551765219615082"</f>
        <v>1551765219615082</v>
      </c>
      <c r="C5221" t="s">
        <v>40</v>
      </c>
      <c r="D5221">
        <v>4.4955980000000002</v>
      </c>
      <c r="E5221">
        <v>0.49789909999999998</v>
      </c>
      <c r="F5221" t="s">
        <v>42</v>
      </c>
      <c r="G5221">
        <v>-328.34140000000002</v>
      </c>
      <c r="H5221" s="1">
        <v>-2.2924899999999998E-6</v>
      </c>
      <c r="I5221">
        <v>13.33487</v>
      </c>
      <c r="J5221">
        <v>-343.52789999999999</v>
      </c>
      <c r="K5221">
        <v>1.1093170000000001</v>
      </c>
      <c r="L5221">
        <v>16.980929999999901</v>
      </c>
      <c r="M5221">
        <v>0.99989240000000001</v>
      </c>
      <c r="N5221">
        <v>-1.397523E-2</v>
      </c>
      <c r="O5221">
        <v>-4.44109E-3</v>
      </c>
      <c r="P5221">
        <v>0.98689539999999998</v>
      </c>
      <c r="Q5221">
        <v>1.5945229999999901E-3</v>
      </c>
      <c r="R5221">
        <v>-0.16135239999999901</v>
      </c>
      <c r="S5221">
        <v>2.926453</v>
      </c>
      <c r="T5221">
        <v>-0.21182870000000001</v>
      </c>
      <c r="U5221">
        <v>-0.69638059999999902</v>
      </c>
      <c r="V5221">
        <v>0.15697700000000001</v>
      </c>
      <c r="W5221">
        <v>1.5299979999999999E-2</v>
      </c>
      <c r="X5221">
        <v>0.98748369999999996</v>
      </c>
      <c r="Y5221">
        <v>0.2265065</v>
      </c>
      <c r="Z5221">
        <v>-9.4262570000000004E-3</v>
      </c>
      <c r="AA5221">
        <v>0.97396400000000005</v>
      </c>
      <c r="AB5221">
        <v>26</v>
      </c>
      <c r="AC5221">
        <v>15.186499999999899</v>
      </c>
      <c r="AD5221">
        <v>-1.1093192924899999</v>
      </c>
      <c r="AE5221">
        <v>-3.6460599999999901</v>
      </c>
      <c r="AF5221">
        <v>3.5606096274911598</v>
      </c>
      <c r="AG5221">
        <v>-1.1093192924899999</v>
      </c>
      <c r="AH5221">
        <v>15.1262327320879</v>
      </c>
      <c r="AI5221">
        <v>94.083210264069606</v>
      </c>
      <c r="AJ5221">
        <v>76.754110700458597</v>
      </c>
      <c r="AK5221">
        <v>15.579199173172</v>
      </c>
      <c r="AL5221">
        <v>89.123341481777203</v>
      </c>
      <c r="AM5221">
        <v>80.967459731463904</v>
      </c>
      <c r="AN5221">
        <v>0.99999996284134396</v>
      </c>
    </row>
    <row r="5222" spans="1:40" x14ac:dyDescent="0.25">
      <c r="A5222" t="str">
        <f>"20190305135339637"</f>
        <v>20190305135339637</v>
      </c>
      <c r="B5222" t="str">
        <f>"1551765219625817"</f>
        <v>1551765219625817</v>
      </c>
      <c r="C5222" t="s">
        <v>40</v>
      </c>
      <c r="D5222">
        <v>4.8756079999999997</v>
      </c>
      <c r="E5222">
        <v>0.4870025</v>
      </c>
      <c r="F5222" t="s">
        <v>42</v>
      </c>
      <c r="G5222">
        <v>-322.0224</v>
      </c>
      <c r="H5222" s="1">
        <v>-4.8229939999999997E-6</v>
      </c>
      <c r="I5222">
        <v>13.57602</v>
      </c>
      <c r="J5222">
        <v>-343.3965</v>
      </c>
      <c r="K5222">
        <v>1.109318</v>
      </c>
      <c r="L5222">
        <v>16.980160000000001</v>
      </c>
      <c r="M5222">
        <v>0.9998918</v>
      </c>
      <c r="N5222">
        <v>-1.3973859999999999E-2</v>
      </c>
      <c r="O5222">
        <v>-4.6059330000000004E-3</v>
      </c>
      <c r="P5222">
        <v>0.98686949999999996</v>
      </c>
      <c r="Q5222">
        <v>1.77895299999999E-3</v>
      </c>
      <c r="R5222">
        <v>-0.1615104</v>
      </c>
      <c r="S5222">
        <v>2.9633479999999999</v>
      </c>
      <c r="T5222">
        <v>-0.15285850000000001</v>
      </c>
      <c r="U5222">
        <v>-0.46917720000000002</v>
      </c>
      <c r="V5222">
        <v>0.15697230000000001</v>
      </c>
      <c r="W5222">
        <v>1.548306E-2</v>
      </c>
      <c r="X5222">
        <v>0.98748170000000002</v>
      </c>
      <c r="Y5222">
        <v>0.15157970000000001</v>
      </c>
      <c r="Z5222">
        <v>-4.7773019999999998E-3</v>
      </c>
      <c r="AA5222">
        <v>0.98843349999999996</v>
      </c>
      <c r="AB5222">
        <v>26</v>
      </c>
      <c r="AC5222">
        <v>21.374099999999999</v>
      </c>
      <c r="AD5222">
        <v>-1.109322822994</v>
      </c>
      <c r="AE5222">
        <v>-3.4041399999999999</v>
      </c>
      <c r="AF5222">
        <v>3.2969853912276599</v>
      </c>
      <c r="AG5222">
        <v>-1.109322822994</v>
      </c>
      <c r="AH5222">
        <v>21.333510670772899</v>
      </c>
      <c r="AI5222">
        <v>92.941785366841202</v>
      </c>
      <c r="AJ5222">
        <v>81.214732004628104</v>
      </c>
      <c r="AK5222">
        <v>21.615258206543899</v>
      </c>
      <c r="AL5222">
        <v>89.112850620614395</v>
      </c>
      <c r="AM5222">
        <v>80.967707721615</v>
      </c>
      <c r="AN5222">
        <v>1.00000006797456</v>
      </c>
    </row>
    <row r="5223" spans="1:40" x14ac:dyDescent="0.25">
      <c r="A5223" t="str">
        <f>"20190305135339658"</f>
        <v>20190305135339658</v>
      </c>
      <c r="B5223" t="str">
        <f>"1551765219645337"</f>
        <v>1551765219645337</v>
      </c>
      <c r="C5223" t="s">
        <v>40</v>
      </c>
      <c r="D5223">
        <v>4.4552370000000003</v>
      </c>
      <c r="E5223">
        <v>0.48378189999999999</v>
      </c>
      <c r="F5223" t="s">
        <v>42</v>
      </c>
      <c r="G5223">
        <v>-325.96480000000003</v>
      </c>
      <c r="H5223" s="1">
        <v>-2.8337359999999998E-6</v>
      </c>
      <c r="I5223">
        <v>14.73066</v>
      </c>
      <c r="J5223">
        <v>-343.15559999999999</v>
      </c>
      <c r="K5223">
        <v>1.109334</v>
      </c>
      <c r="L5223">
        <v>16.9787</v>
      </c>
      <c r="M5223">
        <v>0.99989030000000001</v>
      </c>
      <c r="N5223">
        <v>-1.397136E-2</v>
      </c>
      <c r="O5223">
        <v>-4.9078480000000002E-3</v>
      </c>
      <c r="P5223">
        <v>0.98687259999999999</v>
      </c>
      <c r="Q5223">
        <v>2.842111E-3</v>
      </c>
      <c r="R5223">
        <v>-0.16147500000000001</v>
      </c>
      <c r="S5223">
        <v>2.977325</v>
      </c>
      <c r="T5223">
        <v>-0.18947220000000001</v>
      </c>
      <c r="U5223">
        <v>-0.38421630000000001</v>
      </c>
      <c r="V5223">
        <v>0.15663940000000001</v>
      </c>
      <c r="W5223">
        <v>1.6544840000000002E-2</v>
      </c>
      <c r="X5223">
        <v>0.98751730000000004</v>
      </c>
      <c r="Y5223">
        <v>0.1228238</v>
      </c>
      <c r="Z5223">
        <v>-4.5083090000000003E-3</v>
      </c>
      <c r="AA5223">
        <v>0.99241820000000003</v>
      </c>
      <c r="AB5223">
        <v>26</v>
      </c>
      <c r="AC5223">
        <v>17.1907999999999</v>
      </c>
      <c r="AD5223">
        <v>-1.1093368337359999</v>
      </c>
      <c r="AE5223">
        <v>-2.24804</v>
      </c>
      <c r="AF5223">
        <v>2.1548125797612401</v>
      </c>
      <c r="AG5223">
        <v>-1.1093368337359999</v>
      </c>
      <c r="AH5223">
        <v>17.1314870365632</v>
      </c>
      <c r="AI5223">
        <v>93.676088465995704</v>
      </c>
      <c r="AJ5223">
        <v>82.830938169671001</v>
      </c>
      <c r="AK5223">
        <v>17.3020719438024</v>
      </c>
      <c r="AL5223">
        <v>89.052007266895899</v>
      </c>
      <c r="AM5223">
        <v>80.986867814080696</v>
      </c>
      <c r="AN5223">
        <v>1.0000000255811301</v>
      </c>
    </row>
    <row r="5224" spans="1:40" x14ac:dyDescent="0.25">
      <c r="A5224" t="str">
        <f>"20190305135339681"</f>
        <v>20190305135339681</v>
      </c>
      <c r="B5224" t="str">
        <f>"1551765219675594"</f>
        <v>1551765219675594</v>
      </c>
      <c r="C5224" t="s">
        <v>40</v>
      </c>
      <c r="D5224">
        <v>4.4356720000000003</v>
      </c>
      <c r="E5224">
        <v>0.48351460000000002</v>
      </c>
      <c r="F5224" t="s">
        <v>42</v>
      </c>
      <c r="G5224">
        <v>-324.09269999999998</v>
      </c>
      <c r="H5224" s="1">
        <v>-3.6475280000000002E-6</v>
      </c>
      <c r="I5224">
        <v>14.68561</v>
      </c>
      <c r="J5224">
        <v>-342.89359999999999</v>
      </c>
      <c r="K5224">
        <v>1.1093489999999999</v>
      </c>
      <c r="L5224">
        <v>16.977049999999998</v>
      </c>
      <c r="M5224">
        <v>0.99988889999999997</v>
      </c>
      <c r="N5224">
        <v>-1.3968639999999999E-2</v>
      </c>
      <c r="O5224">
        <v>-5.2363440000000004E-3</v>
      </c>
      <c r="P5224">
        <v>0.98692550000000001</v>
      </c>
      <c r="Q5224">
        <v>5.4422369999999999E-3</v>
      </c>
      <c r="R5224">
        <v>-0.16108539999999999</v>
      </c>
      <c r="S5224">
        <v>2.9817200000000001</v>
      </c>
      <c r="T5224">
        <v>-0.173516899999999</v>
      </c>
      <c r="U5224">
        <v>-0.35867310000000002</v>
      </c>
      <c r="V5224">
        <v>0.1559265</v>
      </c>
      <c r="W5224">
        <v>1.914414E-2</v>
      </c>
      <c r="X5224">
        <v>0.98758310000000005</v>
      </c>
      <c r="Y5224">
        <v>0.1139974</v>
      </c>
      <c r="Z5224">
        <v>-3.8716950000000001E-3</v>
      </c>
      <c r="AA5224">
        <v>0.99347350000000001</v>
      </c>
      <c r="AB5224">
        <v>26</v>
      </c>
      <c r="AC5224">
        <v>18.800899999999999</v>
      </c>
      <c r="AD5224">
        <v>-1.109352647528</v>
      </c>
      <c r="AE5224">
        <v>-2.2914399999999899</v>
      </c>
      <c r="AF5224">
        <v>2.18545345412991</v>
      </c>
      <c r="AG5224">
        <v>-1.109352647528</v>
      </c>
      <c r="AH5224">
        <v>18.748322937717202</v>
      </c>
      <c r="AI5224">
        <v>93.363564627035899</v>
      </c>
      <c r="AJ5224">
        <v>83.351155466158204</v>
      </c>
      <c r="AK5224">
        <v>18.9078418407199</v>
      </c>
      <c r="AL5224">
        <v>88.903054536966494</v>
      </c>
      <c r="AM5224">
        <v>81.027807754184295</v>
      </c>
      <c r="AN5224">
        <v>0.99999997545209895</v>
      </c>
    </row>
    <row r="5225" spans="1:40" x14ac:dyDescent="0.25">
      <c r="A5225" t="str">
        <f>"20190305135339693"</f>
        <v>20190305135339693</v>
      </c>
      <c r="B5225" t="str">
        <f>"1551765219685354"</f>
        <v>1551765219685354</v>
      </c>
      <c r="C5225" t="s">
        <v>40</v>
      </c>
      <c r="D5225">
        <v>4.4404750000000002</v>
      </c>
      <c r="E5225">
        <v>0.48361880000000002</v>
      </c>
      <c r="F5225" t="s">
        <v>42</v>
      </c>
      <c r="G5225">
        <v>-322.18329999999997</v>
      </c>
      <c r="H5225" s="1">
        <v>-4.5813160000000001E-6</v>
      </c>
      <c r="I5225">
        <v>14.50966</v>
      </c>
      <c r="J5225">
        <v>-342.74349999999998</v>
      </c>
      <c r="K5225">
        <v>1.109356</v>
      </c>
      <c r="L5225">
        <v>16.976009999999999</v>
      </c>
      <c r="M5225">
        <v>0.99988779999999999</v>
      </c>
      <c r="N5225">
        <v>-1.396708E-2</v>
      </c>
      <c r="O5225">
        <v>-5.4243109999999898E-3</v>
      </c>
      <c r="P5225">
        <v>0.98692979999999997</v>
      </c>
      <c r="Q5225">
        <v>6.5829969999999897E-3</v>
      </c>
      <c r="R5225">
        <v>-0.16101670000000001</v>
      </c>
      <c r="S5225">
        <v>2.9826350000000001</v>
      </c>
      <c r="T5225">
        <v>-0.15976580000000001</v>
      </c>
      <c r="U5225">
        <v>-0.35534670000000002</v>
      </c>
      <c r="V5225">
        <v>0.1556729</v>
      </c>
      <c r="W5225">
        <v>2.028404E-2</v>
      </c>
      <c r="X5225">
        <v>0.98760040000000004</v>
      </c>
      <c r="Y5225">
        <v>0.1127161</v>
      </c>
      <c r="Z5225">
        <v>-3.5829059999999999E-3</v>
      </c>
      <c r="AA5225">
        <v>0.99362079999999997</v>
      </c>
      <c r="AB5225">
        <v>26</v>
      </c>
      <c r="AC5225">
        <v>20.560199999999998</v>
      </c>
      <c r="AD5225">
        <v>-1.1093605813159999</v>
      </c>
      <c r="AE5225">
        <v>-2.4663499999999998</v>
      </c>
      <c r="AF5225">
        <v>2.3480389822062602</v>
      </c>
      <c r="AG5225">
        <v>-1.1093605813159999</v>
      </c>
      <c r="AH5225">
        <v>20.514400146205901</v>
      </c>
      <c r="AI5225">
        <v>93.075338299668203</v>
      </c>
      <c r="AJ5225">
        <v>83.470449581423694</v>
      </c>
      <c r="AK5225">
        <v>20.678118418269801</v>
      </c>
      <c r="AL5225">
        <v>88.837730431753101</v>
      </c>
      <c r="AM5225">
        <v>81.0423177448518</v>
      </c>
      <c r="AN5225">
        <v>1.0000000220766401</v>
      </c>
    </row>
    <row r="5226" spans="1:40" x14ac:dyDescent="0.25">
      <c r="A5226" t="str">
        <f>"20190305135339705"</f>
        <v>20190305135339705</v>
      </c>
      <c r="B5226" t="str">
        <f>"1551765219695114"</f>
        <v>1551765219695114</v>
      </c>
      <c r="C5226" t="s">
        <v>40</v>
      </c>
      <c r="D5226">
        <v>4.4149849999999997</v>
      </c>
      <c r="E5226">
        <v>0.48372710000000002</v>
      </c>
      <c r="F5226" t="s">
        <v>42</v>
      </c>
      <c r="G5226">
        <v>-321.4853</v>
      </c>
      <c r="H5226" s="1">
        <v>-4.9236959999999999E-6</v>
      </c>
      <c r="I5226">
        <v>14.43951</v>
      </c>
      <c r="J5226">
        <v>-342.59440000000001</v>
      </c>
      <c r="K5226">
        <v>1.109367</v>
      </c>
      <c r="L5226">
        <v>16.975010000000001</v>
      </c>
      <c r="M5226">
        <v>0.99988690000000002</v>
      </c>
      <c r="N5226">
        <v>-1.396553E-2</v>
      </c>
      <c r="O5226">
        <v>-5.6108460000000001E-3</v>
      </c>
      <c r="P5226">
        <v>0.98683980000000004</v>
      </c>
      <c r="Q5226">
        <v>8.1206779999999992E-3</v>
      </c>
      <c r="R5226">
        <v>-0.16149839999999999</v>
      </c>
      <c r="S5226">
        <v>2.9827270000000001</v>
      </c>
      <c r="T5226">
        <v>-0.15565409999999999</v>
      </c>
      <c r="U5226">
        <v>-0.35589599999999999</v>
      </c>
      <c r="V5226">
        <v>0.15597150000000001</v>
      </c>
      <c r="W5226">
        <v>2.1819120000000001E-2</v>
      </c>
      <c r="X5226">
        <v>0.98752050000000002</v>
      </c>
      <c r="Y5226">
        <v>0.1127167</v>
      </c>
      <c r="Z5226">
        <v>-3.5057759999999999E-3</v>
      </c>
      <c r="AA5226">
        <v>0.99362099999999998</v>
      </c>
      <c r="AB5226">
        <v>26</v>
      </c>
      <c r="AC5226">
        <v>21.109100000000002</v>
      </c>
      <c r="AD5226">
        <v>-1.109371923696</v>
      </c>
      <c r="AE5226">
        <v>-2.5354999999999999</v>
      </c>
      <c r="AF5226">
        <v>2.41044580732042</v>
      </c>
      <c r="AG5226">
        <v>-1.109371923696</v>
      </c>
      <c r="AH5226">
        <v>21.065640696782999</v>
      </c>
      <c r="AI5226">
        <v>92.995053655913694</v>
      </c>
      <c r="AJ5226">
        <v>83.472294279854196</v>
      </c>
      <c r="AK5226">
        <v>21.2321024164135</v>
      </c>
      <c r="AL5226">
        <v>88.749757247024704</v>
      </c>
      <c r="AM5226">
        <v>81.024700885597795</v>
      </c>
      <c r="AN5226">
        <v>0.99999996036503602</v>
      </c>
    </row>
    <row r="5227" spans="1:40" x14ac:dyDescent="0.25">
      <c r="A5227" t="str">
        <f>"20190305135339719"</f>
        <v>20190305135339719</v>
      </c>
      <c r="B5227" t="str">
        <f>"1551765219704874"</f>
        <v>1551765219704874</v>
      </c>
      <c r="C5227" t="s">
        <v>40</v>
      </c>
      <c r="D5227">
        <v>4.4244469999999998</v>
      </c>
      <c r="E5227">
        <v>0.48389359999999998</v>
      </c>
      <c r="F5227" t="s">
        <v>42</v>
      </c>
      <c r="G5227">
        <v>-320.7099</v>
      </c>
      <c r="H5227" s="1">
        <v>-5.3066010000000004E-6</v>
      </c>
      <c r="I5227">
        <v>14.347340000000001</v>
      </c>
      <c r="J5227">
        <v>-342.43869999999998</v>
      </c>
      <c r="K5227">
        <v>1.1093789999999999</v>
      </c>
      <c r="L5227">
        <v>16.97391</v>
      </c>
      <c r="M5227">
        <v>0.99988560000000004</v>
      </c>
      <c r="N5227">
        <v>-1.39639E-2</v>
      </c>
      <c r="O5227">
        <v>-5.8027199999999999E-3</v>
      </c>
      <c r="P5227">
        <v>0.98678330000000003</v>
      </c>
      <c r="Q5227">
        <v>9.4839250000000007E-3</v>
      </c>
      <c r="R5227">
        <v>-0.1617681</v>
      </c>
      <c r="S5227">
        <v>2.9826350000000001</v>
      </c>
      <c r="T5227">
        <v>-0.1511961</v>
      </c>
      <c r="U5227">
        <v>-0.35812379999999999</v>
      </c>
      <c r="V5227">
        <v>0.15605250000000001</v>
      </c>
      <c r="W5227">
        <v>2.3180619999999999E-2</v>
      </c>
      <c r="X5227">
        <v>0.98747669999999999</v>
      </c>
      <c r="Y5227">
        <v>0.11326989999999899</v>
      </c>
      <c r="Z5227">
        <v>-3.441038E-3</v>
      </c>
      <c r="AA5227">
        <v>0.99355830000000001</v>
      </c>
      <c r="AB5227">
        <v>26</v>
      </c>
      <c r="AC5227">
        <v>21.7287999999999</v>
      </c>
      <c r="AD5227">
        <v>-1.1093843066010001</v>
      </c>
      <c r="AE5227">
        <v>-2.6265700000000001</v>
      </c>
      <c r="AF5227">
        <v>2.4940197686040202</v>
      </c>
      <c r="AG5227">
        <v>-1.1093843066010001</v>
      </c>
      <c r="AH5227">
        <v>21.687956824345001</v>
      </c>
      <c r="AI5227">
        <v>92.909108085627096</v>
      </c>
      <c r="AJ5227">
        <v>83.440051991160004</v>
      </c>
      <c r="AK5227">
        <v>21.859056232156401</v>
      </c>
      <c r="AL5227">
        <v>88.671729305040301</v>
      </c>
      <c r="AM5227">
        <v>81.019723903026701</v>
      </c>
      <c r="AN5227">
        <v>0.99999997847136102</v>
      </c>
    </row>
    <row r="5228" spans="1:40" x14ac:dyDescent="0.25">
      <c r="A5228" t="str">
        <f>"20190305135339734"</f>
        <v>20190305135339734</v>
      </c>
      <c r="B5228" t="str">
        <f>"1551765219725370"</f>
        <v>1551765219725370</v>
      </c>
      <c r="C5228" t="s">
        <v>40</v>
      </c>
      <c r="D5228">
        <v>4.470459</v>
      </c>
      <c r="E5228">
        <v>0.48420619999999998</v>
      </c>
      <c r="F5228" t="s">
        <v>47</v>
      </c>
      <c r="G5228">
        <v>-318.9359</v>
      </c>
      <c r="H5228">
        <v>-0.05</v>
      </c>
      <c r="I5228">
        <v>14.13626</v>
      </c>
      <c r="J5228">
        <v>-342.27460000000002</v>
      </c>
      <c r="K5228">
        <v>1.1093919999999999</v>
      </c>
      <c r="L5228">
        <v>16.972750000000001</v>
      </c>
      <c r="M5228">
        <v>0.99988460000000001</v>
      </c>
      <c r="N5228">
        <v>-1.3962179999999999E-2</v>
      </c>
      <c r="O5228">
        <v>-5.9984779999999998E-3</v>
      </c>
      <c r="P5228">
        <v>0.98666980000000004</v>
      </c>
      <c r="Q5228">
        <v>1.082462E-2</v>
      </c>
      <c r="R5228">
        <v>-0.16237599999999999</v>
      </c>
      <c r="S5228">
        <v>2.9825740000000001</v>
      </c>
      <c r="T5228">
        <v>-0.14712890000000001</v>
      </c>
      <c r="U5228">
        <v>-0.36010740000000002</v>
      </c>
      <c r="V5228">
        <v>0.15646860000000001</v>
      </c>
      <c r="W5228">
        <v>2.4520150000000001E-2</v>
      </c>
      <c r="X5228">
        <v>0.98737850000000005</v>
      </c>
      <c r="Y5228">
        <v>0.1137369</v>
      </c>
      <c r="Z5228">
        <v>-3.3797940000000002E-3</v>
      </c>
      <c r="AA5228">
        <v>0.99350519999999998</v>
      </c>
      <c r="AB5228">
        <v>26</v>
      </c>
      <c r="AC5228">
        <v>23.338699999999999</v>
      </c>
      <c r="AD5228">
        <v>-1.159392</v>
      </c>
      <c r="AE5228">
        <v>-2.83649</v>
      </c>
      <c r="AF5228">
        <v>2.6898872029932601</v>
      </c>
      <c r="AG5228">
        <v>-1.159392</v>
      </c>
      <c r="AH5228">
        <v>23.2986372001406</v>
      </c>
      <c r="AI5228">
        <v>92.830047506494296</v>
      </c>
      <c r="AJ5228">
        <v>83.414213840871895</v>
      </c>
      <c r="AK5228">
        <v>23.4820394846416</v>
      </c>
      <c r="AL5228">
        <v>88.594958047801995</v>
      </c>
      <c r="AM5228">
        <v>80.995289761608504</v>
      </c>
      <c r="AN5228">
        <v>0.99999998140211599</v>
      </c>
    </row>
    <row r="5229" spans="1:40" x14ac:dyDescent="0.25">
      <c r="A5229" t="str">
        <f>"20190305135339748"</f>
        <v>20190305135339748</v>
      </c>
      <c r="B5229" t="str">
        <f>"1551765219735654"</f>
        <v>1551765219735654</v>
      </c>
      <c r="C5229" t="s">
        <v>40</v>
      </c>
      <c r="D5229">
        <v>4.4297879999999896</v>
      </c>
      <c r="E5229">
        <v>0.48427769999999998</v>
      </c>
      <c r="F5229" t="s">
        <v>47</v>
      </c>
      <c r="G5229">
        <v>-318.00020000000001</v>
      </c>
      <c r="H5229">
        <v>-0.05</v>
      </c>
      <c r="I5229">
        <v>14.007709999999999</v>
      </c>
      <c r="J5229">
        <v>-342.10509999999999</v>
      </c>
      <c r="K5229">
        <v>1.109424</v>
      </c>
      <c r="L5229">
        <v>16.971499999999999</v>
      </c>
      <c r="M5229">
        <v>0.99988350000000004</v>
      </c>
      <c r="N5229">
        <v>-1.396037E-2</v>
      </c>
      <c r="O5229">
        <v>-6.1886669999999897E-3</v>
      </c>
      <c r="P5229">
        <v>0.98650439999999995</v>
      </c>
      <c r="Q5229">
        <v>1.242828E-2</v>
      </c>
      <c r="R5229">
        <v>-0.16326360000000001</v>
      </c>
      <c r="S5229">
        <v>2.9821170000000001</v>
      </c>
      <c r="T5229">
        <v>-0.1424319</v>
      </c>
      <c r="U5229">
        <v>-0.36425780000000002</v>
      </c>
      <c r="V5229">
        <v>0.15716949999999999</v>
      </c>
      <c r="W5229">
        <v>2.6123239999999999E-2</v>
      </c>
      <c r="X5229">
        <v>0.9872261</v>
      </c>
      <c r="Y5229">
        <v>0.1149365</v>
      </c>
      <c r="Z5229">
        <v>-3.3307290000000002E-3</v>
      </c>
      <c r="AA5229">
        <v>0.99336729999999995</v>
      </c>
      <c r="AB5229">
        <v>26</v>
      </c>
      <c r="AC5229">
        <v>24.104899999999901</v>
      </c>
      <c r="AD5229">
        <v>-1.159424</v>
      </c>
      <c r="AE5229">
        <v>-2.9637899999999902</v>
      </c>
      <c r="AF5229">
        <v>2.8081415605637399</v>
      </c>
      <c r="AG5229">
        <v>-1.159424</v>
      </c>
      <c r="AH5229">
        <v>24.067929518113399</v>
      </c>
      <c r="AI5229">
        <v>92.739422069566203</v>
      </c>
      <c r="AJ5229">
        <v>83.345066595698299</v>
      </c>
      <c r="AK5229">
        <v>24.258919067526801</v>
      </c>
      <c r="AL5229">
        <v>88.503078347937404</v>
      </c>
      <c r="AM5229">
        <v>80.954245400275894</v>
      </c>
      <c r="AN5229">
        <v>1.0000000239597699</v>
      </c>
    </row>
    <row r="5230" spans="1:40" x14ac:dyDescent="0.25">
      <c r="A5230" t="str">
        <f>"20190305135339761"</f>
        <v>20190305135339761</v>
      </c>
      <c r="B5230" t="str">
        <f>"1551765219755157"</f>
        <v>1551765219755157</v>
      </c>
      <c r="C5230" t="s">
        <v>40</v>
      </c>
      <c r="D5230">
        <v>4.4435370000000001</v>
      </c>
      <c r="E5230">
        <v>0.4843268</v>
      </c>
      <c r="F5230" t="s">
        <v>47</v>
      </c>
      <c r="G5230">
        <v>-316.85559999999998</v>
      </c>
      <c r="H5230">
        <v>-0.05</v>
      </c>
      <c r="I5230">
        <v>13.861879999999999</v>
      </c>
      <c r="J5230">
        <v>-341.9409</v>
      </c>
      <c r="K5230">
        <v>1.109456</v>
      </c>
      <c r="L5230">
        <v>16.97025</v>
      </c>
      <c r="M5230">
        <v>0.99988250000000001</v>
      </c>
      <c r="N5230">
        <v>-1.395855E-2</v>
      </c>
      <c r="O5230">
        <v>-6.3415729999999997E-3</v>
      </c>
      <c r="P5230">
        <v>0.98648170000000002</v>
      </c>
      <c r="Q5230">
        <v>1.280017E-2</v>
      </c>
      <c r="R5230">
        <v>-0.1633713</v>
      </c>
      <c r="S5230">
        <v>2.981995</v>
      </c>
      <c r="T5230">
        <v>-0.13692889999999999</v>
      </c>
      <c r="U5230">
        <v>-0.36724849999999998</v>
      </c>
      <c r="V5230">
        <v>0.1571253</v>
      </c>
      <c r="W5230">
        <v>2.6501719999999999E-2</v>
      </c>
      <c r="X5230">
        <v>0.98722299999999996</v>
      </c>
      <c r="Y5230">
        <v>0.1157808</v>
      </c>
      <c r="Z5230">
        <v>-3.2568039999999999E-3</v>
      </c>
      <c r="AA5230">
        <v>0.99326939999999997</v>
      </c>
      <c r="AB5230">
        <v>26</v>
      </c>
      <c r="AC5230">
        <v>25.0853</v>
      </c>
      <c r="AD5230">
        <v>-1.159456</v>
      </c>
      <c r="AE5230">
        <v>-3.1083699999999999</v>
      </c>
      <c r="AF5230">
        <v>2.94301952142794</v>
      </c>
      <c r="AG5230">
        <v>-1.159456</v>
      </c>
      <c r="AH5230">
        <v>25.05179956932</v>
      </c>
      <c r="AI5230">
        <v>92.631819133304106</v>
      </c>
      <c r="AJ5230">
        <v>83.299753117622004</v>
      </c>
      <c r="AK5230">
        <v>25.250710163890901</v>
      </c>
      <c r="AL5230">
        <v>88.481385458675206</v>
      </c>
      <c r="AM5230">
        <v>80.956719321105098</v>
      </c>
      <c r="AN5230">
        <v>0.999999976396023</v>
      </c>
    </row>
    <row r="5231" spans="1:40" x14ac:dyDescent="0.25">
      <c r="A5231" t="str">
        <f>"20190305135339776"</f>
        <v>20190305135339776</v>
      </c>
      <c r="B5231" t="str">
        <f>"1551765219765892"</f>
        <v>1551765219765892</v>
      </c>
      <c r="C5231" t="s">
        <v>40</v>
      </c>
      <c r="D5231">
        <v>4.4461719999999998</v>
      </c>
      <c r="E5231">
        <v>0.4843404</v>
      </c>
      <c r="F5231" t="s">
        <v>47</v>
      </c>
      <c r="G5231">
        <v>-316.38909999999998</v>
      </c>
      <c r="H5231">
        <v>-0.05</v>
      </c>
      <c r="I5231">
        <v>13.817080000000001</v>
      </c>
      <c r="J5231">
        <v>-341.77690000000001</v>
      </c>
      <c r="K5231">
        <v>1.1094949999999999</v>
      </c>
      <c r="L5231">
        <v>16.969059999999999</v>
      </c>
      <c r="M5231">
        <v>0.99988189999999999</v>
      </c>
      <c r="N5231">
        <v>-1.395674E-2</v>
      </c>
      <c r="O5231">
        <v>-6.4612860000000001E-3</v>
      </c>
      <c r="P5231">
        <v>0.98644790000000004</v>
      </c>
      <c r="Q5231">
        <v>1.31942E-2</v>
      </c>
      <c r="R5231">
        <v>-0.1635451</v>
      </c>
      <c r="S5231">
        <v>2.9819640000000001</v>
      </c>
      <c r="T5231">
        <v>-0.13531119999999999</v>
      </c>
      <c r="U5231">
        <v>-0.367981</v>
      </c>
      <c r="V5231">
        <v>0.1571794</v>
      </c>
      <c r="W5231">
        <v>2.6905459999999999E-2</v>
      </c>
      <c r="X5231">
        <v>0.98720350000000001</v>
      </c>
      <c r="Y5231">
        <v>0.11590639999999899</v>
      </c>
      <c r="Z5231">
        <v>-3.2288360000000001E-3</v>
      </c>
      <c r="AA5231">
        <v>0.99325490000000005</v>
      </c>
      <c r="AB5231">
        <v>26</v>
      </c>
      <c r="AC5231">
        <v>25.387799999999999</v>
      </c>
      <c r="AD5231">
        <v>-1.1594949999999999</v>
      </c>
      <c r="AE5231">
        <v>-3.15198</v>
      </c>
      <c r="AF5231">
        <v>2.9817353000698801</v>
      </c>
      <c r="AG5231">
        <v>-1.1594949999999999</v>
      </c>
      <c r="AH5231">
        <v>25.3555521853717</v>
      </c>
      <c r="AI5231">
        <v>92.600385541971903</v>
      </c>
      <c r="AJ5231">
        <v>83.292995712166899</v>
      </c>
      <c r="AK5231">
        <v>25.5565882049975</v>
      </c>
      <c r="AL5231">
        <v>88.458244658080204</v>
      </c>
      <c r="AM5231">
        <v>80.953481364189997</v>
      </c>
      <c r="AN5231">
        <v>1.0000000089872101</v>
      </c>
    </row>
    <row r="5232" spans="1:40" x14ac:dyDescent="0.25">
      <c r="A5232" t="str">
        <f>"20190305135339794"</f>
        <v>20190305135339794</v>
      </c>
      <c r="B5232" t="str">
        <f>"1551765219785415"</f>
        <v>1551765219785415</v>
      </c>
      <c r="C5232" t="s">
        <v>40</v>
      </c>
      <c r="D5232">
        <v>4.4504010000000003</v>
      </c>
      <c r="E5232">
        <v>0.4843712</v>
      </c>
      <c r="F5232" t="s">
        <v>47</v>
      </c>
      <c r="G5232">
        <v>-315.87470000000002</v>
      </c>
      <c r="H5232">
        <v>-0.05</v>
      </c>
      <c r="I5232">
        <v>13.767300000000001</v>
      </c>
      <c r="J5232">
        <v>-341.57069999999999</v>
      </c>
      <c r="K5232">
        <v>1.1095630000000001</v>
      </c>
      <c r="L5232">
        <v>16.967559999999999</v>
      </c>
      <c r="M5232">
        <v>0.99988109999999997</v>
      </c>
      <c r="N5232">
        <v>-1.395447E-2</v>
      </c>
      <c r="O5232">
        <v>-6.5592819999999996E-3</v>
      </c>
      <c r="P5232">
        <v>0.98644319999999996</v>
      </c>
      <c r="Q5232">
        <v>1.401402E-2</v>
      </c>
      <c r="R5232">
        <v>-0.16350390000000001</v>
      </c>
      <c r="S5232">
        <v>2.981903</v>
      </c>
      <c r="T5232">
        <v>-0.13348289999999999</v>
      </c>
      <c r="U5232">
        <v>-0.36859130000000001</v>
      </c>
      <c r="V5232">
        <v>0.15703789999999901</v>
      </c>
      <c r="W5232">
        <v>2.7743420000000001E-2</v>
      </c>
      <c r="X5232">
        <v>0.98720280000000005</v>
      </c>
      <c r="Y5232">
        <v>0.1160152</v>
      </c>
      <c r="Z5232">
        <v>-3.197484E-3</v>
      </c>
      <c r="AA5232">
        <v>0.99324230000000002</v>
      </c>
      <c r="AB5232">
        <v>26</v>
      </c>
      <c r="AC5232">
        <v>25.695999999999898</v>
      </c>
      <c r="AD5232">
        <v>-1.1595629999999999</v>
      </c>
      <c r="AE5232">
        <v>-3.2002599999999899</v>
      </c>
      <c r="AF5232">
        <v>3.0255603478799999</v>
      </c>
      <c r="AG5232">
        <v>-1.1595629999999999</v>
      </c>
      <c r="AH5232">
        <v>25.664975339035198</v>
      </c>
      <c r="AI5232">
        <v>92.5691410377826</v>
      </c>
      <c r="AJ5232">
        <v>83.276618166087204</v>
      </c>
      <c r="AK5232">
        <v>25.868698477559999</v>
      </c>
      <c r="AL5232">
        <v>88.410215112379902</v>
      </c>
      <c r="AM5232">
        <v>80.961484644188999</v>
      </c>
      <c r="AN5232">
        <v>0.99999998385877298</v>
      </c>
    </row>
    <row r="5233" spans="1:40" x14ac:dyDescent="0.25">
      <c r="A5233" t="str">
        <f>"20190305135339805"</f>
        <v>20190305135339805</v>
      </c>
      <c r="B5233" t="str">
        <f>"1551765219795172"</f>
        <v>1551765219795172</v>
      </c>
      <c r="C5233" t="s">
        <v>40</v>
      </c>
      <c r="D5233">
        <v>4.6150659999999997</v>
      </c>
      <c r="E5233">
        <v>0.48472769999999998</v>
      </c>
      <c r="F5233" t="s">
        <v>47</v>
      </c>
      <c r="G5233">
        <v>-314.93799999999999</v>
      </c>
      <c r="H5233">
        <v>-0.05</v>
      </c>
      <c r="I5233">
        <v>13.67531</v>
      </c>
      <c r="J5233">
        <v>-341.43119999999999</v>
      </c>
      <c r="K5233">
        <v>1.1096109999999999</v>
      </c>
      <c r="L5233">
        <v>16.966550000000002</v>
      </c>
      <c r="M5233">
        <v>0.99988100000000002</v>
      </c>
      <c r="N5233">
        <v>-1.395296E-2</v>
      </c>
      <c r="O5233">
        <v>-6.595114E-3</v>
      </c>
      <c r="P5233">
        <v>0.98641780000000001</v>
      </c>
      <c r="Q5233">
        <v>1.4418530000000001E-2</v>
      </c>
      <c r="R5233">
        <v>-0.16362289999999999</v>
      </c>
      <c r="S5233">
        <v>2.9819640000000001</v>
      </c>
      <c r="T5233">
        <v>-0.12983239999999999</v>
      </c>
      <c r="U5233">
        <v>-0.3686218</v>
      </c>
      <c r="V5233">
        <v>0.15711889999999901</v>
      </c>
      <c r="W5233">
        <v>2.816287E-2</v>
      </c>
      <c r="X5233">
        <v>0.987178</v>
      </c>
      <c r="Y5233">
        <v>0.11599420000000001</v>
      </c>
      <c r="Z5233">
        <v>-3.1330009999999998E-3</v>
      </c>
      <c r="AA5233">
        <v>0.99324489999999999</v>
      </c>
      <c r="AB5233">
        <v>26</v>
      </c>
      <c r="AC5233">
        <v>26.493200000000002</v>
      </c>
      <c r="AD5233">
        <v>-1.1596109999999999</v>
      </c>
      <c r="AE5233">
        <v>-3.2912400000000002</v>
      </c>
      <c r="AF5233">
        <v>3.1105570293991001</v>
      </c>
      <c r="AG5233">
        <v>-1.1596109999999999</v>
      </c>
      <c r="AH5233">
        <v>26.464401346963701</v>
      </c>
      <c r="AI5233">
        <v>92.491836733430802</v>
      </c>
      <c r="AJ5233">
        <v>83.296360265342699</v>
      </c>
      <c r="AK5233">
        <v>26.671797865116599</v>
      </c>
      <c r="AL5233">
        <v>88.386172947346097</v>
      </c>
      <c r="AM5233">
        <v>80.9566761788505</v>
      </c>
      <c r="AN5233">
        <v>0.99999994983392204</v>
      </c>
    </row>
    <row r="5234" spans="1:40" x14ac:dyDescent="0.25">
      <c r="A5234" t="str">
        <f>"20190305135339817"</f>
        <v>20190305135339817</v>
      </c>
      <c r="B5234" t="str">
        <f>"1551765219804933"</f>
        <v>1551765219804933</v>
      </c>
      <c r="C5234" t="s">
        <v>40</v>
      </c>
      <c r="D5234">
        <v>4.4130349999999998</v>
      </c>
      <c r="E5234">
        <v>0.48475590000000002</v>
      </c>
      <c r="F5234" t="s">
        <v>47</v>
      </c>
      <c r="G5234">
        <v>-314.68290000000002</v>
      </c>
      <c r="H5234">
        <v>-0.05</v>
      </c>
      <c r="I5234">
        <v>13.63191</v>
      </c>
      <c r="J5234">
        <v>-341.28489999999999</v>
      </c>
      <c r="K5234">
        <v>1.109666</v>
      </c>
      <c r="L5234">
        <v>16.96555</v>
      </c>
      <c r="M5234">
        <v>0.99988120000000003</v>
      </c>
      <c r="N5234">
        <v>-1.395152E-2</v>
      </c>
      <c r="O5234">
        <v>-6.5636180000000002E-3</v>
      </c>
      <c r="P5234">
        <v>0.98635890000000004</v>
      </c>
      <c r="Q5234">
        <v>1.507026E-2</v>
      </c>
      <c r="R5234">
        <v>-0.16391919999999999</v>
      </c>
      <c r="S5234">
        <v>2.9815670000000001</v>
      </c>
      <c r="T5234">
        <v>-0.12925880000000001</v>
      </c>
      <c r="U5234">
        <v>-0.37170409999999998</v>
      </c>
      <c r="V5234">
        <v>0.15744279999999999</v>
      </c>
      <c r="W5234">
        <v>2.883399E-2</v>
      </c>
      <c r="X5234">
        <v>0.98710710000000002</v>
      </c>
      <c r="Y5234">
        <v>0.1170525</v>
      </c>
      <c r="Z5234">
        <v>-3.1544429999999998E-3</v>
      </c>
      <c r="AA5234">
        <v>0.99312069999999997</v>
      </c>
      <c r="AB5234">
        <v>26</v>
      </c>
      <c r="AC5234">
        <v>26.601999999999901</v>
      </c>
      <c r="AD5234">
        <v>-1.1596660000000001</v>
      </c>
      <c r="AE5234">
        <v>-3.3336399999999902</v>
      </c>
      <c r="AF5234">
        <v>3.1530465271684198</v>
      </c>
      <c r="AG5234">
        <v>-1.1596660000000001</v>
      </c>
      <c r="AH5234">
        <v>26.573590958651302</v>
      </c>
      <c r="AI5234">
        <v>92.481406127660094</v>
      </c>
      <c r="AJ5234">
        <v>83.233298734095897</v>
      </c>
      <c r="AK5234">
        <v>26.785112732108399</v>
      </c>
      <c r="AL5234">
        <v>88.347705110310002</v>
      </c>
      <c r="AM5234">
        <v>80.937702355699898</v>
      </c>
      <c r="AN5234">
        <v>1.0000000305607799</v>
      </c>
    </row>
    <row r="5235" spans="1:40" x14ac:dyDescent="0.25">
      <c r="A5235" t="str">
        <f>"20190305135339830"</f>
        <v>20190305135339830</v>
      </c>
      <c r="B5235" t="str">
        <f>"1551765219825429"</f>
        <v>1551765219825429</v>
      </c>
      <c r="C5235" t="s">
        <v>40</v>
      </c>
      <c r="D5235">
        <v>4.3930239999999996</v>
      </c>
      <c r="E5235">
        <v>0.48517149999999998</v>
      </c>
      <c r="F5235" t="s">
        <v>47</v>
      </c>
      <c r="G5235">
        <v>-314.1551</v>
      </c>
      <c r="H5235">
        <v>-0.05</v>
      </c>
      <c r="I5235">
        <v>13.5735299999999</v>
      </c>
      <c r="J5235">
        <v>-341.15260000000001</v>
      </c>
      <c r="K5235">
        <v>1.109715</v>
      </c>
      <c r="L5235">
        <v>16.96472</v>
      </c>
      <c r="M5235">
        <v>0.99988160000000004</v>
      </c>
      <c r="N5235">
        <v>-1.395031E-2</v>
      </c>
      <c r="O5235">
        <v>-6.5081019999999896E-3</v>
      </c>
      <c r="P5235">
        <v>0.98629929999999999</v>
      </c>
      <c r="Q5235">
        <v>1.5623629999999999E-2</v>
      </c>
      <c r="R5235">
        <v>-0.16422400000000001</v>
      </c>
      <c r="S5235">
        <v>2.9814759999999998</v>
      </c>
      <c r="T5235">
        <v>-0.12744359999999999</v>
      </c>
      <c r="U5235">
        <v>-0.3727722</v>
      </c>
      <c r="V5235">
        <v>0.1577992</v>
      </c>
      <c r="W5235">
        <v>2.940547E-2</v>
      </c>
      <c r="X5235">
        <v>0.9870333</v>
      </c>
      <c r="Y5235">
        <v>0.1174645</v>
      </c>
      <c r="Z5235">
        <v>-3.136163E-3</v>
      </c>
      <c r="AA5235">
        <v>0.99307219999999996</v>
      </c>
      <c r="AB5235">
        <v>26</v>
      </c>
      <c r="AC5235">
        <v>26.997499999999999</v>
      </c>
      <c r="AD5235">
        <v>-1.1597150000000001</v>
      </c>
      <c r="AE5235">
        <v>-3.3911899999999999</v>
      </c>
      <c r="AF5235">
        <v>3.20956813583871</v>
      </c>
      <c r="AG5235">
        <v>-1.1597150000000001</v>
      </c>
      <c r="AH5235">
        <v>26.970007088870599</v>
      </c>
      <c r="AI5235">
        <v>92.444980546006406</v>
      </c>
      <c r="AJ5235">
        <v>83.213428089587197</v>
      </c>
      <c r="AK5235">
        <v>27.185061134261701</v>
      </c>
      <c r="AL5235">
        <v>88.314947779709001</v>
      </c>
      <c r="AM5235">
        <v>80.916862006820395</v>
      </c>
      <c r="AN5235">
        <v>1.00000000224772</v>
      </c>
    </row>
    <row r="5236" spans="1:40" x14ac:dyDescent="0.25">
      <c r="A5236" t="str">
        <f>"20190305135339842"</f>
        <v>20190305135339842</v>
      </c>
      <c r="B5236" t="str">
        <f>"1551765219835188"</f>
        <v>1551765219835188</v>
      </c>
      <c r="C5236" t="s">
        <v>40</v>
      </c>
      <c r="D5236">
        <v>4.4212889999999998</v>
      </c>
      <c r="E5236">
        <v>0.48518050000000001</v>
      </c>
      <c r="F5236" t="s">
        <v>47</v>
      </c>
      <c r="G5236">
        <v>-313.88810000000001</v>
      </c>
      <c r="H5236">
        <v>-0.05</v>
      </c>
      <c r="I5236">
        <v>13.518980000000001</v>
      </c>
      <c r="J5236">
        <v>-340.99239999999998</v>
      </c>
      <c r="K5236">
        <v>1.109782</v>
      </c>
      <c r="L5236">
        <v>16.963750000000001</v>
      </c>
      <c r="M5236">
        <v>0.99988250000000001</v>
      </c>
      <c r="N5236">
        <v>-1.3949029999999999E-2</v>
      </c>
      <c r="O5236">
        <v>-6.3836500000000003E-3</v>
      </c>
      <c r="P5236">
        <v>0.98618640000000002</v>
      </c>
      <c r="Q5236">
        <v>1.6179570000000001E-2</v>
      </c>
      <c r="R5236">
        <v>-0.16484760000000001</v>
      </c>
      <c r="S5236">
        <v>2.9809570000000001</v>
      </c>
      <c r="T5236">
        <v>-0.1267972</v>
      </c>
      <c r="U5236">
        <v>-0.3767395</v>
      </c>
      <c r="V5236">
        <v>0.158541299999999</v>
      </c>
      <c r="W5236">
        <v>2.9985999999999999E-2</v>
      </c>
      <c r="X5236">
        <v>0.98689689999999997</v>
      </c>
      <c r="Y5236">
        <v>0.1189098</v>
      </c>
      <c r="Z5236">
        <v>-3.1693429999999998E-3</v>
      </c>
      <c r="AA5236">
        <v>0.9929</v>
      </c>
      <c r="AB5236">
        <v>26</v>
      </c>
      <c r="AC5236">
        <v>27.104299999999899</v>
      </c>
      <c r="AD5236">
        <v>-1.1597819999999901</v>
      </c>
      <c r="AE5236">
        <v>-3.4447700000000001</v>
      </c>
      <c r="AF5236">
        <v>3.2657742076618801</v>
      </c>
      <c r="AG5236">
        <v>-1.1597819999999901</v>
      </c>
      <c r="AH5236">
        <v>27.076951501542901</v>
      </c>
      <c r="AI5236">
        <v>92.435014597291897</v>
      </c>
      <c r="AJ5236">
        <v>83.122726641215806</v>
      </c>
      <c r="AK5236">
        <v>27.297832845848099</v>
      </c>
      <c r="AL5236">
        <v>88.281671176975607</v>
      </c>
      <c r="AM5236">
        <v>80.873622781314694</v>
      </c>
      <c r="AN5236">
        <v>0.99999999761564995</v>
      </c>
    </row>
    <row r="5237" spans="1:40" x14ac:dyDescent="0.25">
      <c r="A5237" t="str">
        <f>"20190305135339858"</f>
        <v>20190305135339858</v>
      </c>
      <c r="B5237" t="str">
        <f>"1551765219855684"</f>
        <v>1551765219855684</v>
      </c>
      <c r="C5237" t="s">
        <v>40</v>
      </c>
      <c r="D5237">
        <v>4.4223210000000002</v>
      </c>
      <c r="E5237">
        <v>0.48515390000000003</v>
      </c>
      <c r="F5237" t="s">
        <v>47</v>
      </c>
      <c r="G5237">
        <v>-313.41140000000001</v>
      </c>
      <c r="H5237">
        <v>-0.05</v>
      </c>
      <c r="I5237">
        <v>13.460599999999999</v>
      </c>
      <c r="J5237">
        <v>-340.8177</v>
      </c>
      <c r="K5237">
        <v>1.109853</v>
      </c>
      <c r="L5237">
        <v>16.962800000000001</v>
      </c>
      <c r="M5237">
        <v>0.99988379999999999</v>
      </c>
      <c r="N5237">
        <v>-1.394772E-2</v>
      </c>
      <c r="O5237">
        <v>-6.1464450000000004E-3</v>
      </c>
      <c r="P5237">
        <v>0.98598399999999997</v>
      </c>
      <c r="Q5237">
        <v>1.6775470000000001E-2</v>
      </c>
      <c r="R5237">
        <v>-0.165995899999999</v>
      </c>
      <c r="S5237">
        <v>2.980804</v>
      </c>
      <c r="T5237">
        <v>-0.1253428</v>
      </c>
      <c r="U5237">
        <v>-0.37860110000000002</v>
      </c>
      <c r="V5237">
        <v>0.15991830000000001</v>
      </c>
      <c r="W5237">
        <v>3.0610370000000001E-2</v>
      </c>
      <c r="X5237">
        <v>0.98665550000000002</v>
      </c>
      <c r="Y5237">
        <v>0.1197636</v>
      </c>
      <c r="Z5237">
        <v>-3.1740309999999999E-3</v>
      </c>
      <c r="AA5237">
        <v>0.99279740000000005</v>
      </c>
      <c r="AB5237">
        <v>26</v>
      </c>
      <c r="AC5237">
        <v>27.406299999999899</v>
      </c>
      <c r="AD5237">
        <v>-1.159853</v>
      </c>
      <c r="AE5237">
        <v>-3.5022000000000002</v>
      </c>
      <c r="AF5237">
        <v>3.32780166541946</v>
      </c>
      <c r="AG5237">
        <v>-1.159853</v>
      </c>
      <c r="AH5237">
        <v>27.379061307200502</v>
      </c>
      <c r="AI5237">
        <v>92.408056614287105</v>
      </c>
      <c r="AJ5237">
        <v>83.069949075503203</v>
      </c>
      <c r="AK5237">
        <v>27.604936532609901</v>
      </c>
      <c r="AL5237">
        <v>88.2458809248336</v>
      </c>
      <c r="AM5237">
        <v>80.793493868735695</v>
      </c>
      <c r="AN5237">
        <v>0.99999996655333701</v>
      </c>
    </row>
    <row r="5238" spans="1:40" x14ac:dyDescent="0.25">
      <c r="A5238" t="str">
        <f>"20190305135339871"</f>
        <v>20190305135339871</v>
      </c>
      <c r="B5238" t="str">
        <f>"1551765219865444"</f>
        <v>1551765219865444</v>
      </c>
      <c r="C5238" t="s">
        <v>40</v>
      </c>
      <c r="D5238">
        <v>4.4163649999999999</v>
      </c>
      <c r="E5238">
        <v>0.48516290000000001</v>
      </c>
      <c r="F5238" t="s">
        <v>47</v>
      </c>
      <c r="G5238">
        <v>-313.05799999999999</v>
      </c>
      <c r="H5238">
        <v>-0.05</v>
      </c>
      <c r="I5238">
        <v>13.40967</v>
      </c>
      <c r="J5238">
        <v>-340.67860000000002</v>
      </c>
      <c r="K5238">
        <v>1.109917</v>
      </c>
      <c r="L5238">
        <v>16.962129999999998</v>
      </c>
      <c r="M5238">
        <v>0.99988529999999998</v>
      </c>
      <c r="N5238">
        <v>-1.3946739999999999E-2</v>
      </c>
      <c r="O5238">
        <v>-5.9028099999999997E-3</v>
      </c>
      <c r="P5238">
        <v>0.98588640000000005</v>
      </c>
      <c r="Q5238">
        <v>1.6400149999999999E-2</v>
      </c>
      <c r="R5238">
        <v>-0.16661049999999999</v>
      </c>
      <c r="S5238">
        <v>2.9805600000000001</v>
      </c>
      <c r="T5238">
        <v>-0.1245337</v>
      </c>
      <c r="U5238">
        <v>-0.38150020000000001</v>
      </c>
      <c r="V5238">
        <v>0.1607691</v>
      </c>
      <c r="W5238">
        <v>3.0260539999999999E-2</v>
      </c>
      <c r="X5238">
        <v>0.98652799999999996</v>
      </c>
      <c r="Y5238">
        <v>0.1209658</v>
      </c>
      <c r="Z5238">
        <v>-3.199716E-3</v>
      </c>
      <c r="AA5238">
        <v>0.99265150000000002</v>
      </c>
      <c r="AB5238">
        <v>26</v>
      </c>
      <c r="AC5238">
        <v>27.6206</v>
      </c>
      <c r="AD5238">
        <v>-1.1599170000000001</v>
      </c>
      <c r="AE5238">
        <v>-3.5524599999999902</v>
      </c>
      <c r="AF5238">
        <v>3.38347326018269</v>
      </c>
      <c r="AG5238">
        <v>-1.1599170000000001</v>
      </c>
      <c r="AH5238">
        <v>27.593220114700099</v>
      </c>
      <c r="AI5238">
        <v>92.389212047774194</v>
      </c>
      <c r="AJ5238">
        <v>83.009303912692005</v>
      </c>
      <c r="AK5238">
        <v>27.8240740195887</v>
      </c>
      <c r="AL5238">
        <v>88.265933968111597</v>
      </c>
      <c r="AM5238">
        <v>80.744183201078002</v>
      </c>
      <c r="AN5238">
        <v>0.99999994928994895</v>
      </c>
    </row>
    <row r="5239" spans="1:40" x14ac:dyDescent="0.25">
      <c r="A5239" t="str">
        <f>"20190305135339883"</f>
        <v>20190305135339883</v>
      </c>
      <c r="B5239" t="str">
        <f>"1551765219875205"</f>
        <v>1551765219875205</v>
      </c>
      <c r="C5239" t="s">
        <v>40</v>
      </c>
      <c r="D5239">
        <v>4.4418430000000004</v>
      </c>
      <c r="E5239">
        <v>0.48525439999999997</v>
      </c>
      <c r="F5239" t="s">
        <v>47</v>
      </c>
      <c r="G5239">
        <v>-313.3313</v>
      </c>
      <c r="H5239">
        <v>-0.05</v>
      </c>
      <c r="I5239">
        <v>13.444089999999999</v>
      </c>
      <c r="J5239">
        <v>-340.52670000000001</v>
      </c>
      <c r="K5239">
        <v>1.109996</v>
      </c>
      <c r="L5239">
        <v>16.96152</v>
      </c>
      <c r="M5239">
        <v>0.99988719999999998</v>
      </c>
      <c r="N5239">
        <v>-1.394572E-2</v>
      </c>
      <c r="O5239">
        <v>-5.5716419999999999E-3</v>
      </c>
      <c r="P5239">
        <v>0.9858131</v>
      </c>
      <c r="Q5239">
        <v>1.5629850000000001E-2</v>
      </c>
      <c r="R5239">
        <v>-0.16711670000000001</v>
      </c>
      <c r="S5239">
        <v>2.980286</v>
      </c>
      <c r="T5239">
        <v>-0.12640660000000001</v>
      </c>
      <c r="U5239">
        <v>-0.38339230000000002</v>
      </c>
      <c r="V5239">
        <v>0.16159709999999999</v>
      </c>
      <c r="W5239">
        <v>2.952082E-2</v>
      </c>
      <c r="X5239">
        <v>0.98641509999999999</v>
      </c>
      <c r="Y5239">
        <v>0.12192119999999999</v>
      </c>
      <c r="Z5239">
        <v>-3.2701649999999998E-3</v>
      </c>
      <c r="AA5239">
        <v>0.99253440000000004</v>
      </c>
      <c r="AB5239">
        <v>26</v>
      </c>
      <c r="AC5239">
        <v>27.195399999999999</v>
      </c>
      <c r="AD5239">
        <v>-1.15999599999999</v>
      </c>
      <c r="AE5239">
        <v>-3.5174300000000001</v>
      </c>
      <c r="AF5239">
        <v>3.35982541435878</v>
      </c>
      <c r="AG5239">
        <v>-1.15999599999999</v>
      </c>
      <c r="AH5239">
        <v>27.165965712142999</v>
      </c>
      <c r="AI5239">
        <v>92.426597942189304</v>
      </c>
      <c r="AJ5239">
        <v>82.949589777117296</v>
      </c>
      <c r="AK5239">
        <v>27.397512854423798</v>
      </c>
      <c r="AL5239">
        <v>88.308335711267702</v>
      </c>
      <c r="AM5239">
        <v>80.696298652778694</v>
      </c>
      <c r="AN5239">
        <v>0.99999992552494299</v>
      </c>
    </row>
    <row r="5240" spans="1:40" x14ac:dyDescent="0.25">
      <c r="A5240" t="str">
        <f>"20190305135339894"</f>
        <v>20190305135339894</v>
      </c>
      <c r="B5240" t="str">
        <f>"1551765219884965"</f>
        <v>1551765219884965</v>
      </c>
      <c r="C5240" t="s">
        <v>40</v>
      </c>
      <c r="D5240">
        <v>4.4083569999999996</v>
      </c>
      <c r="E5240">
        <v>0.48529230000000001</v>
      </c>
      <c r="F5240" t="s">
        <v>47</v>
      </c>
      <c r="G5240">
        <v>-313.84249999999997</v>
      </c>
      <c r="H5240">
        <v>-0.05</v>
      </c>
      <c r="I5240">
        <v>13.509510000000001</v>
      </c>
      <c r="J5240">
        <v>-340.40039999999999</v>
      </c>
      <c r="K5240">
        <v>1.1100620000000001</v>
      </c>
      <c r="L5240">
        <v>16.961089999999999</v>
      </c>
      <c r="M5240">
        <v>0.99988920000000003</v>
      </c>
      <c r="N5240">
        <v>-1.394507E-2</v>
      </c>
      <c r="O5240">
        <v>-5.228669E-3</v>
      </c>
      <c r="P5240">
        <v>0.98577689999999996</v>
      </c>
      <c r="Q5240">
        <v>1.499926E-2</v>
      </c>
      <c r="R5240">
        <v>-0.16738919999999999</v>
      </c>
      <c r="S5240">
        <v>2.9799190000000002</v>
      </c>
      <c r="T5240">
        <v>-0.12954060000000001</v>
      </c>
      <c r="U5240">
        <v>-0.38549800000000001</v>
      </c>
      <c r="V5240">
        <v>0.16220379999999901</v>
      </c>
      <c r="W5240">
        <v>2.8915969999999999E-2</v>
      </c>
      <c r="X5240">
        <v>0.98633349999999997</v>
      </c>
      <c r="Y5240">
        <v>0.12295929999999999</v>
      </c>
      <c r="Z5240">
        <v>-3.3680979999999999E-3</v>
      </c>
      <c r="AA5240">
        <v>0.99240600000000001</v>
      </c>
      <c r="AB5240">
        <v>26</v>
      </c>
      <c r="AC5240">
        <v>26.5579</v>
      </c>
      <c r="AD5240">
        <v>-1.1600619999999999</v>
      </c>
      <c r="AE5240">
        <v>-3.4515799999999901</v>
      </c>
      <c r="AF5240">
        <v>3.3064529773740698</v>
      </c>
      <c r="AG5240">
        <v>-1.1600619999999999</v>
      </c>
      <c r="AH5240">
        <v>26.525815615169499</v>
      </c>
      <c r="AI5240">
        <v>92.484932743704903</v>
      </c>
      <c r="AJ5240">
        <v>82.894708108849798</v>
      </c>
      <c r="AK5240">
        <v>26.756256636259899</v>
      </c>
      <c r="AL5240">
        <v>88.343005975255394</v>
      </c>
      <c r="AM5240">
        <v>80.661224060058103</v>
      </c>
      <c r="AN5240">
        <v>0.99999998963886505</v>
      </c>
    </row>
    <row r="5241" spans="1:40" x14ac:dyDescent="0.25">
      <c r="A5241" t="str">
        <f>"20190305135339906"</f>
        <v>20190305135339906</v>
      </c>
      <c r="B5241" t="str">
        <f>"1551765219895701"</f>
        <v>1551765219895701</v>
      </c>
      <c r="C5241" t="s">
        <v>40</v>
      </c>
      <c r="D5241">
        <v>4.411435</v>
      </c>
      <c r="E5241">
        <v>0.48532999999999998</v>
      </c>
      <c r="F5241" t="s">
        <v>47</v>
      </c>
      <c r="G5241">
        <v>-314.26280000000003</v>
      </c>
      <c r="H5241">
        <v>-0.05</v>
      </c>
      <c r="I5241">
        <v>13.569599999999999</v>
      </c>
      <c r="J5241">
        <v>-340.25880000000001</v>
      </c>
      <c r="K5241">
        <v>1.1101369999999999</v>
      </c>
      <c r="L5241">
        <v>16.960719999999998</v>
      </c>
      <c r="M5241">
        <v>0.99989130000000004</v>
      </c>
      <c r="N5241">
        <v>-1.3944349999999999E-2</v>
      </c>
      <c r="O5241">
        <v>-4.8197860000000004E-3</v>
      </c>
      <c r="P5241">
        <v>0.98574479999999998</v>
      </c>
      <c r="Q5241">
        <v>1.4546460000000001E-2</v>
      </c>
      <c r="R5241">
        <v>-0.16761819999999999</v>
      </c>
      <c r="S5241">
        <v>2.9796749999999999</v>
      </c>
      <c r="T5241">
        <v>-0.13224629999999901</v>
      </c>
      <c r="U5241">
        <v>-0.3866272</v>
      </c>
      <c r="V5241">
        <v>0.16283159999999999</v>
      </c>
      <c r="W5241">
        <v>2.8492239999999999E-2</v>
      </c>
      <c r="X5241">
        <v>0.98624239999999996</v>
      </c>
      <c r="Y5241">
        <v>0.12373869999999999</v>
      </c>
      <c r="Z5241">
        <v>-3.4540769999999998E-3</v>
      </c>
      <c r="AA5241">
        <v>0.99230890000000005</v>
      </c>
      <c r="AB5241">
        <v>26</v>
      </c>
      <c r="AC5241">
        <v>25.995999999999899</v>
      </c>
      <c r="AD5241">
        <v>-1.160137</v>
      </c>
      <c r="AE5241">
        <v>-3.3911199999999999</v>
      </c>
      <c r="AF5241">
        <v>3.2593904433165002</v>
      </c>
      <c r="AG5241">
        <v>-1.160137</v>
      </c>
      <c r="AH5241">
        <v>25.9612044323821</v>
      </c>
      <c r="AI5241">
        <v>92.538789187091496</v>
      </c>
      <c r="AJ5241">
        <v>82.844042129637103</v>
      </c>
      <c r="AK5241">
        <v>26.1907174300493</v>
      </c>
      <c r="AL5241">
        <v>88.367293948616194</v>
      </c>
      <c r="AM5241">
        <v>80.624868752965995</v>
      </c>
      <c r="AN5241">
        <v>1.00000000462826</v>
      </c>
    </row>
    <row r="5242" spans="1:40" x14ac:dyDescent="0.25">
      <c r="A5242" t="str">
        <f>"20190305135339918"</f>
        <v>20190305135339918</v>
      </c>
      <c r="B5242" t="str">
        <f>"1551765219915221"</f>
        <v>1551765219915221</v>
      </c>
      <c r="C5242" t="s">
        <v>40</v>
      </c>
      <c r="D5242">
        <v>4.4149830000000003</v>
      </c>
      <c r="E5242">
        <v>0.4854367</v>
      </c>
      <c r="F5242" t="s">
        <v>47</v>
      </c>
      <c r="G5242">
        <v>-314.54230000000001</v>
      </c>
      <c r="H5242">
        <v>-0.05</v>
      </c>
      <c r="I5242">
        <v>13.614699999999999</v>
      </c>
      <c r="J5242">
        <v>-340.125</v>
      </c>
      <c r="K5242">
        <v>1.1102069999999999</v>
      </c>
      <c r="L5242">
        <v>16.960509999999999</v>
      </c>
      <c r="M5242">
        <v>0.99989340000000004</v>
      </c>
      <c r="N5242">
        <v>-1.394375E-2</v>
      </c>
      <c r="O5242">
        <v>-4.3682649999999996E-3</v>
      </c>
      <c r="P5242">
        <v>0.98572150000000003</v>
      </c>
      <c r="Q5242">
        <v>1.445518E-2</v>
      </c>
      <c r="R5242">
        <v>-0.1677632</v>
      </c>
      <c r="S5242">
        <v>2.9794619999999998</v>
      </c>
      <c r="T5242">
        <v>-0.13441120000000001</v>
      </c>
      <c r="U5242">
        <v>-0.38766479999999998</v>
      </c>
      <c r="V5242">
        <v>0.16341749999999999</v>
      </c>
      <c r="W5242">
        <v>2.8426460000000001E-2</v>
      </c>
      <c r="X5242">
        <v>0.98614740000000001</v>
      </c>
      <c r="Y5242">
        <v>0.1245299</v>
      </c>
      <c r="Z5242">
        <v>-3.53272E-3</v>
      </c>
      <c r="AA5242">
        <v>0.99220960000000002</v>
      </c>
      <c r="AB5242">
        <v>26</v>
      </c>
      <c r="AC5242">
        <v>25.5826999999999</v>
      </c>
      <c r="AD5242">
        <v>-1.160207</v>
      </c>
      <c r="AE5242">
        <v>-3.34580999999999</v>
      </c>
      <c r="AF5242">
        <v>3.22748875573589</v>
      </c>
      <c r="AG5242">
        <v>-1.160207</v>
      </c>
      <c r="AH5242">
        <v>25.545416096937601</v>
      </c>
      <c r="AI5242">
        <v>92.579957849753299</v>
      </c>
      <c r="AJ5242">
        <v>82.799222421397999</v>
      </c>
      <c r="AK5242">
        <v>25.7746202206148</v>
      </c>
      <c r="AL5242">
        <v>88.3710644151694</v>
      </c>
      <c r="AM5242">
        <v>80.590847127780805</v>
      </c>
      <c r="AN5242">
        <v>1.00000001873057</v>
      </c>
    </row>
    <row r="5243" spans="1:40" x14ac:dyDescent="0.25">
      <c r="A5243" t="str">
        <f>"20190305135339930"</f>
        <v>20190305135339930</v>
      </c>
      <c r="B5243" t="str">
        <f>"1551765219924981"</f>
        <v>1551765219924981</v>
      </c>
      <c r="C5243" t="s">
        <v>40</v>
      </c>
      <c r="D5243">
        <v>4.438841</v>
      </c>
      <c r="E5243">
        <v>0.48541849999999998</v>
      </c>
      <c r="F5243" t="s">
        <v>47</v>
      </c>
      <c r="G5243">
        <v>-314.53570000000002</v>
      </c>
      <c r="H5243">
        <v>-0.05</v>
      </c>
      <c r="I5243">
        <v>13.619199999999999</v>
      </c>
      <c r="J5243">
        <v>-339.9812</v>
      </c>
      <c r="K5243">
        <v>1.1102799999999999</v>
      </c>
      <c r="L5243">
        <v>16.96039</v>
      </c>
      <c r="M5243">
        <v>0.99989539999999999</v>
      </c>
      <c r="N5243">
        <v>-1.394302E-2</v>
      </c>
      <c r="O5243">
        <v>-3.856104E-3</v>
      </c>
      <c r="P5243">
        <v>0.98570919999999895</v>
      </c>
      <c r="Q5243">
        <v>1.4581810000000001E-2</v>
      </c>
      <c r="R5243">
        <v>-0.1678238</v>
      </c>
      <c r="S5243">
        <v>2.979187</v>
      </c>
      <c r="T5243">
        <v>-0.1350751</v>
      </c>
      <c r="U5243">
        <v>-0.38900760000000001</v>
      </c>
      <c r="V5243">
        <v>0.1639786</v>
      </c>
      <c r="W5243">
        <v>2.8578989999999999E-2</v>
      </c>
      <c r="X5243">
        <v>0.98604979999999998</v>
      </c>
      <c r="Y5243">
        <v>0.1254865</v>
      </c>
      <c r="Z5243">
        <v>-3.5899759999999999E-3</v>
      </c>
      <c r="AA5243">
        <v>0.99208890000000005</v>
      </c>
      <c r="AB5243">
        <v>26</v>
      </c>
      <c r="AC5243">
        <v>25.4454999999999</v>
      </c>
      <c r="AD5243">
        <v>-1.16028</v>
      </c>
      <c r="AE5243">
        <v>-3.3411900000000001</v>
      </c>
      <c r="AF5243">
        <v>3.2364199043166</v>
      </c>
      <c r="AG5243">
        <v>-1.16028</v>
      </c>
      <c r="AH5243">
        <v>25.4062657714124</v>
      </c>
      <c r="AI5243">
        <v>92.593894530591797</v>
      </c>
      <c r="AJ5243">
        <v>82.740380416638402</v>
      </c>
      <c r="AK5243">
        <v>25.637843199518599</v>
      </c>
      <c r="AL5243">
        <v>88.362321464705801</v>
      </c>
      <c r="AM5243">
        <v>80.558203444569799</v>
      </c>
      <c r="AN5243">
        <v>0.99999997400370899</v>
      </c>
    </row>
    <row r="5244" spans="1:40" x14ac:dyDescent="0.25">
      <c r="A5244" t="str">
        <f>"20190305135339944"</f>
        <v>20190305135339944</v>
      </c>
      <c r="B5244" t="str">
        <f>"1551765219935717"</f>
        <v>1551765219935717</v>
      </c>
      <c r="C5244" t="s">
        <v>40</v>
      </c>
      <c r="D5244">
        <v>4.4100080000000004</v>
      </c>
      <c r="E5244">
        <v>0.48542099999999999</v>
      </c>
      <c r="F5244" t="s">
        <v>47</v>
      </c>
      <c r="G5244">
        <v>-314.42590000000001</v>
      </c>
      <c r="H5244">
        <v>-0.05</v>
      </c>
      <c r="I5244">
        <v>13.62274</v>
      </c>
      <c r="J5244">
        <v>-339.81540000000001</v>
      </c>
      <c r="K5244">
        <v>1.110352</v>
      </c>
      <c r="L5244">
        <v>16.960360000000001</v>
      </c>
      <c r="M5244">
        <v>0.9998977</v>
      </c>
      <c r="N5244">
        <v>-1.3942080000000001E-2</v>
      </c>
      <c r="O5244">
        <v>-3.2226009999999999E-3</v>
      </c>
      <c r="P5244">
        <v>0.98573440000000001</v>
      </c>
      <c r="Q5244">
        <v>1.4961830000000001E-2</v>
      </c>
      <c r="R5244">
        <v>-0.1676416</v>
      </c>
      <c r="S5244">
        <v>2.9792179999999999</v>
      </c>
      <c r="T5244">
        <v>-0.1352642</v>
      </c>
      <c r="U5244">
        <v>-0.38909909999999998</v>
      </c>
      <c r="V5244">
        <v>0.16441600000000001</v>
      </c>
      <c r="W5244">
        <v>2.898413E-2</v>
      </c>
      <c r="X5244">
        <v>0.98596519999999999</v>
      </c>
      <c r="Y5244">
        <v>0.12614210000000001</v>
      </c>
      <c r="Z5244">
        <v>-3.6328340000000001E-3</v>
      </c>
      <c r="AA5244">
        <v>0.99200549999999998</v>
      </c>
      <c r="AB5244">
        <v>26</v>
      </c>
      <c r="AC5244">
        <v>25.389500000000002</v>
      </c>
      <c r="AD5244">
        <v>-1.1603520000000001</v>
      </c>
      <c r="AE5244">
        <v>-3.3376199999999998</v>
      </c>
      <c r="AF5244">
        <v>3.2491034464617301</v>
      </c>
      <c r="AG5244">
        <v>-1.1603520000000001</v>
      </c>
      <c r="AH5244">
        <v>25.3480804304034</v>
      </c>
      <c r="AI5244">
        <v>92.599742852157206</v>
      </c>
      <c r="AJ5244">
        <v>82.695686958092594</v>
      </c>
      <c r="AK5244">
        <v>25.581795704678601</v>
      </c>
      <c r="AL5244">
        <v>88.339099138061599</v>
      </c>
      <c r="AM5244">
        <v>80.532675890116707</v>
      </c>
      <c r="AN5244">
        <v>1.0000000382294401</v>
      </c>
    </row>
    <row r="5245" spans="1:40" x14ac:dyDescent="0.25">
      <c r="A5245" t="str">
        <f>"20190305135339960"</f>
        <v>20190305135339960</v>
      </c>
      <c r="B5245" t="str">
        <f>"1551765219955237"</f>
        <v>1551765219955237</v>
      </c>
      <c r="C5245" t="s">
        <v>40</v>
      </c>
      <c r="D5245">
        <v>4.4662369999999996</v>
      </c>
      <c r="E5245">
        <v>0.4852417</v>
      </c>
      <c r="F5245" t="s">
        <v>47</v>
      </c>
      <c r="G5245">
        <v>-314.12549999999999</v>
      </c>
      <c r="H5245">
        <v>-0.05</v>
      </c>
      <c r="I5245">
        <v>13.60927</v>
      </c>
      <c r="J5245">
        <v>-339.6474</v>
      </c>
      <c r="K5245">
        <v>1.1104080000000001</v>
      </c>
      <c r="L5245">
        <v>16.960570000000001</v>
      </c>
      <c r="M5245">
        <v>0.9998996</v>
      </c>
      <c r="N5245">
        <v>-1.394083E-2</v>
      </c>
      <c r="O5245">
        <v>-2.5250519999999999E-3</v>
      </c>
      <c r="P5245">
        <v>0.98583540000000003</v>
      </c>
      <c r="Q5245">
        <v>1.615784E-2</v>
      </c>
      <c r="R5245">
        <v>-0.16693559999999999</v>
      </c>
      <c r="S5245">
        <v>2.9793699999999999</v>
      </c>
      <c r="T5245">
        <v>-0.134571</v>
      </c>
      <c r="U5245">
        <v>-0.38864140000000003</v>
      </c>
      <c r="V5245">
        <v>0.16439239999999999</v>
      </c>
      <c r="W5245">
        <v>3.0196199999999999E-2</v>
      </c>
      <c r="X5245">
        <v>0.9859327</v>
      </c>
      <c r="Y5245">
        <v>0.12667819999999999</v>
      </c>
      <c r="Z5245">
        <v>-3.6562600000000002E-3</v>
      </c>
      <c r="AA5245">
        <v>0.99193710000000002</v>
      </c>
      <c r="AB5245">
        <v>26</v>
      </c>
      <c r="AC5245">
        <v>25.521899999999999</v>
      </c>
      <c r="AD5245">
        <v>-1.1604079999999899</v>
      </c>
      <c r="AE5245">
        <v>-3.3513000000000002</v>
      </c>
      <c r="AF5245">
        <v>3.2801728881734999</v>
      </c>
      <c r="AG5245">
        <v>-1.1604079999999899</v>
      </c>
      <c r="AH5245">
        <v>25.478503702610301</v>
      </c>
      <c r="AI5245">
        <v>92.586393791277104</v>
      </c>
      <c r="AJ5245">
        <v>82.663936614605305</v>
      </c>
      <c r="AK5245">
        <v>25.714980688826099</v>
      </c>
      <c r="AL5245">
        <v>88.269622117821996</v>
      </c>
      <c r="AM5245">
        <v>80.533703832190596</v>
      </c>
      <c r="AN5245">
        <v>0.999999980300744</v>
      </c>
    </row>
    <row r="5246" spans="1:40" x14ac:dyDescent="0.25">
      <c r="A5246" t="str">
        <f>"20190305135339974"</f>
        <v>20190305135339974</v>
      </c>
      <c r="B5246" t="str">
        <f>"1551765219964996"</f>
        <v>1551765219964996</v>
      </c>
      <c r="C5246" t="s">
        <v>40</v>
      </c>
      <c r="D5246">
        <v>4.4068459999999998</v>
      </c>
      <c r="E5246">
        <v>0.4852417</v>
      </c>
      <c r="F5246" t="s">
        <v>47</v>
      </c>
      <c r="G5246">
        <v>-313.34660000000002</v>
      </c>
      <c r="H5246">
        <v>-0.05</v>
      </c>
      <c r="I5246">
        <v>13.55936</v>
      </c>
      <c r="J5246">
        <v>-339.48059999999998</v>
      </c>
      <c r="K5246">
        <v>1.1104510000000001</v>
      </c>
      <c r="L5246">
        <v>16.96088</v>
      </c>
      <c r="M5246">
        <v>0.99990129999999999</v>
      </c>
      <c r="N5246">
        <v>-1.3939389999999999E-2</v>
      </c>
      <c r="O5246">
        <v>-1.808275E-3</v>
      </c>
      <c r="P5246">
        <v>0.98597349999999995</v>
      </c>
      <c r="Q5246">
        <v>1.6970099999999998E-2</v>
      </c>
      <c r="R5246">
        <v>-0.1660382</v>
      </c>
      <c r="S5246">
        <v>2.9800110000000002</v>
      </c>
      <c r="T5246">
        <v>-0.13148000000000001</v>
      </c>
      <c r="U5246">
        <v>-0.385376</v>
      </c>
      <c r="V5246">
        <v>0.16419779999999901</v>
      </c>
      <c r="W5246">
        <v>3.101978E-2</v>
      </c>
      <c r="X5246">
        <v>0.98593960000000003</v>
      </c>
      <c r="Y5246">
        <v>0.12629979999999999</v>
      </c>
      <c r="Z5246">
        <v>-3.6035350000000002E-3</v>
      </c>
      <c r="AA5246">
        <v>0.99198560000000002</v>
      </c>
      <c r="AB5246">
        <v>26</v>
      </c>
      <c r="AC5246">
        <v>26.133999999999901</v>
      </c>
      <c r="AD5246">
        <v>-1.1604509999999999</v>
      </c>
      <c r="AE5246">
        <v>-3.4015200000000001</v>
      </c>
      <c r="AF5246">
        <v>3.3477615546731001</v>
      </c>
      <c r="AG5246">
        <v>-1.1604509999999999</v>
      </c>
      <c r="AH5246">
        <v>26.0895248425213</v>
      </c>
      <c r="AI5246">
        <v>92.526128296249993</v>
      </c>
      <c r="AJ5246">
        <v>82.687865297358996</v>
      </c>
      <c r="AK5246">
        <v>26.329023158083299</v>
      </c>
      <c r="AL5246">
        <v>88.222412407873904</v>
      </c>
      <c r="AM5246">
        <v>80.544772106171905</v>
      </c>
      <c r="AN5246">
        <v>1.0000000195621199</v>
      </c>
    </row>
    <row r="5247" spans="1:40" x14ac:dyDescent="0.25">
      <c r="A5247" t="str">
        <f>"20190305135339987"</f>
        <v>20190305135339987</v>
      </c>
      <c r="B5247" t="str">
        <f>"1551765219975733"</f>
        <v>1551765219975733</v>
      </c>
      <c r="C5247" t="s">
        <v>40</v>
      </c>
      <c r="D5247">
        <v>4.4225159999999999</v>
      </c>
      <c r="E5247">
        <v>0.46764109999999998</v>
      </c>
      <c r="F5247" t="s">
        <v>47</v>
      </c>
      <c r="G5247">
        <v>-312.69929999999999</v>
      </c>
      <c r="H5247">
        <v>-0.05</v>
      </c>
      <c r="I5247">
        <v>13.521039999999999</v>
      </c>
      <c r="J5247">
        <v>-339.32749999999999</v>
      </c>
      <c r="K5247">
        <v>1.110484</v>
      </c>
      <c r="L5247">
        <v>16.961300000000001</v>
      </c>
      <c r="M5247">
        <v>0.99990219999999996</v>
      </c>
      <c r="N5247">
        <v>-1.3937939999999999E-2</v>
      </c>
      <c r="O5247">
        <v>-1.13412E-3</v>
      </c>
      <c r="P5247">
        <v>0.9861065</v>
      </c>
      <c r="Q5247">
        <v>1.8233829999999999E-2</v>
      </c>
      <c r="R5247">
        <v>-0.1651106</v>
      </c>
      <c r="S5247">
        <v>2.9804379999999999</v>
      </c>
      <c r="T5247">
        <v>-0.12914439999999999</v>
      </c>
      <c r="U5247">
        <v>-0.3828125</v>
      </c>
      <c r="V5247">
        <v>0.163931299999999</v>
      </c>
      <c r="W5247">
        <v>3.2289909999999998E-2</v>
      </c>
      <c r="X5247">
        <v>0.98594309999999996</v>
      </c>
      <c r="Y5247">
        <v>0.12611620000000001</v>
      </c>
      <c r="Z5247">
        <v>-3.5698090000000002E-3</v>
      </c>
      <c r="AA5247">
        <v>0.99200900000000003</v>
      </c>
      <c r="AB5247">
        <v>26</v>
      </c>
      <c r="AC5247">
        <v>26.6282</v>
      </c>
      <c r="AD5247">
        <v>-1.1604840000000001</v>
      </c>
      <c r="AE5247">
        <v>-3.4402599999999999</v>
      </c>
      <c r="AF5247">
        <v>3.4036967546933399</v>
      </c>
      <c r="AG5247">
        <v>-1.1604840000000001</v>
      </c>
      <c r="AH5247">
        <v>26.582425680479201</v>
      </c>
      <c r="AI5247">
        <v>92.479503255704202</v>
      </c>
      <c r="AJ5247">
        <v>82.703372865533794</v>
      </c>
      <c r="AK5247">
        <v>26.824563925073701</v>
      </c>
      <c r="AL5247">
        <v>88.149602704796493</v>
      </c>
      <c r="AM5247">
        <v>80.559874806074902</v>
      </c>
      <c r="AN5247">
        <v>0.99999995292255295</v>
      </c>
    </row>
    <row r="5248" spans="1:40" x14ac:dyDescent="0.25">
      <c r="A5248" t="str">
        <f>"20190305135340005"</f>
        <v>20190305135340005</v>
      </c>
      <c r="B5248" t="str">
        <f>"1551765219995252"</f>
        <v>1551765219995252</v>
      </c>
      <c r="C5248" t="s">
        <v>40</v>
      </c>
      <c r="D5248">
        <v>4.4101129999999999</v>
      </c>
      <c r="E5248">
        <v>0.46414169999999999</v>
      </c>
      <c r="F5248" t="s">
        <v>47</v>
      </c>
      <c r="G5248">
        <v>-300.00279999999998</v>
      </c>
      <c r="H5248">
        <v>-0.05</v>
      </c>
      <c r="I5248">
        <v>13.79871</v>
      </c>
      <c r="J5248">
        <v>-339.1241</v>
      </c>
      <c r="K5248">
        <v>1.1105130000000001</v>
      </c>
      <c r="L5248">
        <v>16.962039999999998</v>
      </c>
      <c r="M5248">
        <v>0.99990299999999999</v>
      </c>
      <c r="N5248">
        <v>-1.3935889999999999E-2</v>
      </c>
      <c r="O5248">
        <v>-2.2169280000000001E-4</v>
      </c>
      <c r="P5248">
        <v>0.98634699999999997</v>
      </c>
      <c r="Q5248">
        <v>2.0946719999999999E-2</v>
      </c>
      <c r="R5248">
        <v>-0.16334379999999901</v>
      </c>
      <c r="S5248">
        <v>3.0034480000000001</v>
      </c>
      <c r="T5248">
        <v>-8.8632820000000001E-2</v>
      </c>
      <c r="U5248">
        <v>-0.2415466</v>
      </c>
      <c r="V5248">
        <v>0.16305819999999999</v>
      </c>
      <c r="W5248">
        <v>3.5003970000000002E-2</v>
      </c>
      <c r="X5248">
        <v>0.98599530000000002</v>
      </c>
      <c r="Y5248">
        <v>7.9892320000000003E-2</v>
      </c>
      <c r="Z5248">
        <v>-1.7310120000000001E-3</v>
      </c>
      <c r="AA5248">
        <v>0.99680199999999997</v>
      </c>
      <c r="AB5248">
        <v>26</v>
      </c>
      <c r="AC5248">
        <v>39.121299999999998</v>
      </c>
      <c r="AD5248">
        <v>-1.1605129999999999</v>
      </c>
      <c r="AE5248">
        <v>-3.16332999999999</v>
      </c>
      <c r="AF5248">
        <v>3.1519005736977301</v>
      </c>
      <c r="AG5248">
        <v>-1.1605129999999999</v>
      </c>
      <c r="AH5248">
        <v>39.087827268202197</v>
      </c>
      <c r="AI5248">
        <v>91.695106565663195</v>
      </c>
      <c r="AJ5248">
        <v>85.389851026503095</v>
      </c>
      <c r="AK5248">
        <v>39.231868528002302</v>
      </c>
      <c r="AL5248">
        <v>87.994010447457498</v>
      </c>
      <c r="AM5248">
        <v>80.609743405849201</v>
      </c>
      <c r="AN5248">
        <v>0.99999999306254495</v>
      </c>
    </row>
    <row r="5249" spans="1:40" x14ac:dyDescent="0.25">
      <c r="A5249" t="str">
        <f>"20190305135340015"</f>
        <v>20190305135340015</v>
      </c>
      <c r="B5249" t="str">
        <f>"1551765220005013"</f>
        <v>1551765220005013</v>
      </c>
      <c r="C5249" t="s">
        <v>40</v>
      </c>
      <c r="D5249">
        <v>4.4106779999999999</v>
      </c>
      <c r="E5249">
        <v>0.46419009999999999</v>
      </c>
      <c r="F5249" t="s">
        <v>75</v>
      </c>
      <c r="G5249">
        <v>-279.68</v>
      </c>
      <c r="H5249">
        <v>0.2897305</v>
      </c>
      <c r="I5249">
        <v>12.842169999999999</v>
      </c>
      <c r="J5249">
        <v>-339.00029999999998</v>
      </c>
      <c r="K5249">
        <v>1.110517</v>
      </c>
      <c r="L5249">
        <v>16.962620000000001</v>
      </c>
      <c r="M5249">
        <v>0.99990290000000004</v>
      </c>
      <c r="N5249">
        <v>-1.393463E-2</v>
      </c>
      <c r="O5249">
        <v>3.3427309999999998E-4</v>
      </c>
      <c r="P5249">
        <v>0.98646129999999999</v>
      </c>
      <c r="Q5249">
        <v>2.2545329999999999E-2</v>
      </c>
      <c r="R5249">
        <v>-0.16243750000000001</v>
      </c>
      <c r="S5249">
        <v>3.0078740000000002</v>
      </c>
      <c r="T5249">
        <v>-4.1532159999999999E-2</v>
      </c>
      <c r="U5249">
        <v>-0.2084656</v>
      </c>
      <c r="V5249">
        <v>0.16269719999999999</v>
      </c>
      <c r="W5249">
        <v>3.6600819999999999E-2</v>
      </c>
      <c r="X5249">
        <v>0.98599700000000001</v>
      </c>
      <c r="Y5249">
        <v>6.9461019999999998E-2</v>
      </c>
      <c r="Z5249">
        <v>-9.635186E-4</v>
      </c>
      <c r="AA5249">
        <v>0.99758420000000003</v>
      </c>
      <c r="AB5249">
        <v>26</v>
      </c>
      <c r="AC5249">
        <v>59.320299999999897</v>
      </c>
      <c r="AD5249">
        <v>-0.82078649999999997</v>
      </c>
      <c r="AE5249">
        <v>-4.1204499999999999</v>
      </c>
      <c r="AF5249">
        <v>4.1394921773643798</v>
      </c>
      <c r="AG5249">
        <v>-0.82078649999999997</v>
      </c>
      <c r="AH5249">
        <v>59.307619315108298</v>
      </c>
      <c r="AI5249">
        <v>90.790969005481998</v>
      </c>
      <c r="AJ5249">
        <v>86.007403213096296</v>
      </c>
      <c r="AK5249">
        <v>59.4575713832212</v>
      </c>
      <c r="AL5249">
        <v>87.902459078419994</v>
      </c>
      <c r="AM5249">
        <v>80.630179602639501</v>
      </c>
      <c r="AN5249">
        <v>1.0000000414607499</v>
      </c>
    </row>
    <row r="5250" spans="1:40" x14ac:dyDescent="0.25">
      <c r="A5250" t="str">
        <f>"20190305135340027"</f>
        <v>20190305135340027</v>
      </c>
      <c r="B5250" t="str">
        <f>"1551765220015750"</f>
        <v>1551765220015750</v>
      </c>
      <c r="C5250" t="s">
        <v>40</v>
      </c>
      <c r="D5250">
        <v>4.4318850000000003</v>
      </c>
      <c r="E5250">
        <v>0.46453680000000003</v>
      </c>
      <c r="F5250" t="s">
        <v>75</v>
      </c>
      <c r="G5250">
        <v>-279.68</v>
      </c>
      <c r="H5250">
        <v>0.51353570000000004</v>
      </c>
      <c r="I5250">
        <v>12.898999999999999</v>
      </c>
      <c r="J5250">
        <v>-338.86810000000003</v>
      </c>
      <c r="K5250">
        <v>1.1105179999999999</v>
      </c>
      <c r="L5250">
        <v>16.963259999999998</v>
      </c>
      <c r="M5250">
        <v>0.99990270000000003</v>
      </c>
      <c r="N5250">
        <v>-1.3933279999999999E-2</v>
      </c>
      <c r="O5250">
        <v>9.2581E-4</v>
      </c>
      <c r="P5250">
        <v>0.98662499999999997</v>
      </c>
      <c r="Q5250">
        <v>2.3651849999999999E-2</v>
      </c>
      <c r="R5250">
        <v>-0.16128329999999999</v>
      </c>
      <c r="S5250">
        <v>3.007965</v>
      </c>
      <c r="T5250">
        <v>-3.027177E-2</v>
      </c>
      <c r="U5250">
        <v>-0.20605470000000001</v>
      </c>
      <c r="V5250">
        <v>0.16212460000000001</v>
      </c>
      <c r="W5250">
        <v>3.7705370000000002E-2</v>
      </c>
      <c r="X5250">
        <v>0.98604970000000003</v>
      </c>
      <c r="Y5250">
        <v>6.9258210000000001E-2</v>
      </c>
      <c r="Z5250">
        <v>-8.2762119999999905E-4</v>
      </c>
      <c r="AA5250">
        <v>0.9975984</v>
      </c>
      <c r="AB5250">
        <v>26</v>
      </c>
      <c r="AC5250">
        <v>59.188099999999999</v>
      </c>
      <c r="AD5250">
        <v>-0.59698229999999997</v>
      </c>
      <c r="AE5250">
        <v>-4.06426</v>
      </c>
      <c r="AF5250">
        <v>4.1186434733599704</v>
      </c>
      <c r="AG5250">
        <v>-0.59698229999999997</v>
      </c>
      <c r="AH5250">
        <v>59.178319504748899</v>
      </c>
      <c r="AI5250">
        <v>90.576577283228005</v>
      </c>
      <c r="AJ5250">
        <v>86.018795704904903</v>
      </c>
      <c r="AK5250">
        <v>59.324473123099096</v>
      </c>
      <c r="AL5250">
        <v>87.839129310263203</v>
      </c>
      <c r="AM5250">
        <v>80.663064425489495</v>
      </c>
      <c r="AN5250">
        <v>1.0000000458610401</v>
      </c>
    </row>
    <row r="5251" spans="1:40" x14ac:dyDescent="0.25">
      <c r="A5251" t="str">
        <f>"20190305135340047"</f>
        <v>20190305135340047</v>
      </c>
      <c r="B5251" t="str">
        <f>"1551765220035268"</f>
        <v>1551765220035268</v>
      </c>
      <c r="C5251" t="s">
        <v>40</v>
      </c>
      <c r="D5251">
        <v>4.4235030000000002</v>
      </c>
      <c r="E5251">
        <v>0.46526640000000002</v>
      </c>
      <c r="F5251" t="s">
        <v>75</v>
      </c>
      <c r="G5251">
        <v>-279.68</v>
      </c>
      <c r="H5251">
        <v>0.67896599999999996</v>
      </c>
      <c r="I5251">
        <v>12.9251</v>
      </c>
      <c r="J5251">
        <v>-338.63209999999998</v>
      </c>
      <c r="K5251">
        <v>1.1105119999999999</v>
      </c>
      <c r="L5251">
        <v>16.96463</v>
      </c>
      <c r="M5251">
        <v>0.99990120000000005</v>
      </c>
      <c r="N5251">
        <v>-1.393082E-2</v>
      </c>
      <c r="O5251">
        <v>1.9660630000000001E-3</v>
      </c>
      <c r="P5251">
        <v>0.98707670000000003</v>
      </c>
      <c r="Q5251">
        <v>2.5133760000000002E-2</v>
      </c>
      <c r="R5251">
        <v>-0.15826680000000001</v>
      </c>
      <c r="S5251">
        <v>3.00766</v>
      </c>
      <c r="T5251">
        <v>-2.1929980000000002E-2</v>
      </c>
      <c r="U5251">
        <v>-0.2052002</v>
      </c>
      <c r="V5251">
        <v>0.1601331</v>
      </c>
      <c r="W5251">
        <v>3.9181519999999997E-2</v>
      </c>
      <c r="X5251">
        <v>0.98631749999999996</v>
      </c>
      <c r="Y5251">
        <v>7.0023730000000006E-2</v>
      </c>
      <c r="Z5251">
        <v>-7.3029810000000003E-4</v>
      </c>
      <c r="AA5251">
        <v>0.99754509999999996</v>
      </c>
      <c r="AB5251">
        <v>26</v>
      </c>
      <c r="AC5251">
        <v>58.952099999999902</v>
      </c>
      <c r="AD5251">
        <v>-0.43154599999999999</v>
      </c>
      <c r="AE5251">
        <v>-4.0395299999999903</v>
      </c>
      <c r="AF5251">
        <v>4.1552153392003897</v>
      </c>
      <c r="AG5251">
        <v>-0.43154599999999999</v>
      </c>
      <c r="AH5251">
        <v>58.940899623369098</v>
      </c>
      <c r="AI5251">
        <v>90.418454944650193</v>
      </c>
      <c r="AJ5251">
        <v>85.967434075618598</v>
      </c>
      <c r="AK5251">
        <v>59.088761155378101</v>
      </c>
      <c r="AL5251">
        <v>87.754489484382106</v>
      </c>
      <c r="AM5251">
        <v>80.778235131780704</v>
      </c>
      <c r="AN5251">
        <v>1.00000000601568</v>
      </c>
    </row>
    <row r="5252" spans="1:40" x14ac:dyDescent="0.25">
      <c r="A5252" t="str">
        <f>"20190305135340058"</f>
        <v>20190305135340058</v>
      </c>
      <c r="B5252" t="str">
        <f>"1551765220055765"</f>
        <v>1551765220055765</v>
      </c>
      <c r="C5252" t="s">
        <v>40</v>
      </c>
      <c r="D5252">
        <v>4.4269369999999997</v>
      </c>
      <c r="E5252">
        <v>0.46559149999999999</v>
      </c>
      <c r="F5252" t="s">
        <v>75</v>
      </c>
      <c r="G5252">
        <v>-279.68</v>
      </c>
      <c r="H5252">
        <v>0.73782899999999996</v>
      </c>
      <c r="I5252">
        <v>13.01164</v>
      </c>
      <c r="J5252">
        <v>-338.50540000000001</v>
      </c>
      <c r="K5252">
        <v>1.1105069999999999</v>
      </c>
      <c r="L5252">
        <v>16.965479999999999</v>
      </c>
      <c r="M5252">
        <v>0.99989989999999995</v>
      </c>
      <c r="N5252">
        <v>-1.3929540000000001E-2</v>
      </c>
      <c r="O5252">
        <v>2.5147490000000002E-3</v>
      </c>
      <c r="P5252">
        <v>0.98730359999999995</v>
      </c>
      <c r="Q5252">
        <v>2.5925960000000001E-2</v>
      </c>
      <c r="R5252">
        <v>-0.15671559999999901</v>
      </c>
      <c r="S5252">
        <v>3.0074160000000001</v>
      </c>
      <c r="T5252">
        <v>-1.9012810000000002E-2</v>
      </c>
      <c r="U5252">
        <v>-0.20166020000000001</v>
      </c>
      <c r="V5252">
        <v>0.15912319999999999</v>
      </c>
      <c r="W5252">
        <v>3.9971020000000003E-2</v>
      </c>
      <c r="X5252">
        <v>0.98644920000000003</v>
      </c>
      <c r="Y5252">
        <v>6.9408689999999995E-2</v>
      </c>
      <c r="Z5252">
        <v>-6.8403750000000003E-4</v>
      </c>
      <c r="AA5252">
        <v>0.99758809999999998</v>
      </c>
      <c r="AB5252">
        <v>26</v>
      </c>
      <c r="AC5252">
        <v>58.825400000000002</v>
      </c>
      <c r="AD5252">
        <v>-0.37267800000000001</v>
      </c>
      <c r="AE5252">
        <v>-3.95384</v>
      </c>
      <c r="AF5252">
        <v>4.1016090697020902</v>
      </c>
      <c r="AG5252">
        <v>-0.37267800000000001</v>
      </c>
      <c r="AH5252">
        <v>58.812920160530602</v>
      </c>
      <c r="AI5252">
        <v>90.362179855141605</v>
      </c>
      <c r="AJ5252">
        <v>86.010655452019904</v>
      </c>
      <c r="AK5252">
        <v>58.956947543621098</v>
      </c>
      <c r="AL5252">
        <v>87.709218869422202</v>
      </c>
      <c r="AM5252">
        <v>80.836606217248203</v>
      </c>
      <c r="AN5252">
        <v>0.99999994969935802</v>
      </c>
    </row>
    <row r="5253" spans="1:40" x14ac:dyDescent="0.25">
      <c r="A5253" t="str">
        <f>"20190305135340071"</f>
        <v>20190305135340071</v>
      </c>
      <c r="B5253" t="str">
        <f>"1551765220065525"</f>
        <v>1551765220065525</v>
      </c>
      <c r="C5253" t="s">
        <v>40</v>
      </c>
      <c r="D5253">
        <v>4.437786</v>
      </c>
      <c r="E5253">
        <v>0.4656247</v>
      </c>
      <c r="F5253" t="s">
        <v>75</v>
      </c>
      <c r="G5253">
        <v>-279.68</v>
      </c>
      <c r="H5253">
        <v>0.72257039999999995</v>
      </c>
      <c r="I5253">
        <v>13.06401</v>
      </c>
      <c r="J5253">
        <v>-338.36419999999998</v>
      </c>
      <c r="K5253">
        <v>1.110501</v>
      </c>
      <c r="L5253">
        <v>16.966460000000001</v>
      </c>
      <c r="M5253">
        <v>0.99989810000000001</v>
      </c>
      <c r="N5253">
        <v>-1.3928080000000001E-2</v>
      </c>
      <c r="O5253">
        <v>3.1195099999999998E-3</v>
      </c>
      <c r="P5253">
        <v>0.98753639999999998</v>
      </c>
      <c r="Q5253">
        <v>2.6602569999999999E-2</v>
      </c>
      <c r="R5253">
        <v>-0.15512679999999901</v>
      </c>
      <c r="S5253">
        <v>3.0074459999999998</v>
      </c>
      <c r="T5253">
        <v>-1.9833799999999999E-2</v>
      </c>
      <c r="U5253">
        <v>-0.1994629</v>
      </c>
      <c r="V5253">
        <v>0.1581312</v>
      </c>
      <c r="W5253">
        <v>4.0643770000000003E-2</v>
      </c>
      <c r="X5253">
        <v>0.98658129999999999</v>
      </c>
      <c r="Y5253">
        <v>6.92855E-2</v>
      </c>
      <c r="Z5253">
        <v>-6.8843629999999995E-4</v>
      </c>
      <c r="AA5253">
        <v>0.99759659999999994</v>
      </c>
      <c r="AB5253">
        <v>26</v>
      </c>
      <c r="AC5253">
        <v>58.684199999999898</v>
      </c>
      <c r="AD5253">
        <v>-0.38793059999999902</v>
      </c>
      <c r="AE5253">
        <v>-3.90245</v>
      </c>
      <c r="AF5253">
        <v>4.0853369855075998</v>
      </c>
      <c r="AG5253">
        <v>-0.38793059999999902</v>
      </c>
      <c r="AH5253">
        <v>58.669187029454001</v>
      </c>
      <c r="AI5253">
        <v>90.377928757162394</v>
      </c>
      <c r="AJ5253">
        <v>86.016727843407395</v>
      </c>
      <c r="AK5253">
        <v>58.812532466580798</v>
      </c>
      <c r="AL5253">
        <v>87.670641960629297</v>
      </c>
      <c r="AM5253">
        <v>80.893971022620505</v>
      </c>
      <c r="AN5253">
        <v>1.0000000269814699</v>
      </c>
    </row>
    <row r="5254" spans="1:40" x14ac:dyDescent="0.25">
      <c r="A5254" t="str">
        <f>"20190305135340083"</f>
        <v>20190305135340083</v>
      </c>
      <c r="B5254" t="str">
        <f>"1551765220075285"</f>
        <v>1551765220075285</v>
      </c>
      <c r="C5254" t="s">
        <v>40</v>
      </c>
      <c r="D5254">
        <v>4.444591</v>
      </c>
      <c r="E5254">
        <v>0.46572659999999999</v>
      </c>
      <c r="F5254" t="s">
        <v>75</v>
      </c>
      <c r="G5254">
        <v>-279.68</v>
      </c>
      <c r="H5254">
        <v>0.70998569999999905</v>
      </c>
      <c r="I5254">
        <v>13.1647</v>
      </c>
      <c r="J5254">
        <v>-338.22809999999998</v>
      </c>
      <c r="K5254">
        <v>1.1104940000000001</v>
      </c>
      <c r="L5254">
        <v>16.96753</v>
      </c>
      <c r="M5254">
        <v>0.99989629999999996</v>
      </c>
      <c r="N5254">
        <v>-1.392666E-2</v>
      </c>
      <c r="O5254">
        <v>3.6960199999999999E-3</v>
      </c>
      <c r="P5254">
        <v>0.98775679999999999</v>
      </c>
      <c r="Q5254">
        <v>2.7022319999999999E-2</v>
      </c>
      <c r="R5254">
        <v>-0.1536458</v>
      </c>
      <c r="S5254">
        <v>3.0077820000000002</v>
      </c>
      <c r="T5254">
        <v>-2.0528439999999998E-2</v>
      </c>
      <c r="U5254">
        <v>-0.19485469999999999</v>
      </c>
      <c r="V5254">
        <v>0.15721969999999999</v>
      </c>
      <c r="W5254">
        <v>4.1059690000000003E-2</v>
      </c>
      <c r="X5254">
        <v>0.98670970000000002</v>
      </c>
      <c r="Y5254">
        <v>6.8331279999999994E-2</v>
      </c>
      <c r="Z5254">
        <v>-6.8306750000000005E-4</v>
      </c>
      <c r="AA5254">
        <v>0.99766239999999995</v>
      </c>
      <c r="AB5254">
        <v>26</v>
      </c>
      <c r="AC5254">
        <v>58.548099999999899</v>
      </c>
      <c r="AD5254">
        <v>-0.40050829999999998</v>
      </c>
      <c r="AE5254">
        <v>-3.8028300000000002</v>
      </c>
      <c r="AF5254">
        <v>4.0190326533762599</v>
      </c>
      <c r="AG5254">
        <v>-0.40050829999999998</v>
      </c>
      <c r="AH5254">
        <v>58.530915888749497</v>
      </c>
      <c r="AI5254">
        <v>90.391129583491704</v>
      </c>
      <c r="AJ5254">
        <v>86.071943860533693</v>
      </c>
      <c r="AK5254">
        <v>58.670104355993303</v>
      </c>
      <c r="AL5254">
        <v>87.646791485090404</v>
      </c>
      <c r="AM5254">
        <v>80.946746753572398</v>
      </c>
      <c r="AN5254">
        <v>0.99999998214253805</v>
      </c>
    </row>
    <row r="5255" spans="1:40" x14ac:dyDescent="0.25">
      <c r="A5255" t="str">
        <f>"20190305135340094"</f>
        <v>20190305135340094</v>
      </c>
      <c r="B5255" t="str">
        <f>"1551765220085045"</f>
        <v>1551765220085045</v>
      </c>
      <c r="C5255" t="s">
        <v>40</v>
      </c>
      <c r="D5255">
        <v>4.4341799999999996</v>
      </c>
      <c r="E5255">
        <v>0.4659452</v>
      </c>
      <c r="F5255" t="s">
        <v>75</v>
      </c>
      <c r="G5255">
        <v>-279.68</v>
      </c>
      <c r="H5255">
        <v>0.72987209999999902</v>
      </c>
      <c r="I5255">
        <v>13.248469999999999</v>
      </c>
      <c r="J5255">
        <v>-338.09750000000003</v>
      </c>
      <c r="K5255">
        <v>1.110487</v>
      </c>
      <c r="L5255">
        <v>16.968629999999902</v>
      </c>
      <c r="M5255">
        <v>0.99989410000000001</v>
      </c>
      <c r="N5255">
        <v>-1.392527E-2</v>
      </c>
      <c r="O5255">
        <v>4.2421940000000003E-3</v>
      </c>
      <c r="P5255">
        <v>0.98794029999999999</v>
      </c>
      <c r="Q5255">
        <v>2.7172869999999998E-2</v>
      </c>
      <c r="R5255">
        <v>-0.15243309999999999</v>
      </c>
      <c r="S5255">
        <v>3.007965</v>
      </c>
      <c r="T5255">
        <v>-1.9555329999999999E-2</v>
      </c>
      <c r="U5255">
        <v>-0.19107060000000001</v>
      </c>
      <c r="V5255">
        <v>0.1565474</v>
      </c>
      <c r="W5255">
        <v>4.1207380000000002E-2</v>
      </c>
      <c r="X5255">
        <v>0.98681039999999998</v>
      </c>
      <c r="Y5255">
        <v>6.7622660000000001E-2</v>
      </c>
      <c r="Z5255">
        <v>-6.5947039999999905E-4</v>
      </c>
      <c r="AA5255">
        <v>0.99771080000000001</v>
      </c>
      <c r="AB5255">
        <v>26</v>
      </c>
      <c r="AC5255">
        <v>58.417499999999997</v>
      </c>
      <c r="AD5255">
        <v>-0.38061489999999998</v>
      </c>
      <c r="AE5255">
        <v>-3.7201599999999901</v>
      </c>
      <c r="AF5255">
        <v>3.9678011472203201</v>
      </c>
      <c r="AG5255">
        <v>-0.38061489999999998</v>
      </c>
      <c r="AH5255">
        <v>58.398722021129799</v>
      </c>
      <c r="AI5255">
        <v>90.372562248329203</v>
      </c>
      <c r="AJ5255">
        <v>86.113110051634905</v>
      </c>
      <c r="AK5255">
        <v>58.534597011914101</v>
      </c>
      <c r="AL5255">
        <v>87.638322230031207</v>
      </c>
      <c r="AM5255">
        <v>80.985727833103695</v>
      </c>
      <c r="AN5255">
        <v>0.99999995108069095</v>
      </c>
    </row>
    <row r="5256" spans="1:40" x14ac:dyDescent="0.25">
      <c r="A5256" t="str">
        <f>"20190305135340106"</f>
        <v>20190305135340106</v>
      </c>
      <c r="B5256" t="str">
        <f>"1551765220095781"</f>
        <v>1551765220095781</v>
      </c>
      <c r="C5256" t="s">
        <v>40</v>
      </c>
      <c r="D5256">
        <v>4.4359339999999996</v>
      </c>
      <c r="E5256">
        <v>0.46612350000000002</v>
      </c>
      <c r="F5256" t="s">
        <v>75</v>
      </c>
      <c r="G5256">
        <v>-279.68</v>
      </c>
      <c r="H5256">
        <v>0.71007799999999999</v>
      </c>
      <c r="I5256">
        <v>13.29646</v>
      </c>
      <c r="J5256">
        <v>-337.96679999999998</v>
      </c>
      <c r="K5256">
        <v>1.1104810000000001</v>
      </c>
      <c r="L5256">
        <v>16.969760000000001</v>
      </c>
      <c r="M5256">
        <v>0.99989159999999999</v>
      </c>
      <c r="N5256">
        <v>-1.392387E-2</v>
      </c>
      <c r="O5256">
        <v>4.7871179999999999E-3</v>
      </c>
      <c r="P5256">
        <v>0.98811950000000004</v>
      </c>
      <c r="Q5256">
        <v>2.7078769999999999E-2</v>
      </c>
      <c r="R5256">
        <v>-0.15128349999999999</v>
      </c>
      <c r="S5256">
        <v>3.0080260000000001</v>
      </c>
      <c r="T5256">
        <v>-2.0618319999999999E-2</v>
      </c>
      <c r="U5256">
        <v>-0.1890869</v>
      </c>
      <c r="V5256">
        <v>0.15593760000000001</v>
      </c>
      <c r="W5256">
        <v>4.1109720000000002E-2</v>
      </c>
      <c r="X5256">
        <v>0.98691110000000004</v>
      </c>
      <c r="Y5256">
        <v>6.7509470000000002E-2</v>
      </c>
      <c r="Z5256">
        <v>-6.678284E-4</v>
      </c>
      <c r="AA5256">
        <v>0.99771840000000001</v>
      </c>
      <c r="AB5256">
        <v>26</v>
      </c>
      <c r="AC5256">
        <v>58.2867999999999</v>
      </c>
      <c r="AD5256">
        <v>-0.40040300000000001</v>
      </c>
      <c r="AE5256">
        <v>-3.6732999999999998</v>
      </c>
      <c r="AF5256">
        <v>3.9521249781903198</v>
      </c>
      <c r="AG5256">
        <v>-0.40040300000000001</v>
      </c>
      <c r="AH5256">
        <v>58.265807063558498</v>
      </c>
      <c r="AI5256">
        <v>90.392828169149993</v>
      </c>
      <c r="AJ5256">
        <v>86.119614927290399</v>
      </c>
      <c r="AK5256">
        <v>58.401060668223003</v>
      </c>
      <c r="AL5256">
        <v>87.643922671773495</v>
      </c>
      <c r="AM5256">
        <v>81.021169239267394</v>
      </c>
      <c r="AN5256">
        <v>1.00000003173772</v>
      </c>
    </row>
    <row r="5257" spans="1:40" x14ac:dyDescent="0.25">
      <c r="A5257" t="str">
        <f>"20190305135340118"</f>
        <v>20190305135340118</v>
      </c>
      <c r="B5257" t="str">
        <f>"1551765220105542"</f>
        <v>1551765220105542</v>
      </c>
      <c r="C5257" t="s">
        <v>40</v>
      </c>
      <c r="D5257">
        <v>4.4521480000000002</v>
      </c>
      <c r="E5257">
        <v>0.46636040000000001</v>
      </c>
      <c r="F5257" t="s">
        <v>75</v>
      </c>
      <c r="G5257">
        <v>-279.68</v>
      </c>
      <c r="H5257">
        <v>0.68597919999999901</v>
      </c>
      <c r="I5257">
        <v>13.346679999999999</v>
      </c>
      <c r="J5257">
        <v>-337.83089999999999</v>
      </c>
      <c r="K5257">
        <v>1.110482</v>
      </c>
      <c r="L5257">
        <v>16.971070000000001</v>
      </c>
      <c r="M5257">
        <v>0.99988900000000003</v>
      </c>
      <c r="N5257">
        <v>-1.392231E-2</v>
      </c>
      <c r="O5257">
        <v>5.34849E-3</v>
      </c>
      <c r="P5257">
        <v>0.98826080000000005</v>
      </c>
      <c r="Q5257">
        <v>2.7241959999999999E-2</v>
      </c>
      <c r="R5257">
        <v>-0.15032860000000001</v>
      </c>
      <c r="S5257">
        <v>3.0080870000000002</v>
      </c>
      <c r="T5257">
        <v>-2.1908400000000001E-2</v>
      </c>
      <c r="U5257">
        <v>-0.18698119999999999</v>
      </c>
      <c r="V5257">
        <v>0.15553810000000001</v>
      </c>
      <c r="W5257">
        <v>4.1268850000000003E-2</v>
      </c>
      <c r="X5257">
        <v>0.98696740000000005</v>
      </c>
      <c r="Y5257">
        <v>6.7372269999999998E-2</v>
      </c>
      <c r="Z5257">
        <v>-6.791077E-4</v>
      </c>
      <c r="AA5257">
        <v>0.9977277</v>
      </c>
      <c r="AB5257">
        <v>26</v>
      </c>
      <c r="AC5257">
        <v>58.150899999999901</v>
      </c>
      <c r="AD5257">
        <v>-0.42450280000000001</v>
      </c>
      <c r="AE5257">
        <v>-3.62439</v>
      </c>
      <c r="AF5257">
        <v>3.93517883811267</v>
      </c>
      <c r="AG5257">
        <v>-0.42450280000000001</v>
      </c>
      <c r="AH5257">
        <v>58.127595551815098</v>
      </c>
      <c r="AI5257">
        <v>90.417465126942005</v>
      </c>
      <c r="AJ5257">
        <v>86.127043825801906</v>
      </c>
      <c r="AK5257">
        <v>58.262193571393603</v>
      </c>
      <c r="AL5257">
        <v>87.634797218390204</v>
      </c>
      <c r="AM5257">
        <v>81.044301565637198</v>
      </c>
      <c r="AN5257">
        <v>0.99999993359734396</v>
      </c>
    </row>
    <row r="5258" spans="1:40" x14ac:dyDescent="0.25">
      <c r="A5258" t="str">
        <f>"20190305135340129"</f>
        <v>20190305135340129</v>
      </c>
      <c r="B5258" t="str">
        <f>"1551765220125061"</f>
        <v>1551765220125061</v>
      </c>
      <c r="C5258" t="s">
        <v>40</v>
      </c>
      <c r="D5258">
        <v>4.4204639999999999</v>
      </c>
      <c r="E5258">
        <v>0.46693859999999898</v>
      </c>
      <c r="F5258" t="s">
        <v>75</v>
      </c>
      <c r="G5258">
        <v>-279.68</v>
      </c>
      <c r="H5258">
        <v>0.67878289999999997</v>
      </c>
      <c r="I5258">
        <v>13.37636</v>
      </c>
      <c r="J5258">
        <v>-337.70280000000002</v>
      </c>
      <c r="K5258">
        <v>1.1104780000000001</v>
      </c>
      <c r="L5258">
        <v>16.972349999999999</v>
      </c>
      <c r="M5258">
        <v>0.99988589999999999</v>
      </c>
      <c r="N5258">
        <v>-1.392087E-2</v>
      </c>
      <c r="O5258">
        <v>5.8767280000000003E-3</v>
      </c>
      <c r="P5258">
        <v>0.98837070000000005</v>
      </c>
      <c r="Q5258">
        <v>2.7494480000000002E-2</v>
      </c>
      <c r="R5258">
        <v>-0.14955779999999999</v>
      </c>
      <c r="S5258">
        <v>3.007965</v>
      </c>
      <c r="T5258">
        <v>-2.2331E-2</v>
      </c>
      <c r="U5258">
        <v>-0.18594359999999999</v>
      </c>
      <c r="V5258">
        <v>0.1552896</v>
      </c>
      <c r="W5258">
        <v>4.1518020000000003E-2</v>
      </c>
      <c r="X5258">
        <v>0.98699619999999999</v>
      </c>
      <c r="Y5258">
        <v>6.7558859999999998E-2</v>
      </c>
      <c r="Z5258">
        <v>-6.8311869999999897E-4</v>
      </c>
      <c r="AA5258">
        <v>0.99771509999999997</v>
      </c>
      <c r="AB5258">
        <v>26</v>
      </c>
      <c r="AC5258">
        <v>58.022799999999997</v>
      </c>
      <c r="AD5258">
        <v>-0.4316951</v>
      </c>
      <c r="AE5258">
        <v>-3.5959899999999898</v>
      </c>
      <c r="AF5258">
        <v>3.9367280423931001</v>
      </c>
      <c r="AG5258">
        <v>-0.4316951</v>
      </c>
      <c r="AH5258">
        <v>57.997464994160801</v>
      </c>
      <c r="AI5258">
        <v>90.425485316685695</v>
      </c>
      <c r="AJ5258">
        <v>86.116857054342702</v>
      </c>
      <c r="AK5258">
        <v>58.1325221720857</v>
      </c>
      <c r="AL5258">
        <v>87.620508864275806</v>
      </c>
      <c r="AM5258">
        <v>81.058635225062304</v>
      </c>
      <c r="AN5258">
        <v>1.0000000523336501</v>
      </c>
    </row>
    <row r="5259" spans="1:40" x14ac:dyDescent="0.25">
      <c r="A5259" t="str">
        <f>"20190305135340140"</f>
        <v>20190305135340140</v>
      </c>
      <c r="B5259" t="str">
        <f>"1551765220135797"</f>
        <v>1551765220135797</v>
      </c>
      <c r="C5259" t="s">
        <v>40</v>
      </c>
      <c r="D5259">
        <v>4.4291679999999998</v>
      </c>
      <c r="E5259">
        <v>0.46720810000000002</v>
      </c>
      <c r="F5259" t="s">
        <v>75</v>
      </c>
      <c r="G5259">
        <v>-279.68</v>
      </c>
      <c r="H5259">
        <v>0.65139899999999995</v>
      </c>
      <c r="I5259">
        <v>13.34141</v>
      </c>
      <c r="J5259">
        <v>-337.57060000000001</v>
      </c>
      <c r="K5259">
        <v>1.110474</v>
      </c>
      <c r="L5259">
        <v>16.97372</v>
      </c>
      <c r="M5259">
        <v>0.99988259999999995</v>
      </c>
      <c r="N5259">
        <v>-1.391948E-2</v>
      </c>
      <c r="O5259">
        <v>6.4186709999999999E-3</v>
      </c>
      <c r="P5259">
        <v>0.98848519999999895</v>
      </c>
      <c r="Q5259">
        <v>2.764521E-2</v>
      </c>
      <c r="R5259">
        <v>-0.1487726</v>
      </c>
      <c r="S5259">
        <v>3.0074770000000002</v>
      </c>
      <c r="T5259">
        <v>-2.3795839999999999E-2</v>
      </c>
      <c r="U5259">
        <v>-0.18820190000000001</v>
      </c>
      <c r="V5259">
        <v>0.1550407</v>
      </c>
      <c r="W5259">
        <v>4.1665239999999999E-2</v>
      </c>
      <c r="X5259">
        <v>0.98702909999999999</v>
      </c>
      <c r="Y5259">
        <v>6.8855260000000001E-2</v>
      </c>
      <c r="Z5259">
        <v>-7.1333469999999995E-4</v>
      </c>
      <c r="AA5259">
        <v>0.99762640000000002</v>
      </c>
      <c r="AB5259">
        <v>26</v>
      </c>
      <c r="AC5259">
        <v>57.890599999999999</v>
      </c>
      <c r="AD5259">
        <v>-0.45907500000000001</v>
      </c>
      <c r="AE5259">
        <v>-3.6323099999999999</v>
      </c>
      <c r="AF5259">
        <v>4.0036010660000301</v>
      </c>
      <c r="AG5259">
        <v>-0.45907500000000001</v>
      </c>
      <c r="AH5259">
        <v>57.862465922991397</v>
      </c>
      <c r="AI5259">
        <v>90.453485243095699</v>
      </c>
      <c r="AJ5259">
        <v>86.041917298117795</v>
      </c>
      <c r="AK5259">
        <v>58.002625234041297</v>
      </c>
      <c r="AL5259">
        <v>87.612066415615203</v>
      </c>
      <c r="AM5259">
        <v>81.073028321344495</v>
      </c>
      <c r="AN5259">
        <v>1.0000000275637699</v>
      </c>
    </row>
    <row r="5260" spans="1:40" x14ac:dyDescent="0.25">
      <c r="A5260" t="str">
        <f>"20190305135340155"</f>
        <v>20190305135340155</v>
      </c>
      <c r="B5260" t="str">
        <f>"1551765220145556"</f>
        <v>1551765220145556</v>
      </c>
      <c r="C5260" t="s">
        <v>40</v>
      </c>
      <c r="D5260">
        <v>4.4074200000000001</v>
      </c>
      <c r="E5260">
        <v>0.46746589999999999</v>
      </c>
      <c r="F5260" t="s">
        <v>75</v>
      </c>
      <c r="G5260">
        <v>-279.68</v>
      </c>
      <c r="H5260">
        <v>0.64550589999999997</v>
      </c>
      <c r="I5260">
        <v>13.35557</v>
      </c>
      <c r="J5260">
        <v>-337.41140000000001</v>
      </c>
      <c r="K5260">
        <v>1.110468</v>
      </c>
      <c r="L5260">
        <v>16.975490000000001</v>
      </c>
      <c r="M5260">
        <v>0.99987820000000005</v>
      </c>
      <c r="N5260">
        <v>-1.3917799999999999E-2</v>
      </c>
      <c r="O5260">
        <v>7.0690659999999997E-3</v>
      </c>
      <c r="P5260">
        <v>0.98858500000000005</v>
      </c>
      <c r="Q5260">
        <v>2.7894349999999998E-2</v>
      </c>
      <c r="R5260">
        <v>-0.14805950000000001</v>
      </c>
      <c r="S5260">
        <v>3.0073240000000001</v>
      </c>
      <c r="T5260">
        <v>-2.41549E-2</v>
      </c>
      <c r="U5260">
        <v>-0.18795780000000001</v>
      </c>
      <c r="V5260">
        <v>0.154971</v>
      </c>
      <c r="W5260">
        <v>4.1909639999999998E-2</v>
      </c>
      <c r="X5260">
        <v>0.98702970000000001</v>
      </c>
      <c r="Y5260">
        <v>6.9426479999999999E-2</v>
      </c>
      <c r="Z5260">
        <v>-7.2062310000000002E-4</v>
      </c>
      <c r="AA5260">
        <v>0.9975868</v>
      </c>
      <c r="AB5260">
        <v>26</v>
      </c>
      <c r="AC5260">
        <v>57.731400000000001</v>
      </c>
      <c r="AD5260">
        <v>-0.46496209999999999</v>
      </c>
      <c r="AE5260">
        <v>-3.6199199999999898</v>
      </c>
      <c r="AF5260">
        <v>4.0277158897649503</v>
      </c>
      <c r="AG5260">
        <v>-0.46496209999999999</v>
      </c>
      <c r="AH5260">
        <v>57.700637205060303</v>
      </c>
      <c r="AI5260">
        <v>90.460569029816895</v>
      </c>
      <c r="AJ5260">
        <v>86.007021586251</v>
      </c>
      <c r="AK5260">
        <v>57.842909841337402</v>
      </c>
      <c r="AL5260">
        <v>87.598051088179901</v>
      </c>
      <c r="AM5260">
        <v>81.076982271777794</v>
      </c>
      <c r="AN5260">
        <v>1.0000000287240001</v>
      </c>
    </row>
    <row r="5261" spans="1:40" x14ac:dyDescent="0.25">
      <c r="A5261" t="str">
        <f>"20190305135340172"</f>
        <v>20190305135340172</v>
      </c>
      <c r="B5261" t="str">
        <f>"1551765220165078"</f>
        <v>1551765220165078</v>
      </c>
      <c r="C5261" t="s">
        <v>40</v>
      </c>
      <c r="D5261">
        <v>4.4454120000000001</v>
      </c>
      <c r="E5261">
        <v>0.46786290000000003</v>
      </c>
      <c r="F5261" t="s">
        <v>75</v>
      </c>
      <c r="G5261">
        <v>-279.68</v>
      </c>
      <c r="H5261">
        <v>0.65646579999999999</v>
      </c>
      <c r="I5261">
        <v>13.370039999999999</v>
      </c>
      <c r="J5261">
        <v>-337.2106</v>
      </c>
      <c r="K5261">
        <v>1.1104590000000001</v>
      </c>
      <c r="L5261">
        <v>16.977869999999999</v>
      </c>
      <c r="M5261">
        <v>0.99987210000000004</v>
      </c>
      <c r="N5261">
        <v>-1.3915739999999999E-2</v>
      </c>
      <c r="O5261">
        <v>7.8844589999999999E-3</v>
      </c>
      <c r="P5261">
        <v>0.98870270000000005</v>
      </c>
      <c r="Q5261">
        <v>2.783654E-2</v>
      </c>
      <c r="R5261">
        <v>-0.14728350000000001</v>
      </c>
      <c r="S5261">
        <v>3.0071720000000002</v>
      </c>
      <c r="T5261">
        <v>-2.3649099999999999E-2</v>
      </c>
      <c r="U5261">
        <v>-0.18780520000000001</v>
      </c>
      <c r="V5261">
        <v>0.1550021</v>
      </c>
      <c r="W5261">
        <v>4.184628E-2</v>
      </c>
      <c r="X5261">
        <v>0.98702749999999995</v>
      </c>
      <c r="Y5261">
        <v>7.01928E-2</v>
      </c>
      <c r="Z5261">
        <v>-7.1698089999999996E-4</v>
      </c>
      <c r="AA5261">
        <v>0.99753320000000001</v>
      </c>
      <c r="AB5261">
        <v>26</v>
      </c>
      <c r="AC5261">
        <v>57.5305999999999</v>
      </c>
      <c r="AD5261">
        <v>-0.45399319999999999</v>
      </c>
      <c r="AE5261">
        <v>-3.6078299999999999</v>
      </c>
      <c r="AF5261">
        <v>4.0611075052852996</v>
      </c>
      <c r="AG5261">
        <v>-0.45399319999999999</v>
      </c>
      <c r="AH5261">
        <v>57.496796416839103</v>
      </c>
      <c r="AI5261">
        <v>90.451272353076206</v>
      </c>
      <c r="AJ5261">
        <v>85.959800452811294</v>
      </c>
      <c r="AK5261">
        <v>57.641827713862199</v>
      </c>
      <c r="AL5261">
        <v>87.601684524724803</v>
      </c>
      <c r="AM5261">
        <v>81.075200826448807</v>
      </c>
      <c r="AN5261">
        <v>1.00000002395524</v>
      </c>
    </row>
    <row r="5262" spans="1:40" x14ac:dyDescent="0.25">
      <c r="A5262" t="str">
        <f>"20190305135340195"</f>
        <v>20190305135340195</v>
      </c>
      <c r="B5262" t="str">
        <f>"1551765220185572"</f>
        <v>1551765220185572</v>
      </c>
      <c r="C5262" t="s">
        <v>40</v>
      </c>
      <c r="D5262">
        <v>4.4597959999999999</v>
      </c>
      <c r="E5262">
        <v>0.46815950000000001</v>
      </c>
      <c r="F5262" t="s">
        <v>75</v>
      </c>
      <c r="G5262">
        <v>-279.68</v>
      </c>
      <c r="H5262">
        <v>0.65102179999999998</v>
      </c>
      <c r="I5262">
        <v>13.368830000000001</v>
      </c>
      <c r="J5262">
        <v>-336.95549999999997</v>
      </c>
      <c r="K5262">
        <v>1.1104480000000001</v>
      </c>
      <c r="L5262">
        <v>16.981110000000001</v>
      </c>
      <c r="M5262">
        <v>0.99986359999999996</v>
      </c>
      <c r="N5262">
        <v>-1.3913119999999999E-2</v>
      </c>
      <c r="O5262">
        <v>8.9095830000000004E-3</v>
      </c>
      <c r="P5262">
        <v>0.98890730000000004</v>
      </c>
      <c r="Q5262">
        <v>2.7506880000000001E-2</v>
      </c>
      <c r="R5262">
        <v>-0.1459656</v>
      </c>
      <c r="S5262">
        <v>3.006866</v>
      </c>
      <c r="T5262">
        <v>-2.4013280000000001E-2</v>
      </c>
      <c r="U5262">
        <v>-0.1886292</v>
      </c>
      <c r="V5262">
        <v>0.1547007</v>
      </c>
      <c r="W5262">
        <v>4.1508490000000002E-2</v>
      </c>
      <c r="X5262">
        <v>0.98708899999999999</v>
      </c>
      <c r="Y5262">
        <v>7.1493799999999996E-2</v>
      </c>
      <c r="Z5262">
        <v>-7.3032830000000003E-4</v>
      </c>
      <c r="AA5262">
        <v>0.99744080000000002</v>
      </c>
      <c r="AB5262">
        <v>25</v>
      </c>
      <c r="AC5262">
        <v>57.275499999999901</v>
      </c>
      <c r="AD5262">
        <v>-0.45942619999999901</v>
      </c>
      <c r="AE5262">
        <v>-3.6122800000000002</v>
      </c>
      <c r="AF5262">
        <v>4.1222225906362002</v>
      </c>
      <c r="AG5262">
        <v>-0.45942619999999901</v>
      </c>
      <c r="AH5262">
        <v>57.237371040891198</v>
      </c>
      <c r="AI5262">
        <v>90.458697143344196</v>
      </c>
      <c r="AJ5262">
        <v>85.880683110221</v>
      </c>
      <c r="AK5262">
        <v>57.387458866834798</v>
      </c>
      <c r="AL5262">
        <v>87.6210551862968</v>
      </c>
      <c r="AM5262">
        <v>81.092822542136702</v>
      </c>
      <c r="AN5262">
        <v>0.99999997762178405</v>
      </c>
    </row>
    <row r="5263" spans="1:40" x14ac:dyDescent="0.25">
      <c r="A5263" t="str">
        <f>"20190305135340207"</f>
        <v>20190305135340207</v>
      </c>
      <c r="B5263" t="str">
        <f>"1551765220195333"</f>
        <v>1551765220195333</v>
      </c>
      <c r="C5263" t="s">
        <v>40</v>
      </c>
      <c r="D5263">
        <v>4.6725979999999998</v>
      </c>
      <c r="E5263">
        <v>0.46815950000000001</v>
      </c>
      <c r="F5263" t="s">
        <v>75</v>
      </c>
      <c r="G5263">
        <v>-279.68</v>
      </c>
      <c r="H5263">
        <v>0.61431650000000004</v>
      </c>
      <c r="I5263">
        <v>13.418760000000001</v>
      </c>
      <c r="J5263">
        <v>-336.82310000000001</v>
      </c>
      <c r="K5263">
        <v>1.1104400000000001</v>
      </c>
      <c r="L5263">
        <v>16.982849999999999</v>
      </c>
      <c r="M5263">
        <v>0.99985880000000005</v>
      </c>
      <c r="N5263">
        <v>-1.3911690000000001E-2</v>
      </c>
      <c r="O5263">
        <v>9.4373600000000005E-3</v>
      </c>
      <c r="P5263">
        <v>0.98901209999999995</v>
      </c>
      <c r="Q5263">
        <v>2.7568039999999999E-2</v>
      </c>
      <c r="R5263">
        <v>-0.14524219999999999</v>
      </c>
      <c r="S5263">
        <v>3.0067750000000002</v>
      </c>
      <c r="T5263">
        <v>-2.6045800000000001E-2</v>
      </c>
      <c r="U5263">
        <v>-0.1870117</v>
      </c>
      <c r="V5263">
        <v>0.15450050000000001</v>
      </c>
      <c r="W5263">
        <v>4.1565190000000002E-2</v>
      </c>
      <c r="X5263">
        <v>0.98711800000000005</v>
      </c>
      <c r="Y5263">
        <v>7.1487019999999998E-2</v>
      </c>
      <c r="Z5263">
        <v>-7.5761190000000003E-4</v>
      </c>
      <c r="AA5263">
        <v>0.99744120000000003</v>
      </c>
      <c r="AB5263">
        <v>25</v>
      </c>
      <c r="AC5263">
        <v>57.143099999999997</v>
      </c>
      <c r="AD5263">
        <v>-0.496123499999999</v>
      </c>
      <c r="AE5263">
        <v>-3.56408999999999</v>
      </c>
      <c r="AF5263">
        <v>4.10295531037728</v>
      </c>
      <c r="AG5263">
        <v>-0.496123499999999</v>
      </c>
      <c r="AH5263">
        <v>57.102628234124502</v>
      </c>
      <c r="AI5263">
        <v>90.496509163973997</v>
      </c>
      <c r="AJ5263">
        <v>85.890229192384496</v>
      </c>
      <c r="AK5263">
        <v>57.251991511656897</v>
      </c>
      <c r="AL5263">
        <v>87.617803781158898</v>
      </c>
      <c r="AM5263">
        <v>81.104422120419102</v>
      </c>
      <c r="AN5263">
        <v>1.0000000077219899</v>
      </c>
    </row>
    <row r="5264" spans="1:40" x14ac:dyDescent="0.25">
      <c r="A5264" t="str">
        <f>"20190305135340219"</f>
        <v>20190305135340219</v>
      </c>
      <c r="B5264" t="str">
        <f>"1551765220215829"</f>
        <v>1551765220215829</v>
      </c>
      <c r="C5264" t="s">
        <v>40</v>
      </c>
      <c r="D5264">
        <v>4.42624</v>
      </c>
      <c r="E5264">
        <v>0.46858070000000002</v>
      </c>
      <c r="F5264" t="s">
        <v>75</v>
      </c>
      <c r="G5264">
        <v>-279.68</v>
      </c>
      <c r="H5264">
        <v>0.61613300000000004</v>
      </c>
      <c r="I5264">
        <v>13.469480000000001</v>
      </c>
      <c r="J5264">
        <v>-336.67039999999997</v>
      </c>
      <c r="K5264">
        <v>1.1104240000000001</v>
      </c>
      <c r="L5264">
        <v>16.985019999999999</v>
      </c>
      <c r="M5264">
        <v>0.99985279999999999</v>
      </c>
      <c r="N5264">
        <v>-1.391003E-2</v>
      </c>
      <c r="O5264">
        <v>1.0037280000000001E-2</v>
      </c>
      <c r="P5264">
        <v>0.98913649999999997</v>
      </c>
      <c r="Q5264">
        <v>2.7441750000000001E-2</v>
      </c>
      <c r="R5264">
        <v>-0.14441590000000001</v>
      </c>
      <c r="S5264">
        <v>3.0068969999999999</v>
      </c>
      <c r="T5264">
        <v>-2.601123E-2</v>
      </c>
      <c r="U5264">
        <v>-0.1848755</v>
      </c>
      <c r="V5264">
        <v>0.1542692</v>
      </c>
      <c r="W5264">
        <v>4.143322E-2</v>
      </c>
      <c r="X5264">
        <v>0.98715969999999997</v>
      </c>
      <c r="Y5264">
        <v>7.1377070000000001E-2</v>
      </c>
      <c r="Z5264">
        <v>-7.52636E-4</v>
      </c>
      <c r="AA5264">
        <v>0.99744909999999998</v>
      </c>
      <c r="AB5264">
        <v>25</v>
      </c>
      <c r="AC5264">
        <v>56.990399999999902</v>
      </c>
      <c r="AD5264">
        <v>-0.49429099999999998</v>
      </c>
      <c r="AE5264">
        <v>-3.5155400000000001</v>
      </c>
      <c r="AF5264">
        <v>4.0871405731876402</v>
      </c>
      <c r="AG5264">
        <v>-0.49429099999999998</v>
      </c>
      <c r="AH5264">
        <v>56.947971020260503</v>
      </c>
      <c r="AI5264">
        <v>90.496021610813202</v>
      </c>
      <c r="AJ5264">
        <v>85.894935899974698</v>
      </c>
      <c r="AK5264">
        <v>57.096588733322001</v>
      </c>
      <c r="AL5264">
        <v>87.625371571856306</v>
      </c>
      <c r="AM5264">
        <v>81.117896258404798</v>
      </c>
      <c r="AN5264">
        <v>0.999999985546149</v>
      </c>
    </row>
    <row r="5265" spans="1:40" x14ac:dyDescent="0.25">
      <c r="A5265" t="str">
        <f>"20190305135340232"</f>
        <v>20190305135340232</v>
      </c>
      <c r="B5265" t="str">
        <f>"1551765220225589"</f>
        <v>1551765220225589</v>
      </c>
      <c r="C5265" t="s">
        <v>40</v>
      </c>
      <c r="D5265">
        <v>4.7609529999999998</v>
      </c>
      <c r="E5265">
        <v>0.46858070000000002</v>
      </c>
      <c r="F5265" t="s">
        <v>75</v>
      </c>
      <c r="G5265">
        <v>-279.68</v>
      </c>
      <c r="H5265">
        <v>0.59624849999999996</v>
      </c>
      <c r="I5265">
        <v>13.463900000000001</v>
      </c>
      <c r="J5265">
        <v>-336.53609999999998</v>
      </c>
      <c r="K5265">
        <v>1.1104130000000001</v>
      </c>
      <c r="L5265">
        <v>16.986940000000001</v>
      </c>
      <c r="M5265">
        <v>0.99984770000000001</v>
      </c>
      <c r="N5265">
        <v>-1.390857E-2</v>
      </c>
      <c r="O5265">
        <v>1.055703E-2</v>
      </c>
      <c r="P5265">
        <v>0.98927929999999997</v>
      </c>
      <c r="Q5265">
        <v>2.7693280000000001E-2</v>
      </c>
      <c r="R5265">
        <v>-0.14338689999999901</v>
      </c>
      <c r="S5265">
        <v>3.0065919999999999</v>
      </c>
      <c r="T5265">
        <v>-2.712643E-2</v>
      </c>
      <c r="U5265">
        <v>-0.1857605</v>
      </c>
      <c r="V5265">
        <v>0.153756</v>
      </c>
      <c r="W5265">
        <v>4.1679529999999999E-2</v>
      </c>
      <c r="X5265">
        <v>0.98722940000000003</v>
      </c>
      <c r="Y5265">
        <v>7.2193759999999996E-2</v>
      </c>
      <c r="Z5265">
        <v>-7.7641570000000005E-4</v>
      </c>
      <c r="AA5265">
        <v>0.99739029999999995</v>
      </c>
      <c r="AB5265">
        <v>25</v>
      </c>
      <c r="AC5265">
        <v>56.856099999999898</v>
      </c>
      <c r="AD5265">
        <v>-0.51416449999999903</v>
      </c>
      <c r="AE5265">
        <v>-3.5230399999999999</v>
      </c>
      <c r="AF5265">
        <v>4.1227972805317101</v>
      </c>
      <c r="AG5265">
        <v>-0.51416449999999903</v>
      </c>
      <c r="AH5265">
        <v>56.811106264301799</v>
      </c>
      <c r="AI5265">
        <v>90.517176861043893</v>
      </c>
      <c r="AJ5265">
        <v>85.849306112034299</v>
      </c>
      <c r="AK5265">
        <v>56.962826628628697</v>
      </c>
      <c r="AL5265">
        <v>87.611246856099996</v>
      </c>
      <c r="AM5265">
        <v>81.147590252308206</v>
      </c>
      <c r="AN5265">
        <v>0.99999998949069002</v>
      </c>
    </row>
    <row r="5266" spans="1:40" x14ac:dyDescent="0.25">
      <c r="A5266" t="str">
        <f>"20190305135340249"</f>
        <v>20190305135340249</v>
      </c>
      <c r="B5266" t="str">
        <f>"1551765220245109"</f>
        <v>1551765220245109</v>
      </c>
      <c r="C5266" t="s">
        <v>40</v>
      </c>
      <c r="D5266">
        <v>4.4323449999999998</v>
      </c>
      <c r="E5266">
        <v>0.46906189999999998</v>
      </c>
      <c r="F5266" t="s">
        <v>75</v>
      </c>
      <c r="G5266">
        <v>-279.68</v>
      </c>
      <c r="H5266">
        <v>0.6074176</v>
      </c>
      <c r="I5266">
        <v>13.530889999999999</v>
      </c>
      <c r="J5266">
        <v>-336.34089999999998</v>
      </c>
      <c r="K5266">
        <v>1.1103940000000001</v>
      </c>
      <c r="L5266">
        <v>16.98987</v>
      </c>
      <c r="M5266">
        <v>0.99983949999999999</v>
      </c>
      <c r="N5266">
        <v>-1.3906389999999999E-2</v>
      </c>
      <c r="O5266">
        <v>1.129659E-2</v>
      </c>
      <c r="P5266">
        <v>0.98943060000000005</v>
      </c>
      <c r="Q5266">
        <v>2.908591E-2</v>
      </c>
      <c r="R5266">
        <v>-0.14206050000000001</v>
      </c>
      <c r="S5266">
        <v>3.0067750000000002</v>
      </c>
      <c r="T5266">
        <v>-2.660096E-2</v>
      </c>
      <c r="U5266">
        <v>-0.18276980000000001</v>
      </c>
      <c r="V5266">
        <v>0.15316160000000001</v>
      </c>
      <c r="W5266">
        <v>4.3062059999999999E-2</v>
      </c>
      <c r="X5266">
        <v>0.98726250000000004</v>
      </c>
      <c r="Y5266">
        <v>7.1939619999999996E-2</v>
      </c>
      <c r="Z5266">
        <v>-7.6155190000000005E-4</v>
      </c>
      <c r="AA5266">
        <v>0.99740870000000004</v>
      </c>
      <c r="AB5266">
        <v>25</v>
      </c>
      <c r="AC5266">
        <v>56.660899999999899</v>
      </c>
      <c r="AD5266">
        <v>-0.50297639999999999</v>
      </c>
      <c r="AE5266">
        <v>-3.4589799999999999</v>
      </c>
      <c r="AF5266">
        <v>4.0985743230894798</v>
      </c>
      <c r="AG5266">
        <v>-0.50297639999999999</v>
      </c>
      <c r="AH5266">
        <v>56.613760774464502</v>
      </c>
      <c r="AI5266">
        <v>90.507693674389998</v>
      </c>
      <c r="AJ5266">
        <v>85.859274564869693</v>
      </c>
      <c r="AK5266">
        <v>56.764154232835601</v>
      </c>
      <c r="AL5266">
        <v>87.531962614745794</v>
      </c>
      <c r="AM5266">
        <v>81.181564548178997</v>
      </c>
      <c r="AN5266">
        <v>1.0000000303161201</v>
      </c>
    </row>
    <row r="5267" spans="1:40" x14ac:dyDescent="0.25">
      <c r="A5267" t="str">
        <f>"20190305135340262"</f>
        <v>20190305135340262</v>
      </c>
      <c r="B5267" t="str">
        <f>"1551765220254869"</f>
        <v>1551765220254869</v>
      </c>
      <c r="C5267" t="s">
        <v>40</v>
      </c>
      <c r="D5267">
        <v>4.431756</v>
      </c>
      <c r="E5267">
        <v>0.46926689999999999</v>
      </c>
      <c r="F5267" t="s">
        <v>75</v>
      </c>
      <c r="G5267">
        <v>-279.68</v>
      </c>
      <c r="H5267">
        <v>0.68457579999999996</v>
      </c>
      <c r="I5267">
        <v>13.54829</v>
      </c>
      <c r="J5267">
        <v>-336.18920000000003</v>
      </c>
      <c r="K5267">
        <v>1.1103730000000001</v>
      </c>
      <c r="L5267">
        <v>16.99222</v>
      </c>
      <c r="M5267">
        <v>0.99983319999999998</v>
      </c>
      <c r="N5267">
        <v>-1.3904649999999999E-2</v>
      </c>
      <c r="O5267">
        <v>1.185055E-2</v>
      </c>
      <c r="P5267">
        <v>0.98953089999999999</v>
      </c>
      <c r="Q5267">
        <v>2.954294E-2</v>
      </c>
      <c r="R5267">
        <v>-0.141266899999999</v>
      </c>
      <c r="S5267">
        <v>3.0065309999999998</v>
      </c>
      <c r="T5267">
        <v>-2.2595290000000001E-2</v>
      </c>
      <c r="U5267">
        <v>-0.18261720000000001</v>
      </c>
      <c r="V5267">
        <v>0.15291779999999999</v>
      </c>
      <c r="W5267">
        <v>4.3510359999999998E-2</v>
      </c>
      <c r="X5267">
        <v>0.98728059999999995</v>
      </c>
      <c r="Y5267">
        <v>7.2448009999999993E-2</v>
      </c>
      <c r="Z5267">
        <v>-7.0053460000000004E-4</v>
      </c>
      <c r="AA5267">
        <v>0.99737200000000004</v>
      </c>
      <c r="AB5267">
        <v>25</v>
      </c>
      <c r="AC5267">
        <v>56.5092</v>
      </c>
      <c r="AD5267">
        <v>-0.42579719999999999</v>
      </c>
      <c r="AE5267">
        <v>-3.4439299999999999</v>
      </c>
      <c r="AF5267">
        <v>4.1131852302168399</v>
      </c>
      <c r="AG5267">
        <v>-0.42579719999999999</v>
      </c>
      <c r="AH5267">
        <v>56.4612209396889</v>
      </c>
      <c r="AI5267">
        <v>90.430940793801696</v>
      </c>
      <c r="AJ5267">
        <v>85.833377864648199</v>
      </c>
      <c r="AK5267">
        <v>56.612446211005299</v>
      </c>
      <c r="AL5267">
        <v>87.506252729420794</v>
      </c>
      <c r="AM5267">
        <v>81.195540356475604</v>
      </c>
      <c r="AN5267">
        <v>0.99999999406026396</v>
      </c>
    </row>
    <row r="5268" spans="1:40" x14ac:dyDescent="0.25">
      <c r="A5268" t="str">
        <f>"20190305135340274"</f>
        <v>20190305135340274</v>
      </c>
      <c r="B5268" t="str">
        <f>"1551765220265605"</f>
        <v>1551765220265605</v>
      </c>
      <c r="C5268" t="s">
        <v>40</v>
      </c>
      <c r="D5268">
        <v>4.4252989999999999</v>
      </c>
      <c r="E5268">
        <v>0.4694296</v>
      </c>
      <c r="F5268" t="s">
        <v>75</v>
      </c>
      <c r="G5268">
        <v>-279.68</v>
      </c>
      <c r="H5268">
        <v>0.7067755</v>
      </c>
      <c r="I5268">
        <v>13.57405</v>
      </c>
      <c r="J5268">
        <v>-336.05369999999999</v>
      </c>
      <c r="K5268">
        <v>1.110355</v>
      </c>
      <c r="L5268">
        <v>16.99438</v>
      </c>
      <c r="M5268">
        <v>0.99982740000000003</v>
      </c>
      <c r="N5268">
        <v>-1.390301E-2</v>
      </c>
      <c r="O5268">
        <v>1.2323590000000001E-2</v>
      </c>
      <c r="P5268">
        <v>0.98965049999999999</v>
      </c>
      <c r="Q5268">
        <v>2.9479849999999998E-2</v>
      </c>
      <c r="R5268">
        <v>-0.14043829999999999</v>
      </c>
      <c r="S5268">
        <v>3.0064090000000001</v>
      </c>
      <c r="T5268">
        <v>-2.1472809999999998E-2</v>
      </c>
      <c r="U5268">
        <v>-0.18185419999999999</v>
      </c>
      <c r="V5268">
        <v>0.15256029999999901</v>
      </c>
      <c r="W5268">
        <v>4.3437940000000001E-2</v>
      </c>
      <c r="X5268">
        <v>0.98733910000000003</v>
      </c>
      <c r="Y5268">
        <v>7.2670490000000004E-2</v>
      </c>
      <c r="Z5268">
        <v>-6.8172070000000005E-4</v>
      </c>
      <c r="AA5268">
        <v>0.99735580000000001</v>
      </c>
      <c r="AB5268">
        <v>25</v>
      </c>
      <c r="AC5268">
        <v>56.3736999999999</v>
      </c>
      <c r="AD5268">
        <v>-0.40357949999999998</v>
      </c>
      <c r="AE5268">
        <v>-3.4203299999999999</v>
      </c>
      <c r="AF5268">
        <v>4.1146536280441897</v>
      </c>
      <c r="AG5268">
        <v>-0.40357949999999998</v>
      </c>
      <c r="AH5268">
        <v>56.324387317074503</v>
      </c>
      <c r="AI5268">
        <v>90.409441717887105</v>
      </c>
      <c r="AJ5268">
        <v>85.821805518222902</v>
      </c>
      <c r="AK5268">
        <v>56.475922812605901</v>
      </c>
      <c r="AL5268">
        <v>87.5104060290153</v>
      </c>
      <c r="AM5268">
        <v>81.216314877975606</v>
      </c>
      <c r="AN5268">
        <v>0.99999999907817105</v>
      </c>
    </row>
    <row r="5269" spans="1:40" x14ac:dyDescent="0.25">
      <c r="A5269" t="str">
        <f>"20190305135340287"</f>
        <v>20190305135340287</v>
      </c>
      <c r="B5269" t="str">
        <f>"1551765220275365"</f>
        <v>1551765220275365</v>
      </c>
      <c r="C5269" t="s">
        <v>40</v>
      </c>
      <c r="D5269">
        <v>4.4197629999999997</v>
      </c>
      <c r="E5269">
        <v>0.46957870000000002</v>
      </c>
      <c r="F5269" t="s">
        <v>75</v>
      </c>
      <c r="G5269">
        <v>-279.68</v>
      </c>
      <c r="H5269">
        <v>0.70633159999999995</v>
      </c>
      <c r="I5269">
        <v>13.607799999999999</v>
      </c>
      <c r="J5269">
        <v>-335.91770000000002</v>
      </c>
      <c r="K5269">
        <v>1.110331</v>
      </c>
      <c r="L5269">
        <v>16.996549999999999</v>
      </c>
      <c r="M5269">
        <v>0.99982170000000004</v>
      </c>
      <c r="N5269">
        <v>-1.390133E-2</v>
      </c>
      <c r="O5269">
        <v>1.278688E-2</v>
      </c>
      <c r="P5269">
        <v>0.9897802</v>
      </c>
      <c r="Q5269">
        <v>2.9537290000000001E-2</v>
      </c>
      <c r="R5269">
        <v>-0.13950989999999999</v>
      </c>
      <c r="S5269">
        <v>3.006348</v>
      </c>
      <c r="T5269">
        <v>-2.1546719999999998E-2</v>
      </c>
      <c r="U5269">
        <v>-0.18060300000000001</v>
      </c>
      <c r="V5269">
        <v>0.152093899999999</v>
      </c>
      <c r="W5269">
        <v>4.348511E-2</v>
      </c>
      <c r="X5269">
        <v>0.98740899999999998</v>
      </c>
      <c r="Y5269">
        <v>7.2720220000000002E-2</v>
      </c>
      <c r="Z5269">
        <v>-6.8028619999999996E-4</v>
      </c>
      <c r="AA5269">
        <v>0.99735209999999996</v>
      </c>
      <c r="AB5269">
        <v>25</v>
      </c>
      <c r="AC5269">
        <v>56.237699999999997</v>
      </c>
      <c r="AD5269">
        <v>-0.40399940000000001</v>
      </c>
      <c r="AE5269">
        <v>-3.3887499999999999</v>
      </c>
      <c r="AF5269">
        <v>4.1074358411369802</v>
      </c>
      <c r="AG5269">
        <v>-0.40399940000000001</v>
      </c>
      <c r="AH5269">
        <v>56.186876517643803</v>
      </c>
      <c r="AI5269">
        <v>90.410869268453894</v>
      </c>
      <c r="AJ5269">
        <v>85.8189372665544</v>
      </c>
      <c r="AK5269">
        <v>56.338258204467103</v>
      </c>
      <c r="AL5269">
        <v>87.507700886236407</v>
      </c>
      <c r="AM5269">
        <v>81.243361384367205</v>
      </c>
      <c r="AN5269">
        <v>1.00000002124496</v>
      </c>
    </row>
    <row r="5270" spans="1:40" x14ac:dyDescent="0.25">
      <c r="A5270" t="str">
        <f>"20190305135340298"</f>
        <v>20190305135340298</v>
      </c>
      <c r="B5270" t="str">
        <f>"1551765220285125"</f>
        <v>1551765220285125</v>
      </c>
      <c r="C5270" t="s">
        <v>40</v>
      </c>
      <c r="D5270">
        <v>4.4230980000000004</v>
      </c>
      <c r="E5270">
        <v>0.46976269999999998</v>
      </c>
      <c r="F5270" t="s">
        <v>75</v>
      </c>
      <c r="G5270">
        <v>-279.68</v>
      </c>
      <c r="H5270">
        <v>0.70935049999999999</v>
      </c>
      <c r="I5270">
        <v>13.64786</v>
      </c>
      <c r="J5270">
        <v>-335.78289999999998</v>
      </c>
      <c r="K5270">
        <v>1.1102970000000001</v>
      </c>
      <c r="L5270">
        <v>16.998809999999999</v>
      </c>
      <c r="M5270">
        <v>0.99981620000000004</v>
      </c>
      <c r="N5270">
        <v>-1.389959E-2</v>
      </c>
      <c r="O5270">
        <v>1.320647E-2</v>
      </c>
      <c r="P5270">
        <v>0.9899483</v>
      </c>
      <c r="Q5270">
        <v>2.9239210000000002E-2</v>
      </c>
      <c r="R5270">
        <v>-0.13837439999999901</v>
      </c>
      <c r="S5270">
        <v>3.0063780000000002</v>
      </c>
      <c r="T5270">
        <v>-2.143633E-2</v>
      </c>
      <c r="U5270">
        <v>-0.17901610000000001</v>
      </c>
      <c r="V5270">
        <v>0.15137919999999999</v>
      </c>
      <c r="W5270">
        <v>4.317402E-2</v>
      </c>
      <c r="X5270">
        <v>0.98753239999999998</v>
      </c>
      <c r="Y5270">
        <v>7.2613629999999998E-2</v>
      </c>
      <c r="Z5270">
        <v>-6.7447479999999897E-4</v>
      </c>
      <c r="AA5270">
        <v>0.99735989999999997</v>
      </c>
      <c r="AB5270">
        <v>25</v>
      </c>
      <c r="AC5270">
        <v>56.102899999999899</v>
      </c>
      <c r="AD5270">
        <v>-0.40094649999999898</v>
      </c>
      <c r="AE5270">
        <v>-3.3509499999999899</v>
      </c>
      <c r="AF5270">
        <v>4.0914423177524899</v>
      </c>
      <c r="AG5270">
        <v>-0.40094649999999898</v>
      </c>
      <c r="AH5270">
        <v>56.050895286550599</v>
      </c>
      <c r="AI5270">
        <v>90.408756983528406</v>
      </c>
      <c r="AJ5270">
        <v>85.825091730324303</v>
      </c>
      <c r="AK5270">
        <v>56.201454792195698</v>
      </c>
      <c r="AL5270">
        <v>87.525541608218703</v>
      </c>
      <c r="AM5270">
        <v>81.284948518488704</v>
      </c>
      <c r="AN5270">
        <v>0.99999994962267802</v>
      </c>
    </row>
    <row r="5271" spans="1:40" x14ac:dyDescent="0.25">
      <c r="A5271" t="str">
        <f>"20190305135340309"</f>
        <v>20190305135340309</v>
      </c>
      <c r="B5271" t="str">
        <f>"1551765220305620"</f>
        <v>1551765220305620</v>
      </c>
      <c r="C5271" t="s">
        <v>40</v>
      </c>
      <c r="D5271">
        <v>4.4364980000000003</v>
      </c>
      <c r="E5271">
        <v>0.47006599999999998</v>
      </c>
      <c r="F5271" t="s">
        <v>75</v>
      </c>
      <c r="G5271">
        <v>-279.68</v>
      </c>
      <c r="H5271">
        <v>0.68531999999999904</v>
      </c>
      <c r="I5271">
        <v>13.69459</v>
      </c>
      <c r="J5271">
        <v>-335.65879999999999</v>
      </c>
      <c r="K5271">
        <v>1.1102650000000001</v>
      </c>
      <c r="L5271">
        <v>17.000889999999998</v>
      </c>
      <c r="M5271">
        <v>0.99981140000000002</v>
      </c>
      <c r="N5271">
        <v>-1.3898010000000001E-2</v>
      </c>
      <c r="O5271">
        <v>1.357301E-2</v>
      </c>
      <c r="P5271">
        <v>0.99013640000000003</v>
      </c>
      <c r="Q5271">
        <v>2.8645799999999999E-2</v>
      </c>
      <c r="R5271">
        <v>-0.13714760000000001</v>
      </c>
      <c r="S5271">
        <v>3.0063780000000002</v>
      </c>
      <c r="T5271">
        <v>-2.2773740000000001E-2</v>
      </c>
      <c r="U5271">
        <v>-0.177063</v>
      </c>
      <c r="V5271">
        <v>0.1505214</v>
      </c>
      <c r="W5271">
        <v>4.2568040000000001E-2</v>
      </c>
      <c r="X5271">
        <v>0.98768990000000001</v>
      </c>
      <c r="Y5271">
        <v>7.2333159999999994E-2</v>
      </c>
      <c r="Z5271">
        <v>-6.9111279999999997E-4</v>
      </c>
      <c r="AA5271">
        <v>0.9973803</v>
      </c>
      <c r="AB5271">
        <v>25</v>
      </c>
      <c r="AC5271">
        <v>55.9787999999999</v>
      </c>
      <c r="AD5271">
        <v>-0.42494500000000002</v>
      </c>
      <c r="AE5271">
        <v>-3.30629999999999</v>
      </c>
      <c r="AF5271">
        <v>4.0656360211748099</v>
      </c>
      <c r="AG5271">
        <v>-0.42494500000000002</v>
      </c>
      <c r="AH5271">
        <v>55.925550041768503</v>
      </c>
      <c r="AI5271">
        <v>90.4342023794337</v>
      </c>
      <c r="AJ5271">
        <v>85.842066462078805</v>
      </c>
      <c r="AK5271">
        <v>56.074745848590801</v>
      </c>
      <c r="AL5271">
        <v>87.560293864025596</v>
      </c>
      <c r="AM5271">
        <v>81.334942031458297</v>
      </c>
      <c r="AN5271">
        <v>1.0000000342247</v>
      </c>
    </row>
    <row r="5272" spans="1:40" x14ac:dyDescent="0.25">
      <c r="A5272" t="str">
        <f>"20190305135340328"</f>
        <v>20190305135340328</v>
      </c>
      <c r="B5272" t="str">
        <f>"1551765220315381"</f>
        <v>1551765220315381</v>
      </c>
      <c r="C5272" t="s">
        <v>40</v>
      </c>
      <c r="D5272">
        <v>4.4207710000000002</v>
      </c>
      <c r="E5272">
        <v>0.47017379999999998</v>
      </c>
      <c r="F5272" t="s">
        <v>75</v>
      </c>
      <c r="G5272">
        <v>-279.68</v>
      </c>
      <c r="H5272">
        <v>0.64661230000000003</v>
      </c>
      <c r="I5272">
        <v>13.727169999999999</v>
      </c>
      <c r="J5272">
        <v>-335.4581</v>
      </c>
      <c r="K5272">
        <v>1.1102099999999999</v>
      </c>
      <c r="L5272">
        <v>17.004270000000002</v>
      </c>
      <c r="M5272">
        <v>0.99980400000000003</v>
      </c>
      <c r="N5272">
        <v>-1.389543E-2</v>
      </c>
      <c r="O5272">
        <v>1.4107089999999999E-2</v>
      </c>
      <c r="P5272">
        <v>0.99045320000000003</v>
      </c>
      <c r="Q5272">
        <v>2.8740269999999998E-2</v>
      </c>
      <c r="R5272">
        <v>-0.13482060000000001</v>
      </c>
      <c r="S5272">
        <v>3.0062869999999999</v>
      </c>
      <c r="T5272">
        <v>-2.4900559999999999E-2</v>
      </c>
      <c r="U5272">
        <v>-0.17581179999999999</v>
      </c>
      <c r="V5272">
        <v>0.14873339999999999</v>
      </c>
      <c r="W5272">
        <v>4.2638549999999997E-2</v>
      </c>
      <c r="X5272">
        <v>0.98795770000000005</v>
      </c>
      <c r="Y5272">
        <v>7.2453340000000005E-2</v>
      </c>
      <c r="Z5272">
        <v>-7.2456119999999896E-4</v>
      </c>
      <c r="AA5272">
        <v>0.99737160000000002</v>
      </c>
      <c r="AB5272">
        <v>25</v>
      </c>
      <c r="AC5272">
        <v>55.778100000000002</v>
      </c>
      <c r="AD5272">
        <v>-0.4635977</v>
      </c>
      <c r="AE5272">
        <v>-3.2770999999999999</v>
      </c>
      <c r="AF5272">
        <v>4.0634366959369297</v>
      </c>
      <c r="AG5272">
        <v>-0.4635977</v>
      </c>
      <c r="AH5272">
        <v>55.722477555891402</v>
      </c>
      <c r="AI5272">
        <v>90.475413871588401</v>
      </c>
      <c r="AJ5272">
        <v>85.829216364596206</v>
      </c>
      <c r="AK5272">
        <v>55.872362985434499</v>
      </c>
      <c r="AL5272">
        <v>87.556250290375104</v>
      </c>
      <c r="AM5272">
        <v>81.438623585346505</v>
      </c>
      <c r="AN5272">
        <v>1.0000000436054699</v>
      </c>
    </row>
    <row r="5273" spans="1:40" x14ac:dyDescent="0.25">
      <c r="A5273" t="str">
        <f>"20190305135340339"</f>
        <v>20190305135340339</v>
      </c>
      <c r="B5273" t="str">
        <f>"1551765220335527"</f>
        <v>1551765220335527</v>
      </c>
      <c r="C5273" t="s">
        <v>40</v>
      </c>
      <c r="D5273">
        <v>5.1108650000000004</v>
      </c>
      <c r="E5273">
        <v>0.49234070000000002</v>
      </c>
      <c r="F5273" t="s">
        <v>75</v>
      </c>
      <c r="G5273">
        <v>-279.68</v>
      </c>
      <c r="H5273">
        <v>0.64962909999999996</v>
      </c>
      <c r="I5273">
        <v>13.85577</v>
      </c>
      <c r="J5273">
        <v>-335.32029999999997</v>
      </c>
      <c r="K5273">
        <v>1.110161</v>
      </c>
      <c r="L5273">
        <v>17.006620000000002</v>
      </c>
      <c r="M5273">
        <v>0.99979969999999996</v>
      </c>
      <c r="N5273">
        <v>-1.389346E-2</v>
      </c>
      <c r="O5273">
        <v>1.441185E-2</v>
      </c>
      <c r="P5273">
        <v>0.99056670000000002</v>
      </c>
      <c r="Q5273">
        <v>2.9006009999999999E-2</v>
      </c>
      <c r="R5273">
        <v>-0.13392660000000001</v>
      </c>
      <c r="S5273">
        <v>3.0065</v>
      </c>
      <c r="T5273">
        <v>-2.482641E-2</v>
      </c>
      <c r="U5273">
        <v>-0.16970829999999901</v>
      </c>
      <c r="V5273">
        <v>0.14814769999999999</v>
      </c>
      <c r="W5273">
        <v>4.2883419999999998E-2</v>
      </c>
      <c r="X5273">
        <v>0.988035</v>
      </c>
      <c r="Y5273">
        <v>7.0735179999999995E-2</v>
      </c>
      <c r="Z5273">
        <v>-7.0248000000000001E-4</v>
      </c>
      <c r="AA5273">
        <v>0.99749489999999996</v>
      </c>
      <c r="AB5273">
        <v>25</v>
      </c>
      <c r="AC5273">
        <v>55.640299999999897</v>
      </c>
      <c r="AD5273">
        <v>-0.46053189999999899</v>
      </c>
      <c r="AE5273">
        <v>-3.1508500000000002</v>
      </c>
      <c r="AF5273">
        <v>3.9522098032457902</v>
      </c>
      <c r="AG5273">
        <v>-0.46053189999999899</v>
      </c>
      <c r="AH5273">
        <v>55.585310484586799</v>
      </c>
      <c r="AI5273">
        <v>90.473497201067005</v>
      </c>
      <c r="AJ5273">
        <v>85.933017211810295</v>
      </c>
      <c r="AK5273">
        <v>55.727540710385803</v>
      </c>
      <c r="AL5273">
        <v>87.542207186289303</v>
      </c>
      <c r="AM5273">
        <v>81.472498283894197</v>
      </c>
      <c r="AN5273">
        <v>0.99999994497559097</v>
      </c>
    </row>
    <row r="5274" spans="1:40" x14ac:dyDescent="0.25">
      <c r="A5274" t="str">
        <f>"20190305135340353"</f>
        <v>20190305135340353</v>
      </c>
      <c r="B5274" t="str">
        <f>"1551765220345267"</f>
        <v>1551765220345267</v>
      </c>
      <c r="C5274" t="s">
        <v>40</v>
      </c>
      <c r="D5274">
        <v>4.4885359999999999</v>
      </c>
      <c r="E5274">
        <v>0.50093650000000001</v>
      </c>
      <c r="F5274" t="s">
        <v>47</v>
      </c>
      <c r="G5274">
        <v>-254.1113</v>
      </c>
      <c r="H5274">
        <v>-0.05</v>
      </c>
      <c r="I5274">
        <v>7.6865839999999999</v>
      </c>
      <c r="J5274">
        <v>-335.17880000000002</v>
      </c>
      <c r="K5274">
        <v>1.1101080000000001</v>
      </c>
      <c r="L5274">
        <v>17.009</v>
      </c>
      <c r="M5274">
        <v>0.99979569999999995</v>
      </c>
      <c r="N5274">
        <v>-1.3891479999999999E-2</v>
      </c>
      <c r="O5274">
        <v>1.468068E-2</v>
      </c>
      <c r="P5274">
        <v>0.99062019999999995</v>
      </c>
      <c r="Q5274">
        <v>2.9515820000000002E-2</v>
      </c>
      <c r="R5274">
        <v>-0.13341810000000001</v>
      </c>
      <c r="S5274">
        <v>2.9835210000000001</v>
      </c>
      <c r="T5274">
        <v>-4.2622920000000002E-2</v>
      </c>
      <c r="U5274">
        <v>-0.34240720000000002</v>
      </c>
      <c r="V5274">
        <v>0.1479116</v>
      </c>
      <c r="W5274">
        <v>4.3370289999999999E-2</v>
      </c>
      <c r="X5274">
        <v>0.98804910000000001</v>
      </c>
      <c r="Y5274">
        <v>0.12856609999999999</v>
      </c>
      <c r="Z5274">
        <v>-1.8171750000000001E-3</v>
      </c>
      <c r="AA5274">
        <v>0.99169929999999995</v>
      </c>
      <c r="AB5274">
        <v>25</v>
      </c>
      <c r="AC5274">
        <v>81.067499999999995</v>
      </c>
      <c r="AD5274">
        <v>-1.1601079999999999</v>
      </c>
      <c r="AE5274">
        <v>-9.3224160000000005</v>
      </c>
      <c r="AF5274">
        <v>10.50952793874</v>
      </c>
      <c r="AG5274">
        <v>-1.1601079999999999</v>
      </c>
      <c r="AH5274">
        <v>80.905537100479606</v>
      </c>
      <c r="AI5274">
        <v>90.814666834118299</v>
      </c>
      <c r="AJ5274">
        <v>82.598792870481603</v>
      </c>
      <c r="AK5274">
        <v>81.593516663910904</v>
      </c>
      <c r="AL5274">
        <v>87.514285557371394</v>
      </c>
      <c r="AM5274">
        <v>81.486008775866097</v>
      </c>
      <c r="AN5274">
        <v>0.999999923740024</v>
      </c>
    </row>
    <row r="5275" spans="1:40" x14ac:dyDescent="0.25">
      <c r="A5275" t="str">
        <f>"20190305135340366"</f>
        <v>20190305135340366</v>
      </c>
      <c r="B5275" t="str">
        <f>"1551765220355026"</f>
        <v>1551765220355026</v>
      </c>
      <c r="C5275" t="s">
        <v>40</v>
      </c>
      <c r="D5275">
        <v>4.493779</v>
      </c>
      <c r="E5275">
        <v>0.50093650000000001</v>
      </c>
      <c r="F5275" t="s">
        <v>47</v>
      </c>
      <c r="G5275">
        <v>-271.33940000000001</v>
      </c>
      <c r="H5275">
        <v>-0.05</v>
      </c>
      <c r="I5275">
        <v>8.2315670000000001</v>
      </c>
      <c r="J5275">
        <v>-335.02499999999998</v>
      </c>
      <c r="K5275">
        <v>1.110044</v>
      </c>
      <c r="L5275">
        <v>17.011600000000001</v>
      </c>
      <c r="M5275">
        <v>0.99979209999999996</v>
      </c>
      <c r="N5275">
        <v>-1.388938E-2</v>
      </c>
      <c r="O5275">
        <v>1.492956E-2</v>
      </c>
      <c r="P5275">
        <v>0.99068619999999996</v>
      </c>
      <c r="Q5275">
        <v>3.0312909999999998E-2</v>
      </c>
      <c r="R5275">
        <v>-0.1327477</v>
      </c>
      <c r="S5275">
        <v>2.9749150000000002</v>
      </c>
      <c r="T5275">
        <v>-5.4060940000000002E-2</v>
      </c>
      <c r="U5275">
        <v>-0.40902709999999998</v>
      </c>
      <c r="V5275">
        <v>0.14749499999999999</v>
      </c>
      <c r="W5275">
        <v>4.4140600000000002E-2</v>
      </c>
      <c r="X5275">
        <v>0.98807730000000005</v>
      </c>
      <c r="Y5275">
        <v>0.15094369999999999</v>
      </c>
      <c r="Z5275">
        <v>-2.4820520000000002E-3</v>
      </c>
      <c r="AA5275">
        <v>0.98853930000000001</v>
      </c>
      <c r="AB5275">
        <v>25</v>
      </c>
      <c r="AC5275">
        <v>63.685599999999901</v>
      </c>
      <c r="AD5275">
        <v>-1.1600440000000001</v>
      </c>
      <c r="AE5275">
        <v>-8.7800329999999995</v>
      </c>
      <c r="AF5275">
        <v>9.7267768710322606</v>
      </c>
      <c r="AG5275">
        <v>-1.1600440000000001</v>
      </c>
      <c r="AH5275">
        <v>63.526721529641897</v>
      </c>
      <c r="AI5275">
        <v>91.034097590281206</v>
      </c>
      <c r="AJ5275">
        <v>81.294868847089703</v>
      </c>
      <c r="AK5275">
        <v>64.277525144372603</v>
      </c>
      <c r="AL5275">
        <v>87.470107820365101</v>
      </c>
      <c r="AM5275">
        <v>81.509877628258593</v>
      </c>
      <c r="AN5275">
        <v>0.99999995918432405</v>
      </c>
    </row>
    <row r="5276" spans="1:40" x14ac:dyDescent="0.25">
      <c r="A5276" t="str">
        <f>"20190305135340386"</f>
        <v>20190305135340386</v>
      </c>
      <c r="B5276" t="str">
        <f>"1551765220375523"</f>
        <v>1551765220375523</v>
      </c>
      <c r="C5276" t="s">
        <v>40</v>
      </c>
      <c r="D5276">
        <v>4.4898470000000001</v>
      </c>
      <c r="E5276">
        <v>0.55640730000000005</v>
      </c>
      <c r="F5276" t="s">
        <v>47</v>
      </c>
      <c r="G5276">
        <v>-268.2269</v>
      </c>
      <c r="H5276">
        <v>-0.05</v>
      </c>
      <c r="I5276">
        <v>7.8721619999999897</v>
      </c>
      <c r="J5276">
        <v>-334.8023</v>
      </c>
      <c r="K5276">
        <v>1.1099410000000001</v>
      </c>
      <c r="L5276">
        <v>17.015260000000001</v>
      </c>
      <c r="M5276">
        <v>0.99978889999999998</v>
      </c>
      <c r="N5276">
        <v>-1.3886590000000001E-2</v>
      </c>
      <c r="O5276">
        <v>1.51456E-2</v>
      </c>
      <c r="P5276">
        <v>0.99071310000000001</v>
      </c>
      <c r="Q5276">
        <v>3.1725179999999999E-2</v>
      </c>
      <c r="R5276">
        <v>-0.13221669999999999</v>
      </c>
      <c r="S5276">
        <v>2.9752200000000002</v>
      </c>
      <c r="T5276">
        <v>-5.166888E-2</v>
      </c>
      <c r="U5276">
        <v>-0.40707399999999999</v>
      </c>
      <c r="V5276">
        <v>0.14718979999999901</v>
      </c>
      <c r="W5276">
        <v>4.550966E-2</v>
      </c>
      <c r="X5276">
        <v>0.98806079999999996</v>
      </c>
      <c r="Y5276">
        <v>0.1505097</v>
      </c>
      <c r="Z5276">
        <v>-2.403362E-3</v>
      </c>
      <c r="AA5276">
        <v>0.98860559999999997</v>
      </c>
      <c r="AB5276">
        <v>25</v>
      </c>
      <c r="AC5276">
        <v>66.575400000000002</v>
      </c>
      <c r="AD5276">
        <v>-1.1599409999999899</v>
      </c>
      <c r="AE5276">
        <v>-9.1430980000000002</v>
      </c>
      <c r="AF5276">
        <v>10.1474473169266</v>
      </c>
      <c r="AG5276">
        <v>-1.1599409999999899</v>
      </c>
      <c r="AH5276">
        <v>66.409485128456794</v>
      </c>
      <c r="AI5276">
        <v>90.989175958773799</v>
      </c>
      <c r="AJ5276">
        <v>81.312335472973402</v>
      </c>
      <c r="AK5276">
        <v>67.190295915407404</v>
      </c>
      <c r="AL5276">
        <v>87.391587777545695</v>
      </c>
      <c r="AM5276">
        <v>81.5270508871278</v>
      </c>
      <c r="AN5276">
        <v>1.0000000554369901</v>
      </c>
    </row>
    <row r="5277" spans="1:40" x14ac:dyDescent="0.25">
      <c r="A5277" t="str">
        <f>"20190305135340399"</f>
        <v>20190305135340399</v>
      </c>
      <c r="B5277" t="str">
        <f>"1551765220385282"</f>
        <v>1551765220385282</v>
      </c>
      <c r="C5277" t="s">
        <v>40</v>
      </c>
      <c r="D5277">
        <v>4.4474640000000001</v>
      </c>
      <c r="E5277">
        <v>0.55888919999999997</v>
      </c>
      <c r="F5277" t="s">
        <v>47</v>
      </c>
      <c r="G5277">
        <v>-272.54570000000001</v>
      </c>
      <c r="H5277">
        <v>-0.05</v>
      </c>
      <c r="I5277">
        <v>-0.99917599999999995</v>
      </c>
      <c r="J5277">
        <v>-334.64679999999998</v>
      </c>
      <c r="K5277">
        <v>1.1098619999999999</v>
      </c>
      <c r="L5277">
        <v>17.017759999999999</v>
      </c>
      <c r="M5277">
        <v>0.99978820000000002</v>
      </c>
      <c r="N5277">
        <v>-1.3884799999999999E-2</v>
      </c>
      <c r="O5277">
        <v>1.519329E-2</v>
      </c>
      <c r="P5277">
        <v>0.99075800000000003</v>
      </c>
      <c r="Q5277">
        <v>3.2047770000000003E-2</v>
      </c>
      <c r="R5277">
        <v>-0.1318019</v>
      </c>
      <c r="S5277">
        <v>2.9172060000000002</v>
      </c>
      <c r="T5277">
        <v>-5.4352280000000003E-2</v>
      </c>
      <c r="U5277">
        <v>-0.84411619999999998</v>
      </c>
      <c r="V5277">
        <v>0.14683170000000001</v>
      </c>
      <c r="W5277">
        <v>4.5801179999999997E-2</v>
      </c>
      <c r="X5277">
        <v>0.98810050000000005</v>
      </c>
      <c r="Y5277">
        <v>0.29243459999999899</v>
      </c>
      <c r="Z5277">
        <v>-4.8115830000000004E-3</v>
      </c>
      <c r="AA5277">
        <v>0.95627340000000005</v>
      </c>
      <c r="AB5277">
        <v>25</v>
      </c>
      <c r="AC5277">
        <v>62.101099999999903</v>
      </c>
      <c r="AD5277">
        <v>-1.1598619999999999</v>
      </c>
      <c r="AE5277">
        <v>-18.016936000000001</v>
      </c>
      <c r="AF5277">
        <v>18.952369059997</v>
      </c>
      <c r="AG5277">
        <v>-1.1598619999999999</v>
      </c>
      <c r="AH5277">
        <v>61.8002835697474</v>
      </c>
      <c r="AI5277">
        <v>91.027954388834502</v>
      </c>
      <c r="AJ5277">
        <v>72.950729973025005</v>
      </c>
      <c r="AK5277">
        <v>64.651470378844195</v>
      </c>
      <c r="AL5277">
        <v>87.374867193190497</v>
      </c>
      <c r="AM5277">
        <v>81.547701391088097</v>
      </c>
      <c r="AN5277">
        <v>0.99999994715726404</v>
      </c>
    </row>
    <row r="5278" spans="1:40" x14ac:dyDescent="0.25">
      <c r="A5278" t="str">
        <f>"20190305135340416"</f>
        <v>20190305135340416</v>
      </c>
      <c r="B5278" t="str">
        <f>"1551765220405778"</f>
        <v>1551765220405778</v>
      </c>
      <c r="C5278" t="s">
        <v>40</v>
      </c>
      <c r="D5278">
        <v>4.4530770000000004</v>
      </c>
      <c r="E5278">
        <v>0.560532699999999</v>
      </c>
      <c r="F5278" t="s">
        <v>47</v>
      </c>
      <c r="G5278">
        <v>-284.12290000000002</v>
      </c>
      <c r="H5278">
        <v>-0.05</v>
      </c>
      <c r="I5278">
        <v>2.0670169999999999</v>
      </c>
      <c r="J5278">
        <v>-334.45699999999999</v>
      </c>
      <c r="K5278">
        <v>1.109766</v>
      </c>
      <c r="L5278">
        <v>17.020720000000001</v>
      </c>
      <c r="M5278">
        <v>0.99978860000000003</v>
      </c>
      <c r="N5278">
        <v>-1.3882800000000001E-2</v>
      </c>
      <c r="O5278">
        <v>1.5164479999999999E-2</v>
      </c>
      <c r="P5278">
        <v>0.99076090000000006</v>
      </c>
      <c r="Q5278">
        <v>3.247514E-2</v>
      </c>
      <c r="R5278">
        <v>-0.1316754</v>
      </c>
      <c r="S5278">
        <v>2.915375</v>
      </c>
      <c r="T5278">
        <v>-6.6927429999999996E-2</v>
      </c>
      <c r="U5278">
        <v>-0.86270139999999995</v>
      </c>
      <c r="V5278">
        <v>0.14668809999999999</v>
      </c>
      <c r="W5278">
        <v>4.6190340000000003E-2</v>
      </c>
      <c r="X5278">
        <v>0.98810370000000003</v>
      </c>
      <c r="Y5278">
        <v>0.29814170000000001</v>
      </c>
      <c r="Z5278">
        <v>-5.5983830000000002E-3</v>
      </c>
      <c r="AA5278">
        <v>0.95450520000000005</v>
      </c>
      <c r="AB5278">
        <v>25</v>
      </c>
      <c r="AC5278">
        <v>50.3340999999999</v>
      </c>
      <c r="AD5278">
        <v>-1.1597660000000001</v>
      </c>
      <c r="AE5278">
        <v>-14.9537029999999</v>
      </c>
      <c r="AF5278">
        <v>15.707684293430001</v>
      </c>
      <c r="AG5278">
        <v>-1.1597660000000001</v>
      </c>
      <c r="AH5278">
        <v>50.077094197578703</v>
      </c>
      <c r="AI5278">
        <v>91.265916734639106</v>
      </c>
      <c r="AJ5278">
        <v>72.584921477021197</v>
      </c>
      <c r="AK5278">
        <v>52.495635688217</v>
      </c>
      <c r="AL5278">
        <v>87.352546308038299</v>
      </c>
      <c r="AM5278">
        <v>81.555875375168895</v>
      </c>
      <c r="AN5278">
        <v>0.99999993407230503</v>
      </c>
    </row>
    <row r="5279" spans="1:40" x14ac:dyDescent="0.25">
      <c r="A5279" t="str">
        <f>"20190305135340428"</f>
        <v>20190305135340428</v>
      </c>
      <c r="B5279" t="str">
        <f>"1551765220415539"</f>
        <v>1551765220415539</v>
      </c>
      <c r="C5279" t="s">
        <v>40</v>
      </c>
      <c r="D5279">
        <v>4.4476509999999996</v>
      </c>
      <c r="E5279">
        <v>0.56042650000000005</v>
      </c>
      <c r="F5279" t="s">
        <v>47</v>
      </c>
      <c r="G5279">
        <v>-291.9599</v>
      </c>
      <c r="H5279">
        <v>-0.05</v>
      </c>
      <c r="I5279">
        <v>4.2543179999999996</v>
      </c>
      <c r="J5279">
        <v>-334.33440000000002</v>
      </c>
      <c r="K5279">
        <v>1.1097030000000001</v>
      </c>
      <c r="L5279">
        <v>17.022549999999999</v>
      </c>
      <c r="M5279">
        <v>0.99978959999999995</v>
      </c>
      <c r="N5279">
        <v>-1.3881589999999999E-2</v>
      </c>
      <c r="O5279">
        <v>1.5096409999999999E-2</v>
      </c>
      <c r="P5279">
        <v>0.99077079999999995</v>
      </c>
      <c r="Q5279">
        <v>3.259517E-2</v>
      </c>
      <c r="R5279">
        <v>-0.1315711</v>
      </c>
      <c r="S5279">
        <v>2.9142459999999999</v>
      </c>
      <c r="T5279">
        <v>-7.9531069999999995E-2</v>
      </c>
      <c r="U5279">
        <v>-0.87545779999999995</v>
      </c>
      <c r="V5279">
        <v>0.1465243</v>
      </c>
      <c r="W5279">
        <v>4.6285130000000001E-2</v>
      </c>
      <c r="X5279">
        <v>0.98812370000000005</v>
      </c>
      <c r="Y5279">
        <v>0.30197049999999998</v>
      </c>
      <c r="Z5279">
        <v>-6.3709209999999999E-3</v>
      </c>
      <c r="AA5279">
        <v>0.95329600000000003</v>
      </c>
      <c r="AB5279">
        <v>25</v>
      </c>
      <c r="AC5279">
        <v>42.374499999999998</v>
      </c>
      <c r="AD5279">
        <v>-1.1597029999999999</v>
      </c>
      <c r="AE5279">
        <v>-12.768231999999999</v>
      </c>
      <c r="AF5279">
        <v>13.397341780333599</v>
      </c>
      <c r="AG5279">
        <v>-1.1597029999999999</v>
      </c>
      <c r="AH5279">
        <v>42.147955795480101</v>
      </c>
      <c r="AI5279">
        <v>91.502077202870794</v>
      </c>
      <c r="AJ5279">
        <v>72.366383300209307</v>
      </c>
      <c r="AK5279">
        <v>44.241200882944199</v>
      </c>
      <c r="AL5279">
        <v>87.347109773714706</v>
      </c>
      <c r="AM5279">
        <v>81.565337097232899</v>
      </c>
      <c r="AN5279">
        <v>1.00000006512564</v>
      </c>
    </row>
    <row r="5280" spans="1:40" x14ac:dyDescent="0.25">
      <c r="A5280" t="str">
        <f>"20190305135340438"</f>
        <v>20190305135340438</v>
      </c>
      <c r="B5280" t="str">
        <f>"1551765220425298"</f>
        <v>1551765220425298</v>
      </c>
      <c r="C5280" t="s">
        <v>40</v>
      </c>
      <c r="D5280">
        <v>4.417751</v>
      </c>
      <c r="E5280">
        <v>0.56061589999999994</v>
      </c>
      <c r="F5280" t="s">
        <v>47</v>
      </c>
      <c r="G5280">
        <v>-293.48739999999998</v>
      </c>
      <c r="H5280">
        <v>-0.05</v>
      </c>
      <c r="I5280">
        <v>4.7696379999999996</v>
      </c>
      <c r="J5280">
        <v>-334.20440000000002</v>
      </c>
      <c r="K5280">
        <v>1.1096280000000001</v>
      </c>
      <c r="L5280">
        <v>17.024439999999998</v>
      </c>
      <c r="M5280">
        <v>0.99979220000000002</v>
      </c>
      <c r="N5280">
        <v>-1.3880409999999999E-2</v>
      </c>
      <c r="O5280">
        <v>1.4934619999999999E-2</v>
      </c>
      <c r="P5280">
        <v>0.99073489999999997</v>
      </c>
      <c r="Q5280">
        <v>3.292345E-2</v>
      </c>
      <c r="R5280">
        <v>-0.13175880000000001</v>
      </c>
      <c r="S5280">
        <v>2.914612</v>
      </c>
      <c r="T5280">
        <v>-8.2749840000000005E-2</v>
      </c>
      <c r="U5280">
        <v>-0.87429809999999997</v>
      </c>
      <c r="V5280">
        <v>0.14656060000000001</v>
      </c>
      <c r="W5280">
        <v>4.6584260000000002E-2</v>
      </c>
      <c r="X5280">
        <v>0.98810419999999999</v>
      </c>
      <c r="Y5280">
        <v>0.30142469999999999</v>
      </c>
      <c r="Z5280">
        <v>-6.5359909999999997E-3</v>
      </c>
      <c r="AA5280">
        <v>0.95346759999999997</v>
      </c>
      <c r="AB5280">
        <v>25</v>
      </c>
      <c r="AC5280">
        <v>40.716999999999999</v>
      </c>
      <c r="AD5280">
        <v>-1.1596280000000001</v>
      </c>
      <c r="AE5280">
        <v>-12.2548019999999</v>
      </c>
      <c r="AF5280">
        <v>12.8520277791447</v>
      </c>
      <c r="AG5280">
        <v>-1.1596280000000001</v>
      </c>
      <c r="AH5280">
        <v>40.4992983431966</v>
      </c>
      <c r="AI5280">
        <v>91.563330091118601</v>
      </c>
      <c r="AJ5280">
        <v>72.393710048625493</v>
      </c>
      <c r="AK5280">
        <v>42.505441080237397</v>
      </c>
      <c r="AL5280">
        <v>87.329952224139504</v>
      </c>
      <c r="AM5280">
        <v>81.563113459878707</v>
      </c>
      <c r="AN5280">
        <v>1.00000000640487</v>
      </c>
    </row>
    <row r="5281" spans="1:40" x14ac:dyDescent="0.25">
      <c r="A5281" t="str">
        <f>"20190305135340450"</f>
        <v>20190305135340450</v>
      </c>
      <c r="B5281" t="str">
        <f>"1551765220445795"</f>
        <v>1551765220445795</v>
      </c>
      <c r="C5281" t="s">
        <v>40</v>
      </c>
      <c r="D5281">
        <v>4.4461839999999997</v>
      </c>
      <c r="E5281">
        <v>0.56133319999999998</v>
      </c>
      <c r="F5281" t="s">
        <v>47</v>
      </c>
      <c r="G5281">
        <v>-293.4898</v>
      </c>
      <c r="H5281">
        <v>-0.05</v>
      </c>
      <c r="I5281">
        <v>4.7835539999999996</v>
      </c>
      <c r="J5281">
        <v>-334.0745</v>
      </c>
      <c r="K5281">
        <v>1.109551</v>
      </c>
      <c r="L5281">
        <v>17.026250000000001</v>
      </c>
      <c r="M5281">
        <v>0.9997954</v>
      </c>
      <c r="N5281">
        <v>-1.387939E-2</v>
      </c>
      <c r="O5281">
        <v>1.4719049999999999E-2</v>
      </c>
      <c r="P5281">
        <v>0.99069790000000002</v>
      </c>
      <c r="Q5281">
        <v>3.3256050000000002E-2</v>
      </c>
      <c r="R5281">
        <v>-0.1319535</v>
      </c>
      <c r="S5281">
        <v>2.914307</v>
      </c>
      <c r="T5281">
        <v>-8.3004949999999994E-2</v>
      </c>
      <c r="U5281">
        <v>-0.87619020000000003</v>
      </c>
      <c r="V5281">
        <v>0.14655109999999999</v>
      </c>
      <c r="W5281">
        <v>4.6886240000000003E-2</v>
      </c>
      <c r="X5281">
        <v>0.98809130000000001</v>
      </c>
      <c r="Y5281">
        <v>0.3018132</v>
      </c>
      <c r="Z5281">
        <v>-6.5553699999999996E-3</v>
      </c>
      <c r="AA5281">
        <v>0.95334450000000004</v>
      </c>
      <c r="AB5281">
        <v>25</v>
      </c>
      <c r="AC5281">
        <v>40.584699999999998</v>
      </c>
      <c r="AD5281">
        <v>-1.159551</v>
      </c>
      <c r="AE5281">
        <v>-12.242696</v>
      </c>
      <c r="AF5281">
        <v>12.8291961114377</v>
      </c>
      <c r="AG5281">
        <v>-1.159551</v>
      </c>
      <c r="AH5281">
        <v>40.369878679675502</v>
      </c>
      <c r="AI5281">
        <v>91.568031035440896</v>
      </c>
      <c r="AJ5281">
        <v>72.370196271170997</v>
      </c>
      <c r="AK5281">
        <v>42.375227857783301</v>
      </c>
      <c r="AL5281">
        <v>87.312631049178805</v>
      </c>
      <c r="AM5281">
        <v>81.5635439097599</v>
      </c>
      <c r="AN5281">
        <v>0.999999980774118</v>
      </c>
    </row>
    <row r="5282" spans="1:40" x14ac:dyDescent="0.25">
      <c r="A5282" t="str">
        <f>"20190305135340462"</f>
        <v>20190305135340462</v>
      </c>
      <c r="B5282" t="str">
        <f>"1551765220455554"</f>
        <v>1551765220455554</v>
      </c>
      <c r="C5282" t="s">
        <v>40</v>
      </c>
      <c r="D5282">
        <v>4.3986150000000004</v>
      </c>
      <c r="E5282">
        <v>0.56164639999999999</v>
      </c>
      <c r="F5282" t="s">
        <v>47</v>
      </c>
      <c r="G5282">
        <v>-292.80900000000003</v>
      </c>
      <c r="H5282">
        <v>-0.05</v>
      </c>
      <c r="I5282">
        <v>4.5287930000000003</v>
      </c>
      <c r="J5282">
        <v>-333.94369999999998</v>
      </c>
      <c r="K5282">
        <v>1.1094679999999999</v>
      </c>
      <c r="L5282">
        <v>17.027950000000001</v>
      </c>
      <c r="M5282">
        <v>0.9997994</v>
      </c>
      <c r="N5282">
        <v>-1.387855E-2</v>
      </c>
      <c r="O5282">
        <v>1.4439540000000001E-2</v>
      </c>
      <c r="P5282">
        <v>0.99061370000000004</v>
      </c>
      <c r="Q5282">
        <v>3.387155E-2</v>
      </c>
      <c r="R5282">
        <v>-0.13242809999999999</v>
      </c>
      <c r="S5282">
        <v>2.9133610000000001</v>
      </c>
      <c r="T5282">
        <v>-8.1864709999999993E-2</v>
      </c>
      <c r="U5282">
        <v>-0.8823242</v>
      </c>
      <c r="V5282">
        <v>0.1467581</v>
      </c>
      <c r="W5282">
        <v>4.7469709999999998E-2</v>
      </c>
      <c r="X5282">
        <v>0.98803280000000004</v>
      </c>
      <c r="Y5282">
        <v>0.30347429999999997</v>
      </c>
      <c r="Z5282">
        <v>-6.5233399999999999E-3</v>
      </c>
      <c r="AA5282">
        <v>0.95281729999999998</v>
      </c>
      <c r="AB5282">
        <v>25</v>
      </c>
      <c r="AC5282">
        <v>41.134699999999903</v>
      </c>
      <c r="AD5282">
        <v>-1.1594679999999999</v>
      </c>
      <c r="AE5282">
        <v>-12.499157</v>
      </c>
      <c r="AF5282">
        <v>13.082361482715401</v>
      </c>
      <c r="AG5282">
        <v>-1.1594679999999999</v>
      </c>
      <c r="AH5282">
        <v>40.9201476830752</v>
      </c>
      <c r="AI5282">
        <v>91.545989032721806</v>
      </c>
      <c r="AJ5282">
        <v>72.270680128710197</v>
      </c>
      <c r="AK5282">
        <v>42.976168214629602</v>
      </c>
      <c r="AL5282">
        <v>87.279163638820293</v>
      </c>
      <c r="AM5282">
        <v>81.551306474640796</v>
      </c>
      <c r="AN5282">
        <v>1.0000000635794599</v>
      </c>
    </row>
    <row r="5283" spans="1:40" x14ac:dyDescent="0.25">
      <c r="A5283" t="str">
        <f>"20190305135340474"</f>
        <v>20190305135340474</v>
      </c>
      <c r="B5283" t="str">
        <f>"1551765220465315"</f>
        <v>1551765220465315</v>
      </c>
      <c r="C5283" t="s">
        <v>40</v>
      </c>
      <c r="D5283">
        <v>4.400811</v>
      </c>
      <c r="E5283">
        <v>0.56181029999999998</v>
      </c>
      <c r="F5283" t="s">
        <v>47</v>
      </c>
      <c r="G5283">
        <v>-293.16309999999999</v>
      </c>
      <c r="H5283">
        <v>-0.05</v>
      </c>
      <c r="I5283">
        <v>4.6233370000000003</v>
      </c>
      <c r="J5283">
        <v>-333.8125</v>
      </c>
      <c r="K5283">
        <v>1.10938</v>
      </c>
      <c r="L5283">
        <v>17.029540000000001</v>
      </c>
      <c r="M5283">
        <v>0.99980469999999999</v>
      </c>
      <c r="N5283">
        <v>-1.3878049999999999E-2</v>
      </c>
      <c r="O5283">
        <v>1.407271E-2</v>
      </c>
      <c r="P5283">
        <v>0.99052209999999996</v>
      </c>
      <c r="Q5283">
        <v>3.4479019999999999E-2</v>
      </c>
      <c r="R5283">
        <v>-0.13295670000000001</v>
      </c>
      <c r="S5283">
        <v>2.912811</v>
      </c>
      <c r="T5283">
        <v>-8.2816600000000004E-2</v>
      </c>
      <c r="U5283">
        <v>-0.88601679999999905</v>
      </c>
      <c r="V5283">
        <v>0.14693399999999901</v>
      </c>
      <c r="W5283">
        <v>4.8043170000000003E-2</v>
      </c>
      <c r="X5283">
        <v>0.98797889999999999</v>
      </c>
      <c r="Y5283">
        <v>0.30427680000000001</v>
      </c>
      <c r="Z5283">
        <v>-6.5883979999999997E-3</v>
      </c>
      <c r="AA5283">
        <v>0.95256090000000004</v>
      </c>
      <c r="AB5283">
        <v>25</v>
      </c>
      <c r="AC5283">
        <v>40.6494</v>
      </c>
      <c r="AD5283">
        <v>-1.1593799999999901</v>
      </c>
      <c r="AE5283">
        <v>-12.406203</v>
      </c>
      <c r="AF5283">
        <v>12.967426719990399</v>
      </c>
      <c r="AG5283">
        <v>-1.1593799999999901</v>
      </c>
      <c r="AH5283">
        <v>40.440673972611101</v>
      </c>
      <c r="AI5283">
        <v>91.5637603495734</v>
      </c>
      <c r="AJ5283">
        <v>72.221391775990099</v>
      </c>
      <c r="AK5283">
        <v>42.484661103529497</v>
      </c>
      <c r="AL5283">
        <v>87.246269168949297</v>
      </c>
      <c r="AM5283">
        <v>81.540871733525506</v>
      </c>
      <c r="AN5283">
        <v>1.0000000266924201</v>
      </c>
    </row>
    <row r="5284" spans="1:40" x14ac:dyDescent="0.25">
      <c r="A5284" t="str">
        <f>"20190305135340486"</f>
        <v>20190305135340486</v>
      </c>
      <c r="B5284" t="str">
        <f>"1551765220476050"</f>
        <v>1551765220476050</v>
      </c>
      <c r="C5284" t="s">
        <v>40</v>
      </c>
      <c r="D5284">
        <v>4.4127289999999997</v>
      </c>
      <c r="E5284">
        <v>0.56193839999999995</v>
      </c>
      <c r="F5284" t="s">
        <v>47</v>
      </c>
      <c r="G5284">
        <v>-293.48009999999999</v>
      </c>
      <c r="H5284">
        <v>-0.05</v>
      </c>
      <c r="I5284">
        <v>4.7189030000000001</v>
      </c>
      <c r="J5284">
        <v>-333.6771</v>
      </c>
      <c r="K5284">
        <v>1.1092900000000001</v>
      </c>
      <c r="L5284">
        <v>17.031099999999999</v>
      </c>
      <c r="M5284">
        <v>0.99981039999999999</v>
      </c>
      <c r="N5284">
        <v>-1.387762E-2</v>
      </c>
      <c r="O5284">
        <v>1.365593E-2</v>
      </c>
      <c r="P5284">
        <v>0.99042889999999995</v>
      </c>
      <c r="Q5284">
        <v>3.5204920000000001E-2</v>
      </c>
      <c r="R5284">
        <v>-0.1334582</v>
      </c>
      <c r="S5284">
        <v>2.9122919999999999</v>
      </c>
      <c r="T5284">
        <v>-8.3715559999999994E-2</v>
      </c>
      <c r="U5284">
        <v>-0.88891600000000004</v>
      </c>
      <c r="V5284">
        <v>0.14703450000000001</v>
      </c>
      <c r="W5284">
        <v>4.8732350000000001E-2</v>
      </c>
      <c r="X5284">
        <v>0.98793019999999998</v>
      </c>
      <c r="Y5284">
        <v>0.30479119999999998</v>
      </c>
      <c r="Z5284">
        <v>-6.6437589999999999E-3</v>
      </c>
      <c r="AA5284">
        <v>0.95239600000000002</v>
      </c>
      <c r="AB5284">
        <v>25</v>
      </c>
      <c r="AC5284">
        <v>40.196999999999903</v>
      </c>
      <c r="AD5284">
        <v>-1.1592899999999999</v>
      </c>
      <c r="AE5284">
        <v>-12.3121969999999</v>
      </c>
      <c r="AF5284">
        <v>12.8502574591213</v>
      </c>
      <c r="AG5284">
        <v>-1.1592899999999999</v>
      </c>
      <c r="AH5284">
        <v>39.994687689538203</v>
      </c>
      <c r="AI5284">
        <v>91.580769524207398</v>
      </c>
      <c r="AJ5284">
        <v>72.187834467214103</v>
      </c>
      <c r="AK5284">
        <v>42.024375229781803</v>
      </c>
      <c r="AL5284">
        <v>87.206735773401206</v>
      </c>
      <c r="AM5284">
        <v>81.534758423368302</v>
      </c>
      <c r="AN5284">
        <v>1.0000000330994001</v>
      </c>
    </row>
    <row r="5285" spans="1:40" x14ac:dyDescent="0.25">
      <c r="A5285" t="str">
        <f>"20190305135340498"</f>
        <v>20190305135340498</v>
      </c>
      <c r="B5285" t="str">
        <f>"1551765220495571"</f>
        <v>1551765220495571</v>
      </c>
      <c r="C5285" t="s">
        <v>40</v>
      </c>
      <c r="D5285">
        <v>4.4015659999999999</v>
      </c>
      <c r="E5285">
        <v>0.56250069999999996</v>
      </c>
      <c r="F5285" t="s">
        <v>47</v>
      </c>
      <c r="G5285">
        <v>-291.89019999999999</v>
      </c>
      <c r="H5285">
        <v>-0.05</v>
      </c>
      <c r="I5285">
        <v>4.23996</v>
      </c>
      <c r="J5285">
        <v>-333.536</v>
      </c>
      <c r="K5285">
        <v>1.109194</v>
      </c>
      <c r="L5285">
        <v>17.032499999999999</v>
      </c>
      <c r="M5285">
        <v>0.99981779999999998</v>
      </c>
      <c r="N5285">
        <v>-1.38776E-2</v>
      </c>
      <c r="O5285">
        <v>1.3111670000000001E-2</v>
      </c>
      <c r="P5285">
        <v>0.99034509999999998</v>
      </c>
      <c r="Q5285">
        <v>3.5982180000000002E-2</v>
      </c>
      <c r="R5285">
        <v>-0.13387309999999999</v>
      </c>
      <c r="S5285">
        <v>2.911743</v>
      </c>
      <c r="T5285">
        <v>-8.0780270000000001E-2</v>
      </c>
      <c r="U5285">
        <v>-0.89129639999999999</v>
      </c>
      <c r="V5285">
        <v>0.14692349999999901</v>
      </c>
      <c r="W5285">
        <v>4.9472460000000003E-2</v>
      </c>
      <c r="X5285">
        <v>0.98790990000000001</v>
      </c>
      <c r="Y5285">
        <v>0.30504500000000001</v>
      </c>
      <c r="Z5285">
        <v>-6.4785850000000002E-3</v>
      </c>
      <c r="AA5285">
        <v>0.95231589999999999</v>
      </c>
      <c r="AB5285">
        <v>25</v>
      </c>
      <c r="AC5285">
        <v>41.645800000000001</v>
      </c>
      <c r="AD5285">
        <v>-1.1591940000000001</v>
      </c>
      <c r="AE5285">
        <v>-12.792540000000001</v>
      </c>
      <c r="AF5285">
        <v>13.328102843525</v>
      </c>
      <c r="AG5285">
        <v>-1.1591940000000001</v>
      </c>
      <c r="AH5285">
        <v>41.445130011515097</v>
      </c>
      <c r="AI5285">
        <v>91.525221505248297</v>
      </c>
      <c r="AJ5285">
        <v>72.173024738628897</v>
      </c>
      <c r="AK5285">
        <v>43.550899621116997</v>
      </c>
      <c r="AL5285">
        <v>87.164279301189595</v>
      </c>
      <c r="AM5285">
        <v>81.540885249219301</v>
      </c>
      <c r="AN5285">
        <v>1.00000000483435</v>
      </c>
    </row>
    <row r="5286" spans="1:40" x14ac:dyDescent="0.25">
      <c r="A5286" t="str">
        <f>"20190305135340511"</f>
        <v>20190305135340511</v>
      </c>
      <c r="B5286" t="str">
        <f>"1551765220505333"</f>
        <v>1551765220505333</v>
      </c>
      <c r="C5286" t="s">
        <v>40</v>
      </c>
      <c r="D5286">
        <v>4.4121769999999998</v>
      </c>
      <c r="E5286">
        <v>0.56280010000000003</v>
      </c>
      <c r="F5286" t="s">
        <v>47</v>
      </c>
      <c r="G5286">
        <v>-291.88170000000002</v>
      </c>
      <c r="H5286">
        <v>-0.05</v>
      </c>
      <c r="I5286">
        <v>4.1996149999999997</v>
      </c>
      <c r="J5286">
        <v>-333.39769999999999</v>
      </c>
      <c r="K5286">
        <v>1.109097</v>
      </c>
      <c r="L5286">
        <v>17.03378</v>
      </c>
      <c r="M5286">
        <v>0.99982530000000003</v>
      </c>
      <c r="N5286">
        <v>-1.387765E-2</v>
      </c>
      <c r="O5286">
        <v>1.252762E-2</v>
      </c>
      <c r="P5286">
        <v>0.99027909999999997</v>
      </c>
      <c r="Q5286">
        <v>3.64144E-2</v>
      </c>
      <c r="R5286">
        <v>-0.13424420000000001</v>
      </c>
      <c r="S5286">
        <v>2.9108890000000001</v>
      </c>
      <c r="T5286">
        <v>-8.1006880000000003E-2</v>
      </c>
      <c r="U5286">
        <v>-0.89678959999999996</v>
      </c>
      <c r="V5286">
        <v>0.146729</v>
      </c>
      <c r="W5286">
        <v>4.9870129999999999E-2</v>
      </c>
      <c r="X5286">
        <v>0.98791879999999999</v>
      </c>
      <c r="Y5286">
        <v>0.30620760000000002</v>
      </c>
      <c r="Z5286">
        <v>-6.5079519999999896E-3</v>
      </c>
      <c r="AA5286">
        <v>0.95194250000000002</v>
      </c>
      <c r="AB5286">
        <v>25</v>
      </c>
      <c r="AC5286">
        <v>41.515999999999899</v>
      </c>
      <c r="AD5286">
        <v>-1.159097</v>
      </c>
      <c r="AE5286">
        <v>-12.834165</v>
      </c>
      <c r="AF5286">
        <v>13.343810368844</v>
      </c>
      <c r="AG5286">
        <v>-1.159097</v>
      </c>
      <c r="AH5286">
        <v>41.322543790758701</v>
      </c>
      <c r="AI5286">
        <v>91.529020737101902</v>
      </c>
      <c r="AJ5286">
        <v>72.103776331659503</v>
      </c>
      <c r="AK5286">
        <v>43.439076950992501</v>
      </c>
      <c r="AL5286">
        <v>87.141466292902507</v>
      </c>
      <c r="AM5286">
        <v>81.551996882547897</v>
      </c>
      <c r="AN5286">
        <v>0.99999999235032799</v>
      </c>
    </row>
    <row r="5287" spans="1:40" x14ac:dyDescent="0.25">
      <c r="A5287" t="str">
        <f>"20190305135340522"</f>
        <v>20190305135340522</v>
      </c>
      <c r="B5287" t="str">
        <f>"1551765220515091"</f>
        <v>1551765220515091</v>
      </c>
      <c r="C5287" t="s">
        <v>40</v>
      </c>
      <c r="D5287">
        <v>4.4139089999999896</v>
      </c>
      <c r="E5287">
        <v>0.56321279999999996</v>
      </c>
      <c r="F5287" t="s">
        <v>47</v>
      </c>
      <c r="G5287">
        <v>-291.82740000000001</v>
      </c>
      <c r="H5287">
        <v>-0.05</v>
      </c>
      <c r="I5287">
        <v>4.1754910000000001</v>
      </c>
      <c r="J5287">
        <v>-333.25850000000003</v>
      </c>
      <c r="K5287">
        <v>1.109008</v>
      </c>
      <c r="L5287">
        <v>17.03491</v>
      </c>
      <c r="M5287">
        <v>0.99983319999999998</v>
      </c>
      <c r="N5287">
        <v>-1.3877779999999999E-2</v>
      </c>
      <c r="O5287">
        <v>1.188412E-2</v>
      </c>
      <c r="P5287">
        <v>0.99018649999999997</v>
      </c>
      <c r="Q5287">
        <v>3.7327249999999999E-2</v>
      </c>
      <c r="R5287">
        <v>-0.13467479999999901</v>
      </c>
      <c r="S5287">
        <v>2.910431</v>
      </c>
      <c r="T5287">
        <v>-8.1151009999999996E-2</v>
      </c>
      <c r="U5287">
        <v>-0.90023799999999898</v>
      </c>
      <c r="V5287">
        <v>0.14653559999999999</v>
      </c>
      <c r="W5287">
        <v>5.0749250000000003E-2</v>
      </c>
      <c r="X5287">
        <v>0.98790279999999997</v>
      </c>
      <c r="Y5287">
        <v>0.3066662</v>
      </c>
      <c r="Z5287">
        <v>-6.5169659999999999E-3</v>
      </c>
      <c r="AA5287">
        <v>0.95179480000000005</v>
      </c>
      <c r="AB5287">
        <v>25</v>
      </c>
      <c r="AC5287">
        <v>41.431100000000001</v>
      </c>
      <c r="AD5287">
        <v>-1.159008</v>
      </c>
      <c r="AE5287">
        <v>-12.859419000000001</v>
      </c>
      <c r="AF5287">
        <v>13.341407144813299</v>
      </c>
      <c r="AG5287">
        <v>-1.159008</v>
      </c>
      <c r="AH5287">
        <v>41.245894757413303</v>
      </c>
      <c r="AI5287">
        <v>91.531500537848103</v>
      </c>
      <c r="AJ5287">
        <v>72.075667869285596</v>
      </c>
      <c r="AK5287">
        <v>43.365427225929203</v>
      </c>
      <c r="AL5287">
        <v>87.091032742635804</v>
      </c>
      <c r="AM5287">
        <v>81.562836941790295</v>
      </c>
      <c r="AN5287">
        <v>1.0000000553453701</v>
      </c>
    </row>
    <row r="5288" spans="1:40" x14ac:dyDescent="0.25">
      <c r="A5288" t="str">
        <f>"20190305135340541"</f>
        <v>20190305135340541</v>
      </c>
      <c r="B5288" t="str">
        <f>"1551765220535587"</f>
        <v>1551765220535587</v>
      </c>
      <c r="C5288" t="s">
        <v>40</v>
      </c>
      <c r="D5288">
        <v>4.4208610000000004</v>
      </c>
      <c r="E5288">
        <v>0.56411269999999902</v>
      </c>
      <c r="F5288" t="s">
        <v>47</v>
      </c>
      <c r="G5288">
        <v>-289.74259999999998</v>
      </c>
      <c r="H5288">
        <v>-0.05</v>
      </c>
      <c r="I5288">
        <v>3.504807</v>
      </c>
      <c r="J5288">
        <v>-333.06979999999999</v>
      </c>
      <c r="K5288">
        <v>1.108905</v>
      </c>
      <c r="L5288">
        <v>17.036069999999999</v>
      </c>
      <c r="M5288">
        <v>0.99984459999999997</v>
      </c>
      <c r="N5288">
        <v>-1.387792E-2</v>
      </c>
      <c r="O5288">
        <v>1.0885789999999999E-2</v>
      </c>
      <c r="P5288">
        <v>0.99006070000000002</v>
      </c>
      <c r="Q5288">
        <v>3.8831209999999998E-2</v>
      </c>
      <c r="R5288">
        <v>-0.13517560000000001</v>
      </c>
      <c r="S5288">
        <v>2.9096069999999998</v>
      </c>
      <c r="T5288">
        <v>-7.7494740000000006E-2</v>
      </c>
      <c r="U5288">
        <v>-0.90466310000000005</v>
      </c>
      <c r="V5288">
        <v>0.14606520000000001</v>
      </c>
      <c r="W5288">
        <v>5.2214070000000001E-2</v>
      </c>
      <c r="X5288">
        <v>0.98789610000000005</v>
      </c>
      <c r="Y5288">
        <v>0.30712460000000003</v>
      </c>
      <c r="Z5288">
        <v>-6.3117109999999898E-3</v>
      </c>
      <c r="AA5288">
        <v>0.95164839999999995</v>
      </c>
      <c r="AB5288">
        <v>25</v>
      </c>
      <c r="AC5288">
        <v>43.327199999999998</v>
      </c>
      <c r="AD5288">
        <v>-1.1589049999999901</v>
      </c>
      <c r="AE5288">
        <v>-13.531262999999999</v>
      </c>
      <c r="AF5288">
        <v>13.993035696597699</v>
      </c>
      <c r="AG5288">
        <v>-1.1589049999999901</v>
      </c>
      <c r="AH5288">
        <v>43.149192261337198</v>
      </c>
      <c r="AI5288">
        <v>91.463488877197094</v>
      </c>
      <c r="AJ5288">
        <v>72.032418500078094</v>
      </c>
      <c r="AK5288">
        <v>45.376215152997503</v>
      </c>
      <c r="AL5288">
        <v>87.006993212932002</v>
      </c>
      <c r="AM5288">
        <v>81.589477200603298</v>
      </c>
      <c r="AN5288">
        <v>1.0000000280760999</v>
      </c>
    </row>
    <row r="5289" spans="1:40" x14ac:dyDescent="0.25">
      <c r="A5289" t="str">
        <f>"20190305135340552"</f>
        <v>20190305135340552</v>
      </c>
      <c r="B5289" t="str">
        <f>"1551765220545346"</f>
        <v>1551765220545346</v>
      </c>
      <c r="C5289" t="s">
        <v>40</v>
      </c>
      <c r="D5289">
        <v>4.4077840000000004</v>
      </c>
      <c r="E5289">
        <v>0.56464630000000005</v>
      </c>
      <c r="F5289" t="s">
        <v>47</v>
      </c>
      <c r="G5289">
        <v>-287.65890000000002</v>
      </c>
      <c r="H5289">
        <v>-0.05</v>
      </c>
      <c r="I5289">
        <v>2.7776339999999999</v>
      </c>
      <c r="J5289">
        <v>-332.93529999999998</v>
      </c>
      <c r="K5289">
        <v>1.108838</v>
      </c>
      <c r="L5289">
        <v>17.036709999999999</v>
      </c>
      <c r="M5289">
        <v>0.99985270000000004</v>
      </c>
      <c r="N5289">
        <v>-1.387793E-2</v>
      </c>
      <c r="O5289">
        <v>1.0108489999999999E-2</v>
      </c>
      <c r="P5289">
        <v>0.98993030000000004</v>
      </c>
      <c r="Q5289">
        <v>3.9953210000000003E-2</v>
      </c>
      <c r="R5289">
        <v>-0.13580059999999999</v>
      </c>
      <c r="S5289">
        <v>2.908325</v>
      </c>
      <c r="T5289">
        <v>-7.422173E-2</v>
      </c>
      <c r="U5289">
        <v>-0.91317749999999998</v>
      </c>
      <c r="V5289">
        <v>0.14593239999999999</v>
      </c>
      <c r="W5289">
        <v>5.3311169999999998E-2</v>
      </c>
      <c r="X5289">
        <v>0.98785710000000004</v>
      </c>
      <c r="Y5289">
        <v>0.30905110000000002</v>
      </c>
      <c r="Z5289">
        <v>-6.1608369999999997E-3</v>
      </c>
      <c r="AA5289">
        <v>0.95102549999999997</v>
      </c>
      <c r="AB5289">
        <v>25</v>
      </c>
      <c r="AC5289">
        <v>45.276399999999903</v>
      </c>
      <c r="AD5289">
        <v>-1.15883799999999</v>
      </c>
      <c r="AE5289">
        <v>-14.259076</v>
      </c>
      <c r="AF5289">
        <v>14.707302149921301</v>
      </c>
      <c r="AG5289">
        <v>-1.15883799999999</v>
      </c>
      <c r="AH5289">
        <v>45.103054186066103</v>
      </c>
      <c r="AI5289">
        <v>91.399299851136604</v>
      </c>
      <c r="AJ5289">
        <v>71.939775531208198</v>
      </c>
      <c r="AK5289">
        <v>47.454537601272101</v>
      </c>
      <c r="AL5289">
        <v>86.944046240384594</v>
      </c>
      <c r="AM5289">
        <v>81.596687670341396</v>
      </c>
      <c r="AN5289">
        <v>0.99999999811846896</v>
      </c>
    </row>
    <row r="5290" spans="1:40" x14ac:dyDescent="0.25">
      <c r="A5290" t="str">
        <f>"20190305135340575"</f>
        <v>20190305135340575</v>
      </c>
      <c r="B5290" t="str">
        <f>"1551765220565842"</f>
        <v>1551765220565842</v>
      </c>
      <c r="C5290" t="s">
        <v>40</v>
      </c>
      <c r="D5290">
        <v>4.4245469999999996</v>
      </c>
      <c r="E5290">
        <v>0.56518169999999901</v>
      </c>
      <c r="F5290" t="s">
        <v>47</v>
      </c>
      <c r="G5290">
        <v>-284.13589999999999</v>
      </c>
      <c r="H5290">
        <v>-0.05</v>
      </c>
      <c r="I5290">
        <v>1.6127320000000001</v>
      </c>
      <c r="J5290">
        <v>-332.68360000000001</v>
      </c>
      <c r="K5290">
        <v>1.108735</v>
      </c>
      <c r="L5290">
        <v>17.03754</v>
      </c>
      <c r="M5290">
        <v>0.99986750000000002</v>
      </c>
      <c r="N5290">
        <v>-1.387791E-2</v>
      </c>
      <c r="O5290">
        <v>8.5204849999999995E-3</v>
      </c>
      <c r="P5290">
        <v>0.98958760000000001</v>
      </c>
      <c r="Q5290">
        <v>4.149241E-2</v>
      </c>
      <c r="R5290">
        <v>-0.13782150000000001</v>
      </c>
      <c r="S5290">
        <v>2.9072269999999998</v>
      </c>
      <c r="T5290">
        <v>-6.9037799999999996E-2</v>
      </c>
      <c r="U5290">
        <v>-0.91888429999999999</v>
      </c>
      <c r="V5290">
        <v>0.14639869999999999</v>
      </c>
      <c r="W5290">
        <v>5.48072E-2</v>
      </c>
      <c r="X5290">
        <v>0.98770619999999998</v>
      </c>
      <c r="Y5290">
        <v>0.30935770000000001</v>
      </c>
      <c r="Z5290">
        <v>-5.8656940000000003E-3</v>
      </c>
      <c r="AA5290">
        <v>0.95092759999999998</v>
      </c>
      <c r="AB5290">
        <v>25</v>
      </c>
      <c r="AC5290">
        <v>48.547699999999999</v>
      </c>
      <c r="AD5290">
        <v>-1.1587350000000001</v>
      </c>
      <c r="AE5290">
        <v>-15.424807999999899</v>
      </c>
      <c r="AF5290">
        <v>15.8297467028297</v>
      </c>
      <c r="AG5290">
        <v>-1.1587350000000001</v>
      </c>
      <c r="AH5290">
        <v>48.389459034793497</v>
      </c>
      <c r="AI5290">
        <v>91.303779611227498</v>
      </c>
      <c r="AJ5290">
        <v>71.885416448260102</v>
      </c>
      <c r="AK5290">
        <v>50.9260571137795</v>
      </c>
      <c r="AL5290">
        <v>86.858204424669594</v>
      </c>
      <c r="AM5290">
        <v>81.568952277432103</v>
      </c>
      <c r="AN5290">
        <v>0.99999997302598398</v>
      </c>
    </row>
    <row r="5291" spans="1:40" x14ac:dyDescent="0.25">
      <c r="A5291" t="str">
        <f>"20190305135340589"</f>
        <v>20190305135340589</v>
      </c>
      <c r="B5291" t="str">
        <f>"1551765220585363"</f>
        <v>1551765220585363</v>
      </c>
      <c r="C5291" t="s">
        <v>40</v>
      </c>
      <c r="D5291">
        <v>4.3956989999999996</v>
      </c>
      <c r="E5291">
        <v>0.56586239999999999</v>
      </c>
      <c r="F5291" t="s">
        <v>47</v>
      </c>
      <c r="G5291">
        <v>-279.79509999999999</v>
      </c>
      <c r="H5291">
        <v>-0.05</v>
      </c>
      <c r="I5291">
        <v>0.12812809999999999</v>
      </c>
      <c r="J5291">
        <v>-332.52800000000002</v>
      </c>
      <c r="K5291">
        <v>1.108687</v>
      </c>
      <c r="L5291">
        <v>17.037779999999898</v>
      </c>
      <c r="M5291">
        <v>0.99987590000000004</v>
      </c>
      <c r="N5291">
        <v>-1.387788E-2</v>
      </c>
      <c r="O5291">
        <v>7.471208E-3</v>
      </c>
      <c r="P5291">
        <v>0.98935300000000004</v>
      </c>
      <c r="Q5291">
        <v>4.2233050000000001E-2</v>
      </c>
      <c r="R5291">
        <v>-0.13927439999999999</v>
      </c>
      <c r="S5291">
        <v>2.9048769999999999</v>
      </c>
      <c r="T5291">
        <v>-6.3642980000000002E-2</v>
      </c>
      <c r="U5291">
        <v>-0.9287415</v>
      </c>
      <c r="V5291">
        <v>0.146821799999999</v>
      </c>
      <c r="W5291">
        <v>5.5525640000000001E-2</v>
      </c>
      <c r="X5291">
        <v>0.98760329999999996</v>
      </c>
      <c r="Y5291">
        <v>0.31152560000000001</v>
      </c>
      <c r="Z5291">
        <v>-5.6025709999999998E-3</v>
      </c>
      <c r="AA5291">
        <v>0.95022119999999999</v>
      </c>
      <c r="AB5291">
        <v>25</v>
      </c>
      <c r="AC5291">
        <v>52.732900000000001</v>
      </c>
      <c r="AD5291">
        <v>-1.158687</v>
      </c>
      <c r="AE5291">
        <v>-16.909651899999901</v>
      </c>
      <c r="AF5291">
        <v>17.295624448044599</v>
      </c>
      <c r="AG5291">
        <v>-1.158687</v>
      </c>
      <c r="AH5291">
        <v>52.582060589520999</v>
      </c>
      <c r="AI5291">
        <v>91.199168291104598</v>
      </c>
      <c r="AJ5291">
        <v>71.792603020677305</v>
      </c>
      <c r="AK5291">
        <v>55.365641660255498</v>
      </c>
      <c r="AL5291">
        <v>86.816978173387895</v>
      </c>
      <c r="AM5291">
        <v>81.544069598677794</v>
      </c>
      <c r="AN5291">
        <v>1.0000000079117599</v>
      </c>
    </row>
    <row r="5292" spans="1:40" x14ac:dyDescent="0.25">
      <c r="A5292" t="str">
        <f>"20190305135340600"</f>
        <v>20190305135340600</v>
      </c>
      <c r="B5292" t="str">
        <f>"1551765220595122"</f>
        <v>1551765220595122</v>
      </c>
      <c r="C5292" t="s">
        <v>40</v>
      </c>
      <c r="D5292">
        <v>4.4141529999999998</v>
      </c>
      <c r="E5292">
        <v>0.5661716</v>
      </c>
      <c r="F5292" t="s">
        <v>47</v>
      </c>
      <c r="G5292">
        <v>-276.66469999999998</v>
      </c>
      <c r="H5292">
        <v>-0.05</v>
      </c>
      <c r="I5292">
        <v>-1.0157780000000001</v>
      </c>
      <c r="J5292">
        <v>-332.39060000000001</v>
      </c>
      <c r="K5292">
        <v>1.1086499999999999</v>
      </c>
      <c r="L5292">
        <v>17.037779999999898</v>
      </c>
      <c r="M5292">
        <v>0.99988250000000001</v>
      </c>
      <c r="N5292">
        <v>-1.387773E-2</v>
      </c>
      <c r="O5292">
        <v>6.5051700000000002E-3</v>
      </c>
      <c r="P5292">
        <v>0.9890951</v>
      </c>
      <c r="Q5292">
        <v>4.2856070000000003E-2</v>
      </c>
      <c r="R5292">
        <v>-0.14090520000000001</v>
      </c>
      <c r="S5292">
        <v>2.9028019999999999</v>
      </c>
      <c r="T5292">
        <v>-6.0208440000000002E-2</v>
      </c>
      <c r="U5292">
        <v>-0.93811040000000001</v>
      </c>
      <c r="V5292">
        <v>0.1475031</v>
      </c>
      <c r="W5292">
        <v>5.6130760000000002E-2</v>
      </c>
      <c r="X5292">
        <v>0.9874676</v>
      </c>
      <c r="Y5292">
        <v>0.31359229999999999</v>
      </c>
      <c r="Z5292">
        <v>-5.445185E-3</v>
      </c>
      <c r="AA5292">
        <v>0.94954209999999994</v>
      </c>
      <c r="AB5292">
        <v>25</v>
      </c>
      <c r="AC5292">
        <v>55.725900000000003</v>
      </c>
      <c r="AD5292">
        <v>-1.15865</v>
      </c>
      <c r="AE5292">
        <v>-18.053557999999999</v>
      </c>
      <c r="AF5292">
        <v>18.408515137840201</v>
      </c>
      <c r="AG5292">
        <v>-1.15865</v>
      </c>
      <c r="AH5292">
        <v>55.585520532892602</v>
      </c>
      <c r="AI5292">
        <v>91.133596053992207</v>
      </c>
      <c r="AJ5292">
        <v>71.676438429197006</v>
      </c>
      <c r="AK5292">
        <v>58.565911521252801</v>
      </c>
      <c r="AL5292">
        <v>86.782253309484304</v>
      </c>
      <c r="AM5292">
        <v>81.504252244883006</v>
      </c>
      <c r="AN5292">
        <v>1.00000004388877</v>
      </c>
    </row>
    <row r="5293" spans="1:40" x14ac:dyDescent="0.25">
      <c r="A5293" t="str">
        <f>"20190305135340617"</f>
        <v>20190305135340617</v>
      </c>
      <c r="B5293" t="str">
        <f>"1551765220605858"</f>
        <v>1551765220605858</v>
      </c>
      <c r="C5293" t="s">
        <v>40</v>
      </c>
      <c r="D5293">
        <v>4.505598</v>
      </c>
      <c r="E5293">
        <v>0.56621089999999996</v>
      </c>
      <c r="F5293" t="s">
        <v>47</v>
      </c>
      <c r="G5293">
        <v>-275.41050000000001</v>
      </c>
      <c r="H5293">
        <v>-0.05</v>
      </c>
      <c r="I5293">
        <v>-1.529785</v>
      </c>
      <c r="J5293">
        <v>-332.21300000000002</v>
      </c>
      <c r="K5293">
        <v>1.108617</v>
      </c>
      <c r="L5293">
        <v>17.037510000000001</v>
      </c>
      <c r="M5293">
        <v>0.99989019999999995</v>
      </c>
      <c r="N5293">
        <v>-1.387732E-2</v>
      </c>
      <c r="O5293">
        <v>5.2206489999999999E-3</v>
      </c>
      <c r="P5293">
        <v>0.98860970000000004</v>
      </c>
      <c r="Q5293">
        <v>4.3617780000000002E-2</v>
      </c>
      <c r="R5293">
        <v>-0.14404359999999999</v>
      </c>
      <c r="S5293">
        <v>2.90097</v>
      </c>
      <c r="T5293">
        <v>-5.898917E-2</v>
      </c>
      <c r="U5293">
        <v>-0.9453125</v>
      </c>
      <c r="V5293">
        <v>0.1493767</v>
      </c>
      <c r="W5293">
        <v>5.6868679999999998E-2</v>
      </c>
      <c r="X5293">
        <v>0.98714360000000001</v>
      </c>
      <c r="Y5293">
        <v>0.3146833</v>
      </c>
      <c r="Z5293">
        <v>-5.3903369999999898E-3</v>
      </c>
      <c r="AA5293">
        <v>0.94918139999999995</v>
      </c>
      <c r="AB5293">
        <v>25</v>
      </c>
      <c r="AC5293">
        <v>56.802500000000002</v>
      </c>
      <c r="AD5293">
        <v>-1.158617</v>
      </c>
      <c r="AE5293">
        <v>-18.567295000000001</v>
      </c>
      <c r="AF5293">
        <v>18.856528435099602</v>
      </c>
      <c r="AG5293">
        <v>-1.158617</v>
      </c>
      <c r="AH5293">
        <v>56.683476530151196</v>
      </c>
      <c r="AI5293">
        <v>91.111117654333796</v>
      </c>
      <c r="AJ5293">
        <v>71.599594561743004</v>
      </c>
      <c r="AK5293">
        <v>59.7488708639804</v>
      </c>
      <c r="AL5293">
        <v>86.739905710013204</v>
      </c>
      <c r="AM5293">
        <v>81.395161674336904</v>
      </c>
      <c r="AN5293">
        <v>0.99999996614439501</v>
      </c>
    </row>
    <row r="5294" spans="1:40" x14ac:dyDescent="0.25">
      <c r="A5294" t="str">
        <f>"20190305135340629"</f>
        <v>20190305135340629</v>
      </c>
      <c r="B5294" t="str">
        <f>"1551765220625379"</f>
        <v>1551765220625379</v>
      </c>
      <c r="C5294" t="s">
        <v>40</v>
      </c>
      <c r="D5294">
        <v>4.348465</v>
      </c>
      <c r="E5294">
        <v>0.52895579999999998</v>
      </c>
      <c r="F5294" t="s">
        <v>47</v>
      </c>
      <c r="G5294">
        <v>-274.01749999999998</v>
      </c>
      <c r="H5294">
        <v>-0.05</v>
      </c>
      <c r="I5294">
        <v>-2.130325</v>
      </c>
      <c r="J5294">
        <v>-332.09210000000002</v>
      </c>
      <c r="K5294">
        <v>1.1085959999999999</v>
      </c>
      <c r="L5294">
        <v>17.037229999999902</v>
      </c>
      <c r="M5294">
        <v>0.99989450000000002</v>
      </c>
      <c r="N5294">
        <v>-1.3876899999999999E-2</v>
      </c>
      <c r="O5294">
        <v>4.3351630000000004E-3</v>
      </c>
      <c r="P5294">
        <v>0.98834639999999996</v>
      </c>
      <c r="Q5294">
        <v>4.3853469999999999E-2</v>
      </c>
      <c r="R5294">
        <v>-0.14577010000000001</v>
      </c>
      <c r="S5294">
        <v>2.8980410000000001</v>
      </c>
      <c r="T5294">
        <v>-5.76973E-2</v>
      </c>
      <c r="U5294">
        <v>-0.95452879999999996</v>
      </c>
      <c r="V5294">
        <v>0.15023049999999999</v>
      </c>
      <c r="W5294">
        <v>5.7092419999999998E-2</v>
      </c>
      <c r="X5294">
        <v>0.98700109999999996</v>
      </c>
      <c r="Y5294">
        <v>0.316853</v>
      </c>
      <c r="Z5294">
        <v>-5.353661E-3</v>
      </c>
      <c r="AA5294">
        <v>0.94845959999999996</v>
      </c>
      <c r="AB5294">
        <v>25</v>
      </c>
      <c r="AC5294">
        <v>58.074599999999997</v>
      </c>
      <c r="AD5294">
        <v>-1.158596</v>
      </c>
      <c r="AE5294">
        <v>-19.167555</v>
      </c>
      <c r="AF5294">
        <v>19.4121946648538</v>
      </c>
      <c r="AG5294">
        <v>-1.158596</v>
      </c>
      <c r="AH5294">
        <v>57.970145621714501</v>
      </c>
      <c r="AI5294">
        <v>91.085724304224598</v>
      </c>
      <c r="AJ5294">
        <v>71.486085851196904</v>
      </c>
      <c r="AK5294">
        <v>61.145019664729702</v>
      </c>
      <c r="AL5294">
        <v>86.727065468343696</v>
      </c>
      <c r="AM5294">
        <v>81.3454905716968</v>
      </c>
      <c r="AN5294">
        <v>0.99999995947645703</v>
      </c>
    </row>
    <row r="5295" spans="1:40" x14ac:dyDescent="0.25">
      <c r="A5295" t="str">
        <f>"20190305135340640"</f>
        <v>20190305135340640</v>
      </c>
      <c r="B5295" t="str">
        <f>"1551765220635140"</f>
        <v>1551765220635140</v>
      </c>
      <c r="C5295" t="s">
        <v>40</v>
      </c>
      <c r="D5295">
        <v>4.3759769999999998</v>
      </c>
      <c r="E5295">
        <v>0.52441419999999905</v>
      </c>
      <c r="F5295" t="s">
        <v>47</v>
      </c>
      <c r="G5295">
        <v>-306.23599999999999</v>
      </c>
      <c r="H5295">
        <v>-0.05</v>
      </c>
      <c r="I5295">
        <v>11.191129999999999</v>
      </c>
      <c r="J5295">
        <v>-331.95119999999997</v>
      </c>
      <c r="K5295">
        <v>1.108582</v>
      </c>
      <c r="L5295">
        <v>17.036709999999999</v>
      </c>
      <c r="M5295">
        <v>0.99989830000000002</v>
      </c>
      <c r="N5295">
        <v>-1.387623E-2</v>
      </c>
      <c r="O5295">
        <v>3.2901749999999998E-3</v>
      </c>
      <c r="P5295">
        <v>0.9880198</v>
      </c>
      <c r="Q5295">
        <v>4.381492E-2</v>
      </c>
      <c r="R5295">
        <v>-0.147977</v>
      </c>
      <c r="S5295">
        <v>2.943085</v>
      </c>
      <c r="T5295">
        <v>-0.13187789999999999</v>
      </c>
      <c r="U5295">
        <v>-0.66543580000000002</v>
      </c>
      <c r="V5295">
        <v>0.15140600000000001</v>
      </c>
      <c r="W5295">
        <v>5.7042450000000001E-2</v>
      </c>
      <c r="X5295">
        <v>0.98682440000000005</v>
      </c>
      <c r="Y5295">
        <v>0.2234592</v>
      </c>
      <c r="Z5295">
        <v>-6.6129810000000004E-3</v>
      </c>
      <c r="AA5295">
        <v>0.97469090000000003</v>
      </c>
      <c r="AB5295">
        <v>25</v>
      </c>
      <c r="AC5295">
        <v>25.7151999999999</v>
      </c>
      <c r="AD5295">
        <v>-1.158582</v>
      </c>
      <c r="AE5295">
        <v>-5.8455799999999902</v>
      </c>
      <c r="AF5295">
        <v>5.9187399172815001</v>
      </c>
      <c r="AG5295">
        <v>-1.158582</v>
      </c>
      <c r="AH5295">
        <v>25.6463245422845</v>
      </c>
      <c r="AI5295">
        <v>92.520438110185907</v>
      </c>
      <c r="AJ5295">
        <v>77.004625271125605</v>
      </c>
      <c r="AK5295">
        <v>26.345924864907101</v>
      </c>
      <c r="AL5295">
        <v>86.729933368235194</v>
      </c>
      <c r="AM5295">
        <v>81.277271729842994</v>
      </c>
      <c r="AN5295">
        <v>1.0000000071866799</v>
      </c>
    </row>
    <row r="5296" spans="1:40" x14ac:dyDescent="0.25">
      <c r="A5296" t="str">
        <f>"20190305135340653"</f>
        <v>20190305135340653</v>
      </c>
      <c r="B5296" t="str">
        <f>"1551765220645531"</f>
        <v>1551765220645531</v>
      </c>
      <c r="C5296" t="s">
        <v>40</v>
      </c>
      <c r="D5296">
        <v>4.3734710000000003</v>
      </c>
      <c r="E5296">
        <v>0.52253249999999996</v>
      </c>
      <c r="F5296" t="s">
        <v>47</v>
      </c>
      <c r="G5296">
        <v>-306.03129999999999</v>
      </c>
      <c r="H5296">
        <v>-0.05</v>
      </c>
      <c r="I5296">
        <v>11.44351</v>
      </c>
      <c r="J5296">
        <v>-331.8134</v>
      </c>
      <c r="K5296">
        <v>1.1085750000000001</v>
      </c>
      <c r="L5296">
        <v>17.03604</v>
      </c>
      <c r="M5296">
        <v>0.99990120000000005</v>
      </c>
      <c r="N5296">
        <v>-1.387534E-2</v>
      </c>
      <c r="O5296">
        <v>2.2645270000000001E-3</v>
      </c>
      <c r="P5296">
        <v>0.98767799999999994</v>
      </c>
      <c r="Q5296">
        <v>4.3726540000000001E-2</v>
      </c>
      <c r="R5296">
        <v>-0.15026779999999901</v>
      </c>
      <c r="S5296">
        <v>2.9469910000000001</v>
      </c>
      <c r="T5296">
        <v>-0.1317265</v>
      </c>
      <c r="U5296">
        <v>-0.63592530000000003</v>
      </c>
      <c r="V5296">
        <v>0.1526834</v>
      </c>
      <c r="W5296">
        <v>5.6943420000000002E-2</v>
      </c>
      <c r="X5296">
        <v>0.98663330000000005</v>
      </c>
      <c r="Y5296">
        <v>0.2128765</v>
      </c>
      <c r="Z5296">
        <v>-6.2648959999999998E-3</v>
      </c>
      <c r="AA5296">
        <v>0.97705909999999996</v>
      </c>
      <c r="AB5296">
        <v>25</v>
      </c>
      <c r="AC5296">
        <v>25.7821</v>
      </c>
      <c r="AD5296">
        <v>-1.1585749999999999</v>
      </c>
      <c r="AE5296">
        <v>-5.59253</v>
      </c>
      <c r="AF5296">
        <v>5.6400281494875504</v>
      </c>
      <c r="AG5296">
        <v>-1.1585749999999999</v>
      </c>
      <c r="AH5296">
        <v>25.719764947957799</v>
      </c>
      <c r="AI5296">
        <v>92.519422860649001</v>
      </c>
      <c r="AJ5296">
        <v>77.631514864676504</v>
      </c>
      <c r="AK5296">
        <v>26.356375367941499</v>
      </c>
      <c r="AL5296">
        <v>86.735616652653107</v>
      </c>
      <c r="AM5296">
        <v>81.203147852768694</v>
      </c>
      <c r="AN5296">
        <v>1.0000000211928699</v>
      </c>
    </row>
    <row r="5297" spans="1:40" x14ac:dyDescent="0.25">
      <c r="A5297" t="str">
        <f>"20190305135340666"</f>
        <v>20190305135340666</v>
      </c>
      <c r="B5297" t="str">
        <f>"1551765220655291"</f>
        <v>1551765220655291</v>
      </c>
      <c r="C5297" t="s">
        <v>40</v>
      </c>
      <c r="D5297">
        <v>4.3382339999999999</v>
      </c>
      <c r="E5297">
        <v>0.52233169999999995</v>
      </c>
      <c r="F5297" t="s">
        <v>47</v>
      </c>
      <c r="G5297">
        <v>-306.29820000000001</v>
      </c>
      <c r="H5297">
        <v>-0.05</v>
      </c>
      <c r="I5297">
        <v>11.602830000000001</v>
      </c>
      <c r="J5297">
        <v>-331.67500000000001</v>
      </c>
      <c r="K5297">
        <v>1.1085719999999999</v>
      </c>
      <c r="L5297">
        <v>17.03528</v>
      </c>
      <c r="M5297">
        <v>0.99990310000000004</v>
      </c>
      <c r="N5297">
        <v>-1.3874350000000001E-2</v>
      </c>
      <c r="O5297">
        <v>1.2333559999999999E-3</v>
      </c>
      <c r="P5297">
        <v>0.98727569999999998</v>
      </c>
      <c r="Q5297">
        <v>4.3764829999999998E-2</v>
      </c>
      <c r="R5297">
        <v>-0.15287790000000001</v>
      </c>
      <c r="S5297">
        <v>2.947845</v>
      </c>
      <c r="T5297">
        <v>-0.133853799999999</v>
      </c>
      <c r="U5297">
        <v>-0.6277161</v>
      </c>
      <c r="V5297">
        <v>0.15427550000000001</v>
      </c>
      <c r="W5297">
        <v>5.6971040000000001E-2</v>
      </c>
      <c r="X5297">
        <v>0.98638400000000004</v>
      </c>
      <c r="Y5297">
        <v>0.2092051</v>
      </c>
      <c r="Z5297">
        <v>-6.201565E-3</v>
      </c>
      <c r="AA5297">
        <v>0.9778521</v>
      </c>
      <c r="AB5297">
        <v>25</v>
      </c>
      <c r="AC5297">
        <v>25.376799999999999</v>
      </c>
      <c r="AD5297">
        <v>-1.1585719999999999</v>
      </c>
      <c r="AE5297">
        <v>-5.4324499999999896</v>
      </c>
      <c r="AF5297">
        <v>5.4528797818216699</v>
      </c>
      <c r="AG5297">
        <v>-1.1585719999999999</v>
      </c>
      <c r="AH5297">
        <v>25.319617286610399</v>
      </c>
      <c r="AI5297">
        <v>92.561263363117007</v>
      </c>
      <c r="AJ5297">
        <v>77.846304492080606</v>
      </c>
      <c r="AK5297">
        <v>25.926033374479101</v>
      </c>
      <c r="AL5297">
        <v>86.734031541242004</v>
      </c>
      <c r="AM5297">
        <v>81.110665594772101</v>
      </c>
      <c r="AN5297">
        <v>1.0000000123774599</v>
      </c>
    </row>
    <row r="5298" spans="1:40" x14ac:dyDescent="0.25">
      <c r="A5298" t="str">
        <f>"20190305135340678"</f>
        <v>20190305135340678</v>
      </c>
      <c r="B5298" t="str">
        <f>"1551765220665052"</f>
        <v>1551765220665052</v>
      </c>
      <c r="C5298" t="s">
        <v>40</v>
      </c>
      <c r="D5298">
        <v>4.3413680000000001</v>
      </c>
      <c r="E5298">
        <v>0.52282890000000004</v>
      </c>
      <c r="F5298" t="s">
        <v>47</v>
      </c>
      <c r="G5298">
        <v>-306.57799999999997</v>
      </c>
      <c r="H5298">
        <v>-0.05</v>
      </c>
      <c r="I5298">
        <v>11.63861</v>
      </c>
      <c r="J5298">
        <v>-331.53129999999999</v>
      </c>
      <c r="K5298">
        <v>1.108568</v>
      </c>
      <c r="L5298">
        <v>17.034210000000002</v>
      </c>
      <c r="M5298">
        <v>0.99990369999999995</v>
      </c>
      <c r="N5298">
        <v>-1.387327E-2</v>
      </c>
      <c r="O5298">
        <v>1.649032E-4</v>
      </c>
      <c r="P5298">
        <v>0.98684539999999998</v>
      </c>
      <c r="Q5298">
        <v>4.3878590000000002E-2</v>
      </c>
      <c r="R5298">
        <v>-0.15559879999999901</v>
      </c>
      <c r="S5298">
        <v>2.946564</v>
      </c>
      <c r="T5298">
        <v>-0.13602439999999999</v>
      </c>
      <c r="U5298">
        <v>-0.633606</v>
      </c>
      <c r="V5298">
        <v>0.155941</v>
      </c>
      <c r="W5298">
        <v>5.707624E-2</v>
      </c>
      <c r="X5298">
        <v>0.98611599999999999</v>
      </c>
      <c r="Y5298">
        <v>0.2101073</v>
      </c>
      <c r="Z5298">
        <v>-6.2726140000000001E-3</v>
      </c>
      <c r="AA5298">
        <v>0.97765820000000003</v>
      </c>
      <c r="AB5298">
        <v>25</v>
      </c>
      <c r="AC5298">
        <v>24.953299999999999</v>
      </c>
      <c r="AD5298">
        <v>-1.158568</v>
      </c>
      <c r="AE5298">
        <v>-5.3956</v>
      </c>
      <c r="AF5298">
        <v>5.3886178431395404</v>
      </c>
      <c r="AG5298">
        <v>-1.158568</v>
      </c>
      <c r="AH5298">
        <v>24.901128258754301</v>
      </c>
      <c r="AI5298">
        <v>92.603683143607</v>
      </c>
      <c r="AJ5298">
        <v>77.7894418210156</v>
      </c>
      <c r="AK5298">
        <v>25.503836390412999</v>
      </c>
      <c r="AL5298">
        <v>86.727994256149103</v>
      </c>
      <c r="AM5298">
        <v>81.013855013558</v>
      </c>
      <c r="AN5298">
        <v>1.0000000290547599</v>
      </c>
    </row>
    <row r="5299" spans="1:40" x14ac:dyDescent="0.25">
      <c r="A5299" t="str">
        <f>"20190305135340692"</f>
        <v>20190305135340692</v>
      </c>
      <c r="B5299" t="str">
        <f>"1551765220685547"</f>
        <v>1551765220685547</v>
      </c>
      <c r="C5299" t="s">
        <v>40</v>
      </c>
      <c r="D5299">
        <v>4.3120719999999997</v>
      </c>
      <c r="E5299">
        <v>0.52350490000000005</v>
      </c>
      <c r="F5299" t="s">
        <v>47</v>
      </c>
      <c r="G5299">
        <v>-306.06970000000001</v>
      </c>
      <c r="H5299">
        <v>-0.05</v>
      </c>
      <c r="I5299">
        <v>11.454470000000001</v>
      </c>
      <c r="J5299">
        <v>-331.38639999999998</v>
      </c>
      <c r="K5299">
        <v>1.1085739999999999</v>
      </c>
      <c r="L5299">
        <v>17.033079999999899</v>
      </c>
      <c r="M5299">
        <v>0.9999034</v>
      </c>
      <c r="N5299">
        <v>-1.387214E-2</v>
      </c>
      <c r="O5299">
        <v>-9.08623E-4</v>
      </c>
      <c r="P5299">
        <v>0.98638599999999999</v>
      </c>
      <c r="Q5299">
        <v>4.3954449999999999E-2</v>
      </c>
      <c r="R5299">
        <v>-0.15846479999999999</v>
      </c>
      <c r="S5299">
        <v>2.9442140000000001</v>
      </c>
      <c r="T5299">
        <v>-0.13396910000000001</v>
      </c>
      <c r="U5299">
        <v>-0.64520259999999996</v>
      </c>
      <c r="V5299">
        <v>0.1577472</v>
      </c>
      <c r="W5299">
        <v>5.7143840000000001E-2</v>
      </c>
      <c r="X5299">
        <v>0.9858247</v>
      </c>
      <c r="Y5299">
        <v>0.2128987</v>
      </c>
      <c r="Z5299">
        <v>-6.2511679999999997E-3</v>
      </c>
      <c r="AA5299">
        <v>0.97705430000000004</v>
      </c>
      <c r="AB5299">
        <v>25</v>
      </c>
      <c r="AC5299">
        <v>25.316699999999901</v>
      </c>
      <c r="AD5299">
        <v>-1.158574</v>
      </c>
      <c r="AE5299">
        <v>-5.5786099999999896</v>
      </c>
      <c r="AF5299">
        <v>5.5445280959311098</v>
      </c>
      <c r="AG5299">
        <v>-1.158574</v>
      </c>
      <c r="AH5299">
        <v>25.271284705933802</v>
      </c>
      <c r="AI5299">
        <v>92.564012421282499</v>
      </c>
      <c r="AJ5299">
        <v>77.625358204345204</v>
      </c>
      <c r="AK5299">
        <v>25.898299484877601</v>
      </c>
      <c r="AL5299">
        <v>86.724114530652798</v>
      </c>
      <c r="AM5299">
        <v>80.908858993592304</v>
      </c>
      <c r="AN5299">
        <v>0.99999996834393701</v>
      </c>
    </row>
    <row r="5300" spans="1:40" x14ac:dyDescent="0.25">
      <c r="A5300" t="str">
        <f>"20190305135340708"</f>
        <v>20190305135340708</v>
      </c>
      <c r="B5300" t="str">
        <f>"1551765220695308"</f>
        <v>1551765220695308</v>
      </c>
      <c r="C5300" t="s">
        <v>40</v>
      </c>
      <c r="D5300">
        <v>4.2590370000000002</v>
      </c>
      <c r="E5300">
        <v>0.52367680000000005</v>
      </c>
      <c r="F5300" t="s">
        <v>47</v>
      </c>
      <c r="G5300">
        <v>-306.37349999999998</v>
      </c>
      <c r="H5300">
        <v>-0.05</v>
      </c>
      <c r="I5300">
        <v>11.432790000000001</v>
      </c>
      <c r="J5300">
        <v>-331.21300000000002</v>
      </c>
      <c r="K5300">
        <v>1.1085879999999999</v>
      </c>
      <c r="L5300">
        <v>17.031459999999999</v>
      </c>
      <c r="M5300">
        <v>0.9999015</v>
      </c>
      <c r="N5300">
        <v>-1.3870530000000001E-2</v>
      </c>
      <c r="O5300">
        <v>-2.187324E-3</v>
      </c>
      <c r="P5300">
        <v>0.9854792</v>
      </c>
      <c r="Q5300">
        <v>4.4700879999999998E-2</v>
      </c>
      <c r="R5300">
        <v>-0.1638077</v>
      </c>
      <c r="S5300">
        <v>2.941681</v>
      </c>
      <c r="T5300">
        <v>-0.13625599999999999</v>
      </c>
      <c r="U5300">
        <v>-0.65863039999999995</v>
      </c>
      <c r="V5300">
        <v>0.16183110000000001</v>
      </c>
      <c r="W5300">
        <v>5.7870770000000002E-2</v>
      </c>
      <c r="X5300">
        <v>0.98512010000000005</v>
      </c>
      <c r="Y5300">
        <v>0.21606310000000001</v>
      </c>
      <c r="Z5300">
        <v>-6.3879820000000004E-3</v>
      </c>
      <c r="AA5300">
        <v>0.97635850000000002</v>
      </c>
      <c r="AB5300">
        <v>25</v>
      </c>
      <c r="AC5300">
        <v>24.839500000000001</v>
      </c>
      <c r="AD5300">
        <v>-1.158588</v>
      </c>
      <c r="AE5300">
        <v>-5.5986699999999896</v>
      </c>
      <c r="AF5300">
        <v>5.53286418347425</v>
      </c>
      <c r="AG5300">
        <v>-1.158588</v>
      </c>
      <c r="AH5300">
        <v>24.8003415718828</v>
      </c>
      <c r="AI5300">
        <v>92.610632993835097</v>
      </c>
      <c r="AJ5300">
        <v>77.423477489807794</v>
      </c>
      <c r="AK5300">
        <v>25.436427703366199</v>
      </c>
      <c r="AL5300">
        <v>86.682395475355506</v>
      </c>
      <c r="AM5300">
        <v>80.671030042816199</v>
      </c>
      <c r="AN5300">
        <v>0.99999997118580597</v>
      </c>
    </row>
    <row r="5301" spans="1:40" x14ac:dyDescent="0.25">
      <c r="A5301" t="str">
        <f>"20190305135340721"</f>
        <v>20190305135340721</v>
      </c>
      <c r="B5301" t="str">
        <f>"1551765220715804"</f>
        <v>1551765220715804</v>
      </c>
      <c r="C5301" t="s">
        <v>40</v>
      </c>
      <c r="D5301">
        <v>4.3592000000000004</v>
      </c>
      <c r="E5301">
        <v>0.52410970000000001</v>
      </c>
      <c r="F5301" t="s">
        <v>47</v>
      </c>
      <c r="G5301">
        <v>-306.51870000000002</v>
      </c>
      <c r="H5301">
        <v>-0.05</v>
      </c>
      <c r="I5301">
        <v>11.35406</v>
      </c>
      <c r="J5301">
        <v>-331.06290000000001</v>
      </c>
      <c r="K5301">
        <v>1.1086020000000001</v>
      </c>
      <c r="L5301">
        <v>17.029910000000001</v>
      </c>
      <c r="M5301">
        <v>0.99989850000000002</v>
      </c>
      <c r="N5301">
        <v>-1.3868109999999999E-2</v>
      </c>
      <c r="O5301">
        <v>-3.2843490000000002E-3</v>
      </c>
      <c r="P5301">
        <v>0.98501709999999998</v>
      </c>
      <c r="Q5301">
        <v>4.5222900000000003E-2</v>
      </c>
      <c r="R5301">
        <v>-0.1664226</v>
      </c>
      <c r="S5301">
        <v>2.9381710000000001</v>
      </c>
      <c r="T5301">
        <v>-0.1378509</v>
      </c>
      <c r="U5301">
        <v>-0.67550659999999996</v>
      </c>
      <c r="V5301">
        <v>0.16336589999999901</v>
      </c>
      <c r="W5301">
        <v>5.838583E-2</v>
      </c>
      <c r="X5301">
        <v>0.9848363</v>
      </c>
      <c r="Y5301">
        <v>0.22055959999999999</v>
      </c>
      <c r="Z5301">
        <v>-6.5478239999999998E-3</v>
      </c>
      <c r="AA5301">
        <v>0.97535150000000004</v>
      </c>
      <c r="AB5301">
        <v>25</v>
      </c>
      <c r="AC5301">
        <v>24.544199999999901</v>
      </c>
      <c r="AD5301">
        <v>-1.1586019999999999</v>
      </c>
      <c r="AE5301">
        <v>-5.6758499999999996</v>
      </c>
      <c r="AF5301">
        <v>5.5833900792287299</v>
      </c>
      <c r="AG5301">
        <v>-1.1586019999999999</v>
      </c>
      <c r="AH5301">
        <v>24.510866139311599</v>
      </c>
      <c r="AI5301">
        <v>92.638797066760901</v>
      </c>
      <c r="AJ5301">
        <v>77.167422146236007</v>
      </c>
      <c r="AK5301">
        <v>25.165435864901799</v>
      </c>
      <c r="AL5301">
        <v>86.652834588685707</v>
      </c>
      <c r="AM5301">
        <v>80.581466844924194</v>
      </c>
      <c r="AN5301">
        <v>0.99999993011264199</v>
      </c>
    </row>
    <row r="5302" spans="1:40" x14ac:dyDescent="0.25">
      <c r="A5302" t="str">
        <f>"20190305135340736"</f>
        <v>20190305135340736</v>
      </c>
      <c r="B5302" t="str">
        <f>"1551765220725564"</f>
        <v>1551765220725564</v>
      </c>
      <c r="C5302" t="s">
        <v>40</v>
      </c>
      <c r="D5302">
        <v>4.3217119999999998</v>
      </c>
      <c r="E5302">
        <v>0.52404390000000001</v>
      </c>
      <c r="F5302" t="s">
        <v>47</v>
      </c>
      <c r="G5302">
        <v>-305.82920000000001</v>
      </c>
      <c r="H5302">
        <v>-0.05</v>
      </c>
      <c r="I5302">
        <v>11.12889</v>
      </c>
      <c r="J5302">
        <v>-330.90800000000002</v>
      </c>
      <c r="K5302">
        <v>1.1086199999999999</v>
      </c>
      <c r="L5302">
        <v>17.028110000000002</v>
      </c>
      <c r="M5302">
        <v>0.99989430000000001</v>
      </c>
      <c r="N5302">
        <v>-1.3864710000000001E-2</v>
      </c>
      <c r="O5302">
        <v>-4.4088909999999999E-3</v>
      </c>
      <c r="P5302">
        <v>0.98458020000000002</v>
      </c>
      <c r="Q5302">
        <v>4.5617539999999998E-2</v>
      </c>
      <c r="R5302">
        <v>-0.16888310000000001</v>
      </c>
      <c r="S5302">
        <v>2.9358219999999999</v>
      </c>
      <c r="T5302">
        <v>-0.13479759999999999</v>
      </c>
      <c r="U5302">
        <v>-0.686554</v>
      </c>
      <c r="V5302">
        <v>0.16471920000000001</v>
      </c>
      <c r="W5302">
        <v>5.8774260000000002E-2</v>
      </c>
      <c r="X5302">
        <v>0.98458780000000001</v>
      </c>
      <c r="Y5302">
        <v>0.22312370000000001</v>
      </c>
      <c r="Z5302">
        <v>-6.4807479999999997E-3</v>
      </c>
      <c r="AA5302">
        <v>0.97476859999999999</v>
      </c>
      <c r="AB5302">
        <v>25</v>
      </c>
      <c r="AC5302">
        <v>25.078800000000001</v>
      </c>
      <c r="AD5302">
        <v>-1.15862</v>
      </c>
      <c r="AE5302">
        <v>-5.8992199999999997</v>
      </c>
      <c r="AF5302">
        <v>5.77689881014454</v>
      </c>
      <c r="AG5302">
        <v>-1.15862</v>
      </c>
      <c r="AH5302">
        <v>25.0538972719363</v>
      </c>
      <c r="AI5302">
        <v>92.580156881468596</v>
      </c>
      <c r="AJ5302">
        <v>77.015740149266804</v>
      </c>
      <c r="AK5302">
        <v>25.737379988642701</v>
      </c>
      <c r="AL5302">
        <v>86.630541078428195</v>
      </c>
      <c r="AM5302">
        <v>80.502507237004494</v>
      </c>
      <c r="AN5302">
        <v>0.999999982198013</v>
      </c>
    </row>
    <row r="5303" spans="1:40" x14ac:dyDescent="0.25">
      <c r="A5303" t="str">
        <f>"20190305135340747"</f>
        <v>20190305135340747</v>
      </c>
      <c r="B5303" t="str">
        <f>"1551765220735322"</f>
        <v>1551765220735322</v>
      </c>
      <c r="C5303" t="s">
        <v>40</v>
      </c>
      <c r="D5303">
        <v>4.3426019999999896</v>
      </c>
      <c r="E5303">
        <v>0.52403239999999995</v>
      </c>
      <c r="F5303" t="s">
        <v>47</v>
      </c>
      <c r="G5303">
        <v>-305.34429999999998</v>
      </c>
      <c r="H5303">
        <v>-0.05</v>
      </c>
      <c r="I5303">
        <v>10.988160000000001</v>
      </c>
      <c r="J5303">
        <v>-330.7765</v>
      </c>
      <c r="K5303">
        <v>1.108638</v>
      </c>
      <c r="L5303">
        <v>17.026489999999999</v>
      </c>
      <c r="M5303">
        <v>0.99988960000000005</v>
      </c>
      <c r="N5303">
        <v>-1.3861500000000001E-2</v>
      </c>
      <c r="O5303">
        <v>-5.3587210000000003E-3</v>
      </c>
      <c r="P5303">
        <v>0.98420980000000002</v>
      </c>
      <c r="Q5303">
        <v>4.6304860000000003E-2</v>
      </c>
      <c r="R5303">
        <v>-0.17084189999999999</v>
      </c>
      <c r="S5303">
        <v>2.9342039999999998</v>
      </c>
      <c r="T5303">
        <v>-0.13298689999999999</v>
      </c>
      <c r="U5303">
        <v>-0.69326779999999999</v>
      </c>
      <c r="V5303">
        <v>0.1657448</v>
      </c>
      <c r="W5303">
        <v>5.9456370000000001E-2</v>
      </c>
      <c r="X5303">
        <v>0.98437470000000005</v>
      </c>
      <c r="Y5303">
        <v>0.22443569999999999</v>
      </c>
      <c r="Z5303">
        <v>-6.4260630000000001E-3</v>
      </c>
      <c r="AA5303">
        <v>0.97446770000000005</v>
      </c>
      <c r="AB5303">
        <v>25</v>
      </c>
      <c r="AC5303">
        <v>25.432200000000002</v>
      </c>
      <c r="AD5303">
        <v>-1.1586379999999901</v>
      </c>
      <c r="AE5303">
        <v>-6.0383299999999904</v>
      </c>
      <c r="AF5303">
        <v>5.8903729304299102</v>
      </c>
      <c r="AG5303">
        <v>-1.1586379999999901</v>
      </c>
      <c r="AH5303">
        <v>25.414262547069299</v>
      </c>
      <c r="AI5303">
        <v>92.542992688688102</v>
      </c>
      <c r="AJ5303">
        <v>76.950720660298998</v>
      </c>
      <c r="AK5303">
        <v>26.113668376655799</v>
      </c>
      <c r="AL5303">
        <v>86.591390558020805</v>
      </c>
      <c r="AM5303">
        <v>80.442429198108798</v>
      </c>
      <c r="AN5303">
        <v>0.99999997433035304</v>
      </c>
    </row>
    <row r="5304" spans="1:40" x14ac:dyDescent="0.25">
      <c r="A5304" t="str">
        <f>"20190305135340765"</f>
        <v>20190305135340765</v>
      </c>
      <c r="B5304" t="str">
        <f>"1551765220755603"</f>
        <v>1551765220755603</v>
      </c>
      <c r="C5304" t="s">
        <v>40</v>
      </c>
      <c r="D5304">
        <v>4.333094</v>
      </c>
      <c r="E5304">
        <v>0.52395820000000004</v>
      </c>
      <c r="F5304" t="s">
        <v>47</v>
      </c>
      <c r="G5304">
        <v>-305.12920000000003</v>
      </c>
      <c r="H5304">
        <v>-0.05</v>
      </c>
      <c r="I5304">
        <v>10.91447</v>
      </c>
      <c r="J5304">
        <v>-330.58120000000002</v>
      </c>
      <c r="K5304">
        <v>1.108657</v>
      </c>
      <c r="L5304">
        <v>17.02383</v>
      </c>
      <c r="M5304">
        <v>0.99988120000000003</v>
      </c>
      <c r="N5304">
        <v>-1.3856459999999999E-2</v>
      </c>
      <c r="O5304">
        <v>-6.7601240000000002E-3</v>
      </c>
      <c r="P5304">
        <v>0.98359750000000001</v>
      </c>
      <c r="Q5304">
        <v>4.6572639999999998E-2</v>
      </c>
      <c r="R5304">
        <v>-0.17426220000000001</v>
      </c>
      <c r="S5304">
        <v>2.9330440000000002</v>
      </c>
      <c r="T5304">
        <v>-0.13250290000000001</v>
      </c>
      <c r="U5304">
        <v>-0.6989746</v>
      </c>
      <c r="V5304">
        <v>0.16778699999999999</v>
      </c>
      <c r="W5304">
        <v>5.97134E-2</v>
      </c>
      <c r="X5304">
        <v>0.98401309999999997</v>
      </c>
      <c r="Y5304">
        <v>0.22495290000000001</v>
      </c>
      <c r="Z5304">
        <v>-6.3811319999999899E-3</v>
      </c>
      <c r="AA5304">
        <v>0.97434869999999996</v>
      </c>
      <c r="AB5304">
        <v>25</v>
      </c>
      <c r="AC5304">
        <v>25.452000000000002</v>
      </c>
      <c r="AD5304">
        <v>-1.158657</v>
      </c>
      <c r="AE5304">
        <v>-6.1093599999999997</v>
      </c>
      <c r="AF5304">
        <v>5.9255343066901096</v>
      </c>
      <c r="AG5304">
        <v>-1.158657</v>
      </c>
      <c r="AH5304">
        <v>25.442867876903001</v>
      </c>
      <c r="AI5304">
        <v>92.539551938357505</v>
      </c>
      <c r="AJ5304">
        <v>76.889760321583694</v>
      </c>
      <c r="AK5304">
        <v>26.149454462090699</v>
      </c>
      <c r="AL5304">
        <v>86.576637610670502</v>
      </c>
      <c r="AM5304">
        <v>80.323391418304396</v>
      </c>
      <c r="AN5304">
        <v>0.99999997424008402</v>
      </c>
    </row>
    <row r="5305" spans="1:40" x14ac:dyDescent="0.25">
      <c r="A5305" t="str">
        <f>"20190305135340779"</f>
        <v>20190305135340779</v>
      </c>
      <c r="B5305" t="str">
        <f>"1551765220765363"</f>
        <v>1551765220765363</v>
      </c>
      <c r="C5305" t="s">
        <v>40</v>
      </c>
      <c r="D5305">
        <v>4.3017500000000002</v>
      </c>
      <c r="E5305">
        <v>0.52394669999999999</v>
      </c>
      <c r="F5305" t="s">
        <v>47</v>
      </c>
      <c r="G5305">
        <v>-305.16379999999998</v>
      </c>
      <c r="H5305">
        <v>-0.05</v>
      </c>
      <c r="I5305">
        <v>10.879759999999999</v>
      </c>
      <c r="J5305">
        <v>-330.43799999999999</v>
      </c>
      <c r="K5305">
        <v>1.108665</v>
      </c>
      <c r="L5305">
        <v>17.021699999999999</v>
      </c>
      <c r="M5305">
        <v>0.99987389999999998</v>
      </c>
      <c r="N5305">
        <v>-1.3849770000000001E-2</v>
      </c>
      <c r="O5305">
        <v>-7.7811149999999999E-3</v>
      </c>
      <c r="P5305">
        <v>0.98328439999999995</v>
      </c>
      <c r="Q5305">
        <v>4.6585790000000002E-2</v>
      </c>
      <c r="R5305">
        <v>-0.17601649999999999</v>
      </c>
      <c r="S5305">
        <v>2.930847</v>
      </c>
      <c r="T5305">
        <v>-0.1336031</v>
      </c>
      <c r="U5305">
        <v>-0.70846560000000003</v>
      </c>
      <c r="V5305">
        <v>0.16853699999999999</v>
      </c>
      <c r="W5305">
        <v>5.9719599999999998E-2</v>
      </c>
      <c r="X5305">
        <v>0.9838846</v>
      </c>
      <c r="Y5305">
        <v>0.22709889999999999</v>
      </c>
      <c r="Z5305">
        <v>-6.4530259999999997E-3</v>
      </c>
      <c r="AA5305">
        <v>0.97385029999999995</v>
      </c>
      <c r="AB5305">
        <v>25</v>
      </c>
      <c r="AC5305">
        <v>25.2742</v>
      </c>
      <c r="AD5305">
        <v>-1.1586650000000001</v>
      </c>
      <c r="AE5305">
        <v>-6.1419399999999902</v>
      </c>
      <c r="AF5305">
        <v>5.93329932616198</v>
      </c>
      <c r="AG5305">
        <v>-1.1586650000000001</v>
      </c>
      <c r="AH5305">
        <v>25.2710809798828</v>
      </c>
      <c r="AI5305">
        <v>92.555739994816904</v>
      </c>
      <c r="AJ5305">
        <v>76.787061859058696</v>
      </c>
      <c r="AK5305">
        <v>25.984112056559699</v>
      </c>
      <c r="AL5305">
        <v>86.576281927917805</v>
      </c>
      <c r="AM5305">
        <v>80.279715481899501</v>
      </c>
      <c r="AN5305">
        <v>1.00000002855515</v>
      </c>
    </row>
    <row r="5306" spans="1:40" x14ac:dyDescent="0.25">
      <c r="A5306" t="str">
        <f>"20190305135340791"</f>
        <v>20190305135340791</v>
      </c>
      <c r="B5306" t="str">
        <f>"1551765220785860"</f>
        <v>1551765220785860</v>
      </c>
      <c r="C5306" t="s">
        <v>40</v>
      </c>
      <c r="D5306">
        <v>4.2739419999999999</v>
      </c>
      <c r="E5306">
        <v>0.52414340000000004</v>
      </c>
      <c r="F5306" t="s">
        <v>47</v>
      </c>
      <c r="G5306">
        <v>-305.13729999999998</v>
      </c>
      <c r="H5306">
        <v>-0.05</v>
      </c>
      <c r="I5306">
        <v>10.86064</v>
      </c>
      <c r="J5306">
        <v>-330.29239999999999</v>
      </c>
      <c r="K5306">
        <v>1.108671</v>
      </c>
      <c r="L5306">
        <v>17.019379999999899</v>
      </c>
      <c r="M5306">
        <v>0.99986540000000002</v>
      </c>
      <c r="N5306">
        <v>-1.384173E-2</v>
      </c>
      <c r="O5306">
        <v>-8.8178400000000004E-3</v>
      </c>
      <c r="P5306">
        <v>0.98297330000000005</v>
      </c>
      <c r="Q5306">
        <v>4.6355109999999998E-2</v>
      </c>
      <c r="R5306">
        <v>-0.17780570000000001</v>
      </c>
      <c r="S5306">
        <v>2.9296570000000002</v>
      </c>
      <c r="T5306">
        <v>-0.1341658</v>
      </c>
      <c r="U5306">
        <v>-0.71340939999999997</v>
      </c>
      <c r="V5306">
        <v>0.16930590000000001</v>
      </c>
      <c r="W5306">
        <v>5.9480180000000001E-2</v>
      </c>
      <c r="X5306">
        <v>0.98376699999999995</v>
      </c>
      <c r="Y5306">
        <v>0.22772899999999999</v>
      </c>
      <c r="Z5306">
        <v>-6.4593219999999896E-3</v>
      </c>
      <c r="AA5306">
        <v>0.97370310000000004</v>
      </c>
      <c r="AB5306">
        <v>25</v>
      </c>
      <c r="AC5306">
        <v>25.155100000000001</v>
      </c>
      <c r="AD5306">
        <v>-1.158671</v>
      </c>
      <c r="AE5306">
        <v>-6.1587399999999901</v>
      </c>
      <c r="AF5306">
        <v>5.9248063030411604</v>
      </c>
      <c r="AG5306">
        <v>-1.158671</v>
      </c>
      <c r="AH5306">
        <v>25.158076396106999</v>
      </c>
      <c r="AI5306">
        <v>92.5668081905321</v>
      </c>
      <c r="AJ5306">
        <v>76.748132088920499</v>
      </c>
      <c r="AK5306">
        <v>25.8722758211788</v>
      </c>
      <c r="AL5306">
        <v>86.590023826461405</v>
      </c>
      <c r="AM5306">
        <v>80.235076546608695</v>
      </c>
      <c r="AN5306">
        <v>0.99999994493831901</v>
      </c>
    </row>
    <row r="5307" spans="1:40" x14ac:dyDescent="0.25">
      <c r="A5307" t="str">
        <f>"20190305135340808"</f>
        <v>20190305135340808</v>
      </c>
      <c r="B5307" t="str">
        <f>"1551765220795619"</f>
        <v>1551765220795619</v>
      </c>
      <c r="C5307" t="s">
        <v>40</v>
      </c>
      <c r="D5307">
        <v>4.3094780000000004</v>
      </c>
      <c r="E5307">
        <v>0.5244761</v>
      </c>
      <c r="F5307" t="s">
        <v>47</v>
      </c>
      <c r="G5307">
        <v>-305.3338</v>
      </c>
      <c r="H5307">
        <v>-0.05</v>
      </c>
      <c r="I5307">
        <v>10.882020000000001</v>
      </c>
      <c r="J5307">
        <v>-330.11380000000003</v>
      </c>
      <c r="K5307">
        <v>1.108679</v>
      </c>
      <c r="L5307">
        <v>17.016359999999999</v>
      </c>
      <c r="M5307">
        <v>0.99985360000000001</v>
      </c>
      <c r="N5307">
        <v>-1.383011E-2</v>
      </c>
      <c r="O5307">
        <v>-1.0086970000000001E-2</v>
      </c>
      <c r="P5307">
        <v>0.9826319</v>
      </c>
      <c r="Q5307">
        <v>4.5902569999999997E-2</v>
      </c>
      <c r="R5307">
        <v>-0.1797986</v>
      </c>
      <c r="S5307">
        <v>2.928131</v>
      </c>
      <c r="T5307">
        <v>-0.13593469999999999</v>
      </c>
      <c r="U5307">
        <v>-0.72003169999999905</v>
      </c>
      <c r="V5307">
        <v>0.1700499</v>
      </c>
      <c r="W5307">
        <v>5.9016069999999997E-2</v>
      </c>
      <c r="X5307">
        <v>0.9836667</v>
      </c>
      <c r="Y5307">
        <v>0.22867999999999999</v>
      </c>
      <c r="Z5307">
        <v>-6.5096069999999997E-3</v>
      </c>
      <c r="AA5307">
        <v>0.97347989999999995</v>
      </c>
      <c r="AB5307">
        <v>25</v>
      </c>
      <c r="AC5307">
        <v>24.78</v>
      </c>
      <c r="AD5307">
        <v>-1.158679</v>
      </c>
      <c r="AE5307">
        <v>-6.1343399999999999</v>
      </c>
      <c r="AF5307">
        <v>5.8719519273780199</v>
      </c>
      <c r="AG5307">
        <v>-1.158679</v>
      </c>
      <c r="AH5307">
        <v>24.789552403862402</v>
      </c>
      <c r="AI5307">
        <v>92.604135911772801</v>
      </c>
      <c r="AJ5307">
        <v>76.673844541427599</v>
      </c>
      <c r="AK5307">
        <v>25.501848263338001</v>
      </c>
      <c r="AL5307">
        <v>86.616662425457804</v>
      </c>
      <c r="AM5307">
        <v>80.192016342624797</v>
      </c>
      <c r="AN5307">
        <v>1.00000002084857</v>
      </c>
    </row>
    <row r="5308" spans="1:40" x14ac:dyDescent="0.25">
      <c r="A5308" t="str">
        <f>"20190305135340819"</f>
        <v>20190305135340819</v>
      </c>
      <c r="B5308" t="str">
        <f>"1551765220815139"</f>
        <v>1551765220815139</v>
      </c>
      <c r="C5308" t="s">
        <v>40</v>
      </c>
      <c r="D5308">
        <v>4.3108219999999999</v>
      </c>
      <c r="E5308">
        <v>0.52534409999999998</v>
      </c>
      <c r="F5308" t="s">
        <v>47</v>
      </c>
      <c r="G5308">
        <v>-305.6447</v>
      </c>
      <c r="H5308">
        <v>-0.05</v>
      </c>
      <c r="I5308">
        <v>10.92442</v>
      </c>
      <c r="J5308">
        <v>-329.98570000000001</v>
      </c>
      <c r="K5308">
        <v>1.1086830000000001</v>
      </c>
      <c r="L5308">
        <v>17.014039999999898</v>
      </c>
      <c r="M5308">
        <v>0.99984410000000001</v>
      </c>
      <c r="N5308">
        <v>-1.3821490000000001E-2</v>
      </c>
      <c r="O5308">
        <v>-1.099632E-2</v>
      </c>
      <c r="P5308">
        <v>0.98247759999999995</v>
      </c>
      <c r="Q5308">
        <v>4.5628259999999997E-2</v>
      </c>
      <c r="R5308">
        <v>-0.18070929999999999</v>
      </c>
      <c r="S5308">
        <v>2.9261780000000002</v>
      </c>
      <c r="T5308">
        <v>-0.13856270000000001</v>
      </c>
      <c r="U5308">
        <v>-0.72851560000000004</v>
      </c>
      <c r="V5308">
        <v>0.17006540000000001</v>
      </c>
      <c r="W5308">
        <v>5.8735229999999999E-2</v>
      </c>
      <c r="X5308">
        <v>0.98368080000000002</v>
      </c>
      <c r="Y5308">
        <v>0.23059189999999999</v>
      </c>
      <c r="Z5308">
        <v>-6.6306109999999998E-3</v>
      </c>
      <c r="AA5308">
        <v>0.97302789999999995</v>
      </c>
      <c r="AB5308">
        <v>25</v>
      </c>
      <c r="AC5308">
        <v>24.341000000000001</v>
      </c>
      <c r="AD5308">
        <v>-1.1586829999999999</v>
      </c>
      <c r="AE5308">
        <v>-6.0896199999999903</v>
      </c>
      <c r="AF5308">
        <v>5.8091767663490801</v>
      </c>
      <c r="AG5308">
        <v>-1.1586829999999999</v>
      </c>
      <c r="AH5308">
        <v>24.354561995491199</v>
      </c>
      <c r="AI5308">
        <v>92.649606814930195</v>
      </c>
      <c r="AJ5308">
        <v>76.584191133825001</v>
      </c>
      <c r="AK5308">
        <v>25.064591977317399</v>
      </c>
      <c r="AL5308">
        <v>86.632781235395797</v>
      </c>
      <c r="AM5308">
        <v>80.191277580884304</v>
      </c>
      <c r="AN5308">
        <v>0.99999999190447597</v>
      </c>
    </row>
    <row r="5309" spans="1:40" x14ac:dyDescent="0.25">
      <c r="A5309" t="str">
        <f>"20190305135340831"</f>
        <v>20190305135340831</v>
      </c>
      <c r="B5309" t="str">
        <f>"1551765220824899"</f>
        <v>1551765220824899</v>
      </c>
      <c r="C5309" t="s">
        <v>40</v>
      </c>
      <c r="D5309">
        <v>4.2467360000000003</v>
      </c>
      <c r="E5309">
        <v>0.52534409999999998</v>
      </c>
      <c r="F5309" t="s">
        <v>47</v>
      </c>
      <c r="G5309">
        <v>-305.78109999999998</v>
      </c>
      <c r="H5309">
        <v>-0.05</v>
      </c>
      <c r="I5309">
        <v>10.90668</v>
      </c>
      <c r="J5309">
        <v>-329.86279999999999</v>
      </c>
      <c r="K5309">
        <v>1.1086860000000001</v>
      </c>
      <c r="L5309">
        <v>17.01172</v>
      </c>
      <c r="M5309">
        <v>0.99983420000000001</v>
      </c>
      <c r="N5309">
        <v>-1.3813600000000001E-2</v>
      </c>
      <c r="O5309">
        <v>-1.1867890000000001E-2</v>
      </c>
      <c r="P5309">
        <v>0.98232660000000005</v>
      </c>
      <c r="Q5309">
        <v>4.5749619999999998E-2</v>
      </c>
      <c r="R5309">
        <v>-0.1814982</v>
      </c>
      <c r="S5309">
        <v>2.924255</v>
      </c>
      <c r="T5309">
        <v>-0.13998529999999901</v>
      </c>
      <c r="U5309">
        <v>-0.73785400000000001</v>
      </c>
      <c r="V5309">
        <v>0.16999739999999999</v>
      </c>
      <c r="W5309">
        <v>5.8851380000000002E-2</v>
      </c>
      <c r="X5309">
        <v>0.98368560000000005</v>
      </c>
      <c r="Y5309">
        <v>0.2328083</v>
      </c>
      <c r="Z5309">
        <v>-6.7199060000000003E-3</v>
      </c>
      <c r="AA5309">
        <v>0.97249940000000001</v>
      </c>
      <c r="AB5309">
        <v>25</v>
      </c>
      <c r="AC5309">
        <v>24.081700000000001</v>
      </c>
      <c r="AD5309">
        <v>-1.1586860000000001</v>
      </c>
      <c r="AE5309">
        <v>-6.1050399999999998</v>
      </c>
      <c r="AF5309">
        <v>5.8061540031634502</v>
      </c>
      <c r="AG5309">
        <v>-1.1586860000000001</v>
      </c>
      <c r="AH5309">
        <v>24.1000413536302</v>
      </c>
      <c r="AI5309">
        <v>92.676105334670694</v>
      </c>
      <c r="AJ5309">
        <v>76.454498700031095</v>
      </c>
      <c r="AK5309">
        <v>24.816647049948799</v>
      </c>
      <c r="AL5309">
        <v>86.626114759567699</v>
      </c>
      <c r="AM5309">
        <v>80.195170339826305</v>
      </c>
      <c r="AN5309">
        <v>0.999999980291012</v>
      </c>
    </row>
    <row r="5310" spans="1:40" x14ac:dyDescent="0.25">
      <c r="A5310" t="str">
        <f>"20190305135340843"</f>
        <v>20190305135340843</v>
      </c>
      <c r="B5310" t="str">
        <f>"1551765220835635"</f>
        <v>1551765220835635</v>
      </c>
      <c r="C5310" t="s">
        <v>40</v>
      </c>
      <c r="D5310">
        <v>4.2509509999999997</v>
      </c>
      <c r="E5310">
        <v>0.55219099999999999</v>
      </c>
      <c r="F5310" t="s">
        <v>47</v>
      </c>
      <c r="G5310">
        <v>-305.6103</v>
      </c>
      <c r="H5310">
        <v>-0.05</v>
      </c>
      <c r="I5310">
        <v>10.871169999999999</v>
      </c>
      <c r="J5310">
        <v>-329.72329999999999</v>
      </c>
      <c r="K5310">
        <v>1.108687</v>
      </c>
      <c r="L5310">
        <v>17.008970000000001</v>
      </c>
      <c r="M5310">
        <v>0.99982210000000005</v>
      </c>
      <c r="N5310">
        <v>-1.3805120000000001E-2</v>
      </c>
      <c r="O5310">
        <v>-1.285819E-2</v>
      </c>
      <c r="P5310">
        <v>0.98217759999999998</v>
      </c>
      <c r="Q5310">
        <v>4.5842760000000003E-2</v>
      </c>
      <c r="R5310">
        <v>-0.18228050000000001</v>
      </c>
      <c r="S5310">
        <v>2.923737</v>
      </c>
      <c r="T5310">
        <v>-0.139684</v>
      </c>
      <c r="U5310">
        <v>-0.7402649</v>
      </c>
      <c r="V5310">
        <v>0.16980580000000001</v>
      </c>
      <c r="W5310">
        <v>5.893897E-2</v>
      </c>
      <c r="X5310">
        <v>0.98371339999999996</v>
      </c>
      <c r="Y5310">
        <v>0.23264179999999901</v>
      </c>
      <c r="Z5310">
        <v>-6.6705890000000002E-3</v>
      </c>
      <c r="AA5310">
        <v>0.97253959999999995</v>
      </c>
      <c r="AB5310">
        <v>24</v>
      </c>
      <c r="AC5310">
        <v>24.113</v>
      </c>
      <c r="AD5310">
        <v>-1.158687</v>
      </c>
      <c r="AE5310">
        <v>-6.1378000000000004</v>
      </c>
      <c r="AF5310">
        <v>5.8146043015490596</v>
      </c>
      <c r="AG5310">
        <v>-1.158687</v>
      </c>
      <c r="AH5310">
        <v>24.137591687003901</v>
      </c>
      <c r="AI5310">
        <v>92.671965523145005</v>
      </c>
      <c r="AJ5310">
        <v>76.455836470794793</v>
      </c>
      <c r="AK5310">
        <v>24.8550902471925</v>
      </c>
      <c r="AL5310">
        <v>86.621087334410205</v>
      </c>
      <c r="AM5310">
        <v>80.2062784205187</v>
      </c>
      <c r="AN5310">
        <v>0.99999993261892794</v>
      </c>
    </row>
    <row r="5311" spans="1:40" x14ac:dyDescent="0.25">
      <c r="A5311" t="str">
        <f>"20190305135340854"</f>
        <v>20190305135340854</v>
      </c>
      <c r="B5311" t="str">
        <f>"1551765220844976"</f>
        <v>1551765220844976</v>
      </c>
      <c r="C5311" t="s">
        <v>40</v>
      </c>
      <c r="D5311">
        <v>5.6896209999999998</v>
      </c>
      <c r="E5311">
        <v>0.55293419999999904</v>
      </c>
      <c r="F5311" t="s">
        <v>47</v>
      </c>
      <c r="G5311">
        <v>-280.81569999999999</v>
      </c>
      <c r="H5311">
        <v>-0.05</v>
      </c>
      <c r="I5311">
        <v>0.81576539999999997</v>
      </c>
      <c r="J5311">
        <v>-329.60059999999999</v>
      </c>
      <c r="K5311">
        <v>1.1086879999999999</v>
      </c>
      <c r="L5311">
        <v>17.00638</v>
      </c>
      <c r="M5311">
        <v>0.99981059999999999</v>
      </c>
      <c r="N5311">
        <v>-1.379582E-2</v>
      </c>
      <c r="O5311">
        <v>-1.3730249999999999E-2</v>
      </c>
      <c r="P5311">
        <v>0.98203099999999999</v>
      </c>
      <c r="Q5311">
        <v>4.5889739999999998E-2</v>
      </c>
      <c r="R5311">
        <v>-0.18305489999999999</v>
      </c>
      <c r="S5311">
        <v>2.8806150000000001</v>
      </c>
      <c r="T5311">
        <v>-6.8245650000000005E-2</v>
      </c>
      <c r="U5311">
        <v>-0.95376590000000006</v>
      </c>
      <c r="V5311">
        <v>0.16972309999999999</v>
      </c>
      <c r="W5311">
        <v>5.8978950000000002E-2</v>
      </c>
      <c r="X5311">
        <v>0.98372539999999997</v>
      </c>
      <c r="Y5311">
        <v>0.3011279</v>
      </c>
      <c r="Z5311">
        <v>-5.4735629999999999E-3</v>
      </c>
      <c r="AA5311">
        <v>0.95356799999999997</v>
      </c>
      <c r="AB5311">
        <v>24</v>
      </c>
      <c r="AC5311">
        <v>48.784899999999901</v>
      </c>
      <c r="AD5311">
        <v>-1.1586879999999999</v>
      </c>
      <c r="AE5311">
        <v>-16.1906146</v>
      </c>
      <c r="AF5311">
        <v>15.5113135958208</v>
      </c>
      <c r="AG5311">
        <v>-1.1586879999999999</v>
      </c>
      <c r="AH5311">
        <v>48.977735238997901</v>
      </c>
      <c r="AI5311">
        <v>91.291996449342804</v>
      </c>
      <c r="AJ5311">
        <v>72.426936497343803</v>
      </c>
      <c r="AK5311">
        <v>51.388344558767599</v>
      </c>
      <c r="AL5311">
        <v>86.618793071162003</v>
      </c>
      <c r="AM5311">
        <v>80.211073026442506</v>
      </c>
      <c r="AN5311">
        <v>1.00000005491093</v>
      </c>
    </row>
    <row r="5312" spans="1:40" x14ac:dyDescent="0.25">
      <c r="A5312" t="str">
        <f>"20190305135340865"</f>
        <v>20190305135340865</v>
      </c>
      <c r="B5312" t="str">
        <f>"1551765220855711"</f>
        <v>1551765220855711</v>
      </c>
      <c r="C5312" t="s">
        <v>40</v>
      </c>
      <c r="D5312">
        <v>4.248291</v>
      </c>
      <c r="E5312">
        <v>0.55293419999999904</v>
      </c>
      <c r="F5312" t="s">
        <v>47</v>
      </c>
      <c r="G5312">
        <v>-269.03989999999999</v>
      </c>
      <c r="H5312">
        <v>-0.05</v>
      </c>
      <c r="I5312">
        <v>-3.2323149999999998</v>
      </c>
      <c r="J5312">
        <v>-329.48259999999999</v>
      </c>
      <c r="K5312">
        <v>1.1086860000000001</v>
      </c>
      <c r="L5312">
        <v>17.003879999999999</v>
      </c>
      <c r="M5312">
        <v>0.99979899999999999</v>
      </c>
      <c r="N5312">
        <v>-1.37865E-2</v>
      </c>
      <c r="O5312">
        <v>-1.4568940000000001E-2</v>
      </c>
      <c r="P5312">
        <v>0.98193319999999995</v>
      </c>
      <c r="Q5312">
        <v>4.5830490000000002E-2</v>
      </c>
      <c r="R5312">
        <v>-0.1835958</v>
      </c>
      <c r="S5312">
        <v>2.878174</v>
      </c>
      <c r="T5312">
        <v>-5.506718E-2</v>
      </c>
      <c r="U5312">
        <v>-0.96185299999999996</v>
      </c>
      <c r="V5312">
        <v>0.1694388</v>
      </c>
      <c r="W5312">
        <v>5.8913260000000002E-2</v>
      </c>
      <c r="X5312">
        <v>0.98377829999999999</v>
      </c>
      <c r="Y5312">
        <v>0.3030157</v>
      </c>
      <c r="Z5312">
        <v>-4.8907539999999998E-3</v>
      </c>
      <c r="AA5312">
        <v>0.95297299999999996</v>
      </c>
      <c r="AB5312">
        <v>24</v>
      </c>
      <c r="AC5312">
        <v>60.442700000000002</v>
      </c>
      <c r="AD5312">
        <v>-1.1586860000000001</v>
      </c>
      <c r="AE5312">
        <v>-20.236194999999999</v>
      </c>
      <c r="AF5312">
        <v>19.346984085529499</v>
      </c>
      <c r="AG5312">
        <v>-1.1586860000000001</v>
      </c>
      <c r="AH5312">
        <v>60.711069847403898</v>
      </c>
      <c r="AI5312">
        <v>91.041765657140203</v>
      </c>
      <c r="AJ5312">
        <v>72.324319424061997</v>
      </c>
      <c r="AK5312">
        <v>63.729760304497297</v>
      </c>
      <c r="AL5312">
        <v>86.622563239367494</v>
      </c>
      <c r="AM5312">
        <v>80.227669203124293</v>
      </c>
      <c r="AN5312">
        <v>1.00000001135007</v>
      </c>
    </row>
    <row r="5313" spans="1:40" x14ac:dyDescent="0.25">
      <c r="A5313" t="str">
        <f>"20190305135340875"</f>
        <v>20190305135340875</v>
      </c>
      <c r="B5313" t="str">
        <f>"1551765220865473"</f>
        <v>1551765220865473</v>
      </c>
      <c r="C5313" t="s">
        <v>40</v>
      </c>
      <c r="D5313">
        <v>4.2435869999999998</v>
      </c>
      <c r="E5313">
        <v>0.56004189999999998</v>
      </c>
      <c r="F5313" t="s">
        <v>47</v>
      </c>
      <c r="G5313">
        <v>-269.29680000000002</v>
      </c>
      <c r="H5313">
        <v>-0.05</v>
      </c>
      <c r="I5313">
        <v>-3.1470180000000001</v>
      </c>
      <c r="J5313">
        <v>-329.36349999999999</v>
      </c>
      <c r="K5313">
        <v>1.1086830000000001</v>
      </c>
      <c r="L5313">
        <v>17.001159999999999</v>
      </c>
      <c r="M5313">
        <v>0.99978630000000002</v>
      </c>
      <c r="N5313">
        <v>-1.3775000000000001E-2</v>
      </c>
      <c r="O5313">
        <v>-1.5417169999999999E-2</v>
      </c>
      <c r="P5313">
        <v>0.9818344</v>
      </c>
      <c r="Q5313">
        <v>4.5640670000000001E-2</v>
      </c>
      <c r="R5313">
        <v>-0.18416940000000001</v>
      </c>
      <c r="S5313">
        <v>2.8776549999999999</v>
      </c>
      <c r="T5313">
        <v>-5.540001E-2</v>
      </c>
      <c r="U5313">
        <v>-0.96347050000000001</v>
      </c>
      <c r="V5313">
        <v>0.16917779999999999</v>
      </c>
      <c r="W5313">
        <v>5.8714759999999998E-2</v>
      </c>
      <c r="X5313">
        <v>0.98383509999999996</v>
      </c>
      <c r="Y5313">
        <v>0.30273990000000001</v>
      </c>
      <c r="Z5313">
        <v>-4.89559E-3</v>
      </c>
      <c r="AA5313">
        <v>0.95306060000000004</v>
      </c>
      <c r="AB5313">
        <v>24</v>
      </c>
      <c r="AC5313">
        <v>60.066699999999898</v>
      </c>
      <c r="AD5313">
        <v>-1.1586829999999999</v>
      </c>
      <c r="AE5313">
        <v>-20.148178000000001</v>
      </c>
      <c r="AF5313">
        <v>19.2132103111718</v>
      </c>
      <c r="AG5313">
        <v>-1.1586829999999999</v>
      </c>
      <c r="AH5313">
        <v>60.350031723944902</v>
      </c>
      <c r="AI5313">
        <v>91.048087811289804</v>
      </c>
      <c r="AJ5313">
        <v>72.340455561646493</v>
      </c>
      <c r="AK5313">
        <v>63.345215492860802</v>
      </c>
      <c r="AL5313">
        <v>86.633956227641306</v>
      </c>
      <c r="AM5313">
        <v>80.242985219918396</v>
      </c>
      <c r="AN5313">
        <v>1.00000002752335</v>
      </c>
    </row>
    <row r="5314" spans="1:40" x14ac:dyDescent="0.25">
      <c r="A5314" t="str">
        <f>"20190305135340886"</f>
        <v>20190305135340886</v>
      </c>
      <c r="B5314" t="str">
        <f>"1551765220875232"</f>
        <v>1551765220875232</v>
      </c>
      <c r="C5314" t="s">
        <v>40</v>
      </c>
      <c r="D5314">
        <v>4.4451010000000002</v>
      </c>
      <c r="E5314">
        <v>0.55827609999999905</v>
      </c>
      <c r="F5314" t="s">
        <v>89</v>
      </c>
      <c r="G5314">
        <v>-279.02</v>
      </c>
      <c r="H5314">
        <v>2.4197519999999999</v>
      </c>
      <c r="I5314">
        <v>-0.9955463</v>
      </c>
      <c r="J5314">
        <v>-329.24400000000003</v>
      </c>
      <c r="K5314">
        <v>1.1086780000000001</v>
      </c>
      <c r="L5314">
        <v>16.998379999999901</v>
      </c>
      <c r="M5314">
        <v>0.99977289999999996</v>
      </c>
      <c r="N5314">
        <v>-1.376344E-2</v>
      </c>
      <c r="O5314">
        <v>-1.626814E-2</v>
      </c>
      <c r="P5314">
        <v>0.98172709999999996</v>
      </c>
      <c r="Q5314">
        <v>4.5164019999999999E-2</v>
      </c>
      <c r="R5314">
        <v>-0.18485760000000001</v>
      </c>
      <c r="S5314">
        <v>2.8602910000000001</v>
      </c>
      <c r="T5314">
        <v>7.4489E-2</v>
      </c>
      <c r="U5314">
        <v>-1.022491</v>
      </c>
      <c r="V5314">
        <v>0.1690275</v>
      </c>
      <c r="W5314">
        <v>5.8229219999999998E-2</v>
      </c>
      <c r="X5314">
        <v>0.98388980000000004</v>
      </c>
      <c r="Y5314">
        <v>0.3212216</v>
      </c>
      <c r="Z5314">
        <v>1.1512479999999999E-3</v>
      </c>
      <c r="AA5314">
        <v>0.94700340000000005</v>
      </c>
      <c r="AB5314">
        <v>24</v>
      </c>
      <c r="AC5314">
        <v>50.223999999999997</v>
      </c>
      <c r="AD5314">
        <v>1.3110740000000001</v>
      </c>
      <c r="AE5314">
        <v>-17.993926299999998</v>
      </c>
      <c r="AF5314">
        <v>17.164050307996799</v>
      </c>
      <c r="AG5314">
        <v>1.3110740000000001</v>
      </c>
      <c r="AH5314">
        <v>50.479621813532603</v>
      </c>
      <c r="AI5314">
        <v>88.591394385145307</v>
      </c>
      <c r="AJ5314">
        <v>71.220970844885002</v>
      </c>
      <c r="AK5314">
        <v>53.334001879159601</v>
      </c>
      <c r="AL5314">
        <v>86.661823334731807</v>
      </c>
      <c r="AM5314">
        <v>80.252018672372301</v>
      </c>
      <c r="AN5314">
        <v>1.0000000381810401</v>
      </c>
    </row>
    <row r="5315" spans="1:40" x14ac:dyDescent="0.25">
      <c r="A5315" t="str">
        <f>"20190305135340898"</f>
        <v>20190305135340898</v>
      </c>
      <c r="B5315" t="str">
        <f>"1551765220895727"</f>
        <v>1551765220895727</v>
      </c>
      <c r="C5315" t="s">
        <v>40</v>
      </c>
      <c r="D5315">
        <v>4.3908120000000004</v>
      </c>
      <c r="E5315">
        <v>0.55957309999999905</v>
      </c>
      <c r="F5315" t="s">
        <v>89</v>
      </c>
      <c r="G5315">
        <v>-279.02</v>
      </c>
      <c r="H5315">
        <v>2.0972620000000002</v>
      </c>
      <c r="I5315">
        <v>-0.72731020000000002</v>
      </c>
      <c r="J5315">
        <v>-329.1121</v>
      </c>
      <c r="K5315">
        <v>1.108673</v>
      </c>
      <c r="L5315">
        <v>16.995179999999898</v>
      </c>
      <c r="M5315">
        <v>0.99975729999999996</v>
      </c>
      <c r="N5315">
        <v>-1.375058E-2</v>
      </c>
      <c r="O5315">
        <v>-1.7208859999999999E-2</v>
      </c>
      <c r="P5315">
        <v>0.98164680000000004</v>
      </c>
      <c r="Q5315">
        <v>4.4579340000000002E-2</v>
      </c>
      <c r="R5315">
        <v>-0.18542429999999999</v>
      </c>
      <c r="S5315">
        <v>2.8629760000000002</v>
      </c>
      <c r="T5315">
        <v>5.635333E-2</v>
      </c>
      <c r="U5315">
        <v>-1.010437</v>
      </c>
      <c r="V5315">
        <v>0.16866709999999999</v>
      </c>
      <c r="W5315">
        <v>5.7634650000000003E-2</v>
      </c>
      <c r="X5315">
        <v>0.98398660000000004</v>
      </c>
      <c r="Y5315">
        <v>0.3165288</v>
      </c>
      <c r="Z5315">
        <v>2.2493909999999999E-4</v>
      </c>
      <c r="AA5315">
        <v>0.94858290000000001</v>
      </c>
      <c r="AB5315">
        <v>24</v>
      </c>
      <c r="AC5315">
        <v>50.092100000000002</v>
      </c>
      <c r="AD5315">
        <v>0.98858899999999905</v>
      </c>
      <c r="AE5315">
        <v>-17.722490199999999</v>
      </c>
      <c r="AF5315">
        <v>16.851922383922901</v>
      </c>
      <c r="AG5315">
        <v>0.98858899999999905</v>
      </c>
      <c r="AH5315">
        <v>50.372256761861799</v>
      </c>
      <c r="AI5315">
        <v>88.933748472476395</v>
      </c>
      <c r="AJ5315">
        <v>71.502453996091504</v>
      </c>
      <c r="AK5315">
        <v>53.125595032221597</v>
      </c>
      <c r="AL5315">
        <v>86.695946823246203</v>
      </c>
      <c r="AM5315">
        <v>80.273344444484707</v>
      </c>
      <c r="AN5315">
        <v>0.99999998624129605</v>
      </c>
    </row>
    <row r="5316" spans="1:40" x14ac:dyDescent="0.25">
      <c r="A5316" t="str">
        <f>"20190305135340911"</f>
        <v>20190305135340911</v>
      </c>
      <c r="B5316" t="str">
        <f>"1551765220905488"</f>
        <v>1551765220905488</v>
      </c>
      <c r="C5316" t="s">
        <v>40</v>
      </c>
      <c r="D5316">
        <v>4.5484839999999904</v>
      </c>
      <c r="E5316">
        <v>0.55880640000000004</v>
      </c>
      <c r="F5316" t="s">
        <v>89</v>
      </c>
      <c r="G5316">
        <v>-279.02</v>
      </c>
      <c r="H5316">
        <v>1.5721320000000001</v>
      </c>
      <c r="I5316">
        <v>-0.89193729999999904</v>
      </c>
      <c r="J5316">
        <v>-328.97890000000001</v>
      </c>
      <c r="K5316">
        <v>1.1086720000000001</v>
      </c>
      <c r="L5316">
        <v>16.991849999999999</v>
      </c>
      <c r="M5316">
        <v>0.99974070000000004</v>
      </c>
      <c r="N5316">
        <v>-1.3738159999999999E-2</v>
      </c>
      <c r="O5316">
        <v>-1.8158299999999999E-2</v>
      </c>
      <c r="P5316">
        <v>0.98153809999999997</v>
      </c>
      <c r="Q5316">
        <v>4.3868520000000001E-2</v>
      </c>
      <c r="R5316">
        <v>-0.18616759999999999</v>
      </c>
      <c r="S5316">
        <v>2.8618160000000001</v>
      </c>
      <c r="T5316">
        <v>2.647793E-2</v>
      </c>
      <c r="U5316">
        <v>-1.0219119999999999</v>
      </c>
      <c r="V5316">
        <v>0.16847470000000001</v>
      </c>
      <c r="W5316">
        <v>5.6913900000000003E-2</v>
      </c>
      <c r="X5316">
        <v>0.98406150000000003</v>
      </c>
      <c r="Y5316">
        <v>0.31914110000000001</v>
      </c>
      <c r="Z5316">
        <v>-1.230999E-3</v>
      </c>
      <c r="AA5316">
        <v>0.94770639999999995</v>
      </c>
      <c r="AB5316">
        <v>24</v>
      </c>
      <c r="AC5316">
        <v>49.9589</v>
      </c>
      <c r="AD5316">
        <v>0.46345999999999998</v>
      </c>
      <c r="AE5316">
        <v>-17.883787299999899</v>
      </c>
      <c r="AF5316">
        <v>16.972289079470599</v>
      </c>
      <c r="AG5316">
        <v>0.46345999999999998</v>
      </c>
      <c r="AH5316">
        <v>50.271596350352503</v>
      </c>
      <c r="AI5316">
        <v>89.499548353659605</v>
      </c>
      <c r="AJ5316">
        <v>71.344705744795903</v>
      </c>
      <c r="AK5316">
        <v>53.061349317384497</v>
      </c>
      <c r="AL5316">
        <v>86.737310624405794</v>
      </c>
      <c r="AM5316">
        <v>80.284953536330704</v>
      </c>
      <c r="AN5316">
        <v>0.99999997616777403</v>
      </c>
    </row>
    <row r="5317" spans="1:40" x14ac:dyDescent="0.25">
      <c r="A5317" t="str">
        <f>"20190305135340923"</f>
        <v>20190305135340923</v>
      </c>
      <c r="B5317" t="str">
        <f>"1551765220915248"</f>
        <v>1551765220915248</v>
      </c>
      <c r="C5317" t="s">
        <v>40</v>
      </c>
      <c r="D5317">
        <v>4.4667320000000004</v>
      </c>
      <c r="E5317">
        <v>0.55850109999999997</v>
      </c>
      <c r="F5317" t="s">
        <v>89</v>
      </c>
      <c r="G5317">
        <v>-279.02</v>
      </c>
      <c r="H5317">
        <v>1.1195389999999901</v>
      </c>
      <c r="I5317">
        <v>-0.76668359999999902</v>
      </c>
      <c r="J5317">
        <v>-328.84870000000001</v>
      </c>
      <c r="K5317">
        <v>1.1086670000000001</v>
      </c>
      <c r="L5317">
        <v>16.98846</v>
      </c>
      <c r="M5317">
        <v>0.99972360000000005</v>
      </c>
      <c r="N5317">
        <v>-1.3726550000000001E-2</v>
      </c>
      <c r="O5317">
        <v>-1.90876E-2</v>
      </c>
      <c r="P5317">
        <v>0.98141529999999999</v>
      </c>
      <c r="Q5317">
        <v>4.3018809999999998E-2</v>
      </c>
      <c r="R5317">
        <v>-0.18701129999999999</v>
      </c>
      <c r="S5317">
        <v>2.8633730000000002</v>
      </c>
      <c r="T5317">
        <v>6.2286850000000001E-4</v>
      </c>
      <c r="U5317">
        <v>-1.017822</v>
      </c>
      <c r="V5317">
        <v>0.16840250000000001</v>
      </c>
      <c r="W5317">
        <v>5.6054590000000001E-2</v>
      </c>
      <c r="X5317">
        <v>0.98412319999999998</v>
      </c>
      <c r="Y5317">
        <v>0.31688529999999998</v>
      </c>
      <c r="Z5317">
        <v>-2.4646999999999998E-3</v>
      </c>
      <c r="AA5317">
        <v>0.94846059999999999</v>
      </c>
      <c r="AB5317">
        <v>24</v>
      </c>
      <c r="AC5317">
        <v>49.828699999999998</v>
      </c>
      <c r="AD5317">
        <v>1.08719999999997E-2</v>
      </c>
      <c r="AE5317">
        <v>-17.7551436</v>
      </c>
      <c r="AF5317">
        <v>16.8007076676355</v>
      </c>
      <c r="AG5317">
        <v>1.08719999999997E-2</v>
      </c>
      <c r="AH5317">
        <v>50.158553143133197</v>
      </c>
      <c r="AI5317">
        <v>89.988224021022106</v>
      </c>
      <c r="AJ5317">
        <v>71.4816232825047</v>
      </c>
      <c r="AK5317">
        <v>52.897489068444898</v>
      </c>
      <c r="AL5317">
        <v>86.786624256530999</v>
      </c>
      <c r="AM5317">
        <v>80.289634877890293</v>
      </c>
      <c r="AN5317">
        <v>0.99999999592227895</v>
      </c>
    </row>
    <row r="5318" spans="1:40" x14ac:dyDescent="0.25">
      <c r="A5318" t="str">
        <f>"20190305135340934"</f>
        <v>20190305135340934</v>
      </c>
      <c r="B5318" t="str">
        <f>"1551765220925007"</f>
        <v>1551765220925007</v>
      </c>
      <c r="C5318" t="s">
        <v>40</v>
      </c>
      <c r="D5318">
        <v>4.0882149999999999</v>
      </c>
      <c r="E5318">
        <v>0.55818330000000005</v>
      </c>
      <c r="F5318" t="s">
        <v>89</v>
      </c>
      <c r="G5318">
        <v>-279.02</v>
      </c>
      <c r="H5318">
        <v>0.76213560000000002</v>
      </c>
      <c r="I5318">
        <v>-0.71369550000000004</v>
      </c>
      <c r="J5318">
        <v>-328.72809999999998</v>
      </c>
      <c r="K5318">
        <v>1.108663</v>
      </c>
      <c r="L5318">
        <v>16.98517</v>
      </c>
      <c r="M5318">
        <v>0.99970700000000001</v>
      </c>
      <c r="N5318">
        <v>-1.371666E-2</v>
      </c>
      <c r="O5318">
        <v>-1.9947900000000001E-2</v>
      </c>
      <c r="P5318">
        <v>0.98128890000000002</v>
      </c>
      <c r="Q5318">
        <v>4.2102519999999997E-2</v>
      </c>
      <c r="R5318">
        <v>-0.1878822</v>
      </c>
      <c r="S5318">
        <v>2.8637999999999999</v>
      </c>
      <c r="T5318">
        <v>-1.9916179999999999E-2</v>
      </c>
      <c r="U5318">
        <v>-1.017395</v>
      </c>
      <c r="V5318">
        <v>0.1684253</v>
      </c>
      <c r="W5318">
        <v>5.5129999999999998E-2</v>
      </c>
      <c r="X5318">
        <v>0.98417149999999998</v>
      </c>
      <c r="Y5318">
        <v>0.31587559999999998</v>
      </c>
      <c r="Z5318">
        <v>-3.4279279999999998E-3</v>
      </c>
      <c r="AA5318">
        <v>0.94879440000000004</v>
      </c>
      <c r="AB5318">
        <v>24</v>
      </c>
      <c r="AC5318">
        <v>49.708100000000002</v>
      </c>
      <c r="AD5318">
        <v>-0.34652739999999899</v>
      </c>
      <c r="AE5318">
        <v>-17.6988655</v>
      </c>
      <c r="AF5318">
        <v>16.7029573008837</v>
      </c>
      <c r="AG5318">
        <v>-0.34652739999999899</v>
      </c>
      <c r="AH5318">
        <v>50.049137016142403</v>
      </c>
      <c r="AI5318">
        <v>90.376293546964106</v>
      </c>
      <c r="AJ5318">
        <v>71.544538445974794</v>
      </c>
      <c r="AK5318">
        <v>52.763860547676899</v>
      </c>
      <c r="AL5318">
        <v>86.839681331521604</v>
      </c>
      <c r="AM5318">
        <v>80.288812768485798</v>
      </c>
      <c r="AN5318">
        <v>0.99999996999616902</v>
      </c>
    </row>
    <row r="5319" spans="1:40" x14ac:dyDescent="0.25">
      <c r="A5319" t="str">
        <f>"20190305135340945"</f>
        <v>20190305135340945</v>
      </c>
      <c r="B5319" t="str">
        <f>"1551765220935744"</f>
        <v>1551765220935744</v>
      </c>
      <c r="C5319" t="s">
        <v>40</v>
      </c>
      <c r="D5319">
        <v>4.4215350000000004</v>
      </c>
      <c r="E5319">
        <v>0.55803080000000005</v>
      </c>
      <c r="F5319" t="s">
        <v>89</v>
      </c>
      <c r="G5319">
        <v>-279.02</v>
      </c>
      <c r="H5319">
        <v>0.54277189999999997</v>
      </c>
      <c r="I5319">
        <v>-0.67382050000000004</v>
      </c>
      <c r="J5319">
        <v>-328.59989999999999</v>
      </c>
      <c r="K5319">
        <v>1.108657</v>
      </c>
      <c r="L5319">
        <v>16.981660000000002</v>
      </c>
      <c r="M5319">
        <v>0.99968849999999998</v>
      </c>
      <c r="N5319">
        <v>-1.3706380000000001E-2</v>
      </c>
      <c r="O5319">
        <v>-2.0863630000000001E-2</v>
      </c>
      <c r="P5319">
        <v>0.98115509999999995</v>
      </c>
      <c r="Q5319">
        <v>4.1508320000000001E-2</v>
      </c>
      <c r="R5319">
        <v>-0.18871160000000001</v>
      </c>
      <c r="S5319">
        <v>2.8637700000000001</v>
      </c>
      <c r="T5319">
        <v>-3.2601949999999998E-2</v>
      </c>
      <c r="U5319">
        <v>-1.0173650000000001</v>
      </c>
      <c r="V5319">
        <v>0.16835329999999901</v>
      </c>
      <c r="W5319">
        <v>5.4526749999999999E-2</v>
      </c>
      <c r="X5319">
        <v>0.98421749999999997</v>
      </c>
      <c r="Y5319">
        <v>0.31497969999999997</v>
      </c>
      <c r="Z5319">
        <v>-4.0101199999999998E-3</v>
      </c>
      <c r="AA5319">
        <v>0.94908990000000004</v>
      </c>
      <c r="AB5319">
        <v>24</v>
      </c>
      <c r="AC5319">
        <v>49.579900000000002</v>
      </c>
      <c r="AD5319">
        <v>-0.56588509999999903</v>
      </c>
      <c r="AE5319">
        <v>-17.655480499999999</v>
      </c>
      <c r="AF5319">
        <v>16.6152021044891</v>
      </c>
      <c r="AG5319">
        <v>-0.56588509999999903</v>
      </c>
      <c r="AH5319">
        <v>49.931725324455201</v>
      </c>
      <c r="AI5319">
        <v>90.616103515073604</v>
      </c>
      <c r="AJ5319">
        <v>71.594702305102203</v>
      </c>
      <c r="AK5319">
        <v>52.626631668730802</v>
      </c>
      <c r="AL5319">
        <v>86.874297311918994</v>
      </c>
      <c r="AM5319">
        <v>80.293330250656695</v>
      </c>
      <c r="AN5319">
        <v>1.0000000436963501</v>
      </c>
    </row>
    <row r="5320" spans="1:40" x14ac:dyDescent="0.25">
      <c r="A5320" t="str">
        <f>"20190305135340957"</f>
        <v>20190305135340957</v>
      </c>
      <c r="B5320" t="str">
        <f>"1551765220945504"</f>
        <v>1551765220945504</v>
      </c>
      <c r="C5320" t="s">
        <v>40</v>
      </c>
      <c r="D5320">
        <v>4.4586880000000004</v>
      </c>
      <c r="E5320">
        <v>0.55795680000000003</v>
      </c>
      <c r="F5320" t="s">
        <v>89</v>
      </c>
      <c r="G5320">
        <v>-279.02</v>
      </c>
      <c r="H5320">
        <v>0.42525030000000003</v>
      </c>
      <c r="I5320">
        <v>-0.65534209999999904</v>
      </c>
      <c r="J5320">
        <v>-328.47809999999998</v>
      </c>
      <c r="K5320">
        <v>1.108657</v>
      </c>
      <c r="L5320">
        <v>16.978120000000001</v>
      </c>
      <c r="M5320">
        <v>0.99967010000000001</v>
      </c>
      <c r="N5320">
        <v>-1.369711E-2</v>
      </c>
      <c r="O5320">
        <v>-2.1733599999999999E-2</v>
      </c>
      <c r="P5320">
        <v>0.98100299999999996</v>
      </c>
      <c r="Q5320">
        <v>4.12714E-2</v>
      </c>
      <c r="R5320">
        <v>-0.18955320000000001</v>
      </c>
      <c r="S5320">
        <v>2.8633730000000002</v>
      </c>
      <c r="T5320">
        <v>-3.9468650000000001E-2</v>
      </c>
      <c r="U5320">
        <v>-1.0185850000000001</v>
      </c>
      <c r="V5320">
        <v>0.16833979999999901</v>
      </c>
      <c r="W5320">
        <v>5.4281549999999998E-2</v>
      </c>
      <c r="X5320">
        <v>0.98423329999999998</v>
      </c>
      <c r="Y5320">
        <v>0.31454100000000002</v>
      </c>
      <c r="Z5320">
        <v>-4.3205530000000004E-3</v>
      </c>
      <c r="AA5320">
        <v>0.94923409999999997</v>
      </c>
      <c r="AB5320">
        <v>24</v>
      </c>
      <c r="AC5320">
        <v>49.458100000000002</v>
      </c>
      <c r="AD5320">
        <v>-0.68340669999999903</v>
      </c>
      <c r="AE5320">
        <v>-17.633462099999999</v>
      </c>
      <c r="AF5320">
        <v>16.551489154390499</v>
      </c>
      <c r="AG5320">
        <v>-0.68340669999999903</v>
      </c>
      <c r="AH5320">
        <v>49.821250444748998</v>
      </c>
      <c r="AI5320">
        <v>90.7458116394493</v>
      </c>
      <c r="AJ5320">
        <v>71.622611902804195</v>
      </c>
      <c r="AK5320">
        <v>52.503103087569201</v>
      </c>
      <c r="AL5320">
        <v>86.888366881293393</v>
      </c>
      <c r="AM5320">
        <v>80.294246654148793</v>
      </c>
      <c r="AN5320">
        <v>0.99999998188166594</v>
      </c>
    </row>
    <row r="5321" spans="1:40" x14ac:dyDescent="0.25">
      <c r="A5321" t="str">
        <f>"20190305135340969"</f>
        <v>20190305135340969</v>
      </c>
      <c r="B5321" t="str">
        <f>"1551765220965024"</f>
        <v>1551765220965024</v>
      </c>
      <c r="C5321" t="s">
        <v>40</v>
      </c>
      <c r="D5321">
        <v>4.4624569999999997</v>
      </c>
      <c r="E5321">
        <v>0.55871319999999902</v>
      </c>
      <c r="F5321" t="s">
        <v>89</v>
      </c>
      <c r="G5321">
        <v>-279.02</v>
      </c>
      <c r="H5321">
        <v>0.33847139999999998</v>
      </c>
      <c r="I5321">
        <v>-0.65024190000000004</v>
      </c>
      <c r="J5321">
        <v>-328.35899999999998</v>
      </c>
      <c r="K5321">
        <v>1.1086560000000001</v>
      </c>
      <c r="L5321">
        <v>16.97458</v>
      </c>
      <c r="M5321">
        <v>0.99965119999999996</v>
      </c>
      <c r="N5321">
        <v>-1.368892E-2</v>
      </c>
      <c r="O5321">
        <v>-2.2583900000000001E-2</v>
      </c>
      <c r="P5321">
        <v>0.98083030000000004</v>
      </c>
      <c r="Q5321">
        <v>4.099204E-2</v>
      </c>
      <c r="R5321">
        <v>-0.19050349999999999</v>
      </c>
      <c r="S5321">
        <v>2.8627929999999999</v>
      </c>
      <c r="T5321">
        <v>-4.458082E-2</v>
      </c>
      <c r="U5321">
        <v>-1.020386</v>
      </c>
      <c r="V5321">
        <v>0.1684551</v>
      </c>
      <c r="W5321">
        <v>5.3994439999999998E-2</v>
      </c>
      <c r="X5321">
        <v>0.98422940000000003</v>
      </c>
      <c r="Y5321">
        <v>0.31431320000000001</v>
      </c>
      <c r="Z5321">
        <v>-4.5494309999999996E-3</v>
      </c>
      <c r="AA5321">
        <v>0.9493085</v>
      </c>
      <c r="AB5321">
        <v>24</v>
      </c>
      <c r="AC5321">
        <v>49.338999999999999</v>
      </c>
      <c r="AD5321">
        <v>-0.770184599999999</v>
      </c>
      <c r="AE5321">
        <v>-17.624821899999901</v>
      </c>
      <c r="AF5321">
        <v>16.5023882362152</v>
      </c>
      <c r="AG5321">
        <v>-0.770184599999999</v>
      </c>
      <c r="AH5321">
        <v>49.713745245352797</v>
      </c>
      <c r="AI5321">
        <v>90.842385936363598</v>
      </c>
      <c r="AJ5321">
        <v>71.636506911156602</v>
      </c>
      <c r="AK5321">
        <v>52.386815785431097</v>
      </c>
      <c r="AL5321">
        <v>86.904841338991602</v>
      </c>
      <c r="AM5321">
        <v>80.287687768925295</v>
      </c>
      <c r="AN5321">
        <v>1.0000000160456399</v>
      </c>
    </row>
    <row r="5322" spans="1:40" x14ac:dyDescent="0.25">
      <c r="A5322" t="str">
        <f>"20190305135340982"</f>
        <v>20190305135340982</v>
      </c>
      <c r="B5322" t="str">
        <f>"1551765220975759"</f>
        <v>1551765220975759</v>
      </c>
      <c r="C5322" t="s">
        <v>40</v>
      </c>
      <c r="D5322">
        <v>4.4573859999999996</v>
      </c>
      <c r="E5322">
        <v>0.55906160000000005</v>
      </c>
      <c r="F5322" t="s">
        <v>89</v>
      </c>
      <c r="G5322">
        <v>-279.02</v>
      </c>
      <c r="H5322">
        <v>0.2552372</v>
      </c>
      <c r="I5322">
        <v>-0.77563669999999996</v>
      </c>
      <c r="J5322">
        <v>-328.20389999999998</v>
      </c>
      <c r="K5322">
        <v>1.108662</v>
      </c>
      <c r="L5322">
        <v>16.96988</v>
      </c>
      <c r="M5322">
        <v>0.99962589999999996</v>
      </c>
      <c r="N5322">
        <v>-1.36813E-2</v>
      </c>
      <c r="O5322">
        <v>-2.3691799999999999E-2</v>
      </c>
      <c r="P5322">
        <v>0.98065369999999996</v>
      </c>
      <c r="Q5322">
        <v>4.1083979999999999E-2</v>
      </c>
      <c r="R5322">
        <v>-0.1913919</v>
      </c>
      <c r="S5322">
        <v>2.8608090000000002</v>
      </c>
      <c r="T5322">
        <v>-4.9483539999999999E-2</v>
      </c>
      <c r="U5322">
        <v>-1.0292049999999999</v>
      </c>
      <c r="V5322">
        <v>0.16825580000000001</v>
      </c>
      <c r="W5322">
        <v>5.4080610000000001E-2</v>
      </c>
      <c r="X5322">
        <v>0.98425870000000004</v>
      </c>
      <c r="Y5322">
        <v>0.31605070000000002</v>
      </c>
      <c r="Z5322">
        <v>-4.7959669999999999E-3</v>
      </c>
      <c r="AA5322">
        <v>0.94873019999999997</v>
      </c>
      <c r="AB5322">
        <v>24</v>
      </c>
      <c r="AC5322">
        <v>49.183900000000001</v>
      </c>
      <c r="AD5322">
        <v>-0.85342479999999998</v>
      </c>
      <c r="AE5322">
        <v>-17.7455167</v>
      </c>
      <c r="AF5322">
        <v>16.570756338235601</v>
      </c>
      <c r="AG5322">
        <v>-0.85342479999999998</v>
      </c>
      <c r="AH5322">
        <v>49.577346950434197</v>
      </c>
      <c r="AI5322">
        <v>90.935338826092007</v>
      </c>
      <c r="AJ5322">
        <v>71.518285706312994</v>
      </c>
      <c r="AK5322">
        <v>52.280317808465497</v>
      </c>
      <c r="AL5322">
        <v>86.8998967560495</v>
      </c>
      <c r="AM5322">
        <v>80.299243272382</v>
      </c>
      <c r="AN5322">
        <v>0.99999995756865001</v>
      </c>
    </row>
    <row r="5323" spans="1:40" x14ac:dyDescent="0.25">
      <c r="A5323" t="str">
        <f>"20190305135340998"</f>
        <v>20190305135340998</v>
      </c>
      <c r="B5323" t="str">
        <f>"1551765220985519"</f>
        <v>1551765220985519</v>
      </c>
      <c r="C5323" t="s">
        <v>40</v>
      </c>
      <c r="D5323">
        <v>4.455559</v>
      </c>
      <c r="E5323">
        <v>0.55888149999999903</v>
      </c>
      <c r="F5323" t="s">
        <v>89</v>
      </c>
      <c r="G5323">
        <v>-279.02</v>
      </c>
      <c r="H5323">
        <v>0.23122239999999999</v>
      </c>
      <c r="I5323">
        <v>-0.82404140000000003</v>
      </c>
      <c r="J5323">
        <v>-328.03809999999999</v>
      </c>
      <c r="K5323">
        <v>1.108676</v>
      </c>
      <c r="L5323">
        <v>16.964569999999998</v>
      </c>
      <c r="M5323">
        <v>0.99959699999999996</v>
      </c>
      <c r="N5323">
        <v>-1.368076E-2</v>
      </c>
      <c r="O5323">
        <v>-2.4875910000000001E-2</v>
      </c>
      <c r="P5323">
        <v>0.98028979999999999</v>
      </c>
      <c r="Q5323">
        <v>4.2052180000000002E-2</v>
      </c>
      <c r="R5323">
        <v>-0.19303799999999999</v>
      </c>
      <c r="S5323">
        <v>2.8594059999999999</v>
      </c>
      <c r="T5323">
        <v>-5.1011679999999997E-2</v>
      </c>
      <c r="U5323">
        <v>-1.0344850000000001</v>
      </c>
      <c r="V5323">
        <v>0.16874589999999901</v>
      </c>
      <c r="W5323">
        <v>5.5046209999999998E-2</v>
      </c>
      <c r="X5323">
        <v>0.98412129999999998</v>
      </c>
      <c r="Y5323">
        <v>0.31662119999999999</v>
      </c>
      <c r="Z5323">
        <v>-4.8706849999999996E-3</v>
      </c>
      <c r="AA5323">
        <v>0.94853960000000004</v>
      </c>
      <c r="AB5323">
        <v>24</v>
      </c>
      <c r="AC5323">
        <v>49.018099999999997</v>
      </c>
      <c r="AD5323">
        <v>-0.87745359999999994</v>
      </c>
      <c r="AE5323">
        <v>-17.788611399999901</v>
      </c>
      <c r="AF5323">
        <v>16.558933192492098</v>
      </c>
      <c r="AG5323">
        <v>-0.87745359999999994</v>
      </c>
      <c r="AH5323">
        <v>49.431481454494502</v>
      </c>
      <c r="AI5323">
        <v>90.964289537821003</v>
      </c>
      <c r="AJ5323">
        <v>71.479789455915906</v>
      </c>
      <c r="AK5323">
        <v>52.138656983850296</v>
      </c>
      <c r="AL5323">
        <v>86.844489536385595</v>
      </c>
      <c r="AM5323">
        <v>80.270193558111899</v>
      </c>
      <c r="AN5323">
        <v>0.99999999855793198</v>
      </c>
    </row>
    <row r="5324" spans="1:40" x14ac:dyDescent="0.25">
      <c r="A5324" t="str">
        <f>"20190305135341020"</f>
        <v>20190305135341020</v>
      </c>
      <c r="B5324" t="str">
        <f>"1551765221015776"</f>
        <v>1551765221015776</v>
      </c>
      <c r="C5324" t="s">
        <v>40</v>
      </c>
      <c r="D5324">
        <v>4.4888370000000002</v>
      </c>
      <c r="E5324">
        <v>0.55880649999999998</v>
      </c>
      <c r="F5324" t="s">
        <v>89</v>
      </c>
      <c r="G5324">
        <v>-279.02</v>
      </c>
      <c r="H5324">
        <v>0.22037319999999999</v>
      </c>
      <c r="I5324">
        <v>-0.83571049999999902</v>
      </c>
      <c r="J5324">
        <v>-327.79289999999997</v>
      </c>
      <c r="K5324">
        <v>1.1086929999999999</v>
      </c>
      <c r="L5324">
        <v>16.956420000000001</v>
      </c>
      <c r="M5324">
        <v>0.99955179999999999</v>
      </c>
      <c r="N5324">
        <v>-1.368812E-2</v>
      </c>
      <c r="O5324">
        <v>-2.662556E-2</v>
      </c>
      <c r="P5324">
        <v>0.97976149999999995</v>
      </c>
      <c r="Q5324">
        <v>4.279405E-2</v>
      </c>
      <c r="R5324">
        <v>-0.1955413</v>
      </c>
      <c r="S5324">
        <v>2.8581539999999999</v>
      </c>
      <c r="T5324">
        <v>-5.1795359999999999E-2</v>
      </c>
      <c r="U5324">
        <v>-1.037903</v>
      </c>
      <c r="V5324">
        <v>0.16953979999999999</v>
      </c>
      <c r="W5324">
        <v>5.579274E-2</v>
      </c>
      <c r="X5324">
        <v>0.98394280000000001</v>
      </c>
      <c r="Y5324">
        <v>0.3160945</v>
      </c>
      <c r="Z5324">
        <v>-4.8926990000000004E-3</v>
      </c>
      <c r="AA5324">
        <v>0.94871510000000003</v>
      </c>
      <c r="AB5324">
        <v>24</v>
      </c>
      <c r="AC5324">
        <v>48.7728999999999</v>
      </c>
      <c r="AD5324">
        <v>-0.88831979999999899</v>
      </c>
      <c r="AE5324">
        <v>-17.792130499999999</v>
      </c>
      <c r="AF5324">
        <v>16.482268734932699</v>
      </c>
      <c r="AG5324">
        <v>-0.88831979999999899</v>
      </c>
      <c r="AH5324">
        <v>49.214966912135303</v>
      </c>
      <c r="AI5324">
        <v>90.980547552193002</v>
      </c>
      <c r="AJ5324">
        <v>71.484117568079597</v>
      </c>
      <c r="AK5324">
        <v>51.909221366537402</v>
      </c>
      <c r="AL5324">
        <v>86.801650696860605</v>
      </c>
      <c r="AM5324">
        <v>80.223559661598799</v>
      </c>
      <c r="AN5324">
        <v>1.0000000036462899</v>
      </c>
    </row>
    <row r="5325" spans="1:40" x14ac:dyDescent="0.25">
      <c r="A5325" t="str">
        <f>"20190305135341032"</f>
        <v>20190305135341032</v>
      </c>
      <c r="B5325" t="str">
        <f>"1551765221025536"</f>
        <v>1551765221025536</v>
      </c>
      <c r="C5325" t="s">
        <v>40</v>
      </c>
      <c r="D5325">
        <v>4.4350040000000002</v>
      </c>
      <c r="E5325">
        <v>0.55875900000000001</v>
      </c>
      <c r="F5325" t="s">
        <v>47</v>
      </c>
      <c r="G5325">
        <v>-271.18630000000002</v>
      </c>
      <c r="H5325">
        <v>-0.05</v>
      </c>
      <c r="I5325">
        <v>-3.7435459999999998</v>
      </c>
      <c r="J5325">
        <v>-327.66500000000002</v>
      </c>
      <c r="K5325">
        <v>1.1087</v>
      </c>
      <c r="L5325">
        <v>16.952030000000001</v>
      </c>
      <c r="M5325">
        <v>0.99952700000000005</v>
      </c>
      <c r="N5325">
        <v>-1.3693759999999999E-2</v>
      </c>
      <c r="O5325">
        <v>-2.7538779999999999E-2</v>
      </c>
      <c r="P5325">
        <v>0.97941809999999996</v>
      </c>
      <c r="Q5325">
        <v>4.3331420000000002E-2</v>
      </c>
      <c r="R5325">
        <v>-0.19713620000000001</v>
      </c>
      <c r="S5325">
        <v>2.8560490000000001</v>
      </c>
      <c r="T5325">
        <v>-5.8461069999999997E-2</v>
      </c>
      <c r="U5325">
        <v>-1.044403</v>
      </c>
      <c r="V5325">
        <v>0.17024539999999999</v>
      </c>
      <c r="W5325">
        <v>5.6332140000000003E-2</v>
      </c>
      <c r="X5325">
        <v>0.98379019999999995</v>
      </c>
      <c r="Y5325">
        <v>0.31734010000000001</v>
      </c>
      <c r="Z5325">
        <v>-5.2076320000000002E-3</v>
      </c>
      <c r="AA5325">
        <v>0.94829750000000002</v>
      </c>
      <c r="AB5325">
        <v>24</v>
      </c>
      <c r="AC5325">
        <v>56.478700000000003</v>
      </c>
      <c r="AD5325">
        <v>-1.1587000000000001</v>
      </c>
      <c r="AE5325">
        <v>-20.695575999999999</v>
      </c>
      <c r="AF5325">
        <v>19.1251284401717</v>
      </c>
      <c r="AG5325">
        <v>-1.1587000000000001</v>
      </c>
      <c r="AH5325">
        <v>57.006106727857301</v>
      </c>
      <c r="AI5325">
        <v>91.103971100967001</v>
      </c>
      <c r="AJ5325">
        <v>71.4537768819295</v>
      </c>
      <c r="AK5325">
        <v>60.139914597635801</v>
      </c>
      <c r="AL5325">
        <v>86.7706966003894</v>
      </c>
      <c r="AM5325">
        <v>80.182168475456393</v>
      </c>
      <c r="AN5325">
        <v>0.99999998191708905</v>
      </c>
    </row>
    <row r="5326" spans="1:40" x14ac:dyDescent="0.25">
      <c r="A5326" t="str">
        <f>"20190305135341044"</f>
        <v>20190305135341044</v>
      </c>
      <c r="B5326" t="str">
        <f>"1551765221035295"</f>
        <v>1551765221035295</v>
      </c>
      <c r="C5326" t="s">
        <v>40</v>
      </c>
      <c r="D5326">
        <v>4.5034299999999998</v>
      </c>
      <c r="E5326">
        <v>0.55884129999999999</v>
      </c>
      <c r="F5326" t="s">
        <v>47</v>
      </c>
      <c r="G5326">
        <v>-272.2396</v>
      </c>
      <c r="H5326">
        <v>-0.05</v>
      </c>
      <c r="I5326">
        <v>-3.4093629999999999</v>
      </c>
      <c r="J5326">
        <v>-327.53309999999999</v>
      </c>
      <c r="K5326">
        <v>1.1087100000000001</v>
      </c>
      <c r="L5326">
        <v>16.94736</v>
      </c>
      <c r="M5326">
        <v>0.99950059999999996</v>
      </c>
      <c r="N5326">
        <v>-1.369984E-2</v>
      </c>
      <c r="O5326">
        <v>-2.8480970000000001E-2</v>
      </c>
      <c r="P5326">
        <v>0.97911300000000001</v>
      </c>
      <c r="Q5326">
        <v>4.3729030000000002E-2</v>
      </c>
      <c r="R5326">
        <v>-0.1985587</v>
      </c>
      <c r="S5326">
        <v>2.854584</v>
      </c>
      <c r="T5326">
        <v>-5.9676649999999998E-2</v>
      </c>
      <c r="U5326">
        <v>-1.0486759999999999</v>
      </c>
      <c r="V5326">
        <v>0.1707486</v>
      </c>
      <c r="W5326">
        <v>5.6733949999999998E-2</v>
      </c>
      <c r="X5326">
        <v>0.98367990000000005</v>
      </c>
      <c r="Y5326">
        <v>0.31785089999999999</v>
      </c>
      <c r="Z5326">
        <v>-5.2662680000000002E-3</v>
      </c>
      <c r="AA5326">
        <v>0.94812609999999997</v>
      </c>
      <c r="AB5326">
        <v>24</v>
      </c>
      <c r="AC5326">
        <v>55.293500000000002</v>
      </c>
      <c r="AD5326">
        <v>-1.1587099999999999</v>
      </c>
      <c r="AE5326">
        <v>-20.356722999999999</v>
      </c>
      <c r="AF5326">
        <v>18.766246035665301</v>
      </c>
      <c r="AG5326">
        <v>-1.1587099999999999</v>
      </c>
      <c r="AH5326">
        <v>55.8293082743808</v>
      </c>
      <c r="AI5326">
        <v>91.127026125723503</v>
      </c>
      <c r="AJ5326">
        <v>71.420644793523905</v>
      </c>
      <c r="AK5326">
        <v>58.910323895995298</v>
      </c>
      <c r="AL5326">
        <v>86.747637717123993</v>
      </c>
      <c r="AM5326">
        <v>80.152634289472601</v>
      </c>
      <c r="AN5326">
        <v>0.99999998557428604</v>
      </c>
    </row>
    <row r="5327" spans="1:40" x14ac:dyDescent="0.25">
      <c r="A5327" t="str">
        <f>"20190305135341055"</f>
        <v>20190305135341055</v>
      </c>
      <c r="B5327" t="str">
        <f>"1551765221045055"</f>
        <v>1551765221045055</v>
      </c>
      <c r="C5327" t="s">
        <v>40</v>
      </c>
      <c r="D5327">
        <v>4.4512409999999996</v>
      </c>
      <c r="E5327">
        <v>0.55884239999999996</v>
      </c>
      <c r="F5327" t="s">
        <v>47</v>
      </c>
      <c r="G5327">
        <v>-272.93880000000001</v>
      </c>
      <c r="H5327">
        <v>-0.05</v>
      </c>
      <c r="I5327">
        <v>-3.2111209999999999</v>
      </c>
      <c r="J5327">
        <v>-327.41329999999999</v>
      </c>
      <c r="K5327">
        <v>1.1087149999999999</v>
      </c>
      <c r="L5327">
        <v>16.942959999999999</v>
      </c>
      <c r="M5327">
        <v>0.99947580000000003</v>
      </c>
      <c r="N5327">
        <v>-1.3704499999999901E-2</v>
      </c>
      <c r="O5327">
        <v>-2.933531E-2</v>
      </c>
      <c r="P5327">
        <v>0.9788268</v>
      </c>
      <c r="Q5327">
        <v>4.3819329999999997E-2</v>
      </c>
      <c r="R5327">
        <v>-0.19994629999999999</v>
      </c>
      <c r="S5327">
        <v>2.8530579999999999</v>
      </c>
      <c r="T5327">
        <v>-6.0553309999999999E-2</v>
      </c>
      <c r="U5327">
        <v>-1.0534669999999999</v>
      </c>
      <c r="V5327">
        <v>0.1713025</v>
      </c>
      <c r="W5327">
        <v>5.6826790000000002E-2</v>
      </c>
      <c r="X5327">
        <v>0.98357830000000002</v>
      </c>
      <c r="Y5327">
        <v>0.31860369999999999</v>
      </c>
      <c r="Z5327">
        <v>-5.3140289999999996E-3</v>
      </c>
      <c r="AA5327">
        <v>0.94787310000000002</v>
      </c>
      <c r="AB5327">
        <v>24</v>
      </c>
      <c r="AC5327">
        <v>54.4744999999999</v>
      </c>
      <c r="AD5327">
        <v>-1.1587149999999999</v>
      </c>
      <c r="AE5327">
        <v>-20.154081000000001</v>
      </c>
      <c r="AF5327">
        <v>18.539851035436701</v>
      </c>
      <c r="AG5327">
        <v>-1.1587149999999999</v>
      </c>
      <c r="AH5327">
        <v>55.020436348783903</v>
      </c>
      <c r="AI5327">
        <v>91.143309678993205</v>
      </c>
      <c r="AJ5327">
        <v>71.378087544665803</v>
      </c>
      <c r="AK5327">
        <v>58.071654986559402</v>
      </c>
      <c r="AL5327">
        <v>86.742309995950293</v>
      </c>
      <c r="AM5327">
        <v>80.120317934712602</v>
      </c>
      <c r="AN5327">
        <v>1.0000000513994201</v>
      </c>
    </row>
    <row r="5328" spans="1:40" x14ac:dyDescent="0.25">
      <c r="A5328" t="str">
        <f>"20190305135341075"</f>
        <v>20190305135341075</v>
      </c>
      <c r="B5328" t="str">
        <f>"1551765221065551"</f>
        <v>1551765221065551</v>
      </c>
      <c r="C5328" t="s">
        <v>40</v>
      </c>
      <c r="D5328">
        <v>4.4491239999999896</v>
      </c>
      <c r="E5328">
        <v>0.55897269999999999</v>
      </c>
      <c r="F5328" t="s">
        <v>47</v>
      </c>
      <c r="G5328">
        <v>-273.95729999999998</v>
      </c>
      <c r="H5328">
        <v>-0.05</v>
      </c>
      <c r="I5328">
        <v>-2.8773499999999999</v>
      </c>
      <c r="J5328">
        <v>-327.19619999999998</v>
      </c>
      <c r="K5328">
        <v>1.108714</v>
      </c>
      <c r="L5328">
        <v>16.934809999999999</v>
      </c>
      <c r="M5328">
        <v>0.99942900000000001</v>
      </c>
      <c r="N5328">
        <v>-1.371267E-2</v>
      </c>
      <c r="O5328">
        <v>-3.0881860000000001E-2</v>
      </c>
      <c r="P5328">
        <v>0.97837700000000005</v>
      </c>
      <c r="Q5328">
        <v>4.355411E-2</v>
      </c>
      <c r="R5328">
        <v>-0.20219200000000001</v>
      </c>
      <c r="S5328">
        <v>2.8516849999999998</v>
      </c>
      <c r="T5328">
        <v>-6.1813239999999998E-2</v>
      </c>
      <c r="U5328">
        <v>-1.0573429999999999</v>
      </c>
      <c r="V5328">
        <v>0.17203669999999999</v>
      </c>
      <c r="W5328">
        <v>5.6566850000000002E-2</v>
      </c>
      <c r="X5328">
        <v>0.98346509999999998</v>
      </c>
      <c r="Y5328">
        <v>0.3184149</v>
      </c>
      <c r="Z5328">
        <v>-5.3571699999999996E-3</v>
      </c>
      <c r="AA5328">
        <v>0.94793629999999995</v>
      </c>
      <c r="AB5328">
        <v>24</v>
      </c>
      <c r="AC5328">
        <v>53.238900000000001</v>
      </c>
      <c r="AD5328">
        <v>-1.158714</v>
      </c>
      <c r="AE5328">
        <v>-19.812159999999999</v>
      </c>
      <c r="AF5328">
        <v>18.150885790171898</v>
      </c>
      <c r="AG5328">
        <v>-1.158714</v>
      </c>
      <c r="AH5328">
        <v>53.803010517827701</v>
      </c>
      <c r="AI5328">
        <v>91.169031936959399</v>
      </c>
      <c r="AJ5328">
        <v>71.357756247484403</v>
      </c>
      <c r="AK5328">
        <v>56.794024455774803</v>
      </c>
      <c r="AL5328">
        <v>86.757227349905406</v>
      </c>
      <c r="AM5328">
        <v>80.077694112821305</v>
      </c>
      <c r="AN5328">
        <v>1.00000001879191</v>
      </c>
    </row>
    <row r="5329" spans="1:40" x14ac:dyDescent="0.25">
      <c r="A5329" t="str">
        <f>"20190305135341087"</f>
        <v>20190305135341087</v>
      </c>
      <c r="B5329" t="str">
        <f>"1551765221075311"</f>
        <v>1551765221075311</v>
      </c>
      <c r="C5329" t="s">
        <v>40</v>
      </c>
      <c r="D5329">
        <v>4.4351310000000002</v>
      </c>
      <c r="E5329">
        <v>0.55906369999999905</v>
      </c>
      <c r="F5329" t="s">
        <v>47</v>
      </c>
      <c r="G5329">
        <v>-276.6087</v>
      </c>
      <c r="H5329">
        <v>-0.05</v>
      </c>
      <c r="I5329">
        <v>-1.9771879999999999</v>
      </c>
      <c r="J5329">
        <v>-327.07010000000002</v>
      </c>
      <c r="K5329">
        <v>1.108717</v>
      </c>
      <c r="L5329">
        <v>16.92999</v>
      </c>
      <c r="M5329">
        <v>0.99940079999999998</v>
      </c>
      <c r="N5329">
        <v>-1.3717419999999999E-2</v>
      </c>
      <c r="O5329">
        <v>-3.1779000000000002E-2</v>
      </c>
      <c r="P5329">
        <v>0.97813340000000004</v>
      </c>
      <c r="Q5329">
        <v>4.366863E-2</v>
      </c>
      <c r="R5329">
        <v>-0.203343</v>
      </c>
      <c r="S5329">
        <v>2.849091</v>
      </c>
      <c r="T5329">
        <v>-6.5258739999999996E-2</v>
      </c>
      <c r="U5329">
        <v>-1.0651250000000001</v>
      </c>
      <c r="V5329">
        <v>0.1723114</v>
      </c>
      <c r="W5329">
        <v>5.6685399999999997E-2</v>
      </c>
      <c r="X5329">
        <v>0.98341020000000001</v>
      </c>
      <c r="Y5329">
        <v>0.320108</v>
      </c>
      <c r="Z5329">
        <v>-5.5330750000000001E-3</v>
      </c>
      <c r="AA5329">
        <v>0.94736489999999995</v>
      </c>
      <c r="AB5329">
        <v>24</v>
      </c>
      <c r="AC5329">
        <v>50.461399999999998</v>
      </c>
      <c r="AD5329">
        <v>-1.158717</v>
      </c>
      <c r="AE5329">
        <v>-18.907177999999998</v>
      </c>
      <c r="AF5329">
        <v>17.285870520638301</v>
      </c>
      <c r="AG5329">
        <v>-1.158717</v>
      </c>
      <c r="AH5329">
        <v>51.013229276803003</v>
      </c>
      <c r="AI5329">
        <v>91.232389163416002</v>
      </c>
      <c r="AJ5329">
        <v>71.281011920874704</v>
      </c>
      <c r="AK5329">
        <v>53.874794718773899</v>
      </c>
      <c r="AL5329">
        <v>86.750424079328496</v>
      </c>
      <c r="AM5329">
        <v>80.061622526245301</v>
      </c>
      <c r="AN5329">
        <v>1.00000003730357</v>
      </c>
    </row>
    <row r="5330" spans="1:40" x14ac:dyDescent="0.25">
      <c r="A5330" t="str">
        <f>"20190305135341097"</f>
        <v>20190305135341097</v>
      </c>
      <c r="B5330" t="str">
        <f>"1551765221085072"</f>
        <v>1551765221085072</v>
      </c>
      <c r="C5330" t="s">
        <v>40</v>
      </c>
      <c r="D5330">
        <v>4.4325219999999996</v>
      </c>
      <c r="E5330">
        <v>0.55911489999999997</v>
      </c>
      <c r="F5330" t="s">
        <v>47</v>
      </c>
      <c r="G5330">
        <v>-276.85129999999998</v>
      </c>
      <c r="H5330">
        <v>-0.05</v>
      </c>
      <c r="I5330">
        <v>-1.9253389999999999</v>
      </c>
      <c r="J5330">
        <v>-326.95800000000003</v>
      </c>
      <c r="K5330">
        <v>1.1087209999999901</v>
      </c>
      <c r="L5330">
        <v>16.925509999999999</v>
      </c>
      <c r="M5330">
        <v>0.99937509999999996</v>
      </c>
      <c r="N5330">
        <v>-1.372193E-2</v>
      </c>
      <c r="O5330">
        <v>-3.2576130000000002E-2</v>
      </c>
      <c r="P5330">
        <v>0.97791519999999998</v>
      </c>
      <c r="Q5330">
        <v>4.365902E-2</v>
      </c>
      <c r="R5330">
        <v>-0.20439180000000001</v>
      </c>
      <c r="S5330">
        <v>2.8477169999999998</v>
      </c>
      <c r="T5330">
        <v>-6.570637E-2</v>
      </c>
      <c r="U5330">
        <v>-1.0692140000000001</v>
      </c>
      <c r="V5330">
        <v>0.1725816</v>
      </c>
      <c r="W5330">
        <v>5.6679680000000003E-2</v>
      </c>
      <c r="X5330">
        <v>0.98336310000000005</v>
      </c>
      <c r="Y5330">
        <v>0.32069360000000002</v>
      </c>
      <c r="Z5330">
        <v>-5.5581010000000002E-3</v>
      </c>
      <c r="AA5330">
        <v>0.94716670000000003</v>
      </c>
      <c r="AB5330">
        <v>24</v>
      </c>
      <c r="AC5330">
        <v>50.106699999999897</v>
      </c>
      <c r="AD5330">
        <v>-1.1587209999999999</v>
      </c>
      <c r="AE5330">
        <v>-18.850849</v>
      </c>
      <c r="AF5330">
        <v>17.200348421490901</v>
      </c>
      <c r="AG5330">
        <v>-1.1587209999999999</v>
      </c>
      <c r="AH5330">
        <v>50.670509412553699</v>
      </c>
      <c r="AI5330">
        <v>91.2404984747903</v>
      </c>
      <c r="AJ5330">
        <v>71.249971404831697</v>
      </c>
      <c r="AK5330">
        <v>53.522846937585598</v>
      </c>
      <c r="AL5330">
        <v>86.750752187060002</v>
      </c>
      <c r="AM5330">
        <v>80.045882462522897</v>
      </c>
      <c r="AN5330">
        <v>0.99999999061253597</v>
      </c>
    </row>
    <row r="5331" spans="1:40" x14ac:dyDescent="0.25">
      <c r="A5331" t="str">
        <f>"20190305135341109"</f>
        <v>20190305135341109</v>
      </c>
      <c r="B5331" t="str">
        <f>"1551765221105570"</f>
        <v>1551765221105570</v>
      </c>
      <c r="C5331" t="s">
        <v>40</v>
      </c>
      <c r="D5331">
        <v>4.4825839999999904</v>
      </c>
      <c r="E5331">
        <v>0.55932349999999997</v>
      </c>
      <c r="F5331" t="s">
        <v>47</v>
      </c>
      <c r="G5331">
        <v>-277.6454</v>
      </c>
      <c r="H5331">
        <v>-0.05</v>
      </c>
      <c r="I5331">
        <v>-1.65757799999999</v>
      </c>
      <c r="J5331">
        <v>-326.83760000000001</v>
      </c>
      <c r="K5331">
        <v>1.1087279999999999</v>
      </c>
      <c r="L5331">
        <v>16.920649999999998</v>
      </c>
      <c r="M5331">
        <v>0.99934690000000004</v>
      </c>
      <c r="N5331">
        <v>-1.3726779999999999E-2</v>
      </c>
      <c r="O5331">
        <v>-3.3431900000000001E-2</v>
      </c>
      <c r="P5331">
        <v>0.97767809999999999</v>
      </c>
      <c r="Q5331">
        <v>4.3442679999999997E-2</v>
      </c>
      <c r="R5331">
        <v>-0.2055691</v>
      </c>
      <c r="S5331">
        <v>2.846527</v>
      </c>
      <c r="T5331">
        <v>-6.6886189999999998E-2</v>
      </c>
      <c r="U5331">
        <v>-1.0726929999999999</v>
      </c>
      <c r="V5331">
        <v>0.17292260000000001</v>
      </c>
      <c r="W5331">
        <v>5.6466879999999997E-2</v>
      </c>
      <c r="X5331">
        <v>0.98331550000000001</v>
      </c>
      <c r="Y5331">
        <v>0.32102330000000001</v>
      </c>
      <c r="Z5331">
        <v>-5.6093069999999896E-3</v>
      </c>
      <c r="AA5331">
        <v>0.94705470000000003</v>
      </c>
      <c r="AB5331">
        <v>24</v>
      </c>
      <c r="AC5331">
        <v>49.1922</v>
      </c>
      <c r="AD5331">
        <v>-1.158728</v>
      </c>
      <c r="AE5331">
        <v>-18.578227999999999</v>
      </c>
      <c r="AF5331">
        <v>16.914883789414699</v>
      </c>
      <c r="AG5331">
        <v>-1.158728</v>
      </c>
      <c r="AH5331">
        <v>49.761696678644</v>
      </c>
      <c r="AI5331">
        <v>91.262976409241304</v>
      </c>
      <c r="AJ5331">
        <v>71.226191325147099</v>
      </c>
      <c r="AK5331">
        <v>52.5707371122448</v>
      </c>
      <c r="AL5331">
        <v>86.762964490621599</v>
      </c>
      <c r="AM5331">
        <v>80.026135773216893</v>
      </c>
      <c r="AN5331">
        <v>1.0000000533339699</v>
      </c>
    </row>
    <row r="5332" spans="1:40" x14ac:dyDescent="0.25">
      <c r="A5332" t="str">
        <f>"20190305135341120"</f>
        <v>20190305135341120</v>
      </c>
      <c r="B5332" t="str">
        <f>"1551765221115328"</f>
        <v>1551765221115328</v>
      </c>
      <c r="C5332" t="s">
        <v>40</v>
      </c>
      <c r="D5332">
        <v>4.6706120000000002</v>
      </c>
      <c r="E5332">
        <v>0.55932349999999997</v>
      </c>
      <c r="F5332" t="s">
        <v>47</v>
      </c>
      <c r="G5332">
        <v>-280.21949999999998</v>
      </c>
      <c r="H5332">
        <v>-0.05</v>
      </c>
      <c r="I5332">
        <v>-0.73831179999999996</v>
      </c>
      <c r="J5332">
        <v>-326.7115</v>
      </c>
      <c r="K5332">
        <v>1.1087309999999999</v>
      </c>
      <c r="L5332">
        <v>16.91544</v>
      </c>
      <c r="M5332">
        <v>0.99931650000000005</v>
      </c>
      <c r="N5332">
        <v>-1.373184E-2</v>
      </c>
      <c r="O5332">
        <v>-3.4327370000000003E-2</v>
      </c>
      <c r="P5332">
        <v>0.97736369999999895</v>
      </c>
      <c r="Q5332">
        <v>4.3532380000000002E-2</v>
      </c>
      <c r="R5332">
        <v>-0.2070399</v>
      </c>
      <c r="S5332">
        <v>2.8450319999999998</v>
      </c>
      <c r="T5332">
        <v>-7.0715310000000003E-2</v>
      </c>
      <c r="U5332">
        <v>-1.077698</v>
      </c>
      <c r="V5332">
        <v>0.1735215</v>
      </c>
      <c r="W5332">
        <v>5.6558749999999998E-2</v>
      </c>
      <c r="X5332">
        <v>0.98320469999999904</v>
      </c>
      <c r="Y5332">
        <v>0.32178469999999998</v>
      </c>
      <c r="Z5332">
        <v>-5.7818280000000001E-3</v>
      </c>
      <c r="AA5332">
        <v>0.94679519999999995</v>
      </c>
      <c r="AB5332">
        <v>24</v>
      </c>
      <c r="AC5332">
        <v>46.491999999999997</v>
      </c>
      <c r="AD5332">
        <v>-1.158731</v>
      </c>
      <c r="AE5332">
        <v>-17.653751799999998</v>
      </c>
      <c r="AF5332">
        <v>16.038540023333201</v>
      </c>
      <c r="AG5332">
        <v>-1.158731</v>
      </c>
      <c r="AH5332">
        <v>47.045117925716397</v>
      </c>
      <c r="AI5332">
        <v>91.335476082680799</v>
      </c>
      <c r="AJ5332">
        <v>71.174819027545595</v>
      </c>
      <c r="AK5332">
        <v>49.717406853686398</v>
      </c>
      <c r="AL5332">
        <v>86.757692267281996</v>
      </c>
      <c r="AM5332">
        <v>79.991184450263802</v>
      </c>
      <c r="AN5332">
        <v>1.0000000426329501</v>
      </c>
    </row>
    <row r="5333" spans="1:40" x14ac:dyDescent="0.25">
      <c r="A5333" t="str">
        <f>"20190305135341132"</f>
        <v>20190305135341132</v>
      </c>
      <c r="B5333" t="str">
        <f>"1551765221125088"</f>
        <v>1551765221125088</v>
      </c>
      <c r="C5333" t="s">
        <v>40</v>
      </c>
      <c r="D5333">
        <v>4.5993820000000003</v>
      </c>
      <c r="E5333">
        <v>0.57931519999999903</v>
      </c>
      <c r="F5333" t="s">
        <v>47</v>
      </c>
      <c r="G5333">
        <v>-279.72879999999998</v>
      </c>
      <c r="H5333">
        <v>-0.05</v>
      </c>
      <c r="I5333">
        <v>-0.96592710000000004</v>
      </c>
      <c r="J5333">
        <v>-326.57429999999999</v>
      </c>
      <c r="K5333">
        <v>1.1087370000000001</v>
      </c>
      <c r="L5333">
        <v>16.90964</v>
      </c>
      <c r="M5333">
        <v>0.99928240000000002</v>
      </c>
      <c r="N5333">
        <v>-1.3736999999999999E-2</v>
      </c>
      <c r="O5333">
        <v>-3.530138E-2</v>
      </c>
      <c r="P5333">
        <v>0.97707219999999995</v>
      </c>
      <c r="Q5333">
        <v>4.3336380000000001E-2</v>
      </c>
      <c r="R5333">
        <v>-0.20845179999999999</v>
      </c>
      <c r="S5333">
        <v>2.8433229999999998</v>
      </c>
      <c r="T5333">
        <v>-7.0124629999999993E-2</v>
      </c>
      <c r="U5333">
        <v>-1.0821529999999999</v>
      </c>
      <c r="V5333">
        <v>0.173983</v>
      </c>
      <c r="W5333">
        <v>5.6366890000000003E-2</v>
      </c>
      <c r="X5333">
        <v>0.98313410000000001</v>
      </c>
      <c r="Y5333">
        <v>0.32234849999999998</v>
      </c>
      <c r="Z5333">
        <v>-5.7594419999999896E-3</v>
      </c>
      <c r="AA5333">
        <v>0.94660350000000004</v>
      </c>
      <c r="AB5333">
        <v>24</v>
      </c>
      <c r="AC5333">
        <v>46.845500000000001</v>
      </c>
      <c r="AD5333">
        <v>-1.1587369999999999</v>
      </c>
      <c r="AE5333">
        <v>-17.875567099999898</v>
      </c>
      <c r="AF5333">
        <v>16.201903744386001</v>
      </c>
      <c r="AG5333">
        <v>-1.1587369999999999</v>
      </c>
      <c r="AH5333">
        <v>47.4220612299208</v>
      </c>
      <c r="AI5333">
        <v>91.324573911592694</v>
      </c>
      <c r="AJ5333">
        <v>71.137098208529494</v>
      </c>
      <c r="AK5333">
        <v>50.126801690032799</v>
      </c>
      <c r="AL5333">
        <v>86.768702412057095</v>
      </c>
      <c r="AM5333">
        <v>79.964399247618601</v>
      </c>
      <c r="AN5333">
        <v>0.99999998458004002</v>
      </c>
    </row>
    <row r="5334" spans="1:40" x14ac:dyDescent="0.25">
      <c r="A5334" t="str">
        <f>"20190305135341143"</f>
        <v>20190305135341143</v>
      </c>
      <c r="B5334" t="str">
        <f>"1551765221134848"</f>
        <v>1551765221134848</v>
      </c>
      <c r="C5334" t="s">
        <v>40</v>
      </c>
      <c r="D5334">
        <v>4.6442699999999997</v>
      </c>
      <c r="E5334">
        <v>0.58908530000000003</v>
      </c>
      <c r="F5334" t="s">
        <v>47</v>
      </c>
      <c r="G5334">
        <v>-314.92750000000001</v>
      </c>
      <c r="H5334">
        <v>-0.05</v>
      </c>
      <c r="I5334">
        <v>11.78302</v>
      </c>
      <c r="J5334">
        <v>-326.45580000000001</v>
      </c>
      <c r="K5334">
        <v>1.1087400000000001</v>
      </c>
      <c r="L5334">
        <v>16.904540000000001</v>
      </c>
      <c r="M5334">
        <v>0.99925220000000003</v>
      </c>
      <c r="N5334">
        <v>-1.374128E-2</v>
      </c>
      <c r="O5334">
        <v>-3.6142720000000003E-2</v>
      </c>
      <c r="P5334">
        <v>0.97677749999999997</v>
      </c>
      <c r="Q5334">
        <v>4.3670529999999999E-2</v>
      </c>
      <c r="R5334">
        <v>-0.20975869999999999</v>
      </c>
      <c r="S5334">
        <v>2.8181759999999998</v>
      </c>
      <c r="T5334">
        <v>-0.28037800000000002</v>
      </c>
      <c r="U5334">
        <v>-1.2404790000000001</v>
      </c>
      <c r="V5334">
        <v>0.17447199999999999</v>
      </c>
      <c r="W5334">
        <v>5.6703009999999998E-2</v>
      </c>
      <c r="X5334">
        <v>0.98302809999999896</v>
      </c>
      <c r="Y5334">
        <v>0.36787540000000002</v>
      </c>
      <c r="Z5334">
        <v>-1.715061E-2</v>
      </c>
      <c r="AA5334">
        <v>0.92971689999999996</v>
      </c>
      <c r="AB5334">
        <v>24</v>
      </c>
      <c r="AC5334">
        <v>11.5283</v>
      </c>
      <c r="AD5334">
        <v>-1.1587399999999899</v>
      </c>
      <c r="AE5334">
        <v>-5.1215199999999896</v>
      </c>
      <c r="AF5334">
        <v>4.6621328273581897</v>
      </c>
      <c r="AG5334">
        <v>-1.1587399999999899</v>
      </c>
      <c r="AH5334">
        <v>11.6079471500219</v>
      </c>
      <c r="AI5334">
        <v>95.292267188820603</v>
      </c>
      <c r="AJ5334">
        <v>68.117985027405197</v>
      </c>
      <c r="AK5334">
        <v>12.5627464324181</v>
      </c>
      <c r="AL5334">
        <v>86.749413281458402</v>
      </c>
      <c r="AM5334">
        <v>79.935705780809599</v>
      </c>
      <c r="AN5334">
        <v>0.99999997775833405</v>
      </c>
    </row>
    <row r="5335" spans="1:40" x14ac:dyDescent="0.25">
      <c r="A5335" t="str">
        <f>"20190305135341155"</f>
        <v>20190305135341155</v>
      </c>
      <c r="B5335" t="str">
        <f>"1551765221145585"</f>
        <v>1551765221145585</v>
      </c>
      <c r="C5335" t="s">
        <v>40</v>
      </c>
      <c r="D5335">
        <v>4.5950509999999998</v>
      </c>
      <c r="E5335">
        <v>0.59453869999999998</v>
      </c>
      <c r="F5335" t="s">
        <v>47</v>
      </c>
      <c r="G5335">
        <v>-315.65679999999998</v>
      </c>
      <c r="H5335">
        <v>-0.05</v>
      </c>
      <c r="I5335">
        <v>11.813750000000001</v>
      </c>
      <c r="J5335">
        <v>-326.33330000000001</v>
      </c>
      <c r="K5335">
        <v>1.1087419999999999</v>
      </c>
      <c r="L5335">
        <v>16.899079999999898</v>
      </c>
      <c r="M5335">
        <v>0.99922029999999995</v>
      </c>
      <c r="N5335">
        <v>-1.3745240000000001E-2</v>
      </c>
      <c r="O5335">
        <v>-3.7011809999999999E-2</v>
      </c>
      <c r="P5335">
        <v>0.97649589999999997</v>
      </c>
      <c r="Q5335">
        <v>4.3504950000000001E-2</v>
      </c>
      <c r="R5335">
        <v>-0.21110010000000001</v>
      </c>
      <c r="S5335">
        <v>2.8011469999999998</v>
      </c>
      <c r="T5335">
        <v>-0.30056369999999999</v>
      </c>
      <c r="U5335">
        <v>-1.3204959999999999</v>
      </c>
      <c r="V5335">
        <v>0.17496639999999999</v>
      </c>
      <c r="W5335">
        <v>5.6540189999999997E-2</v>
      </c>
      <c r="X5335">
        <v>0.98294959999999998</v>
      </c>
      <c r="Y5335">
        <v>0.39066119999999999</v>
      </c>
      <c r="Z5335">
        <v>-1.9415060000000001E-2</v>
      </c>
      <c r="AA5335">
        <v>0.92032970000000003</v>
      </c>
      <c r="AB5335">
        <v>24</v>
      </c>
      <c r="AC5335">
        <v>10.676500000000001</v>
      </c>
      <c r="AD5335">
        <v>-1.1587419999999999</v>
      </c>
      <c r="AE5335">
        <v>-5.0853299999999901</v>
      </c>
      <c r="AF5335">
        <v>4.6420824578958904</v>
      </c>
      <c r="AG5335">
        <v>-1.1587419999999999</v>
      </c>
      <c r="AH5335">
        <v>10.754167656061201</v>
      </c>
      <c r="AI5335">
        <v>95.649628997661594</v>
      </c>
      <c r="AJ5335">
        <v>66.652350783680603</v>
      </c>
      <c r="AK5335">
        <v>11.7704602519673</v>
      </c>
      <c r="AL5335">
        <v>86.758757162427401</v>
      </c>
      <c r="AM5335">
        <v>79.906982695907502</v>
      </c>
      <c r="AN5335">
        <v>0.99999997517717698</v>
      </c>
    </row>
    <row r="5336" spans="1:40" x14ac:dyDescent="0.25">
      <c r="A5336" t="str">
        <f>"20190305135341168"</f>
        <v>20190305135341168</v>
      </c>
      <c r="B5336" t="str">
        <f>"1551765221155344"</f>
        <v>1551765221155344</v>
      </c>
      <c r="C5336" t="s">
        <v>40</v>
      </c>
      <c r="D5336">
        <v>4.565372</v>
      </c>
      <c r="E5336">
        <v>0.59736869999999997</v>
      </c>
      <c r="F5336" t="s">
        <v>47</v>
      </c>
      <c r="G5336">
        <v>-316.0224</v>
      </c>
      <c r="H5336">
        <v>-0.05</v>
      </c>
      <c r="I5336">
        <v>11.84811</v>
      </c>
      <c r="J5336">
        <v>-326.20319999999998</v>
      </c>
      <c r="K5336">
        <v>1.1087469999999999</v>
      </c>
      <c r="L5336">
        <v>16.893279999999901</v>
      </c>
      <c r="M5336">
        <v>0.99918560000000001</v>
      </c>
      <c r="N5336">
        <v>-1.3749290000000001E-2</v>
      </c>
      <c r="O5336">
        <v>-3.7932630000000002E-2</v>
      </c>
      <c r="P5336">
        <v>0.97614849999999997</v>
      </c>
      <c r="Q5336">
        <v>4.331173E-2</v>
      </c>
      <c r="R5336">
        <v>-0.2127395</v>
      </c>
      <c r="S5336">
        <v>2.790619</v>
      </c>
      <c r="T5336">
        <v>-0.31361280000000002</v>
      </c>
      <c r="U5336">
        <v>-1.367035</v>
      </c>
      <c r="V5336">
        <v>0.17571020000000001</v>
      </c>
      <c r="W5336">
        <v>5.6348330000000002E-2</v>
      </c>
      <c r="X5336">
        <v>0.98282800000000003</v>
      </c>
      <c r="Y5336">
        <v>0.40334530000000002</v>
      </c>
      <c r="Z5336">
        <v>-2.079953E-2</v>
      </c>
      <c r="AA5336">
        <v>0.91481140000000005</v>
      </c>
      <c r="AB5336">
        <v>24</v>
      </c>
      <c r="AC5336">
        <v>10.1807999999999</v>
      </c>
      <c r="AD5336">
        <v>-1.158747</v>
      </c>
      <c r="AE5336">
        <v>-5.0451699999999899</v>
      </c>
      <c r="AF5336">
        <v>4.6073992303264397</v>
      </c>
      <c r="AG5336">
        <v>-1.158747</v>
      </c>
      <c r="AH5336">
        <v>10.2581787661906</v>
      </c>
      <c r="AI5336">
        <v>95.883116428582198</v>
      </c>
      <c r="AJ5336">
        <v>65.813054754944403</v>
      </c>
      <c r="AK5336">
        <v>11.3049128203956</v>
      </c>
      <c r="AL5336">
        <v>86.769767703898793</v>
      </c>
      <c r="AM5336">
        <v>79.863735919140098</v>
      </c>
      <c r="AN5336">
        <v>1.00000004313091</v>
      </c>
    </row>
    <row r="5337" spans="1:40" x14ac:dyDescent="0.25">
      <c r="A5337" t="str">
        <f>"20190305135341181"</f>
        <v>20190305135341181</v>
      </c>
      <c r="B5337" t="str">
        <f>"1551765221175840"</f>
        <v>1551765221175840</v>
      </c>
      <c r="C5337" t="s">
        <v>40</v>
      </c>
      <c r="D5337">
        <v>4.5821009999999998</v>
      </c>
      <c r="E5337">
        <v>0.59915490000000005</v>
      </c>
      <c r="F5337" t="s">
        <v>47</v>
      </c>
      <c r="G5337">
        <v>-316.07150000000001</v>
      </c>
      <c r="H5337">
        <v>-0.05</v>
      </c>
      <c r="I5337">
        <v>11.81981</v>
      </c>
      <c r="J5337">
        <v>-326.05509999999998</v>
      </c>
      <c r="K5337">
        <v>1.108752</v>
      </c>
      <c r="L5337">
        <v>16.886469999999999</v>
      </c>
      <c r="M5337">
        <v>0.99914550000000002</v>
      </c>
      <c r="N5337">
        <v>-1.3753400000000001E-2</v>
      </c>
      <c r="O5337">
        <v>-3.8979300000000001E-2</v>
      </c>
      <c r="P5337">
        <v>0.97575959999999995</v>
      </c>
      <c r="Q5337">
        <v>4.3341989999999997E-2</v>
      </c>
      <c r="R5337">
        <v>-0.2145107</v>
      </c>
      <c r="S5337">
        <v>2.7835999999999999</v>
      </c>
      <c r="T5337">
        <v>-0.31835540000000001</v>
      </c>
      <c r="U5337">
        <v>-1.3938900000000001</v>
      </c>
      <c r="V5337">
        <v>0.1764645</v>
      </c>
      <c r="W5337">
        <v>5.6380699999999999E-2</v>
      </c>
      <c r="X5337">
        <v>0.98269090000000003</v>
      </c>
      <c r="Y5337">
        <v>0.410273</v>
      </c>
      <c r="Z5337">
        <v>-2.1396289999999998E-2</v>
      </c>
      <c r="AA5337">
        <v>0.91171179999999996</v>
      </c>
      <c r="AB5337">
        <v>24</v>
      </c>
      <c r="AC5337">
        <v>9.9835999999999601</v>
      </c>
      <c r="AD5337">
        <v>-1.158752</v>
      </c>
      <c r="AE5337">
        <v>-5.0666599999999997</v>
      </c>
      <c r="AF5337">
        <v>4.6240839625010297</v>
      </c>
      <c r="AG5337">
        <v>-1.158752</v>
      </c>
      <c r="AH5337">
        <v>10.065698663813301</v>
      </c>
      <c r="AI5337">
        <v>95.971911615047901</v>
      </c>
      <c r="AJ5337">
        <v>65.326410485759695</v>
      </c>
      <c r="AK5337">
        <v>11.137465972134599</v>
      </c>
      <c r="AL5337">
        <v>86.767909798134397</v>
      </c>
      <c r="AM5337">
        <v>79.819739829706194</v>
      </c>
      <c r="AN5337">
        <v>0.99999995401777397</v>
      </c>
    </row>
    <row r="5338" spans="1:40" x14ac:dyDescent="0.25">
      <c r="A5338" t="str">
        <f>"20190305135341195"</f>
        <v>20190305135341195</v>
      </c>
      <c r="B5338" t="str">
        <f>"1551765221185599"</f>
        <v>1551765221185599</v>
      </c>
      <c r="C5338" t="s">
        <v>40</v>
      </c>
      <c r="D5338">
        <v>4.5820670000000003</v>
      </c>
      <c r="E5338">
        <v>0.59958540000000005</v>
      </c>
      <c r="F5338" t="s">
        <v>47</v>
      </c>
      <c r="G5338">
        <v>-316.18119999999999</v>
      </c>
      <c r="H5338">
        <v>-0.05</v>
      </c>
      <c r="I5338">
        <v>11.865830000000001</v>
      </c>
      <c r="J5338">
        <v>-325.91269999999997</v>
      </c>
      <c r="K5338">
        <v>1.1087579999999999</v>
      </c>
      <c r="L5338">
        <v>16.87979</v>
      </c>
      <c r="M5338">
        <v>0.99910580000000004</v>
      </c>
      <c r="N5338">
        <v>-1.375696E-2</v>
      </c>
      <c r="O5338">
        <v>-3.9980880000000003E-2</v>
      </c>
      <c r="P5338">
        <v>0.97529200000000005</v>
      </c>
      <c r="Q5338">
        <v>4.3110620000000002E-2</v>
      </c>
      <c r="R5338">
        <v>-0.21667410000000001</v>
      </c>
      <c r="S5338">
        <v>2.7784119999999999</v>
      </c>
      <c r="T5338">
        <v>-0.3260593</v>
      </c>
      <c r="U5338">
        <v>-1.41275</v>
      </c>
      <c r="V5338">
        <v>0.17765729999999999</v>
      </c>
      <c r="W5338">
        <v>5.6149329999999997E-2</v>
      </c>
      <c r="X5338">
        <v>0.98248930000000001</v>
      </c>
      <c r="Y5338">
        <v>0.41484019999999999</v>
      </c>
      <c r="Z5338">
        <v>-2.2024459999999999E-2</v>
      </c>
      <c r="AA5338">
        <v>0.90962770000000004</v>
      </c>
      <c r="AB5338">
        <v>24</v>
      </c>
      <c r="AC5338">
        <v>9.7314999999999792</v>
      </c>
      <c r="AD5338">
        <v>-1.158758</v>
      </c>
      <c r="AE5338">
        <v>-5.0139599999999902</v>
      </c>
      <c r="AF5338">
        <v>4.5696408741392798</v>
      </c>
      <c r="AG5338">
        <v>-1.158758</v>
      </c>
      <c r="AH5338">
        <v>9.8142394614554291</v>
      </c>
      <c r="AI5338">
        <v>96.109413879018504</v>
      </c>
      <c r="AJ5338">
        <v>65.032684683509899</v>
      </c>
      <c r="AK5338">
        <v>10.8877745213591</v>
      </c>
      <c r="AL5338">
        <v>86.781187646799594</v>
      </c>
      <c r="AM5338">
        <v>79.750322281414896</v>
      </c>
      <c r="AN5338">
        <v>1.0000000440586101</v>
      </c>
    </row>
    <row r="5339" spans="1:40" x14ac:dyDescent="0.25">
      <c r="A5339" t="str">
        <f>"20190305135341210"</f>
        <v>20190305135341210</v>
      </c>
      <c r="B5339" t="str">
        <f>"1551765221205120"</f>
        <v>1551765221205120</v>
      </c>
      <c r="C5339" t="s">
        <v>40</v>
      </c>
      <c r="D5339">
        <v>4.62554</v>
      </c>
      <c r="E5339">
        <v>0.59973999999999905</v>
      </c>
      <c r="F5339" t="s">
        <v>47</v>
      </c>
      <c r="G5339">
        <v>-316.09989999999999</v>
      </c>
      <c r="H5339">
        <v>-0.05</v>
      </c>
      <c r="I5339">
        <v>11.84909</v>
      </c>
      <c r="J5339">
        <v>-325.74220000000003</v>
      </c>
      <c r="K5339">
        <v>1.1087640000000001</v>
      </c>
      <c r="L5339">
        <v>16.871579999999899</v>
      </c>
      <c r="M5339">
        <v>0.99905730000000004</v>
      </c>
      <c r="N5339">
        <v>-1.376083E-2</v>
      </c>
      <c r="O5339">
        <v>-4.1174330000000002E-2</v>
      </c>
      <c r="P5339">
        <v>0.9745163</v>
      </c>
      <c r="Q5339">
        <v>4.2689159999999997E-2</v>
      </c>
      <c r="R5339">
        <v>-0.22021689999999999</v>
      </c>
      <c r="S5339">
        <v>2.7744749999999998</v>
      </c>
      <c r="T5339">
        <v>-0.32762980000000003</v>
      </c>
      <c r="U5339">
        <v>-1.4223939999999999</v>
      </c>
      <c r="V5339">
        <v>0.1800525</v>
      </c>
      <c r="W5339">
        <v>5.5722750000000001E-2</v>
      </c>
      <c r="X5339">
        <v>0.98207739999999999</v>
      </c>
      <c r="Y5339">
        <v>0.41675240000000002</v>
      </c>
      <c r="Z5339">
        <v>-2.2129579999999999E-2</v>
      </c>
      <c r="AA5339">
        <v>0.90875059999999996</v>
      </c>
      <c r="AB5339">
        <v>24</v>
      </c>
      <c r="AC5339">
        <v>9.6423000000000307</v>
      </c>
      <c r="AD5339">
        <v>-1.1587639999999999</v>
      </c>
      <c r="AE5339">
        <v>-5.0224900000000003</v>
      </c>
      <c r="AF5339">
        <v>4.5692707050151196</v>
      </c>
      <c r="AG5339">
        <v>-1.1587639999999999</v>
      </c>
      <c r="AH5339">
        <v>9.7304022996979196</v>
      </c>
      <c r="AI5339">
        <v>96.152365475181199</v>
      </c>
      <c r="AJ5339">
        <v>64.845858936653499</v>
      </c>
      <c r="AK5339">
        <v>10.812108845982401</v>
      </c>
      <c r="AL5339">
        <v>86.805666980574799</v>
      </c>
      <c r="AM5339">
        <v>79.610861280539794</v>
      </c>
      <c r="AN5339">
        <v>0.99999997360728499</v>
      </c>
    </row>
    <row r="5340" spans="1:40" x14ac:dyDescent="0.25">
      <c r="A5340" t="str">
        <f>"20190305135341222"</f>
        <v>20190305135341222</v>
      </c>
      <c r="B5340" t="str">
        <f>"1551765221215856"</f>
        <v>1551765221215856</v>
      </c>
      <c r="C5340" t="s">
        <v>40</v>
      </c>
      <c r="D5340">
        <v>4.6335989999999896</v>
      </c>
      <c r="E5340">
        <v>0.59987080000000004</v>
      </c>
      <c r="F5340" t="s">
        <v>47</v>
      </c>
      <c r="G5340">
        <v>-316.24310000000003</v>
      </c>
      <c r="H5340">
        <v>-0.05</v>
      </c>
      <c r="I5340">
        <v>11.955310000000001</v>
      </c>
      <c r="J5340">
        <v>-325.60669999999999</v>
      </c>
      <c r="K5340">
        <v>1.1087720000000001</v>
      </c>
      <c r="L5340">
        <v>16.86496</v>
      </c>
      <c r="M5340">
        <v>0.99901799999999996</v>
      </c>
      <c r="N5340">
        <v>-1.3763559999999999E-2</v>
      </c>
      <c r="O5340">
        <v>-4.2116489999999999E-2</v>
      </c>
      <c r="P5340">
        <v>0.97407259999999996</v>
      </c>
      <c r="Q5340">
        <v>4.2247010000000002E-2</v>
      </c>
      <c r="R5340">
        <v>-0.2222565</v>
      </c>
      <c r="S5340">
        <v>2.7693479999999999</v>
      </c>
      <c r="T5340">
        <v>-0.33782509999999999</v>
      </c>
      <c r="U5340">
        <v>-1.433289</v>
      </c>
      <c r="V5340">
        <v>0.18117939999999999</v>
      </c>
      <c r="W5340">
        <v>5.5281869999999997E-2</v>
      </c>
      <c r="X5340">
        <v>0.98189510000000002</v>
      </c>
      <c r="Y5340">
        <v>0.41924549999999999</v>
      </c>
      <c r="Z5340">
        <v>-2.2788039999999999E-2</v>
      </c>
      <c r="AA5340">
        <v>0.90758689999999997</v>
      </c>
      <c r="AB5340">
        <v>24</v>
      </c>
      <c r="AC5340">
        <v>9.3635999999999608</v>
      </c>
      <c r="AD5340">
        <v>-1.1587719999999999</v>
      </c>
      <c r="AE5340">
        <v>-4.9096499999999903</v>
      </c>
      <c r="AF5340">
        <v>4.4573506537796703</v>
      </c>
      <c r="AG5340">
        <v>-1.1587719999999999</v>
      </c>
      <c r="AH5340">
        <v>9.4485878919411608</v>
      </c>
      <c r="AI5340">
        <v>96.329210696433293</v>
      </c>
      <c r="AJ5340">
        <v>64.744507432879104</v>
      </c>
      <c r="AK5340">
        <v>10.5112578005903</v>
      </c>
      <c r="AL5340">
        <v>86.830966701638303</v>
      </c>
      <c r="AM5340">
        <v>79.545369450534807</v>
      </c>
      <c r="AN5340">
        <v>1.0000000237695299</v>
      </c>
    </row>
    <row r="5341" spans="1:40" x14ac:dyDescent="0.25">
      <c r="A5341" t="str">
        <f>"20190305135341234"</f>
        <v>20190305135341234</v>
      </c>
      <c r="B5341" t="str">
        <f>"1551765221225616"</f>
        <v>1551765221225616</v>
      </c>
      <c r="C5341" t="s">
        <v>40</v>
      </c>
      <c r="D5341">
        <v>4.6124660000000004</v>
      </c>
      <c r="E5341">
        <v>0.60008169999999905</v>
      </c>
      <c r="F5341" t="s">
        <v>47</v>
      </c>
      <c r="G5341">
        <v>-316.24250000000001</v>
      </c>
      <c r="H5341">
        <v>-0.05</v>
      </c>
      <c r="I5341">
        <v>11.98967</v>
      </c>
      <c r="J5341">
        <v>-325.48950000000002</v>
      </c>
      <c r="K5341">
        <v>1.108781</v>
      </c>
      <c r="L5341">
        <v>16.859100000000002</v>
      </c>
      <c r="M5341">
        <v>0.99898370000000003</v>
      </c>
      <c r="N5341">
        <v>-1.376553E-2</v>
      </c>
      <c r="O5341">
        <v>-4.2921769999999998E-2</v>
      </c>
      <c r="P5341">
        <v>0.97365190000000001</v>
      </c>
      <c r="Q5341">
        <v>4.1875410000000002E-2</v>
      </c>
      <c r="R5341">
        <v>-0.2241621</v>
      </c>
      <c r="S5341">
        <v>2.7661129999999998</v>
      </c>
      <c r="T5341">
        <v>-0.34229300000000001</v>
      </c>
      <c r="U5341">
        <v>-1.4401250000000001</v>
      </c>
      <c r="V5341">
        <v>0.1823072</v>
      </c>
      <c r="W5341">
        <v>5.4910979999999998E-2</v>
      </c>
      <c r="X5341">
        <v>0.9817072</v>
      </c>
      <c r="Y5341">
        <v>0.42064289999999999</v>
      </c>
      <c r="Z5341">
        <v>-2.306091E-2</v>
      </c>
      <c r="AA5341">
        <v>0.90693319999999999</v>
      </c>
      <c r="AB5341">
        <v>24</v>
      </c>
      <c r="AC5341">
        <v>9.2470000000000105</v>
      </c>
      <c r="AD5341">
        <v>-1.1587809999999901</v>
      </c>
      <c r="AE5341">
        <v>-4.8694300000000004</v>
      </c>
      <c r="AF5341">
        <v>4.4137422018365999</v>
      </c>
      <c r="AG5341">
        <v>-1.1587809999999901</v>
      </c>
      <c r="AH5341">
        <v>9.3327603999799607</v>
      </c>
      <c r="AI5341">
        <v>96.404261574699802</v>
      </c>
      <c r="AJ5341">
        <v>64.689129169442097</v>
      </c>
      <c r="AK5341">
        <v>10.388662585418199</v>
      </c>
      <c r="AL5341">
        <v>86.852249633739305</v>
      </c>
      <c r="AM5341">
        <v>79.479771480875698</v>
      </c>
      <c r="AN5341">
        <v>1.0000000787141099</v>
      </c>
    </row>
    <row r="5342" spans="1:40" x14ac:dyDescent="0.25">
      <c r="A5342" t="str">
        <f>"20190305135341246"</f>
        <v>20190305135341246</v>
      </c>
      <c r="B5342" t="str">
        <f>"1551765221235376"</f>
        <v>1551765221235376</v>
      </c>
      <c r="C5342" t="s">
        <v>40</v>
      </c>
      <c r="D5342">
        <v>4.6287849999999997</v>
      </c>
      <c r="E5342">
        <v>0.60028749999999997</v>
      </c>
      <c r="F5342" t="s">
        <v>47</v>
      </c>
      <c r="G5342">
        <v>-316.22620000000001</v>
      </c>
      <c r="H5342">
        <v>-0.05</v>
      </c>
      <c r="I5342">
        <v>12.006410000000001</v>
      </c>
      <c r="J5342">
        <v>-325.37060000000002</v>
      </c>
      <c r="K5342">
        <v>1.1087819999999999</v>
      </c>
      <c r="L5342">
        <v>16.853120000000001</v>
      </c>
      <c r="M5342">
        <v>0.99894819999999995</v>
      </c>
      <c r="N5342">
        <v>-1.3767450000000001E-2</v>
      </c>
      <c r="O5342">
        <v>-4.3736339999999999E-2</v>
      </c>
      <c r="P5342">
        <v>0.97324379999999999</v>
      </c>
      <c r="Q5342">
        <v>4.156551E-2</v>
      </c>
      <c r="R5342">
        <v>-0.2259842</v>
      </c>
      <c r="S5342">
        <v>2.7628780000000002</v>
      </c>
      <c r="T5342">
        <v>-0.3456166</v>
      </c>
      <c r="U5342">
        <v>-1.447357</v>
      </c>
      <c r="V5342">
        <v>0.1833418</v>
      </c>
      <c r="W5342">
        <v>5.4601990000000003E-2</v>
      </c>
      <c r="X5342">
        <v>0.98153170000000001</v>
      </c>
      <c r="Y5342">
        <v>0.42214750000000001</v>
      </c>
      <c r="Z5342">
        <v>-2.3274619999999999E-2</v>
      </c>
      <c r="AA5342">
        <v>0.90622829999999999</v>
      </c>
      <c r="AB5342">
        <v>24</v>
      </c>
      <c r="AC5342">
        <v>9.1444000000000099</v>
      </c>
      <c r="AD5342">
        <v>-1.158782</v>
      </c>
      <c r="AE5342">
        <v>-4.8467099999999999</v>
      </c>
      <c r="AF5342">
        <v>4.3870927368058101</v>
      </c>
      <c r="AG5342">
        <v>-1.158782</v>
      </c>
      <c r="AH5342">
        <v>9.2319112025825696</v>
      </c>
      <c r="AI5342">
        <v>96.467975104652197</v>
      </c>
      <c r="AJ5342">
        <v>64.582484732319102</v>
      </c>
      <c r="AK5342">
        <v>10.2867654224847</v>
      </c>
      <c r="AL5342">
        <v>86.869979920271007</v>
      </c>
      <c r="AM5342">
        <v>79.419563934124199</v>
      </c>
      <c r="AN5342">
        <v>1.00000003552204</v>
      </c>
    </row>
    <row r="5343" spans="1:40" x14ac:dyDescent="0.25">
      <c r="A5343" t="str">
        <f>"20190305135341256"</f>
        <v>20190305135341256</v>
      </c>
      <c r="B5343" t="str">
        <f>"1551765221245136"</f>
        <v>1551765221245136</v>
      </c>
      <c r="C5343" t="s">
        <v>40</v>
      </c>
      <c r="D5343">
        <v>4.6433249999999999</v>
      </c>
      <c r="E5343">
        <v>0.60055829999999999</v>
      </c>
      <c r="F5343" t="s">
        <v>47</v>
      </c>
      <c r="G5343">
        <v>-316.20490000000001</v>
      </c>
      <c r="H5343">
        <v>-0.05</v>
      </c>
      <c r="I5343">
        <v>12.02295</v>
      </c>
      <c r="J5343">
        <v>-325.24650000000003</v>
      </c>
      <c r="K5343">
        <v>1.108795</v>
      </c>
      <c r="L5343">
        <v>16.846710000000002</v>
      </c>
      <c r="M5343">
        <v>0.99891149999999995</v>
      </c>
      <c r="N5343">
        <v>-1.376898E-2</v>
      </c>
      <c r="O5343">
        <v>-4.4567610000000001E-2</v>
      </c>
      <c r="P5343">
        <v>0.97284000000000004</v>
      </c>
      <c r="Q5343">
        <v>4.092117E-2</v>
      </c>
      <c r="R5343">
        <v>-0.22783349999999999</v>
      </c>
      <c r="S5343">
        <v>2.7597049999999999</v>
      </c>
      <c r="T5343">
        <v>-0.34889809999999999</v>
      </c>
      <c r="U5343">
        <v>-1.454315</v>
      </c>
      <c r="V5343">
        <v>0.1843863</v>
      </c>
      <c r="W5343">
        <v>5.396111E-2</v>
      </c>
      <c r="X5343">
        <v>0.98137149999999995</v>
      </c>
      <c r="Y5343">
        <v>0.42355710000000002</v>
      </c>
      <c r="Z5343">
        <v>-2.3477749999999999E-2</v>
      </c>
      <c r="AA5343">
        <v>0.90556510000000001</v>
      </c>
      <c r="AB5343">
        <v>24</v>
      </c>
      <c r="AC5343">
        <v>9.0416000000000096</v>
      </c>
      <c r="AD5343">
        <v>-1.158795</v>
      </c>
      <c r="AE5343">
        <v>-4.82376</v>
      </c>
      <c r="AF5343">
        <v>4.3602143963098801</v>
      </c>
      <c r="AG5343">
        <v>-1.158795</v>
      </c>
      <c r="AH5343">
        <v>9.1308681960404101</v>
      </c>
      <c r="AI5343">
        <v>96.533182444135704</v>
      </c>
      <c r="AJ5343">
        <v>64.474375788489795</v>
      </c>
      <c r="AK5343">
        <v>10.184646751226801</v>
      </c>
      <c r="AL5343">
        <v>86.906753947016398</v>
      </c>
      <c r="AM5343">
        <v>79.358962307919001</v>
      </c>
      <c r="AN5343">
        <v>1.00000006501618</v>
      </c>
    </row>
    <row r="5344" spans="1:40" x14ac:dyDescent="0.25">
      <c r="A5344" t="str">
        <f>"20190305135341267"</f>
        <v>20190305135341267</v>
      </c>
      <c r="B5344" t="str">
        <f>"1551765221254895"</f>
        <v>1551765221254895</v>
      </c>
      <c r="C5344" t="s">
        <v>40</v>
      </c>
      <c r="D5344">
        <v>4.6110790000000001</v>
      </c>
      <c r="E5344">
        <v>0.60074130000000003</v>
      </c>
      <c r="F5344" t="s">
        <v>47</v>
      </c>
      <c r="G5344">
        <v>-316.21039999999999</v>
      </c>
      <c r="H5344">
        <v>-0.05</v>
      </c>
      <c r="I5344">
        <v>12.054309999999999</v>
      </c>
      <c r="J5344">
        <v>-325.1397</v>
      </c>
      <c r="K5344">
        <v>1.108806</v>
      </c>
      <c r="L5344">
        <v>16.841190000000001</v>
      </c>
      <c r="M5344">
        <v>0.99887959999999998</v>
      </c>
      <c r="N5344">
        <v>-1.377024E-2</v>
      </c>
      <c r="O5344">
        <v>-4.5279720000000002E-2</v>
      </c>
      <c r="P5344">
        <v>0.97249220000000003</v>
      </c>
      <c r="Q5344">
        <v>4.0322579999999997E-2</v>
      </c>
      <c r="R5344">
        <v>-0.22942019999999999</v>
      </c>
      <c r="S5344">
        <v>2.7562869999999999</v>
      </c>
      <c r="T5344">
        <v>-0.3534659</v>
      </c>
      <c r="U5344">
        <v>-1.4618230000000001</v>
      </c>
      <c r="V5344">
        <v>0.18528359999999999</v>
      </c>
      <c r="W5344">
        <v>5.3365450000000002E-2</v>
      </c>
      <c r="X5344">
        <v>0.98123499999999997</v>
      </c>
      <c r="Y5344">
        <v>0.4252244</v>
      </c>
      <c r="Z5344">
        <v>-2.3783990000000001E-2</v>
      </c>
      <c r="AA5344">
        <v>0.90477540000000001</v>
      </c>
      <c r="AB5344">
        <v>24</v>
      </c>
      <c r="AC5344">
        <v>8.9293000000000102</v>
      </c>
      <c r="AD5344">
        <v>-1.158806</v>
      </c>
      <c r="AE5344">
        <v>-4.78688</v>
      </c>
      <c r="AF5344">
        <v>4.3210861212273599</v>
      </c>
      <c r="AG5344">
        <v>-1.158806</v>
      </c>
      <c r="AH5344">
        <v>9.0189227348215297</v>
      </c>
      <c r="AI5344">
        <v>96.609569819325202</v>
      </c>
      <c r="AJ5344">
        <v>64.400297745703597</v>
      </c>
      <c r="AK5344">
        <v>10.06755103833</v>
      </c>
      <c r="AL5344">
        <v>86.940931811445296</v>
      </c>
      <c r="AM5344">
        <v>79.306916575404202</v>
      </c>
      <c r="AN5344">
        <v>1.00000000445383</v>
      </c>
    </row>
    <row r="5345" spans="1:40" x14ac:dyDescent="0.25">
      <c r="A5345" t="str">
        <f>"20190305135341278"</f>
        <v>20190305135341278</v>
      </c>
      <c r="B5345" t="str">
        <f>"1551765221275392"</f>
        <v>1551765221275392</v>
      </c>
      <c r="C5345" t="s">
        <v>40</v>
      </c>
      <c r="D5345">
        <v>4.6293030000000002</v>
      </c>
      <c r="E5345">
        <v>0.60121000000000002</v>
      </c>
      <c r="F5345" t="s">
        <v>47</v>
      </c>
      <c r="G5345">
        <v>-316.17349999999999</v>
      </c>
      <c r="H5345">
        <v>-0.05</v>
      </c>
      <c r="I5345">
        <v>12.061260000000001</v>
      </c>
      <c r="J5345">
        <v>-325.01499999999999</v>
      </c>
      <c r="K5345">
        <v>1.1088260000000001</v>
      </c>
      <c r="L5345">
        <v>16.83456</v>
      </c>
      <c r="M5345">
        <v>0.99884229999999996</v>
      </c>
      <c r="N5345">
        <v>-1.377132E-2</v>
      </c>
      <c r="O5345">
        <v>-4.609448E-2</v>
      </c>
      <c r="P5345">
        <v>0.9720375</v>
      </c>
      <c r="Q5345">
        <v>3.9983530000000003E-2</v>
      </c>
      <c r="R5345">
        <v>-0.2313983</v>
      </c>
      <c r="S5345">
        <v>2.7533259999999999</v>
      </c>
      <c r="T5345">
        <v>-0.35584209999999999</v>
      </c>
      <c r="U5345">
        <v>-1.4678040000000001</v>
      </c>
      <c r="V5345">
        <v>0.18647620000000001</v>
      </c>
      <c r="W5345">
        <v>5.302975E-2</v>
      </c>
      <c r="X5345">
        <v>0.98102719999999999</v>
      </c>
      <c r="Y5345">
        <v>0.42638019999999999</v>
      </c>
      <c r="Z5345">
        <v>-2.3920400000000001E-2</v>
      </c>
      <c r="AA5345">
        <v>0.90422769999999997</v>
      </c>
      <c r="AB5345">
        <v>24</v>
      </c>
      <c r="AC5345">
        <v>8.8414999999999893</v>
      </c>
      <c r="AD5345">
        <v>-1.1588259999999999</v>
      </c>
      <c r="AE5345">
        <v>-4.7732999999999901</v>
      </c>
      <c r="AF5345">
        <v>4.3034006081042602</v>
      </c>
      <c r="AG5345">
        <v>-1.1588259999999999</v>
      </c>
      <c r="AH5345">
        <v>8.9333171421940101</v>
      </c>
      <c r="AI5345">
        <v>96.665716424683296</v>
      </c>
      <c r="AJ5345">
        <v>64.278728822865105</v>
      </c>
      <c r="AK5345">
        <v>9.9833005391566605</v>
      </c>
      <c r="AL5345">
        <v>86.960193105010802</v>
      </c>
      <c r="AM5345">
        <v>79.237465292420097</v>
      </c>
      <c r="AN5345">
        <v>0.99999994734566999</v>
      </c>
    </row>
    <row r="5346" spans="1:40" x14ac:dyDescent="0.25">
      <c r="A5346" t="str">
        <f>"20190305135341290"</f>
        <v>20190305135341290</v>
      </c>
      <c r="B5346" t="str">
        <f>"1551765221285152"</f>
        <v>1551765221285152</v>
      </c>
      <c r="C5346" t="s">
        <v>40</v>
      </c>
      <c r="D5346">
        <v>4.615113</v>
      </c>
      <c r="E5346">
        <v>0.60142119999999999</v>
      </c>
      <c r="F5346" t="s">
        <v>47</v>
      </c>
      <c r="G5346">
        <v>-316.1112</v>
      </c>
      <c r="H5346">
        <v>-0.05</v>
      </c>
      <c r="I5346">
        <v>12.050890000000001</v>
      </c>
      <c r="J5346">
        <v>-324.89830000000001</v>
      </c>
      <c r="K5346">
        <v>1.1088420000000001</v>
      </c>
      <c r="L5346">
        <v>16.82837</v>
      </c>
      <c r="M5346">
        <v>0.99880720000000001</v>
      </c>
      <c r="N5346">
        <v>-1.377219E-2</v>
      </c>
      <c r="O5346">
        <v>-4.6846899999999997E-2</v>
      </c>
      <c r="P5346">
        <v>0.97155550000000002</v>
      </c>
      <c r="Q5346">
        <v>3.9602020000000002E-2</v>
      </c>
      <c r="R5346">
        <v>-0.2334775</v>
      </c>
      <c r="S5346">
        <v>2.7493590000000001</v>
      </c>
      <c r="T5346">
        <v>-0.35783179999999998</v>
      </c>
      <c r="U5346">
        <v>-1.477142</v>
      </c>
      <c r="V5346">
        <v>0.18783320000000001</v>
      </c>
      <c r="W5346">
        <v>5.2650250000000003E-2</v>
      </c>
      <c r="X5346">
        <v>0.98078880000000002</v>
      </c>
      <c r="Y5346">
        <v>0.42858289999999999</v>
      </c>
      <c r="Z5346">
        <v>-2.4114480000000001E-2</v>
      </c>
      <c r="AA5346">
        <v>0.9031806</v>
      </c>
      <c r="AB5346">
        <v>24</v>
      </c>
      <c r="AC5346">
        <v>8.7871000000000095</v>
      </c>
      <c r="AD5346">
        <v>-1.1588419999999999</v>
      </c>
      <c r="AE5346">
        <v>-4.7774799999999997</v>
      </c>
      <c r="AF5346">
        <v>4.30278519502113</v>
      </c>
      <c r="AG5346">
        <v>-1.1588419999999999</v>
      </c>
      <c r="AH5346">
        <v>8.8820482937729395</v>
      </c>
      <c r="AI5346">
        <v>96.696883848670794</v>
      </c>
      <c r="AJ5346">
        <v>64.152775127029301</v>
      </c>
      <c r="AK5346">
        <v>9.9371855728054008</v>
      </c>
      <c r="AL5346">
        <v>86.981967477768507</v>
      </c>
      <c r="AM5346">
        <v>79.1584222006191</v>
      </c>
      <c r="AN5346">
        <v>1.0000000150263699</v>
      </c>
    </row>
    <row r="5347" spans="1:40" x14ac:dyDescent="0.25">
      <c r="A5347" t="str">
        <f>"20190305135341301"</f>
        <v>20190305135341301</v>
      </c>
      <c r="B5347" t="str">
        <f>"1551765221294912"</f>
        <v>1551765221294912</v>
      </c>
      <c r="C5347" t="s">
        <v>40</v>
      </c>
      <c r="D5347">
        <v>4.6471900000000002</v>
      </c>
      <c r="E5347">
        <v>0.601595199999999</v>
      </c>
      <c r="F5347" t="s">
        <v>47</v>
      </c>
      <c r="G5347">
        <v>-316.06209999999999</v>
      </c>
      <c r="H5347">
        <v>-0.05</v>
      </c>
      <c r="I5347">
        <v>12.05063</v>
      </c>
      <c r="J5347">
        <v>-324.76960000000003</v>
      </c>
      <c r="K5347">
        <v>1.1088579999999999</v>
      </c>
      <c r="L5347">
        <v>16.821379999999898</v>
      </c>
      <c r="M5347">
        <v>0.9987684</v>
      </c>
      <c r="N5347">
        <v>-1.3772929999999999E-2</v>
      </c>
      <c r="O5347">
        <v>-4.7662669999999997E-2</v>
      </c>
      <c r="P5347">
        <v>0.97102999999999995</v>
      </c>
      <c r="Q5347">
        <v>3.9553980000000002E-2</v>
      </c>
      <c r="R5347">
        <v>-0.2356616</v>
      </c>
      <c r="S5347">
        <v>2.7457280000000002</v>
      </c>
      <c r="T5347">
        <v>-0.36009449999999998</v>
      </c>
      <c r="U5347">
        <v>-1.4846189999999999</v>
      </c>
      <c r="V5347">
        <v>0.18923519999999999</v>
      </c>
      <c r="W5347">
        <v>5.2605489999999998E-2</v>
      </c>
      <c r="X5347">
        <v>0.98052169999999905</v>
      </c>
      <c r="Y5347">
        <v>0.43020449999999999</v>
      </c>
      <c r="Z5347">
        <v>-2.4278359999999999E-2</v>
      </c>
      <c r="AA5347">
        <v>0.90240500000000001</v>
      </c>
      <c r="AB5347">
        <v>24</v>
      </c>
      <c r="AC5347">
        <v>8.7075000000000298</v>
      </c>
      <c r="AD5347">
        <v>-1.1588579999999999</v>
      </c>
      <c r="AE5347">
        <v>-4.7707499999999898</v>
      </c>
      <c r="AF5347">
        <v>4.2917981854380098</v>
      </c>
      <c r="AG5347">
        <v>-1.1588579999999999</v>
      </c>
      <c r="AH5347">
        <v>8.8050599557404094</v>
      </c>
      <c r="AI5347">
        <v>96.747136238267203</v>
      </c>
      <c r="AJ5347">
        <v>64.014281475013405</v>
      </c>
      <c r="AK5347">
        <v>9.8636486328780109</v>
      </c>
      <c r="AL5347">
        <v>86.984535705321505</v>
      </c>
      <c r="AM5347">
        <v>79.076535360893502</v>
      </c>
      <c r="AN5347">
        <v>1.0000000513340299</v>
      </c>
    </row>
    <row r="5348" spans="1:40" x14ac:dyDescent="0.25">
      <c r="A5348" t="str">
        <f>"20190305135341313"</f>
        <v>20190305135341313</v>
      </c>
      <c r="B5348" t="str">
        <f>"1551765221305648"</f>
        <v>1551765221305648</v>
      </c>
      <c r="C5348" t="s">
        <v>40</v>
      </c>
      <c r="D5348">
        <v>4.6189879999999999</v>
      </c>
      <c r="E5348">
        <v>0.60183149999999996</v>
      </c>
      <c r="F5348" t="s">
        <v>47</v>
      </c>
      <c r="G5348">
        <v>-315.97669999999999</v>
      </c>
      <c r="H5348">
        <v>-0.05</v>
      </c>
      <c r="I5348">
        <v>12.03665</v>
      </c>
      <c r="J5348">
        <v>-324.6515</v>
      </c>
      <c r="K5348">
        <v>1.1088750000000001</v>
      </c>
      <c r="L5348">
        <v>16.814910000000001</v>
      </c>
      <c r="M5348">
        <v>0.99873350000000005</v>
      </c>
      <c r="N5348">
        <v>-1.377339E-2</v>
      </c>
      <c r="O5348">
        <v>-4.8395380000000002E-2</v>
      </c>
      <c r="P5348">
        <v>0.97050590000000003</v>
      </c>
      <c r="Q5348">
        <v>3.935744E-2</v>
      </c>
      <c r="R5348">
        <v>-0.23784420000000001</v>
      </c>
      <c r="S5348">
        <v>2.7420960000000001</v>
      </c>
      <c r="T5348">
        <v>-0.36139120000000002</v>
      </c>
      <c r="U5348">
        <v>-1.4921260000000001</v>
      </c>
      <c r="V5348">
        <v>0.19071779999999999</v>
      </c>
      <c r="W5348">
        <v>5.2411680000000002E-2</v>
      </c>
      <c r="X5348">
        <v>0.98024480000000003</v>
      </c>
      <c r="Y5348">
        <v>0.43192009999999997</v>
      </c>
      <c r="Z5348">
        <v>-2.4403060000000001E-2</v>
      </c>
      <c r="AA5348">
        <v>0.90158170000000004</v>
      </c>
      <c r="AB5348">
        <v>24</v>
      </c>
      <c r="AC5348">
        <v>8.6747999999999994</v>
      </c>
      <c r="AD5348">
        <v>-1.1588750000000001</v>
      </c>
      <c r="AE5348">
        <v>-4.7782600000000004</v>
      </c>
      <c r="AF5348">
        <v>4.2940053985156297</v>
      </c>
      <c r="AG5348">
        <v>-1.1588750000000001</v>
      </c>
      <c r="AH5348">
        <v>8.7757412445293301</v>
      </c>
      <c r="AI5348">
        <v>96.764597270769698</v>
      </c>
      <c r="AJ5348">
        <v>63.927311255692899</v>
      </c>
      <c r="AK5348">
        <v>9.8384504887222697</v>
      </c>
      <c r="AL5348">
        <v>86.995655583056504</v>
      </c>
      <c r="AM5348">
        <v>78.990002393388195</v>
      </c>
      <c r="AN5348">
        <v>1.0000000656821399</v>
      </c>
    </row>
    <row r="5349" spans="1:40" x14ac:dyDescent="0.25">
      <c r="A5349" t="str">
        <f>"20190305135341324"</f>
        <v>20190305135341324</v>
      </c>
      <c r="B5349" t="str">
        <f>"1551765221315408"</f>
        <v>1551765221315408</v>
      </c>
      <c r="C5349" t="s">
        <v>40</v>
      </c>
      <c r="D5349">
        <v>4.6394500000000001</v>
      </c>
      <c r="E5349">
        <v>0.60195669999999901</v>
      </c>
      <c r="F5349" t="s">
        <v>47</v>
      </c>
      <c r="G5349">
        <v>-315.9178</v>
      </c>
      <c r="H5349">
        <v>-0.05</v>
      </c>
      <c r="I5349">
        <v>12.029859999999999</v>
      </c>
      <c r="J5349">
        <v>-324.52499999999998</v>
      </c>
      <c r="K5349">
        <v>1.108892</v>
      </c>
      <c r="L5349">
        <v>16.807950000000002</v>
      </c>
      <c r="M5349">
        <v>0.99869549999999996</v>
      </c>
      <c r="N5349">
        <v>-1.3773809999999999E-2</v>
      </c>
      <c r="O5349">
        <v>-4.9171930000000003E-2</v>
      </c>
      <c r="P5349">
        <v>0.96997909999999998</v>
      </c>
      <c r="Q5349">
        <v>3.899524E-2</v>
      </c>
      <c r="R5349">
        <v>-0.24004249999999999</v>
      </c>
      <c r="S5349">
        <v>2.738251</v>
      </c>
      <c r="T5349">
        <v>-0.36333949999999998</v>
      </c>
      <c r="U5349">
        <v>-1.5002439999999999</v>
      </c>
      <c r="V5349">
        <v>0.19217300000000001</v>
      </c>
      <c r="W5349">
        <v>5.2052630000000003E-2</v>
      </c>
      <c r="X5349">
        <v>0.97997959999999995</v>
      </c>
      <c r="Y5349">
        <v>0.43376680000000001</v>
      </c>
      <c r="Z5349">
        <v>-2.456966E-2</v>
      </c>
      <c r="AA5349">
        <v>0.90069009999999905</v>
      </c>
      <c r="AB5349">
        <v>24</v>
      </c>
      <c r="AC5349">
        <v>8.6071999999999704</v>
      </c>
      <c r="AD5349">
        <v>-1.158892</v>
      </c>
      <c r="AE5349">
        <v>-4.7780899999999997</v>
      </c>
      <c r="AF5349">
        <v>4.2895912843895401</v>
      </c>
      <c r="AG5349">
        <v>-1.158892</v>
      </c>
      <c r="AH5349">
        <v>8.7110390915637197</v>
      </c>
      <c r="AI5349">
        <v>96.806124020499396</v>
      </c>
      <c r="AJ5349">
        <v>63.782905915337402</v>
      </c>
      <c r="AK5349">
        <v>9.7788458475182995</v>
      </c>
      <c r="AL5349">
        <v>87.016255487412806</v>
      </c>
      <c r="AM5349">
        <v>78.905143231530502</v>
      </c>
      <c r="AN5349">
        <v>0.99999997731753798</v>
      </c>
    </row>
    <row r="5350" spans="1:40" x14ac:dyDescent="0.25">
      <c r="A5350" t="str">
        <f>"20190305135341334"</f>
        <v>20190305135341334</v>
      </c>
      <c r="B5350" t="str">
        <f>"1551765221325168"</f>
        <v>1551765221325168</v>
      </c>
      <c r="C5350" t="s">
        <v>40</v>
      </c>
      <c r="D5350">
        <v>4.6321219999999999</v>
      </c>
      <c r="E5350">
        <v>0.60206649999999995</v>
      </c>
      <c r="F5350" t="s">
        <v>47</v>
      </c>
      <c r="G5350">
        <v>-315.84460000000001</v>
      </c>
      <c r="H5350">
        <v>-0.05</v>
      </c>
      <c r="I5350">
        <v>12.021509999999999</v>
      </c>
      <c r="J5350">
        <v>-324.41890000000001</v>
      </c>
      <c r="K5350">
        <v>1.1089009999999999</v>
      </c>
      <c r="L5350">
        <v>16.801970000000001</v>
      </c>
      <c r="M5350">
        <v>0.99866410000000005</v>
      </c>
      <c r="N5350">
        <v>-1.377392E-2</v>
      </c>
      <c r="O5350">
        <v>-4.9805059999999998E-2</v>
      </c>
      <c r="P5350">
        <v>0.96953199999999995</v>
      </c>
      <c r="Q5350">
        <v>3.8650419999999998E-2</v>
      </c>
      <c r="R5350">
        <v>-0.24189649999999999</v>
      </c>
      <c r="S5350">
        <v>2.734375</v>
      </c>
      <c r="T5350">
        <v>-0.36505759999999998</v>
      </c>
      <c r="U5350">
        <v>-1.5077510000000001</v>
      </c>
      <c r="V5350">
        <v>0.1934225</v>
      </c>
      <c r="W5350">
        <v>5.17093E-2</v>
      </c>
      <c r="X5350">
        <v>0.97975190000000001</v>
      </c>
      <c r="Y5350">
        <v>0.43559249999999999</v>
      </c>
      <c r="Z5350">
        <v>-2.4738889999999999E-2</v>
      </c>
      <c r="AA5350">
        <v>0.89980389999999999</v>
      </c>
      <c r="AB5350">
        <v>24</v>
      </c>
      <c r="AC5350">
        <v>8.5742999999999903</v>
      </c>
      <c r="AD5350">
        <v>-1.158901</v>
      </c>
      <c r="AE5350">
        <v>-4.7804599999999997</v>
      </c>
      <c r="AF5350">
        <v>4.2876880492766096</v>
      </c>
      <c r="AG5350">
        <v>-1.158901</v>
      </c>
      <c r="AH5350">
        <v>8.6807932845106492</v>
      </c>
      <c r="AI5350">
        <v>96.825652023024602</v>
      </c>
      <c r="AJ5350">
        <v>63.713937944467901</v>
      </c>
      <c r="AK5350">
        <v>9.7510764730934092</v>
      </c>
      <c r="AL5350">
        <v>87.035953295652703</v>
      </c>
      <c r="AM5350">
        <v>78.832282157815598</v>
      </c>
      <c r="AN5350">
        <v>0.99999995038317302</v>
      </c>
    </row>
    <row r="5351" spans="1:40" x14ac:dyDescent="0.25">
      <c r="A5351" t="str">
        <f>"20190305135341345"</f>
        <v>20190305135341345</v>
      </c>
      <c r="B5351" t="str">
        <f>"1551765221334929"</f>
        <v>1551765221334929</v>
      </c>
      <c r="C5351" t="s">
        <v>40</v>
      </c>
      <c r="D5351">
        <v>4.6229950000000004</v>
      </c>
      <c r="E5351">
        <v>0.60227169999999997</v>
      </c>
      <c r="F5351" t="s">
        <v>47</v>
      </c>
      <c r="G5351">
        <v>-315.79349999999999</v>
      </c>
      <c r="H5351">
        <v>-0.05</v>
      </c>
      <c r="I5351">
        <v>12.021039999999999</v>
      </c>
      <c r="J5351">
        <v>-324.3021</v>
      </c>
      <c r="K5351">
        <v>1.1089150000000001</v>
      </c>
      <c r="L5351">
        <v>16.79541</v>
      </c>
      <c r="M5351">
        <v>0.99862910000000005</v>
      </c>
      <c r="N5351">
        <v>-1.3774059999999999E-2</v>
      </c>
      <c r="O5351">
        <v>-5.0500259999999998E-2</v>
      </c>
      <c r="P5351">
        <v>0.96906919999999996</v>
      </c>
      <c r="Q5351">
        <v>3.8000649999999997E-2</v>
      </c>
      <c r="R5351">
        <v>-0.24384629999999999</v>
      </c>
      <c r="S5351">
        <v>2.731201</v>
      </c>
      <c r="T5351">
        <v>-0.36695949999999999</v>
      </c>
      <c r="U5351">
        <v>-1.513855</v>
      </c>
      <c r="V5351">
        <v>0.19470699999999999</v>
      </c>
      <c r="W5351">
        <v>5.1062129999999997E-2</v>
      </c>
      <c r="X5351">
        <v>0.9795315</v>
      </c>
      <c r="Y5351">
        <v>0.43691020000000003</v>
      </c>
      <c r="Z5351">
        <v>-2.487406E-2</v>
      </c>
      <c r="AA5351">
        <v>0.89916109999999905</v>
      </c>
      <c r="AB5351">
        <v>24</v>
      </c>
      <c r="AC5351">
        <v>8.5085999999999995</v>
      </c>
      <c r="AD5351">
        <v>-1.1589149999999999</v>
      </c>
      <c r="AE5351">
        <v>-4.7743700000000002</v>
      </c>
      <c r="AF5351">
        <v>4.2781871620756</v>
      </c>
      <c r="AG5351">
        <v>-1.1589149999999999</v>
      </c>
      <c r="AH5351">
        <v>8.6172866259133603</v>
      </c>
      <c r="AI5351">
        <v>96.868688843878601</v>
      </c>
      <c r="AJ5351">
        <v>63.597178514401797</v>
      </c>
      <c r="AK5351">
        <v>9.6903868944495102</v>
      </c>
      <c r="AL5351">
        <v>87.073082775741199</v>
      </c>
      <c r="AM5351">
        <v>78.757535984501999</v>
      </c>
      <c r="AN5351">
        <v>1.00000005823069</v>
      </c>
    </row>
    <row r="5352" spans="1:40" x14ac:dyDescent="0.25">
      <c r="A5352" t="str">
        <f>"20190305135341355"</f>
        <v>20190305135341355</v>
      </c>
      <c r="B5352" t="str">
        <f>"1551765221345664"</f>
        <v>1551765221345664</v>
      </c>
      <c r="C5352" t="s">
        <v>40</v>
      </c>
      <c r="D5352">
        <v>4.6805260000000004</v>
      </c>
      <c r="E5352">
        <v>0.6023539</v>
      </c>
      <c r="F5352" t="s">
        <v>47</v>
      </c>
      <c r="G5352">
        <v>-315.70350000000002</v>
      </c>
      <c r="H5352">
        <v>-0.05</v>
      </c>
      <c r="I5352">
        <v>11.99933</v>
      </c>
      <c r="J5352">
        <v>-324.19119999999998</v>
      </c>
      <c r="K5352">
        <v>1.108927</v>
      </c>
      <c r="L5352">
        <v>16.78903</v>
      </c>
      <c r="M5352">
        <v>0.99859629999999999</v>
      </c>
      <c r="N5352">
        <v>-1.377401E-2</v>
      </c>
      <c r="O5352">
        <v>-5.1145370000000002E-2</v>
      </c>
      <c r="P5352">
        <v>0.96859919999999999</v>
      </c>
      <c r="Q5352">
        <v>3.7542480000000003E-2</v>
      </c>
      <c r="R5352">
        <v>-0.24577660000000001</v>
      </c>
      <c r="S5352">
        <v>2.7273860000000001</v>
      </c>
      <c r="T5352">
        <v>-0.36759629999999999</v>
      </c>
      <c r="U5352">
        <v>-1.52127099999999</v>
      </c>
      <c r="V5352">
        <v>0.1960228</v>
      </c>
      <c r="W5352">
        <v>5.0604009999999998E-2</v>
      </c>
      <c r="X5352">
        <v>0.97929279999999996</v>
      </c>
      <c r="Y5352">
        <v>0.4387065</v>
      </c>
      <c r="Z5352">
        <v>-2.497868E-2</v>
      </c>
      <c r="AA5352">
        <v>0.89828319999999995</v>
      </c>
      <c r="AB5352">
        <v>24</v>
      </c>
      <c r="AC5352">
        <v>8.4876999999999594</v>
      </c>
      <c r="AD5352">
        <v>-1.158927</v>
      </c>
      <c r="AE5352">
        <v>-4.7896999999999998</v>
      </c>
      <c r="AF5352">
        <v>4.2886382687088798</v>
      </c>
      <c r="AG5352">
        <v>-1.158927</v>
      </c>
      <c r="AH5352">
        <v>8.5999742704940996</v>
      </c>
      <c r="AI5352">
        <v>96.876435859379697</v>
      </c>
      <c r="AJ5352">
        <v>63.495468569411301</v>
      </c>
      <c r="AK5352">
        <v>9.6796222779777903</v>
      </c>
      <c r="AL5352">
        <v>87.099365060295</v>
      </c>
      <c r="AM5352">
        <v>78.680828170910999</v>
      </c>
      <c r="AN5352">
        <v>1.0000000460398699</v>
      </c>
    </row>
    <row r="5353" spans="1:40" x14ac:dyDescent="0.25">
      <c r="A5353" t="str">
        <f>"20190305135341369"</f>
        <v>20190305135341369</v>
      </c>
      <c r="B5353" t="str">
        <f>"1551765221365185"</f>
        <v>1551765221365185</v>
      </c>
      <c r="C5353" t="s">
        <v>40</v>
      </c>
      <c r="D5353">
        <v>4.6396959999999998</v>
      </c>
      <c r="E5353">
        <v>0.60289899999999996</v>
      </c>
      <c r="F5353" t="s">
        <v>47</v>
      </c>
      <c r="G5353">
        <v>-315.62009999999998</v>
      </c>
      <c r="H5353">
        <v>-0.05</v>
      </c>
      <c r="I5353">
        <v>11.98213</v>
      </c>
      <c r="J5353">
        <v>-324.0609</v>
      </c>
      <c r="K5353">
        <v>1.1089389999999999</v>
      </c>
      <c r="L5353">
        <v>16.78152</v>
      </c>
      <c r="M5353">
        <v>0.99855720000000003</v>
      </c>
      <c r="N5353">
        <v>-1.377392E-2</v>
      </c>
      <c r="O5353">
        <v>-5.1900490000000001E-2</v>
      </c>
      <c r="P5353">
        <v>0.96808890000000003</v>
      </c>
      <c r="Q5353">
        <v>3.6834779999999998E-2</v>
      </c>
      <c r="R5353">
        <v>-0.24788589999999999</v>
      </c>
      <c r="S5353">
        <v>2.723938</v>
      </c>
      <c r="T5353">
        <v>-0.36831180000000002</v>
      </c>
      <c r="U5353">
        <v>-1.527649</v>
      </c>
      <c r="V5353">
        <v>0.19741130000000001</v>
      </c>
      <c r="W5353">
        <v>4.9896320000000001E-2</v>
      </c>
      <c r="X5353">
        <v>0.97905019999999998</v>
      </c>
      <c r="Y5353">
        <v>0.44009290000000001</v>
      </c>
      <c r="Z5353">
        <v>-2.504601E-2</v>
      </c>
      <c r="AA5353">
        <v>0.89760289999999998</v>
      </c>
      <c r="AB5353">
        <v>24</v>
      </c>
      <c r="AC5353">
        <v>8.4408000000000207</v>
      </c>
      <c r="AD5353">
        <v>-1.1589389999999999</v>
      </c>
      <c r="AE5353">
        <v>-4.7993899999999998</v>
      </c>
      <c r="AF5353">
        <v>4.29362974301824</v>
      </c>
      <c r="AG5353">
        <v>-1.1589389999999999</v>
      </c>
      <c r="AH5353">
        <v>8.5566375192491204</v>
      </c>
      <c r="AI5353">
        <v>96.902489125032204</v>
      </c>
      <c r="AJ5353">
        <v>63.352988900247801</v>
      </c>
      <c r="AK5353">
        <v>9.6433625676769896</v>
      </c>
      <c r="AL5353">
        <v>87.139964094331503</v>
      </c>
      <c r="AM5353">
        <v>78.599991492155596</v>
      </c>
      <c r="AN5353">
        <v>1.0000000791186301</v>
      </c>
    </row>
    <row r="5354" spans="1:40" x14ac:dyDescent="0.25">
      <c r="A5354" t="str">
        <f>"20190305135341382"</f>
        <v>20190305135341382</v>
      </c>
      <c r="B5354" t="str">
        <f>"1551765221374944"</f>
        <v>1551765221374944</v>
      </c>
      <c r="C5354" t="s">
        <v>40</v>
      </c>
      <c r="D5354">
        <v>4.644997</v>
      </c>
      <c r="E5354">
        <v>0.60318139999999998</v>
      </c>
      <c r="F5354" t="s">
        <v>47</v>
      </c>
      <c r="G5354">
        <v>-315.59969999999998</v>
      </c>
      <c r="H5354">
        <v>-0.05</v>
      </c>
      <c r="I5354">
        <v>11.99643</v>
      </c>
      <c r="J5354">
        <v>-323.91399999999999</v>
      </c>
      <c r="K5354">
        <v>1.1089439999999999</v>
      </c>
      <c r="L5354">
        <v>16.772919999999999</v>
      </c>
      <c r="M5354">
        <v>0.99851330000000005</v>
      </c>
      <c r="N5354">
        <v>-1.377368E-2</v>
      </c>
      <c r="O5354">
        <v>-5.2741240000000002E-2</v>
      </c>
      <c r="P5354">
        <v>0.96751220000000004</v>
      </c>
      <c r="Q5354">
        <v>3.6213229999999999E-2</v>
      </c>
      <c r="R5354">
        <v>-0.2502183</v>
      </c>
      <c r="S5354">
        <v>2.7192989999999999</v>
      </c>
      <c r="T5354">
        <v>-0.37246839999999998</v>
      </c>
      <c r="U5354">
        <v>-1.5378719999999999</v>
      </c>
      <c r="V5354">
        <v>0.19894319999999999</v>
      </c>
      <c r="W5354">
        <v>4.9272910000000003E-2</v>
      </c>
      <c r="X5354">
        <v>0.97877159999999996</v>
      </c>
      <c r="Y5354">
        <v>0.44246849999999999</v>
      </c>
      <c r="Z5354">
        <v>-2.5371990000000001E-2</v>
      </c>
      <c r="AA5354">
        <v>0.89642509999999997</v>
      </c>
      <c r="AB5354">
        <v>24</v>
      </c>
      <c r="AC5354">
        <v>8.3142999999999994</v>
      </c>
      <c r="AD5354">
        <v>-1.158944</v>
      </c>
      <c r="AE5354">
        <v>-4.7764899999999999</v>
      </c>
      <c r="AF5354">
        <v>4.2689296954452596</v>
      </c>
      <c r="AG5354">
        <v>-1.158944</v>
      </c>
      <c r="AH5354">
        <v>8.4314955250543893</v>
      </c>
      <c r="AI5354">
        <v>96.991375307252696</v>
      </c>
      <c r="AJ5354">
        <v>63.146562868090797</v>
      </c>
      <c r="AK5354">
        <v>9.5213984649736503</v>
      </c>
      <c r="AL5354">
        <v>87.1757267080189</v>
      </c>
      <c r="AM5354">
        <v>78.510688083070207</v>
      </c>
      <c r="AN5354">
        <v>1.0000000307263299</v>
      </c>
    </row>
    <row r="5355" spans="1:40" x14ac:dyDescent="0.25">
      <c r="A5355" t="str">
        <f>"20190305135341402"</f>
        <v>20190305135341402</v>
      </c>
      <c r="B5355" t="str">
        <f>"1551765221395440"</f>
        <v>1551765221395440</v>
      </c>
      <c r="C5355" t="s">
        <v>40</v>
      </c>
      <c r="D5355">
        <v>4.6214449999999996</v>
      </c>
      <c r="E5355">
        <v>0.60370049999999997</v>
      </c>
      <c r="F5355" t="s">
        <v>47</v>
      </c>
      <c r="G5355">
        <v>-315.53969999999998</v>
      </c>
      <c r="H5355">
        <v>-0.05</v>
      </c>
      <c r="I5355">
        <v>12.000730000000001</v>
      </c>
      <c r="J5355">
        <v>-323.71190000000001</v>
      </c>
      <c r="K5355">
        <v>1.1089370000000001</v>
      </c>
      <c r="L5355">
        <v>16.76089</v>
      </c>
      <c r="M5355">
        <v>0.99845189999999995</v>
      </c>
      <c r="N5355">
        <v>-1.374391E-2</v>
      </c>
      <c r="O5355">
        <v>-5.3897899999999999E-2</v>
      </c>
      <c r="P5355">
        <v>0.96648060000000002</v>
      </c>
      <c r="Q5355">
        <v>3.5186799999999997E-2</v>
      </c>
      <c r="R5355">
        <v>-0.25431779999999998</v>
      </c>
      <c r="S5355">
        <v>2.7146910000000002</v>
      </c>
      <c r="T5355">
        <v>-0.37569530000000001</v>
      </c>
      <c r="U5355">
        <v>-1.546997</v>
      </c>
      <c r="V5355">
        <v>0.20195489999999999</v>
      </c>
      <c r="W5355">
        <v>4.8206060000000002E-2</v>
      </c>
      <c r="X5355">
        <v>0.97820779999999996</v>
      </c>
      <c r="Y5355">
        <v>0.4442989</v>
      </c>
      <c r="Z5355">
        <v>-2.5563909999999999E-2</v>
      </c>
      <c r="AA5355">
        <v>0.89551380000000003</v>
      </c>
      <c r="AB5355">
        <v>24</v>
      </c>
      <c r="AC5355">
        <v>8.1722000000000303</v>
      </c>
      <c r="AD5355">
        <v>-1.1589370000000001</v>
      </c>
      <c r="AE5355">
        <v>-4.7601599999999902</v>
      </c>
      <c r="AF5355">
        <v>4.24892953503677</v>
      </c>
      <c r="AG5355">
        <v>-1.1589370000000001</v>
      </c>
      <c r="AH5355">
        <v>8.2923833922765198</v>
      </c>
      <c r="AI5355">
        <v>97.090147138092107</v>
      </c>
      <c r="AJ5355">
        <v>62.869878311785101</v>
      </c>
      <c r="AK5355">
        <v>9.3893641684716993</v>
      </c>
      <c r="AL5355">
        <v>87.236925505965004</v>
      </c>
      <c r="AM5355">
        <v>78.334949189106595</v>
      </c>
      <c r="AN5355">
        <v>1.0000000529177799</v>
      </c>
    </row>
    <row r="5356" spans="1:40" x14ac:dyDescent="0.25">
      <c r="A5356" t="str">
        <f>"20190305135341414"</f>
        <v>20190305135341414</v>
      </c>
      <c r="B5356" t="str">
        <f>"1551765221405200"</f>
        <v>1551765221405200</v>
      </c>
      <c r="C5356" t="s">
        <v>40</v>
      </c>
      <c r="D5356">
        <v>4.6399429999999997</v>
      </c>
      <c r="E5356">
        <v>0.60399449999999999</v>
      </c>
      <c r="F5356" t="s">
        <v>47</v>
      </c>
      <c r="G5356">
        <v>-315.48149999999998</v>
      </c>
      <c r="H5356">
        <v>-0.05</v>
      </c>
      <c r="I5356">
        <v>12.008559999999999</v>
      </c>
      <c r="J5356">
        <v>-323.57299999999998</v>
      </c>
      <c r="K5356">
        <v>1.1089169999999999</v>
      </c>
      <c r="L5356">
        <v>16.752500000000001</v>
      </c>
      <c r="M5356">
        <v>0.99840910000000005</v>
      </c>
      <c r="N5356">
        <v>-1.367728E-2</v>
      </c>
      <c r="O5356">
        <v>-5.4702859999999999E-2</v>
      </c>
      <c r="P5356">
        <v>0.96593910000000005</v>
      </c>
      <c r="Q5356">
        <v>3.5234660000000001E-2</v>
      </c>
      <c r="R5356">
        <v>-0.25636019999999998</v>
      </c>
      <c r="S5356">
        <v>2.706696</v>
      </c>
      <c r="T5356">
        <v>-0.38113799999999998</v>
      </c>
      <c r="U5356">
        <v>-1.562897</v>
      </c>
      <c r="V5356">
        <v>0.20323530000000001</v>
      </c>
      <c r="W5356">
        <v>4.8179390000000002E-2</v>
      </c>
      <c r="X5356">
        <v>0.97794380000000003</v>
      </c>
      <c r="Y5356">
        <v>0.44854379999999999</v>
      </c>
      <c r="Z5356">
        <v>-2.6099549999999999E-2</v>
      </c>
      <c r="AA5356">
        <v>0.893379699999999</v>
      </c>
      <c r="AB5356">
        <v>24</v>
      </c>
      <c r="AC5356">
        <v>8.0914999999999893</v>
      </c>
      <c r="AD5356">
        <v>-1.158917</v>
      </c>
      <c r="AE5356">
        <v>-4.7439400000000003</v>
      </c>
      <c r="AF5356">
        <v>4.2295956264791599</v>
      </c>
      <c r="AG5356">
        <v>-1.158917</v>
      </c>
      <c r="AH5356">
        <v>8.2135233581756104</v>
      </c>
      <c r="AI5356">
        <v>97.150014056825498</v>
      </c>
      <c r="AJ5356">
        <v>62.753566547723601</v>
      </c>
      <c r="AK5356">
        <v>9.3109899437018502</v>
      </c>
      <c r="AL5356">
        <v>87.238455100638205</v>
      </c>
      <c r="AM5356">
        <v>78.259957402848201</v>
      </c>
      <c r="AN5356">
        <v>0.99999995837264999</v>
      </c>
    </row>
    <row r="5357" spans="1:40" x14ac:dyDescent="0.25">
      <c r="A5357" t="str">
        <f>"20190305135341426"</f>
        <v>20190305135341426</v>
      </c>
      <c r="B5357" t="str">
        <f>"1551765221414960"</f>
        <v>1551765221414960</v>
      </c>
      <c r="C5357" t="s">
        <v>40</v>
      </c>
      <c r="D5357">
        <v>4.6500329999999996</v>
      </c>
      <c r="E5357">
        <v>0.60420909999999906</v>
      </c>
      <c r="F5357" t="s">
        <v>47</v>
      </c>
      <c r="G5357">
        <v>-315.38760000000002</v>
      </c>
      <c r="H5357">
        <v>-0.05</v>
      </c>
      <c r="I5357">
        <v>11.994999999999999</v>
      </c>
      <c r="J5357">
        <v>-323.44799999999998</v>
      </c>
      <c r="K5357">
        <v>1.1088899999999999</v>
      </c>
      <c r="L5357">
        <v>16.744869999999999</v>
      </c>
      <c r="M5357">
        <v>0.99836999999999998</v>
      </c>
      <c r="N5357">
        <v>-1.359782E-2</v>
      </c>
      <c r="O5357">
        <v>-5.5433160000000002E-2</v>
      </c>
      <c r="P5357">
        <v>0.96529290000000001</v>
      </c>
      <c r="Q5357">
        <v>3.4634810000000002E-2</v>
      </c>
      <c r="R5357">
        <v>-0.25886429999999999</v>
      </c>
      <c r="S5357">
        <v>2.7027890000000001</v>
      </c>
      <c r="T5357">
        <v>-0.38267230000000002</v>
      </c>
      <c r="U5357">
        <v>-1.5709229999999901</v>
      </c>
      <c r="V5357">
        <v>0.2050553</v>
      </c>
      <c r="W5357">
        <v>4.7488290000000002E-2</v>
      </c>
      <c r="X5357">
        <v>0.97759770000000001</v>
      </c>
      <c r="Y5357">
        <v>0.4503992</v>
      </c>
      <c r="Z5357">
        <v>-2.622859E-2</v>
      </c>
      <c r="AA5357">
        <v>0.89244190000000001</v>
      </c>
      <c r="AB5357">
        <v>24</v>
      </c>
      <c r="AC5357">
        <v>8.0603999999999498</v>
      </c>
      <c r="AD5357">
        <v>-1.15889</v>
      </c>
      <c r="AE5357">
        <v>-4.7498699999999996</v>
      </c>
      <c r="AF5357">
        <v>4.2307958827109404</v>
      </c>
      <c r="AG5357">
        <v>-1.15889</v>
      </c>
      <c r="AH5357">
        <v>8.1857318610198302</v>
      </c>
      <c r="AI5357">
        <v>97.168391999659207</v>
      </c>
      <c r="AJ5357">
        <v>62.667816280820801</v>
      </c>
      <c r="AK5357">
        <v>9.2870267542297391</v>
      </c>
      <c r="AL5357">
        <v>87.278097812781695</v>
      </c>
      <c r="AM5357">
        <v>78.153705711686996</v>
      </c>
      <c r="AN5357">
        <v>1.0000000383952501</v>
      </c>
    </row>
    <row r="5358" spans="1:40" x14ac:dyDescent="0.25">
      <c r="A5358" t="str">
        <f>"20190305135341437"</f>
        <v>20190305135341437</v>
      </c>
      <c r="B5358" t="str">
        <f>"1551765221425696"</f>
        <v>1551765221425696</v>
      </c>
      <c r="C5358" t="s">
        <v>40</v>
      </c>
      <c r="D5358">
        <v>4.6970499999999999</v>
      </c>
      <c r="E5358">
        <v>0.60448040000000003</v>
      </c>
      <c r="F5358" t="s">
        <v>47</v>
      </c>
      <c r="G5358">
        <v>-315.34089999999998</v>
      </c>
      <c r="H5358">
        <v>-0.05</v>
      </c>
      <c r="I5358">
        <v>11.997299999999999</v>
      </c>
      <c r="J5358">
        <v>-323.32729999999998</v>
      </c>
      <c r="K5358">
        <v>1.1088480000000001</v>
      </c>
      <c r="L5358">
        <v>16.73734</v>
      </c>
      <c r="M5358">
        <v>0.99833079999999996</v>
      </c>
      <c r="N5358">
        <v>-1.348336E-2</v>
      </c>
      <c r="O5358">
        <v>-5.615966E-2</v>
      </c>
      <c r="P5358">
        <v>0.96475080000000002</v>
      </c>
      <c r="Q5358">
        <v>3.4813759999999999E-2</v>
      </c>
      <c r="R5358">
        <v>-0.26085209999999998</v>
      </c>
      <c r="S5358">
        <v>2.698029</v>
      </c>
      <c r="T5358">
        <v>-0.38567649999999998</v>
      </c>
      <c r="U5358">
        <v>-1.579987</v>
      </c>
      <c r="V5358">
        <v>0.20636090000000001</v>
      </c>
      <c r="W5358">
        <v>4.7540209999999999E-2</v>
      </c>
      <c r="X5358">
        <v>0.97732039999999998</v>
      </c>
      <c r="Y5358">
        <v>0.45260600000000001</v>
      </c>
      <c r="Z5358">
        <v>-2.646277E-2</v>
      </c>
      <c r="AA5358">
        <v>0.89131779999999905</v>
      </c>
      <c r="AB5358">
        <v>24</v>
      </c>
      <c r="AC5358">
        <v>7.9863999999999997</v>
      </c>
      <c r="AD5358">
        <v>-1.1588479999999901</v>
      </c>
      <c r="AE5358">
        <v>-4.7400399999999996</v>
      </c>
      <c r="AF5358">
        <v>4.2183239831577604</v>
      </c>
      <c r="AG5358">
        <v>-1.1588479999999901</v>
      </c>
      <c r="AH5358">
        <v>8.1136860139907494</v>
      </c>
      <c r="AI5358">
        <v>97.222196799518997</v>
      </c>
      <c r="AJ5358">
        <v>62.529975082454698</v>
      </c>
      <c r="AK5358">
        <v>9.2178677929126902</v>
      </c>
      <c r="AL5358">
        <v>87.275119625212099</v>
      </c>
      <c r="AM5358">
        <v>78.077145350504907</v>
      </c>
      <c r="AN5358">
        <v>1.0000000284359001</v>
      </c>
    </row>
    <row r="5359" spans="1:40" x14ac:dyDescent="0.25">
      <c r="A5359" t="str">
        <f>"20190305135341450"</f>
        <v>20190305135341450</v>
      </c>
      <c r="B5359" t="str">
        <f>"1551765221445218"</f>
        <v>1551765221445218</v>
      </c>
      <c r="C5359" t="s">
        <v>40</v>
      </c>
      <c r="D5359">
        <v>4.4173819999999999</v>
      </c>
      <c r="E5359">
        <v>0.63744529999999999</v>
      </c>
      <c r="F5359" t="s">
        <v>47</v>
      </c>
      <c r="G5359">
        <v>-315.18180000000001</v>
      </c>
      <c r="H5359">
        <v>-0.05</v>
      </c>
      <c r="I5359">
        <v>11.935639999999999</v>
      </c>
      <c r="J5359">
        <v>-323.2088</v>
      </c>
      <c r="K5359">
        <v>1.1088039999999999</v>
      </c>
      <c r="L5359">
        <v>16.729859999999999</v>
      </c>
      <c r="M5359">
        <v>0.99829140000000005</v>
      </c>
      <c r="N5359">
        <v>-1.33677E-2</v>
      </c>
      <c r="O5359">
        <v>-5.6884280000000002E-2</v>
      </c>
      <c r="P5359">
        <v>0.96412889999999996</v>
      </c>
      <c r="Q5359">
        <v>3.5199080000000001E-2</v>
      </c>
      <c r="R5359">
        <v>-0.26309060000000001</v>
      </c>
      <c r="S5359">
        <v>2.694061</v>
      </c>
      <c r="T5359">
        <v>-0.3832835</v>
      </c>
      <c r="U5359">
        <v>-1.5881350000000001</v>
      </c>
      <c r="V5359">
        <v>0.2079241</v>
      </c>
      <c r="W5359">
        <v>4.7794549999999998E-2</v>
      </c>
      <c r="X5359">
        <v>0.97697659999999997</v>
      </c>
      <c r="Y5359">
        <v>0.45456410000000003</v>
      </c>
      <c r="Z5359">
        <v>-2.6362010000000002E-2</v>
      </c>
      <c r="AA5359">
        <v>0.8903238</v>
      </c>
      <c r="AB5359">
        <v>24</v>
      </c>
      <c r="AC5359">
        <v>8.0269999999999797</v>
      </c>
      <c r="AD5359">
        <v>-1.1588039999999999</v>
      </c>
      <c r="AE5359">
        <v>-4.7942200000000001</v>
      </c>
      <c r="AF5359">
        <v>4.2643004396931099</v>
      </c>
      <c r="AG5359">
        <v>-1.1588039999999999</v>
      </c>
      <c r="AH5359">
        <v>8.1613725041513607</v>
      </c>
      <c r="AI5359">
        <v>97.172614733315896</v>
      </c>
      <c r="AJ5359">
        <v>62.413024386588702</v>
      </c>
      <c r="AK5359">
        <v>9.2808989921182103</v>
      </c>
      <c r="AL5359">
        <v>87.260530392459998</v>
      </c>
      <c r="AM5359">
        <v>77.985338285393496</v>
      </c>
      <c r="AN5359">
        <v>1.0000000136590299</v>
      </c>
    </row>
    <row r="5360" spans="1:40" x14ac:dyDescent="0.25">
      <c r="A5360" t="str">
        <f>"20190305135341466"</f>
        <v>20190305135341466</v>
      </c>
      <c r="B5360" t="str">
        <f>"1551765221454976"</f>
        <v>1551765221454976</v>
      </c>
      <c r="C5360" t="s">
        <v>40</v>
      </c>
      <c r="D5360">
        <v>4.4094709999999999</v>
      </c>
      <c r="E5360">
        <v>0.64401699999999995</v>
      </c>
      <c r="F5360" t="s">
        <v>47</v>
      </c>
      <c r="G5360">
        <v>-318.17</v>
      </c>
      <c r="H5360">
        <v>-0.05</v>
      </c>
      <c r="I5360">
        <v>13.1866</v>
      </c>
      <c r="J5360">
        <v>-323.02659999999997</v>
      </c>
      <c r="K5360">
        <v>1.108735</v>
      </c>
      <c r="L5360">
        <v>16.718229999999998</v>
      </c>
      <c r="M5360">
        <v>0.99822730000000004</v>
      </c>
      <c r="N5360">
        <v>-1.3180559999999999E-2</v>
      </c>
      <c r="O5360">
        <v>-5.8038069999999997E-2</v>
      </c>
      <c r="P5360">
        <v>0.96301890000000001</v>
      </c>
      <c r="Q5360">
        <v>3.5918060000000002E-2</v>
      </c>
      <c r="R5360">
        <v>-0.26702930000000002</v>
      </c>
      <c r="S5360">
        <v>2.629181</v>
      </c>
      <c r="T5360">
        <v>-0.60464580000000001</v>
      </c>
      <c r="U5360">
        <v>-1.848816</v>
      </c>
      <c r="V5360">
        <v>0.21079609999999999</v>
      </c>
      <c r="W5360">
        <v>4.8297510000000002E-2</v>
      </c>
      <c r="X5360">
        <v>0.97633619999999999</v>
      </c>
      <c r="Y5360">
        <v>0.51794839999999998</v>
      </c>
      <c r="Z5360">
        <v>-4.5719210000000003E-2</v>
      </c>
      <c r="AA5360">
        <v>0.85418919999999998</v>
      </c>
      <c r="AB5360">
        <v>24</v>
      </c>
      <c r="AC5360">
        <v>4.8565999999999496</v>
      </c>
      <c r="AD5360">
        <v>-1.1587350000000001</v>
      </c>
      <c r="AE5360">
        <v>-3.5316299999999901</v>
      </c>
      <c r="AF5360">
        <v>3.12733643296363</v>
      </c>
      <c r="AG5360">
        <v>-1.1587350000000001</v>
      </c>
      <c r="AH5360">
        <v>4.8719889723079204</v>
      </c>
      <c r="AI5360">
        <v>101.31817415287</v>
      </c>
      <c r="AJ5360">
        <v>57.3035386540273</v>
      </c>
      <c r="AK5360">
        <v>5.9041660301398</v>
      </c>
      <c r="AL5360">
        <v>87.231679578944807</v>
      </c>
      <c r="AM5360">
        <v>77.816554316271905</v>
      </c>
      <c r="AN5360">
        <v>1.0000000103389199</v>
      </c>
    </row>
    <row r="5361" spans="1:40" x14ac:dyDescent="0.25">
      <c r="A5361" t="str">
        <f>"20190305135341477"</f>
        <v>20190305135341477</v>
      </c>
      <c r="B5361" t="str">
        <f>"1551765221465712"</f>
        <v>1551765221465712</v>
      </c>
      <c r="C5361" t="s">
        <v>40</v>
      </c>
      <c r="D5361">
        <v>4.3721449999999997</v>
      </c>
      <c r="E5361">
        <v>0.64912910000000001</v>
      </c>
      <c r="F5361" t="s">
        <v>47</v>
      </c>
      <c r="G5361">
        <v>-318.61309999999997</v>
      </c>
      <c r="H5361">
        <v>-0.05</v>
      </c>
      <c r="I5361">
        <v>13.48969</v>
      </c>
      <c r="J5361">
        <v>-322.9101</v>
      </c>
      <c r="K5361">
        <v>1.1086830000000001</v>
      </c>
      <c r="L5361">
        <v>16.710599999999999</v>
      </c>
      <c r="M5361">
        <v>0.99818300000000004</v>
      </c>
      <c r="N5361">
        <v>-1.306678E-2</v>
      </c>
      <c r="O5361">
        <v>-5.882242E-2</v>
      </c>
      <c r="P5361">
        <v>0.96233239999999998</v>
      </c>
      <c r="Q5361">
        <v>3.6016739999999998E-2</v>
      </c>
      <c r="R5361">
        <v>-0.26947919999999997</v>
      </c>
      <c r="S5361">
        <v>2.611145</v>
      </c>
      <c r="T5361">
        <v>-0.68553779999999997</v>
      </c>
      <c r="U5361">
        <v>-1.9100950000000001</v>
      </c>
      <c r="V5361">
        <v>0.21251809999999999</v>
      </c>
      <c r="W5361">
        <v>4.826035E-2</v>
      </c>
      <c r="X5361">
        <v>0.97596470000000002</v>
      </c>
      <c r="Y5361">
        <v>0.53059140000000005</v>
      </c>
      <c r="Z5361">
        <v>-5.2464459999999997E-2</v>
      </c>
      <c r="AA5361">
        <v>0.84600249999999999</v>
      </c>
      <c r="AB5361">
        <v>24</v>
      </c>
      <c r="AC5361">
        <v>4.2970000000000201</v>
      </c>
      <c r="AD5361">
        <v>-1.1586829999999999</v>
      </c>
      <c r="AE5361">
        <v>-3.2209099999999999</v>
      </c>
      <c r="AF5361">
        <v>2.8307668796596399</v>
      </c>
      <c r="AG5361">
        <v>-1.1586829999999999</v>
      </c>
      <c r="AH5361">
        <v>4.2797946167809897</v>
      </c>
      <c r="AI5361">
        <v>102.724464064971</v>
      </c>
      <c r="AJ5361">
        <v>56.518318650361998</v>
      </c>
      <c r="AK5361">
        <v>5.2604590468222998</v>
      </c>
      <c r="AL5361">
        <v>87.233811285356197</v>
      </c>
      <c r="AM5361">
        <v>77.715503276242003</v>
      </c>
      <c r="AN5361">
        <v>1.00000004992791</v>
      </c>
    </row>
    <row r="5362" spans="1:40" x14ac:dyDescent="0.25">
      <c r="A5362" t="str">
        <f>"20190305135341488"</f>
        <v>20190305135341488</v>
      </c>
      <c r="B5362" t="str">
        <f>"1551765221475472"</f>
        <v>1551765221475472</v>
      </c>
      <c r="C5362" t="s">
        <v>40</v>
      </c>
      <c r="D5362">
        <v>4.3517010000000003</v>
      </c>
      <c r="E5362">
        <v>0.65249009999999996</v>
      </c>
      <c r="F5362" t="s">
        <v>47</v>
      </c>
      <c r="G5362">
        <v>-318.88080000000002</v>
      </c>
      <c r="H5362">
        <v>-0.05</v>
      </c>
      <c r="I5362">
        <v>13.67619</v>
      </c>
      <c r="J5362">
        <v>-322.79430000000002</v>
      </c>
      <c r="K5362">
        <v>1.1086309999999999</v>
      </c>
      <c r="L5362">
        <v>16.702939999999899</v>
      </c>
      <c r="M5362">
        <v>0.99813730000000001</v>
      </c>
      <c r="N5362">
        <v>-1.2955299999999999E-2</v>
      </c>
      <c r="O5362">
        <v>-5.9617679999999999E-2</v>
      </c>
      <c r="P5362">
        <v>0.9617329</v>
      </c>
      <c r="Q5362">
        <v>3.626658E-2</v>
      </c>
      <c r="R5362">
        <v>-0.27157829999999999</v>
      </c>
      <c r="S5362">
        <v>2.5975950000000001</v>
      </c>
      <c r="T5362">
        <v>-0.74696249999999997</v>
      </c>
      <c r="U5362">
        <v>-1.9561770000000001</v>
      </c>
      <c r="V5362">
        <v>0.21387539999999999</v>
      </c>
      <c r="W5362">
        <v>4.8376570000000001E-2</v>
      </c>
      <c r="X5362">
        <v>0.97566240000000004</v>
      </c>
      <c r="Y5362">
        <v>0.53946910000000003</v>
      </c>
      <c r="Z5362">
        <v>-5.7591799999999999E-2</v>
      </c>
      <c r="AA5362">
        <v>0.84003349999999899</v>
      </c>
      <c r="AB5362">
        <v>24</v>
      </c>
      <c r="AC5362">
        <v>3.9134999999999902</v>
      </c>
      <c r="AD5362">
        <v>-1.158631</v>
      </c>
      <c r="AE5362">
        <v>-3.0267499999999901</v>
      </c>
      <c r="AF5362">
        <v>2.6430725609454702</v>
      </c>
      <c r="AG5362">
        <v>-1.158631</v>
      </c>
      <c r="AH5362">
        <v>3.87450342296796</v>
      </c>
      <c r="AI5362">
        <v>103.876209945272</v>
      </c>
      <c r="AJ5362">
        <v>55.699338747718599</v>
      </c>
      <c r="AK5362">
        <v>4.8311525675737297</v>
      </c>
      <c r="AL5362">
        <v>87.227144580814695</v>
      </c>
      <c r="AM5362">
        <v>77.635737713987893</v>
      </c>
      <c r="AN5362">
        <v>1.0000000490119401</v>
      </c>
    </row>
    <row r="5363" spans="1:40" x14ac:dyDescent="0.25">
      <c r="A5363" t="str">
        <f>"20190305135341499"</f>
        <v>20190305135341499</v>
      </c>
      <c r="B5363" t="str">
        <f>"1551765221485231"</f>
        <v>1551765221485231</v>
      </c>
      <c r="C5363" t="s">
        <v>40</v>
      </c>
      <c r="D5363">
        <v>4.4030129999999996</v>
      </c>
      <c r="E5363">
        <v>0.65397700000000003</v>
      </c>
      <c r="F5363" t="s">
        <v>47</v>
      </c>
      <c r="G5363">
        <v>-318.98329999999999</v>
      </c>
      <c r="H5363">
        <v>-0.05</v>
      </c>
      <c r="I5363">
        <v>13.77614</v>
      </c>
      <c r="J5363">
        <v>-322.67099999999999</v>
      </c>
      <c r="K5363">
        <v>1.1085739999999999</v>
      </c>
      <c r="L5363">
        <v>16.694610000000001</v>
      </c>
      <c r="M5363">
        <v>0.99808529999999995</v>
      </c>
      <c r="N5363">
        <v>-1.2841709999999999E-2</v>
      </c>
      <c r="O5363">
        <v>-6.0505940000000001E-2</v>
      </c>
      <c r="P5363">
        <v>0.96106029999999998</v>
      </c>
      <c r="Q5363">
        <v>3.6619159999999998E-2</v>
      </c>
      <c r="R5363">
        <v>-0.27390199999999998</v>
      </c>
      <c r="S5363">
        <v>2.5878299999999999</v>
      </c>
      <c r="T5363">
        <v>-0.78677229999999998</v>
      </c>
      <c r="U5363">
        <v>-1.987457</v>
      </c>
      <c r="V5363">
        <v>0.21537239999999999</v>
      </c>
      <c r="W5363">
        <v>4.8588989999999999E-2</v>
      </c>
      <c r="X5363">
        <v>0.97532240000000003</v>
      </c>
      <c r="Y5363">
        <v>0.54515950000000002</v>
      </c>
      <c r="Z5363">
        <v>-6.0865139999999998E-2</v>
      </c>
      <c r="AA5363">
        <v>0.83611999999999997</v>
      </c>
      <c r="AB5363">
        <v>24</v>
      </c>
      <c r="AC5363">
        <v>3.6877</v>
      </c>
      <c r="AD5363">
        <v>-1.158574</v>
      </c>
      <c r="AE5363">
        <v>-2.9184700000000001</v>
      </c>
      <c r="AF5363">
        <v>2.5360582106391498</v>
      </c>
      <c r="AG5363">
        <v>-1.158574</v>
      </c>
      <c r="AH5363">
        <v>3.63681716268264</v>
      </c>
      <c r="AI5363">
        <v>104.644425924505</v>
      </c>
      <c r="AJ5363">
        <v>55.110816714902697</v>
      </c>
      <c r="AK5363">
        <v>4.5826110500466104</v>
      </c>
      <c r="AL5363">
        <v>87.214959268603494</v>
      </c>
      <c r="AM5363">
        <v>77.5476799772796</v>
      </c>
      <c r="AN5363">
        <v>0.99999997228636905</v>
      </c>
    </row>
    <row r="5364" spans="1:40" x14ac:dyDescent="0.25">
      <c r="A5364" t="str">
        <f>"20190305135341512"</f>
        <v>20190305135341512</v>
      </c>
      <c r="B5364" t="str">
        <f>"1551765221505728"</f>
        <v>1551765221505728</v>
      </c>
      <c r="C5364" t="s">
        <v>40</v>
      </c>
      <c r="D5364">
        <v>4.3962120000000002</v>
      </c>
      <c r="E5364">
        <v>0.65471029999999997</v>
      </c>
      <c r="F5364" t="s">
        <v>47</v>
      </c>
      <c r="G5364">
        <v>-318.96039999999999</v>
      </c>
      <c r="H5364">
        <v>-0.05</v>
      </c>
      <c r="I5364">
        <v>13.811780000000001</v>
      </c>
      <c r="J5364">
        <v>-322.54169999999999</v>
      </c>
      <c r="K5364">
        <v>1.108508</v>
      </c>
      <c r="L5364">
        <v>16.68573</v>
      </c>
      <c r="M5364">
        <v>0.99802729999999995</v>
      </c>
      <c r="N5364">
        <v>-1.272497E-2</v>
      </c>
      <c r="O5364">
        <v>-6.1480170000000001E-2</v>
      </c>
      <c r="P5364">
        <v>0.96045579999999997</v>
      </c>
      <c r="Q5364">
        <v>3.6822729999999998E-2</v>
      </c>
      <c r="R5364">
        <v>-0.27598699999999998</v>
      </c>
      <c r="S5364">
        <v>2.5808409999999999</v>
      </c>
      <c r="T5364">
        <v>-0.80581139999999996</v>
      </c>
      <c r="U5364">
        <v>-2.0050659999999998</v>
      </c>
      <c r="V5364">
        <v>0.21654419999999999</v>
      </c>
      <c r="W5364">
        <v>4.8645670000000002E-2</v>
      </c>
      <c r="X5364">
        <v>0.97506009999999999</v>
      </c>
      <c r="Y5364">
        <v>0.54826409999999903</v>
      </c>
      <c r="Z5364">
        <v>-6.2359560000000001E-2</v>
      </c>
      <c r="AA5364">
        <v>0.83397699999999997</v>
      </c>
      <c r="AB5364">
        <v>24</v>
      </c>
      <c r="AC5364">
        <v>3.5812999999999899</v>
      </c>
      <c r="AD5364">
        <v>-1.1585080000000001</v>
      </c>
      <c r="AE5364">
        <v>-2.8739499999999998</v>
      </c>
      <c r="AF5364">
        <v>2.4898307518473599</v>
      </c>
      <c r="AG5364">
        <v>-1.1585080000000001</v>
      </c>
      <c r="AH5364">
        <v>3.5267419762348502</v>
      </c>
      <c r="AI5364">
        <v>105.021671758797</v>
      </c>
      <c r="AJ5364">
        <v>54.7784404724922</v>
      </c>
      <c r="AK5364">
        <v>4.4698218002338503</v>
      </c>
      <c r="AL5364">
        <v>87.211707962821393</v>
      </c>
      <c r="AM5364">
        <v>77.4787980221884</v>
      </c>
      <c r="AN5364">
        <v>0.999999995187699</v>
      </c>
    </row>
    <row r="5365" spans="1:40" x14ac:dyDescent="0.25">
      <c r="A5365" t="str">
        <f>"20190305135341524"</f>
        <v>20190305135341524</v>
      </c>
      <c r="B5365" t="str">
        <f>"1551765221515488"</f>
        <v>1551765221515488</v>
      </c>
      <c r="C5365" t="s">
        <v>40</v>
      </c>
      <c r="D5365">
        <v>4.3722159999999999</v>
      </c>
      <c r="E5365">
        <v>0.65459350000000005</v>
      </c>
      <c r="F5365" t="s">
        <v>47</v>
      </c>
      <c r="G5365">
        <v>-318.91489999999999</v>
      </c>
      <c r="H5365">
        <v>-0.05</v>
      </c>
      <c r="I5365">
        <v>13.845579999999901</v>
      </c>
      <c r="J5365">
        <v>-322.40679999999998</v>
      </c>
      <c r="K5365">
        <v>1.108436</v>
      </c>
      <c r="L5365">
        <v>16.676389999999898</v>
      </c>
      <c r="M5365">
        <v>0.99796359999999995</v>
      </c>
      <c r="N5365">
        <v>-1.2605409999999999E-2</v>
      </c>
      <c r="O5365">
        <v>-6.2529870000000001E-2</v>
      </c>
      <c r="P5365">
        <v>0.95991150000000003</v>
      </c>
      <c r="Q5365">
        <v>3.682552E-2</v>
      </c>
      <c r="R5365">
        <v>-0.27787440000000002</v>
      </c>
      <c r="S5365">
        <v>2.5754700000000001</v>
      </c>
      <c r="T5365">
        <v>-0.82270659999999896</v>
      </c>
      <c r="U5365">
        <v>-2.0169069999999998</v>
      </c>
      <c r="V5365">
        <v>0.2174421</v>
      </c>
      <c r="W5365">
        <v>4.8496600000000001E-2</v>
      </c>
      <c r="X5365">
        <v>0.9748677</v>
      </c>
      <c r="Y5365">
        <v>0.54997790000000002</v>
      </c>
      <c r="Z5365">
        <v>-6.3489770000000001E-2</v>
      </c>
      <c r="AA5365">
        <v>0.83276249999999996</v>
      </c>
      <c r="AB5365">
        <v>24</v>
      </c>
      <c r="AC5365">
        <v>3.4918999999999798</v>
      </c>
      <c r="AD5365">
        <v>-1.158436</v>
      </c>
      <c r="AE5365">
        <v>-2.83081</v>
      </c>
      <c r="AF5365">
        <v>2.4445566285178399</v>
      </c>
      <c r="AG5365">
        <v>-1.158436</v>
      </c>
      <c r="AH5365">
        <v>3.43402962158182</v>
      </c>
      <c r="AI5365">
        <v>105.36664064338601</v>
      </c>
      <c r="AJ5365">
        <v>54.554365313235401</v>
      </c>
      <c r="AK5365">
        <v>4.3715432650298602</v>
      </c>
      <c r="AL5365">
        <v>87.220259178057304</v>
      </c>
      <c r="AM5365">
        <v>77.426123802760799</v>
      </c>
      <c r="AN5365">
        <v>1.0000000097836299</v>
      </c>
    </row>
    <row r="5366" spans="1:40" x14ac:dyDescent="0.25">
      <c r="A5366" t="str">
        <f>"20190305135341535"</f>
        <v>20190305135341535</v>
      </c>
      <c r="B5366" t="str">
        <f>"1551765221525248"</f>
        <v>1551765221525248</v>
      </c>
      <c r="C5366" t="s">
        <v>40</v>
      </c>
      <c r="D5366">
        <v>4.4030969999999998</v>
      </c>
      <c r="E5366">
        <v>0.65483549999999902</v>
      </c>
      <c r="F5366" t="s">
        <v>47</v>
      </c>
      <c r="G5366">
        <v>-318.80130000000003</v>
      </c>
      <c r="H5366">
        <v>-0.05</v>
      </c>
      <c r="I5366">
        <v>13.84259</v>
      </c>
      <c r="J5366">
        <v>-322.29590000000002</v>
      </c>
      <c r="K5366">
        <v>1.1083689999999999</v>
      </c>
      <c r="L5366">
        <v>16.66846</v>
      </c>
      <c r="M5366">
        <v>0.99790579999999995</v>
      </c>
      <c r="N5366">
        <v>-1.251174E-2</v>
      </c>
      <c r="O5366">
        <v>-6.3462210000000005E-2</v>
      </c>
      <c r="P5366">
        <v>0.95940009999999998</v>
      </c>
      <c r="Q5366">
        <v>3.6590350000000001E-2</v>
      </c>
      <c r="R5366">
        <v>-0.2796652</v>
      </c>
      <c r="S5366">
        <v>2.5718380000000001</v>
      </c>
      <c r="T5366">
        <v>-0.82631109999999897</v>
      </c>
      <c r="U5366">
        <v>-2.0213619999999999</v>
      </c>
      <c r="V5366">
        <v>0.2183563</v>
      </c>
      <c r="W5366">
        <v>4.8134620000000003E-2</v>
      </c>
      <c r="X5366">
        <v>0.97468129999999997</v>
      </c>
      <c r="Y5366">
        <v>0.55053969999999997</v>
      </c>
      <c r="Z5366">
        <v>-6.3580419999999999E-2</v>
      </c>
      <c r="AA5366">
        <v>0.83238419999999902</v>
      </c>
      <c r="AB5366">
        <v>24</v>
      </c>
      <c r="AC5366">
        <v>3.4945999999999899</v>
      </c>
      <c r="AD5366">
        <v>-1.158369</v>
      </c>
      <c r="AE5366">
        <v>-2.8258700000000001</v>
      </c>
      <c r="AF5366">
        <v>2.4365131164095999</v>
      </c>
      <c r="AG5366">
        <v>-1.158369</v>
      </c>
      <c r="AH5366">
        <v>3.4384730929484801</v>
      </c>
      <c r="AI5366">
        <v>105.369388707753</v>
      </c>
      <c r="AJ5366">
        <v>54.678490757124102</v>
      </c>
      <c r="AK5366">
        <v>4.37052767037662</v>
      </c>
      <c r="AL5366">
        <v>87.241023399047094</v>
      </c>
      <c r="AM5366">
        <v>77.372613236317093</v>
      </c>
      <c r="AN5366">
        <v>1.0000000259809601</v>
      </c>
    </row>
    <row r="5367" spans="1:40" x14ac:dyDescent="0.25">
      <c r="A5367" t="str">
        <f>"20190305135341546"</f>
        <v>20190305135341546</v>
      </c>
      <c r="B5367" t="str">
        <f>"1551765221535009"</f>
        <v>1551765221535009</v>
      </c>
      <c r="C5367" t="s">
        <v>40</v>
      </c>
      <c r="D5367">
        <v>4.7322749999999996</v>
      </c>
      <c r="E5367">
        <v>0.65483549999999902</v>
      </c>
      <c r="F5367" t="s">
        <v>47</v>
      </c>
      <c r="G5367">
        <v>-318.72410000000002</v>
      </c>
      <c r="H5367">
        <v>-0.05</v>
      </c>
      <c r="I5367">
        <v>13.84689</v>
      </c>
      <c r="J5367">
        <v>-322.17360000000002</v>
      </c>
      <c r="K5367">
        <v>1.108301</v>
      </c>
      <c r="L5367">
        <v>16.659610000000001</v>
      </c>
      <c r="M5367">
        <v>0.99784030000000001</v>
      </c>
      <c r="N5367">
        <v>-1.240964E-2</v>
      </c>
      <c r="O5367">
        <v>-6.4505370000000006E-2</v>
      </c>
      <c r="P5367">
        <v>0.95893510000000004</v>
      </c>
      <c r="Q5367">
        <v>3.6691649999999999E-2</v>
      </c>
      <c r="R5367">
        <v>-0.28124290000000002</v>
      </c>
      <c r="S5367">
        <v>2.5675050000000001</v>
      </c>
      <c r="T5367">
        <v>-0.83265919999999904</v>
      </c>
      <c r="U5367">
        <v>-2.0281980000000002</v>
      </c>
      <c r="V5367">
        <v>0.21894849999999999</v>
      </c>
      <c r="W5367">
        <v>4.80989E-2</v>
      </c>
      <c r="X5367">
        <v>0.97455020000000003</v>
      </c>
      <c r="Y5367">
        <v>0.551486699999999</v>
      </c>
      <c r="Z5367">
        <v>-6.3881110000000005E-2</v>
      </c>
      <c r="AA5367">
        <v>0.83173410000000003</v>
      </c>
      <c r="AB5367">
        <v>24</v>
      </c>
      <c r="AC5367">
        <v>3.4495</v>
      </c>
      <c r="AD5367">
        <v>-1.158301</v>
      </c>
      <c r="AE5367">
        <v>-2.8127200000000001</v>
      </c>
      <c r="AF5367">
        <v>2.4204106534285401</v>
      </c>
      <c r="AG5367">
        <v>-1.158301</v>
      </c>
      <c r="AH5367">
        <v>3.3939118367009899</v>
      </c>
      <c r="AI5367">
        <v>105.528745896077</v>
      </c>
      <c r="AJ5367">
        <v>54.5049585510817</v>
      </c>
      <c r="AK5367">
        <v>4.3265097357027296</v>
      </c>
      <c r="AL5367">
        <v>87.243072364002202</v>
      </c>
      <c r="AM5367">
        <v>77.337821022890594</v>
      </c>
      <c r="AN5367">
        <v>1.0000000210767499</v>
      </c>
    </row>
    <row r="5368" spans="1:40" x14ac:dyDescent="0.25">
      <c r="A5368" t="str">
        <f>"20190305135341559"</f>
        <v>20190305135341559</v>
      </c>
      <c r="B5368" t="str">
        <f>"1551765221545744"</f>
        <v>1551765221545744</v>
      </c>
      <c r="C5368" t="s">
        <v>40</v>
      </c>
      <c r="D5368">
        <v>4.9032</v>
      </c>
      <c r="E5368">
        <v>0.58886300000000003</v>
      </c>
      <c r="F5368" t="s">
        <v>47</v>
      </c>
      <c r="G5368">
        <v>-318.60520000000002</v>
      </c>
      <c r="H5368">
        <v>-0.05</v>
      </c>
      <c r="I5368">
        <v>13.830959999999999</v>
      </c>
      <c r="J5368">
        <v>-322.0403</v>
      </c>
      <c r="K5368">
        <v>1.108214</v>
      </c>
      <c r="L5368">
        <v>16.64969</v>
      </c>
      <c r="M5368">
        <v>0.99776169999999997</v>
      </c>
      <c r="N5368">
        <v>-1.2306370000000001E-2</v>
      </c>
      <c r="O5368">
        <v>-6.5728430000000004E-2</v>
      </c>
      <c r="P5368">
        <v>0.95846609999999999</v>
      </c>
      <c r="Q5368">
        <v>3.6656840000000003E-2</v>
      </c>
      <c r="R5368">
        <v>-0.28284160000000003</v>
      </c>
      <c r="S5368">
        <v>2.5641479999999999</v>
      </c>
      <c r="T5368">
        <v>-0.83231309999999903</v>
      </c>
      <c r="U5368">
        <v>-2.032562</v>
      </c>
      <c r="V5368">
        <v>0.2193881</v>
      </c>
      <c r="W5368">
        <v>4.7919339999999998E-2</v>
      </c>
      <c r="X5368">
        <v>0.9744602</v>
      </c>
      <c r="Y5368">
        <v>0.55191140000000005</v>
      </c>
      <c r="Z5368">
        <v>-6.3591079999999994E-2</v>
      </c>
      <c r="AA5368">
        <v>0.83147459999999995</v>
      </c>
      <c r="AB5368">
        <v>24</v>
      </c>
      <c r="AC5368">
        <v>3.4350999999999701</v>
      </c>
      <c r="AD5368">
        <v>-1.1582139999999901</v>
      </c>
      <c r="AE5368">
        <v>-2.8187299999999902</v>
      </c>
      <c r="AF5368">
        <v>2.4222672291662302</v>
      </c>
      <c r="AG5368">
        <v>-1.1582139999999901</v>
      </c>
      <c r="AH5368">
        <v>3.3831112160376899</v>
      </c>
      <c r="AI5368">
        <v>105.555010012024</v>
      </c>
      <c r="AJ5368">
        <v>54.397788815998503</v>
      </c>
      <c r="AK5368">
        <v>4.31906004813185</v>
      </c>
      <c r="AL5368">
        <v>87.253372326889405</v>
      </c>
      <c r="AM5368">
        <v>77.312086459369397</v>
      </c>
      <c r="AN5368">
        <v>1.0000000414758401</v>
      </c>
    </row>
    <row r="5369" spans="1:40" x14ac:dyDescent="0.25">
      <c r="A5369" t="str">
        <f>"20190305135341571"</f>
        <v>20190305135341571</v>
      </c>
      <c r="B5369" t="str">
        <f>"1551765221565264"</f>
        <v>1551765221565264</v>
      </c>
      <c r="C5369" t="s">
        <v>40</v>
      </c>
      <c r="D5369">
        <v>4.4253269999999896</v>
      </c>
      <c r="E5369">
        <v>0.4891143</v>
      </c>
      <c r="F5369" t="s">
        <v>47</v>
      </c>
      <c r="G5369">
        <v>-318.39589999999998</v>
      </c>
      <c r="H5369">
        <v>-0.05</v>
      </c>
      <c r="I5369">
        <v>14.5895799999999</v>
      </c>
      <c r="J5369">
        <v>-321.91950000000003</v>
      </c>
      <c r="K5369">
        <v>1.1081379999999901</v>
      </c>
      <c r="L5369">
        <v>16.640560000000001</v>
      </c>
      <c r="M5369">
        <v>0.99768659999999998</v>
      </c>
      <c r="N5369">
        <v>-1.2217199999999999E-2</v>
      </c>
      <c r="O5369">
        <v>-6.6875899999999905E-2</v>
      </c>
      <c r="P5369">
        <v>0.95802350000000003</v>
      </c>
      <c r="Q5369">
        <v>3.6699280000000001E-2</v>
      </c>
      <c r="R5369">
        <v>-0.28433079999999999</v>
      </c>
      <c r="S5369">
        <v>2.7107540000000001</v>
      </c>
      <c r="T5369">
        <v>-0.86151080000000002</v>
      </c>
      <c r="U5369">
        <v>-1.532349</v>
      </c>
      <c r="V5369">
        <v>0.2197904</v>
      </c>
      <c r="W5369">
        <v>4.7834080000000001E-2</v>
      </c>
      <c r="X5369">
        <v>0.97437370000000001</v>
      </c>
      <c r="Y5369">
        <v>0.41872189999999998</v>
      </c>
      <c r="Z5369">
        <v>-4.4948149999999999E-2</v>
      </c>
      <c r="AA5369">
        <v>0.90700139999999996</v>
      </c>
      <c r="AB5369">
        <v>24</v>
      </c>
      <c r="AC5369">
        <v>3.52360000000004</v>
      </c>
      <c r="AD5369">
        <v>-1.1581379999999999</v>
      </c>
      <c r="AE5369">
        <v>-2.05098</v>
      </c>
      <c r="AF5369">
        <v>1.6755249498135401</v>
      </c>
      <c r="AG5369">
        <v>-1.1581379999999999</v>
      </c>
      <c r="AH5369">
        <v>3.3801324673617499</v>
      </c>
      <c r="AI5369">
        <v>107.065694267111</v>
      </c>
      <c r="AJ5369">
        <v>63.632476477103801</v>
      </c>
      <c r="AK5369">
        <v>3.9463860659348402</v>
      </c>
      <c r="AL5369">
        <v>87.258262895590704</v>
      </c>
      <c r="AM5369">
        <v>77.288483654677194</v>
      </c>
      <c r="AN5369">
        <v>1.00000001319664</v>
      </c>
    </row>
    <row r="5370" spans="1:40" x14ac:dyDescent="0.25">
      <c r="A5370" t="str">
        <f>"20190305135341590"</f>
        <v>20190305135341590</v>
      </c>
      <c r="B5370" t="str">
        <f>"1551765221585759"</f>
        <v>1551765221585759</v>
      </c>
      <c r="C5370" t="s">
        <v>40</v>
      </c>
      <c r="D5370">
        <v>4.4757939999999996</v>
      </c>
      <c r="E5370">
        <v>0.47781509999999999</v>
      </c>
      <c r="F5370" t="s">
        <v>41</v>
      </c>
      <c r="G5370">
        <v>-321.11380000000003</v>
      </c>
      <c r="H5370">
        <v>0.89129890000000001</v>
      </c>
      <c r="I5370">
        <v>16.427769999999999</v>
      </c>
      <c r="J5370">
        <v>-321.71499999999997</v>
      </c>
      <c r="K5370">
        <v>1.108006</v>
      </c>
      <c r="L5370">
        <v>16.62463</v>
      </c>
      <c r="M5370">
        <v>0.9975482</v>
      </c>
      <c r="N5370">
        <v>-1.2077350000000001E-2</v>
      </c>
      <c r="O5370">
        <v>-6.8933389999999997E-2</v>
      </c>
      <c r="P5370">
        <v>0.9573545</v>
      </c>
      <c r="Q5370">
        <v>3.6898210000000001E-2</v>
      </c>
      <c r="R5370">
        <v>-0.28654980000000002</v>
      </c>
      <c r="S5370">
        <v>2.9320680000000001</v>
      </c>
      <c r="T5370">
        <v>-0.78878619999999899</v>
      </c>
      <c r="U5370">
        <v>-0.7734375</v>
      </c>
      <c r="V5370">
        <v>0.22005369999999999</v>
      </c>
      <c r="W5370">
        <v>4.7829789999999997E-2</v>
      </c>
      <c r="X5370">
        <v>0.97431449999999997</v>
      </c>
      <c r="Y5370">
        <v>0.18349889999999999</v>
      </c>
      <c r="Z5370">
        <v>-7.9381419999999901E-3</v>
      </c>
      <c r="AA5370">
        <v>0.98298790000000003</v>
      </c>
      <c r="AB5370">
        <v>24</v>
      </c>
      <c r="AC5370">
        <v>0.601199999999948</v>
      </c>
      <c r="AD5370">
        <v>-0.21670710000000001</v>
      </c>
      <c r="AE5370">
        <v>-0.19685999999999701</v>
      </c>
      <c r="AF5370">
        <v>0.13867293894732199</v>
      </c>
      <c r="AG5370">
        <v>-0.21670710000000001</v>
      </c>
      <c r="AH5370">
        <v>0.54892577677409704</v>
      </c>
      <c r="AI5370">
        <v>110.94479907371699</v>
      </c>
      <c r="AJ5370">
        <v>75.822234521927001</v>
      </c>
      <c r="AK5370">
        <v>0.60622739924366997</v>
      </c>
      <c r="AL5370">
        <v>87.258509028565001</v>
      </c>
      <c r="AM5370">
        <v>77.273003347675299</v>
      </c>
      <c r="AN5370">
        <v>1.0000000323026901</v>
      </c>
    </row>
    <row r="5371" spans="1:40" x14ac:dyDescent="0.25">
      <c r="A5371" t="str">
        <f>"20190305135341608"</f>
        <v>20190305135341608</v>
      </c>
      <c r="B5371" t="str">
        <f>"1551765221595520"</f>
        <v>1551765221595520</v>
      </c>
      <c r="C5371" t="s">
        <v>40</v>
      </c>
      <c r="D5371">
        <v>4.4459059999999999</v>
      </c>
      <c r="E5371">
        <v>0.47524270000000002</v>
      </c>
      <c r="F5371" t="s">
        <v>41</v>
      </c>
      <c r="G5371">
        <v>-320.90179999999998</v>
      </c>
      <c r="H5371">
        <v>0.88834439999999903</v>
      </c>
      <c r="I5371">
        <v>16.433969999999999</v>
      </c>
      <c r="J5371">
        <v>-321.52420000000001</v>
      </c>
      <c r="K5371">
        <v>1.1078870000000001</v>
      </c>
      <c r="L5371">
        <v>16.609249999999999</v>
      </c>
      <c r="M5371">
        <v>0.99740609999999996</v>
      </c>
      <c r="N5371">
        <v>-1.1956E-2</v>
      </c>
      <c r="O5371">
        <v>-7.097974E-2</v>
      </c>
      <c r="P5371">
        <v>0.95679440000000004</v>
      </c>
      <c r="Q5371">
        <v>3.6931690000000003E-2</v>
      </c>
      <c r="R5371">
        <v>-0.28841040000000001</v>
      </c>
      <c r="S5371">
        <v>2.9569399999999999</v>
      </c>
      <c r="T5371">
        <v>-0.79871059999999905</v>
      </c>
      <c r="U5371">
        <v>-0.69332890000000003</v>
      </c>
      <c r="V5371">
        <v>0.21996160000000001</v>
      </c>
      <c r="W5371">
        <v>4.7686439999999997E-2</v>
      </c>
      <c r="X5371">
        <v>0.97434229999999999</v>
      </c>
      <c r="Y5371">
        <v>0.15527959999999999</v>
      </c>
      <c r="Z5371">
        <v>-3.5771570000000001E-3</v>
      </c>
      <c r="AA5371">
        <v>0.98786410000000002</v>
      </c>
      <c r="AB5371">
        <v>24</v>
      </c>
      <c r="AC5371">
        <v>0.62240000000002704</v>
      </c>
      <c r="AD5371">
        <v>-0.2195426</v>
      </c>
      <c r="AE5371">
        <v>-0.17527999999999699</v>
      </c>
      <c r="AF5371">
        <v>0.117151691322832</v>
      </c>
      <c r="AG5371">
        <v>-0.2195426</v>
      </c>
      <c r="AH5371">
        <v>0.56781470481148</v>
      </c>
      <c r="AI5371">
        <v>110.74013249659799</v>
      </c>
      <c r="AJ5371">
        <v>78.342296789215496</v>
      </c>
      <c r="AK5371">
        <v>0.61994920033395395</v>
      </c>
      <c r="AL5371">
        <v>87.266731699463406</v>
      </c>
      <c r="AM5371">
        <v>77.278507809202594</v>
      </c>
      <c r="AN5371">
        <v>1.00000000980186</v>
      </c>
    </row>
    <row r="5372" spans="1:40" x14ac:dyDescent="0.25">
      <c r="A5372" t="str">
        <f>"20190305135341623"</f>
        <v>20190305135341623</v>
      </c>
      <c r="B5372" t="str">
        <f>"1551765221615039"</f>
        <v>1551765221615039</v>
      </c>
      <c r="C5372" t="s">
        <v>40</v>
      </c>
      <c r="D5372">
        <v>4.3708140000000002</v>
      </c>
      <c r="E5372">
        <v>0.47311520000000001</v>
      </c>
      <c r="F5372" t="s">
        <v>41</v>
      </c>
      <c r="G5372">
        <v>-320.69099999999997</v>
      </c>
      <c r="H5372">
        <v>0.88264739999999997</v>
      </c>
      <c r="I5372">
        <v>16.417809999999999</v>
      </c>
      <c r="J5372">
        <v>-321.3503</v>
      </c>
      <c r="K5372">
        <v>1.1077889999999999</v>
      </c>
      <c r="L5372">
        <v>16.594819999999999</v>
      </c>
      <c r="M5372">
        <v>0.99726519999999996</v>
      </c>
      <c r="N5372">
        <v>-1.1852430000000001E-2</v>
      </c>
      <c r="O5372">
        <v>-7.2951409999999994E-2</v>
      </c>
      <c r="P5372">
        <v>0.95636529999999997</v>
      </c>
      <c r="Q5372">
        <v>3.653998E-2</v>
      </c>
      <c r="R5372">
        <v>-0.28987970000000002</v>
      </c>
      <c r="S5372">
        <v>2.9615480000000001</v>
      </c>
      <c r="T5372">
        <v>-0.80028679999999996</v>
      </c>
      <c r="U5372">
        <v>-0.67950440000000001</v>
      </c>
      <c r="V5372">
        <v>0.2195395</v>
      </c>
      <c r="W5372">
        <v>4.7146790000000001E-2</v>
      </c>
      <c r="X5372">
        <v>0.97446379999999999</v>
      </c>
      <c r="Y5372">
        <v>0.14889169999999999</v>
      </c>
      <c r="Z5372">
        <v>-2.1948330000000002E-3</v>
      </c>
      <c r="AA5372">
        <v>0.98885109999999998</v>
      </c>
      <c r="AB5372">
        <v>24</v>
      </c>
      <c r="AC5372">
        <v>0.65930000000002997</v>
      </c>
      <c r="AD5372">
        <v>-0.225141599999999</v>
      </c>
      <c r="AE5372">
        <v>-0.177010000000002</v>
      </c>
      <c r="AF5372">
        <v>0.115838108849782</v>
      </c>
      <c r="AG5372">
        <v>-0.225141599999999</v>
      </c>
      <c r="AH5372">
        <v>0.60468434701650198</v>
      </c>
      <c r="AI5372">
        <v>110.08643956723</v>
      </c>
      <c r="AJ5372">
        <v>79.155354015610797</v>
      </c>
      <c r="AK5372">
        <v>0.65555348144848402</v>
      </c>
      <c r="AL5372">
        <v>87.297686305955096</v>
      </c>
      <c r="AM5372">
        <v>77.303659637480095</v>
      </c>
      <c r="AN5372">
        <v>1.00000005468899</v>
      </c>
    </row>
    <row r="5373" spans="1:40" x14ac:dyDescent="0.25">
      <c r="A5373" t="str">
        <f>"20190305135341635"</f>
        <v>20190305135341635</v>
      </c>
      <c r="B5373" t="str">
        <f>"1551765221625777"</f>
        <v>1551765221625777</v>
      </c>
      <c r="C5373" t="s">
        <v>40</v>
      </c>
      <c r="D5373">
        <v>4.3745159999999998</v>
      </c>
      <c r="E5373">
        <v>0.47269339999999999</v>
      </c>
      <c r="F5373" t="s">
        <v>41</v>
      </c>
      <c r="G5373">
        <v>-320.67200000000003</v>
      </c>
      <c r="H5373">
        <v>0.92486179999999996</v>
      </c>
      <c r="I5373">
        <v>16.44182</v>
      </c>
      <c r="J5373">
        <v>-321.2269</v>
      </c>
      <c r="K5373">
        <v>1.107707</v>
      </c>
      <c r="L5373">
        <v>16.584289999999999</v>
      </c>
      <c r="M5373">
        <v>0.99713090000000004</v>
      </c>
      <c r="N5373">
        <v>-1.1617209999999999E-2</v>
      </c>
      <c r="O5373">
        <v>-7.4799470000000007E-2</v>
      </c>
      <c r="P5373">
        <v>0.95590750000000002</v>
      </c>
      <c r="Q5373">
        <v>3.6529480000000003E-2</v>
      </c>
      <c r="R5373">
        <v>-0.29138700000000001</v>
      </c>
      <c r="S5373">
        <v>2.9650569999999998</v>
      </c>
      <c r="T5373">
        <v>-0.79926540000000001</v>
      </c>
      <c r="U5373">
        <v>-0.66763309999999998</v>
      </c>
      <c r="V5373">
        <v>0.2192723</v>
      </c>
      <c r="W5373">
        <v>4.6892440000000001E-2</v>
      </c>
      <c r="X5373">
        <v>0.97453619999999996</v>
      </c>
      <c r="Y5373">
        <v>0.14331150000000001</v>
      </c>
      <c r="Z5373">
        <v>-9.3509439999999995E-4</v>
      </c>
      <c r="AA5373">
        <v>0.98967720000000003</v>
      </c>
      <c r="AB5373">
        <v>24</v>
      </c>
      <c r="AC5373">
        <v>0.55489999999997497</v>
      </c>
      <c r="AD5373">
        <v>-0.18284520000000001</v>
      </c>
      <c r="AE5373">
        <v>-0.14246999999999899</v>
      </c>
      <c r="AF5373">
        <v>9.1265316014985096E-2</v>
      </c>
      <c r="AG5373">
        <v>-0.18284520000000001</v>
      </c>
      <c r="AH5373">
        <v>0.51186318048355395</v>
      </c>
      <c r="AI5373">
        <v>109.375181306852</v>
      </c>
      <c r="AJ5373">
        <v>79.890388144410394</v>
      </c>
      <c r="AK5373">
        <v>0.55114938138865299</v>
      </c>
      <c r="AL5373">
        <v>87.312275539892497</v>
      </c>
      <c r="AM5373">
        <v>77.3195238945802</v>
      </c>
      <c r="AN5373">
        <v>1.0000000237934401</v>
      </c>
    </row>
    <row r="5374" spans="1:40" x14ac:dyDescent="0.25">
      <c r="A5374" t="str">
        <f>"20190305135341648"</f>
        <v>20190305135341648</v>
      </c>
      <c r="B5374" t="str">
        <f>"1551765221635537"</f>
        <v>1551765221635537</v>
      </c>
      <c r="C5374" t="s">
        <v>40</v>
      </c>
      <c r="D5374">
        <v>4.3307310000000001</v>
      </c>
      <c r="E5374">
        <v>0.47239989999999998</v>
      </c>
      <c r="F5374" t="s">
        <v>41</v>
      </c>
      <c r="G5374">
        <v>-320.46749999999997</v>
      </c>
      <c r="H5374">
        <v>0.90340540000000003</v>
      </c>
      <c r="I5374">
        <v>16.412859999999998</v>
      </c>
      <c r="J5374">
        <v>-321.10000000000002</v>
      </c>
      <c r="K5374">
        <v>1.107594</v>
      </c>
      <c r="L5374">
        <v>16.57339</v>
      </c>
      <c r="M5374">
        <v>0.99698620000000004</v>
      </c>
      <c r="N5374">
        <v>-1.13369E-2</v>
      </c>
      <c r="O5374">
        <v>-7.6748239999999995E-2</v>
      </c>
      <c r="P5374">
        <v>0.95542289999999996</v>
      </c>
      <c r="Q5374">
        <v>3.6370039999999999E-2</v>
      </c>
      <c r="R5374">
        <v>-0.29299259999999999</v>
      </c>
      <c r="S5374">
        <v>2.9648439999999998</v>
      </c>
      <c r="T5374">
        <v>-0.79758830000000003</v>
      </c>
      <c r="U5374">
        <v>-0.66931149999999995</v>
      </c>
      <c r="V5374">
        <v>0.2190069</v>
      </c>
      <c r="W5374">
        <v>4.6440420000000003E-2</v>
      </c>
      <c r="X5374">
        <v>0.97461750000000003</v>
      </c>
      <c r="Y5374">
        <v>0.14205219999999999</v>
      </c>
      <c r="Z5374">
        <v>-2.3960879999999999E-4</v>
      </c>
      <c r="AA5374">
        <v>0.98985919999999905</v>
      </c>
      <c r="AB5374">
        <v>24</v>
      </c>
      <c r="AC5374">
        <v>0.63250000000005002</v>
      </c>
      <c r="AD5374">
        <v>-0.204188599999999</v>
      </c>
      <c r="AE5374">
        <v>-0.16052999999999701</v>
      </c>
      <c r="AF5374">
        <v>0.101565701477434</v>
      </c>
      <c r="AG5374">
        <v>-0.204188599999999</v>
      </c>
      <c r="AH5374">
        <v>0.58561713684957395</v>
      </c>
      <c r="AI5374">
        <v>108.959852849464</v>
      </c>
      <c r="AJ5374">
        <v>80.160857584787607</v>
      </c>
      <c r="AK5374">
        <v>0.62845525461917795</v>
      </c>
      <c r="AL5374">
        <v>87.338202569398106</v>
      </c>
      <c r="AM5374">
        <v>77.335398959466204</v>
      </c>
      <c r="AN5374">
        <v>1.0000000030818099</v>
      </c>
    </row>
    <row r="5375" spans="1:40" x14ac:dyDescent="0.25">
      <c r="A5375" t="str">
        <f>"20190305135341660"</f>
        <v>20190305135341660</v>
      </c>
      <c r="B5375" t="str">
        <f>"1551765221645296"</f>
        <v>1551765221645296</v>
      </c>
      <c r="C5375" t="s">
        <v>40</v>
      </c>
      <c r="D5375">
        <v>4.3372719999999996</v>
      </c>
      <c r="E5375">
        <v>0.47217629999999999</v>
      </c>
      <c r="F5375" t="s">
        <v>41</v>
      </c>
      <c r="G5375">
        <v>-320.26049999999998</v>
      </c>
      <c r="H5375">
        <v>0.88161469999999897</v>
      </c>
      <c r="I5375">
        <v>16.38279</v>
      </c>
      <c r="J5375">
        <v>-320.95490000000001</v>
      </c>
      <c r="K5375">
        <v>1.1073360000000001</v>
      </c>
      <c r="L5375">
        <v>16.560549999999999</v>
      </c>
      <c r="M5375">
        <v>0.9968224</v>
      </c>
      <c r="N5375">
        <v>-1.0919989999999999E-2</v>
      </c>
      <c r="O5375">
        <v>-7.8904870000000002E-2</v>
      </c>
      <c r="P5375">
        <v>0.95487250000000001</v>
      </c>
      <c r="Q5375">
        <v>3.689042E-2</v>
      </c>
      <c r="R5375">
        <v>-0.2947167</v>
      </c>
      <c r="S5375">
        <v>2.964264</v>
      </c>
      <c r="T5375">
        <v>-0.79757309999999904</v>
      </c>
      <c r="U5375">
        <v>-0.67193599999999998</v>
      </c>
      <c r="V5375">
        <v>0.21867429999999999</v>
      </c>
      <c r="W5375">
        <v>4.6489950000000002E-2</v>
      </c>
      <c r="X5375">
        <v>0.97468980000000005</v>
      </c>
      <c r="Y5375">
        <v>0.1409098</v>
      </c>
      <c r="Z5375">
        <v>5.1429869999999997E-4</v>
      </c>
      <c r="AA5375">
        <v>0.99002230000000002</v>
      </c>
      <c r="AB5375">
        <v>24</v>
      </c>
      <c r="AC5375">
        <v>0.69440000000002999</v>
      </c>
      <c r="AD5375">
        <v>-0.22572130000000001</v>
      </c>
      <c r="AE5375">
        <v>-0.177759999999999</v>
      </c>
      <c r="AF5375">
        <v>0.111367149515119</v>
      </c>
      <c r="AG5375">
        <v>-0.22572130000000001</v>
      </c>
      <c r="AH5375">
        <v>0.64254367563636805</v>
      </c>
      <c r="AI5375">
        <v>109.092413454496</v>
      </c>
      <c r="AJ5375">
        <v>80.167049605239797</v>
      </c>
      <c r="AK5375">
        <v>0.69008341696138997</v>
      </c>
      <c r="AL5375">
        <v>87.335361594313298</v>
      </c>
      <c r="AM5375">
        <v>77.354921214373107</v>
      </c>
      <c r="AN5375">
        <v>0.99999998557776604</v>
      </c>
    </row>
    <row r="5376" spans="1:40" x14ac:dyDescent="0.25">
      <c r="A5376" t="str">
        <f>"20190305135341673"</f>
        <v>20190305135341673</v>
      </c>
      <c r="B5376" t="str">
        <f>"1551765221665793"</f>
        <v>1551765221665793</v>
      </c>
      <c r="C5376" t="s">
        <v>40</v>
      </c>
      <c r="D5376">
        <v>4.3379379999999896</v>
      </c>
      <c r="E5376">
        <v>0.47177150000000001</v>
      </c>
      <c r="F5376" t="s">
        <v>41</v>
      </c>
      <c r="G5376">
        <v>-320.245</v>
      </c>
      <c r="H5376">
        <v>0.91657900000000003</v>
      </c>
      <c r="I5376">
        <v>16.398389999999999</v>
      </c>
      <c r="J5376">
        <v>-320.81549999999999</v>
      </c>
      <c r="K5376">
        <v>1.1070249999999999</v>
      </c>
      <c r="L5376">
        <v>16.547910000000002</v>
      </c>
      <c r="M5376">
        <v>0.99667349999999999</v>
      </c>
      <c r="N5376">
        <v>-1.0675469999999999E-2</v>
      </c>
      <c r="O5376">
        <v>-8.079683E-2</v>
      </c>
      <c r="P5376">
        <v>0.95432399999999995</v>
      </c>
      <c r="Q5376">
        <v>3.6912929999999997E-2</v>
      </c>
      <c r="R5376">
        <v>-0.29648439999999998</v>
      </c>
      <c r="S5376">
        <v>2.9639280000000001</v>
      </c>
      <c r="T5376">
        <v>-0.79605400000000004</v>
      </c>
      <c r="U5376">
        <v>-0.67575069999999904</v>
      </c>
      <c r="V5376">
        <v>0.21864819999999999</v>
      </c>
      <c r="W5376">
        <v>4.6182239999999999E-2</v>
      </c>
      <c r="X5376">
        <v>0.97471030000000003</v>
      </c>
      <c r="Y5376">
        <v>0.14036309999999999</v>
      </c>
      <c r="Z5376">
        <v>1.0910329999999999E-3</v>
      </c>
      <c r="AA5376">
        <v>0.99009950000000002</v>
      </c>
      <c r="AB5376">
        <v>24</v>
      </c>
      <c r="AC5376">
        <v>0.57049999999998102</v>
      </c>
      <c r="AD5376">
        <v>-0.190445999999999</v>
      </c>
      <c r="AE5376">
        <v>-0.14952000000000201</v>
      </c>
      <c r="AF5376">
        <v>9.3213980373715893E-2</v>
      </c>
      <c r="AG5376">
        <v>-0.190445999999999</v>
      </c>
      <c r="AH5376">
        <v>0.52587979399477203</v>
      </c>
      <c r="AI5376">
        <v>109.625671666844</v>
      </c>
      <c r="AJ5376">
        <v>79.948528924637301</v>
      </c>
      <c r="AK5376">
        <v>0.56701682760311001</v>
      </c>
      <c r="AL5376">
        <v>87.353011079051399</v>
      </c>
      <c r="AM5376">
        <v>77.356639320584506</v>
      </c>
      <c r="AN5376">
        <v>1.0000000017903701</v>
      </c>
    </row>
    <row r="5377" spans="1:40" x14ac:dyDescent="0.25">
      <c r="A5377" t="str">
        <f>"20190305135341686"</f>
        <v>20190305135341686</v>
      </c>
      <c r="B5377" t="str">
        <f>"1551765221675552"</f>
        <v>1551765221675552</v>
      </c>
      <c r="C5377" t="s">
        <v>40</v>
      </c>
      <c r="D5377">
        <v>4.3631120000000001</v>
      </c>
      <c r="E5377">
        <v>0.47166259999999999</v>
      </c>
      <c r="F5377" t="s">
        <v>41</v>
      </c>
      <c r="G5377">
        <v>-320.03680000000003</v>
      </c>
      <c r="H5377">
        <v>0.89828249999999998</v>
      </c>
      <c r="I5377">
        <v>16.36984</v>
      </c>
      <c r="J5377">
        <v>-320.6789</v>
      </c>
      <c r="K5377">
        <v>1.1066860000000001</v>
      </c>
      <c r="L5377">
        <v>16.535309999999999</v>
      </c>
      <c r="M5377">
        <v>0.99653210000000003</v>
      </c>
      <c r="N5377">
        <v>-1.0542299999999999E-2</v>
      </c>
      <c r="O5377">
        <v>-8.2540130000000003E-2</v>
      </c>
      <c r="P5377">
        <v>0.95387239999999995</v>
      </c>
      <c r="Q5377">
        <v>3.6857040000000001E-2</v>
      </c>
      <c r="R5377">
        <v>-0.29794179999999998</v>
      </c>
      <c r="S5377">
        <v>2.9635929999999999</v>
      </c>
      <c r="T5377">
        <v>-0.79468609999999995</v>
      </c>
      <c r="U5377">
        <v>-0.67828369999999905</v>
      </c>
      <c r="V5377">
        <v>0.21845290000000001</v>
      </c>
      <c r="W5377">
        <v>4.5891670000000002E-2</v>
      </c>
      <c r="X5377">
        <v>0.97476779999999996</v>
      </c>
      <c r="Y5377">
        <v>0.13955499999999901</v>
      </c>
      <c r="Z5377">
        <v>1.6486889999999901E-3</v>
      </c>
      <c r="AA5377">
        <v>0.99021300000000001</v>
      </c>
      <c r="AB5377">
        <v>24</v>
      </c>
      <c r="AC5377">
        <v>0.64209999999997003</v>
      </c>
      <c r="AD5377">
        <v>-0.20840349999999999</v>
      </c>
      <c r="AE5377">
        <v>-0.16546999999999901</v>
      </c>
      <c r="AF5377">
        <v>0.10184303391372899</v>
      </c>
      <c r="AG5377">
        <v>-0.20840349999999999</v>
      </c>
      <c r="AH5377">
        <v>0.59481048732237496</v>
      </c>
      <c r="AI5377">
        <v>109.052050056531</v>
      </c>
      <c r="AJ5377">
        <v>80.284070040822897</v>
      </c>
      <c r="AK5377">
        <v>0.63843835896481405</v>
      </c>
      <c r="AL5377">
        <v>87.369677151583602</v>
      </c>
      <c r="AM5377">
        <v>77.368291231575895</v>
      </c>
      <c r="AN5377">
        <v>0.99999998940531898</v>
      </c>
    </row>
    <row r="5378" spans="1:40" x14ac:dyDescent="0.25">
      <c r="A5378" t="str">
        <f>"20190305135341701"</f>
        <v>20190305135341701</v>
      </c>
      <c r="B5378" t="str">
        <f>"1551765221695072"</f>
        <v>1551765221695072</v>
      </c>
      <c r="C5378" t="s">
        <v>40</v>
      </c>
      <c r="D5378">
        <v>4.3292400000000004</v>
      </c>
      <c r="E5378">
        <v>0.4714759</v>
      </c>
      <c r="F5378" t="s">
        <v>41</v>
      </c>
      <c r="G5378">
        <v>-319.82889999999998</v>
      </c>
      <c r="H5378">
        <v>0.87876180000000004</v>
      </c>
      <c r="I5378">
        <v>16.33934</v>
      </c>
      <c r="J5378">
        <v>-320.50510000000003</v>
      </c>
      <c r="K5378">
        <v>1.1061939999999999</v>
      </c>
      <c r="L5378">
        <v>16.51868</v>
      </c>
      <c r="M5378">
        <v>0.99635790000000002</v>
      </c>
      <c r="N5378">
        <v>-1.07443E-2</v>
      </c>
      <c r="O5378">
        <v>-8.4591890000000003E-2</v>
      </c>
      <c r="P5378">
        <v>0.95335309999999995</v>
      </c>
      <c r="Q5378">
        <v>3.6624509999999999E-2</v>
      </c>
      <c r="R5378">
        <v>-0.29962830000000001</v>
      </c>
      <c r="S5378">
        <v>2.9626459999999999</v>
      </c>
      <c r="T5378">
        <v>-0.79410150000000002</v>
      </c>
      <c r="U5378">
        <v>-0.68215939999999997</v>
      </c>
      <c r="V5378">
        <v>0.2181969</v>
      </c>
      <c r="W5378">
        <v>4.5723529999999998E-2</v>
      </c>
      <c r="X5378">
        <v>0.97483310000000001</v>
      </c>
      <c r="Y5378">
        <v>0.13889660000000001</v>
      </c>
      <c r="Z5378">
        <v>2.213422E-3</v>
      </c>
      <c r="AA5378">
        <v>0.99030439999999997</v>
      </c>
      <c r="AB5378">
        <v>24</v>
      </c>
      <c r="AC5378">
        <v>0.67620000000005098</v>
      </c>
      <c r="AD5378">
        <v>-0.2274322</v>
      </c>
      <c r="AE5378">
        <v>-0.179339999999999</v>
      </c>
      <c r="AF5378">
        <v>0.109879661831013</v>
      </c>
      <c r="AG5378">
        <v>-0.2274322</v>
      </c>
      <c r="AH5378">
        <v>0.62309319958551701</v>
      </c>
      <c r="AI5378">
        <v>109.77141685780001</v>
      </c>
      <c r="AJ5378">
        <v>79.998972704705395</v>
      </c>
      <c r="AK5378">
        <v>0.67234223506385105</v>
      </c>
      <c r="AL5378">
        <v>87.379321147893904</v>
      </c>
      <c r="AM5378">
        <v>77.383437957725604</v>
      </c>
      <c r="AN5378">
        <v>1.0000000506104301</v>
      </c>
    </row>
    <row r="5379" spans="1:40" x14ac:dyDescent="0.25">
      <c r="A5379" t="str">
        <f>"20190305135341715"</f>
        <v>20190305135341715</v>
      </c>
      <c r="B5379" t="str">
        <f>"1551765221705808"</f>
        <v>1551765221705808</v>
      </c>
      <c r="C5379" t="s">
        <v>40</v>
      </c>
      <c r="D5379">
        <v>4.3450340000000001</v>
      </c>
      <c r="E5379">
        <v>0.47140159999999998</v>
      </c>
      <c r="F5379" t="s">
        <v>41</v>
      </c>
      <c r="G5379">
        <v>-319.81049999999999</v>
      </c>
      <c r="H5379">
        <v>0.91988119999999995</v>
      </c>
      <c r="I5379">
        <v>16.35745</v>
      </c>
      <c r="J5379">
        <v>-320.36349999999999</v>
      </c>
      <c r="K5379">
        <v>1.105726</v>
      </c>
      <c r="L5379">
        <v>16.504760000000001</v>
      </c>
      <c r="M5379">
        <v>0.99620569999999997</v>
      </c>
      <c r="N5379">
        <v>-1.1052589999999999E-2</v>
      </c>
      <c r="O5379">
        <v>-8.6324280000000003E-2</v>
      </c>
      <c r="P5379">
        <v>0.95287040000000001</v>
      </c>
      <c r="Q5379">
        <v>3.620189E-2</v>
      </c>
      <c r="R5379">
        <v>-0.30120980000000003</v>
      </c>
      <c r="S5379">
        <v>2.9615779999999998</v>
      </c>
      <c r="T5379">
        <v>-0.79394189999999998</v>
      </c>
      <c r="U5379">
        <v>-0.68624879999999999</v>
      </c>
      <c r="V5379">
        <v>0.2181371</v>
      </c>
      <c r="W5379">
        <v>4.5505839999999999E-2</v>
      </c>
      <c r="X5379">
        <v>0.97485659999999996</v>
      </c>
      <c r="Y5379">
        <v>0.13860259999999999</v>
      </c>
      <c r="Z5379">
        <v>2.6340690000000002E-3</v>
      </c>
      <c r="AA5379">
        <v>0.99034460000000002</v>
      </c>
      <c r="AB5379">
        <v>24</v>
      </c>
      <c r="AC5379">
        <v>0.55299999999999705</v>
      </c>
      <c r="AD5379">
        <v>-0.1858448</v>
      </c>
      <c r="AE5379">
        <v>-0.14731</v>
      </c>
      <c r="AF5379">
        <v>8.9573588691573197E-2</v>
      </c>
      <c r="AG5379">
        <v>-0.1858448</v>
      </c>
      <c r="AH5379">
        <v>0.50988181874637695</v>
      </c>
      <c r="AI5379">
        <v>109.747559926091</v>
      </c>
      <c r="AJ5379">
        <v>80.036222443822496</v>
      </c>
      <c r="AK5379">
        <v>0.55003744105855301</v>
      </c>
      <c r="AL5379">
        <v>87.391806685904896</v>
      </c>
      <c r="AM5379">
        <v>77.387079384334399</v>
      </c>
      <c r="AN5379">
        <v>0.99999998321703698</v>
      </c>
    </row>
    <row r="5380" spans="1:40" x14ac:dyDescent="0.25">
      <c r="A5380" t="str">
        <f>"20190305135341736"</f>
        <v>20190305135341736</v>
      </c>
      <c r="B5380" t="str">
        <f>"1551765221725328"</f>
        <v>1551765221725328</v>
      </c>
      <c r="C5380" t="s">
        <v>40</v>
      </c>
      <c r="D5380">
        <v>4.3304720000000003</v>
      </c>
      <c r="E5380">
        <v>0.47126770000000001</v>
      </c>
      <c r="F5380" t="s">
        <v>41</v>
      </c>
      <c r="G5380">
        <v>-319.60250000000002</v>
      </c>
      <c r="H5380">
        <v>0.90133850000000004</v>
      </c>
      <c r="I5380">
        <v>16.327100000000002</v>
      </c>
      <c r="J5380">
        <v>-320.14249999999998</v>
      </c>
      <c r="K5380">
        <v>1.1048800000000001</v>
      </c>
      <c r="L5380">
        <v>16.48245</v>
      </c>
      <c r="M5380">
        <v>0.99595310000000004</v>
      </c>
      <c r="N5380">
        <v>-1.1733210000000001E-2</v>
      </c>
      <c r="O5380">
        <v>-8.9104900000000001E-2</v>
      </c>
      <c r="P5380">
        <v>0.95208470000000001</v>
      </c>
      <c r="Q5380">
        <v>3.5304389999999998E-2</v>
      </c>
      <c r="R5380">
        <v>-0.30379050000000002</v>
      </c>
      <c r="S5380">
        <v>2.9602050000000002</v>
      </c>
      <c r="T5380">
        <v>-0.79496129999999998</v>
      </c>
      <c r="U5380">
        <v>-0.69088749999999999</v>
      </c>
      <c r="V5380">
        <v>0.21807889999999999</v>
      </c>
      <c r="W5380">
        <v>4.5140960000000001E-2</v>
      </c>
      <c r="X5380">
        <v>0.97488660000000005</v>
      </c>
      <c r="Y5380">
        <v>0.13750209999999999</v>
      </c>
      <c r="Z5380">
        <v>3.371214E-3</v>
      </c>
      <c r="AA5380">
        <v>0.99049569999999998</v>
      </c>
      <c r="AB5380">
        <v>24</v>
      </c>
      <c r="AC5380">
        <v>0.53999999999996295</v>
      </c>
      <c r="AD5380">
        <v>-0.20354149999999899</v>
      </c>
      <c r="AE5380">
        <v>-0.15534999999999799</v>
      </c>
      <c r="AF5380">
        <v>9.4245536369266497E-2</v>
      </c>
      <c r="AG5380">
        <v>-0.20354149999999899</v>
      </c>
      <c r="AH5380">
        <v>0.487701168443474</v>
      </c>
      <c r="AI5380">
        <v>112.282241973252</v>
      </c>
      <c r="AJ5380">
        <v>79.062724690184297</v>
      </c>
      <c r="AK5380">
        <v>0.53680889807166099</v>
      </c>
      <c r="AL5380">
        <v>87.412734314246805</v>
      </c>
      <c r="AM5380">
        <v>77.390712568733093</v>
      </c>
      <c r="AN5380">
        <v>0.99999999787724503</v>
      </c>
    </row>
    <row r="5381" spans="1:40" x14ac:dyDescent="0.25">
      <c r="A5381" t="str">
        <f>"20190305135341749"</f>
        <v>20190305135341749</v>
      </c>
      <c r="B5381" t="str">
        <f>"1551765221735089"</f>
        <v>1551765221735089</v>
      </c>
      <c r="C5381" t="s">
        <v>40</v>
      </c>
      <c r="D5381">
        <v>4.3079479999999997</v>
      </c>
      <c r="E5381">
        <v>0.47116980000000003</v>
      </c>
      <c r="F5381" t="s">
        <v>41</v>
      </c>
      <c r="G5381">
        <v>-319.38569999999999</v>
      </c>
      <c r="H5381">
        <v>0.90104830000000002</v>
      </c>
      <c r="I5381">
        <v>16.303619999999999</v>
      </c>
      <c r="J5381">
        <v>-320.00450000000001</v>
      </c>
      <c r="K5381">
        <v>1.1042749999999999</v>
      </c>
      <c r="L5381">
        <v>16.468170000000001</v>
      </c>
      <c r="M5381">
        <v>0.99578840000000002</v>
      </c>
      <c r="N5381">
        <v>-1.227687E-2</v>
      </c>
      <c r="O5381">
        <v>-9.0856489999999998E-2</v>
      </c>
      <c r="P5381">
        <v>0.95162749999999996</v>
      </c>
      <c r="Q5381">
        <v>3.4322900000000003E-2</v>
      </c>
      <c r="R5381">
        <v>-0.30533169999999998</v>
      </c>
      <c r="S5381">
        <v>2.9577330000000002</v>
      </c>
      <c r="T5381">
        <v>-0.79632709999999995</v>
      </c>
      <c r="U5381">
        <v>-0.69830319999999901</v>
      </c>
      <c r="V5381">
        <v>0.21795039999999999</v>
      </c>
      <c r="W5381">
        <v>4.4619829999999999E-2</v>
      </c>
      <c r="X5381">
        <v>0.97493929999999995</v>
      </c>
      <c r="Y5381">
        <v>0.13829269999999999</v>
      </c>
      <c r="Z5381">
        <v>3.6205299999999998E-3</v>
      </c>
      <c r="AA5381">
        <v>0.99038479999999995</v>
      </c>
      <c r="AB5381">
        <v>24</v>
      </c>
      <c r="AC5381">
        <v>0.618800000000021</v>
      </c>
      <c r="AD5381">
        <v>-0.20322669999999901</v>
      </c>
      <c r="AE5381">
        <v>-0.164549999999998</v>
      </c>
      <c r="AF5381">
        <v>9.7791851539204097E-2</v>
      </c>
      <c r="AG5381">
        <v>-0.20322669999999901</v>
      </c>
      <c r="AH5381">
        <v>0.573426654046999</v>
      </c>
      <c r="AI5381">
        <v>109.257551336603</v>
      </c>
      <c r="AJ5381">
        <v>80.321918736255498</v>
      </c>
      <c r="AK5381">
        <v>0.61618379189320804</v>
      </c>
      <c r="AL5381">
        <v>87.442622915791603</v>
      </c>
      <c r="AM5381">
        <v>77.398564481838704</v>
      </c>
      <c r="AN5381">
        <v>0.99999997238693905</v>
      </c>
    </row>
    <row r="5382" spans="1:40" x14ac:dyDescent="0.25">
      <c r="A5382" t="str">
        <f>"20190305135341761"</f>
        <v>20190305135341761</v>
      </c>
      <c r="B5382" t="str">
        <f>"1551765221755584"</f>
        <v>1551765221755584</v>
      </c>
      <c r="C5382" t="s">
        <v>40</v>
      </c>
      <c r="D5382">
        <v>4.3113320000000002</v>
      </c>
      <c r="E5382">
        <v>0.4710916</v>
      </c>
      <c r="F5382" t="s">
        <v>41</v>
      </c>
      <c r="G5382">
        <v>-319.17759999999998</v>
      </c>
      <c r="H5382">
        <v>0.88078179999999995</v>
      </c>
      <c r="I5382">
        <v>16.271560000000001</v>
      </c>
      <c r="J5382">
        <v>-319.86399999999998</v>
      </c>
      <c r="K5382">
        <v>1.1035839999999999</v>
      </c>
      <c r="L5382">
        <v>16.453220000000002</v>
      </c>
      <c r="M5382">
        <v>0.99562050000000002</v>
      </c>
      <c r="N5382">
        <v>-1.2962039999999999E-2</v>
      </c>
      <c r="O5382">
        <v>-9.2586080000000001E-2</v>
      </c>
      <c r="P5382">
        <v>0.95115850000000002</v>
      </c>
      <c r="Q5382">
        <v>3.3257689999999999E-2</v>
      </c>
      <c r="R5382">
        <v>-0.30690669999999998</v>
      </c>
      <c r="S5382">
        <v>2.955902</v>
      </c>
      <c r="T5382">
        <v>-0.79883099999999996</v>
      </c>
      <c r="U5382">
        <v>-0.70260619999999996</v>
      </c>
      <c r="V5382">
        <v>0.21787609999999999</v>
      </c>
      <c r="W5382">
        <v>4.4162519999999997E-2</v>
      </c>
      <c r="X5382">
        <v>0.97497679999999998</v>
      </c>
      <c r="Y5382">
        <v>0.13809370000000001</v>
      </c>
      <c r="Z5382">
        <v>3.9847509999999999E-3</v>
      </c>
      <c r="AA5382">
        <v>0.99041120000000005</v>
      </c>
      <c r="AB5382">
        <v>24</v>
      </c>
      <c r="AC5382">
        <v>0.68640000000004797</v>
      </c>
      <c r="AD5382">
        <v>-0.22280220000000001</v>
      </c>
      <c r="AE5382">
        <v>-0.18165999999999999</v>
      </c>
      <c r="AF5382">
        <v>0.106806440680787</v>
      </c>
      <c r="AG5382">
        <v>-0.22280220000000001</v>
      </c>
      <c r="AH5382">
        <v>0.63750015245806801</v>
      </c>
      <c r="AI5382">
        <v>109.01853051345999</v>
      </c>
      <c r="AJ5382">
        <v>80.489028044698699</v>
      </c>
      <c r="AK5382">
        <v>0.68370672110181796</v>
      </c>
      <c r="AL5382">
        <v>87.468850880237994</v>
      </c>
      <c r="AM5382">
        <v>77.403192278978906</v>
      </c>
      <c r="AN5382">
        <v>1.0000000418310899</v>
      </c>
    </row>
    <row r="5383" spans="1:40" x14ac:dyDescent="0.25">
      <c r="A5383" t="str">
        <f>"20190305135341773"</f>
        <v>20190305135341773</v>
      </c>
      <c r="B5383" t="str">
        <f>"1551765221765345"</f>
        <v>1551765221765345</v>
      </c>
      <c r="C5383" t="s">
        <v>40</v>
      </c>
      <c r="D5383">
        <v>4.2934970000000003</v>
      </c>
      <c r="E5383">
        <v>0.47114590000000001</v>
      </c>
      <c r="F5383" t="s">
        <v>41</v>
      </c>
      <c r="G5383">
        <v>-319.16269999999997</v>
      </c>
      <c r="H5383">
        <v>0.91343280000000004</v>
      </c>
      <c r="I5383">
        <v>16.285219999999999</v>
      </c>
      <c r="J5383">
        <v>-319.7328</v>
      </c>
      <c r="K5383">
        <v>1.1029070000000001</v>
      </c>
      <c r="L5383">
        <v>16.438929999999999</v>
      </c>
      <c r="M5383">
        <v>0.99545349999999999</v>
      </c>
      <c r="N5383">
        <v>-1.372106E-2</v>
      </c>
      <c r="O5383">
        <v>-9.4256419999999994E-2</v>
      </c>
      <c r="P5383">
        <v>0.95067009999999996</v>
      </c>
      <c r="Q5383">
        <v>3.2138310000000003E-2</v>
      </c>
      <c r="R5383">
        <v>-0.3085347</v>
      </c>
      <c r="S5383">
        <v>2.9537659999999999</v>
      </c>
      <c r="T5383">
        <v>-0.80083300000000002</v>
      </c>
      <c r="U5383">
        <v>-0.70736690000000002</v>
      </c>
      <c r="V5383">
        <v>0.21790950000000001</v>
      </c>
      <c r="W5383">
        <v>4.3745689999999997E-2</v>
      </c>
      <c r="X5383">
        <v>0.97498810000000002</v>
      </c>
      <c r="Y5383">
        <v>0.1381115</v>
      </c>
      <c r="Z5383">
        <v>4.2897200000000003E-3</v>
      </c>
      <c r="AA5383">
        <v>0.99040740000000005</v>
      </c>
      <c r="AB5383">
        <v>24</v>
      </c>
      <c r="AC5383">
        <v>0.57010000000002403</v>
      </c>
      <c r="AD5383">
        <v>-0.18947419999999901</v>
      </c>
      <c r="AE5383">
        <v>-0.15370999999999599</v>
      </c>
      <c r="AF5383">
        <v>9.0015746441026098E-2</v>
      </c>
      <c r="AG5383">
        <v>-0.18947419999999901</v>
      </c>
      <c r="AH5383">
        <v>0.52771110354442397</v>
      </c>
      <c r="AI5383">
        <v>109.49074624329999</v>
      </c>
      <c r="AJ5383">
        <v>80.3197876863304</v>
      </c>
      <c r="AK5383">
        <v>0.56787526436449798</v>
      </c>
      <c r="AL5383">
        <v>87.492756516415497</v>
      </c>
      <c r="AM5383">
        <v>77.401464209978897</v>
      </c>
      <c r="AN5383">
        <v>1.00000001536271</v>
      </c>
    </row>
    <row r="5384" spans="1:40" x14ac:dyDescent="0.25">
      <c r="A5384" t="str">
        <f>"20190305135341791"</f>
        <v>20190305135341791</v>
      </c>
      <c r="B5384" t="str">
        <f>"1551765221775104"</f>
        <v>1551765221775104</v>
      </c>
      <c r="C5384" t="s">
        <v>40</v>
      </c>
      <c r="D5384">
        <v>4.4740789999999997</v>
      </c>
      <c r="E5384">
        <v>0.47154239999999997</v>
      </c>
      <c r="F5384" t="s">
        <v>41</v>
      </c>
      <c r="G5384">
        <v>-318.95639999999997</v>
      </c>
      <c r="H5384">
        <v>0.89149120000000004</v>
      </c>
      <c r="I5384">
        <v>16.251059999999999</v>
      </c>
      <c r="J5384">
        <v>-319.53910000000002</v>
      </c>
      <c r="K5384">
        <v>1.1018730000000001</v>
      </c>
      <c r="L5384">
        <v>16.417390000000001</v>
      </c>
      <c r="M5384">
        <v>0.99518280000000003</v>
      </c>
      <c r="N5384">
        <v>-1.4974960000000001E-2</v>
      </c>
      <c r="O5384">
        <v>-9.6887600000000004E-2</v>
      </c>
      <c r="P5384">
        <v>0.94964590000000004</v>
      </c>
      <c r="Q5384">
        <v>3.023379E-2</v>
      </c>
      <c r="R5384">
        <v>-0.31186370000000002</v>
      </c>
      <c r="S5384">
        <v>2.951355</v>
      </c>
      <c r="T5384">
        <v>-0.80325199999999997</v>
      </c>
      <c r="U5384">
        <v>-0.71328740000000002</v>
      </c>
      <c r="V5384">
        <v>0.2187405</v>
      </c>
      <c r="W5384">
        <v>4.3027290000000003E-2</v>
      </c>
      <c r="X5384">
        <v>0.97483399999999998</v>
      </c>
      <c r="Y5384">
        <v>0.137588299999999</v>
      </c>
      <c r="Z5384">
        <v>4.829196E-3</v>
      </c>
      <c r="AA5384">
        <v>0.99047770000000002</v>
      </c>
      <c r="AB5384">
        <v>24</v>
      </c>
      <c r="AC5384">
        <v>0.58270000000004496</v>
      </c>
      <c r="AD5384">
        <v>-0.21038179999999901</v>
      </c>
      <c r="AE5384">
        <v>-0.166330000000002</v>
      </c>
      <c r="AF5384">
        <v>9.7350563212229804E-2</v>
      </c>
      <c r="AG5384">
        <v>-0.21038179999999901</v>
      </c>
      <c r="AH5384">
        <v>0.531956508544148</v>
      </c>
      <c r="AI5384">
        <v>111.257334333541</v>
      </c>
      <c r="AJ5384">
        <v>79.629357967053593</v>
      </c>
      <c r="AK5384">
        <v>0.58027179916954297</v>
      </c>
      <c r="AL5384">
        <v>87.533956662948</v>
      </c>
      <c r="AM5384">
        <v>77.353027133046297</v>
      </c>
      <c r="AN5384">
        <v>1.0000000407904901</v>
      </c>
    </row>
    <row r="5385" spans="1:40" x14ac:dyDescent="0.25">
      <c r="A5385" t="str">
        <f>"20190305135341804"</f>
        <v>20190305135341804</v>
      </c>
      <c r="B5385" t="str">
        <f>"1551765221795600"</f>
        <v>1551765221795600</v>
      </c>
      <c r="C5385" t="s">
        <v>40</v>
      </c>
      <c r="D5385">
        <v>4.2880120000000002</v>
      </c>
      <c r="E5385">
        <v>0.47191300000000003</v>
      </c>
      <c r="F5385" t="s">
        <v>41</v>
      </c>
      <c r="G5385">
        <v>-318.74340000000001</v>
      </c>
      <c r="H5385">
        <v>0.88350709999999999</v>
      </c>
      <c r="I5385">
        <v>16.221139999999998</v>
      </c>
      <c r="J5385">
        <v>-319.39010000000002</v>
      </c>
      <c r="K5385">
        <v>1.1010489999999999</v>
      </c>
      <c r="L5385">
        <v>16.400449999999999</v>
      </c>
      <c r="M5385">
        <v>0.99494830000000001</v>
      </c>
      <c r="N5385">
        <v>-1.6008910000000001E-2</v>
      </c>
      <c r="O5385">
        <v>-9.9104079999999997E-2</v>
      </c>
      <c r="P5385">
        <v>0.94872270000000003</v>
      </c>
      <c r="Q5385">
        <v>2.9180250000000001E-2</v>
      </c>
      <c r="R5385">
        <v>-0.31476009999999999</v>
      </c>
      <c r="S5385">
        <v>2.9461360000000001</v>
      </c>
      <c r="T5385">
        <v>-0.80854059999999905</v>
      </c>
      <c r="U5385">
        <v>-0.72677609999999904</v>
      </c>
      <c r="V5385">
        <v>0.21953909999999999</v>
      </c>
      <c r="W5385">
        <v>4.2973459999999998E-2</v>
      </c>
      <c r="X5385">
        <v>0.97465679999999999</v>
      </c>
      <c r="Y5385">
        <v>0.13997129999999999</v>
      </c>
      <c r="Z5385">
        <v>4.9240809999999899E-3</v>
      </c>
      <c r="AA5385">
        <v>0.99014329999999995</v>
      </c>
      <c r="AB5385">
        <v>24</v>
      </c>
      <c r="AC5385">
        <v>0.64670000000000905</v>
      </c>
      <c r="AD5385">
        <v>-0.21754189999999901</v>
      </c>
      <c r="AE5385">
        <v>-0.17931</v>
      </c>
      <c r="AF5385">
        <v>0.103457111554406</v>
      </c>
      <c r="AG5385">
        <v>-0.21754189999999901</v>
      </c>
      <c r="AH5385">
        <v>0.59840835270864901</v>
      </c>
      <c r="AI5385">
        <v>109.708540854018</v>
      </c>
      <c r="AJ5385">
        <v>80.191256940475796</v>
      </c>
      <c r="AK5385">
        <v>0.64507395605331097</v>
      </c>
      <c r="AL5385">
        <v>87.537043664866303</v>
      </c>
      <c r="AM5385">
        <v>77.306114652378</v>
      </c>
      <c r="AN5385">
        <v>1.0000000062397101</v>
      </c>
    </row>
    <row r="5386" spans="1:40" x14ac:dyDescent="0.25">
      <c r="A5386" t="str">
        <f>"20190305135341820"</f>
        <v>20190305135341820</v>
      </c>
      <c r="B5386" t="str">
        <f>"1551765221805360"</f>
        <v>1551765221805360</v>
      </c>
      <c r="C5386" t="s">
        <v>40</v>
      </c>
      <c r="D5386">
        <v>4.2731680000000001</v>
      </c>
      <c r="E5386">
        <v>0.47208129999999998</v>
      </c>
      <c r="F5386" t="s">
        <v>41</v>
      </c>
      <c r="G5386">
        <v>-318.72660000000002</v>
      </c>
      <c r="H5386">
        <v>0.91914370000000001</v>
      </c>
      <c r="I5386">
        <v>16.233979999999999</v>
      </c>
      <c r="J5386">
        <v>-319.23090000000002</v>
      </c>
      <c r="K5386">
        <v>1.1000939999999999</v>
      </c>
      <c r="L5386">
        <v>16.381769999999999</v>
      </c>
      <c r="M5386">
        <v>0.99465950000000003</v>
      </c>
      <c r="N5386">
        <v>-1.708848E-2</v>
      </c>
      <c r="O5386">
        <v>-0.10178719999999999</v>
      </c>
      <c r="P5386">
        <v>0.94772089999999998</v>
      </c>
      <c r="Q5386">
        <v>2.793493E-2</v>
      </c>
      <c r="R5386">
        <v>-0.31787569999999998</v>
      </c>
      <c r="S5386">
        <v>2.941986</v>
      </c>
      <c r="T5386">
        <v>-0.80662080000000003</v>
      </c>
      <c r="U5386">
        <v>-0.73834230000000001</v>
      </c>
      <c r="V5386">
        <v>0.2201034</v>
      </c>
      <c r="W5386">
        <v>4.2785759999999999E-2</v>
      </c>
      <c r="X5386">
        <v>0.97453780000000001</v>
      </c>
      <c r="Y5386">
        <v>0.1412823</v>
      </c>
      <c r="Z5386">
        <v>5.2041090000000002E-3</v>
      </c>
      <c r="AA5386">
        <v>0.98995569999999999</v>
      </c>
      <c r="AB5386">
        <v>24</v>
      </c>
      <c r="AC5386">
        <v>0.50429999999999997</v>
      </c>
      <c r="AD5386">
        <v>-0.18095030000000001</v>
      </c>
      <c r="AE5386">
        <v>-0.14779</v>
      </c>
      <c r="AF5386">
        <v>8.55411965159424E-2</v>
      </c>
      <c r="AG5386">
        <v>-0.18095030000000001</v>
      </c>
      <c r="AH5386">
        <v>0.46195369002508502</v>
      </c>
      <c r="AI5386">
        <v>111.06463391648499</v>
      </c>
      <c r="AJ5386">
        <v>79.509216482815802</v>
      </c>
      <c r="AK5386">
        <v>0.50344961922645404</v>
      </c>
      <c r="AL5386">
        <v>87.547808031117796</v>
      </c>
      <c r="AM5386">
        <v>77.273044373456699</v>
      </c>
      <c r="AN5386">
        <v>1.00000002578958</v>
      </c>
    </row>
    <row r="5387" spans="1:40" x14ac:dyDescent="0.25">
      <c r="A5387" t="str">
        <f>"20190305135341835"</f>
        <v>20190305135341835</v>
      </c>
      <c r="B5387" t="str">
        <f>"1551765221825857"</f>
        <v>1551765221825857</v>
      </c>
      <c r="C5387" t="s">
        <v>40</v>
      </c>
      <c r="D5387">
        <v>4.2666440000000003</v>
      </c>
      <c r="E5387">
        <v>0.4723657</v>
      </c>
      <c r="F5387" t="s">
        <v>41</v>
      </c>
      <c r="G5387">
        <v>-318.51749999999998</v>
      </c>
      <c r="H5387">
        <v>0.90383590000000003</v>
      </c>
      <c r="I5387">
        <v>16.199579999999902</v>
      </c>
      <c r="J5387">
        <v>-319.06169999999997</v>
      </c>
      <c r="K5387">
        <v>1.0990249999999999</v>
      </c>
      <c r="L5387">
        <v>16.36148</v>
      </c>
      <c r="M5387">
        <v>0.99433190000000005</v>
      </c>
      <c r="N5387">
        <v>-1.817883E-2</v>
      </c>
      <c r="O5387">
        <v>-0.1047568</v>
      </c>
      <c r="P5387">
        <v>0.9462604</v>
      </c>
      <c r="Q5387">
        <v>2.69071E-2</v>
      </c>
      <c r="R5387">
        <v>-0.32228499999999999</v>
      </c>
      <c r="S5387">
        <v>2.9380190000000002</v>
      </c>
      <c r="T5387">
        <v>-0.8077955</v>
      </c>
      <c r="U5387">
        <v>-0.7492065</v>
      </c>
      <c r="V5387">
        <v>0.2217269</v>
      </c>
      <c r="W5387">
        <v>4.280291E-2</v>
      </c>
      <c r="X5387">
        <v>0.97416899999999995</v>
      </c>
      <c r="Y5387">
        <v>0.142085299999999</v>
      </c>
      <c r="Z5387">
        <v>5.6477319999999999E-3</v>
      </c>
      <c r="AA5387">
        <v>0.98983829999999995</v>
      </c>
      <c r="AB5387">
        <v>24</v>
      </c>
      <c r="AC5387">
        <v>0.54419999999998903</v>
      </c>
      <c r="AD5387">
        <v>-0.19518909999999901</v>
      </c>
      <c r="AE5387">
        <v>-0.16190000000000199</v>
      </c>
      <c r="AF5387">
        <v>9.2999668788689205E-2</v>
      </c>
      <c r="AG5387">
        <v>-0.19518909999999901</v>
      </c>
      <c r="AH5387">
        <v>0.49917285707415499</v>
      </c>
      <c r="AI5387">
        <v>111.027280940224</v>
      </c>
      <c r="AJ5387">
        <v>79.446361283382004</v>
      </c>
      <c r="AK5387">
        <v>0.54398645607513996</v>
      </c>
      <c r="AL5387">
        <v>87.546824625677004</v>
      </c>
      <c r="AM5387">
        <v>77.177567339345998</v>
      </c>
      <c r="AN5387">
        <v>1.0000000739245301</v>
      </c>
    </row>
    <row r="5388" spans="1:40" x14ac:dyDescent="0.25">
      <c r="A5388" t="str">
        <f>"20190305135341847"</f>
        <v>20190305135341847</v>
      </c>
      <c r="B5388" t="str">
        <f>"1551765221835617"</f>
        <v>1551765221835617</v>
      </c>
      <c r="C5388" t="s">
        <v>40</v>
      </c>
      <c r="D5388">
        <v>4.2649949999999999</v>
      </c>
      <c r="E5388">
        <v>0.47250920000000002</v>
      </c>
      <c r="F5388" t="s">
        <v>41</v>
      </c>
      <c r="G5388">
        <v>-318.30680000000001</v>
      </c>
      <c r="H5388">
        <v>0.89133289999999998</v>
      </c>
      <c r="I5388">
        <v>16.164269999999998</v>
      </c>
      <c r="J5388">
        <v>-318.93799999999999</v>
      </c>
      <c r="K5388">
        <v>1.0982179999999999</v>
      </c>
      <c r="L5388">
        <v>16.34637</v>
      </c>
      <c r="M5388">
        <v>0.99408129999999995</v>
      </c>
      <c r="N5388">
        <v>-1.894641E-2</v>
      </c>
      <c r="O5388">
        <v>-0.1069751</v>
      </c>
      <c r="P5388">
        <v>0.9452199</v>
      </c>
      <c r="Q5388">
        <v>2.6386059999999999E-2</v>
      </c>
      <c r="R5388">
        <v>-0.3253663</v>
      </c>
      <c r="S5388">
        <v>2.9325260000000002</v>
      </c>
      <c r="T5388">
        <v>-0.80664309999999995</v>
      </c>
      <c r="U5388">
        <v>-0.76571659999999997</v>
      </c>
      <c r="V5388">
        <v>0.2227277</v>
      </c>
      <c r="W5388">
        <v>4.3012050000000003E-2</v>
      </c>
      <c r="X5388">
        <v>0.9739314</v>
      </c>
      <c r="Y5388">
        <v>0.14545250000000001</v>
      </c>
      <c r="Z5388">
        <v>5.5701789999999998E-3</v>
      </c>
      <c r="AA5388">
        <v>0.98934949999999999</v>
      </c>
      <c r="AB5388">
        <v>24</v>
      </c>
      <c r="AC5388">
        <v>0.631199999999978</v>
      </c>
      <c r="AD5388">
        <v>-0.20688509999999999</v>
      </c>
      <c r="AE5388">
        <v>-0.18209999999999801</v>
      </c>
      <c r="AF5388">
        <v>0.103277328181164</v>
      </c>
      <c r="AG5388">
        <v>-0.20688509999999999</v>
      </c>
      <c r="AH5388">
        <v>0.58867804909793897</v>
      </c>
      <c r="AI5388">
        <v>109.093468843511</v>
      </c>
      <c r="AJ5388">
        <v>80.049328228476696</v>
      </c>
      <c r="AK5388">
        <v>0.63246303971695095</v>
      </c>
      <c r="AL5388">
        <v>87.534830604360394</v>
      </c>
      <c r="AM5388">
        <v>77.118579835737506</v>
      </c>
      <c r="AN5388">
        <v>1.0000000183492199</v>
      </c>
    </row>
    <row r="5389" spans="1:40" x14ac:dyDescent="0.25">
      <c r="A5389" t="str">
        <f>"20190305135341858"</f>
        <v>20190305135341858</v>
      </c>
      <c r="B5389" t="str">
        <f>"1551765221845377"</f>
        <v>1551765221845377</v>
      </c>
      <c r="C5389" t="s">
        <v>40</v>
      </c>
      <c r="D5389">
        <v>4.2765490000000002</v>
      </c>
      <c r="E5389">
        <v>0.47260829999999998</v>
      </c>
      <c r="F5389" t="s">
        <v>41</v>
      </c>
      <c r="G5389">
        <v>-318.10090000000002</v>
      </c>
      <c r="H5389">
        <v>0.86773709999999904</v>
      </c>
      <c r="I5389">
        <v>16.124169999999999</v>
      </c>
      <c r="J5389">
        <v>-318.80930000000001</v>
      </c>
      <c r="K5389">
        <v>1.0973379999999999</v>
      </c>
      <c r="L5389">
        <v>16.330169999999999</v>
      </c>
      <c r="M5389">
        <v>0.99381489999999995</v>
      </c>
      <c r="N5389">
        <v>-1.969313E-2</v>
      </c>
      <c r="O5389">
        <v>-0.10928889999999999</v>
      </c>
      <c r="P5389">
        <v>0.94414200000000004</v>
      </c>
      <c r="Q5389">
        <v>2.578368E-2</v>
      </c>
      <c r="R5389">
        <v>-0.32852910000000002</v>
      </c>
      <c r="S5389">
        <v>2.9290470000000002</v>
      </c>
      <c r="T5389">
        <v>-0.80605070000000001</v>
      </c>
      <c r="U5389">
        <v>-0.77655030000000003</v>
      </c>
      <c r="V5389">
        <v>0.22372310000000001</v>
      </c>
      <c r="W5389">
        <v>4.3104940000000001E-2</v>
      </c>
      <c r="X5389">
        <v>0.97369910000000004</v>
      </c>
      <c r="Y5389">
        <v>0.14684169999999999</v>
      </c>
      <c r="Z5389">
        <v>5.7992149999999999E-3</v>
      </c>
      <c r="AA5389">
        <v>0.98914299999999999</v>
      </c>
      <c r="AB5389">
        <v>24</v>
      </c>
      <c r="AC5389">
        <v>0.70839999999998304</v>
      </c>
      <c r="AD5389">
        <v>-0.2296009</v>
      </c>
      <c r="AE5389">
        <v>-0.20600000000000299</v>
      </c>
      <c r="AF5389">
        <v>0.116086411305002</v>
      </c>
      <c r="AG5389">
        <v>-0.2296009</v>
      </c>
      <c r="AH5389">
        <v>0.66250410725184306</v>
      </c>
      <c r="AI5389">
        <v>108.84807553461</v>
      </c>
      <c r="AJ5389">
        <v>80.061319567137403</v>
      </c>
      <c r="AK5389">
        <v>0.71070691589152701</v>
      </c>
      <c r="AL5389">
        <v>87.529503411844203</v>
      </c>
      <c r="AM5389">
        <v>77.059961213421303</v>
      </c>
      <c r="AN5389">
        <v>0.99999999933341099</v>
      </c>
    </row>
    <row r="5390" spans="1:40" x14ac:dyDescent="0.25">
      <c r="A5390" t="str">
        <f>"20190305135341869"</f>
        <v>20190305135341869</v>
      </c>
      <c r="B5390" t="str">
        <f>"1551765221855136"</f>
        <v>1551765221855136</v>
      </c>
      <c r="C5390" t="s">
        <v>40</v>
      </c>
      <c r="D5390">
        <v>4.2727209999999998</v>
      </c>
      <c r="E5390">
        <v>0.4727017</v>
      </c>
      <c r="F5390" t="s">
        <v>41</v>
      </c>
      <c r="G5390">
        <v>-318.08679999999998</v>
      </c>
      <c r="H5390">
        <v>0.898092</v>
      </c>
      <c r="I5390">
        <v>16.135470000000002</v>
      </c>
      <c r="J5390">
        <v>-318.69299999999998</v>
      </c>
      <c r="K5390">
        <v>1.0965480000000001</v>
      </c>
      <c r="L5390">
        <v>16.31531</v>
      </c>
      <c r="M5390">
        <v>0.99355859999999996</v>
      </c>
      <c r="N5390">
        <v>-2.0305489999999999E-2</v>
      </c>
      <c r="O5390">
        <v>-0.11148429999999999</v>
      </c>
      <c r="P5390">
        <v>0.94301800000000002</v>
      </c>
      <c r="Q5390">
        <v>2.544917E-2</v>
      </c>
      <c r="R5390">
        <v>-0.33176699999999998</v>
      </c>
      <c r="S5390">
        <v>2.9255680000000002</v>
      </c>
      <c r="T5390">
        <v>-0.80635400000000002</v>
      </c>
      <c r="U5390">
        <v>-0.78735350000000004</v>
      </c>
      <c r="V5390">
        <v>0.22491639999999999</v>
      </c>
      <c r="W5390">
        <v>4.3337899999999999E-2</v>
      </c>
      <c r="X5390">
        <v>0.9734138</v>
      </c>
      <c r="Y5390">
        <v>0.14833389999999999</v>
      </c>
      <c r="Z5390">
        <v>6.0152879999999997E-3</v>
      </c>
      <c r="AA5390">
        <v>0.98891899999999999</v>
      </c>
      <c r="AB5390">
        <v>24</v>
      </c>
      <c r="AC5390">
        <v>0.60620000000000096</v>
      </c>
      <c r="AD5390">
        <v>-0.19845599999999899</v>
      </c>
      <c r="AE5390">
        <v>-0.179839999999998</v>
      </c>
      <c r="AF5390">
        <v>0.101158039331012</v>
      </c>
      <c r="AG5390">
        <v>-0.19845599999999899</v>
      </c>
      <c r="AH5390">
        <v>0.56665410511939596</v>
      </c>
      <c r="AI5390">
        <v>109.02284010956799</v>
      </c>
      <c r="AJ5390">
        <v>79.878286989533294</v>
      </c>
      <c r="AK5390">
        <v>0.608863373595389</v>
      </c>
      <c r="AL5390">
        <v>87.516143287224097</v>
      </c>
      <c r="AM5390">
        <v>76.989599832875101</v>
      </c>
      <c r="AN5390">
        <v>0.99999999329790501</v>
      </c>
    </row>
    <row r="5391" spans="1:40" x14ac:dyDescent="0.25">
      <c r="A5391" t="str">
        <f>"20190305135341892"</f>
        <v>20190305135341892</v>
      </c>
      <c r="B5391" t="str">
        <f>"1551765221885392"</f>
        <v>1551765221885392</v>
      </c>
      <c r="C5391" t="s">
        <v>40</v>
      </c>
      <c r="D5391">
        <v>4.2678479999999999</v>
      </c>
      <c r="E5391">
        <v>0.47306150000000002</v>
      </c>
      <c r="F5391" t="s">
        <v>41</v>
      </c>
      <c r="G5391">
        <v>-317.88130000000001</v>
      </c>
      <c r="H5391">
        <v>0.87262450000000003</v>
      </c>
      <c r="I5391">
        <v>16.093509999999998</v>
      </c>
      <c r="J5391">
        <v>-318.45100000000002</v>
      </c>
      <c r="K5391">
        <v>1.0948639999999901</v>
      </c>
      <c r="L5391">
        <v>16.283449999999998</v>
      </c>
      <c r="M5391">
        <v>0.99297800000000003</v>
      </c>
      <c r="N5391">
        <v>-2.126834E-2</v>
      </c>
      <c r="O5391">
        <v>-0.11637119999999999</v>
      </c>
      <c r="P5391">
        <v>0.94018109999999999</v>
      </c>
      <c r="Q5391">
        <v>2.5632539999999999E-2</v>
      </c>
      <c r="R5391">
        <v>-0.33971000000000001</v>
      </c>
      <c r="S5391">
        <v>2.9223020000000002</v>
      </c>
      <c r="T5391">
        <v>-0.80587600000000004</v>
      </c>
      <c r="U5391">
        <v>-0.79803469999999999</v>
      </c>
      <c r="V5391">
        <v>0.22835240000000001</v>
      </c>
      <c r="W5391">
        <v>4.4383079999999998E-2</v>
      </c>
      <c r="X5391">
        <v>0.97256640000000005</v>
      </c>
      <c r="Y5391">
        <v>0.14725070000000001</v>
      </c>
      <c r="Z5391">
        <v>7.1742119999999897E-3</v>
      </c>
      <c r="AA5391">
        <v>0.98907319999999999</v>
      </c>
      <c r="AB5391">
        <v>24</v>
      </c>
      <c r="AC5391">
        <v>0.56969999999995402</v>
      </c>
      <c r="AD5391">
        <v>-0.22223949999999901</v>
      </c>
      <c r="AE5391">
        <v>-0.189939999999996</v>
      </c>
      <c r="AF5391">
        <v>0.107600889540014</v>
      </c>
      <c r="AG5391">
        <v>-0.22223949999999901</v>
      </c>
      <c r="AH5391">
        <v>0.51711520564963298</v>
      </c>
      <c r="AI5391">
        <v>112.819200255468</v>
      </c>
      <c r="AJ5391">
        <v>78.2456699083898</v>
      </c>
      <c r="AK5391">
        <v>0.57304143192627399</v>
      </c>
      <c r="AL5391">
        <v>87.456201314244595</v>
      </c>
      <c r="AM5391">
        <v>76.786654386255506</v>
      </c>
      <c r="AN5391">
        <v>1.0000000393924999</v>
      </c>
    </row>
    <row r="5392" spans="1:40" x14ac:dyDescent="0.25">
      <c r="A5392" t="str">
        <f>"20190305135341902"</f>
        <v>20190305135341902</v>
      </c>
      <c r="B5392" t="str">
        <f>"1551765221895152"</f>
        <v>1551765221895152</v>
      </c>
      <c r="C5392" t="s">
        <v>40</v>
      </c>
      <c r="D5392">
        <v>4.3973069999999996</v>
      </c>
      <c r="E5392">
        <v>0.4732497</v>
      </c>
      <c r="F5392" t="s">
        <v>41</v>
      </c>
      <c r="G5392">
        <v>-317.661</v>
      </c>
      <c r="H5392">
        <v>0.87730429999999904</v>
      </c>
      <c r="I5392">
        <v>16.059519999999999</v>
      </c>
      <c r="J5392">
        <v>-318.32150000000001</v>
      </c>
      <c r="K5392">
        <v>1.0939099999999999</v>
      </c>
      <c r="L5392">
        <v>16.265989999999999</v>
      </c>
      <c r="M5392">
        <v>0.9926661</v>
      </c>
      <c r="N5392">
        <v>-2.1649829999999998E-2</v>
      </c>
      <c r="O5392">
        <v>-0.1189342</v>
      </c>
      <c r="P5392">
        <v>0.93871269999999996</v>
      </c>
      <c r="Q5392">
        <v>2.5330539999999999E-2</v>
      </c>
      <c r="R5392">
        <v>-0.3437692</v>
      </c>
      <c r="S5392">
        <v>2.9145509999999999</v>
      </c>
      <c r="T5392">
        <v>-0.80240210000000001</v>
      </c>
      <c r="U5392">
        <v>-0.82543949999999999</v>
      </c>
      <c r="V5392">
        <v>0.23005100000000001</v>
      </c>
      <c r="W5392">
        <v>4.439212E-2</v>
      </c>
      <c r="X5392">
        <v>0.97216559999999996</v>
      </c>
      <c r="Y5392">
        <v>0.15381619999999999</v>
      </c>
      <c r="Z5392">
        <v>6.7381769999999997E-3</v>
      </c>
      <c r="AA5392">
        <v>0.98807650000000002</v>
      </c>
      <c r="AB5392">
        <v>24</v>
      </c>
      <c r="AC5392">
        <v>0.66050000000001297</v>
      </c>
      <c r="AD5392">
        <v>-0.21660570000000001</v>
      </c>
      <c r="AE5392">
        <v>-0.20646999999999599</v>
      </c>
      <c r="AF5392">
        <v>0.11514802837485701</v>
      </c>
      <c r="AG5392">
        <v>-0.21660570000000001</v>
      </c>
      <c r="AH5392">
        <v>0.61966196646729699</v>
      </c>
      <c r="AI5392">
        <v>108.966379796358</v>
      </c>
      <c r="AJ5392">
        <v>79.473142516885304</v>
      </c>
      <c r="AK5392">
        <v>0.66645183651725703</v>
      </c>
      <c r="AL5392">
        <v>87.4556828468112</v>
      </c>
      <c r="AM5392">
        <v>76.686560512460503</v>
      </c>
      <c r="AN5392">
        <v>1.00000003837122</v>
      </c>
    </row>
    <row r="5393" spans="1:40" x14ac:dyDescent="0.25">
      <c r="A5393" t="str">
        <f>"20190305135341914"</f>
        <v>20190305135341914</v>
      </c>
      <c r="B5393" t="str">
        <f>"1551765221905889"</f>
        <v>1551765221905889</v>
      </c>
      <c r="C5393" t="s">
        <v>40</v>
      </c>
      <c r="D5393">
        <v>4.258464</v>
      </c>
      <c r="E5393">
        <v>0.47329460000000001</v>
      </c>
      <c r="F5393" t="s">
        <v>41</v>
      </c>
      <c r="G5393">
        <v>-317.64609999999999</v>
      </c>
      <c r="H5393">
        <v>0.90754330000000005</v>
      </c>
      <c r="I5393">
        <v>16.071120000000001</v>
      </c>
      <c r="J5393">
        <v>-318.197</v>
      </c>
      <c r="K5393">
        <v>1.0929089999999999</v>
      </c>
      <c r="L5393">
        <v>16.24869</v>
      </c>
      <c r="M5393">
        <v>0.99238349999999997</v>
      </c>
      <c r="N5393">
        <v>-2.195335E-2</v>
      </c>
      <c r="O5393">
        <v>-0.121215</v>
      </c>
      <c r="P5393">
        <v>0.9372644</v>
      </c>
      <c r="Q5393">
        <v>2.4759690000000001E-2</v>
      </c>
      <c r="R5393">
        <v>-0.34773910000000002</v>
      </c>
      <c r="S5393">
        <v>2.9103089999999998</v>
      </c>
      <c r="T5393">
        <v>-0.80275750000000001</v>
      </c>
      <c r="U5393">
        <v>-0.83889769999999897</v>
      </c>
      <c r="V5393">
        <v>0.23194029999999999</v>
      </c>
      <c r="W5393">
        <v>4.4023409999999999E-2</v>
      </c>
      <c r="X5393">
        <v>0.97173330000000002</v>
      </c>
      <c r="Y5393">
        <v>0.15610889999999999</v>
      </c>
      <c r="Z5393">
        <v>6.9080239999999996E-3</v>
      </c>
      <c r="AA5393">
        <v>0.98771569999999997</v>
      </c>
      <c r="AB5393">
        <v>24</v>
      </c>
      <c r="AC5393">
        <v>0.55090000000001205</v>
      </c>
      <c r="AD5393">
        <v>-0.185365699999999</v>
      </c>
      <c r="AE5393">
        <v>-0.17756999999999901</v>
      </c>
      <c r="AF5393">
        <v>9.9283846746428997E-2</v>
      </c>
      <c r="AG5393">
        <v>-0.185365699999999</v>
      </c>
      <c r="AH5393">
        <v>0.51549509293090301</v>
      </c>
      <c r="AI5393">
        <v>109.448042766284</v>
      </c>
      <c r="AJ5393">
        <v>79.098377573089905</v>
      </c>
      <c r="AK5393">
        <v>0.55673415181493802</v>
      </c>
      <c r="AL5393">
        <v>87.476828911274296</v>
      </c>
      <c r="AM5393">
        <v>76.575409217870799</v>
      </c>
      <c r="AN5393">
        <v>0.99999998486050301</v>
      </c>
    </row>
    <row r="5394" spans="1:40" x14ac:dyDescent="0.25">
      <c r="A5394" t="str">
        <f>"20190305135341926"</f>
        <v>20190305135341926</v>
      </c>
      <c r="B5394" t="str">
        <f>"1551765221915649"</f>
        <v>1551765221915649</v>
      </c>
      <c r="C5394" t="s">
        <v>40</v>
      </c>
      <c r="D5394">
        <v>4.2649179999999998</v>
      </c>
      <c r="E5394">
        <v>0.47332269999999999</v>
      </c>
      <c r="F5394" t="s">
        <v>41</v>
      </c>
      <c r="G5394">
        <v>-317.43939999999998</v>
      </c>
      <c r="H5394">
        <v>0.88350459999999997</v>
      </c>
      <c r="I5394">
        <v>16.026779999999999</v>
      </c>
      <c r="J5394">
        <v>-318.07049999999998</v>
      </c>
      <c r="K5394">
        <v>1.091879</v>
      </c>
      <c r="L5394">
        <v>16.23096</v>
      </c>
      <c r="M5394">
        <v>0.99209689999999995</v>
      </c>
      <c r="N5394">
        <v>-2.2243349999999999E-2</v>
      </c>
      <c r="O5394">
        <v>-0.1234866</v>
      </c>
      <c r="P5394">
        <v>0.93578139999999999</v>
      </c>
      <c r="Q5394">
        <v>2.3820259999999999E-2</v>
      </c>
      <c r="R5394">
        <v>-0.35177509999999901</v>
      </c>
      <c r="S5394">
        <v>2.906342</v>
      </c>
      <c r="T5394">
        <v>-0.80311109999999997</v>
      </c>
      <c r="U5394">
        <v>-0.85095209999999999</v>
      </c>
      <c r="V5394">
        <v>0.23390900000000001</v>
      </c>
      <c r="W5394">
        <v>4.3262160000000001E-2</v>
      </c>
      <c r="X5394">
        <v>0.97129549999999998</v>
      </c>
      <c r="Y5394">
        <v>0.157962299999999</v>
      </c>
      <c r="Z5394">
        <v>7.1399030000000004E-3</v>
      </c>
      <c r="AA5394">
        <v>0.9874193</v>
      </c>
      <c r="AB5394">
        <v>24</v>
      </c>
      <c r="AC5394">
        <v>0.63110000000000299</v>
      </c>
      <c r="AD5394">
        <v>-0.20837439999999999</v>
      </c>
      <c r="AE5394">
        <v>-0.20418</v>
      </c>
      <c r="AF5394">
        <v>0.113467093426418</v>
      </c>
      <c r="AG5394">
        <v>-0.20837439999999999</v>
      </c>
      <c r="AH5394">
        <v>0.59296884790624005</v>
      </c>
      <c r="AI5394">
        <v>109.041933606085</v>
      </c>
      <c r="AJ5394">
        <v>79.167163709293007</v>
      </c>
      <c r="AK5394">
        <v>0.63867576003262605</v>
      </c>
      <c r="AL5394">
        <v>87.5204869390993</v>
      </c>
      <c r="AM5394">
        <v>76.459761065654604</v>
      </c>
      <c r="AN5394">
        <v>0.99999999154455699</v>
      </c>
    </row>
    <row r="5395" spans="1:40" x14ac:dyDescent="0.25">
      <c r="A5395" t="str">
        <f>"20190305135341938"</f>
        <v>20190305135341938</v>
      </c>
      <c r="B5395" t="str">
        <f>"1551765221925408"</f>
        <v>1551765221925408</v>
      </c>
      <c r="C5395" t="s">
        <v>40</v>
      </c>
      <c r="D5395">
        <v>4.2635670000000001</v>
      </c>
      <c r="E5395">
        <v>0.47335310000000003</v>
      </c>
      <c r="F5395" t="s">
        <v>41</v>
      </c>
      <c r="G5395">
        <v>-317.23230000000001</v>
      </c>
      <c r="H5395">
        <v>0.85918570000000005</v>
      </c>
      <c r="I5395">
        <v>15.9812799999999</v>
      </c>
      <c r="J5395">
        <v>-317.94130000000001</v>
      </c>
      <c r="K5395">
        <v>1.090776</v>
      </c>
      <c r="L5395">
        <v>16.212250000000001</v>
      </c>
      <c r="M5395">
        <v>0.99181209999999997</v>
      </c>
      <c r="N5395">
        <v>-2.248696E-2</v>
      </c>
      <c r="O5395">
        <v>-0.12571179999999901</v>
      </c>
      <c r="P5395">
        <v>0.93438140000000003</v>
      </c>
      <c r="Q5395">
        <v>2.3545420000000001E-2</v>
      </c>
      <c r="R5395">
        <v>-0.35549550000000002</v>
      </c>
      <c r="S5395">
        <v>2.9018549999999999</v>
      </c>
      <c r="T5395">
        <v>-0.8051102</v>
      </c>
      <c r="U5395">
        <v>-0.86337280000000005</v>
      </c>
      <c r="V5395">
        <v>0.23560890000000001</v>
      </c>
      <c r="W5395">
        <v>4.3115430000000003E-2</v>
      </c>
      <c r="X5395">
        <v>0.97089110000000001</v>
      </c>
      <c r="Y5395">
        <v>0.16001009999999999</v>
      </c>
      <c r="Z5395">
        <v>7.3659329999999999E-3</v>
      </c>
      <c r="AA5395">
        <v>0.98708790000000002</v>
      </c>
      <c r="AB5395">
        <v>24</v>
      </c>
      <c r="AC5395">
        <v>0.70900000000000296</v>
      </c>
      <c r="AD5395">
        <v>-0.231590299999999</v>
      </c>
      <c r="AE5395">
        <v>-0.23097000000000201</v>
      </c>
      <c r="AF5395">
        <v>0.12766962749480301</v>
      </c>
      <c r="AG5395">
        <v>-0.231590299999999</v>
      </c>
      <c r="AH5395">
        <v>0.66798240843447099</v>
      </c>
      <c r="AI5395">
        <v>108.805615426043</v>
      </c>
      <c r="AJ5395">
        <v>79.1797105920474</v>
      </c>
      <c r="AK5395">
        <v>0.718424734274</v>
      </c>
      <c r="AL5395">
        <v>87.528901848829506</v>
      </c>
      <c r="AM5395">
        <v>76.359552970173198</v>
      </c>
      <c r="AN5395">
        <v>1.0000000110612499</v>
      </c>
    </row>
    <row r="5396" spans="1:40" x14ac:dyDescent="0.25">
      <c r="A5396" t="str">
        <f>"20190305135341950"</f>
        <v>20190305135341950</v>
      </c>
      <c r="B5396" t="str">
        <f>"1551765221935169"</f>
        <v>1551765221935169</v>
      </c>
      <c r="C5396" t="s">
        <v>40</v>
      </c>
      <c r="D5396">
        <v>4.2357209999999998</v>
      </c>
      <c r="E5396">
        <v>0.47337279999999998</v>
      </c>
      <c r="F5396" t="s">
        <v>41</v>
      </c>
      <c r="G5396">
        <v>-317.21789999999999</v>
      </c>
      <c r="H5396">
        <v>0.88961100000000004</v>
      </c>
      <c r="I5396">
        <v>15.99339</v>
      </c>
      <c r="J5396">
        <v>-317.81299999999999</v>
      </c>
      <c r="K5396">
        <v>1.0896650000000001</v>
      </c>
      <c r="L5396">
        <v>16.19342</v>
      </c>
      <c r="M5396">
        <v>0.99152119999999999</v>
      </c>
      <c r="N5396">
        <v>-2.268539E-2</v>
      </c>
      <c r="O5396">
        <v>-0.1279497</v>
      </c>
      <c r="P5396">
        <v>0.93290470000000003</v>
      </c>
      <c r="Q5396">
        <v>2.2768219999999999E-2</v>
      </c>
      <c r="R5396">
        <v>-0.35940319999999998</v>
      </c>
      <c r="S5396">
        <v>2.897888</v>
      </c>
      <c r="T5396">
        <v>-0.80523630000000002</v>
      </c>
      <c r="U5396">
        <v>-0.87545779999999995</v>
      </c>
      <c r="V5396">
        <v>0.23748739999999999</v>
      </c>
      <c r="W5396">
        <v>4.242655E-2</v>
      </c>
      <c r="X5396">
        <v>0.97046359999999998</v>
      </c>
      <c r="Y5396">
        <v>0.16190929999999901</v>
      </c>
      <c r="Z5396">
        <v>7.5966159999999996E-3</v>
      </c>
      <c r="AA5396">
        <v>0.9867764</v>
      </c>
      <c r="AB5396">
        <v>24</v>
      </c>
      <c r="AC5396">
        <v>0.59510000000000196</v>
      </c>
      <c r="AD5396">
        <v>-0.20005399999999901</v>
      </c>
      <c r="AE5396">
        <v>-0.20002999999999899</v>
      </c>
      <c r="AF5396">
        <v>0.110956344006958</v>
      </c>
      <c r="AG5396">
        <v>-0.20005399999999901</v>
      </c>
      <c r="AH5396">
        <v>0.55904272496488705</v>
      </c>
      <c r="AI5396">
        <v>109.34129261395501</v>
      </c>
      <c r="AJ5396">
        <v>78.774074114257402</v>
      </c>
      <c r="AK5396">
        <v>0.60403781465033801</v>
      </c>
      <c r="AL5396">
        <v>87.568407740190096</v>
      </c>
      <c r="AM5396">
        <v>76.249082674436494</v>
      </c>
      <c r="AN5396">
        <v>0.99999993811430898</v>
      </c>
    </row>
    <row r="5397" spans="1:40" x14ac:dyDescent="0.25">
      <c r="A5397" t="str">
        <f>"20190305135341961"</f>
        <v>20190305135341961</v>
      </c>
      <c r="B5397" t="str">
        <f>"1551765221955664"</f>
        <v>1551765221955664</v>
      </c>
      <c r="C5397" t="s">
        <v>40</v>
      </c>
      <c r="D5397">
        <v>4.2754699999999897</v>
      </c>
      <c r="E5397">
        <v>0.4733559</v>
      </c>
      <c r="F5397" t="s">
        <v>41</v>
      </c>
      <c r="G5397">
        <v>-317.01100000000002</v>
      </c>
      <c r="H5397">
        <v>0.86601139999999999</v>
      </c>
      <c r="I5397">
        <v>15.947290000000001</v>
      </c>
      <c r="J5397">
        <v>-317.68360000000001</v>
      </c>
      <c r="K5397">
        <v>1.088517</v>
      </c>
      <c r="L5397">
        <v>16.17407</v>
      </c>
      <c r="M5397">
        <v>0.99121910000000002</v>
      </c>
      <c r="N5397">
        <v>-2.2818089999999999E-2</v>
      </c>
      <c r="O5397">
        <v>-0.13024729999999901</v>
      </c>
      <c r="P5397">
        <v>0.93143149999999997</v>
      </c>
      <c r="Q5397">
        <v>2.2186250000000001E-2</v>
      </c>
      <c r="R5397">
        <v>-0.36324030000000002</v>
      </c>
      <c r="S5397">
        <v>2.8932799999999999</v>
      </c>
      <c r="T5397">
        <v>-0.80697390000000002</v>
      </c>
      <c r="U5397">
        <v>-0.88815309999999903</v>
      </c>
      <c r="V5397">
        <v>0.2392389</v>
      </c>
      <c r="W5397">
        <v>4.187867E-2</v>
      </c>
      <c r="X5397">
        <v>0.97005719999999995</v>
      </c>
      <c r="Y5397">
        <v>0.16399059999999999</v>
      </c>
      <c r="Z5397">
        <v>7.85456E-3</v>
      </c>
      <c r="AA5397">
        <v>0.98643060000000005</v>
      </c>
      <c r="AB5397">
        <v>24</v>
      </c>
      <c r="AC5397">
        <v>0.67260000000004505</v>
      </c>
      <c r="AD5397">
        <v>-0.2225056</v>
      </c>
      <c r="AE5397">
        <v>-0.22678000000000101</v>
      </c>
      <c r="AF5397">
        <v>0.12494236003187401</v>
      </c>
      <c r="AG5397">
        <v>-0.2225056</v>
      </c>
      <c r="AH5397">
        <v>0.63410156378603899</v>
      </c>
      <c r="AI5397">
        <v>108.997533151876</v>
      </c>
      <c r="AJ5397">
        <v>78.853320599553996</v>
      </c>
      <c r="AK5397">
        <v>0.683523319688213</v>
      </c>
      <c r="AL5397">
        <v>87.599827083368197</v>
      </c>
      <c r="AM5397">
        <v>76.145980039708604</v>
      </c>
      <c r="AN5397">
        <v>1.0000000227729999</v>
      </c>
    </row>
    <row r="5398" spans="1:40" x14ac:dyDescent="0.25">
      <c r="A5398" t="str">
        <f>"20190305135341973"</f>
        <v>20190305135341973</v>
      </c>
      <c r="B5398" t="str">
        <f>"1551765221965426"</f>
        <v>1551765221965426</v>
      </c>
      <c r="C5398" t="s">
        <v>40</v>
      </c>
      <c r="D5398">
        <v>4.2533719999999997</v>
      </c>
      <c r="E5398">
        <v>0.47335640000000001</v>
      </c>
      <c r="F5398" t="s">
        <v>41</v>
      </c>
      <c r="G5398">
        <v>-316.99610000000001</v>
      </c>
      <c r="H5398">
        <v>0.89631399999999894</v>
      </c>
      <c r="I5398">
        <v>15.96001</v>
      </c>
      <c r="J5398">
        <v>-317.55919999999998</v>
      </c>
      <c r="K5398">
        <v>1.0873790000000001</v>
      </c>
      <c r="L5398">
        <v>16.15512</v>
      </c>
      <c r="M5398">
        <v>0.99091370000000001</v>
      </c>
      <c r="N5398">
        <v>-2.284858E-2</v>
      </c>
      <c r="O5398">
        <v>-0.13254489999999999</v>
      </c>
      <c r="P5398">
        <v>0.92983079999999996</v>
      </c>
      <c r="Q5398">
        <v>2.1359300000000001E-2</v>
      </c>
      <c r="R5398">
        <v>-0.36736740000000001</v>
      </c>
      <c r="S5398">
        <v>2.8891909999999998</v>
      </c>
      <c r="T5398">
        <v>-0.80778919999999999</v>
      </c>
      <c r="U5398">
        <v>-0.89978029999999998</v>
      </c>
      <c r="V5398">
        <v>0.24129110000000001</v>
      </c>
      <c r="W5398">
        <v>4.099585E-2</v>
      </c>
      <c r="X5398">
        <v>0.96958650000000002</v>
      </c>
      <c r="Y5398">
        <v>0.16571329999999901</v>
      </c>
      <c r="Z5398">
        <v>8.1717300000000003E-3</v>
      </c>
      <c r="AA5398">
        <v>0.98614009999999996</v>
      </c>
      <c r="AB5398">
        <v>24</v>
      </c>
      <c r="AC5398">
        <v>0.56309999999996296</v>
      </c>
      <c r="AD5398">
        <v>-0.19106500000000001</v>
      </c>
      <c r="AE5398">
        <v>-0.19510999999999901</v>
      </c>
      <c r="AF5398">
        <v>0.10766521353345</v>
      </c>
      <c r="AG5398">
        <v>-0.19106500000000001</v>
      </c>
      <c r="AH5398">
        <v>0.52956295241195805</v>
      </c>
      <c r="AI5398">
        <v>109.471774172533</v>
      </c>
      <c r="AJ5398">
        <v>78.507853236177993</v>
      </c>
      <c r="AK5398">
        <v>0.57317933755280603</v>
      </c>
      <c r="AL5398">
        <v>87.650452413999403</v>
      </c>
      <c r="AM5398">
        <v>76.025258932193196</v>
      </c>
      <c r="AN5398">
        <v>1.00000001781934</v>
      </c>
    </row>
    <row r="5399" spans="1:40" x14ac:dyDescent="0.25">
      <c r="A5399" t="str">
        <f>"20190305135341985"</f>
        <v>20190305135341985</v>
      </c>
      <c r="B5399" t="str">
        <f>"1551765221975185"</f>
        <v>1551765221975185</v>
      </c>
      <c r="C5399" t="s">
        <v>40</v>
      </c>
      <c r="D5399">
        <v>4.2835229999999997</v>
      </c>
      <c r="E5399">
        <v>0.47333350000000002</v>
      </c>
      <c r="F5399" t="s">
        <v>41</v>
      </c>
      <c r="G5399">
        <v>-316.7903</v>
      </c>
      <c r="H5399">
        <v>0.87139669999999902</v>
      </c>
      <c r="I5399">
        <v>15.9117</v>
      </c>
      <c r="J5399">
        <v>-317.42520000000002</v>
      </c>
      <c r="K5399">
        <v>1.0861350000000001</v>
      </c>
      <c r="L5399">
        <v>16.13449</v>
      </c>
      <c r="M5399">
        <v>0.99057390000000001</v>
      </c>
      <c r="N5399">
        <v>-2.2833059999999999E-2</v>
      </c>
      <c r="O5399">
        <v>-0.13506290000000001</v>
      </c>
      <c r="P5399">
        <v>0.92812090000000003</v>
      </c>
      <c r="Q5399">
        <v>2.099347E-2</v>
      </c>
      <c r="R5399">
        <v>-0.37168679999999998</v>
      </c>
      <c r="S5399">
        <v>2.8846129999999999</v>
      </c>
      <c r="T5399">
        <v>-0.80978819999999996</v>
      </c>
      <c r="U5399">
        <v>-0.91223140000000003</v>
      </c>
      <c r="V5399">
        <v>0.24333940000000001</v>
      </c>
      <c r="W5399">
        <v>4.053085E-2</v>
      </c>
      <c r="X5399">
        <v>0.96909400000000001</v>
      </c>
      <c r="Y5399">
        <v>0.167520899999999</v>
      </c>
      <c r="Z5399">
        <v>8.5610229999999992E-3</v>
      </c>
      <c r="AA5399">
        <v>0.98583129999999997</v>
      </c>
      <c r="AB5399">
        <v>25</v>
      </c>
      <c r="AC5399">
        <v>0.63490000000001601</v>
      </c>
      <c r="AD5399">
        <v>-0.21473829999999999</v>
      </c>
      <c r="AE5399">
        <v>-0.22278999999999899</v>
      </c>
      <c r="AF5399">
        <v>0.122496954694646</v>
      </c>
      <c r="AG5399">
        <v>-0.21473829999999999</v>
      </c>
      <c r="AH5399">
        <v>0.59824451715787097</v>
      </c>
      <c r="AI5399">
        <v>109.374286945207</v>
      </c>
      <c r="AJ5399">
        <v>78.428033361680903</v>
      </c>
      <c r="AK5399">
        <v>0.647313327304333</v>
      </c>
      <c r="AL5399">
        <v>87.677117066038505</v>
      </c>
      <c r="AM5399">
        <v>75.904459669402797</v>
      </c>
      <c r="AN5399">
        <v>0.99999999711504095</v>
      </c>
    </row>
    <row r="5400" spans="1:40" x14ac:dyDescent="0.25">
      <c r="A5400" t="str">
        <f>"20190305135342003"</f>
        <v>20190305135342003</v>
      </c>
      <c r="B5400" t="str">
        <f>"1551765221995681"</f>
        <v>1551765221995681</v>
      </c>
      <c r="C5400" t="s">
        <v>40</v>
      </c>
      <c r="D5400">
        <v>4.7277139999999997</v>
      </c>
      <c r="E5400">
        <v>0.47347450000000002</v>
      </c>
      <c r="F5400" t="s">
        <v>41</v>
      </c>
      <c r="G5400">
        <v>-316.58249999999998</v>
      </c>
      <c r="H5400">
        <v>0.84894199999999997</v>
      </c>
      <c r="I5400">
        <v>15.8636</v>
      </c>
      <c r="J5400">
        <v>-317.22210000000001</v>
      </c>
      <c r="K5400">
        <v>1.0841449999999999</v>
      </c>
      <c r="L5400">
        <v>16.102329999999998</v>
      </c>
      <c r="M5400">
        <v>0.99004729999999996</v>
      </c>
      <c r="N5400">
        <v>-2.2646920000000001E-2</v>
      </c>
      <c r="O5400">
        <v>-0.1389012</v>
      </c>
      <c r="P5400">
        <v>0.92475600000000002</v>
      </c>
      <c r="Q5400">
        <v>2.0988400000000001E-2</v>
      </c>
      <c r="R5400">
        <v>-0.37998169999999998</v>
      </c>
      <c r="S5400">
        <v>2.8800349999999999</v>
      </c>
      <c r="T5400">
        <v>-0.81048599999999904</v>
      </c>
      <c r="U5400">
        <v>-0.92547610000000002</v>
      </c>
      <c r="V5400">
        <v>0.24827009999999999</v>
      </c>
      <c r="W5400">
        <v>4.0194000000000001E-2</v>
      </c>
      <c r="X5400">
        <v>0.96785659999999896</v>
      </c>
      <c r="Y5400">
        <v>0.168352799999999</v>
      </c>
      <c r="Z5400">
        <v>9.4315449999999995E-3</v>
      </c>
      <c r="AA5400">
        <v>0.98568169999999999</v>
      </c>
      <c r="AB5400">
        <v>25</v>
      </c>
      <c r="AC5400">
        <v>0.63960000000002903</v>
      </c>
      <c r="AD5400">
        <v>-0.235203</v>
      </c>
      <c r="AE5400">
        <v>-0.238729999999998</v>
      </c>
      <c r="AF5400">
        <v>0.13189554421836699</v>
      </c>
      <c r="AG5400">
        <v>-0.235203</v>
      </c>
      <c r="AH5400">
        <v>0.595842710563244</v>
      </c>
      <c r="AI5400">
        <v>111.07718288853199</v>
      </c>
      <c r="AJ5400">
        <v>77.518295953987405</v>
      </c>
      <c r="AK5400">
        <v>0.65402249313384697</v>
      </c>
      <c r="AL5400">
        <v>87.696432894629595</v>
      </c>
      <c r="AM5400">
        <v>75.612954179443093</v>
      </c>
      <c r="AN5400">
        <v>0.99999999917678395</v>
      </c>
    </row>
    <row r="5401" spans="1:40" x14ac:dyDescent="0.25">
      <c r="A5401" t="str">
        <f>"20190305135342017"</f>
        <v>20190305135342017</v>
      </c>
      <c r="B5401" t="str">
        <f>"1551765222005440"</f>
        <v>1551765222005440</v>
      </c>
      <c r="C5401" t="s">
        <v>40</v>
      </c>
      <c r="D5401">
        <v>4.1459669999999997</v>
      </c>
      <c r="E5401">
        <v>0.52708569999999999</v>
      </c>
      <c r="F5401" t="s">
        <v>41</v>
      </c>
      <c r="G5401">
        <v>-316.55919999999998</v>
      </c>
      <c r="H5401">
        <v>0.89713229999999999</v>
      </c>
      <c r="I5401">
        <v>15.882429999999999</v>
      </c>
      <c r="J5401">
        <v>-317.08269999999999</v>
      </c>
      <c r="K5401">
        <v>1.0827329999999999</v>
      </c>
      <c r="L5401">
        <v>16.07968</v>
      </c>
      <c r="M5401">
        <v>0.98968849999999997</v>
      </c>
      <c r="N5401">
        <v>-2.2438469999999999E-2</v>
      </c>
      <c r="O5401">
        <v>-0.14146800000000001</v>
      </c>
      <c r="P5401">
        <v>0.92270229999999998</v>
      </c>
      <c r="Q5401">
        <v>2.1355490000000001E-2</v>
      </c>
      <c r="R5401">
        <v>-0.38492090000000001</v>
      </c>
      <c r="S5401">
        <v>2.8713069999999998</v>
      </c>
      <c r="T5401">
        <v>-0.80984209999999901</v>
      </c>
      <c r="U5401">
        <v>-0.95199579999999995</v>
      </c>
      <c r="V5401">
        <v>0.25094660000000002</v>
      </c>
      <c r="W5401">
        <v>4.0273089999999998E-2</v>
      </c>
      <c r="X5401">
        <v>0.96716279999999999</v>
      </c>
      <c r="Y5401">
        <v>0.1747368</v>
      </c>
      <c r="Z5401">
        <v>9.1707409999999996E-3</v>
      </c>
      <c r="AA5401">
        <v>0.98457249999999996</v>
      </c>
      <c r="AB5401">
        <v>25</v>
      </c>
      <c r="AC5401">
        <v>0.52350000000001196</v>
      </c>
      <c r="AD5401">
        <v>-0.18560069999999901</v>
      </c>
      <c r="AE5401">
        <v>-0.19725000000000001</v>
      </c>
      <c r="AF5401">
        <v>0.109171515070078</v>
      </c>
      <c r="AG5401">
        <v>-0.18560069999999901</v>
      </c>
      <c r="AH5401">
        <v>0.49199040264682098</v>
      </c>
      <c r="AI5401">
        <v>110.218073601741</v>
      </c>
      <c r="AJ5401">
        <v>77.488914891995293</v>
      </c>
      <c r="AK5401">
        <v>0.53704803867044104</v>
      </c>
      <c r="AL5401">
        <v>87.691897700651893</v>
      </c>
      <c r="AM5401">
        <v>75.454405247263495</v>
      </c>
      <c r="AN5401">
        <v>0.99999999976677401</v>
      </c>
    </row>
    <row r="5402" spans="1:40" x14ac:dyDescent="0.25">
      <c r="A5402" t="str">
        <f>"20190305135342030"</f>
        <v>20190305135342030</v>
      </c>
      <c r="B5402" t="str">
        <f>"1551765222025936"</f>
        <v>1551765222025936</v>
      </c>
      <c r="C5402" t="s">
        <v>40</v>
      </c>
      <c r="D5402">
        <v>4.5429529999999998</v>
      </c>
      <c r="E5402">
        <v>0.59632580000000002</v>
      </c>
      <c r="F5402" t="s">
        <v>47</v>
      </c>
      <c r="G5402">
        <v>-311.41309999999999</v>
      </c>
      <c r="H5402">
        <v>-0.05</v>
      </c>
      <c r="I5402">
        <v>13.2206299999999</v>
      </c>
      <c r="J5402">
        <v>-316.93400000000003</v>
      </c>
      <c r="K5402">
        <v>1.081224</v>
      </c>
      <c r="L5402">
        <v>16.055150000000001</v>
      </c>
      <c r="M5402">
        <v>0.98930169999999995</v>
      </c>
      <c r="N5402">
        <v>-2.2168529999999999E-2</v>
      </c>
      <c r="O5402">
        <v>-0.14418979999999901</v>
      </c>
      <c r="P5402">
        <v>0.92060180000000003</v>
      </c>
      <c r="Q5402">
        <v>2.1277629999999999E-2</v>
      </c>
      <c r="R5402">
        <v>-0.3899224</v>
      </c>
      <c r="S5402">
        <v>2.6965029999999999</v>
      </c>
      <c r="T5402">
        <v>-0.53873040000000005</v>
      </c>
      <c r="U5402">
        <v>-1.359772</v>
      </c>
      <c r="V5402">
        <v>0.25353710000000002</v>
      </c>
      <c r="W5402">
        <v>3.985905E-2</v>
      </c>
      <c r="X5402">
        <v>0.96650409999999998</v>
      </c>
      <c r="Y5402">
        <v>0.31301099999999998</v>
      </c>
      <c r="Z5402">
        <v>-9.3271090000000001E-3</v>
      </c>
      <c r="AA5402">
        <v>0.94970370000000004</v>
      </c>
      <c r="AB5402">
        <v>25</v>
      </c>
      <c r="AC5402">
        <v>5.5209000000000401</v>
      </c>
      <c r="AD5402">
        <v>-1.131224</v>
      </c>
      <c r="AE5402">
        <v>-2.8345199999999999</v>
      </c>
      <c r="AF5402">
        <v>1.9440402656359399</v>
      </c>
      <c r="AG5402">
        <v>-1.131224</v>
      </c>
      <c r="AH5402">
        <v>5.6831628134619399</v>
      </c>
      <c r="AI5402">
        <v>100.66583090720199</v>
      </c>
      <c r="AJ5402">
        <v>71.115714514175593</v>
      </c>
      <c r="AK5402">
        <v>6.1120618335310102</v>
      </c>
      <c r="AL5402">
        <v>87.715639487249604</v>
      </c>
      <c r="AM5402">
        <v>75.301137244456001</v>
      </c>
      <c r="AN5402">
        <v>0.99999999013006102</v>
      </c>
    </row>
    <row r="5403" spans="1:40" x14ac:dyDescent="0.25">
      <c r="A5403" t="str">
        <f>"20190305135342041"</f>
        <v>20190305135342041</v>
      </c>
      <c r="B5403" t="str">
        <f>"1551765222035696"</f>
        <v>1551765222035696</v>
      </c>
      <c r="C5403" t="s">
        <v>40</v>
      </c>
      <c r="D5403">
        <v>4.522583</v>
      </c>
      <c r="E5403">
        <v>0.61328899999999997</v>
      </c>
      <c r="F5403" t="s">
        <v>47</v>
      </c>
      <c r="G5403">
        <v>-310.2448</v>
      </c>
      <c r="H5403">
        <v>-0.05</v>
      </c>
      <c r="I5403">
        <v>10.961639999999999</v>
      </c>
      <c r="J5403">
        <v>-316.80470000000003</v>
      </c>
      <c r="K5403">
        <v>1.0799099999999999</v>
      </c>
      <c r="L5403">
        <v>16.033479999999901</v>
      </c>
      <c r="M5403">
        <v>0.98896289999999998</v>
      </c>
      <c r="N5403">
        <v>-2.1880500000000001E-2</v>
      </c>
      <c r="O5403">
        <v>-0.146539</v>
      </c>
      <c r="P5403">
        <v>0.9186242</v>
      </c>
      <c r="Q5403">
        <v>2.1332139999999999E-2</v>
      </c>
      <c r="R5403">
        <v>-0.39455620000000002</v>
      </c>
      <c r="S5403">
        <v>2.4713440000000002</v>
      </c>
      <c r="T5403">
        <v>-0.41793979999999997</v>
      </c>
      <c r="U5403">
        <v>-1.8818360000000001</v>
      </c>
      <c r="V5403">
        <v>0.25611260000000002</v>
      </c>
      <c r="W5403">
        <v>3.9580320000000002E-2</v>
      </c>
      <c r="X5403">
        <v>0.96583629999999998</v>
      </c>
      <c r="Y5403">
        <v>0.47863050000000001</v>
      </c>
      <c r="Z5403">
        <v>-2.2899599999999999E-2</v>
      </c>
      <c r="AA5403">
        <v>0.87771779999999999</v>
      </c>
      <c r="AB5403">
        <v>25</v>
      </c>
      <c r="AC5403">
        <v>6.5599000000000203</v>
      </c>
      <c r="AD5403">
        <v>-1.12991</v>
      </c>
      <c r="AE5403">
        <v>-5.0718399999999901</v>
      </c>
      <c r="AF5403">
        <v>3.9816183388280701</v>
      </c>
      <c r="AG5403">
        <v>-1.12991</v>
      </c>
      <c r="AH5403">
        <v>7.1006034680791297</v>
      </c>
      <c r="AI5403">
        <v>97.9019832760887</v>
      </c>
      <c r="AJ5403">
        <v>60.718747686022297</v>
      </c>
      <c r="AK5403">
        <v>8.2187925399713908</v>
      </c>
      <c r="AL5403">
        <v>87.731622202256702</v>
      </c>
      <c r="AM5403">
        <v>75.148573052786702</v>
      </c>
      <c r="AN5403">
        <v>1.0000000120038699</v>
      </c>
    </row>
    <row r="5404" spans="1:40" x14ac:dyDescent="0.25">
      <c r="A5404" t="str">
        <f>"20190305135342052"</f>
        <v>20190305135342052</v>
      </c>
      <c r="B5404" t="str">
        <f>"1551765222045456"</f>
        <v>1551765222045456</v>
      </c>
      <c r="C5404" t="s">
        <v>40</v>
      </c>
      <c r="D5404">
        <v>4.423603</v>
      </c>
      <c r="E5404">
        <v>0.62571529999999997</v>
      </c>
      <c r="F5404" t="s">
        <v>47</v>
      </c>
      <c r="G5404">
        <v>-310.29790000000003</v>
      </c>
      <c r="H5404">
        <v>-0.05</v>
      </c>
      <c r="I5404">
        <v>10.5793</v>
      </c>
      <c r="J5404">
        <v>-316.68959999999998</v>
      </c>
      <c r="K5404">
        <v>1.078773</v>
      </c>
      <c r="L5404">
        <v>16.01379</v>
      </c>
      <c r="M5404">
        <v>0.98864419999999997</v>
      </c>
      <c r="N5404">
        <v>-2.1586919999999999E-2</v>
      </c>
      <c r="O5404">
        <v>-0.14871690000000001</v>
      </c>
      <c r="P5404">
        <v>0.91659860000000004</v>
      </c>
      <c r="Q5404">
        <v>2.106162E-2</v>
      </c>
      <c r="R5404">
        <v>-0.3992541</v>
      </c>
      <c r="S5404">
        <v>2.4083860000000001</v>
      </c>
      <c r="T5404">
        <v>-0.41821580000000003</v>
      </c>
      <c r="U5404">
        <v>-2.0187680000000001</v>
      </c>
      <c r="V5404">
        <v>0.25892169999999998</v>
      </c>
      <c r="W5404">
        <v>3.8997120000000003E-2</v>
      </c>
      <c r="X5404">
        <v>0.96511080000000005</v>
      </c>
      <c r="Y5404">
        <v>0.516934</v>
      </c>
      <c r="Z5404">
        <v>-2.598961E-2</v>
      </c>
      <c r="AA5404">
        <v>0.85563060000000002</v>
      </c>
      <c r="AB5404">
        <v>25</v>
      </c>
      <c r="AC5404">
        <v>6.3916999999999504</v>
      </c>
      <c r="AD5404">
        <v>-1.128773</v>
      </c>
      <c r="AE5404">
        <v>-5.4344900000000003</v>
      </c>
      <c r="AF5404">
        <v>4.3446092924420796</v>
      </c>
      <c r="AG5404">
        <v>-1.128773</v>
      </c>
      <c r="AH5404">
        <v>7.0022269304636904</v>
      </c>
      <c r="AI5404">
        <v>97.799705419626605</v>
      </c>
      <c r="AJ5404">
        <v>58.182008473959797</v>
      </c>
      <c r="AK5404">
        <v>8.3175080628283098</v>
      </c>
      <c r="AL5404">
        <v>87.765062981301796</v>
      </c>
      <c r="AM5404">
        <v>74.982218976647701</v>
      </c>
      <c r="AN5404">
        <v>1.00000003918791</v>
      </c>
    </row>
    <row r="5405" spans="1:40" x14ac:dyDescent="0.25">
      <c r="A5405" t="str">
        <f>"20190305135342063"</f>
        <v>20190305135342063</v>
      </c>
      <c r="B5405" t="str">
        <f>"1551765222055216"</f>
        <v>1551765222055216</v>
      </c>
      <c r="C5405" t="s">
        <v>40</v>
      </c>
      <c r="D5405">
        <v>4.6108669999999998</v>
      </c>
      <c r="E5405">
        <v>0.6344187</v>
      </c>
      <c r="F5405" t="s">
        <v>47</v>
      </c>
      <c r="G5405">
        <v>-309.7244</v>
      </c>
      <c r="H5405">
        <v>-0.05</v>
      </c>
      <c r="I5405">
        <v>9.7465209999999995</v>
      </c>
      <c r="J5405">
        <v>-316.57100000000003</v>
      </c>
      <c r="K5405">
        <v>1.077618</v>
      </c>
      <c r="L5405">
        <v>15.993379999999901</v>
      </c>
      <c r="M5405">
        <v>0.98830620000000002</v>
      </c>
      <c r="N5405">
        <v>-2.1270420000000002E-2</v>
      </c>
      <c r="O5405">
        <v>-0.15099099999999999</v>
      </c>
      <c r="P5405">
        <v>0.91447400000000001</v>
      </c>
      <c r="Q5405">
        <v>2.0788239999999999E-2</v>
      </c>
      <c r="R5405">
        <v>-0.40411049999999998</v>
      </c>
      <c r="S5405">
        <v>2.3576969999999999</v>
      </c>
      <c r="T5405">
        <v>-0.38208769999999997</v>
      </c>
      <c r="U5405">
        <v>-2.1214599999999999</v>
      </c>
      <c r="V5405">
        <v>0.26180989999999998</v>
      </c>
      <c r="W5405">
        <v>3.8400089999999998E-2</v>
      </c>
      <c r="X5405">
        <v>0.96435519999999997</v>
      </c>
      <c r="Y5405">
        <v>0.54510029999999998</v>
      </c>
      <c r="Z5405">
        <v>-2.6550810000000001E-2</v>
      </c>
      <c r="AA5405">
        <v>0.83795030000000004</v>
      </c>
      <c r="AB5405">
        <v>25</v>
      </c>
      <c r="AC5405">
        <v>6.8465999999999596</v>
      </c>
      <c r="AD5405">
        <v>-1.127618</v>
      </c>
      <c r="AE5405">
        <v>-6.2468589999999899</v>
      </c>
      <c r="AF5405">
        <v>5.06620552192968</v>
      </c>
      <c r="AG5405">
        <v>-1.127618</v>
      </c>
      <c r="AH5405">
        <v>7.5990174873601601</v>
      </c>
      <c r="AI5405">
        <v>97.038486879935107</v>
      </c>
      <c r="AJ5405">
        <v>56.308920531823397</v>
      </c>
      <c r="AK5405">
        <v>9.2023381549234706</v>
      </c>
      <c r="AL5405">
        <v>87.799295772959994</v>
      </c>
      <c r="AM5405">
        <v>74.811044797053</v>
      </c>
      <c r="AN5405">
        <v>0.99999997120852802</v>
      </c>
    </row>
    <row r="5406" spans="1:40" x14ac:dyDescent="0.25">
      <c r="A5406" t="str">
        <f>"20190305135342073"</f>
        <v>20190305135342073</v>
      </c>
      <c r="B5406" t="str">
        <f>"1551765222065953"</f>
        <v>1551765222065953</v>
      </c>
      <c r="C5406" t="s">
        <v>40</v>
      </c>
      <c r="D5406">
        <v>4.5556369999999999</v>
      </c>
      <c r="E5406">
        <v>0.63894830000000002</v>
      </c>
      <c r="F5406" t="s">
        <v>47</v>
      </c>
      <c r="G5406">
        <v>-309.9153</v>
      </c>
      <c r="H5406">
        <v>-0.05</v>
      </c>
      <c r="I5406">
        <v>9.6855770000000003</v>
      </c>
      <c r="J5406">
        <v>-316.45979999999997</v>
      </c>
      <c r="K5406">
        <v>1.076578</v>
      </c>
      <c r="L5406">
        <v>15.973789999999999</v>
      </c>
      <c r="M5406">
        <v>0.98796419999999996</v>
      </c>
      <c r="N5406">
        <v>-2.0942849999999999E-2</v>
      </c>
      <c r="O5406">
        <v>-0.1532596</v>
      </c>
      <c r="P5406">
        <v>0.91225800000000001</v>
      </c>
      <c r="Q5406">
        <v>2.0153460000000002E-2</v>
      </c>
      <c r="R5406">
        <v>-0.40912019999999999</v>
      </c>
      <c r="S5406">
        <v>2.3184809999999998</v>
      </c>
      <c r="T5406">
        <v>-0.3928007</v>
      </c>
      <c r="U5406">
        <v>-2.1972960000000001</v>
      </c>
      <c r="V5406">
        <v>0.26486690000000002</v>
      </c>
      <c r="W5406">
        <v>3.744948E-2</v>
      </c>
      <c r="X5406">
        <v>0.96355749999999996</v>
      </c>
      <c r="Y5406">
        <v>0.56437119999999996</v>
      </c>
      <c r="Z5406">
        <v>-2.8310950000000001E-2</v>
      </c>
      <c r="AA5406">
        <v>0.82503549999999903</v>
      </c>
      <c r="AB5406">
        <v>25</v>
      </c>
      <c r="AC5406">
        <v>6.54449999999997</v>
      </c>
      <c r="AD5406">
        <v>-1.1265780000000001</v>
      </c>
      <c r="AE5406">
        <v>-6.2882129999999901</v>
      </c>
      <c r="AF5406">
        <v>5.13159681011141</v>
      </c>
      <c r="AG5406">
        <v>-1.1265780000000001</v>
      </c>
      <c r="AH5406">
        <v>7.3183293658815298</v>
      </c>
      <c r="AI5406">
        <v>97.183733979527901</v>
      </c>
      <c r="AJ5406">
        <v>54.961944176887002</v>
      </c>
      <c r="AK5406">
        <v>9.0089071767420101</v>
      </c>
      <c r="AL5406">
        <v>87.853800984211006</v>
      </c>
      <c r="AM5406">
        <v>74.629908044187005</v>
      </c>
      <c r="AN5406">
        <v>0.99999999703706499</v>
      </c>
    </row>
    <row r="5407" spans="1:40" x14ac:dyDescent="0.25">
      <c r="A5407" t="str">
        <f>"20190305135342085"</f>
        <v>20190305135342085</v>
      </c>
      <c r="B5407" t="str">
        <f>"1551765222075713"</f>
        <v>1551765222075713</v>
      </c>
      <c r="C5407" t="s">
        <v>40</v>
      </c>
      <c r="D5407">
        <v>4.5644119999999999</v>
      </c>
      <c r="E5407">
        <v>0.64142109999999997</v>
      </c>
      <c r="F5407" t="s">
        <v>47</v>
      </c>
      <c r="G5407">
        <v>-309.95909999999998</v>
      </c>
      <c r="H5407">
        <v>-0.05</v>
      </c>
      <c r="I5407">
        <v>9.6108860000000007</v>
      </c>
      <c r="J5407">
        <v>-316.33699999999999</v>
      </c>
      <c r="K5407">
        <v>1.075439</v>
      </c>
      <c r="L5407">
        <v>15.952120000000001</v>
      </c>
      <c r="M5407">
        <v>0.98757640000000002</v>
      </c>
      <c r="N5407">
        <v>-2.057608E-2</v>
      </c>
      <c r="O5407">
        <v>-0.15578699999999901</v>
      </c>
      <c r="P5407">
        <v>0.90988239999999998</v>
      </c>
      <c r="Q5407">
        <v>1.9897310000000001E-2</v>
      </c>
      <c r="R5407">
        <v>-0.41438930000000002</v>
      </c>
      <c r="S5407">
        <v>2.2914430000000001</v>
      </c>
      <c r="T5407">
        <v>-0.39711239999999998</v>
      </c>
      <c r="U5407">
        <v>-2.2428889999999999</v>
      </c>
      <c r="V5407">
        <v>0.26795950000000002</v>
      </c>
      <c r="W5407">
        <v>3.6850519999999998E-2</v>
      </c>
      <c r="X5407">
        <v>0.96272519999999995</v>
      </c>
      <c r="Y5407">
        <v>0.57536669999999901</v>
      </c>
      <c r="Z5407">
        <v>-2.9045290000000001E-2</v>
      </c>
      <c r="AA5407">
        <v>0.81737969999999904</v>
      </c>
      <c r="AB5407">
        <v>25</v>
      </c>
      <c r="AC5407">
        <v>6.3779000000000101</v>
      </c>
      <c r="AD5407">
        <v>-1.1254389999999901</v>
      </c>
      <c r="AE5407">
        <v>-6.341234</v>
      </c>
      <c r="AF5407">
        <v>5.1887259404925503</v>
      </c>
      <c r="AG5407">
        <v>-1.1254389999999901</v>
      </c>
      <c r="AH5407">
        <v>7.1757254931754302</v>
      </c>
      <c r="AI5407">
        <v>97.243123051065297</v>
      </c>
      <c r="AJ5407">
        <v>54.1295240669644</v>
      </c>
      <c r="AK5407">
        <v>8.9263949151753899</v>
      </c>
      <c r="AL5407">
        <v>87.888142646022501</v>
      </c>
      <c r="AM5407">
        <v>74.446287945243995</v>
      </c>
      <c r="AN5407">
        <v>1.00000003258977</v>
      </c>
    </row>
    <row r="5408" spans="1:40" x14ac:dyDescent="0.25">
      <c r="A5408" t="str">
        <f>"20190305135342095"</f>
        <v>20190305135342095</v>
      </c>
      <c r="B5408" t="str">
        <f>"1551765222085473"</f>
        <v>1551765222085473</v>
      </c>
      <c r="C5408" t="s">
        <v>40</v>
      </c>
      <c r="D5408">
        <v>4.4525110000000003</v>
      </c>
      <c r="E5408">
        <v>0.64275709999999997</v>
      </c>
      <c r="F5408" t="s">
        <v>47</v>
      </c>
      <c r="G5408">
        <v>-309.93529999999998</v>
      </c>
      <c r="H5408">
        <v>-0.05</v>
      </c>
      <c r="I5408">
        <v>9.5403439999999993</v>
      </c>
      <c r="J5408">
        <v>-316.22089999999997</v>
      </c>
      <c r="K5408">
        <v>1.074392</v>
      </c>
      <c r="L5408">
        <v>15.93112</v>
      </c>
      <c r="M5408">
        <v>0.98718839999999997</v>
      </c>
      <c r="N5408">
        <v>-2.0197840000000002E-2</v>
      </c>
      <c r="O5408">
        <v>-0.15827629999999901</v>
      </c>
      <c r="P5408">
        <v>0.90746530000000003</v>
      </c>
      <c r="Q5408">
        <v>1.9573569999999998E-2</v>
      </c>
      <c r="R5408">
        <v>-0.41967149999999998</v>
      </c>
      <c r="S5408">
        <v>2.2702640000000001</v>
      </c>
      <c r="T5408">
        <v>-0.39911950000000002</v>
      </c>
      <c r="U5408">
        <v>-2.2738339999999999</v>
      </c>
      <c r="V5408">
        <v>0.27111420000000003</v>
      </c>
      <c r="W5408">
        <v>3.6166709999999998E-2</v>
      </c>
      <c r="X5408">
        <v>0.96186749999999999</v>
      </c>
      <c r="Y5408">
        <v>0.58260780000000001</v>
      </c>
      <c r="Z5408">
        <v>-2.934583E-2</v>
      </c>
      <c r="AA5408">
        <v>0.81222349999999999</v>
      </c>
      <c r="AB5408">
        <v>25</v>
      </c>
      <c r="AC5408">
        <v>6.2855999999999801</v>
      </c>
      <c r="AD5408">
        <v>-1.1243920000000001</v>
      </c>
      <c r="AE5408">
        <v>-6.3907759999999998</v>
      </c>
      <c r="AF5408">
        <v>5.2327880890657701</v>
      </c>
      <c r="AG5408">
        <v>-1.1243920000000001</v>
      </c>
      <c r="AH5408">
        <v>7.10624006545725</v>
      </c>
      <c r="AI5408">
        <v>97.260921932478297</v>
      </c>
      <c r="AJ5408">
        <v>53.633360680267998</v>
      </c>
      <c r="AK5408">
        <v>8.8963462400382394</v>
      </c>
      <c r="AL5408">
        <v>87.927348170707702</v>
      </c>
      <c r="AM5408">
        <v>74.258856011777297</v>
      </c>
      <c r="AN5408">
        <v>1.00000001395505</v>
      </c>
    </row>
    <row r="5409" spans="1:40" x14ac:dyDescent="0.25">
      <c r="A5409" t="str">
        <f>"20190305135342105"</f>
        <v>20190305135342105</v>
      </c>
      <c r="B5409" t="str">
        <f>"1551765222095232"</f>
        <v>1551765222095232</v>
      </c>
      <c r="C5409" t="s">
        <v>40</v>
      </c>
      <c r="D5409">
        <v>4.4819290000000001</v>
      </c>
      <c r="E5409">
        <v>0.64386509999999997</v>
      </c>
      <c r="F5409" t="s">
        <v>47</v>
      </c>
      <c r="G5409">
        <v>-309.66320000000002</v>
      </c>
      <c r="H5409">
        <v>-0.05</v>
      </c>
      <c r="I5409">
        <v>9.2449340000000007</v>
      </c>
      <c r="J5409">
        <v>-316.10879999999997</v>
      </c>
      <c r="K5409">
        <v>1.073388</v>
      </c>
      <c r="L5409">
        <v>15.910769999999999</v>
      </c>
      <c r="M5409">
        <v>0.98680749999999995</v>
      </c>
      <c r="N5409">
        <v>-1.9830799999999999E-2</v>
      </c>
      <c r="O5409">
        <v>-0.16067899999999999</v>
      </c>
      <c r="P5409">
        <v>0.90502289999999996</v>
      </c>
      <c r="Q5409">
        <v>1.9169519999999999E-2</v>
      </c>
      <c r="R5409">
        <v>-0.42493059999999999</v>
      </c>
      <c r="S5409">
        <v>2.2522579999999999</v>
      </c>
      <c r="T5409">
        <v>-0.38617580000000001</v>
      </c>
      <c r="U5409">
        <v>-2.2963870000000002</v>
      </c>
      <c r="V5409">
        <v>0.27433960000000002</v>
      </c>
      <c r="W5409">
        <v>3.541093E-2</v>
      </c>
      <c r="X5409">
        <v>0.96098070000000002</v>
      </c>
      <c r="Y5409">
        <v>0.58807749999999903</v>
      </c>
      <c r="Z5409">
        <v>-2.8769940000000001E-2</v>
      </c>
      <c r="AA5409">
        <v>0.80829269999999998</v>
      </c>
      <c r="AB5409">
        <v>25</v>
      </c>
      <c r="AC5409">
        <v>6.44559999999995</v>
      </c>
      <c r="AD5409">
        <v>-1.1233879999999901</v>
      </c>
      <c r="AE5409">
        <v>-6.6658359999999997</v>
      </c>
      <c r="AF5409">
        <v>5.4631266597697401</v>
      </c>
      <c r="AG5409">
        <v>-1.1233879999999901</v>
      </c>
      <c r="AH5409">
        <v>7.3255633079636304</v>
      </c>
      <c r="AI5409">
        <v>97.008266930667702</v>
      </c>
      <c r="AJ5409">
        <v>53.285823655551802</v>
      </c>
      <c r="AK5409">
        <v>9.2071510945685002</v>
      </c>
      <c r="AL5409">
        <v>87.970678962525795</v>
      </c>
      <c r="AM5409">
        <v>74.067079863256694</v>
      </c>
      <c r="AN5409">
        <v>1.00000002793205</v>
      </c>
    </row>
    <row r="5410" spans="1:40" x14ac:dyDescent="0.25">
      <c r="A5410" t="str">
        <f>"20190305135342116"</f>
        <v>20190305135342116</v>
      </c>
      <c r="B5410" t="str">
        <f>"1551765222104992"</f>
        <v>1551765222104992</v>
      </c>
      <c r="C5410" t="s">
        <v>40</v>
      </c>
      <c r="D5410">
        <v>4.4919440000000002</v>
      </c>
      <c r="E5410">
        <v>0.64504079999999997</v>
      </c>
      <c r="F5410" t="s">
        <v>47</v>
      </c>
      <c r="G5410">
        <v>-309.4674</v>
      </c>
      <c r="H5410">
        <v>-0.05</v>
      </c>
      <c r="I5410">
        <v>9.0250400000000006</v>
      </c>
      <c r="J5410">
        <v>-315.99</v>
      </c>
      <c r="K5410">
        <v>1.0723400000000001</v>
      </c>
      <c r="L5410">
        <v>15.888669999999999</v>
      </c>
      <c r="M5410">
        <v>0.98639779999999999</v>
      </c>
      <c r="N5410">
        <v>-1.9422269999999998E-2</v>
      </c>
      <c r="O5410">
        <v>-0.16322449999999999</v>
      </c>
      <c r="P5410">
        <v>0.9024297</v>
      </c>
      <c r="Q5410">
        <v>1.8952199999999999E-2</v>
      </c>
      <c r="R5410">
        <v>-0.43042069999999999</v>
      </c>
      <c r="S5410">
        <v>2.2349239999999999</v>
      </c>
      <c r="T5410">
        <v>-0.37803949999999997</v>
      </c>
      <c r="U5410">
        <v>-2.3171689999999998</v>
      </c>
      <c r="V5410">
        <v>0.27768739999999997</v>
      </c>
      <c r="W5410">
        <v>3.4785709999999997E-2</v>
      </c>
      <c r="X5410">
        <v>0.96004149999999999</v>
      </c>
      <c r="Y5410">
        <v>0.59288059999999998</v>
      </c>
      <c r="Z5410">
        <v>-2.832989E-2</v>
      </c>
      <c r="AA5410">
        <v>0.8047919</v>
      </c>
      <c r="AB5410">
        <v>25</v>
      </c>
      <c r="AC5410">
        <v>6.5226000000000104</v>
      </c>
      <c r="AD5410">
        <v>-1.1223399999999999</v>
      </c>
      <c r="AE5410">
        <v>-6.8636299999999997</v>
      </c>
      <c r="AF5410">
        <v>5.62762868063031</v>
      </c>
      <c r="AG5410">
        <v>-1.1223399999999999</v>
      </c>
      <c r="AH5410">
        <v>7.4509292029247698</v>
      </c>
      <c r="AI5410">
        <v>96.853995003825304</v>
      </c>
      <c r="AJ5410">
        <v>52.936533685673503</v>
      </c>
      <c r="AK5410">
        <v>9.4045838626517693</v>
      </c>
      <c r="AL5410">
        <v>88.006523478191895</v>
      </c>
      <c r="AM5410">
        <v>73.867740737930106</v>
      </c>
      <c r="AN5410">
        <v>1.0000000097306001</v>
      </c>
    </row>
    <row r="5411" spans="1:40" x14ac:dyDescent="0.25">
      <c r="A5411" t="str">
        <f>"20190305135342128"</f>
        <v>20190305135342128</v>
      </c>
      <c r="B5411" t="str">
        <f>"1551765222125489"</f>
        <v>1551765222125489</v>
      </c>
      <c r="C5411" t="s">
        <v>40</v>
      </c>
      <c r="D5411">
        <v>4.454485</v>
      </c>
      <c r="E5411">
        <v>0.64591690000000002</v>
      </c>
      <c r="F5411" t="s">
        <v>47</v>
      </c>
      <c r="G5411">
        <v>-309.33879999999999</v>
      </c>
      <c r="H5411">
        <v>-0.05</v>
      </c>
      <c r="I5411">
        <v>8.8695219999999999</v>
      </c>
      <c r="J5411">
        <v>-315.87619999999998</v>
      </c>
      <c r="K5411">
        <v>1.0713490000000001</v>
      </c>
      <c r="L5411">
        <v>15.867430000000001</v>
      </c>
      <c r="M5411">
        <v>0.98600080000000001</v>
      </c>
      <c r="N5411">
        <v>-1.9029290000000001E-2</v>
      </c>
      <c r="O5411">
        <v>-0.16565170000000001</v>
      </c>
      <c r="P5411">
        <v>0.89985759999999904</v>
      </c>
      <c r="Q5411">
        <v>1.8660030000000001E-2</v>
      </c>
      <c r="R5411">
        <v>-0.43578450000000002</v>
      </c>
      <c r="S5411">
        <v>2.2165219999999999</v>
      </c>
      <c r="T5411">
        <v>-0.37402160000000001</v>
      </c>
      <c r="U5411">
        <v>-2.3391419999999998</v>
      </c>
      <c r="V5411">
        <v>0.28102850000000001</v>
      </c>
      <c r="W5411">
        <v>3.4095180000000003E-2</v>
      </c>
      <c r="X5411">
        <v>0.95909359999999999</v>
      </c>
      <c r="Y5411">
        <v>0.59806389999999998</v>
      </c>
      <c r="Z5411">
        <v>-2.8143419999999999E-2</v>
      </c>
      <c r="AA5411">
        <v>0.80095419999999995</v>
      </c>
      <c r="AB5411">
        <v>25</v>
      </c>
      <c r="AC5411">
        <v>6.5373999999999901</v>
      </c>
      <c r="AD5411">
        <v>-1.1213489999999999</v>
      </c>
      <c r="AE5411">
        <v>-6.99790799999999</v>
      </c>
      <c r="AF5411">
        <v>5.7393712440527</v>
      </c>
      <c r="AG5411">
        <v>-1.1213489999999999</v>
      </c>
      <c r="AH5411">
        <v>7.50359101618601</v>
      </c>
      <c r="AI5411">
        <v>96.769333973531005</v>
      </c>
      <c r="AJ5411">
        <v>52.588230612288697</v>
      </c>
      <c r="AK5411">
        <v>9.5132373036231694</v>
      </c>
      <c r="AL5411">
        <v>88.046111431605496</v>
      </c>
      <c r="AM5411">
        <v>73.668641133522399</v>
      </c>
      <c r="AN5411">
        <v>1.0000000163362199</v>
      </c>
    </row>
    <row r="5412" spans="1:40" x14ac:dyDescent="0.25">
      <c r="A5412" t="str">
        <f>"20190305135342139"</f>
        <v>20190305135342139</v>
      </c>
      <c r="B5412" t="str">
        <f>"1551765222135248"</f>
        <v>1551765222135248</v>
      </c>
      <c r="C5412" t="s">
        <v>40</v>
      </c>
      <c r="D5412">
        <v>4.4811800000000002</v>
      </c>
      <c r="E5412">
        <v>0.6459627</v>
      </c>
      <c r="F5412" t="s">
        <v>47</v>
      </c>
      <c r="G5412">
        <v>-309.2165</v>
      </c>
      <c r="H5412">
        <v>-0.05</v>
      </c>
      <c r="I5412">
        <v>8.7261509999999998</v>
      </c>
      <c r="J5412">
        <v>-315.75380000000001</v>
      </c>
      <c r="K5412">
        <v>1.070308</v>
      </c>
      <c r="L5412">
        <v>15.84402</v>
      </c>
      <c r="M5412">
        <v>0.98557329999999999</v>
      </c>
      <c r="N5412">
        <v>-1.86004E-2</v>
      </c>
      <c r="O5412">
        <v>-0.16822519999999999</v>
      </c>
      <c r="P5412">
        <v>0.89717719999999901</v>
      </c>
      <c r="Q5412">
        <v>1.8492109999999999E-2</v>
      </c>
      <c r="R5412">
        <v>-0.44128460000000003</v>
      </c>
      <c r="S5412">
        <v>2.1994020000000001</v>
      </c>
      <c r="T5412">
        <v>-0.37032890000000002</v>
      </c>
      <c r="U5412">
        <v>-2.3584290000000001</v>
      </c>
      <c r="V5412">
        <v>0.28438809999999998</v>
      </c>
      <c r="W5412">
        <v>3.347994E-2</v>
      </c>
      <c r="X5412">
        <v>0.95812450000000005</v>
      </c>
      <c r="Y5412">
        <v>0.60240890000000002</v>
      </c>
      <c r="Z5412">
        <v>-2.7863829999999999E-2</v>
      </c>
      <c r="AA5412">
        <v>0.7977012</v>
      </c>
      <c r="AB5412">
        <v>25</v>
      </c>
      <c r="AC5412">
        <v>6.5373000000000099</v>
      </c>
      <c r="AD5412">
        <v>-1.1203080000000001</v>
      </c>
      <c r="AE5412">
        <v>-7.1178689999999998</v>
      </c>
      <c r="AF5412">
        <v>5.8380155920537096</v>
      </c>
      <c r="AG5412">
        <v>-1.1203080000000001</v>
      </c>
      <c r="AH5412">
        <v>7.5403878871224101</v>
      </c>
      <c r="AI5412">
        <v>96.700339297387401</v>
      </c>
      <c r="AJ5412">
        <v>52.251788661591803</v>
      </c>
      <c r="AK5412">
        <v>9.6018209500171796</v>
      </c>
      <c r="AL5412">
        <v>88.081382246998402</v>
      </c>
      <c r="AM5412">
        <v>73.468190886988907</v>
      </c>
      <c r="AN5412">
        <v>1.0000000276521299</v>
      </c>
    </row>
    <row r="5413" spans="1:40" x14ac:dyDescent="0.25">
      <c r="A5413" t="str">
        <f>"20190305135342149"</f>
        <v>20190305135342149</v>
      </c>
      <c r="B5413" t="str">
        <f>"1551765222145008"</f>
        <v>1551765222145008</v>
      </c>
      <c r="C5413" t="s">
        <v>40</v>
      </c>
      <c r="D5413">
        <v>4.4665059999999999</v>
      </c>
      <c r="E5413">
        <v>0.64577390000000001</v>
      </c>
      <c r="F5413" t="s">
        <v>47</v>
      </c>
      <c r="G5413">
        <v>-309.11720000000003</v>
      </c>
      <c r="H5413">
        <v>-0.05</v>
      </c>
      <c r="I5413">
        <v>8.6382750000000001</v>
      </c>
      <c r="J5413">
        <v>-315.64010000000002</v>
      </c>
      <c r="K5413">
        <v>1.069366</v>
      </c>
      <c r="L5413">
        <v>15.82208</v>
      </c>
      <c r="M5413">
        <v>0.98517200000000005</v>
      </c>
      <c r="N5413">
        <v>-1.8205229999999999E-2</v>
      </c>
      <c r="O5413">
        <v>-0.17060110000000001</v>
      </c>
      <c r="P5413">
        <v>0.89452690000000001</v>
      </c>
      <c r="Q5413">
        <v>1.8508810000000001E-2</v>
      </c>
      <c r="R5413">
        <v>-0.4466309</v>
      </c>
      <c r="S5413">
        <v>2.1846920000000001</v>
      </c>
      <c r="T5413">
        <v>-0.36879529999999999</v>
      </c>
      <c r="U5413">
        <v>-2.3720699999999999</v>
      </c>
      <c r="V5413">
        <v>0.2877923</v>
      </c>
      <c r="W5413">
        <v>3.3074369999999999E-2</v>
      </c>
      <c r="X5413">
        <v>0.95712160000000002</v>
      </c>
      <c r="Y5413">
        <v>0.60547439999999997</v>
      </c>
      <c r="Z5413">
        <v>-2.762274E-2</v>
      </c>
      <c r="AA5413">
        <v>0.79538520000000001</v>
      </c>
      <c r="AB5413">
        <v>25</v>
      </c>
      <c r="AC5413">
        <v>6.5228999999999902</v>
      </c>
      <c r="AD5413">
        <v>-1.1193660000000001</v>
      </c>
      <c r="AE5413">
        <v>-7.1838050000000004</v>
      </c>
      <c r="AF5413">
        <v>5.8871148326751204</v>
      </c>
      <c r="AG5413">
        <v>-1.1193660000000001</v>
      </c>
      <c r="AH5413">
        <v>7.5525059794463001</v>
      </c>
      <c r="AI5413">
        <v>96.667257580920605</v>
      </c>
      <c r="AJ5413">
        <v>52.063884891269097</v>
      </c>
      <c r="AK5413">
        <v>9.6411331214039109</v>
      </c>
      <c r="AL5413">
        <v>88.104632595260497</v>
      </c>
      <c r="AM5413">
        <v>73.264745052859496</v>
      </c>
      <c r="AN5413">
        <v>1.0000000395383699</v>
      </c>
    </row>
    <row r="5414" spans="1:40" x14ac:dyDescent="0.25">
      <c r="A5414" t="str">
        <f>"20190305135342160"</f>
        <v>20190305135342160</v>
      </c>
      <c r="B5414" t="str">
        <f>"1551765222155744"</f>
        <v>1551765222155744</v>
      </c>
      <c r="C5414" t="s">
        <v>40</v>
      </c>
      <c r="D5414">
        <v>4.4794859999999996</v>
      </c>
      <c r="E5414">
        <v>0.64561169999999901</v>
      </c>
      <c r="F5414" t="s">
        <v>47</v>
      </c>
      <c r="G5414">
        <v>-309.02690000000001</v>
      </c>
      <c r="H5414">
        <v>-0.05</v>
      </c>
      <c r="I5414">
        <v>8.5620879999999993</v>
      </c>
      <c r="J5414">
        <v>-315.51330000000002</v>
      </c>
      <c r="K5414">
        <v>1.068352</v>
      </c>
      <c r="L5414">
        <v>15.79721</v>
      </c>
      <c r="M5414">
        <v>0.98472059999999995</v>
      </c>
      <c r="N5414">
        <v>-1.7768799999999901E-2</v>
      </c>
      <c r="O5414">
        <v>-0.1732332</v>
      </c>
      <c r="P5414">
        <v>0.89174140000000002</v>
      </c>
      <c r="Q5414">
        <v>1.862718E-2</v>
      </c>
      <c r="R5414">
        <v>-0.45216139999999999</v>
      </c>
      <c r="S5414">
        <v>2.1712039999999999</v>
      </c>
      <c r="T5414">
        <v>-0.3675059</v>
      </c>
      <c r="U5414">
        <v>-2.383575</v>
      </c>
      <c r="V5414">
        <v>0.29115980000000002</v>
      </c>
      <c r="W5414">
        <v>3.2724080000000003E-2</v>
      </c>
      <c r="X5414">
        <v>0.95611460000000004</v>
      </c>
      <c r="Y5414">
        <v>0.60775449999999998</v>
      </c>
      <c r="Z5414">
        <v>-2.727572E-2</v>
      </c>
      <c r="AA5414">
        <v>0.79365649999999999</v>
      </c>
      <c r="AB5414">
        <v>25</v>
      </c>
      <c r="AC5414">
        <v>6.4863999999999997</v>
      </c>
      <c r="AD5414">
        <v>-1.118352</v>
      </c>
      <c r="AE5414">
        <v>-7.2351219999999898</v>
      </c>
      <c r="AF5414">
        <v>5.9233984895437697</v>
      </c>
      <c r="AG5414">
        <v>-1.118352</v>
      </c>
      <c r="AH5414">
        <v>7.5419587156553298</v>
      </c>
      <c r="AI5414">
        <v>96.651598980213606</v>
      </c>
      <c r="AJ5414">
        <v>51.854171515067499</v>
      </c>
      <c r="AK5414">
        <v>9.6549729223070795</v>
      </c>
      <c r="AL5414">
        <v>88.124713550836802</v>
      </c>
      <c r="AM5414">
        <v>73.063251417124206</v>
      </c>
      <c r="AN5414">
        <v>1.0000000114405201</v>
      </c>
    </row>
    <row r="5415" spans="1:40" x14ac:dyDescent="0.25">
      <c r="A5415" t="str">
        <f>"20190305135342171"</f>
        <v>20190305135342171</v>
      </c>
      <c r="B5415" t="str">
        <f>"1551765222165505"</f>
        <v>1551765222165505</v>
      </c>
      <c r="C5415" t="s">
        <v>40</v>
      </c>
      <c r="D5415">
        <v>4.5090059999999896</v>
      </c>
      <c r="E5415">
        <v>0.64551289999999995</v>
      </c>
      <c r="F5415" t="s">
        <v>47</v>
      </c>
      <c r="G5415">
        <v>-308.928</v>
      </c>
      <c r="H5415">
        <v>-0.05</v>
      </c>
      <c r="I5415">
        <v>8.4835360000000009</v>
      </c>
      <c r="J5415">
        <v>-315.4074</v>
      </c>
      <c r="K5415">
        <v>1.0675479999999999</v>
      </c>
      <c r="L5415">
        <v>15.776120000000001</v>
      </c>
      <c r="M5415">
        <v>0.98433559999999998</v>
      </c>
      <c r="N5415">
        <v>-1.7415650000000001E-2</v>
      </c>
      <c r="O5415">
        <v>-0.1754425</v>
      </c>
      <c r="P5415">
        <v>0.88908189999999998</v>
      </c>
      <c r="Q5415">
        <v>1.8818939999999999E-2</v>
      </c>
      <c r="R5415">
        <v>-0.45736149999999998</v>
      </c>
      <c r="S5415">
        <v>2.1571039999999999</v>
      </c>
      <c r="T5415">
        <v>-0.3663304</v>
      </c>
      <c r="U5415">
        <v>-2.3956909999999998</v>
      </c>
      <c r="V5415">
        <v>0.29459780000000002</v>
      </c>
      <c r="W5415">
        <v>3.2522009999999997E-2</v>
      </c>
      <c r="X5415">
        <v>0.95506780000000002</v>
      </c>
      <c r="Y5415">
        <v>0.61056779999999999</v>
      </c>
      <c r="Z5415">
        <v>-2.7066239999999998E-2</v>
      </c>
      <c r="AA5415">
        <v>0.79150140000000002</v>
      </c>
      <c r="AB5415">
        <v>25</v>
      </c>
      <c r="AC5415">
        <v>6.4793999999999903</v>
      </c>
      <c r="AD5415">
        <v>-1.117548</v>
      </c>
      <c r="AE5415">
        <v>-7.2925839999999997</v>
      </c>
      <c r="AF5415">
        <v>5.9642314353675197</v>
      </c>
      <c r="AG5415">
        <v>-1.117548</v>
      </c>
      <c r="AH5415">
        <v>7.5592887782007701</v>
      </c>
      <c r="AI5415">
        <v>96.620263598400001</v>
      </c>
      <c r="AJ5415">
        <v>51.726781553706402</v>
      </c>
      <c r="AK5415">
        <v>9.6934935384082408</v>
      </c>
      <c r="AL5415">
        <v>88.136297497648002</v>
      </c>
      <c r="AM5415">
        <v>72.857230545374307</v>
      </c>
      <c r="AN5415">
        <v>1.00000002374806</v>
      </c>
    </row>
    <row r="5416" spans="1:40" x14ac:dyDescent="0.25">
      <c r="A5416" t="str">
        <f>"20190305135342182"</f>
        <v>20190305135342182</v>
      </c>
      <c r="B5416" t="str">
        <f>"1551765222175264"</f>
        <v>1551765222175264</v>
      </c>
      <c r="C5416" t="s">
        <v>40</v>
      </c>
      <c r="D5416">
        <v>4.4984080000000004</v>
      </c>
      <c r="E5416">
        <v>0.64527270000000003</v>
      </c>
      <c r="F5416" t="s">
        <v>47</v>
      </c>
      <c r="G5416">
        <v>-308.86110000000002</v>
      </c>
      <c r="H5416">
        <v>-0.05</v>
      </c>
      <c r="I5416">
        <v>8.4228819999999995</v>
      </c>
      <c r="J5416">
        <v>-315.28960000000001</v>
      </c>
      <c r="K5416">
        <v>1.066675</v>
      </c>
      <c r="L5416">
        <v>15.75235</v>
      </c>
      <c r="M5416">
        <v>0.98389910000000003</v>
      </c>
      <c r="N5416">
        <v>-1.7031270000000001E-2</v>
      </c>
      <c r="O5416">
        <v>-0.1779123</v>
      </c>
      <c r="P5416">
        <v>0.8863915</v>
      </c>
      <c r="Q5416">
        <v>1.9497380000000002E-2</v>
      </c>
      <c r="R5416">
        <v>-0.4625264</v>
      </c>
      <c r="S5416">
        <v>2.143494</v>
      </c>
      <c r="T5416">
        <v>-0.36592049999999998</v>
      </c>
      <c r="U5416">
        <v>-2.4076840000000002</v>
      </c>
      <c r="V5416">
        <v>0.29776469999999999</v>
      </c>
      <c r="W5416">
        <v>3.2777470000000003E-2</v>
      </c>
      <c r="X5416">
        <v>0.95407640000000005</v>
      </c>
      <c r="Y5416">
        <v>0.61305019999999999</v>
      </c>
      <c r="Z5416">
        <v>-2.6817150000000001E-2</v>
      </c>
      <c r="AA5416">
        <v>0.78958869999999903</v>
      </c>
      <c r="AB5416">
        <v>25</v>
      </c>
      <c r="AC5416">
        <v>6.4284999999999801</v>
      </c>
      <c r="AD5416">
        <v>-1.1166750000000001</v>
      </c>
      <c r="AE5416">
        <v>-7.3294679999999897</v>
      </c>
      <c r="AF5416">
        <v>5.9900408822673601</v>
      </c>
      <c r="AG5416">
        <v>-1.1166750000000001</v>
      </c>
      <c r="AH5416">
        <v>7.5312967929692904</v>
      </c>
      <c r="AI5416">
        <v>96.619168250863396</v>
      </c>
      <c r="AJ5416">
        <v>51.502903401321298</v>
      </c>
      <c r="AK5416">
        <v>9.6875169269864401</v>
      </c>
      <c r="AL5416">
        <v>88.121652824607295</v>
      </c>
      <c r="AM5416">
        <v>72.666996297058901</v>
      </c>
      <c r="AN5416">
        <v>0.99999997807132501</v>
      </c>
    </row>
    <row r="5417" spans="1:40" x14ac:dyDescent="0.25">
      <c r="A5417" t="str">
        <f>"20190305135342194"</f>
        <v>20190305135342194</v>
      </c>
      <c r="B5417" t="str">
        <f>"1551765222186000"</f>
        <v>1551765222186000</v>
      </c>
      <c r="C5417" t="s">
        <v>40</v>
      </c>
      <c r="D5417">
        <v>4.5135180000000004</v>
      </c>
      <c r="E5417">
        <v>0.64509510000000003</v>
      </c>
      <c r="F5417" t="s">
        <v>47</v>
      </c>
      <c r="G5417">
        <v>-308.73059999999998</v>
      </c>
      <c r="H5417">
        <v>-0.05</v>
      </c>
      <c r="I5417">
        <v>8.3061520000000009</v>
      </c>
      <c r="J5417">
        <v>-315.15640000000002</v>
      </c>
      <c r="K5417">
        <v>1.06576</v>
      </c>
      <c r="L5417">
        <v>15.72495</v>
      </c>
      <c r="M5417">
        <v>0.9833847</v>
      </c>
      <c r="N5417">
        <v>-1.662348E-2</v>
      </c>
      <c r="O5417">
        <v>-0.1807716</v>
      </c>
      <c r="P5417">
        <v>0.88321769999999999</v>
      </c>
      <c r="Q5417">
        <v>2.0671749999999999E-2</v>
      </c>
      <c r="R5417">
        <v>-0.46850789999999998</v>
      </c>
      <c r="S5417">
        <v>2.1304630000000002</v>
      </c>
      <c r="T5417">
        <v>-0.3627087</v>
      </c>
      <c r="U5417">
        <v>-2.4186100000000001</v>
      </c>
      <c r="V5417">
        <v>0.3014559</v>
      </c>
      <c r="W5417">
        <v>3.3492800000000003E-2</v>
      </c>
      <c r="X5417">
        <v>0.95289170000000001</v>
      </c>
      <c r="Y5417">
        <v>0.61499110000000001</v>
      </c>
      <c r="Z5417">
        <v>-2.632872E-2</v>
      </c>
      <c r="AA5417">
        <v>0.78809430000000003</v>
      </c>
      <c r="AB5417">
        <v>25</v>
      </c>
      <c r="AC5417">
        <v>6.4258000000000299</v>
      </c>
      <c r="AD5417">
        <v>-1.1157600000000001</v>
      </c>
      <c r="AE5417">
        <v>-7.41879799999999</v>
      </c>
      <c r="AF5417">
        <v>6.05650578826502</v>
      </c>
      <c r="AG5417">
        <v>-1.1157600000000001</v>
      </c>
      <c r="AH5417">
        <v>7.5634525353199296</v>
      </c>
      <c r="AI5417">
        <v>96.568737477635906</v>
      </c>
      <c r="AJ5417">
        <v>51.313670489084799</v>
      </c>
      <c r="AK5417">
        <v>9.7535632973249893</v>
      </c>
      <c r="AL5417">
        <v>88.080644975195696</v>
      </c>
      <c r="AM5417">
        <v>72.444762154627895</v>
      </c>
      <c r="AN5417">
        <v>1.0000000096127699</v>
      </c>
    </row>
    <row r="5418" spans="1:40" x14ac:dyDescent="0.25">
      <c r="A5418" t="str">
        <f>"20190305135342207"</f>
        <v>20190305135342207</v>
      </c>
      <c r="B5418" t="str">
        <f>"1551765222195760"</f>
        <v>1551765222195760</v>
      </c>
      <c r="C5418" t="s">
        <v>40</v>
      </c>
      <c r="D5418">
        <v>4.5024839999999999</v>
      </c>
      <c r="E5418">
        <v>0.64465419999999996</v>
      </c>
      <c r="F5418" t="s">
        <v>47</v>
      </c>
      <c r="G5418">
        <v>-308.5548</v>
      </c>
      <c r="H5418">
        <v>-0.05</v>
      </c>
      <c r="I5418">
        <v>8.1339869999999994</v>
      </c>
      <c r="J5418">
        <v>-315.01650000000001</v>
      </c>
      <c r="K5418">
        <v>1.0648390000000001</v>
      </c>
      <c r="L5418">
        <v>15.69586</v>
      </c>
      <c r="M5418">
        <v>0.98282689999999995</v>
      </c>
      <c r="N5418">
        <v>-1.6212270000000001E-2</v>
      </c>
      <c r="O5418">
        <v>-0.1838166</v>
      </c>
      <c r="P5418">
        <v>0.88018969999999896</v>
      </c>
      <c r="Q5418">
        <v>2.1412980000000002E-2</v>
      </c>
      <c r="R5418">
        <v>-0.47413889999999997</v>
      </c>
      <c r="S5418">
        <v>2.1149900000000001</v>
      </c>
      <c r="T5418">
        <v>-0.35746420000000001</v>
      </c>
      <c r="U5418">
        <v>-2.4319760000000001</v>
      </c>
      <c r="V5418">
        <v>0.30459960000000003</v>
      </c>
      <c r="W5418">
        <v>3.3775880000000001E-2</v>
      </c>
      <c r="X5418">
        <v>0.95188139999999999</v>
      </c>
      <c r="Y5418">
        <v>0.6176488</v>
      </c>
      <c r="Z5418">
        <v>-2.5783469999999999E-2</v>
      </c>
      <c r="AA5418">
        <v>0.78603129999999999</v>
      </c>
      <c r="AB5418">
        <v>25</v>
      </c>
      <c r="AC5418">
        <v>6.4617000000000004</v>
      </c>
      <c r="AD5418">
        <v>-1.1148389999999999</v>
      </c>
      <c r="AE5418">
        <v>-7.5618729999999896</v>
      </c>
      <c r="AF5418">
        <v>6.1675853504674896</v>
      </c>
      <c r="AG5418">
        <v>-1.1148389999999999</v>
      </c>
      <c r="AH5418">
        <v>7.6456992340341001</v>
      </c>
      <c r="AI5418">
        <v>96.474798785843404</v>
      </c>
      <c r="AJ5418">
        <v>51.107790288370197</v>
      </c>
      <c r="AK5418">
        <v>9.8862880712900498</v>
      </c>
      <c r="AL5418">
        <v>88.064416413850395</v>
      </c>
      <c r="AM5418">
        <v>72.255462038287902</v>
      </c>
      <c r="AN5418">
        <v>0.99999996302794603</v>
      </c>
    </row>
    <row r="5419" spans="1:40" x14ac:dyDescent="0.25">
      <c r="A5419" t="str">
        <f>"20190305135342220"</f>
        <v>20190305135342220</v>
      </c>
      <c r="B5419" t="str">
        <f>"1551765222215281"</f>
        <v>1551765222215281</v>
      </c>
      <c r="C5419" t="s">
        <v>40</v>
      </c>
      <c r="D5419">
        <v>4.5025329999999997</v>
      </c>
      <c r="E5419">
        <v>0.64363230000000005</v>
      </c>
      <c r="F5419" t="s">
        <v>47</v>
      </c>
      <c r="G5419">
        <v>-308.40480000000002</v>
      </c>
      <c r="H5419">
        <v>-0.05</v>
      </c>
      <c r="I5419">
        <v>8.0110019999999995</v>
      </c>
      <c r="J5419">
        <v>-314.87439999999998</v>
      </c>
      <c r="K5419">
        <v>1.063976</v>
      </c>
      <c r="L5419">
        <v>15.665559999999999</v>
      </c>
      <c r="M5419">
        <v>0.98222560000000003</v>
      </c>
      <c r="N5419">
        <v>-1.5833529999999998E-2</v>
      </c>
      <c r="O5419">
        <v>-0.18703620000000001</v>
      </c>
      <c r="P5419">
        <v>0.87695800000000002</v>
      </c>
      <c r="Q5419">
        <v>2.2243200000000001E-2</v>
      </c>
      <c r="R5419">
        <v>-0.48005239999999999</v>
      </c>
      <c r="S5419">
        <v>2.101318</v>
      </c>
      <c r="T5419">
        <v>-0.35431109999999999</v>
      </c>
      <c r="U5419">
        <v>-2.4423520000000001</v>
      </c>
      <c r="V5419">
        <v>0.3078997</v>
      </c>
      <c r="W5419">
        <v>3.4165710000000002E-2</v>
      </c>
      <c r="X5419">
        <v>0.95080520000000002</v>
      </c>
      <c r="Y5419">
        <v>0.61932279999999995</v>
      </c>
      <c r="Z5419">
        <v>-2.5256500000000001E-2</v>
      </c>
      <c r="AA5419">
        <v>0.78473009999999999</v>
      </c>
      <c r="AB5419">
        <v>25</v>
      </c>
      <c r="AC5419">
        <v>6.4695999999999501</v>
      </c>
      <c r="AD5419">
        <v>-1.1139760000000001</v>
      </c>
      <c r="AE5419">
        <v>-7.6545579999999998</v>
      </c>
      <c r="AF5419">
        <v>6.23224945673884</v>
      </c>
      <c r="AG5419">
        <v>-1.1139760000000001</v>
      </c>
      <c r="AH5419">
        <v>7.6922304985275503</v>
      </c>
      <c r="AI5419">
        <v>96.420034714911097</v>
      </c>
      <c r="AJ5419">
        <v>50.985589395657001</v>
      </c>
      <c r="AK5419">
        <v>9.9625441460540092</v>
      </c>
      <c r="AL5419">
        <v>88.042068020917199</v>
      </c>
      <c r="AM5419">
        <v>72.056466399735996</v>
      </c>
      <c r="AN5419">
        <v>1.0000000246734599</v>
      </c>
    </row>
    <row r="5420" spans="1:40" x14ac:dyDescent="0.25">
      <c r="A5420" t="str">
        <f>"20190305135342232"</f>
        <v>20190305135342232</v>
      </c>
      <c r="B5420" t="str">
        <f>"1551765222226018"</f>
        <v>1551765222226018</v>
      </c>
      <c r="C5420" t="s">
        <v>40</v>
      </c>
      <c r="D5420">
        <v>4.5596800000000002</v>
      </c>
      <c r="E5420">
        <v>0.64308849999999995</v>
      </c>
      <c r="F5420" t="s">
        <v>47</v>
      </c>
      <c r="G5420">
        <v>-308.26620000000003</v>
      </c>
      <c r="H5420">
        <v>-0.05</v>
      </c>
      <c r="I5420">
        <v>7.9156339999999998</v>
      </c>
      <c r="J5420">
        <v>-314.73070000000001</v>
      </c>
      <c r="K5420">
        <v>1.06315</v>
      </c>
      <c r="L5420">
        <v>15.634399999999999</v>
      </c>
      <c r="M5420">
        <v>0.98158869999999998</v>
      </c>
      <c r="N5420">
        <v>-1.5476449999999999E-2</v>
      </c>
      <c r="O5420">
        <v>-0.19037989999999999</v>
      </c>
      <c r="P5420">
        <v>0.8736389</v>
      </c>
      <c r="Q5420">
        <v>2.2798209999999999E-2</v>
      </c>
      <c r="R5420">
        <v>-0.48604120000000001</v>
      </c>
      <c r="S5420">
        <v>2.088867</v>
      </c>
      <c r="T5420">
        <v>-0.3521299</v>
      </c>
      <c r="U5420">
        <v>-2.4497680000000002</v>
      </c>
      <c r="V5420">
        <v>0.31117660000000003</v>
      </c>
      <c r="W5420">
        <v>3.429343E-2</v>
      </c>
      <c r="X5420">
        <v>0.9497331</v>
      </c>
      <c r="Y5420">
        <v>0.62019119999999905</v>
      </c>
      <c r="Z5420">
        <v>-2.4711E-2</v>
      </c>
      <c r="AA5420">
        <v>0.78406140000000002</v>
      </c>
      <c r="AB5420">
        <v>25</v>
      </c>
      <c r="AC5420">
        <v>6.4644999999999797</v>
      </c>
      <c r="AD5420">
        <v>-1.1131500000000001</v>
      </c>
      <c r="AE5420">
        <v>-7.7187659999999996</v>
      </c>
      <c r="AF5420">
        <v>6.2700583218979196</v>
      </c>
      <c r="AG5420">
        <v>-1.1131500000000001</v>
      </c>
      <c r="AH5420">
        <v>7.7215271385659996</v>
      </c>
      <c r="AI5420">
        <v>96.385526048766295</v>
      </c>
      <c r="AJ5420">
        <v>50.9226042288944</v>
      </c>
      <c r="AK5420">
        <v>10.0087319693412</v>
      </c>
      <c r="AL5420">
        <v>88.034745743899094</v>
      </c>
      <c r="AM5420">
        <v>71.858805021279807</v>
      </c>
      <c r="AN5420">
        <v>0.99999993848216495</v>
      </c>
    </row>
    <row r="5421" spans="1:40" x14ac:dyDescent="0.25">
      <c r="A5421" t="str">
        <f>"20190305135342248"</f>
        <v>20190305135342248</v>
      </c>
      <c r="B5421" t="str">
        <f>"1551765222236013"</f>
        <v>1551765222236013</v>
      </c>
      <c r="C5421" t="s">
        <v>40</v>
      </c>
      <c r="D5421">
        <v>4.5147839999999997</v>
      </c>
      <c r="E5421">
        <v>0.64252619999999905</v>
      </c>
      <c r="F5421" t="s">
        <v>47</v>
      </c>
      <c r="G5421">
        <v>-308.13479999999998</v>
      </c>
      <c r="H5421">
        <v>-0.05</v>
      </c>
      <c r="I5421">
        <v>7.8097690000000002</v>
      </c>
      <c r="J5421">
        <v>-314.56810000000002</v>
      </c>
      <c r="K5421">
        <v>1.062273</v>
      </c>
      <c r="L5421">
        <v>15.59854</v>
      </c>
      <c r="M5421">
        <v>0.98083169999999997</v>
      </c>
      <c r="N5421">
        <v>-1.5100529999999999E-2</v>
      </c>
      <c r="O5421">
        <v>-0.1942712</v>
      </c>
      <c r="P5421">
        <v>0.86816360000000004</v>
      </c>
      <c r="Q5421">
        <v>2.3067839999999999E-2</v>
      </c>
      <c r="R5421">
        <v>-0.49574180000000001</v>
      </c>
      <c r="S5421">
        <v>2.0741879999999999</v>
      </c>
      <c r="T5421">
        <v>-0.350043099999999</v>
      </c>
      <c r="U5421">
        <v>-2.4605410000000001</v>
      </c>
      <c r="V5421">
        <v>0.31799080000000002</v>
      </c>
      <c r="W5421">
        <v>3.4047519999999998E-2</v>
      </c>
      <c r="X5421">
        <v>0.94748220000000005</v>
      </c>
      <c r="Y5421">
        <v>0.62156610000000001</v>
      </c>
      <c r="Z5421">
        <v>-2.4142139999999999E-2</v>
      </c>
      <c r="AA5421">
        <v>0.78298959999999995</v>
      </c>
      <c r="AB5421">
        <v>25</v>
      </c>
      <c r="AC5421">
        <v>6.4333000000000302</v>
      </c>
      <c r="AD5421">
        <v>-1.1122730000000001</v>
      </c>
      <c r="AE5421">
        <v>-7.7887709999999997</v>
      </c>
      <c r="AF5421">
        <v>6.31385565602013</v>
      </c>
      <c r="AG5421">
        <v>-1.1122730000000001</v>
      </c>
      <c r="AH5421">
        <v>7.7302977562552098</v>
      </c>
      <c r="AI5421">
        <v>96.358689918921598</v>
      </c>
      <c r="AJ5421">
        <v>50.759168648415702</v>
      </c>
      <c r="AK5421">
        <v>10.0428794611879</v>
      </c>
      <c r="AL5421">
        <v>88.048843607073195</v>
      </c>
      <c r="AM5421">
        <v>71.447390075654894</v>
      </c>
      <c r="AN5421">
        <v>0.99999995090981397</v>
      </c>
    </row>
    <row r="5422" spans="1:40" x14ac:dyDescent="0.25">
      <c r="A5422" t="str">
        <f>"20190305135342261"</f>
        <v>20190305135342261</v>
      </c>
      <c r="B5422" t="str">
        <f>"1551765222255178"</f>
        <v>1551765222255178</v>
      </c>
      <c r="C5422" t="s">
        <v>40</v>
      </c>
      <c r="D5422">
        <v>4.4945139999999997</v>
      </c>
      <c r="E5422">
        <v>0.64128459999999998</v>
      </c>
      <c r="F5422" t="s">
        <v>47</v>
      </c>
      <c r="G5422">
        <v>-308.00940000000003</v>
      </c>
      <c r="H5422">
        <v>-0.05</v>
      </c>
      <c r="I5422">
        <v>7.6574859999999996</v>
      </c>
      <c r="J5422">
        <v>-314.42540000000002</v>
      </c>
      <c r="K5422">
        <v>1.061547</v>
      </c>
      <c r="L5422">
        <v>15.56631</v>
      </c>
      <c r="M5422">
        <v>0.98012529999999998</v>
      </c>
      <c r="N5422">
        <v>-1.480361E-2</v>
      </c>
      <c r="O5422">
        <v>-0.19782630000000001</v>
      </c>
      <c r="P5422">
        <v>0.86447890000000005</v>
      </c>
      <c r="Q5422">
        <v>2.3213009999999999E-2</v>
      </c>
      <c r="R5422">
        <v>-0.50213279999999905</v>
      </c>
      <c r="S5422">
        <v>2.0485229999999999</v>
      </c>
      <c r="T5422">
        <v>-0.3474003</v>
      </c>
      <c r="U5422">
        <v>-2.4802550000000001</v>
      </c>
      <c r="V5422">
        <v>0.32155119999999998</v>
      </c>
      <c r="W5422">
        <v>3.3791130000000003E-2</v>
      </c>
      <c r="X5422">
        <v>0.94628909999999999</v>
      </c>
      <c r="Y5422">
        <v>0.62661299999999998</v>
      </c>
      <c r="Z5422">
        <v>-2.394344E-2</v>
      </c>
      <c r="AA5422">
        <v>0.77896269999999901</v>
      </c>
      <c r="AB5422">
        <v>25</v>
      </c>
      <c r="AC5422">
        <v>6.4159999999999897</v>
      </c>
      <c r="AD5422">
        <v>-1.1115469999999901</v>
      </c>
      <c r="AE5422">
        <v>-7.9088240000000001</v>
      </c>
      <c r="AF5422">
        <v>6.4067724138650703</v>
      </c>
      <c r="AG5422">
        <v>-1.1115469999999901</v>
      </c>
      <c r="AH5422">
        <v>7.7614568271930997</v>
      </c>
      <c r="AI5422">
        <v>96.302561559407096</v>
      </c>
      <c r="AJ5422">
        <v>50.461688826513999</v>
      </c>
      <c r="AK5422">
        <v>10.125338590716501</v>
      </c>
      <c r="AL5422">
        <v>88.063542298849896</v>
      </c>
      <c r="AM5422">
        <v>71.232121693074205</v>
      </c>
      <c r="AN5422">
        <v>1.0000000377334599</v>
      </c>
    </row>
    <row r="5423" spans="1:40" x14ac:dyDescent="0.25">
      <c r="A5423" t="str">
        <f>"20190305135342272"</f>
        <v>20190305135342272</v>
      </c>
      <c r="B5423" t="str">
        <f>"1551765222265914"</f>
        <v>1551765222265914</v>
      </c>
      <c r="C5423" t="s">
        <v>40</v>
      </c>
      <c r="D5423">
        <v>4.5496689999999997</v>
      </c>
      <c r="E5423">
        <v>0.64063610000000004</v>
      </c>
      <c r="F5423" t="s">
        <v>47</v>
      </c>
      <c r="G5423">
        <v>-307.85320000000002</v>
      </c>
      <c r="H5423">
        <v>-0.05</v>
      </c>
      <c r="I5423">
        <v>7.5355530000000002</v>
      </c>
      <c r="J5423">
        <v>-314.30759999999998</v>
      </c>
      <c r="K5423">
        <v>1.0609740000000001</v>
      </c>
      <c r="L5423">
        <v>15.539179999999901</v>
      </c>
      <c r="M5423">
        <v>0.97951239999999995</v>
      </c>
      <c r="N5423">
        <v>-1.457842E-2</v>
      </c>
      <c r="O5423">
        <v>-0.20085629999999999</v>
      </c>
      <c r="P5423">
        <v>0.86093090000000005</v>
      </c>
      <c r="Q5423">
        <v>2.3071560000000001E-2</v>
      </c>
      <c r="R5423">
        <v>-0.5081987</v>
      </c>
      <c r="S5423">
        <v>2.035126</v>
      </c>
      <c r="T5423">
        <v>-0.34419420000000001</v>
      </c>
      <c r="U5423">
        <v>-2.486755</v>
      </c>
      <c r="V5423">
        <v>0.32528000000000001</v>
      </c>
      <c r="W5423">
        <v>3.3314089999999998E-2</v>
      </c>
      <c r="X5423">
        <v>0.9450307</v>
      </c>
      <c r="Y5423">
        <v>0.62777419999999995</v>
      </c>
      <c r="Z5423">
        <v>-2.3484930000000001E-2</v>
      </c>
      <c r="AA5423">
        <v>0.77804110000000004</v>
      </c>
      <c r="AB5423">
        <v>25</v>
      </c>
      <c r="AC5423">
        <v>6.4543999999999597</v>
      </c>
      <c r="AD5423">
        <v>-1.1109739999999999</v>
      </c>
      <c r="AE5423">
        <v>-8.0036269999999892</v>
      </c>
      <c r="AF5423">
        <v>6.4684197296964001</v>
      </c>
      <c r="AG5423">
        <v>-1.1109739999999999</v>
      </c>
      <c r="AH5423">
        <v>7.8390631788559597</v>
      </c>
      <c r="AI5423">
        <v>96.238405019733904</v>
      </c>
      <c r="AJ5423">
        <v>50.472182488722197</v>
      </c>
      <c r="AK5423">
        <v>10.223777606652799</v>
      </c>
      <c r="AL5423">
        <v>88.090889936814193</v>
      </c>
      <c r="AM5423">
        <v>71.006513483836102</v>
      </c>
      <c r="AN5423">
        <v>0.99999996546750802</v>
      </c>
    </row>
    <row r="5424" spans="1:40" x14ac:dyDescent="0.25">
      <c r="A5424" t="str">
        <f>"20190305135342283"</f>
        <v>20190305135342283</v>
      </c>
      <c r="B5424" t="str">
        <f>"1551765222275674"</f>
        <v>1551765222275674</v>
      </c>
      <c r="C5424" t="s">
        <v>40</v>
      </c>
      <c r="D5424">
        <v>4.5158559999999897</v>
      </c>
      <c r="E5424">
        <v>0.64006439999999998</v>
      </c>
      <c r="F5424" t="s">
        <v>47</v>
      </c>
      <c r="G5424">
        <v>-307.79579999999999</v>
      </c>
      <c r="H5424">
        <v>-0.05</v>
      </c>
      <c r="I5424">
        <v>7.4918670000000001</v>
      </c>
      <c r="J5424">
        <v>-314.1814</v>
      </c>
      <c r="K5424">
        <v>1.0603769999999999</v>
      </c>
      <c r="L5424">
        <v>15.50977</v>
      </c>
      <c r="M5424">
        <v>0.97883220000000004</v>
      </c>
      <c r="N5424">
        <v>-1.434975E-2</v>
      </c>
      <c r="O5424">
        <v>-0.20416110000000001</v>
      </c>
      <c r="P5424">
        <v>0.85722690000000001</v>
      </c>
      <c r="Q5424">
        <v>2.306836E-2</v>
      </c>
      <c r="R5424">
        <v>-0.51442189999999999</v>
      </c>
      <c r="S5424">
        <v>2.0201720000000001</v>
      </c>
      <c r="T5424">
        <v>-0.34466200000000002</v>
      </c>
      <c r="U5424">
        <v>-2.4965519999999999</v>
      </c>
      <c r="V5424">
        <v>0.32894089999999998</v>
      </c>
      <c r="W5424">
        <v>3.2961909999999997E-2</v>
      </c>
      <c r="X5424">
        <v>0.94377509999999998</v>
      </c>
      <c r="Y5424">
        <v>0.62945810000000002</v>
      </c>
      <c r="Z5424">
        <v>-2.3198259999999998E-2</v>
      </c>
      <c r="AA5424">
        <v>0.77668800000000005</v>
      </c>
      <c r="AB5424">
        <v>25</v>
      </c>
      <c r="AC5424">
        <v>6.3856000000000099</v>
      </c>
      <c r="AD5424">
        <v>-1.1103769999999999</v>
      </c>
      <c r="AE5424">
        <v>-8.0179030000000004</v>
      </c>
      <c r="AF5424">
        <v>6.4692456954861299</v>
      </c>
      <c r="AG5424">
        <v>-1.1103769999999999</v>
      </c>
      <c r="AH5424">
        <v>7.7966902581455004</v>
      </c>
      <c r="AI5424">
        <v>96.254690331274503</v>
      </c>
      <c r="AJ5424">
        <v>50.316061752058701</v>
      </c>
      <c r="AK5424">
        <v>10.1917837463397</v>
      </c>
      <c r="AL5424">
        <v>88.111079559103501</v>
      </c>
      <c r="AM5424">
        <v>70.784644365420903</v>
      </c>
      <c r="AN5424">
        <v>1.0000000212918301</v>
      </c>
    </row>
    <row r="5425" spans="1:40" x14ac:dyDescent="0.25">
      <c r="A5425" t="str">
        <f>"20190305135342293"</f>
        <v>20190305135342293</v>
      </c>
      <c r="B5425" t="str">
        <f>"1551765222285434"</f>
        <v>1551765222285434</v>
      </c>
      <c r="C5425" t="s">
        <v>40</v>
      </c>
      <c r="D5425">
        <v>5.5285419999999998</v>
      </c>
      <c r="E5425">
        <v>0.63918149999999996</v>
      </c>
      <c r="F5425" t="s">
        <v>47</v>
      </c>
      <c r="G5425">
        <v>-307.70530000000002</v>
      </c>
      <c r="H5425">
        <v>-0.05</v>
      </c>
      <c r="I5425">
        <v>7.4075319999999998</v>
      </c>
      <c r="J5425">
        <v>-314.07499999999999</v>
      </c>
      <c r="K5425">
        <v>1.0599019999999999</v>
      </c>
      <c r="L5425">
        <v>15.484310000000001</v>
      </c>
      <c r="M5425">
        <v>0.97822160000000002</v>
      </c>
      <c r="N5425">
        <v>-1.4178909999999999E-2</v>
      </c>
      <c r="O5425">
        <v>-0.20707829999999999</v>
      </c>
      <c r="P5425">
        <v>0.85353080000000003</v>
      </c>
      <c r="Q5425">
        <v>2.3078040000000001E-2</v>
      </c>
      <c r="R5425">
        <v>-0.52053119999999997</v>
      </c>
      <c r="S5425">
        <v>2.004181</v>
      </c>
      <c r="T5425">
        <v>-0.34363510000000003</v>
      </c>
      <c r="U5425">
        <v>-2.5074459999999998</v>
      </c>
      <c r="V5425">
        <v>0.33287280000000002</v>
      </c>
      <c r="W5425">
        <v>3.2668320000000001E-2</v>
      </c>
      <c r="X5425">
        <v>0.94240559999999995</v>
      </c>
      <c r="Y5425">
        <v>0.63182320000000003</v>
      </c>
      <c r="Z5425">
        <v>-2.2972300000000001E-2</v>
      </c>
      <c r="AA5425">
        <v>0.77477200000000002</v>
      </c>
      <c r="AB5425">
        <v>25</v>
      </c>
      <c r="AC5425">
        <v>6.3696999999999599</v>
      </c>
      <c r="AD5425">
        <v>-1.1099019999999999</v>
      </c>
      <c r="AE5425">
        <v>-8.0767779999999991</v>
      </c>
      <c r="AF5425">
        <v>6.5067577567911297</v>
      </c>
      <c r="AG5425">
        <v>-1.1099019999999999</v>
      </c>
      <c r="AH5425">
        <v>7.8133301769051702</v>
      </c>
      <c r="AI5425">
        <v>96.229601458033301</v>
      </c>
      <c r="AJ5425">
        <v>50.213262778416599</v>
      </c>
      <c r="AK5425">
        <v>10.2282895641696</v>
      </c>
      <c r="AL5425">
        <v>88.127909896623905</v>
      </c>
      <c r="AM5425">
        <v>70.545960911673404</v>
      </c>
      <c r="AN5425">
        <v>0.99999991751140704</v>
      </c>
    </row>
    <row r="5426" spans="1:40" x14ac:dyDescent="0.25">
      <c r="A5426" t="str">
        <f>"20190305135342303"</f>
        <v>20190305135342303</v>
      </c>
      <c r="B5426" t="str">
        <f>"1551765222295194"</f>
        <v>1551765222295194</v>
      </c>
      <c r="C5426" t="s">
        <v>40</v>
      </c>
      <c r="D5426">
        <v>4.5329119999999996</v>
      </c>
      <c r="E5426">
        <v>0.63854690000000003</v>
      </c>
      <c r="F5426" t="s">
        <v>47</v>
      </c>
      <c r="G5426">
        <v>-307.58100000000002</v>
      </c>
      <c r="H5426">
        <v>-0.05</v>
      </c>
      <c r="I5426">
        <v>7.2724149999999996</v>
      </c>
      <c r="J5426">
        <v>-313.96019999999999</v>
      </c>
      <c r="K5426">
        <v>1.0593919999999999</v>
      </c>
      <c r="L5426">
        <v>15.4567</v>
      </c>
      <c r="M5426">
        <v>0.97754669999999999</v>
      </c>
      <c r="N5426">
        <v>-1.399853E-2</v>
      </c>
      <c r="O5426">
        <v>-0.2102541</v>
      </c>
      <c r="P5426">
        <v>0.84970709999999905</v>
      </c>
      <c r="Q5426">
        <v>2.2953919999999999E-2</v>
      </c>
      <c r="R5426">
        <v>-0.52675519999999998</v>
      </c>
      <c r="S5426">
        <v>1.9896240000000001</v>
      </c>
      <c r="T5426">
        <v>-0.34005220000000003</v>
      </c>
      <c r="U5426">
        <v>-2.5159609999999999</v>
      </c>
      <c r="V5426">
        <v>0.33670309999999998</v>
      </c>
      <c r="W5426">
        <v>3.2223670000000003E-2</v>
      </c>
      <c r="X5426">
        <v>0.94105939999999999</v>
      </c>
      <c r="Y5426">
        <v>0.63340109999999905</v>
      </c>
      <c r="Z5426">
        <v>-2.2539900000000002E-2</v>
      </c>
      <c r="AA5426">
        <v>0.7734953</v>
      </c>
      <c r="AB5426">
        <v>25</v>
      </c>
      <c r="AC5426">
        <v>6.3792000000000204</v>
      </c>
      <c r="AD5426">
        <v>-1.1093919999999999</v>
      </c>
      <c r="AE5426">
        <v>-8.1842849999999991</v>
      </c>
      <c r="AF5426">
        <v>6.5846564436511503</v>
      </c>
      <c r="AG5426">
        <v>-1.1093919999999999</v>
      </c>
      <c r="AH5426">
        <v>7.8675968650613797</v>
      </c>
      <c r="AI5426">
        <v>96.17160929277</v>
      </c>
      <c r="AJ5426">
        <v>50.072904014198599</v>
      </c>
      <c r="AK5426">
        <v>10.3192796028455</v>
      </c>
      <c r="AL5426">
        <v>88.153400166746493</v>
      </c>
      <c r="AM5426">
        <v>70.313219880768898</v>
      </c>
      <c r="AN5426">
        <v>1.0000000683931101</v>
      </c>
    </row>
    <row r="5427" spans="1:40" x14ac:dyDescent="0.25">
      <c r="A5427" t="str">
        <f>"20190305135342315"</f>
        <v>20190305135342315</v>
      </c>
      <c r="B5427" t="str">
        <f>"1551765222304954"</f>
        <v>1551765222304954</v>
      </c>
      <c r="C5427" t="s">
        <v>40</v>
      </c>
      <c r="D5427">
        <v>4.5367540000000002</v>
      </c>
      <c r="E5427">
        <v>0.63785230000000004</v>
      </c>
      <c r="F5427" t="s">
        <v>47</v>
      </c>
      <c r="G5427">
        <v>-307.50310000000002</v>
      </c>
      <c r="H5427">
        <v>-0.05</v>
      </c>
      <c r="I5427">
        <v>7.1919709999999997</v>
      </c>
      <c r="J5427">
        <v>-313.84179999999998</v>
      </c>
      <c r="K5427">
        <v>1.0588949999999999</v>
      </c>
      <c r="L5427">
        <v>15.42737</v>
      </c>
      <c r="M5427">
        <v>0.97680120000000004</v>
      </c>
      <c r="N5427">
        <v>-1.3835190000000001E-2</v>
      </c>
      <c r="O5427">
        <v>-0.2137009</v>
      </c>
      <c r="P5427">
        <v>0.84562079999999995</v>
      </c>
      <c r="Q5427">
        <v>2.2344269999999999E-2</v>
      </c>
      <c r="R5427">
        <v>-0.53331660000000003</v>
      </c>
      <c r="S5427">
        <v>1.973724</v>
      </c>
      <c r="T5427">
        <v>-0.33910249999999997</v>
      </c>
      <c r="U5427">
        <v>-2.5262449999999999</v>
      </c>
      <c r="V5427">
        <v>0.34066419999999997</v>
      </c>
      <c r="W5427">
        <v>3.1286679999999997E-2</v>
      </c>
      <c r="X5427">
        <v>0.93966430000000001</v>
      </c>
      <c r="Y5427">
        <v>0.63524190000000003</v>
      </c>
      <c r="Z5427">
        <v>-2.2223699999999999E-2</v>
      </c>
      <c r="AA5427">
        <v>0.77199340000000005</v>
      </c>
      <c r="AB5427">
        <v>25</v>
      </c>
      <c r="AC5427">
        <v>6.3386999999999496</v>
      </c>
      <c r="AD5427">
        <v>-1.108895</v>
      </c>
      <c r="AE5427">
        <v>-8.2353989999999992</v>
      </c>
      <c r="AF5427">
        <v>6.6150855518073302</v>
      </c>
      <c r="AG5427">
        <v>-1.108895</v>
      </c>
      <c r="AH5427">
        <v>7.8628005974353599</v>
      </c>
      <c r="AI5427">
        <v>96.159402105062</v>
      </c>
      <c r="AJ5427">
        <v>49.925622746795199</v>
      </c>
      <c r="AK5427">
        <v>10.3350199909717</v>
      </c>
      <c r="AL5427">
        <v>88.207112658687095</v>
      </c>
      <c r="AM5427">
        <v>70.0724850829301</v>
      </c>
      <c r="AN5427">
        <v>0.99999997510077498</v>
      </c>
    </row>
    <row r="5428" spans="1:40" x14ac:dyDescent="0.25">
      <c r="A5428" t="str">
        <f>"20190305135342326"</f>
        <v>20190305135342326</v>
      </c>
      <c r="B5428" t="str">
        <f>"1551765222315690"</f>
        <v>1551765222315690</v>
      </c>
      <c r="C5428" t="s">
        <v>40</v>
      </c>
      <c r="D5428">
        <v>4.5383250000000004</v>
      </c>
      <c r="E5428">
        <v>0.63723079999999999</v>
      </c>
      <c r="F5428" t="s">
        <v>47</v>
      </c>
      <c r="G5428">
        <v>-307.4581</v>
      </c>
      <c r="H5428">
        <v>-0.05</v>
      </c>
      <c r="I5428">
        <v>7.1513369999999998</v>
      </c>
      <c r="J5428">
        <v>-313.72190000000001</v>
      </c>
      <c r="K5428">
        <v>1.058397</v>
      </c>
      <c r="L5428">
        <v>15.39752</v>
      </c>
      <c r="M5428">
        <v>0.97602619999999896</v>
      </c>
      <c r="N5428">
        <v>-1.367326E-2</v>
      </c>
      <c r="O5428">
        <v>-0.21722359999999999</v>
      </c>
      <c r="P5428">
        <v>0.84134019999999998</v>
      </c>
      <c r="Q5428">
        <v>2.18385E-2</v>
      </c>
      <c r="R5428">
        <v>-0.54006480000000001</v>
      </c>
      <c r="S5428">
        <v>1.9567570000000001</v>
      </c>
      <c r="T5428">
        <v>-0.3399025</v>
      </c>
      <c r="U5428">
        <v>-2.5368040000000001</v>
      </c>
      <c r="V5428">
        <v>0.34478950000000003</v>
      </c>
      <c r="W5428">
        <v>3.0445940000000001E-2</v>
      </c>
      <c r="X5428">
        <v>0.93818610000000002</v>
      </c>
      <c r="Y5428">
        <v>0.63723750000000001</v>
      </c>
      <c r="Z5428">
        <v>-2.1987489999999998E-2</v>
      </c>
      <c r="AA5428">
        <v>0.77035379999999998</v>
      </c>
      <c r="AB5428">
        <v>25</v>
      </c>
      <c r="AC5428">
        <v>6.2637999999999998</v>
      </c>
      <c r="AD5428">
        <v>-1.1083969999999901</v>
      </c>
      <c r="AE5428">
        <v>-8.2461830000000003</v>
      </c>
      <c r="AF5428">
        <v>6.6127109896995702</v>
      </c>
      <c r="AG5428">
        <v>-1.1083969999999901</v>
      </c>
      <c r="AH5428">
        <v>7.8160910259258101</v>
      </c>
      <c r="AI5428">
        <v>96.1788738226482</v>
      </c>
      <c r="AJ5428">
        <v>49.767505823988898</v>
      </c>
      <c r="AK5428">
        <v>10.2979497701465</v>
      </c>
      <c r="AL5428">
        <v>88.255306445645402</v>
      </c>
      <c r="AM5428">
        <v>69.821291276622304</v>
      </c>
      <c r="AN5428">
        <v>0.99999995640297001</v>
      </c>
    </row>
    <row r="5429" spans="1:40" x14ac:dyDescent="0.25">
      <c r="A5429" t="str">
        <f>"20190305135342337"</f>
        <v>20190305135342337</v>
      </c>
      <c r="B5429" t="str">
        <f>"1551765222325449"</f>
        <v>1551765222325449</v>
      </c>
      <c r="C5429" t="s">
        <v>40</v>
      </c>
      <c r="D5429">
        <v>4.5753139999999997</v>
      </c>
      <c r="E5429">
        <v>0.63723079999999999</v>
      </c>
      <c r="F5429" t="s">
        <v>47</v>
      </c>
      <c r="G5429">
        <v>-307.42669999999998</v>
      </c>
      <c r="H5429">
        <v>-0.05</v>
      </c>
      <c r="I5429">
        <v>7.1226960000000004</v>
      </c>
      <c r="J5429">
        <v>-313.59570000000002</v>
      </c>
      <c r="K5429">
        <v>1.057903</v>
      </c>
      <c r="L5429">
        <v>15.36505</v>
      </c>
      <c r="M5429">
        <v>0.97514860000000003</v>
      </c>
      <c r="N5429">
        <v>-1.352593E-2</v>
      </c>
      <c r="O5429">
        <v>-0.221139</v>
      </c>
      <c r="P5429">
        <v>0.83679269999999994</v>
      </c>
      <c r="Q5429">
        <v>2.1341410000000002E-2</v>
      </c>
      <c r="R5429">
        <v>-0.54710389999999998</v>
      </c>
      <c r="S5429">
        <v>1.9387509999999999</v>
      </c>
      <c r="T5429">
        <v>-0.34135290000000001</v>
      </c>
      <c r="U5429">
        <v>-2.5484010000000001</v>
      </c>
      <c r="V5429">
        <v>0.34889409999999998</v>
      </c>
      <c r="W5429">
        <v>2.9606130000000001E-2</v>
      </c>
      <c r="X5429">
        <v>0.93669440000000004</v>
      </c>
      <c r="Y5429">
        <v>0.63926369999999999</v>
      </c>
      <c r="Z5429">
        <v>-2.17439E-2</v>
      </c>
      <c r="AA5429">
        <v>0.76868019999999904</v>
      </c>
      <c r="AB5429">
        <v>25</v>
      </c>
      <c r="AC5429">
        <v>6.1690000000000396</v>
      </c>
      <c r="AD5429">
        <v>-1.1079030000000001</v>
      </c>
      <c r="AE5429">
        <v>-8.24235399999999</v>
      </c>
      <c r="AF5429">
        <v>6.5975208924190198</v>
      </c>
      <c r="AG5429">
        <v>-1.1079030000000001</v>
      </c>
      <c r="AH5429">
        <v>7.7493725370687399</v>
      </c>
      <c r="AI5429">
        <v>96.212688026257098</v>
      </c>
      <c r="AJ5429">
        <v>49.590191207295497</v>
      </c>
      <c r="AK5429">
        <v>10.237553697128501</v>
      </c>
      <c r="AL5429">
        <v>88.303445809603701</v>
      </c>
      <c r="AM5429">
        <v>69.570957132294794</v>
      </c>
      <c r="AN5429">
        <v>1.0000000074698701</v>
      </c>
    </row>
    <row r="5430" spans="1:40" x14ac:dyDescent="0.25">
      <c r="A5430" t="str">
        <f>"20190305135342348"</f>
        <v>20190305135342348</v>
      </c>
      <c r="B5430" t="str">
        <f>"1551765222335209"</f>
        <v>1551765222335209</v>
      </c>
      <c r="C5430" t="s">
        <v>40</v>
      </c>
      <c r="D5430">
        <v>4.5374369999999997</v>
      </c>
      <c r="E5430">
        <v>0.61454449999999905</v>
      </c>
      <c r="F5430" t="s">
        <v>47</v>
      </c>
      <c r="G5430">
        <v>-307.38909999999998</v>
      </c>
      <c r="H5430">
        <v>-0.05</v>
      </c>
      <c r="I5430">
        <v>7.0621799999999997</v>
      </c>
      <c r="J5430">
        <v>-313.48469999999998</v>
      </c>
      <c r="K5430">
        <v>1.0574760000000001</v>
      </c>
      <c r="L5430">
        <v>15.336209999999999</v>
      </c>
      <c r="M5430">
        <v>0.97435329999999998</v>
      </c>
      <c r="N5430">
        <v>-1.3399950000000001E-2</v>
      </c>
      <c r="O5430">
        <v>-0.22462460000000001</v>
      </c>
      <c r="P5430">
        <v>0.83234640000000004</v>
      </c>
      <c r="Q5430">
        <v>2.063802E-2</v>
      </c>
      <c r="R5430">
        <v>-0.55387200000000003</v>
      </c>
      <c r="S5430">
        <v>1.917084</v>
      </c>
      <c r="T5430">
        <v>-0.34220679999999998</v>
      </c>
      <c r="U5430">
        <v>-2.564575</v>
      </c>
      <c r="V5430">
        <v>0.3531338</v>
      </c>
      <c r="W5430">
        <v>2.8590899999999999E-2</v>
      </c>
      <c r="X5430">
        <v>0.93513590000000002</v>
      </c>
      <c r="Y5430">
        <v>0.6429783</v>
      </c>
      <c r="Z5430">
        <v>-2.1667849999999999E-2</v>
      </c>
      <c r="AA5430">
        <v>0.76557790000000003</v>
      </c>
      <c r="AB5430">
        <v>25</v>
      </c>
      <c r="AC5430">
        <v>6.0955999999999904</v>
      </c>
      <c r="AD5430">
        <v>-1.1074759999999999</v>
      </c>
      <c r="AE5430">
        <v>-8.2740299999999998</v>
      </c>
      <c r="AF5430">
        <v>6.61637222790909</v>
      </c>
      <c r="AG5430">
        <v>-1.1074759999999999</v>
      </c>
      <c r="AH5430">
        <v>7.7089948535416504</v>
      </c>
      <c r="AI5430">
        <v>96.221498656784206</v>
      </c>
      <c r="AJ5430">
        <v>49.361611941026098</v>
      </c>
      <c r="AK5430">
        <v>10.219172481211601</v>
      </c>
      <c r="AL5430">
        <v>88.361638894373897</v>
      </c>
      <c r="AM5430">
        <v>69.312043389149807</v>
      </c>
      <c r="AN5430">
        <v>1.00000003586702</v>
      </c>
    </row>
    <row r="5431" spans="1:40" x14ac:dyDescent="0.25">
      <c r="A5431" t="str">
        <f>"20190305135342359"</f>
        <v>20190305135342359</v>
      </c>
      <c r="B5431" t="str">
        <f>"1551765222355478"</f>
        <v>1551765222355478</v>
      </c>
      <c r="C5431" t="s">
        <v>40</v>
      </c>
      <c r="D5431">
        <v>4.5306199999999999</v>
      </c>
      <c r="E5431">
        <v>0.61272550000000003</v>
      </c>
      <c r="F5431" t="s">
        <v>47</v>
      </c>
      <c r="G5431">
        <v>-307.36810000000003</v>
      </c>
      <c r="H5431">
        <v>-0.05</v>
      </c>
      <c r="I5431">
        <v>7.8928830000000003</v>
      </c>
      <c r="J5431">
        <v>-313.36169999999998</v>
      </c>
      <c r="K5431">
        <v>1.057034</v>
      </c>
      <c r="L5431">
        <v>15.30344</v>
      </c>
      <c r="M5431">
        <v>0.9734216</v>
      </c>
      <c r="N5431">
        <v>-1.327593E-2</v>
      </c>
      <c r="O5431">
        <v>-0.22863600000000001</v>
      </c>
      <c r="P5431">
        <v>0.82742530000000003</v>
      </c>
      <c r="Q5431">
        <v>2.03115E-2</v>
      </c>
      <c r="R5431">
        <v>-0.5612085</v>
      </c>
      <c r="S5431">
        <v>1.996521</v>
      </c>
      <c r="T5431">
        <v>-0.36148920000000001</v>
      </c>
      <c r="U5431">
        <v>-2.4295650000000002</v>
      </c>
      <c r="V5431">
        <v>0.35754970000000003</v>
      </c>
      <c r="W5431">
        <v>2.7934560000000001E-2</v>
      </c>
      <c r="X5431">
        <v>0.93347619999999998</v>
      </c>
      <c r="Y5431">
        <v>0.60384959999999999</v>
      </c>
      <c r="Z5431">
        <v>-1.8684559999999999E-2</v>
      </c>
      <c r="AA5431">
        <v>0.79687919999999901</v>
      </c>
      <c r="AB5431">
        <v>25</v>
      </c>
      <c r="AC5431">
        <v>5.9935999999999501</v>
      </c>
      <c r="AD5431">
        <v>-1.1070340000000001</v>
      </c>
      <c r="AE5431">
        <v>-7.4105569999999998</v>
      </c>
      <c r="AF5431">
        <v>5.7659685581117204</v>
      </c>
      <c r="AG5431">
        <v>-1.1070340000000001</v>
      </c>
      <c r="AH5431">
        <v>7.4290563035548596</v>
      </c>
      <c r="AI5431">
        <v>96.713852321668199</v>
      </c>
      <c r="AJ5431">
        <v>52.183623327406302</v>
      </c>
      <c r="AK5431">
        <v>9.4690440516282894</v>
      </c>
      <c r="AL5431">
        <v>88.399259331333397</v>
      </c>
      <c r="AM5431">
        <v>69.041644523582093</v>
      </c>
      <c r="AN5431">
        <v>0.99999997178946098</v>
      </c>
    </row>
    <row r="5432" spans="1:40" x14ac:dyDescent="0.25">
      <c r="A5432" t="str">
        <f>"20190305135342382"</f>
        <v>20190305135342382</v>
      </c>
      <c r="B5432" t="str">
        <f>"1551765222375001"</f>
        <v>1551765222375001</v>
      </c>
      <c r="C5432" t="s">
        <v>40</v>
      </c>
      <c r="D5432">
        <v>4.5452459999999997</v>
      </c>
      <c r="E5432">
        <v>0.6103286</v>
      </c>
      <c r="F5432" t="s">
        <v>47</v>
      </c>
      <c r="G5432">
        <v>-307.15260000000001</v>
      </c>
      <c r="H5432">
        <v>-0.05</v>
      </c>
      <c r="I5432">
        <v>7.6800539999999904</v>
      </c>
      <c r="J5432">
        <v>-313.10599999999999</v>
      </c>
      <c r="K5432">
        <v>1.0561659999999999</v>
      </c>
      <c r="L5432">
        <v>15.233429999999901</v>
      </c>
      <c r="M5432">
        <v>0.9713503</v>
      </c>
      <c r="N5432">
        <v>-1.3035400000000001E-2</v>
      </c>
      <c r="O5432">
        <v>-0.23729500000000001</v>
      </c>
      <c r="P5432">
        <v>0.81697980000000003</v>
      </c>
      <c r="Q5432">
        <v>1.889072E-2</v>
      </c>
      <c r="R5432">
        <v>-0.57635719999999901</v>
      </c>
      <c r="S5432">
        <v>1.9830019999999999</v>
      </c>
      <c r="T5432">
        <v>-0.35355500000000001</v>
      </c>
      <c r="U5432">
        <v>-2.4346920000000001</v>
      </c>
      <c r="V5432">
        <v>0.36641249999999997</v>
      </c>
      <c r="W5432">
        <v>2.583819E-2</v>
      </c>
      <c r="X5432">
        <v>0.93009370000000002</v>
      </c>
      <c r="Y5432">
        <v>0.60043040000000003</v>
      </c>
      <c r="Z5432">
        <v>-1.7080789999999998E-2</v>
      </c>
      <c r="AA5432">
        <v>0.79949459999999894</v>
      </c>
      <c r="AB5432">
        <v>25</v>
      </c>
      <c r="AC5432">
        <v>5.9533999999999798</v>
      </c>
      <c r="AD5432">
        <v>-1.106166</v>
      </c>
      <c r="AE5432">
        <v>-7.5533759999999903</v>
      </c>
      <c r="AF5432">
        <v>5.8474113097032498</v>
      </c>
      <c r="AG5432">
        <v>-1.106166</v>
      </c>
      <c r="AH5432">
        <v>7.4769480658628202</v>
      </c>
      <c r="AI5432">
        <v>96.647116210223103</v>
      </c>
      <c r="AJ5432">
        <v>51.972510198267997</v>
      </c>
      <c r="AK5432">
        <v>9.5561799179385094</v>
      </c>
      <c r="AL5432">
        <v>88.519416005975103</v>
      </c>
      <c r="AM5432">
        <v>68.497928346142999</v>
      </c>
      <c r="AN5432">
        <v>1.0000000114992</v>
      </c>
    </row>
    <row r="5433" spans="1:40" x14ac:dyDescent="0.25">
      <c r="A5433" t="str">
        <f>"20190305135342394"</f>
        <v>20190305135342394</v>
      </c>
      <c r="B5433" t="str">
        <f>"1551765222385734"</f>
        <v>1551765222385734</v>
      </c>
      <c r="C5433" t="s">
        <v>40</v>
      </c>
      <c r="D5433">
        <v>4.4964360000000001</v>
      </c>
      <c r="E5433">
        <v>0.60919499999999904</v>
      </c>
      <c r="F5433" t="s">
        <v>47</v>
      </c>
      <c r="G5433">
        <v>-307.04000000000002</v>
      </c>
      <c r="H5433">
        <v>-0.05</v>
      </c>
      <c r="I5433">
        <v>7.5879820000000002</v>
      </c>
      <c r="J5433">
        <v>-312.9871</v>
      </c>
      <c r="K5433">
        <v>1.0557939999999999</v>
      </c>
      <c r="L5433">
        <v>15.199680000000001</v>
      </c>
      <c r="M5433">
        <v>0.970306</v>
      </c>
      <c r="N5433">
        <v>-1.2935449999999999E-2</v>
      </c>
      <c r="O5433">
        <v>-0.24153450000000001</v>
      </c>
      <c r="P5433">
        <v>0.81156200000000001</v>
      </c>
      <c r="Q5433">
        <v>1.804356E-2</v>
      </c>
      <c r="R5433">
        <v>-0.58398739999999905</v>
      </c>
      <c r="S5433">
        <v>1.9480900000000001</v>
      </c>
      <c r="T5433">
        <v>-0.35524729999999999</v>
      </c>
      <c r="U5433">
        <v>-2.4553530000000001</v>
      </c>
      <c r="V5433">
        <v>0.3710543</v>
      </c>
      <c r="W5433">
        <v>2.467126E-2</v>
      </c>
      <c r="X5433">
        <v>0.92828339999999998</v>
      </c>
      <c r="Y5433">
        <v>0.60708700000000004</v>
      </c>
      <c r="Z5433">
        <v>-1.7189159999999998E-2</v>
      </c>
      <c r="AA5433">
        <v>0.79444950000000003</v>
      </c>
      <c r="AB5433">
        <v>25</v>
      </c>
      <c r="AC5433">
        <v>5.9470999999999696</v>
      </c>
      <c r="AD5433">
        <v>-1.1057939999999999</v>
      </c>
      <c r="AE5433">
        <v>-7.6116979999999899</v>
      </c>
      <c r="AF5433">
        <v>5.8727811134824099</v>
      </c>
      <c r="AG5433">
        <v>-1.1057939999999999</v>
      </c>
      <c r="AH5433">
        <v>7.5111965413750896</v>
      </c>
      <c r="AI5433">
        <v>96.615470609552503</v>
      </c>
      <c r="AJ5433">
        <v>51.979205925444703</v>
      </c>
      <c r="AK5433">
        <v>9.5984588273574794</v>
      </c>
      <c r="AL5433">
        <v>88.586297513667304</v>
      </c>
      <c r="AM5433">
        <v>68.212376130599793</v>
      </c>
      <c r="AN5433">
        <v>1.0000000176670101</v>
      </c>
    </row>
    <row r="5434" spans="1:40" x14ac:dyDescent="0.25">
      <c r="A5434" t="str">
        <f>"20190305135342407"</f>
        <v>20190305135342407</v>
      </c>
      <c r="B5434" t="str">
        <f>"1551765222395494"</f>
        <v>1551765222395494</v>
      </c>
      <c r="C5434" t="s">
        <v>40</v>
      </c>
      <c r="D5434">
        <v>4.5081959999999999</v>
      </c>
      <c r="E5434">
        <v>0.60919499999999904</v>
      </c>
      <c r="F5434" t="s">
        <v>47</v>
      </c>
      <c r="G5434">
        <v>-306.97000000000003</v>
      </c>
      <c r="H5434">
        <v>-0.05</v>
      </c>
      <c r="I5434">
        <v>7.511063</v>
      </c>
      <c r="J5434">
        <v>-312.8476</v>
      </c>
      <c r="K5434">
        <v>1.055366</v>
      </c>
      <c r="L5434">
        <v>15.159610000000001</v>
      </c>
      <c r="M5434">
        <v>0.96903570000000006</v>
      </c>
      <c r="N5434">
        <v>-1.282168E-2</v>
      </c>
      <c r="O5434">
        <v>-0.2465879</v>
      </c>
      <c r="P5434">
        <v>0.80573609999999996</v>
      </c>
      <c r="Q5434">
        <v>1.6858430000000001E-2</v>
      </c>
      <c r="R5434">
        <v>-0.59203479999999997</v>
      </c>
      <c r="S5434">
        <v>1.9299010000000001</v>
      </c>
      <c r="T5434">
        <v>-0.35467019999999999</v>
      </c>
      <c r="U5434">
        <v>-2.4660340000000001</v>
      </c>
      <c r="V5434">
        <v>0.37543670000000001</v>
      </c>
      <c r="W5434">
        <v>2.3129609999999998E-2</v>
      </c>
      <c r="X5434">
        <v>0.92655940000000003</v>
      </c>
      <c r="Y5434">
        <v>0.60827430000000005</v>
      </c>
      <c r="Z5434">
        <v>-1.6658079999999999E-2</v>
      </c>
      <c r="AA5434">
        <v>0.79355209999999998</v>
      </c>
      <c r="AB5434">
        <v>25</v>
      </c>
      <c r="AC5434">
        <v>5.87759999999997</v>
      </c>
      <c r="AD5434">
        <v>-1.1053660000000001</v>
      </c>
      <c r="AE5434">
        <v>-7.6485469999999998</v>
      </c>
      <c r="AF5434">
        <v>5.8855736227769802</v>
      </c>
      <c r="AG5434">
        <v>-1.1053660000000001</v>
      </c>
      <c r="AH5434">
        <v>7.4839904000840898</v>
      </c>
      <c r="AI5434">
        <v>96.622236646855498</v>
      </c>
      <c r="AJ5434">
        <v>51.817715787377303</v>
      </c>
      <c r="AK5434">
        <v>9.5849842551584299</v>
      </c>
      <c r="AL5434">
        <v>88.674652785974502</v>
      </c>
      <c r="AM5434">
        <v>67.9424833488535</v>
      </c>
      <c r="AN5434">
        <v>1.000000008147</v>
      </c>
    </row>
    <row r="5435" spans="1:40" x14ac:dyDescent="0.25">
      <c r="A5435" t="str">
        <f>"20190305135342426"</f>
        <v>20190305135342426</v>
      </c>
      <c r="B5435" t="str">
        <f>"1551765222415990"</f>
        <v>1551765222415990</v>
      </c>
      <c r="C5435" t="s">
        <v>40</v>
      </c>
      <c r="D5435">
        <v>4.698035</v>
      </c>
      <c r="E5435">
        <v>0.59944240000000004</v>
      </c>
      <c r="F5435" t="s">
        <v>47</v>
      </c>
      <c r="G5435">
        <v>-306.95580000000001</v>
      </c>
      <c r="H5435">
        <v>-0.05</v>
      </c>
      <c r="I5435">
        <v>7.4729609999999997</v>
      </c>
      <c r="J5435">
        <v>-312.6302</v>
      </c>
      <c r="K5435">
        <v>1.054735</v>
      </c>
      <c r="L5435">
        <v>15.0948799999999</v>
      </c>
      <c r="M5435">
        <v>0.96689769999999997</v>
      </c>
      <c r="N5435">
        <v>-1.2666210000000001E-2</v>
      </c>
      <c r="O5435">
        <v>-0.25484960000000001</v>
      </c>
      <c r="P5435">
        <v>0.79506619999999995</v>
      </c>
      <c r="Q5435">
        <v>1.404823E-2</v>
      </c>
      <c r="R5435">
        <v>-0.60636009999999996</v>
      </c>
      <c r="S5435">
        <v>1.9048160000000001</v>
      </c>
      <c r="T5435">
        <v>-0.35736659999999998</v>
      </c>
      <c r="U5435">
        <v>-2.4851070000000002</v>
      </c>
      <c r="V5435">
        <v>0.38405280000000003</v>
      </c>
      <c r="W5435">
        <v>1.9729590000000002E-2</v>
      </c>
      <c r="X5435">
        <v>0.92310040000000004</v>
      </c>
      <c r="Y5435">
        <v>0.60949409999999904</v>
      </c>
      <c r="Z5435">
        <v>-1.5815869999999999E-2</v>
      </c>
      <c r="AA5435">
        <v>0.79263280000000003</v>
      </c>
      <c r="AB5435">
        <v>25</v>
      </c>
      <c r="AC5435">
        <v>5.6743999999999897</v>
      </c>
      <c r="AD5435">
        <v>-1.104735</v>
      </c>
      <c r="AE5435">
        <v>-7.6219189999999903</v>
      </c>
      <c r="AF5435">
        <v>5.8449692425934003</v>
      </c>
      <c r="AG5435">
        <v>-1.104735</v>
      </c>
      <c r="AH5435">
        <v>7.3305205495217702</v>
      </c>
      <c r="AI5435">
        <v>96.720287354655497</v>
      </c>
      <c r="AJ5435">
        <v>51.432994953745499</v>
      </c>
      <c r="AK5435">
        <v>9.4403726830061494</v>
      </c>
      <c r="AL5435">
        <v>88.869504500759206</v>
      </c>
      <c r="AM5435">
        <v>67.410412508396007</v>
      </c>
      <c r="AN5435">
        <v>1.0000000791947801</v>
      </c>
    </row>
    <row r="5436" spans="1:40" x14ac:dyDescent="0.25">
      <c r="A5436" t="str">
        <f>"20190305135342439"</f>
        <v>20190305135342439</v>
      </c>
      <c r="B5436" t="str">
        <f>"1551765222435745"</f>
        <v>1551765222435745</v>
      </c>
      <c r="C5436" t="s">
        <v>40</v>
      </c>
      <c r="D5436">
        <v>4.5157280000000002</v>
      </c>
      <c r="E5436">
        <v>0.65317000000000003</v>
      </c>
      <c r="F5436" t="s">
        <v>47</v>
      </c>
      <c r="G5436">
        <v>-306.31650000000002</v>
      </c>
      <c r="H5436">
        <v>-0.05</v>
      </c>
      <c r="I5436">
        <v>6.9571839999999998</v>
      </c>
      <c r="J5436">
        <v>-312.49020000000002</v>
      </c>
      <c r="K5436">
        <v>1.0543610000000001</v>
      </c>
      <c r="L5436">
        <v>15.051729999999999</v>
      </c>
      <c r="M5436">
        <v>0.96541889999999997</v>
      </c>
      <c r="N5436">
        <v>-1.25802E-2</v>
      </c>
      <c r="O5436">
        <v>-0.26039990000000002</v>
      </c>
      <c r="P5436">
        <v>0.78897709999999999</v>
      </c>
      <c r="Q5436">
        <v>1.2737729999999999E-2</v>
      </c>
      <c r="R5436">
        <v>-0.61429080000000003</v>
      </c>
      <c r="S5436">
        <v>1.9057919999999999</v>
      </c>
      <c r="T5436">
        <v>-0.33346369999999997</v>
      </c>
      <c r="U5436">
        <v>-2.4563600000000001</v>
      </c>
      <c r="V5436">
        <v>0.3879707</v>
      </c>
      <c r="W5436">
        <v>1.808003E-2</v>
      </c>
      <c r="X5436">
        <v>0.92149440000000005</v>
      </c>
      <c r="Y5436">
        <v>0.60065000000000002</v>
      </c>
      <c r="Z5436">
        <v>-1.39601E-2</v>
      </c>
      <c r="AA5436">
        <v>0.7993903</v>
      </c>
      <c r="AB5436">
        <v>25</v>
      </c>
      <c r="AC5436">
        <v>6.1736999999999904</v>
      </c>
      <c r="AD5436">
        <v>-1.1043609999999999</v>
      </c>
      <c r="AE5436">
        <v>-8.0945459999999994</v>
      </c>
      <c r="AF5436">
        <v>6.1352866395778296</v>
      </c>
      <c r="AG5436">
        <v>-1.1043609999999999</v>
      </c>
      <c r="AH5436">
        <v>7.9748147455665901</v>
      </c>
      <c r="AI5436">
        <v>96.263599301659298</v>
      </c>
      <c r="AJ5436">
        <v>52.427735059307103</v>
      </c>
      <c r="AK5436">
        <v>10.1222045817208</v>
      </c>
      <c r="AL5436">
        <v>88.964034183433895</v>
      </c>
      <c r="AM5436">
        <v>67.167768754500202</v>
      </c>
      <c r="AN5436">
        <v>1.0000000403873199</v>
      </c>
    </row>
    <row r="5437" spans="1:40" x14ac:dyDescent="0.25">
      <c r="A5437" t="str">
        <f>"20190305135342450"</f>
        <v>20190305135342450</v>
      </c>
      <c r="B5437" t="str">
        <f>"1551765222445843"</f>
        <v>1551765222445843</v>
      </c>
      <c r="C5437" t="s">
        <v>40</v>
      </c>
      <c r="D5437">
        <v>4.5201630000000002</v>
      </c>
      <c r="E5437">
        <v>0.66302109999999903</v>
      </c>
      <c r="F5437" t="s">
        <v>47</v>
      </c>
      <c r="G5437">
        <v>-307.38889999999998</v>
      </c>
      <c r="H5437">
        <v>-0.05</v>
      </c>
      <c r="I5437">
        <v>6.1760099999999998</v>
      </c>
      <c r="J5437">
        <v>-312.37860000000001</v>
      </c>
      <c r="K5437">
        <v>1.054068</v>
      </c>
      <c r="L5437">
        <v>15.016780000000001</v>
      </c>
      <c r="M5437">
        <v>0.96419480000000002</v>
      </c>
      <c r="N5437">
        <v>-1.2514829999999999E-2</v>
      </c>
      <c r="O5437">
        <v>-0.26490000000000002</v>
      </c>
      <c r="P5437">
        <v>0.78364899999999904</v>
      </c>
      <c r="Q5437">
        <v>1.159307E-2</v>
      </c>
      <c r="R5437">
        <v>-0.62109599999999998</v>
      </c>
      <c r="S5437">
        <v>1.6172489999999999</v>
      </c>
      <c r="T5437">
        <v>-0.35011209999999998</v>
      </c>
      <c r="U5437">
        <v>-2.8138429999999999</v>
      </c>
      <c r="V5437">
        <v>0.39162720000000001</v>
      </c>
      <c r="W5437">
        <v>1.6655449999999999E-2</v>
      </c>
      <c r="X5437">
        <v>0.91997320000000005</v>
      </c>
      <c r="Y5437">
        <v>0.7008991</v>
      </c>
      <c r="Z5437">
        <v>-2.2226369999999999E-2</v>
      </c>
      <c r="AA5437">
        <v>0.71291400000000005</v>
      </c>
      <c r="AB5437">
        <v>25</v>
      </c>
      <c r="AC5437">
        <v>4.9897000000000196</v>
      </c>
      <c r="AD5437">
        <v>-1.104068</v>
      </c>
      <c r="AE5437">
        <v>-8.8407699999999991</v>
      </c>
      <c r="AF5437">
        <v>7.1188137160616201</v>
      </c>
      <c r="AG5437">
        <v>-1.104068</v>
      </c>
      <c r="AH5437">
        <v>7.0698982601964904</v>
      </c>
      <c r="AI5437">
        <v>96.279773552956797</v>
      </c>
      <c r="AJ5437">
        <v>44.802474102268299</v>
      </c>
      <c r="AK5437">
        <v>10.093559148394601</v>
      </c>
      <c r="AL5437">
        <v>89.045668862340705</v>
      </c>
      <c r="AM5437">
        <v>66.940829778534706</v>
      </c>
      <c r="AN5437">
        <v>0.99999997825639098</v>
      </c>
    </row>
    <row r="5438" spans="1:40" x14ac:dyDescent="0.25">
      <c r="A5438" t="str">
        <f>"20190305135342460"</f>
        <v>20190305135342460</v>
      </c>
      <c r="B5438" t="str">
        <f>"1551765222455896"</f>
        <v>1551765222455896</v>
      </c>
      <c r="C5438" t="s">
        <v>40</v>
      </c>
      <c r="D5438">
        <v>4.5018330000000004</v>
      </c>
      <c r="E5438">
        <v>0.6666723</v>
      </c>
      <c r="F5438" t="s">
        <v>47</v>
      </c>
      <c r="G5438">
        <v>-307.33100000000002</v>
      </c>
      <c r="H5438">
        <v>-0.05</v>
      </c>
      <c r="I5438">
        <v>5.5672300000000003</v>
      </c>
      <c r="J5438">
        <v>-312.2638</v>
      </c>
      <c r="K5438">
        <v>1.053785</v>
      </c>
      <c r="L5438">
        <v>14.98007</v>
      </c>
      <c r="M5438">
        <v>0.96288229999999997</v>
      </c>
      <c r="N5438">
        <v>-1.245218E-2</v>
      </c>
      <c r="O5438">
        <v>-0.2696347</v>
      </c>
      <c r="P5438">
        <v>0.77816289999999999</v>
      </c>
      <c r="Q5438">
        <v>1.1054690000000001E-2</v>
      </c>
      <c r="R5438">
        <v>-0.62796589999999997</v>
      </c>
      <c r="S5438">
        <v>1.5433349999999999</v>
      </c>
      <c r="T5438">
        <v>-0.33757130000000002</v>
      </c>
      <c r="U5438">
        <v>-2.889221</v>
      </c>
      <c r="V5438">
        <v>0.39519080000000001</v>
      </c>
      <c r="W5438">
        <v>1.583731E-2</v>
      </c>
      <c r="X5438">
        <v>0.91846249999999996</v>
      </c>
      <c r="Y5438">
        <v>0.71937879999999998</v>
      </c>
      <c r="Z5438">
        <v>-2.2786799999999999E-2</v>
      </c>
      <c r="AA5438">
        <v>0.69424410000000003</v>
      </c>
      <c r="AB5438">
        <v>25</v>
      </c>
      <c r="AC5438">
        <v>4.9328000000000403</v>
      </c>
      <c r="AD5438">
        <v>-1.103785</v>
      </c>
      <c r="AE5438">
        <v>-9.4128399999999992</v>
      </c>
      <c r="AF5438">
        <v>7.6514571355805003</v>
      </c>
      <c r="AG5438">
        <v>-1.103785</v>
      </c>
      <c r="AH5438">
        <v>7.2105107174682699</v>
      </c>
      <c r="AI5438">
        <v>95.993309327164198</v>
      </c>
      <c r="AJ5438">
        <v>43.300564252077599</v>
      </c>
      <c r="AK5438">
        <v>10.571404941188</v>
      </c>
      <c r="AL5438">
        <v>89.092551019550001</v>
      </c>
      <c r="AM5438">
        <v>66.719033235373601</v>
      </c>
      <c r="AN5438">
        <v>0.99999997634946203</v>
      </c>
    </row>
    <row r="5439" spans="1:40" x14ac:dyDescent="0.25">
      <c r="A5439" t="str">
        <f>"20190305135342472"</f>
        <v>20190305135342472</v>
      </c>
      <c r="B5439" t="str">
        <f>"1551765222465656"</f>
        <v>1551765222465656</v>
      </c>
      <c r="C5439" t="s">
        <v>40</v>
      </c>
      <c r="D5439">
        <v>4.4807769999999998</v>
      </c>
      <c r="E5439">
        <v>0.66739300000000001</v>
      </c>
      <c r="F5439" t="s">
        <v>47</v>
      </c>
      <c r="G5439">
        <v>-307.0061</v>
      </c>
      <c r="H5439">
        <v>-0.05</v>
      </c>
      <c r="I5439">
        <v>4.7187190000000001</v>
      </c>
      <c r="J5439">
        <v>-312.14179999999999</v>
      </c>
      <c r="K5439">
        <v>1.0534950000000001</v>
      </c>
      <c r="L5439">
        <v>14.940160000000001</v>
      </c>
      <c r="M5439">
        <v>0.961422</v>
      </c>
      <c r="N5439">
        <v>-1.2391060000000001E-2</v>
      </c>
      <c r="O5439">
        <v>-0.2747984</v>
      </c>
      <c r="P5439">
        <v>0.77260549999999995</v>
      </c>
      <c r="Q5439">
        <v>1.103255E-2</v>
      </c>
      <c r="R5439">
        <v>-0.63479090000000005</v>
      </c>
      <c r="S5439">
        <v>1.4989319999999999</v>
      </c>
      <c r="T5439">
        <v>-0.3146815</v>
      </c>
      <c r="U5439">
        <v>-2.925446</v>
      </c>
      <c r="V5439">
        <v>0.3983486</v>
      </c>
      <c r="W5439">
        <v>1.5529309999999999E-2</v>
      </c>
      <c r="X5439">
        <v>0.91710259999999999</v>
      </c>
      <c r="Y5439">
        <v>0.72778920000000002</v>
      </c>
      <c r="Z5439">
        <v>-2.1981130000000002E-2</v>
      </c>
      <c r="AA5439">
        <v>0.68544859999999996</v>
      </c>
      <c r="AB5439">
        <v>25</v>
      </c>
      <c r="AC5439">
        <v>5.1356999999999804</v>
      </c>
      <c r="AD5439">
        <v>-1.1034949999999999</v>
      </c>
      <c r="AE5439">
        <v>-10.221441</v>
      </c>
      <c r="AF5439">
        <v>8.3388820164873998</v>
      </c>
      <c r="AG5439">
        <v>-1.1034949999999999</v>
      </c>
      <c r="AH5439">
        <v>7.6755777099023401</v>
      </c>
      <c r="AI5439">
        <v>95.561049461178797</v>
      </c>
      <c r="AJ5439">
        <v>42.628216779477</v>
      </c>
      <c r="AK5439">
        <v>11.3872361739217</v>
      </c>
      <c r="AL5439">
        <v>89.110200287627805</v>
      </c>
      <c r="AM5439">
        <v>66.522016331168103</v>
      </c>
      <c r="AN5439">
        <v>0.99999997275889696</v>
      </c>
    </row>
    <row r="5440" spans="1:40" x14ac:dyDescent="0.25">
      <c r="A5440" t="str">
        <f>"20190305135342481"</f>
        <v>20190305135342481</v>
      </c>
      <c r="B5440" t="str">
        <f>"1551765222475967"</f>
        <v>1551765222475967</v>
      </c>
      <c r="C5440" t="s">
        <v>40</v>
      </c>
      <c r="D5440">
        <v>4.5024439999999997</v>
      </c>
      <c r="E5440">
        <v>0.66774209999999901</v>
      </c>
      <c r="F5440" t="s">
        <v>47</v>
      </c>
      <c r="G5440">
        <v>-306.75310000000002</v>
      </c>
      <c r="H5440">
        <v>-0.05</v>
      </c>
      <c r="I5440">
        <v>4.1466669999999999</v>
      </c>
      <c r="J5440">
        <v>-312.02679999999998</v>
      </c>
      <c r="K5440">
        <v>1.053223</v>
      </c>
      <c r="L5440">
        <v>14.902010000000001</v>
      </c>
      <c r="M5440">
        <v>0.95999460000000003</v>
      </c>
      <c r="N5440">
        <v>-1.233651E-2</v>
      </c>
      <c r="O5440">
        <v>-0.27974670000000001</v>
      </c>
      <c r="P5440">
        <v>0.76711399999999996</v>
      </c>
      <c r="Q5440">
        <v>1.0778019999999999E-2</v>
      </c>
      <c r="R5440">
        <v>-0.64142060000000001</v>
      </c>
      <c r="S5440">
        <v>1.4692689999999999</v>
      </c>
      <c r="T5440">
        <v>-0.30088009999999998</v>
      </c>
      <c r="U5440">
        <v>-2.9429630000000002</v>
      </c>
      <c r="V5440">
        <v>0.40151999999999999</v>
      </c>
      <c r="W5440">
        <v>1.499818E-2</v>
      </c>
      <c r="X5440">
        <v>0.91572750000000003</v>
      </c>
      <c r="Y5440">
        <v>0.73160419999999904</v>
      </c>
      <c r="Z5440">
        <v>-2.1221509999999999E-2</v>
      </c>
      <c r="AA5440">
        <v>0.68139930000000004</v>
      </c>
      <c r="AB5440">
        <v>25</v>
      </c>
      <c r="AC5440">
        <v>5.2736999999999599</v>
      </c>
      <c r="AD5440">
        <v>-1.1032230000000001</v>
      </c>
      <c r="AE5440">
        <v>-10.755343</v>
      </c>
      <c r="AF5440">
        <v>8.7760047821718707</v>
      </c>
      <c r="AG5440">
        <v>-1.1032230000000001</v>
      </c>
      <c r="AH5440">
        <v>8.0042162147132192</v>
      </c>
      <c r="AI5440">
        <v>95.306402496772904</v>
      </c>
      <c r="AJ5440">
        <v>42.3665969400598</v>
      </c>
      <c r="AK5440">
        <v>11.9290753261227</v>
      </c>
      <c r="AL5440">
        <v>89.1406354125089</v>
      </c>
      <c r="AM5440">
        <v>66.323940191020995</v>
      </c>
      <c r="AN5440">
        <v>1.0000000550297701</v>
      </c>
    </row>
    <row r="5441" spans="1:40" x14ac:dyDescent="0.25">
      <c r="A5441" t="str">
        <f>"20190305135342494"</f>
        <v>20190305135342494</v>
      </c>
      <c r="B5441" t="str">
        <f>"1551765222485726"</f>
        <v>1551765222485726</v>
      </c>
      <c r="C5441" t="s">
        <v>40</v>
      </c>
      <c r="D5441">
        <v>4.5219480000000001</v>
      </c>
      <c r="E5441">
        <v>0.66664380000000001</v>
      </c>
      <c r="F5441" t="s">
        <v>47</v>
      </c>
      <c r="G5441">
        <v>-306.64929999999998</v>
      </c>
      <c r="H5441">
        <v>-0.05</v>
      </c>
      <c r="I5441">
        <v>3.8719939999999999</v>
      </c>
      <c r="J5441">
        <v>-311.90339999999998</v>
      </c>
      <c r="K5441">
        <v>1.0529360000000001</v>
      </c>
      <c r="L5441">
        <v>14.859830000000001</v>
      </c>
      <c r="M5441">
        <v>0.95837499999999998</v>
      </c>
      <c r="N5441">
        <v>-1.2286719999999999E-2</v>
      </c>
      <c r="O5441">
        <v>-0.2852479</v>
      </c>
      <c r="P5441">
        <v>0.76140859999999899</v>
      </c>
      <c r="Q5441">
        <v>1.072945E-2</v>
      </c>
      <c r="R5441">
        <v>-0.64818330000000002</v>
      </c>
      <c r="S5441">
        <v>1.4419249999999999</v>
      </c>
      <c r="T5441">
        <v>-0.29582019999999998</v>
      </c>
      <c r="U5441">
        <v>-2.957611</v>
      </c>
      <c r="V5441">
        <v>0.40437420000000002</v>
      </c>
      <c r="W5441">
        <v>1.466252E-2</v>
      </c>
      <c r="X5441">
        <v>0.91447610000000001</v>
      </c>
      <c r="Y5441">
        <v>0.73418809999999901</v>
      </c>
      <c r="Z5441">
        <v>-2.06935E-2</v>
      </c>
      <c r="AA5441">
        <v>0.67863070000000003</v>
      </c>
      <c r="AB5441">
        <v>25</v>
      </c>
      <c r="AC5441">
        <v>5.2540999999999896</v>
      </c>
      <c r="AD5441">
        <v>-1.1029359999999999</v>
      </c>
      <c r="AE5441">
        <v>-10.9878359999999</v>
      </c>
      <c r="AF5441">
        <v>8.9589590635431708</v>
      </c>
      <c r="AG5441">
        <v>-1.1029359999999999</v>
      </c>
      <c r="AH5441">
        <v>8.1038155935161793</v>
      </c>
      <c r="AI5441">
        <v>95.216643638545904</v>
      </c>
      <c r="AJ5441">
        <v>42.130879812920199</v>
      </c>
      <c r="AK5441">
        <v>12.1305911849363</v>
      </c>
      <c r="AL5441">
        <v>89.159869390580297</v>
      </c>
      <c r="AM5441">
        <v>66.145359444948198</v>
      </c>
      <c r="AN5441">
        <v>1.0000000102947999</v>
      </c>
    </row>
    <row r="5442" spans="1:40" x14ac:dyDescent="0.25">
      <c r="A5442" t="str">
        <f>"20190305135342504"</f>
        <v>20190305135342504</v>
      </c>
      <c r="B5442" t="str">
        <f>"1551765222495487"</f>
        <v>1551765222495487</v>
      </c>
      <c r="C5442" t="s">
        <v>40</v>
      </c>
      <c r="D5442">
        <v>4.485938</v>
      </c>
      <c r="E5442">
        <v>0.66532019999999903</v>
      </c>
      <c r="F5442" t="s">
        <v>47</v>
      </c>
      <c r="G5442">
        <v>-306.54020000000003</v>
      </c>
      <c r="H5442">
        <v>-0.05</v>
      </c>
      <c r="I5442">
        <v>3.679138</v>
      </c>
      <c r="J5442">
        <v>-311.78730000000002</v>
      </c>
      <c r="K5442">
        <v>1.0526599999999999</v>
      </c>
      <c r="L5442">
        <v>14.81982</v>
      </c>
      <c r="M5442">
        <v>0.95680569999999998</v>
      </c>
      <c r="N5442">
        <v>-1.224077E-2</v>
      </c>
      <c r="O5442">
        <v>-0.29047060000000002</v>
      </c>
      <c r="P5442">
        <v>0.75606130000000005</v>
      </c>
      <c r="Q5442">
        <v>1.0640200000000001E-2</v>
      </c>
      <c r="R5442">
        <v>-0.65441479999999996</v>
      </c>
      <c r="S5442">
        <v>1.421478</v>
      </c>
      <c r="T5442">
        <v>-0.292327</v>
      </c>
      <c r="U5442">
        <v>-2.9633790000000002</v>
      </c>
      <c r="V5442">
        <v>0.4068985</v>
      </c>
      <c r="W5442">
        <v>1.4302550000000001E-2</v>
      </c>
      <c r="X5442">
        <v>0.91336139999999999</v>
      </c>
      <c r="Y5442">
        <v>0.7348635</v>
      </c>
      <c r="Z5442">
        <v>-2.011986E-2</v>
      </c>
      <c r="AA5442">
        <v>0.67791659999999998</v>
      </c>
      <c r="AB5442">
        <v>25</v>
      </c>
      <c r="AC5442">
        <v>5.2470999999999801</v>
      </c>
      <c r="AD5442">
        <v>-1.10266</v>
      </c>
      <c r="AE5442">
        <v>-11.140682</v>
      </c>
      <c r="AF5442">
        <v>9.0633562562742505</v>
      </c>
      <c r="AG5442">
        <v>-1.10266</v>
      </c>
      <c r="AH5442">
        <v>8.1914372794172401</v>
      </c>
      <c r="AI5442">
        <v>95.157514813546697</v>
      </c>
      <c r="AJ5442">
        <v>42.107191070460203</v>
      </c>
      <c r="AK5442">
        <v>12.266210922953</v>
      </c>
      <c r="AL5442">
        <v>89.180496306784093</v>
      </c>
      <c r="AM5442">
        <v>65.987237397668594</v>
      </c>
      <c r="AN5442">
        <v>0.99999999962435604</v>
      </c>
    </row>
    <row r="5443" spans="1:40" x14ac:dyDescent="0.25">
      <c r="A5443" t="str">
        <f>"20190305135342515"</f>
        <v>20190305135342515</v>
      </c>
      <c r="B5443" t="str">
        <f>"1551765222505247"</f>
        <v>1551765222505247</v>
      </c>
      <c r="C5443" t="s">
        <v>40</v>
      </c>
      <c r="D5443">
        <v>4.5050100000000004</v>
      </c>
      <c r="E5443">
        <v>0.664524</v>
      </c>
      <c r="F5443" t="s">
        <v>47</v>
      </c>
      <c r="G5443">
        <v>-306.41879999999998</v>
      </c>
      <c r="H5443">
        <v>-0.05</v>
      </c>
      <c r="I5443">
        <v>3.4756469999999999</v>
      </c>
      <c r="J5443">
        <v>-311.67009999999999</v>
      </c>
      <c r="K5443">
        <v>1.052392</v>
      </c>
      <c r="L5443">
        <v>14.77786</v>
      </c>
      <c r="M5443">
        <v>0.95511679999999999</v>
      </c>
      <c r="N5443">
        <v>-1.2207279999999999E-2</v>
      </c>
      <c r="O5443">
        <v>-0.29597810000000002</v>
      </c>
      <c r="P5443">
        <v>0.75062530000000005</v>
      </c>
      <c r="Q5443">
        <v>1.015599E-2</v>
      </c>
      <c r="R5443">
        <v>-0.66065019999999997</v>
      </c>
      <c r="S5443">
        <v>1.4040220000000001</v>
      </c>
      <c r="T5443">
        <v>-0.28837990000000002</v>
      </c>
      <c r="U5443">
        <v>-2.9668580000000002</v>
      </c>
      <c r="V5443">
        <v>0.40918979999999999</v>
      </c>
      <c r="W5443">
        <v>1.354969E-2</v>
      </c>
      <c r="X5443">
        <v>0.91234870000000001</v>
      </c>
      <c r="Y5443">
        <v>0.73458990000000002</v>
      </c>
      <c r="Z5443">
        <v>-1.9443129999999999E-2</v>
      </c>
      <c r="AA5443">
        <v>0.67823269999999902</v>
      </c>
      <c r="AB5443">
        <v>25</v>
      </c>
      <c r="AC5443">
        <v>5.2513000000000103</v>
      </c>
      <c r="AD5443">
        <v>-1.102392</v>
      </c>
      <c r="AE5443">
        <v>-11.302213</v>
      </c>
      <c r="AF5443">
        <v>9.16960421264376</v>
      </c>
      <c r="AG5443">
        <v>-1.102392</v>
      </c>
      <c r="AH5443">
        <v>8.2965188196136292</v>
      </c>
      <c r="AI5443">
        <v>95.094348951001805</v>
      </c>
      <c r="AJ5443">
        <v>42.1383171437313</v>
      </c>
      <c r="AK5443">
        <v>12.4148755153807</v>
      </c>
      <c r="AL5443">
        <v>89.223636206414994</v>
      </c>
      <c r="AM5443">
        <v>65.843691995460006</v>
      </c>
      <c r="AN5443">
        <v>1.00000001845741</v>
      </c>
    </row>
    <row r="5444" spans="1:40" x14ac:dyDescent="0.25">
      <c r="A5444" t="str">
        <f>"20190305135342526"</f>
        <v>20190305135342526</v>
      </c>
      <c r="B5444" t="str">
        <f>"1551765222515983"</f>
        <v>1551765222515983</v>
      </c>
      <c r="C5444" t="s">
        <v>40</v>
      </c>
      <c r="D5444">
        <v>4.499797</v>
      </c>
      <c r="E5444">
        <v>0.66384299999999996</v>
      </c>
      <c r="F5444" t="s">
        <v>47</v>
      </c>
      <c r="G5444">
        <v>-306.36559999999997</v>
      </c>
      <c r="H5444">
        <v>-0.05</v>
      </c>
      <c r="I5444">
        <v>3.376465</v>
      </c>
      <c r="J5444">
        <v>-311.55509999999998</v>
      </c>
      <c r="K5444">
        <v>1.052133</v>
      </c>
      <c r="L5444">
        <v>14.736510000000001</v>
      </c>
      <c r="M5444">
        <v>0.95341730000000002</v>
      </c>
      <c r="N5444">
        <v>-1.217441E-2</v>
      </c>
      <c r="O5444">
        <v>-0.30140860000000003</v>
      </c>
      <c r="P5444">
        <v>0.74540340000000005</v>
      </c>
      <c r="Q5444">
        <v>9.6956679999999993E-3</v>
      </c>
      <c r="R5444">
        <v>-0.66654309999999894</v>
      </c>
      <c r="S5444">
        <v>1.3834229999999901</v>
      </c>
      <c r="T5444">
        <v>-0.28750900000000001</v>
      </c>
      <c r="U5444">
        <v>-2.973541</v>
      </c>
      <c r="V5444">
        <v>0.41117910000000002</v>
      </c>
      <c r="W5444">
        <v>1.282925E-2</v>
      </c>
      <c r="X5444">
        <v>0.91146430000000001</v>
      </c>
      <c r="Y5444">
        <v>0.73519799999999902</v>
      </c>
      <c r="Z5444">
        <v>-1.8962699999999999E-2</v>
      </c>
      <c r="AA5444">
        <v>0.67758719999999995</v>
      </c>
      <c r="AB5444">
        <v>25</v>
      </c>
      <c r="AC5444">
        <v>5.1894999999999998</v>
      </c>
      <c r="AD5444">
        <v>-1.102133</v>
      </c>
      <c r="AE5444">
        <v>-11.360045</v>
      </c>
      <c r="AF5444">
        <v>9.1957791438398395</v>
      </c>
      <c r="AG5444">
        <v>-1.102133</v>
      </c>
      <c r="AH5444">
        <v>8.3076994785284803</v>
      </c>
      <c r="AI5444">
        <v>95.082155161313096</v>
      </c>
      <c r="AJ5444">
        <v>42.095456130493403</v>
      </c>
      <c r="AK5444">
        <v>12.441660734705399</v>
      </c>
      <c r="AL5444">
        <v>89.264917959707901</v>
      </c>
      <c r="AM5444">
        <v>65.718947427896197</v>
      </c>
      <c r="AN5444">
        <v>1.00000000605343</v>
      </c>
    </row>
    <row r="5445" spans="1:40" x14ac:dyDescent="0.25">
      <c r="A5445" t="str">
        <f>"20190305135342538"</f>
        <v>20190305135342538</v>
      </c>
      <c r="B5445" t="str">
        <f>"1551765222535504"</f>
        <v>1551765222535504</v>
      </c>
      <c r="C5445" t="s">
        <v>40</v>
      </c>
      <c r="D5445">
        <v>4.5630490000000004</v>
      </c>
      <c r="E5445">
        <v>0.66256429999999999</v>
      </c>
      <c r="F5445" t="s">
        <v>47</v>
      </c>
      <c r="G5445">
        <v>-306.34780000000001</v>
      </c>
      <c r="H5445">
        <v>-0.05</v>
      </c>
      <c r="I5445">
        <v>3.3520509999999999</v>
      </c>
      <c r="J5445">
        <v>-311.43090000000001</v>
      </c>
      <c r="K5445">
        <v>1.05185</v>
      </c>
      <c r="L5445">
        <v>14.69022</v>
      </c>
      <c r="M5445">
        <v>0.95146750000000002</v>
      </c>
      <c r="N5445">
        <v>-1.215132E-2</v>
      </c>
      <c r="O5445">
        <v>-0.30750939999999999</v>
      </c>
      <c r="P5445">
        <v>0.73995219999999995</v>
      </c>
      <c r="Q5445">
        <v>9.2582589999999996E-3</v>
      </c>
      <c r="R5445">
        <v>-0.67259599999999997</v>
      </c>
      <c r="S5445">
        <v>1.363281</v>
      </c>
      <c r="T5445">
        <v>-0.28854000000000002</v>
      </c>
      <c r="U5445">
        <v>-2.9804689999999998</v>
      </c>
      <c r="V5445">
        <v>0.41276380000000001</v>
      </c>
      <c r="W5445">
        <v>1.212502E-2</v>
      </c>
      <c r="X5445">
        <v>0.91075740000000005</v>
      </c>
      <c r="Y5445">
        <v>0.73524560000000005</v>
      </c>
      <c r="Z5445">
        <v>-1.844471E-2</v>
      </c>
      <c r="AA5445">
        <v>0.67754969999999903</v>
      </c>
      <c r="AB5445">
        <v>25</v>
      </c>
      <c r="AC5445">
        <v>5.0831</v>
      </c>
      <c r="AD5445">
        <v>-1.10185</v>
      </c>
      <c r="AE5445">
        <v>-11.338169000000001</v>
      </c>
      <c r="AF5445">
        <v>9.1534997266479508</v>
      </c>
      <c r="AG5445">
        <v>-1.10185</v>
      </c>
      <c r="AH5445">
        <v>8.2586694634617999</v>
      </c>
      <c r="AI5445">
        <v>95.107191331740296</v>
      </c>
      <c r="AJ5445">
        <v>42.058095814646201</v>
      </c>
      <c r="AK5445">
        <v>12.3776513109297</v>
      </c>
      <c r="AL5445">
        <v>89.305270508333095</v>
      </c>
      <c r="AM5445">
        <v>65.619520274006405</v>
      </c>
      <c r="AN5445">
        <v>1.0000000061776</v>
      </c>
    </row>
    <row r="5446" spans="1:40" x14ac:dyDescent="0.25">
      <c r="A5446" t="str">
        <f>"20190305135342549"</f>
        <v>20190305135342549</v>
      </c>
      <c r="B5446" t="str">
        <f>"1551765222545264"</f>
        <v>1551765222545264</v>
      </c>
      <c r="C5446" t="s">
        <v>40</v>
      </c>
      <c r="D5446">
        <v>4.5513640000000004</v>
      </c>
      <c r="E5446">
        <v>0.66157659999999996</v>
      </c>
      <c r="F5446" t="s">
        <v>47</v>
      </c>
      <c r="G5446">
        <v>-306.20269999999999</v>
      </c>
      <c r="H5446">
        <v>-0.05</v>
      </c>
      <c r="I5446">
        <v>3.0950470000000001</v>
      </c>
      <c r="J5446">
        <v>-311.31830000000002</v>
      </c>
      <c r="K5446">
        <v>1.0516000000000001</v>
      </c>
      <c r="L5446">
        <v>14.647740000000001</v>
      </c>
      <c r="M5446">
        <v>0.94964090000000001</v>
      </c>
      <c r="N5446">
        <v>-1.2132209999999999E-2</v>
      </c>
      <c r="O5446">
        <v>-0.31310549999999998</v>
      </c>
      <c r="P5446">
        <v>0.73506930000000004</v>
      </c>
      <c r="Q5446">
        <v>9.0122069999999995E-3</v>
      </c>
      <c r="R5446">
        <v>-0.67793239999999999</v>
      </c>
      <c r="S5446">
        <v>1.345459</v>
      </c>
      <c r="T5446">
        <v>-0.28356019999999998</v>
      </c>
      <c r="U5446">
        <v>-2.9840089999999999</v>
      </c>
      <c r="V5446">
        <v>0.41399069999999999</v>
      </c>
      <c r="W5446">
        <v>1.164345E-2</v>
      </c>
      <c r="X5446">
        <v>0.91020659999999998</v>
      </c>
      <c r="Y5446">
        <v>0.73499689999999995</v>
      </c>
      <c r="Z5446">
        <v>-1.776018E-2</v>
      </c>
      <c r="AA5446">
        <v>0.67783789999999999</v>
      </c>
      <c r="AB5446">
        <v>25</v>
      </c>
      <c r="AC5446">
        <v>5.1156000000000201</v>
      </c>
      <c r="AD5446">
        <v>-1.1015999999999999</v>
      </c>
      <c r="AE5446">
        <v>-11.5526929999999</v>
      </c>
      <c r="AF5446">
        <v>9.2991850049394706</v>
      </c>
      <c r="AG5446">
        <v>-1.1015999999999999</v>
      </c>
      <c r="AH5446">
        <v>8.4118719321142894</v>
      </c>
      <c r="AI5446">
        <v>95.020641003868406</v>
      </c>
      <c r="AJ5446">
        <v>42.1319146207762</v>
      </c>
      <c r="AK5446">
        <v>12.5876111203986</v>
      </c>
      <c r="AL5446">
        <v>89.332864356275095</v>
      </c>
      <c r="AM5446">
        <v>65.542460370637798</v>
      </c>
      <c r="AN5446">
        <v>0.99999996214897502</v>
      </c>
    </row>
    <row r="5447" spans="1:40" x14ac:dyDescent="0.25">
      <c r="A5447" t="str">
        <f>"20190305135342559"</f>
        <v>20190305135342559</v>
      </c>
      <c r="B5447" t="str">
        <f>"1551765222555739"</f>
        <v>1551765222555739</v>
      </c>
      <c r="C5447" t="s">
        <v>40</v>
      </c>
      <c r="D5447">
        <v>4.5667910000000003</v>
      </c>
      <c r="E5447">
        <v>0.66056130000000002</v>
      </c>
      <c r="F5447" t="s">
        <v>47</v>
      </c>
      <c r="G5447">
        <v>-306.22219999999999</v>
      </c>
      <c r="H5447">
        <v>-0.05</v>
      </c>
      <c r="I5447">
        <v>3.188507</v>
      </c>
      <c r="J5447">
        <v>-311.1977</v>
      </c>
      <c r="K5447">
        <v>1.051342</v>
      </c>
      <c r="L5447">
        <v>14.6009799999999</v>
      </c>
      <c r="M5447">
        <v>0.94758779999999998</v>
      </c>
      <c r="N5447">
        <v>-1.211886E-2</v>
      </c>
      <c r="O5447">
        <v>-0.31926529999999997</v>
      </c>
      <c r="P5447">
        <v>0.72970519999999905</v>
      </c>
      <c r="Q5447">
        <v>8.8801309999999994E-3</v>
      </c>
      <c r="R5447">
        <v>-0.68370430000000004</v>
      </c>
      <c r="S5447">
        <v>1.3288879999999901</v>
      </c>
      <c r="T5447">
        <v>-0.28725529999999999</v>
      </c>
      <c r="U5447">
        <v>-2.9881289999999998</v>
      </c>
      <c r="V5447">
        <v>0.41525519999999999</v>
      </c>
      <c r="W5447">
        <v>1.1265819999999999E-2</v>
      </c>
      <c r="X5447">
        <v>0.90963519999999998</v>
      </c>
      <c r="Y5447">
        <v>0.73405769999999904</v>
      </c>
      <c r="Z5447">
        <v>-1.724026E-2</v>
      </c>
      <c r="AA5447">
        <v>0.67886829999999998</v>
      </c>
      <c r="AB5447">
        <v>25</v>
      </c>
      <c r="AC5447">
        <v>4.97550000000001</v>
      </c>
      <c r="AD5447">
        <v>-1.101342</v>
      </c>
      <c r="AE5447">
        <v>-11.412473</v>
      </c>
      <c r="AF5447">
        <v>9.1548526557350591</v>
      </c>
      <c r="AG5447">
        <v>-1.101342</v>
      </c>
      <c r="AH5447">
        <v>8.2940392071861702</v>
      </c>
      <c r="AI5447">
        <v>95.094685964128203</v>
      </c>
      <c r="AJ5447">
        <v>42.175693217085303</v>
      </c>
      <c r="AK5447">
        <v>12.402232368389299</v>
      </c>
      <c r="AL5447">
        <v>89.354502405470399</v>
      </c>
      <c r="AM5447">
        <v>65.462951409395302</v>
      </c>
      <c r="AN5447">
        <v>0.999999998453176</v>
      </c>
    </row>
    <row r="5448" spans="1:40" x14ac:dyDescent="0.25">
      <c r="A5448" t="str">
        <f>"20190305135342572"</f>
        <v>20190305135342572</v>
      </c>
      <c r="B5448" t="str">
        <f>"1551765222565498"</f>
        <v>1551765222565498</v>
      </c>
      <c r="C5448" t="s">
        <v>40</v>
      </c>
      <c r="D5448">
        <v>4.5822849999999997</v>
      </c>
      <c r="E5448">
        <v>0.65960169999999996</v>
      </c>
      <c r="F5448" t="s">
        <v>47</v>
      </c>
      <c r="G5448">
        <v>-306.1463</v>
      </c>
      <c r="H5448">
        <v>-0.05</v>
      </c>
      <c r="I5448">
        <v>3.065674</v>
      </c>
      <c r="J5448">
        <v>-311.06830000000002</v>
      </c>
      <c r="K5448">
        <v>1.051075</v>
      </c>
      <c r="L5448">
        <v>14.549709999999999</v>
      </c>
      <c r="M5448">
        <v>0.94528619999999997</v>
      </c>
      <c r="N5448">
        <v>-1.2109429999999999E-2</v>
      </c>
      <c r="O5448">
        <v>-0.32601750000000002</v>
      </c>
      <c r="P5448">
        <v>0.72424480000000002</v>
      </c>
      <c r="Q5448">
        <v>8.9040449999999993E-3</v>
      </c>
      <c r="R5448">
        <v>-0.68948549999999997</v>
      </c>
      <c r="S5448">
        <v>1.3105770000000001</v>
      </c>
      <c r="T5448">
        <v>-0.28573969999999999</v>
      </c>
      <c r="U5448">
        <v>-2.9927980000000001</v>
      </c>
      <c r="V5448">
        <v>0.41600549999999997</v>
      </c>
      <c r="W5448">
        <v>1.104696E-2</v>
      </c>
      <c r="X5448">
        <v>0.90929499999999996</v>
      </c>
      <c r="Y5448">
        <v>0.73313059999999997</v>
      </c>
      <c r="Z5448">
        <v>-1.651184E-2</v>
      </c>
      <c r="AA5448">
        <v>0.67988740000000003</v>
      </c>
      <c r="AB5448">
        <v>25</v>
      </c>
      <c r="AC5448">
        <v>4.9220000000000201</v>
      </c>
      <c r="AD5448">
        <v>-1.101075</v>
      </c>
      <c r="AE5448">
        <v>-11.484036</v>
      </c>
      <c r="AF5448">
        <v>9.1804242547767707</v>
      </c>
      <c r="AG5448">
        <v>-1.101075</v>
      </c>
      <c r="AH5448">
        <v>8.33259873002417</v>
      </c>
      <c r="AI5448">
        <v>95.075130153566406</v>
      </c>
      <c r="AJ5448">
        <v>42.228409464253403</v>
      </c>
      <c r="AK5448">
        <v>12.446877409572201</v>
      </c>
      <c r="AL5448">
        <v>89.367042943903897</v>
      </c>
      <c r="AM5448">
        <v>65.415747035047701</v>
      </c>
      <c r="AN5448">
        <v>1.0000000041902399</v>
      </c>
    </row>
    <row r="5449" spans="1:40" x14ac:dyDescent="0.25">
      <c r="A5449" t="str">
        <f>"20190305135342584"</f>
        <v>20190305135342584</v>
      </c>
      <c r="B5449" t="str">
        <f>"1551765222575258"</f>
        <v>1551765222575258</v>
      </c>
      <c r="C5449" t="s">
        <v>40</v>
      </c>
      <c r="D5449">
        <v>4.584085</v>
      </c>
      <c r="E5449">
        <v>0.65880249999999996</v>
      </c>
      <c r="F5449" t="s">
        <v>47</v>
      </c>
      <c r="G5449">
        <v>-306.08780000000002</v>
      </c>
      <c r="H5449">
        <v>-0.05</v>
      </c>
      <c r="I5449">
        <v>2.995438</v>
      </c>
      <c r="J5449">
        <v>-310.94189999999998</v>
      </c>
      <c r="K5449">
        <v>1.0508139999999999</v>
      </c>
      <c r="L5449">
        <v>14.498779999999901</v>
      </c>
      <c r="M5449">
        <v>0.94295010000000001</v>
      </c>
      <c r="N5449">
        <v>-1.2102760000000001E-2</v>
      </c>
      <c r="O5449">
        <v>-0.33271469999999997</v>
      </c>
      <c r="P5449">
        <v>0.7188985</v>
      </c>
      <c r="Q5449">
        <v>9.3311269999999998E-3</v>
      </c>
      <c r="R5449">
        <v>-0.69505289999999997</v>
      </c>
      <c r="S5449">
        <v>1.292084</v>
      </c>
      <c r="T5449">
        <v>-0.28565220000000002</v>
      </c>
      <c r="U5449">
        <v>-2.997528</v>
      </c>
      <c r="V5449">
        <v>0.41658709999999999</v>
      </c>
      <c r="W5449">
        <v>1.124436E-2</v>
      </c>
      <c r="X5449">
        <v>0.90902629999999995</v>
      </c>
      <c r="Y5449">
        <v>0.73225909999999905</v>
      </c>
      <c r="Z5449">
        <v>-1.5833460000000001E-2</v>
      </c>
      <c r="AA5449">
        <v>0.68084199999999995</v>
      </c>
      <c r="AB5449">
        <v>25</v>
      </c>
      <c r="AC5449">
        <v>4.8540999999999599</v>
      </c>
      <c r="AD5449">
        <v>-1.100814</v>
      </c>
      <c r="AE5449">
        <v>-11.5033419999999</v>
      </c>
      <c r="AF5449">
        <v>9.16150505124331</v>
      </c>
      <c r="AG5449">
        <v>-1.100814</v>
      </c>
      <c r="AH5449">
        <v>8.3402862933670807</v>
      </c>
      <c r="AI5449">
        <v>95.077530274515496</v>
      </c>
      <c r="AJ5449">
        <v>42.313538814418301</v>
      </c>
      <c r="AK5449">
        <v>12.4380602073586</v>
      </c>
      <c r="AL5449">
        <v>89.355732071631195</v>
      </c>
      <c r="AM5449">
        <v>65.3790372698857</v>
      </c>
      <c r="AN5449">
        <v>1.0000000308049499</v>
      </c>
    </row>
    <row r="5450" spans="1:40" x14ac:dyDescent="0.25">
      <c r="A5450" t="str">
        <f>"20190305135342594"</f>
        <v>20190305135342594</v>
      </c>
      <c r="B5450" t="str">
        <f>"1551765222585995"</f>
        <v>1551765222585995</v>
      </c>
      <c r="C5450" t="s">
        <v>40</v>
      </c>
      <c r="D5450">
        <v>4.5858359999999996</v>
      </c>
      <c r="E5450">
        <v>0.65802649999999996</v>
      </c>
      <c r="F5450" t="s">
        <v>47</v>
      </c>
      <c r="G5450">
        <v>-306.04160000000002</v>
      </c>
      <c r="H5450">
        <v>-0.05</v>
      </c>
      <c r="I5450">
        <v>2.94191</v>
      </c>
      <c r="J5450">
        <v>-310.83010000000002</v>
      </c>
      <c r="K5450">
        <v>1.050594</v>
      </c>
      <c r="L5450">
        <v>14.45209</v>
      </c>
      <c r="M5450">
        <v>0.94076029999999999</v>
      </c>
      <c r="N5450">
        <v>-1.210525E-2</v>
      </c>
      <c r="O5450">
        <v>-0.3388563</v>
      </c>
      <c r="P5450">
        <v>0.71381810000000001</v>
      </c>
      <c r="Q5450">
        <v>9.5246900000000006E-3</v>
      </c>
      <c r="R5450">
        <v>-0.70026650000000001</v>
      </c>
      <c r="S5450">
        <v>1.2733460000000001</v>
      </c>
      <c r="T5450">
        <v>-0.2860433</v>
      </c>
      <c r="U5450">
        <v>-3.0030209999999999</v>
      </c>
      <c r="V5450">
        <v>0.41728549999999998</v>
      </c>
      <c r="W5450">
        <v>1.123674E-2</v>
      </c>
      <c r="X5450">
        <v>0.90870600000000001</v>
      </c>
      <c r="Y5450">
        <v>0.73188249999999999</v>
      </c>
      <c r="Z5450">
        <v>-1.525929E-2</v>
      </c>
      <c r="AA5450">
        <v>0.68125999999999998</v>
      </c>
      <c r="AB5450">
        <v>25</v>
      </c>
      <c r="AC5450">
        <v>4.7884999999999902</v>
      </c>
      <c r="AD5450">
        <v>-1.1005940000000001</v>
      </c>
      <c r="AE5450">
        <v>-11.51018</v>
      </c>
      <c r="AF5450">
        <v>9.1351810071306492</v>
      </c>
      <c r="AG5450">
        <v>-1.1005940000000001</v>
      </c>
      <c r="AH5450">
        <v>8.3407350444336696</v>
      </c>
      <c r="AI5450">
        <v>95.0843388176622</v>
      </c>
      <c r="AJ5450">
        <v>42.3971559578941</v>
      </c>
      <c r="AK5450">
        <v>12.418965346087401</v>
      </c>
      <c r="AL5450">
        <v>89.356168688426195</v>
      </c>
      <c r="AM5450">
        <v>65.335011540327699</v>
      </c>
      <c r="AN5450">
        <v>1.00000002363603</v>
      </c>
    </row>
    <row r="5451" spans="1:40" x14ac:dyDescent="0.25">
      <c r="A5451" t="str">
        <f>"20190305135342609"</f>
        <v>20190305135342609</v>
      </c>
      <c r="B5451" t="str">
        <f>"1551765222605514"</f>
        <v>1551765222605514</v>
      </c>
      <c r="C5451" t="s">
        <v>40</v>
      </c>
      <c r="D5451">
        <v>4.6054810000000002</v>
      </c>
      <c r="E5451">
        <v>0.656366</v>
      </c>
      <c r="F5451" t="s">
        <v>47</v>
      </c>
      <c r="G5451">
        <v>-305.95769999999999</v>
      </c>
      <c r="H5451">
        <v>-0.05</v>
      </c>
      <c r="I5451">
        <v>2.783096</v>
      </c>
      <c r="J5451">
        <v>-310.68540000000002</v>
      </c>
      <c r="K5451">
        <v>1.0503049999999901</v>
      </c>
      <c r="L5451">
        <v>14.39081</v>
      </c>
      <c r="M5451">
        <v>0.93782480000000001</v>
      </c>
      <c r="N5451">
        <v>-1.2110289999999999E-2</v>
      </c>
      <c r="O5451">
        <v>-0.34689779999999998</v>
      </c>
      <c r="P5451">
        <v>0.70728970000000002</v>
      </c>
      <c r="Q5451">
        <v>1.0112799999999899E-2</v>
      </c>
      <c r="R5451">
        <v>-0.70685149999999997</v>
      </c>
      <c r="S5451">
        <v>1.25589</v>
      </c>
      <c r="T5451">
        <v>-0.28368450000000001</v>
      </c>
      <c r="U5451">
        <v>-3.0077509999999998</v>
      </c>
      <c r="V5451">
        <v>0.41794949999999997</v>
      </c>
      <c r="W5451">
        <v>1.1571929999999999E-2</v>
      </c>
      <c r="X5451">
        <v>0.90839650000000005</v>
      </c>
      <c r="Y5451">
        <v>0.7298576</v>
      </c>
      <c r="Z5451">
        <v>-1.4323499999999999E-2</v>
      </c>
      <c r="AA5451">
        <v>0.68344910000000003</v>
      </c>
      <c r="AB5451">
        <v>25</v>
      </c>
      <c r="AC5451">
        <v>4.72770000000002</v>
      </c>
      <c r="AD5451">
        <v>-1.1003050000000001</v>
      </c>
      <c r="AE5451">
        <v>-11.607714</v>
      </c>
      <c r="AF5451">
        <v>9.17593337160441</v>
      </c>
      <c r="AG5451">
        <v>-1.1003050000000001</v>
      </c>
      <c r="AH5451">
        <v>8.3963553211386408</v>
      </c>
      <c r="AI5451">
        <v>95.055525482895007</v>
      </c>
      <c r="AJ5451">
        <v>42.459792309498503</v>
      </c>
      <c r="AK5451">
        <v>12.486280751767501</v>
      </c>
      <c r="AL5451">
        <v>89.336962417069998</v>
      </c>
      <c r="AM5451">
        <v>65.293035160394894</v>
      </c>
      <c r="AN5451">
        <v>0.99999994766321099</v>
      </c>
    </row>
    <row r="5452" spans="1:40" x14ac:dyDescent="0.25">
      <c r="A5452" t="str">
        <f>"20190305135342624"</f>
        <v>20190305135342624</v>
      </c>
      <c r="B5452" t="str">
        <f>"1551765222615274"</f>
        <v>1551765222615274</v>
      </c>
      <c r="C5452" t="s">
        <v>40</v>
      </c>
      <c r="D5452">
        <v>4.8611890000000004</v>
      </c>
      <c r="E5452">
        <v>0.65550609999999998</v>
      </c>
      <c r="F5452" t="s">
        <v>47</v>
      </c>
      <c r="G5452">
        <v>-305.90769999999998</v>
      </c>
      <c r="H5452">
        <v>-0.05</v>
      </c>
      <c r="I5452">
        <v>2.7712859999999999</v>
      </c>
      <c r="J5452">
        <v>-310.51940000000002</v>
      </c>
      <c r="K5452">
        <v>1.0499799999999999</v>
      </c>
      <c r="L5452">
        <v>14.31842</v>
      </c>
      <c r="M5452">
        <v>0.93425740000000002</v>
      </c>
      <c r="N5452">
        <v>-1.2126390000000001E-2</v>
      </c>
      <c r="O5452">
        <v>-0.35639300000000002</v>
      </c>
      <c r="P5452">
        <v>0.699766</v>
      </c>
      <c r="Q5452">
        <v>1.0641350000000001E-2</v>
      </c>
      <c r="R5452">
        <v>-0.71429309999999901</v>
      </c>
      <c r="S5452">
        <v>1.237579</v>
      </c>
      <c r="T5452">
        <v>-0.28501959999999998</v>
      </c>
      <c r="U5452">
        <v>-3.0098880000000001</v>
      </c>
      <c r="V5452">
        <v>0.41836620000000002</v>
      </c>
      <c r="W5452">
        <v>1.182559E-2</v>
      </c>
      <c r="X5452">
        <v>0.90820149999999999</v>
      </c>
      <c r="Y5452">
        <v>0.726670699999999</v>
      </c>
      <c r="Z5452">
        <v>-1.324062E-2</v>
      </c>
      <c r="AA5452">
        <v>0.68685839999999998</v>
      </c>
      <c r="AB5452">
        <v>25</v>
      </c>
      <c r="AC5452">
        <v>4.6117000000000399</v>
      </c>
      <c r="AD5452">
        <v>-1.09998</v>
      </c>
      <c r="AE5452">
        <v>-11.547134</v>
      </c>
      <c r="AF5452">
        <v>9.0740754690895091</v>
      </c>
      <c r="AG5452">
        <v>-1.09998</v>
      </c>
      <c r="AH5452">
        <v>8.3590332721899507</v>
      </c>
      <c r="AI5452">
        <v>95.094901134403699</v>
      </c>
      <c r="AJ5452">
        <v>42.6512537555774</v>
      </c>
      <c r="AK5452">
        <v>12.3863731117995</v>
      </c>
      <c r="AL5452">
        <v>89.3224278389566</v>
      </c>
      <c r="AM5452">
        <v>65.266673832297002</v>
      </c>
      <c r="AN5452">
        <v>1.00000004324176</v>
      </c>
    </row>
    <row r="5453" spans="1:40" x14ac:dyDescent="0.25">
      <c r="A5453" t="str">
        <f>"20190305135342638"</f>
        <v>20190305135342638</v>
      </c>
      <c r="B5453" t="str">
        <f>"1551765222635769"</f>
        <v>1551765222635769</v>
      </c>
      <c r="C5453" t="s">
        <v>40</v>
      </c>
      <c r="D5453">
        <v>4.6219679999999999</v>
      </c>
      <c r="E5453">
        <v>0.6538368</v>
      </c>
      <c r="F5453" t="s">
        <v>47</v>
      </c>
      <c r="G5453">
        <v>-305.82679999999999</v>
      </c>
      <c r="H5453">
        <v>-0.05</v>
      </c>
      <c r="I5453">
        <v>2.6258539999999999</v>
      </c>
      <c r="J5453">
        <v>-310.3698</v>
      </c>
      <c r="K5453">
        <v>1.0496970000000001</v>
      </c>
      <c r="L5453">
        <v>14.2507</v>
      </c>
      <c r="M5453">
        <v>0.9308341</v>
      </c>
      <c r="N5453">
        <v>-1.2152369999999999E-2</v>
      </c>
      <c r="O5453">
        <v>-0.36524010000000001</v>
      </c>
      <c r="P5453">
        <v>0.69234059999999997</v>
      </c>
      <c r="Q5453">
        <v>9.9451499999999998E-3</v>
      </c>
      <c r="R5453">
        <v>-0.72150239999999999</v>
      </c>
      <c r="S5453">
        <v>1.21109</v>
      </c>
      <c r="T5453">
        <v>-0.2838907</v>
      </c>
      <c r="U5453">
        <v>-3.0177</v>
      </c>
      <c r="V5453">
        <v>0.41914319999999999</v>
      </c>
      <c r="W5453">
        <v>1.0884370000000001E-2</v>
      </c>
      <c r="X5453">
        <v>0.90785490000000002</v>
      </c>
      <c r="Y5453">
        <v>0.72600019999999998</v>
      </c>
      <c r="Z5453">
        <v>-1.2383E-2</v>
      </c>
      <c r="AA5453">
        <v>0.68758299999999895</v>
      </c>
      <c r="AB5453">
        <v>25</v>
      </c>
      <c r="AC5453">
        <v>4.5430000000000001</v>
      </c>
      <c r="AD5453">
        <v>-1.0996969999999999</v>
      </c>
      <c r="AE5453">
        <v>-11.624846</v>
      </c>
      <c r="AF5453">
        <v>9.0916124176315005</v>
      </c>
      <c r="AG5453">
        <v>-1.0996969999999999</v>
      </c>
      <c r="AH5453">
        <v>8.4099754263649906</v>
      </c>
      <c r="AI5453">
        <v>95.074188463743496</v>
      </c>
      <c r="AJ5453">
        <v>42.769619885788003</v>
      </c>
      <c r="AK5453">
        <v>12.4336011081385</v>
      </c>
      <c r="AL5453">
        <v>89.376359225643697</v>
      </c>
      <c r="AM5453">
        <v>65.217927257063806</v>
      </c>
      <c r="AN5453">
        <v>1.00000000553527</v>
      </c>
    </row>
    <row r="5454" spans="1:40" x14ac:dyDescent="0.25">
      <c r="A5454" t="str">
        <f>"20190305135342653"</f>
        <v>20190305135342653</v>
      </c>
      <c r="B5454" t="str">
        <f>"1551765222645530"</f>
        <v>1551765222645530</v>
      </c>
      <c r="C5454" t="s">
        <v>40</v>
      </c>
      <c r="D5454">
        <v>4.624714</v>
      </c>
      <c r="E5454">
        <v>0.65301089999999995</v>
      </c>
      <c r="F5454" t="s">
        <v>47</v>
      </c>
      <c r="G5454">
        <v>-305.87369999999999</v>
      </c>
      <c r="H5454">
        <v>-0.05</v>
      </c>
      <c r="I5454">
        <v>2.837021</v>
      </c>
      <c r="J5454">
        <v>-310.21730000000002</v>
      </c>
      <c r="K5454">
        <v>1.0494139999999901</v>
      </c>
      <c r="L5454">
        <v>14.179930000000001</v>
      </c>
      <c r="M5454">
        <v>0.92716690000000002</v>
      </c>
      <c r="N5454">
        <v>-1.218444E-2</v>
      </c>
      <c r="O5454">
        <v>-0.37445060000000002</v>
      </c>
      <c r="P5454">
        <v>0.68525700000000001</v>
      </c>
      <c r="Q5454">
        <v>9.4538690000000002E-3</v>
      </c>
      <c r="R5454">
        <v>-0.72824009999999995</v>
      </c>
      <c r="S5454">
        <v>1.1897580000000001</v>
      </c>
      <c r="T5454">
        <v>-0.29100490000000001</v>
      </c>
      <c r="U5454">
        <v>-3.0203250000000001</v>
      </c>
      <c r="V5454">
        <v>0.41901529999999998</v>
      </c>
      <c r="W5454">
        <v>1.017297E-2</v>
      </c>
      <c r="X5454">
        <v>0.90792209999999995</v>
      </c>
      <c r="Y5454">
        <v>0.72354280000000004</v>
      </c>
      <c r="Z5454">
        <v>-1.1416809999999999E-2</v>
      </c>
      <c r="AA5454">
        <v>0.6901851</v>
      </c>
      <c r="AB5454">
        <v>25</v>
      </c>
      <c r="AC5454">
        <v>4.3436000000000297</v>
      </c>
      <c r="AD5454">
        <v>-1.0994139999999999</v>
      </c>
      <c r="AE5454">
        <v>-11.342909000000001</v>
      </c>
      <c r="AF5454">
        <v>8.8187130343474198</v>
      </c>
      <c r="AG5454">
        <v>-1.0994139999999999</v>
      </c>
      <c r="AH5454">
        <v>8.2079663492467905</v>
      </c>
      <c r="AI5454">
        <v>95.214209374517793</v>
      </c>
      <c r="AJ5454">
        <v>42.945682177576799</v>
      </c>
      <c r="AK5454">
        <v>12.097484131666899</v>
      </c>
      <c r="AL5454">
        <v>89.417121656442603</v>
      </c>
      <c r="AM5454">
        <v>65.226194871273293</v>
      </c>
      <c r="AN5454">
        <v>0.99999992531055704</v>
      </c>
    </row>
    <row r="5455" spans="1:40" x14ac:dyDescent="0.25">
      <c r="A5455" t="str">
        <f>"20190305135342666"</f>
        <v>20190305135342666</v>
      </c>
      <c r="B5455" t="str">
        <f>"1551765222655926"</f>
        <v>1551765222655926</v>
      </c>
      <c r="C5455" t="s">
        <v>40</v>
      </c>
      <c r="D5455">
        <v>4.6341749999999999</v>
      </c>
      <c r="E5455">
        <v>0.65222899999999995</v>
      </c>
      <c r="F5455" t="s">
        <v>47</v>
      </c>
      <c r="G5455">
        <v>-305.82299999999998</v>
      </c>
      <c r="H5455">
        <v>-0.05</v>
      </c>
      <c r="I5455">
        <v>2.761002</v>
      </c>
      <c r="J5455">
        <v>-310.07870000000003</v>
      </c>
      <c r="K5455">
        <v>1.0491619999999999</v>
      </c>
      <c r="L5455">
        <v>14.11417</v>
      </c>
      <c r="M5455">
        <v>0.92368079999999997</v>
      </c>
      <c r="N5455">
        <v>-1.2217270000000001E-2</v>
      </c>
      <c r="O5455">
        <v>-0.38296819999999998</v>
      </c>
      <c r="P5455">
        <v>0.67883819999999995</v>
      </c>
      <c r="Q5455">
        <v>8.7131029999999998E-3</v>
      </c>
      <c r="R5455">
        <v>-0.73423640000000001</v>
      </c>
      <c r="S5455">
        <v>1.164917</v>
      </c>
      <c r="T5455">
        <v>-0.29145460000000001</v>
      </c>
      <c r="U5455">
        <v>-3.027161</v>
      </c>
      <c r="V5455">
        <v>0.41862460000000001</v>
      </c>
      <c r="W5455">
        <v>9.2436600000000008E-3</v>
      </c>
      <c r="X5455">
        <v>0.90811229999999998</v>
      </c>
      <c r="Y5455">
        <v>0.72266819999999998</v>
      </c>
      <c r="Z5455">
        <v>-1.056319E-2</v>
      </c>
      <c r="AA5455">
        <v>0.69111440000000002</v>
      </c>
      <c r="AB5455">
        <v>25</v>
      </c>
      <c r="AC5455">
        <v>4.25570000000004</v>
      </c>
      <c r="AD5455">
        <v>-1.099162</v>
      </c>
      <c r="AE5455">
        <v>-11.353168</v>
      </c>
      <c r="AF5455">
        <v>8.7853639487354602</v>
      </c>
      <c r="AG5455">
        <v>-1.099162</v>
      </c>
      <c r="AH5455">
        <v>8.2119386669313297</v>
      </c>
      <c r="AI5455">
        <v>95.222365981917093</v>
      </c>
      <c r="AJ5455">
        <v>43.067787969266398</v>
      </c>
      <c r="AK5455">
        <v>12.0758731975549</v>
      </c>
      <c r="AL5455">
        <v>89.470369739026594</v>
      </c>
      <c r="AM5455">
        <v>65.251087766037003</v>
      </c>
      <c r="AN5455">
        <v>0.99999997519332195</v>
      </c>
    </row>
    <row r="5456" spans="1:40" x14ac:dyDescent="0.25">
      <c r="A5456" t="str">
        <f>"20190305135342680"</f>
        <v>20190305135342680</v>
      </c>
      <c r="B5456" t="str">
        <f>"1551765222675447"</f>
        <v>1551765222675447</v>
      </c>
      <c r="C5456" t="s">
        <v>40</v>
      </c>
      <c r="D5456">
        <v>4.6911759999999996</v>
      </c>
      <c r="E5456">
        <v>0.65140290000000001</v>
      </c>
      <c r="F5456" t="s">
        <v>47</v>
      </c>
      <c r="G5456">
        <v>-305.78519999999997</v>
      </c>
      <c r="H5456">
        <v>-0.05</v>
      </c>
      <c r="I5456">
        <v>2.7129669999999999</v>
      </c>
      <c r="J5456">
        <v>-309.93619999999999</v>
      </c>
      <c r="K5456">
        <v>1.048913</v>
      </c>
      <c r="L5456">
        <v>14.044129999999999</v>
      </c>
      <c r="M5456">
        <v>0.91988340000000002</v>
      </c>
      <c r="N5456">
        <v>-1.2257819999999999E-2</v>
      </c>
      <c r="O5456">
        <v>-0.39200020000000002</v>
      </c>
      <c r="P5456">
        <v>0.6722709</v>
      </c>
      <c r="Q5456">
        <v>8.3367249999999997E-3</v>
      </c>
      <c r="R5456">
        <v>-0.74025839999999998</v>
      </c>
      <c r="S5456">
        <v>1.1422730000000001</v>
      </c>
      <c r="T5456">
        <v>-0.29242940000000001</v>
      </c>
      <c r="U5456">
        <v>-3.033264</v>
      </c>
      <c r="V5456">
        <v>0.41781600000000002</v>
      </c>
      <c r="W5456">
        <v>8.6938889999999998E-3</v>
      </c>
      <c r="X5456">
        <v>0.90849009999999997</v>
      </c>
      <c r="Y5456">
        <v>0.72089639999999999</v>
      </c>
      <c r="Z5456">
        <v>-9.5866249999999997E-3</v>
      </c>
      <c r="AA5456">
        <v>0.6929767</v>
      </c>
      <c r="AB5456">
        <v>25</v>
      </c>
      <c r="AC5456">
        <v>4.1510000000000096</v>
      </c>
      <c r="AD5456">
        <v>-1.098913</v>
      </c>
      <c r="AE5456">
        <v>-11.331163</v>
      </c>
      <c r="AF5456">
        <v>8.7244693413617895</v>
      </c>
      <c r="AG5456">
        <v>-1.098913</v>
      </c>
      <c r="AH5456">
        <v>8.1929350524579796</v>
      </c>
      <c r="AI5456">
        <v>95.246104397320295</v>
      </c>
      <c r="AJ5456">
        <v>43.200394383328799</v>
      </c>
      <c r="AK5456">
        <v>12.0186588205059</v>
      </c>
      <c r="AL5456">
        <v>89.501870591320994</v>
      </c>
      <c r="AM5456">
        <v>65.302225851071597</v>
      </c>
      <c r="AN5456">
        <v>1.0000000276799701</v>
      </c>
    </row>
    <row r="5457" spans="1:40" x14ac:dyDescent="0.25">
      <c r="A5457" t="str">
        <f>"20190305135342694"</f>
        <v>20190305135342694</v>
      </c>
      <c r="B5457" t="str">
        <f>"1551765222685207"</f>
        <v>1551765222685207</v>
      </c>
      <c r="C5457" t="s">
        <v>40</v>
      </c>
      <c r="D5457">
        <v>4.6671050000000003</v>
      </c>
      <c r="E5457">
        <v>0.63196359999999996</v>
      </c>
      <c r="F5457" t="s">
        <v>47</v>
      </c>
      <c r="G5457">
        <v>-305.70960000000002</v>
      </c>
      <c r="H5457">
        <v>-0.05</v>
      </c>
      <c r="I5457">
        <v>2.5680239999999999</v>
      </c>
      <c r="J5457">
        <v>-309.78620000000001</v>
      </c>
      <c r="K5457">
        <v>1.0486549999999999</v>
      </c>
      <c r="L5457">
        <v>13.96829</v>
      </c>
      <c r="M5457">
        <v>0.91568519999999998</v>
      </c>
      <c r="N5457">
        <v>-1.2303140000000001E-2</v>
      </c>
      <c r="O5457">
        <v>-0.40170790000000001</v>
      </c>
      <c r="P5457">
        <v>0.66597249999999997</v>
      </c>
      <c r="Q5457">
        <v>8.4598169999999997E-3</v>
      </c>
      <c r="R5457">
        <v>-0.74592829999999999</v>
      </c>
      <c r="S5457">
        <v>1.1193850000000001</v>
      </c>
      <c r="T5457">
        <v>-0.29103390000000001</v>
      </c>
      <c r="U5457">
        <v>-3.039307</v>
      </c>
      <c r="V5457">
        <v>0.41591440000000002</v>
      </c>
      <c r="W5457">
        <v>8.6752919999999994E-3</v>
      </c>
      <c r="X5457">
        <v>0.90936240000000002</v>
      </c>
      <c r="Y5457">
        <v>0.7186591</v>
      </c>
      <c r="Z5457">
        <v>-8.5095840000000006E-3</v>
      </c>
      <c r="AA5457">
        <v>0.6953106</v>
      </c>
      <c r="AB5457">
        <v>25</v>
      </c>
      <c r="AC5457">
        <v>4.0765999999999796</v>
      </c>
      <c r="AD5457">
        <v>-1.0986549999999999</v>
      </c>
      <c r="AE5457">
        <v>-11.400265999999901</v>
      </c>
      <c r="AF5457">
        <v>8.73023014010802</v>
      </c>
      <c r="AG5457">
        <v>-1.0986549999999999</v>
      </c>
      <c r="AH5457">
        <v>8.2451938986850593</v>
      </c>
      <c r="AI5457">
        <v>95.227496253664896</v>
      </c>
      <c r="AJ5457">
        <v>43.363341594166997</v>
      </c>
      <c r="AK5457">
        <v>12.0584901017991</v>
      </c>
      <c r="AL5457">
        <v>89.502936153132495</v>
      </c>
      <c r="AM5457">
        <v>65.422100362495897</v>
      </c>
      <c r="AN5457">
        <v>1.0000000116762</v>
      </c>
    </row>
    <row r="5458" spans="1:40" x14ac:dyDescent="0.25">
      <c r="A5458" t="str">
        <f>"20190305135342708"</f>
        <v>20190305135342708</v>
      </c>
      <c r="B5458" t="str">
        <f>"1551765222705703"</f>
        <v>1551765222705703</v>
      </c>
      <c r="C5458" t="s">
        <v>40</v>
      </c>
      <c r="D5458">
        <v>4.6657739999999999</v>
      </c>
      <c r="E5458">
        <v>0.63159299999999996</v>
      </c>
      <c r="F5458" t="s">
        <v>47</v>
      </c>
      <c r="G5458">
        <v>-305.40379999999999</v>
      </c>
      <c r="H5458">
        <v>-0.05</v>
      </c>
      <c r="I5458">
        <v>3.2832490000000001</v>
      </c>
      <c r="J5458">
        <v>-309.64679999999998</v>
      </c>
      <c r="K5458">
        <v>1.048416</v>
      </c>
      <c r="L5458">
        <v>13.896240000000001</v>
      </c>
      <c r="M5458">
        <v>0.911609</v>
      </c>
      <c r="N5458">
        <v>-1.2346970000000001E-2</v>
      </c>
      <c r="O5458">
        <v>-0.4108733</v>
      </c>
      <c r="P5458">
        <v>0.65913920000000004</v>
      </c>
      <c r="Q5458">
        <v>8.8443189999999998E-3</v>
      </c>
      <c r="R5458">
        <v>-0.75196929999999995</v>
      </c>
      <c r="S5458">
        <v>1.2084349999999999</v>
      </c>
      <c r="T5458">
        <v>-0.30295229999999901</v>
      </c>
      <c r="U5458">
        <v>-2.9463810000000001</v>
      </c>
      <c r="V5458">
        <v>0.4151011</v>
      </c>
      <c r="W5458">
        <v>8.9022570000000002E-3</v>
      </c>
      <c r="X5458">
        <v>0.90973170000000003</v>
      </c>
      <c r="Y5458">
        <v>0.68572789999999995</v>
      </c>
      <c r="Z5458">
        <v>-4.8836169999999998E-3</v>
      </c>
      <c r="AA5458">
        <v>0.72784159999999998</v>
      </c>
      <c r="AB5458">
        <v>25</v>
      </c>
      <c r="AC5458">
        <v>4.2429999999999897</v>
      </c>
      <c r="AD5458">
        <v>-1.0984160000000001</v>
      </c>
      <c r="AE5458">
        <v>-10.612990999999999</v>
      </c>
      <c r="AF5458">
        <v>7.8595787916908</v>
      </c>
      <c r="AG5458">
        <v>-1.0984160000000001</v>
      </c>
      <c r="AH5458">
        <v>8.1538723522760002</v>
      </c>
      <c r="AI5458">
        <v>95.539747142143696</v>
      </c>
      <c r="AJ5458">
        <v>46.0528574292575</v>
      </c>
      <c r="AK5458">
        <v>11.3782745101822</v>
      </c>
      <c r="AL5458">
        <v>89.489931492978798</v>
      </c>
      <c r="AM5458">
        <v>65.473279861763302</v>
      </c>
      <c r="AN5458">
        <v>0.99999996969289595</v>
      </c>
    </row>
    <row r="5459" spans="1:40" x14ac:dyDescent="0.25">
      <c r="A5459" t="str">
        <f>"20190305135342722"</f>
        <v>20190305135342722</v>
      </c>
      <c r="B5459" t="str">
        <f>"1551765222715464"</f>
        <v>1551765222715464</v>
      </c>
      <c r="C5459" t="s">
        <v>40</v>
      </c>
      <c r="D5459">
        <v>4.718229</v>
      </c>
      <c r="E5459">
        <v>0.63132759999999999</v>
      </c>
      <c r="F5459" t="s">
        <v>47</v>
      </c>
      <c r="G5459">
        <v>-305.33920000000001</v>
      </c>
      <c r="H5459">
        <v>-0.05</v>
      </c>
      <c r="I5459">
        <v>3.1397089999999999</v>
      </c>
      <c r="J5459">
        <v>-309.49930000000001</v>
      </c>
      <c r="K5459">
        <v>1.0481640000000001</v>
      </c>
      <c r="L5459">
        <v>13.817690000000001</v>
      </c>
      <c r="M5459">
        <v>0.90707230000000005</v>
      </c>
      <c r="N5459">
        <v>-1.239823E-2</v>
      </c>
      <c r="O5459">
        <v>-0.42079270000000002</v>
      </c>
      <c r="P5459">
        <v>0.65145259999999905</v>
      </c>
      <c r="Q5459">
        <v>9.5751210000000007E-3</v>
      </c>
      <c r="R5459">
        <v>-0.75862959999999902</v>
      </c>
      <c r="S5459">
        <v>1.183594</v>
      </c>
      <c r="T5459">
        <v>-0.30181419999999998</v>
      </c>
      <c r="U5459">
        <v>-2.955597</v>
      </c>
      <c r="V5459">
        <v>0.41445399999999999</v>
      </c>
      <c r="W5459">
        <v>9.4653800000000007E-3</v>
      </c>
      <c r="X5459">
        <v>0.91002110000000003</v>
      </c>
      <c r="Y5459">
        <v>0.68389580000000005</v>
      </c>
      <c r="Z5459">
        <v>-3.7893319999999999E-3</v>
      </c>
      <c r="AA5459">
        <v>0.72956999999999905</v>
      </c>
      <c r="AB5459">
        <v>25</v>
      </c>
      <c r="AC5459">
        <v>4.1600999999999999</v>
      </c>
      <c r="AD5459">
        <v>-1.0981639999999999</v>
      </c>
      <c r="AE5459">
        <v>-10.677981000000001</v>
      </c>
      <c r="AF5459">
        <v>7.8635584891281303</v>
      </c>
      <c r="AG5459">
        <v>-1.0981639999999999</v>
      </c>
      <c r="AH5459">
        <v>8.19213346686821</v>
      </c>
      <c r="AI5459">
        <v>95.523780788087905</v>
      </c>
      <c r="AJ5459">
        <v>46.172377500780499</v>
      </c>
      <c r="AK5459">
        <v>11.408442795658701</v>
      </c>
      <c r="AL5459">
        <v>89.457665606949504</v>
      </c>
      <c r="AM5459">
        <v>65.513895552228306</v>
      </c>
      <c r="AN5459">
        <v>1.0000000569898699</v>
      </c>
    </row>
    <row r="5460" spans="1:40" x14ac:dyDescent="0.25">
      <c r="A5460" t="str">
        <f>"20190305135342734"</f>
        <v>20190305135342734</v>
      </c>
      <c r="B5460" t="str">
        <f>"1551765222725222"</f>
        <v>1551765222725222</v>
      </c>
      <c r="C5460" t="s">
        <v>40</v>
      </c>
      <c r="D5460">
        <v>4.7005619999999997</v>
      </c>
      <c r="E5460">
        <v>0.6307353</v>
      </c>
      <c r="F5460" t="s">
        <v>47</v>
      </c>
      <c r="G5460">
        <v>-305.33789999999999</v>
      </c>
      <c r="H5460">
        <v>-0.05</v>
      </c>
      <c r="I5460">
        <v>3.1340479999999999</v>
      </c>
      <c r="J5460">
        <v>-309.3802</v>
      </c>
      <c r="K5460">
        <v>1.047966</v>
      </c>
      <c r="L5460">
        <v>13.752079999999999</v>
      </c>
      <c r="M5460">
        <v>0.90321609999999997</v>
      </c>
      <c r="N5460">
        <v>-1.2445029999999999E-2</v>
      </c>
      <c r="O5460">
        <v>-0.42900559999999899</v>
      </c>
      <c r="P5460">
        <v>0.64517460000000004</v>
      </c>
      <c r="Q5460">
        <v>1.009696E-2</v>
      </c>
      <c r="R5460">
        <v>-0.7639686</v>
      </c>
      <c r="S5460">
        <v>1.155365</v>
      </c>
      <c r="T5460">
        <v>-0.30489169999999999</v>
      </c>
      <c r="U5460">
        <v>-2.9661870000000001</v>
      </c>
      <c r="V5460">
        <v>0.41371459999999999</v>
      </c>
      <c r="W5460">
        <v>9.8673330000000007E-3</v>
      </c>
      <c r="X5460">
        <v>0.91035319999999997</v>
      </c>
      <c r="Y5460">
        <v>0.68418069999999997</v>
      </c>
      <c r="Z5460">
        <v>-2.939044E-3</v>
      </c>
      <c r="AA5460">
        <v>0.72930660000000003</v>
      </c>
      <c r="AB5460">
        <v>25</v>
      </c>
      <c r="AC5460">
        <v>4.0423000000000098</v>
      </c>
      <c r="AD5460">
        <v>-1.097966</v>
      </c>
      <c r="AE5460">
        <v>-10.618031999999999</v>
      </c>
      <c r="AF5460">
        <v>7.7841191350125198</v>
      </c>
      <c r="AG5460">
        <v>-1.097966</v>
      </c>
      <c r="AH5460">
        <v>8.1309645029381095</v>
      </c>
      <c r="AI5460">
        <v>95.571123344085194</v>
      </c>
      <c r="AJ5460">
        <v>46.248477911811399</v>
      </c>
      <c r="AK5460">
        <v>11.3097579016203</v>
      </c>
      <c r="AL5460">
        <v>89.434634312932303</v>
      </c>
      <c r="AM5460">
        <v>65.560338683530503</v>
      </c>
      <c r="AN5460">
        <v>1.0000000416319601</v>
      </c>
    </row>
    <row r="5461" spans="1:40" x14ac:dyDescent="0.25">
      <c r="A5461" t="str">
        <f>"20190305135342747"</f>
        <v>20190305135342747</v>
      </c>
      <c r="B5461" t="str">
        <f>"1551765222735959"</f>
        <v>1551765222735959</v>
      </c>
      <c r="C5461" t="s">
        <v>40</v>
      </c>
      <c r="D5461">
        <v>4.6803140000000001</v>
      </c>
      <c r="E5461">
        <v>0.6305982</v>
      </c>
      <c r="F5461" t="s">
        <v>47</v>
      </c>
      <c r="G5461">
        <v>-305.27969999999999</v>
      </c>
      <c r="H5461">
        <v>-0.05</v>
      </c>
      <c r="I5461">
        <v>3.0123289999999998</v>
      </c>
      <c r="J5461">
        <v>-309.25349999999997</v>
      </c>
      <c r="K5461">
        <v>1.0477559999999999</v>
      </c>
      <c r="L5461">
        <v>13.681340000000001</v>
      </c>
      <c r="M5461">
        <v>0.89898159999999905</v>
      </c>
      <c r="N5461">
        <v>-1.249512E-2</v>
      </c>
      <c r="O5461">
        <v>-0.43780839999999999</v>
      </c>
      <c r="P5461">
        <v>0.63802559999999997</v>
      </c>
      <c r="Q5461">
        <v>1.058365E-2</v>
      </c>
      <c r="R5461">
        <v>-0.76994259999999903</v>
      </c>
      <c r="S5461">
        <v>1.1348879999999999</v>
      </c>
      <c r="T5461">
        <v>-0.30388470000000001</v>
      </c>
      <c r="U5461">
        <v>-2.9724430000000002</v>
      </c>
      <c r="V5461">
        <v>0.41332079999999999</v>
      </c>
      <c r="W5461">
        <v>1.0214930000000001E-2</v>
      </c>
      <c r="X5461">
        <v>0.91052820000000001</v>
      </c>
      <c r="Y5461">
        <v>0.68199829999999995</v>
      </c>
      <c r="Z5461">
        <v>-1.9199639999999999E-3</v>
      </c>
      <c r="AA5461">
        <v>0.73135130000000004</v>
      </c>
      <c r="AB5461">
        <v>25</v>
      </c>
      <c r="AC5461">
        <v>3.9737999999999798</v>
      </c>
      <c r="AD5461">
        <v>-1.097756</v>
      </c>
      <c r="AE5461">
        <v>-10.6690109999999</v>
      </c>
      <c r="AF5461">
        <v>7.7797650408355299</v>
      </c>
      <c r="AG5461">
        <v>-1.097756</v>
      </c>
      <c r="AH5461">
        <v>8.1680597663712593</v>
      </c>
      <c r="AI5461">
        <v>95.558375411763095</v>
      </c>
      <c r="AJ5461">
        <v>46.394751607612903</v>
      </c>
      <c r="AK5461">
        <v>11.3334466369748</v>
      </c>
      <c r="AL5461">
        <v>89.414717453365398</v>
      </c>
      <c r="AM5461">
        <v>65.585029760906806</v>
      </c>
      <c r="AN5461">
        <v>1.00000001575139</v>
      </c>
    </row>
    <row r="5462" spans="1:40" x14ac:dyDescent="0.25">
      <c r="A5462" t="str">
        <f>"20190305135342762"</f>
        <v>20190305135342762</v>
      </c>
      <c r="B5462" t="str">
        <f>"1551765222755370"</f>
        <v>1551765222755370</v>
      </c>
      <c r="C5462" t="s">
        <v>40</v>
      </c>
      <c r="D5462">
        <v>4.7095649999999996</v>
      </c>
      <c r="E5462">
        <v>0.62986339999999996</v>
      </c>
      <c r="F5462" t="s">
        <v>47</v>
      </c>
      <c r="G5462">
        <v>-305.2672</v>
      </c>
      <c r="H5462">
        <v>-0.05</v>
      </c>
      <c r="I5462">
        <v>2.9583740000000001</v>
      </c>
      <c r="J5462">
        <v>-309.10890000000001</v>
      </c>
      <c r="K5462">
        <v>1.047517</v>
      </c>
      <c r="L5462">
        <v>13.597899999999999</v>
      </c>
      <c r="M5462">
        <v>0.89389609999999997</v>
      </c>
      <c r="N5462">
        <v>-1.256002E-2</v>
      </c>
      <c r="O5462">
        <v>-0.44809850000000001</v>
      </c>
      <c r="P5462">
        <v>0.62993959999999904</v>
      </c>
      <c r="Q5462">
        <v>1.058562E-2</v>
      </c>
      <c r="R5462">
        <v>-0.77657200000000004</v>
      </c>
      <c r="S5462">
        <v>1.1085510000000001</v>
      </c>
      <c r="T5462">
        <v>-0.30527949999999998</v>
      </c>
      <c r="U5462">
        <v>-2.981995</v>
      </c>
      <c r="V5462">
        <v>0.41239769999999998</v>
      </c>
      <c r="W5462">
        <v>1.0081420000000001E-2</v>
      </c>
      <c r="X5462">
        <v>0.91094819999999999</v>
      </c>
      <c r="Y5462">
        <v>0.68007280000000003</v>
      </c>
      <c r="Z5462">
        <v>-7.1321429999999901E-4</v>
      </c>
      <c r="AA5462">
        <v>0.73314429999999997</v>
      </c>
      <c r="AB5462">
        <v>25</v>
      </c>
      <c r="AC5462">
        <v>3.8416999999999999</v>
      </c>
      <c r="AD5462">
        <v>-1.0975170000000001</v>
      </c>
      <c r="AE5462">
        <v>-10.639526</v>
      </c>
      <c r="AF5462">
        <v>7.7171384028135304</v>
      </c>
      <c r="AG5462">
        <v>-1.0975170000000001</v>
      </c>
      <c r="AH5462">
        <v>8.1257895194933596</v>
      </c>
      <c r="AI5462">
        <v>95.593533197629796</v>
      </c>
      <c r="AJ5462">
        <v>46.477554769022603</v>
      </c>
      <c r="AK5462">
        <v>11.2599833040984</v>
      </c>
      <c r="AL5462">
        <v>89.422367432572102</v>
      </c>
      <c r="AM5462">
        <v>65.643139591239503</v>
      </c>
      <c r="AN5462">
        <v>1.0000000605388699</v>
      </c>
    </row>
    <row r="5463" spans="1:40" x14ac:dyDescent="0.25">
      <c r="A5463" t="str">
        <f>"20190305135342774"</f>
        <v>20190305135342774</v>
      </c>
      <c r="B5463" t="str">
        <f>"1551765222765130"</f>
        <v>1551765222765130</v>
      </c>
      <c r="C5463" t="s">
        <v>40</v>
      </c>
      <c r="D5463">
        <v>4.7645970000000002</v>
      </c>
      <c r="E5463">
        <v>0.62962479999999998</v>
      </c>
      <c r="F5463" t="s">
        <v>47</v>
      </c>
      <c r="G5463">
        <v>-305.2303</v>
      </c>
      <c r="H5463">
        <v>-0.05</v>
      </c>
      <c r="I5463">
        <v>2.8904420000000002</v>
      </c>
      <c r="J5463">
        <v>-308.9803</v>
      </c>
      <c r="K5463">
        <v>1.047304</v>
      </c>
      <c r="L5463">
        <v>13.52139</v>
      </c>
      <c r="M5463">
        <v>0.88915059999999901</v>
      </c>
      <c r="N5463">
        <v>-1.262186E-2</v>
      </c>
      <c r="O5463">
        <v>-0.45744050000000003</v>
      </c>
      <c r="P5463">
        <v>0.62230479999999999</v>
      </c>
      <c r="Q5463">
        <v>1.014226E-2</v>
      </c>
      <c r="R5463">
        <v>-0.78270909999999905</v>
      </c>
      <c r="S5463">
        <v>1.0827329999999999</v>
      </c>
      <c r="T5463">
        <v>-0.3063748</v>
      </c>
      <c r="U5463">
        <v>-2.9890140000000001</v>
      </c>
      <c r="V5463">
        <v>0.41177079999999999</v>
      </c>
      <c r="W5463">
        <v>9.5197349999999997E-3</v>
      </c>
      <c r="X5463">
        <v>0.91123770000000004</v>
      </c>
      <c r="Y5463">
        <v>0.67856139999999998</v>
      </c>
      <c r="Z5463">
        <v>3.7599349999999998E-4</v>
      </c>
      <c r="AA5463">
        <v>0.73454359999999996</v>
      </c>
      <c r="AB5463">
        <v>25</v>
      </c>
      <c r="AC5463">
        <v>3.75</v>
      </c>
      <c r="AD5463">
        <v>-1.0973040000000001</v>
      </c>
      <c r="AE5463">
        <v>-10.630948</v>
      </c>
      <c r="AF5463">
        <v>7.6651019602217296</v>
      </c>
      <c r="AG5463">
        <v>-1.0973040000000001</v>
      </c>
      <c r="AH5463">
        <v>8.1210475706599805</v>
      </c>
      <c r="AI5463">
        <v>95.611970308785502</v>
      </c>
      <c r="AJ5463">
        <v>46.654393209923903</v>
      </c>
      <c r="AK5463">
        <v>11.2209303435113</v>
      </c>
      <c r="AL5463">
        <v>89.454551113528197</v>
      </c>
      <c r="AM5463">
        <v>65.6827039866955</v>
      </c>
      <c r="AN5463">
        <v>0.9999999814942</v>
      </c>
    </row>
    <row r="5464" spans="1:40" x14ac:dyDescent="0.25">
      <c r="A5464" t="str">
        <f>"20190305135342787"</f>
        <v>20190305135342787</v>
      </c>
      <c r="B5464" t="str">
        <f>"1551765222775867"</f>
        <v>1551765222775867</v>
      </c>
      <c r="C5464" t="s">
        <v>40</v>
      </c>
      <c r="D5464">
        <v>4.7108860000000004</v>
      </c>
      <c r="E5464">
        <v>0.62962479999999998</v>
      </c>
      <c r="F5464" t="s">
        <v>47</v>
      </c>
      <c r="G5464">
        <v>-305.20409999999998</v>
      </c>
      <c r="H5464">
        <v>-0.05</v>
      </c>
      <c r="I5464">
        <v>2.7891849999999998</v>
      </c>
      <c r="J5464">
        <v>-308.85649999999998</v>
      </c>
      <c r="K5464">
        <v>1.0471010000000001</v>
      </c>
      <c r="L5464">
        <v>13.44656</v>
      </c>
      <c r="M5464">
        <v>0.88442690000000002</v>
      </c>
      <c r="N5464">
        <v>-1.268181E-2</v>
      </c>
      <c r="O5464">
        <v>-0.4665068</v>
      </c>
      <c r="P5464">
        <v>0.61520609999999998</v>
      </c>
      <c r="Q5464">
        <v>9.798635E-3</v>
      </c>
      <c r="R5464">
        <v>-0.7883057</v>
      </c>
      <c r="S5464">
        <v>1.0549010000000001</v>
      </c>
      <c r="T5464">
        <v>-0.30653849999999999</v>
      </c>
      <c r="U5464">
        <v>-2.9981080000000002</v>
      </c>
      <c r="V5464">
        <v>0.41068929999999998</v>
      </c>
      <c r="W5464">
        <v>9.0824960000000007E-3</v>
      </c>
      <c r="X5464">
        <v>0.91173009999999999</v>
      </c>
      <c r="Y5464">
        <v>0.67784630000000001</v>
      </c>
      <c r="Z5464">
        <v>1.3493299999999999E-3</v>
      </c>
      <c r="AA5464">
        <v>0.73520249999999998</v>
      </c>
      <c r="AB5464">
        <v>25</v>
      </c>
      <c r="AC5464">
        <v>3.6524000000000001</v>
      </c>
      <c r="AD5464">
        <v>-1.0971010000000001</v>
      </c>
      <c r="AE5464">
        <v>-10.657375</v>
      </c>
      <c r="AF5464">
        <v>7.6498724690709601</v>
      </c>
      <c r="AG5464">
        <v>-1.0971010000000001</v>
      </c>
      <c r="AH5464">
        <v>8.1256183321380195</v>
      </c>
      <c r="AI5464">
        <v>95.614495818189297</v>
      </c>
      <c r="AJ5464">
        <v>46.727361226851698</v>
      </c>
      <c r="AK5464">
        <v>11.213824177185399</v>
      </c>
      <c r="AL5464">
        <v>89.4796041485655</v>
      </c>
      <c r="AM5464">
        <v>65.750792153823994</v>
      </c>
      <c r="AN5464">
        <v>0.99999998405704404</v>
      </c>
    </row>
    <row r="5465" spans="1:40" x14ac:dyDescent="0.25">
      <c r="A5465" t="str">
        <f>"20190305135342799"</f>
        <v>20190305135342799</v>
      </c>
      <c r="B5465" t="str">
        <f>"1551765222795387"</f>
        <v>1551765222795387</v>
      </c>
      <c r="C5465" t="s">
        <v>40</v>
      </c>
      <c r="D5465">
        <v>4.7473450000000001</v>
      </c>
      <c r="E5465">
        <v>0.62123459999999997</v>
      </c>
      <c r="F5465" t="s">
        <v>47</v>
      </c>
      <c r="G5465">
        <v>-305.18450000000001</v>
      </c>
      <c r="H5465">
        <v>-0.05</v>
      </c>
      <c r="I5465">
        <v>2.7003020000000002</v>
      </c>
      <c r="J5465">
        <v>-308.7371</v>
      </c>
      <c r="K5465">
        <v>1.046907</v>
      </c>
      <c r="L5465">
        <v>13.37186</v>
      </c>
      <c r="M5465">
        <v>0.87964560000000003</v>
      </c>
      <c r="N5465">
        <v>-1.2745090000000001E-2</v>
      </c>
      <c r="O5465">
        <v>-0.47545900000000002</v>
      </c>
      <c r="P5465">
        <v>0.60800069999999995</v>
      </c>
      <c r="Q5465">
        <v>8.9107030000000007E-3</v>
      </c>
      <c r="R5465">
        <v>-0.79388649999999905</v>
      </c>
      <c r="S5465">
        <v>1.027649</v>
      </c>
      <c r="T5465">
        <v>-0.30703449999999999</v>
      </c>
      <c r="U5465">
        <v>-3.0074459999999998</v>
      </c>
      <c r="V5465">
        <v>0.40972740000000002</v>
      </c>
      <c r="W5465">
        <v>8.1088299999999992E-3</v>
      </c>
      <c r="X5465">
        <v>0.91217199999999998</v>
      </c>
      <c r="Y5465">
        <v>0.67707600000000001</v>
      </c>
      <c r="Z5465">
        <v>2.3281909999999999E-3</v>
      </c>
      <c r="AA5465">
        <v>0.73590949999999999</v>
      </c>
      <c r="AB5465">
        <v>25</v>
      </c>
      <c r="AC5465">
        <v>3.55259999999998</v>
      </c>
      <c r="AD5465">
        <v>-1.0969070000000001</v>
      </c>
      <c r="AE5465">
        <v>-10.671557999999999</v>
      </c>
      <c r="AF5465">
        <v>7.6261639095051397</v>
      </c>
      <c r="AG5465">
        <v>-1.0969070000000001</v>
      </c>
      <c r="AH5465">
        <v>8.1223292682458794</v>
      </c>
      <c r="AI5465">
        <v>95.622838934776595</v>
      </c>
      <c r="AJ5465">
        <v>46.804539667583398</v>
      </c>
      <c r="AK5465">
        <v>11.195258535785999</v>
      </c>
      <c r="AL5465">
        <v>89.535393184874295</v>
      </c>
      <c r="AM5465">
        <v>65.811442912578002</v>
      </c>
      <c r="AN5465">
        <v>1.00000002650936</v>
      </c>
    </row>
    <row r="5466" spans="1:40" x14ac:dyDescent="0.25">
      <c r="A5466" t="str">
        <f>"20190305135342812"</f>
        <v>20190305135342812</v>
      </c>
      <c r="B5466" t="str">
        <f>"1551765222805146"</f>
        <v>1551765222805146</v>
      </c>
      <c r="C5466" t="s">
        <v>40</v>
      </c>
      <c r="D5466">
        <v>4.7494829999999997</v>
      </c>
      <c r="E5466">
        <v>0.62107659999999998</v>
      </c>
      <c r="F5466" t="s">
        <v>47</v>
      </c>
      <c r="G5466">
        <v>-304.39</v>
      </c>
      <c r="H5466">
        <v>-0.05</v>
      </c>
      <c r="I5466">
        <v>1.0900270000000001</v>
      </c>
      <c r="J5466">
        <v>-308.60950000000003</v>
      </c>
      <c r="K5466">
        <v>1.0467</v>
      </c>
      <c r="L5466">
        <v>13.29022</v>
      </c>
      <c r="M5466">
        <v>0.87433930000000004</v>
      </c>
      <c r="N5466">
        <v>-1.281382E-2</v>
      </c>
      <c r="O5466">
        <v>-0.48514590000000002</v>
      </c>
      <c r="P5466">
        <v>0.60003969999999995</v>
      </c>
      <c r="Q5466">
        <v>8.0158290000000004E-3</v>
      </c>
      <c r="R5466">
        <v>-0.79993019999999904</v>
      </c>
      <c r="S5466">
        <v>1.0531010000000001</v>
      </c>
      <c r="T5466">
        <v>-0.26573170000000002</v>
      </c>
      <c r="U5466">
        <v>-2.9753419999999999</v>
      </c>
      <c r="V5466">
        <v>0.40875050000000002</v>
      </c>
      <c r="W5466">
        <v>7.12562E-3</v>
      </c>
      <c r="X5466">
        <v>0.91261829999999999</v>
      </c>
      <c r="Y5466">
        <v>0.66115889999999999</v>
      </c>
      <c r="Z5466">
        <v>2.5688070000000002E-3</v>
      </c>
      <c r="AA5466">
        <v>0.75024159999999995</v>
      </c>
      <c r="AB5466">
        <v>25</v>
      </c>
      <c r="AC5466">
        <v>4.2195000000000302</v>
      </c>
      <c r="AD5466">
        <v>-1.0967</v>
      </c>
      <c r="AE5466">
        <v>-12.200193000000001</v>
      </c>
      <c r="AF5466">
        <v>8.5589706189661197</v>
      </c>
      <c r="AG5466">
        <v>-1.0967</v>
      </c>
      <c r="AH5466">
        <v>9.5400840166123597</v>
      </c>
      <c r="AI5466">
        <v>94.890754176080407</v>
      </c>
      <c r="AJ5466">
        <v>48.102852249453498</v>
      </c>
      <c r="AK5466">
        <v>12.8635893898378</v>
      </c>
      <c r="AL5466">
        <v>89.591728573633205</v>
      </c>
      <c r="AM5466">
        <v>65.872980010453603</v>
      </c>
      <c r="AN5466">
        <v>0.99999995360276095</v>
      </c>
    </row>
    <row r="5467" spans="1:40" x14ac:dyDescent="0.25">
      <c r="A5467" t="str">
        <f>"20190305135342828"</f>
        <v>20190305135342828</v>
      </c>
      <c r="B5467" t="str">
        <f>"1551765222825643"</f>
        <v>1551765222825643</v>
      </c>
      <c r="C5467" t="s">
        <v>40</v>
      </c>
      <c r="D5467">
        <v>4.7508920000000003</v>
      </c>
      <c r="E5467">
        <v>0.62041290000000004</v>
      </c>
      <c r="F5467" t="s">
        <v>47</v>
      </c>
      <c r="G5467">
        <v>-304.49209999999999</v>
      </c>
      <c r="H5467">
        <v>-0.05</v>
      </c>
      <c r="I5467">
        <v>1.2792509999999999</v>
      </c>
      <c r="J5467">
        <v>-308.45319999999998</v>
      </c>
      <c r="K5467">
        <v>1.0464519999999999</v>
      </c>
      <c r="L5467">
        <v>13.187620000000001</v>
      </c>
      <c r="M5467">
        <v>0.86755530000000003</v>
      </c>
      <c r="N5467">
        <v>-1.2899839999999999E-2</v>
      </c>
      <c r="O5467">
        <v>-0.49717319999999998</v>
      </c>
      <c r="P5467">
        <v>0.59188469999999904</v>
      </c>
      <c r="Q5467">
        <v>5.2981749999999996E-3</v>
      </c>
      <c r="R5467">
        <v>-0.80600539999999998</v>
      </c>
      <c r="S5467">
        <v>1.023407</v>
      </c>
      <c r="T5467">
        <v>-0.27259250000000002</v>
      </c>
      <c r="U5467">
        <v>-2.9854129999999999</v>
      </c>
      <c r="V5467">
        <v>0.40535549999999998</v>
      </c>
      <c r="W5467">
        <v>4.3886209999999997E-3</v>
      </c>
      <c r="X5467">
        <v>0.91414859999999998</v>
      </c>
      <c r="Y5467">
        <v>0.65823940000000003</v>
      </c>
      <c r="Z5467">
        <v>4.1617470000000004E-3</v>
      </c>
      <c r="AA5467">
        <v>0.75279719999999894</v>
      </c>
      <c r="AB5467">
        <v>25</v>
      </c>
      <c r="AC5467">
        <v>3.9610999999999801</v>
      </c>
      <c r="AD5467">
        <v>-1.096452</v>
      </c>
      <c r="AE5467">
        <v>-11.908369</v>
      </c>
      <c r="AF5467">
        <v>8.2991643523539498</v>
      </c>
      <c r="AG5467">
        <v>-1.096452</v>
      </c>
      <c r="AH5467">
        <v>9.2868872408921899</v>
      </c>
      <c r="AI5467">
        <v>95.031028860205794</v>
      </c>
      <c r="AJ5467">
        <v>48.214647565797002</v>
      </c>
      <c r="AK5467">
        <v>12.502984066243201</v>
      </c>
      <c r="AL5467">
        <v>89.748549732193098</v>
      </c>
      <c r="AM5467">
        <v>66.086348874272602</v>
      </c>
      <c r="AN5467">
        <v>1.00000000212824</v>
      </c>
    </row>
    <row r="5468" spans="1:40" x14ac:dyDescent="0.25">
      <c r="A5468" t="str">
        <f>"20190305135342843"</f>
        <v>20190305135342843</v>
      </c>
      <c r="B5468" t="str">
        <f>"1551765222835403"</f>
        <v>1551765222835403</v>
      </c>
      <c r="C5468" t="s">
        <v>40</v>
      </c>
      <c r="D5468">
        <v>4.8031100000000002</v>
      </c>
      <c r="E5468">
        <v>0.61989609999999995</v>
      </c>
      <c r="F5468" t="s">
        <v>47</v>
      </c>
      <c r="G5468">
        <v>-304.72789999999998</v>
      </c>
      <c r="H5468">
        <v>-0.05</v>
      </c>
      <c r="I5468">
        <v>1.9936370000000001</v>
      </c>
      <c r="J5468">
        <v>-308.31400000000002</v>
      </c>
      <c r="K5468">
        <v>1.0462419999999999</v>
      </c>
      <c r="L5468">
        <v>13.093260000000001</v>
      </c>
      <c r="M5468">
        <v>0.86120629999999998</v>
      </c>
      <c r="N5468">
        <v>-1.2979650000000001E-2</v>
      </c>
      <c r="O5468">
        <v>-0.50808980000000004</v>
      </c>
      <c r="P5468">
        <v>0.58267519999999995</v>
      </c>
      <c r="Q5468">
        <v>6.1110929999999997E-3</v>
      </c>
      <c r="R5468">
        <v>-0.81268200000000002</v>
      </c>
      <c r="S5468">
        <v>0.99594119999999997</v>
      </c>
      <c r="T5468">
        <v>-0.29312690000000002</v>
      </c>
      <c r="U5468">
        <v>-2.9926149999999998</v>
      </c>
      <c r="V5468">
        <v>0.40423740000000002</v>
      </c>
      <c r="W5468">
        <v>5.1238949999999998E-3</v>
      </c>
      <c r="X5468">
        <v>0.9146398</v>
      </c>
      <c r="Y5468">
        <v>0.65538439999999998</v>
      </c>
      <c r="Z5468">
        <v>6.5347720000000003E-3</v>
      </c>
      <c r="AA5468">
        <v>0.75526729999999997</v>
      </c>
      <c r="AB5468">
        <v>25</v>
      </c>
      <c r="AC5468">
        <v>3.58610000000004</v>
      </c>
      <c r="AD5468">
        <v>-1.0962419999999999</v>
      </c>
      <c r="AE5468">
        <v>-11.099622999999999</v>
      </c>
      <c r="AF5468">
        <v>7.6699127660692996</v>
      </c>
      <c r="AG5468">
        <v>-1.0962419999999999</v>
      </c>
      <c r="AH5468">
        <v>8.6522922366372796</v>
      </c>
      <c r="AI5468">
        <v>95.416064126916794</v>
      </c>
      <c r="AJ5468">
        <v>48.444288345891202</v>
      </c>
      <c r="AK5468">
        <v>11.614278682288001</v>
      </c>
      <c r="AL5468">
        <v>89.706421170944395</v>
      </c>
      <c r="AM5468">
        <v>66.156321242283198</v>
      </c>
      <c r="AN5468">
        <v>1.0000000468013801</v>
      </c>
    </row>
    <row r="5469" spans="1:40" x14ac:dyDescent="0.25">
      <c r="A5469" t="str">
        <f>"20190305135342855"</f>
        <v>20190305135342855</v>
      </c>
      <c r="B5469" t="str">
        <f>"1551765222845163"</f>
        <v>1551765222845163</v>
      </c>
      <c r="C5469" t="s">
        <v>40</v>
      </c>
      <c r="D5469">
        <v>4.7707959999999998</v>
      </c>
      <c r="E5469">
        <v>0.61931040000000004</v>
      </c>
      <c r="F5469" t="s">
        <v>47</v>
      </c>
      <c r="G5469">
        <v>-304.71080000000001</v>
      </c>
      <c r="H5469">
        <v>-0.05</v>
      </c>
      <c r="I5469">
        <v>1.8806</v>
      </c>
      <c r="J5469">
        <v>-308.19110000000001</v>
      </c>
      <c r="K5469">
        <v>1.046071</v>
      </c>
      <c r="L5469">
        <v>13.007110000000001</v>
      </c>
      <c r="M5469">
        <v>0.85533749999999997</v>
      </c>
      <c r="N5469">
        <v>-1.30527E-2</v>
      </c>
      <c r="O5469">
        <v>-0.51790670000000005</v>
      </c>
      <c r="P5469">
        <v>0.57407589999999997</v>
      </c>
      <c r="Q5469">
        <v>7.3639769999999998E-3</v>
      </c>
      <c r="R5469">
        <v>-0.81876890000000002</v>
      </c>
      <c r="S5469">
        <v>0.96472170000000002</v>
      </c>
      <c r="T5469">
        <v>-0.29350500000000002</v>
      </c>
      <c r="U5469">
        <v>-3.0020449999999999</v>
      </c>
      <c r="V5469">
        <v>0.40345340000000002</v>
      </c>
      <c r="W5469">
        <v>6.3102469999999997E-3</v>
      </c>
      <c r="X5469">
        <v>0.91497839999999997</v>
      </c>
      <c r="Y5469">
        <v>0.65457959999999904</v>
      </c>
      <c r="Z5469">
        <v>7.5713730000000002E-3</v>
      </c>
      <c r="AA5469">
        <v>0.75595519999999905</v>
      </c>
      <c r="AB5469">
        <v>25</v>
      </c>
      <c r="AC5469">
        <v>3.4803000000000002</v>
      </c>
      <c r="AD5469">
        <v>-1.096071</v>
      </c>
      <c r="AE5469">
        <v>-11.12651</v>
      </c>
      <c r="AF5469">
        <v>7.6475089248292401</v>
      </c>
      <c r="AG5469">
        <v>-1.096071</v>
      </c>
      <c r="AH5469">
        <v>8.6634902618897591</v>
      </c>
      <c r="AI5469">
        <v>95.418231932534397</v>
      </c>
      <c r="AJ5469">
        <v>48.564241141103501</v>
      </c>
      <c r="AK5469">
        <v>11.607834764082501</v>
      </c>
      <c r="AL5469">
        <v>89.638447068458106</v>
      </c>
      <c r="AM5469">
        <v>66.205250731609397</v>
      </c>
      <c r="AN5469">
        <v>0.99999996882765996</v>
      </c>
    </row>
    <row r="5470" spans="1:40" x14ac:dyDescent="0.25">
      <c r="A5470" t="str">
        <f>"20190305135342869"</f>
        <v>20190305135342869</v>
      </c>
      <c r="B5470" t="str">
        <f>"1551765222865659"</f>
        <v>1551765222865659</v>
      </c>
      <c r="C5470" t="s">
        <v>40</v>
      </c>
      <c r="D5470">
        <v>4.771363</v>
      </c>
      <c r="E5470">
        <v>0.61818830000000002</v>
      </c>
      <c r="F5470" t="s">
        <v>47</v>
      </c>
      <c r="G5470">
        <v>-304.66609999999997</v>
      </c>
      <c r="H5470">
        <v>-0.05</v>
      </c>
      <c r="I5470">
        <v>1.682877</v>
      </c>
      <c r="J5470">
        <v>-308.06880000000001</v>
      </c>
      <c r="K5470">
        <v>1.0459039999999999</v>
      </c>
      <c r="L5470">
        <v>12.919829999999999</v>
      </c>
      <c r="M5470">
        <v>0.84929929999999998</v>
      </c>
      <c r="N5470">
        <v>-1.3125039999999999E-2</v>
      </c>
      <c r="O5470">
        <v>-0.52774840000000001</v>
      </c>
      <c r="P5470">
        <v>0.56504739999999998</v>
      </c>
      <c r="Q5470">
        <v>8.8023659999999903E-3</v>
      </c>
      <c r="R5470">
        <v>-0.825011099999999</v>
      </c>
      <c r="S5470">
        <v>0.93688959999999999</v>
      </c>
      <c r="T5470">
        <v>-0.29131439999999997</v>
      </c>
      <c r="U5470">
        <v>-3.0097659999999999</v>
      </c>
      <c r="V5470">
        <v>0.40297820000000001</v>
      </c>
      <c r="W5470">
        <v>7.6734899999999998E-3</v>
      </c>
      <c r="X5470">
        <v>0.91517740000000003</v>
      </c>
      <c r="Y5470">
        <v>0.65281659999999997</v>
      </c>
      <c r="Z5470">
        <v>8.5135829999999999E-3</v>
      </c>
      <c r="AA5470">
        <v>0.75746819999999904</v>
      </c>
      <c r="AB5470">
        <v>25</v>
      </c>
      <c r="AC5470">
        <v>3.40270000000003</v>
      </c>
      <c r="AD5470">
        <v>-1.095904</v>
      </c>
      <c r="AE5470">
        <v>-11.236953</v>
      </c>
      <c r="AF5470">
        <v>7.68150882099419</v>
      </c>
      <c r="AG5470">
        <v>-1.095904</v>
      </c>
      <c r="AH5470">
        <v>8.7447653990563392</v>
      </c>
      <c r="AI5470">
        <v>95.378791591460995</v>
      </c>
      <c r="AJ5470">
        <v>48.703532824289901</v>
      </c>
      <c r="AK5470">
        <v>11.690915500026501</v>
      </c>
      <c r="AL5470">
        <v>89.560337090887302</v>
      </c>
      <c r="AM5470">
        <v>66.234764385001199</v>
      </c>
      <c r="AN5470">
        <v>0.99999999279739005</v>
      </c>
    </row>
    <row r="5471" spans="1:40" x14ac:dyDescent="0.25">
      <c r="A5471" t="str">
        <f>"20190305135342884"</f>
        <v>20190305135342884</v>
      </c>
      <c r="B5471" t="str">
        <f>"1551765222875419"</f>
        <v>1551765222875419</v>
      </c>
      <c r="C5471" t="s">
        <v>40</v>
      </c>
      <c r="D5471">
        <v>4.811121</v>
      </c>
      <c r="E5471">
        <v>0.61752589999999996</v>
      </c>
      <c r="F5471" t="s">
        <v>47</v>
      </c>
      <c r="G5471">
        <v>-304.61660000000001</v>
      </c>
      <c r="H5471">
        <v>-0.05</v>
      </c>
      <c r="I5471">
        <v>1.5005649999999999</v>
      </c>
      <c r="J5471">
        <v>-307.92509999999999</v>
      </c>
      <c r="K5471">
        <v>1.045714</v>
      </c>
      <c r="L5471">
        <v>12.814209999999999</v>
      </c>
      <c r="M5471">
        <v>0.84189139999999996</v>
      </c>
      <c r="N5471">
        <v>-1.321234E-2</v>
      </c>
      <c r="O5471">
        <v>-0.53948560000000001</v>
      </c>
      <c r="P5471">
        <v>0.55334939999999999</v>
      </c>
      <c r="Q5471">
        <v>1.0417249999999999E-2</v>
      </c>
      <c r="R5471">
        <v>-0.83288449999999903</v>
      </c>
      <c r="S5471">
        <v>0.91152949999999999</v>
      </c>
      <c r="T5471">
        <v>-0.28935870000000002</v>
      </c>
      <c r="U5471">
        <v>-3.0151059999999998</v>
      </c>
      <c r="V5471">
        <v>0.40323350000000002</v>
      </c>
      <c r="W5471">
        <v>9.1745219999999992E-3</v>
      </c>
      <c r="X5471">
        <v>0.91505119999999895</v>
      </c>
      <c r="Y5471">
        <v>0.64855609999999997</v>
      </c>
      <c r="Z5471">
        <v>9.8143520000000001E-3</v>
      </c>
      <c r="AA5471">
        <v>0.76110359999999999</v>
      </c>
      <c r="AB5471">
        <v>25</v>
      </c>
      <c r="AC5471">
        <v>3.30849999999998</v>
      </c>
      <c r="AD5471">
        <v>-1.0957139999999901</v>
      </c>
      <c r="AE5471">
        <v>-11.313644999999999</v>
      </c>
      <c r="AF5471">
        <v>7.6743342587401999</v>
      </c>
      <c r="AG5471">
        <v>-1.0957139999999901</v>
      </c>
      <c r="AH5471">
        <v>8.8135644374397994</v>
      </c>
      <c r="AI5471">
        <v>95.356332699840493</v>
      </c>
      <c r="AJ5471">
        <v>48.952565773344404</v>
      </c>
      <c r="AK5471">
        <v>11.7377559004084</v>
      </c>
      <c r="AL5471">
        <v>89.474331268872504</v>
      </c>
      <c r="AM5471">
        <v>66.218462533777597</v>
      </c>
      <c r="AN5471">
        <v>1.0000000629988</v>
      </c>
    </row>
    <row r="5472" spans="1:40" x14ac:dyDescent="0.25">
      <c r="A5472" t="str">
        <f>"20190305135342896"</f>
        <v>20190305135342896</v>
      </c>
      <c r="B5472" t="str">
        <f>"1551765222885179"</f>
        <v>1551765222885179</v>
      </c>
      <c r="C5472" t="s">
        <v>40</v>
      </c>
      <c r="D5472">
        <v>4.7429180000000004</v>
      </c>
      <c r="E5472">
        <v>0.6166701</v>
      </c>
      <c r="F5472" t="s">
        <v>47</v>
      </c>
      <c r="G5472">
        <v>-304.58909999999997</v>
      </c>
      <c r="H5472">
        <v>-0.05</v>
      </c>
      <c r="I5472">
        <v>1.2564850000000001</v>
      </c>
      <c r="J5472">
        <v>-307.81400000000002</v>
      </c>
      <c r="K5472">
        <v>1.045569</v>
      </c>
      <c r="L5472">
        <v>12.72958</v>
      </c>
      <c r="M5472">
        <v>0.83588890000000005</v>
      </c>
      <c r="N5472">
        <v>-1.328262E-2</v>
      </c>
      <c r="O5472">
        <v>-0.54873819999999995</v>
      </c>
      <c r="P5472">
        <v>0.54398159999999995</v>
      </c>
      <c r="Q5472">
        <v>1.013259E-2</v>
      </c>
      <c r="R5472">
        <v>-0.83903619999999901</v>
      </c>
      <c r="S5472">
        <v>0.87322999999999995</v>
      </c>
      <c r="T5472">
        <v>-0.28681479999999998</v>
      </c>
      <c r="U5472">
        <v>-3.02536</v>
      </c>
      <c r="V5472">
        <v>0.40339269999999999</v>
      </c>
      <c r="W5472">
        <v>8.810231E-3</v>
      </c>
      <c r="X5472">
        <v>0.91498449999999998</v>
      </c>
      <c r="Y5472">
        <v>0.64976889999999998</v>
      </c>
      <c r="Z5472">
        <v>1.044668E-2</v>
      </c>
      <c r="AA5472">
        <v>0.76005999999999996</v>
      </c>
      <c r="AB5472">
        <v>25</v>
      </c>
      <c r="AC5472">
        <v>3.2249000000000398</v>
      </c>
      <c r="AD5472">
        <v>-1.095569</v>
      </c>
      <c r="AE5472">
        <v>-11.473094999999899</v>
      </c>
      <c r="AF5472">
        <v>7.75575407890216</v>
      </c>
      <c r="AG5472">
        <v>-1.095569</v>
      </c>
      <c r="AH5472">
        <v>8.91682201643982</v>
      </c>
      <c r="AI5472">
        <v>95.296446549765705</v>
      </c>
      <c r="AJ5472">
        <v>48.983611428578499</v>
      </c>
      <c r="AK5472">
        <v>11.8685174996304</v>
      </c>
      <c r="AL5472">
        <v>89.495204397912104</v>
      </c>
      <c r="AM5472">
        <v>66.208574096786094</v>
      </c>
      <c r="AN5472">
        <v>0.99999996291190596</v>
      </c>
    </row>
    <row r="5473" spans="1:40" x14ac:dyDescent="0.25">
      <c r="A5473" t="str">
        <f>"20190305135342910"</f>
        <v>20190305135342910</v>
      </c>
      <c r="B5473" t="str">
        <f>"1551765222905675"</f>
        <v>1551765222905675</v>
      </c>
      <c r="C5473" t="s">
        <v>40</v>
      </c>
      <c r="D5473">
        <v>4.751404</v>
      </c>
      <c r="E5473">
        <v>0.61524599999999996</v>
      </c>
      <c r="F5473" t="s">
        <v>47</v>
      </c>
      <c r="G5473">
        <v>-304.5804</v>
      </c>
      <c r="H5473">
        <v>-0.05</v>
      </c>
      <c r="I5473">
        <v>1.135605</v>
      </c>
      <c r="J5473">
        <v>-307.68349999999998</v>
      </c>
      <c r="K5473">
        <v>1.0453939999999999</v>
      </c>
      <c r="L5473">
        <v>12.628299999999999</v>
      </c>
      <c r="M5473">
        <v>0.82860400000000001</v>
      </c>
      <c r="N5473">
        <v>-1.3364590000000001E-2</v>
      </c>
      <c r="O5473">
        <v>-0.5596759</v>
      </c>
      <c r="P5473">
        <v>0.53300369999999997</v>
      </c>
      <c r="Q5473">
        <v>9.2773270000000001E-3</v>
      </c>
      <c r="R5473">
        <v>-0.84606229999999905</v>
      </c>
      <c r="S5473">
        <v>0.84533689999999995</v>
      </c>
      <c r="T5473">
        <v>-0.28640789999999999</v>
      </c>
      <c r="U5473">
        <v>-3.030945</v>
      </c>
      <c r="V5473">
        <v>0.40327429999999997</v>
      </c>
      <c r="W5473">
        <v>7.87471E-3</v>
      </c>
      <c r="X5473">
        <v>0.91504529999999995</v>
      </c>
      <c r="Y5473">
        <v>0.64666069999999998</v>
      </c>
      <c r="Z5473">
        <v>1.168839E-2</v>
      </c>
      <c r="AA5473">
        <v>0.76268819999999904</v>
      </c>
      <c r="AB5473">
        <v>25</v>
      </c>
      <c r="AC5473">
        <v>3.10309999999998</v>
      </c>
      <c r="AD5473">
        <v>-1.095394</v>
      </c>
      <c r="AE5473">
        <v>-11.492694999999999</v>
      </c>
      <c r="AF5473">
        <v>7.7214782090889402</v>
      </c>
      <c r="AG5473">
        <v>-1.095394</v>
      </c>
      <c r="AH5473">
        <v>8.9286283691270008</v>
      </c>
      <c r="AI5473">
        <v>95.301644291643697</v>
      </c>
      <c r="AJ5473">
        <v>49.146748502536198</v>
      </c>
      <c r="AK5473">
        <v>11.8550208056608</v>
      </c>
      <c r="AL5473">
        <v>89.548807705379204</v>
      </c>
      <c r="AM5473">
        <v>66.216186970841406</v>
      </c>
      <c r="AN5473">
        <v>1.0000000365750801</v>
      </c>
    </row>
    <row r="5474" spans="1:40" x14ac:dyDescent="0.25">
      <c r="A5474" t="str">
        <f>"20190305135342923"</f>
        <v>20190305135342923</v>
      </c>
      <c r="B5474" t="str">
        <f>"1551765222915435"</f>
        <v>1551765222915435</v>
      </c>
      <c r="C5474" t="s">
        <v>40</v>
      </c>
      <c r="D5474">
        <v>4.807607</v>
      </c>
      <c r="E5474">
        <v>0.61524599999999996</v>
      </c>
      <c r="F5474" t="s">
        <v>47</v>
      </c>
      <c r="G5474">
        <v>-304.57839999999999</v>
      </c>
      <c r="H5474">
        <v>-0.05</v>
      </c>
      <c r="I5474">
        <v>1.056152</v>
      </c>
      <c r="J5474">
        <v>-307.56099999999998</v>
      </c>
      <c r="K5474">
        <v>1.0452360000000001</v>
      </c>
      <c r="L5474">
        <v>12.5307</v>
      </c>
      <c r="M5474">
        <v>0.82149159999999899</v>
      </c>
      <c r="N5474">
        <v>-1.3442590000000001E-2</v>
      </c>
      <c r="O5474">
        <v>-0.57006210000000002</v>
      </c>
      <c r="P5474">
        <v>0.52259789999999995</v>
      </c>
      <c r="Q5474">
        <v>8.6085720000000001E-3</v>
      </c>
      <c r="R5474">
        <v>-0.85253590000000001</v>
      </c>
      <c r="S5474">
        <v>0.81460569999999999</v>
      </c>
      <c r="T5474">
        <v>-0.28736469999999997</v>
      </c>
      <c r="U5474">
        <v>-3.035828</v>
      </c>
      <c r="V5474">
        <v>0.40295379999999997</v>
      </c>
      <c r="W5474">
        <v>7.1432630000000004E-3</v>
      </c>
      <c r="X5474">
        <v>0.91519240000000002</v>
      </c>
      <c r="Y5474">
        <v>0.64458159999999998</v>
      </c>
      <c r="Z5474">
        <v>1.2936919999999999E-2</v>
      </c>
      <c r="AA5474">
        <v>0.7644261</v>
      </c>
      <c r="AB5474">
        <v>25</v>
      </c>
      <c r="AC5474">
        <v>2.9825999999999899</v>
      </c>
      <c r="AD5474">
        <v>-1.0952360000000001</v>
      </c>
      <c r="AE5474">
        <v>-11.474548</v>
      </c>
      <c r="AF5474">
        <v>7.6612948103558898</v>
      </c>
      <c r="AG5474">
        <v>-1.0952360000000001</v>
      </c>
      <c r="AH5474">
        <v>8.9161088677535396</v>
      </c>
      <c r="AI5474">
        <v>95.322753047036301</v>
      </c>
      <c r="AJ5474">
        <v>49.328706093842698</v>
      </c>
      <c r="AK5474">
        <v>11.8064379644546</v>
      </c>
      <c r="AL5474">
        <v>89.590717681071297</v>
      </c>
      <c r="AM5474">
        <v>66.236390242259006</v>
      </c>
      <c r="AN5474">
        <v>0.99999996007924197</v>
      </c>
    </row>
    <row r="5475" spans="1:40" x14ac:dyDescent="0.25">
      <c r="A5475" t="str">
        <f>"20190305135342936"</f>
        <v>20190305135342936</v>
      </c>
      <c r="B5475" t="str">
        <f>"1551765222925195"</f>
        <v>1551765222925195</v>
      </c>
      <c r="C5475" t="s">
        <v>40</v>
      </c>
      <c r="D5475">
        <v>4.8079900000000002</v>
      </c>
      <c r="E5475">
        <v>0.60492219999999997</v>
      </c>
      <c r="F5475" t="s">
        <v>47</v>
      </c>
      <c r="G5475">
        <v>-304.60860000000002</v>
      </c>
      <c r="H5475">
        <v>-0.05</v>
      </c>
      <c r="I5475">
        <v>0.96244810000000003</v>
      </c>
      <c r="J5475">
        <v>-307.44830000000002</v>
      </c>
      <c r="K5475">
        <v>1.0450999999999999</v>
      </c>
      <c r="L5475">
        <v>12.43774</v>
      </c>
      <c r="M5475">
        <v>0.81465790000000005</v>
      </c>
      <c r="N5475">
        <v>-1.351629E-2</v>
      </c>
      <c r="O5475">
        <v>-0.57978439999999998</v>
      </c>
      <c r="P5475">
        <v>0.51247810000000005</v>
      </c>
      <c r="Q5475">
        <v>7.2945179999999998E-3</v>
      </c>
      <c r="R5475">
        <v>-0.85866929999999997</v>
      </c>
      <c r="S5475">
        <v>0.77722170000000002</v>
      </c>
      <c r="T5475">
        <v>-0.28832449999999998</v>
      </c>
      <c r="U5475">
        <v>-3.0453800000000002</v>
      </c>
      <c r="V5475">
        <v>0.40287079999999997</v>
      </c>
      <c r="W5475">
        <v>5.7695239999999998E-3</v>
      </c>
      <c r="X5475">
        <v>0.91523869999999896</v>
      </c>
      <c r="Y5475">
        <v>0.64489370000000001</v>
      </c>
      <c r="Z5475">
        <v>1.3957260000000001E-2</v>
      </c>
      <c r="AA5475">
        <v>0.76414479999999996</v>
      </c>
      <c r="AB5475">
        <v>25</v>
      </c>
      <c r="AC5475">
        <v>2.8396999999999899</v>
      </c>
      <c r="AD5475">
        <v>-1.0951</v>
      </c>
      <c r="AE5475">
        <v>-11.4752919</v>
      </c>
      <c r="AF5475">
        <v>7.63718739044534</v>
      </c>
      <c r="AG5475">
        <v>-1.0951</v>
      </c>
      <c r="AH5475">
        <v>8.8910981183121809</v>
      </c>
      <c r="AI5475">
        <v>95.337752594411299</v>
      </c>
      <c r="AJ5475">
        <v>49.338407391383697</v>
      </c>
      <c r="AK5475">
        <v>11.771894537253999</v>
      </c>
      <c r="AL5475">
        <v>89.669428798755106</v>
      </c>
      <c r="AM5475">
        <v>66.241811667510703</v>
      </c>
      <c r="AN5475">
        <v>1.0000000234387501</v>
      </c>
    </row>
    <row r="5476" spans="1:40" x14ac:dyDescent="0.25">
      <c r="A5476" t="str">
        <f>"20190305135342952"</f>
        <v>20190305135342952</v>
      </c>
      <c r="B5476" t="str">
        <f>"1551765222945691"</f>
        <v>1551765222945691</v>
      </c>
      <c r="C5476" t="s">
        <v>40</v>
      </c>
      <c r="D5476">
        <v>4.7318949999999997</v>
      </c>
      <c r="E5476">
        <v>0.60376669999999999</v>
      </c>
      <c r="F5476" t="s">
        <v>47</v>
      </c>
      <c r="G5476">
        <v>-304.52159999999998</v>
      </c>
      <c r="H5476">
        <v>-0.05</v>
      </c>
      <c r="I5476">
        <v>1.5679019999999999</v>
      </c>
      <c r="J5476">
        <v>-307.30459999999999</v>
      </c>
      <c r="K5476">
        <v>1.0449310000000001</v>
      </c>
      <c r="L5476">
        <v>12.316380000000001</v>
      </c>
      <c r="M5476">
        <v>0.8056198</v>
      </c>
      <c r="N5476">
        <v>-1.360943E-2</v>
      </c>
      <c r="O5476">
        <v>-0.59227680000000005</v>
      </c>
      <c r="P5476">
        <v>0.49995050000000002</v>
      </c>
      <c r="Q5476">
        <v>6.1115719999999896E-3</v>
      </c>
      <c r="R5476">
        <v>-0.86603269999999899</v>
      </c>
      <c r="S5476">
        <v>0.811065699999999</v>
      </c>
      <c r="T5476">
        <v>-0.30347869999999999</v>
      </c>
      <c r="U5476">
        <v>-3.0122990000000001</v>
      </c>
      <c r="V5476">
        <v>0.40202470000000001</v>
      </c>
      <c r="W5476">
        <v>4.5440680000000001E-3</v>
      </c>
      <c r="X5476">
        <v>0.91561760000000003</v>
      </c>
      <c r="Y5476">
        <v>0.6228496</v>
      </c>
      <c r="Z5476">
        <v>1.8268030000000001E-2</v>
      </c>
      <c r="AA5476">
        <v>0.7821283</v>
      </c>
      <c r="AB5476">
        <v>25</v>
      </c>
      <c r="AC5476">
        <v>2.7830000000000101</v>
      </c>
      <c r="AD5476">
        <v>-1.0949309999999901</v>
      </c>
      <c r="AE5476">
        <v>-10.748478</v>
      </c>
      <c r="AF5476">
        <v>6.9439968902698803</v>
      </c>
      <c r="AG5476">
        <v>-1.0949309999999901</v>
      </c>
      <c r="AH5476">
        <v>8.5259930510782507</v>
      </c>
      <c r="AI5476">
        <v>95.686513242456499</v>
      </c>
      <c r="AJ5476">
        <v>50.8388988882148</v>
      </c>
      <c r="AK5476">
        <v>11.050363080635501</v>
      </c>
      <c r="AL5476">
        <v>89.739643198454303</v>
      </c>
      <c r="AM5476">
        <v>66.294928079551497</v>
      </c>
      <c r="AN5476">
        <v>1.0000000486969101</v>
      </c>
    </row>
    <row r="5477" spans="1:40" x14ac:dyDescent="0.25">
      <c r="A5477" t="str">
        <f>"20190305135342968"</f>
        <v>20190305135342968</v>
      </c>
      <c r="B5477" t="str">
        <f>"1551765222955450"</f>
        <v>1551765222955450</v>
      </c>
      <c r="C5477" t="s">
        <v>40</v>
      </c>
      <c r="D5477">
        <v>4.8128780000000004</v>
      </c>
      <c r="E5477">
        <v>0.60270389999999996</v>
      </c>
      <c r="F5477" t="s">
        <v>47</v>
      </c>
      <c r="G5477">
        <v>-304.2208</v>
      </c>
      <c r="H5477">
        <v>-0.05</v>
      </c>
      <c r="I5477">
        <v>0.31294250000000001</v>
      </c>
      <c r="J5477">
        <v>-307.17180000000002</v>
      </c>
      <c r="K5477">
        <v>1.0447759999999999</v>
      </c>
      <c r="L5477">
        <v>12.20102</v>
      </c>
      <c r="M5477">
        <v>0.79691299999999998</v>
      </c>
      <c r="N5477">
        <v>-1.3694899999999901E-2</v>
      </c>
      <c r="O5477">
        <v>-0.60393920000000001</v>
      </c>
      <c r="P5477">
        <v>0.48782350000000002</v>
      </c>
      <c r="Q5477">
        <v>6.231978E-3</v>
      </c>
      <c r="R5477">
        <v>-0.87292029999999998</v>
      </c>
      <c r="S5477">
        <v>0.77542109999999997</v>
      </c>
      <c r="T5477">
        <v>-0.27532760000000001</v>
      </c>
      <c r="U5477">
        <v>-3.0183409999999999</v>
      </c>
      <c r="V5477">
        <v>0.4014759</v>
      </c>
      <c r="W5477">
        <v>4.6198840000000003E-3</v>
      </c>
      <c r="X5477">
        <v>0.9158579</v>
      </c>
      <c r="Y5477">
        <v>0.62065950000000003</v>
      </c>
      <c r="Z5477">
        <v>1.6741269999999999E-2</v>
      </c>
      <c r="AA5477">
        <v>0.78390150000000003</v>
      </c>
      <c r="AB5477">
        <v>25</v>
      </c>
      <c r="AC5477">
        <v>2.9510000000000201</v>
      </c>
      <c r="AD5477">
        <v>-1.094776</v>
      </c>
      <c r="AE5477">
        <v>-11.8880775</v>
      </c>
      <c r="AF5477">
        <v>7.6312969413643197</v>
      </c>
      <c r="AG5477">
        <v>-1.094776</v>
      </c>
      <c r="AH5477">
        <v>9.4567143230309902</v>
      </c>
      <c r="AI5477">
        <v>95.147976636427202</v>
      </c>
      <c r="AJ5477">
        <v>51.097466545788301</v>
      </c>
      <c r="AK5477">
        <v>12.2010111582963</v>
      </c>
      <c r="AL5477">
        <v>89.735299194699294</v>
      </c>
      <c r="AM5477">
        <v>66.329254558566305</v>
      </c>
      <c r="AN5477">
        <v>0.99999996730069596</v>
      </c>
    </row>
    <row r="5478" spans="1:40" x14ac:dyDescent="0.25">
      <c r="A5478" t="str">
        <f>"20190305135342980"</f>
        <v>20190305135342980</v>
      </c>
      <c r="B5478" t="str">
        <f>"1551765222975947"</f>
        <v>1551765222975947</v>
      </c>
      <c r="C5478" t="s">
        <v>40</v>
      </c>
      <c r="D5478">
        <v>4.8060790000000004</v>
      </c>
      <c r="E5478">
        <v>0.60030969999999995</v>
      </c>
      <c r="F5478" t="s">
        <v>47</v>
      </c>
      <c r="G5478">
        <v>-304.30680000000001</v>
      </c>
      <c r="H5478">
        <v>-0.05</v>
      </c>
      <c r="I5478">
        <v>0.49969479999999999</v>
      </c>
      <c r="J5478">
        <v>-307.05880000000002</v>
      </c>
      <c r="K5478">
        <v>1.0446500000000001</v>
      </c>
      <c r="L5478">
        <v>12.09943</v>
      </c>
      <c r="M5478">
        <v>0.78917689999999996</v>
      </c>
      <c r="N5478">
        <v>-1.3766560000000001E-2</v>
      </c>
      <c r="O5478">
        <v>-0.61401190000000005</v>
      </c>
      <c r="P5478">
        <v>0.47730919999999999</v>
      </c>
      <c r="Q5478">
        <v>6.7713829999999997E-3</v>
      </c>
      <c r="R5478">
        <v>-0.87870969999999904</v>
      </c>
      <c r="S5478">
        <v>0.74063109999999999</v>
      </c>
      <c r="T5478">
        <v>-0.28300700000000001</v>
      </c>
      <c r="U5478">
        <v>-3.0248719999999998</v>
      </c>
      <c r="V5478">
        <v>0.40085759999999998</v>
      </c>
      <c r="W5478">
        <v>5.1329540000000003E-3</v>
      </c>
      <c r="X5478">
        <v>0.916126</v>
      </c>
      <c r="Y5478">
        <v>0.61957839999999997</v>
      </c>
      <c r="Z5478">
        <v>1.8617189999999999E-2</v>
      </c>
      <c r="AA5478">
        <v>0.78471400000000002</v>
      </c>
      <c r="AB5478">
        <v>25</v>
      </c>
      <c r="AC5478">
        <v>2.7519999999999998</v>
      </c>
      <c r="AD5478">
        <v>-1.0946499999999999</v>
      </c>
      <c r="AE5478">
        <v>-11.5997352</v>
      </c>
      <c r="AF5478">
        <v>7.4027766676253703</v>
      </c>
      <c r="AG5478">
        <v>-1.0946499999999999</v>
      </c>
      <c r="AH5478">
        <v>9.2173592239117408</v>
      </c>
      <c r="AI5478">
        <v>95.290157837314894</v>
      </c>
      <c r="AJ5478">
        <v>51.230860295900598</v>
      </c>
      <c r="AK5478">
        <v>11.8726185854624</v>
      </c>
      <c r="AL5478">
        <v>89.705902109466393</v>
      </c>
      <c r="AM5478">
        <v>66.367867718063096</v>
      </c>
      <c r="AN5478">
        <v>1.00000000528526</v>
      </c>
    </row>
    <row r="5479" spans="1:40" x14ac:dyDescent="0.25">
      <c r="A5479" t="str">
        <f>"20190305135342996"</f>
        <v>20190305135342996</v>
      </c>
      <c r="B5479" t="str">
        <f>"1551765222985707"</f>
        <v>1551765222985707</v>
      </c>
      <c r="C5479" t="s">
        <v>40</v>
      </c>
      <c r="D5479">
        <v>4.7824210000000003</v>
      </c>
      <c r="E5479">
        <v>0.5992885</v>
      </c>
      <c r="F5479" t="s">
        <v>47</v>
      </c>
      <c r="G5479">
        <v>-304.3338</v>
      </c>
      <c r="H5479">
        <v>-0.05</v>
      </c>
      <c r="I5479">
        <v>0.65675349999999999</v>
      </c>
      <c r="J5479">
        <v>-306.928</v>
      </c>
      <c r="K5479">
        <v>1.044511</v>
      </c>
      <c r="L5479">
        <v>11.978490000000001</v>
      </c>
      <c r="M5479">
        <v>0.77987469999999903</v>
      </c>
      <c r="N5479">
        <v>-1.3846539999999999E-2</v>
      </c>
      <c r="O5479">
        <v>-0.62578250000000002</v>
      </c>
      <c r="P5479">
        <v>0.46627879999999999</v>
      </c>
      <c r="Q5479">
        <v>7.5992619999999999E-3</v>
      </c>
      <c r="R5479">
        <v>-0.88460519999999998</v>
      </c>
      <c r="S5479">
        <v>0.72039790000000004</v>
      </c>
      <c r="T5479">
        <v>-0.28938580000000003</v>
      </c>
      <c r="U5479">
        <v>-3.0250240000000002</v>
      </c>
      <c r="V5479">
        <v>0.39860250000000003</v>
      </c>
      <c r="W5479">
        <v>5.9974470000000004E-3</v>
      </c>
      <c r="X5479">
        <v>0.91710420000000004</v>
      </c>
      <c r="Y5479">
        <v>0.61276709999999901</v>
      </c>
      <c r="Z5479">
        <v>2.096023E-2</v>
      </c>
      <c r="AA5479">
        <v>0.78998550000000001</v>
      </c>
      <c r="AB5479">
        <v>25</v>
      </c>
      <c r="AC5479">
        <v>2.5941999999999998</v>
      </c>
      <c r="AD5479">
        <v>-1.094511</v>
      </c>
      <c r="AE5479">
        <v>-11.321736499999901</v>
      </c>
      <c r="AF5479">
        <v>7.1433916467433596</v>
      </c>
      <c r="AG5479">
        <v>-1.094511</v>
      </c>
      <c r="AH5479">
        <v>9.0287970604704704</v>
      </c>
      <c r="AI5479">
        <v>95.430679462742404</v>
      </c>
      <c r="AJ5479">
        <v>51.6497065929059</v>
      </c>
      <c r="AK5479">
        <v>11.5648248973793</v>
      </c>
      <c r="AL5479">
        <v>89.656369545188298</v>
      </c>
      <c r="AM5479">
        <v>66.508709548005896</v>
      </c>
      <c r="AN5479">
        <v>1.0000000180172</v>
      </c>
    </row>
    <row r="5480" spans="1:40" x14ac:dyDescent="0.25">
      <c r="A5480" t="str">
        <f>"20190305135343010"</f>
        <v>20190305135343010</v>
      </c>
      <c r="B5480" t="str">
        <f>"1551765222995467"</f>
        <v>1551765222995467</v>
      </c>
      <c r="C5480" t="s">
        <v>40</v>
      </c>
      <c r="D5480">
        <v>4.8395270000000004</v>
      </c>
      <c r="E5480">
        <v>0.59810109999999905</v>
      </c>
      <c r="F5480" t="s">
        <v>47</v>
      </c>
      <c r="G5480">
        <v>-304.28070000000002</v>
      </c>
      <c r="H5480">
        <v>-0.05</v>
      </c>
      <c r="I5480">
        <v>0.3416748</v>
      </c>
      <c r="J5480">
        <v>-306.8082</v>
      </c>
      <c r="K5480">
        <v>1.0443910000000001</v>
      </c>
      <c r="L5480">
        <v>11.864649999999999</v>
      </c>
      <c r="M5480">
        <v>0.77102740000000003</v>
      </c>
      <c r="N5480">
        <v>-1.391706E-2</v>
      </c>
      <c r="O5480">
        <v>-0.63664989999999999</v>
      </c>
      <c r="P5480">
        <v>0.45535379999999998</v>
      </c>
      <c r="Q5480">
        <v>7.5769749999999997E-3</v>
      </c>
      <c r="R5480">
        <v>-0.89027860000000003</v>
      </c>
      <c r="S5480">
        <v>0.68939209999999995</v>
      </c>
      <c r="T5480">
        <v>-0.2850298</v>
      </c>
      <c r="U5480">
        <v>-3.0304259999999998</v>
      </c>
      <c r="V5480">
        <v>0.39704329999999999</v>
      </c>
      <c r="W5480">
        <v>5.9898169999999997E-3</v>
      </c>
      <c r="X5480">
        <v>0.91778029999999999</v>
      </c>
      <c r="Y5480">
        <v>0.60972289999999996</v>
      </c>
      <c r="Z5480">
        <v>2.17527E-2</v>
      </c>
      <c r="AA5480">
        <v>0.79231609999999997</v>
      </c>
      <c r="AB5480">
        <v>25</v>
      </c>
      <c r="AC5480">
        <v>2.5274999999999701</v>
      </c>
      <c r="AD5480">
        <v>-1.0943909999999999</v>
      </c>
      <c r="AE5480">
        <v>-11.522975199999999</v>
      </c>
      <c r="AF5480">
        <v>7.2140167477228996</v>
      </c>
      <c r="AG5480">
        <v>-1.0943909999999999</v>
      </c>
      <c r="AH5480">
        <v>9.2065392077080901</v>
      </c>
      <c r="AI5480">
        <v>95.345467148014606</v>
      </c>
      <c r="AJ5480">
        <v>51.918627330758703</v>
      </c>
      <c r="AK5480">
        <v>11.7473441032589</v>
      </c>
      <c r="AL5480">
        <v>89.656806703188394</v>
      </c>
      <c r="AM5480">
        <v>66.606084063940202</v>
      </c>
      <c r="AN5480">
        <v>0.99999996952533599</v>
      </c>
    </row>
    <row r="5481" spans="1:40" x14ac:dyDescent="0.25">
      <c r="A5481" t="str">
        <f>"20190305135343030"</f>
        <v>20190305135343030</v>
      </c>
      <c r="B5481" t="str">
        <f>"1551765223025724"</f>
        <v>1551765223025724</v>
      </c>
      <c r="C5481" t="s">
        <v>40</v>
      </c>
      <c r="D5481">
        <v>4.7478689999999997</v>
      </c>
      <c r="E5481">
        <v>0.59518439999999995</v>
      </c>
      <c r="F5481" t="s">
        <v>47</v>
      </c>
      <c r="G5481">
        <v>-304.286</v>
      </c>
      <c r="H5481">
        <v>-0.05</v>
      </c>
      <c r="I5481">
        <v>0.2635651</v>
      </c>
      <c r="J5481">
        <v>-306.6397</v>
      </c>
      <c r="K5481">
        <v>1.044219</v>
      </c>
      <c r="L5481">
        <v>11.69867</v>
      </c>
      <c r="M5481">
        <v>0.75799329999999998</v>
      </c>
      <c r="N5481">
        <v>-1.401261E-2</v>
      </c>
      <c r="O5481">
        <v>-0.65211189999999997</v>
      </c>
      <c r="P5481">
        <v>0.44034040000000002</v>
      </c>
      <c r="Q5481">
        <v>8.0047969999999993E-3</v>
      </c>
      <c r="R5481">
        <v>-0.89779529999999996</v>
      </c>
      <c r="S5481">
        <v>0.65975950000000005</v>
      </c>
      <c r="T5481">
        <v>-0.28627859999999899</v>
      </c>
      <c r="U5481">
        <v>-3.0346980000000001</v>
      </c>
      <c r="V5481">
        <v>0.39391090000000001</v>
      </c>
      <c r="W5481">
        <v>6.485719E-3</v>
      </c>
      <c r="X5481">
        <v>0.91912570000000005</v>
      </c>
      <c r="Y5481">
        <v>0.60132669999999999</v>
      </c>
      <c r="Z5481">
        <v>2.3986540000000001E-2</v>
      </c>
      <c r="AA5481">
        <v>0.79864309999999905</v>
      </c>
      <c r="AB5481">
        <v>25</v>
      </c>
      <c r="AC5481">
        <v>2.3536999999999999</v>
      </c>
      <c r="AD5481">
        <v>-1.0942190000000001</v>
      </c>
      <c r="AE5481">
        <v>-11.435104900000001</v>
      </c>
      <c r="AF5481">
        <v>7.0714393195630798</v>
      </c>
      <c r="AG5481">
        <v>-1.0942190000000001</v>
      </c>
      <c r="AH5481">
        <v>9.1614862606165897</v>
      </c>
      <c r="AI5481">
        <v>95.401143660041797</v>
      </c>
      <c r="AJ5481">
        <v>52.336672030370003</v>
      </c>
      <c r="AK5481">
        <v>11.624775256911001</v>
      </c>
      <c r="AL5481">
        <v>89.628393052952106</v>
      </c>
      <c r="AM5481">
        <v>66.801415505122193</v>
      </c>
      <c r="AN5481">
        <v>0.99999995704512201</v>
      </c>
    </row>
    <row r="5482" spans="1:40" x14ac:dyDescent="0.25">
      <c r="A5482" t="str">
        <f>"20190305135343053"</f>
        <v>20190305135343053</v>
      </c>
      <c r="B5482" t="str">
        <f>"1551765223045243"</f>
        <v>1551765223045243</v>
      </c>
      <c r="C5482" t="s">
        <v>40</v>
      </c>
      <c r="D5482">
        <v>4.7695290000000004</v>
      </c>
      <c r="E5482">
        <v>0.59334430000000005</v>
      </c>
      <c r="F5482" t="s">
        <v>47</v>
      </c>
      <c r="G5482">
        <v>-304.19450000000001</v>
      </c>
      <c r="H5482">
        <v>-0.05</v>
      </c>
      <c r="I5482">
        <v>-9.4848630000000003E-2</v>
      </c>
      <c r="J5482">
        <v>-306.45699999999999</v>
      </c>
      <c r="K5482">
        <v>1.0440320000000001</v>
      </c>
      <c r="L5482">
        <v>11.51038</v>
      </c>
      <c r="M5482">
        <v>0.74302939999999995</v>
      </c>
      <c r="N5482">
        <v>-1.411167E-2</v>
      </c>
      <c r="O5482">
        <v>-0.66911009999999904</v>
      </c>
      <c r="P5482">
        <v>0.42313050000000002</v>
      </c>
      <c r="Q5482">
        <v>7.8981569999999994E-3</v>
      </c>
      <c r="R5482">
        <v>-0.90603449999999996</v>
      </c>
      <c r="S5482">
        <v>0.62933349999999999</v>
      </c>
      <c r="T5482">
        <v>-0.28162559999999998</v>
      </c>
      <c r="U5482">
        <v>-3.0353699999999999</v>
      </c>
      <c r="V5482">
        <v>0.39063369999999997</v>
      </c>
      <c r="W5482">
        <v>6.458063E-3</v>
      </c>
      <c r="X5482">
        <v>0.9205236</v>
      </c>
      <c r="Y5482">
        <v>0.59095869999999995</v>
      </c>
      <c r="Z5482">
        <v>2.574949E-2</v>
      </c>
      <c r="AA5482">
        <v>0.80629079999999997</v>
      </c>
      <c r="AB5482">
        <v>25</v>
      </c>
      <c r="AC5482">
        <v>2.2624999999999802</v>
      </c>
      <c r="AD5482">
        <v>-1.0940319999999999</v>
      </c>
      <c r="AE5482">
        <v>-11.605228629999999</v>
      </c>
      <c r="AF5482">
        <v>7.0495171204665104</v>
      </c>
      <c r="AG5482">
        <v>-1.0940319999999999</v>
      </c>
      <c r="AH5482">
        <v>9.3670234875899201</v>
      </c>
      <c r="AI5482">
        <v>95.331447243337905</v>
      </c>
      <c r="AJ5482">
        <v>53.035290172172601</v>
      </c>
      <c r="AK5482">
        <v>11.7742824267908</v>
      </c>
      <c r="AL5482">
        <v>89.629977691257807</v>
      </c>
      <c r="AM5482">
        <v>67.005558279361395</v>
      </c>
      <c r="AN5482">
        <v>1.0000000461551799</v>
      </c>
    </row>
    <row r="5483" spans="1:40" x14ac:dyDescent="0.25">
      <c r="A5483" t="str">
        <f>"20190305135343073"</f>
        <v>20190305135343073</v>
      </c>
      <c r="B5483" t="str">
        <f>"1551765223065739"</f>
        <v>1551765223065739</v>
      </c>
      <c r="C5483" t="s">
        <v>40</v>
      </c>
      <c r="D5483">
        <v>4.7446250000000001</v>
      </c>
      <c r="E5483">
        <v>0.59133930000000001</v>
      </c>
      <c r="F5483" t="s">
        <v>47</v>
      </c>
      <c r="G5483">
        <v>-304.18779999999998</v>
      </c>
      <c r="H5483">
        <v>-0.05</v>
      </c>
      <c r="I5483">
        <v>-0.28956599999999999</v>
      </c>
      <c r="J5483">
        <v>-306.28699999999998</v>
      </c>
      <c r="K5483">
        <v>1.043879</v>
      </c>
      <c r="L5483">
        <v>11.32718</v>
      </c>
      <c r="M5483">
        <v>0.72830459999999997</v>
      </c>
      <c r="N5483">
        <v>-1.4199069999999999E-2</v>
      </c>
      <c r="O5483">
        <v>-0.68510660000000001</v>
      </c>
      <c r="P5483">
        <v>0.40660590000000002</v>
      </c>
      <c r="Q5483">
        <v>6.3283150000000002E-3</v>
      </c>
      <c r="R5483">
        <v>-0.9135818</v>
      </c>
      <c r="S5483">
        <v>0.58471680000000004</v>
      </c>
      <c r="T5483">
        <v>-0.2819024</v>
      </c>
      <c r="U5483">
        <v>-3.040527</v>
      </c>
      <c r="V5483">
        <v>0.38729150000000001</v>
      </c>
      <c r="W5483">
        <v>4.9827530000000004E-3</v>
      </c>
      <c r="X5483">
        <v>0.92194379999999998</v>
      </c>
      <c r="Y5483">
        <v>0.58509619999999996</v>
      </c>
      <c r="Z5483">
        <v>2.7789620000000001E-2</v>
      </c>
      <c r="AA5483">
        <v>0.81048759999999997</v>
      </c>
      <c r="AB5483">
        <v>25</v>
      </c>
      <c r="AC5483">
        <v>2.0992000000000499</v>
      </c>
      <c r="AD5483">
        <v>-1.093879</v>
      </c>
      <c r="AE5483">
        <v>-11.616745999999999</v>
      </c>
      <c r="AF5483">
        <v>6.9632709580231102</v>
      </c>
      <c r="AG5483">
        <v>-1.093879</v>
      </c>
      <c r="AH5483">
        <v>9.40774240399878</v>
      </c>
      <c r="AI5483">
        <v>95.339288819498194</v>
      </c>
      <c r="AJ5483">
        <v>53.492492769663102</v>
      </c>
      <c r="AK5483">
        <v>11.755395818154501</v>
      </c>
      <c r="AL5483">
        <v>89.714508087697098</v>
      </c>
      <c r="AM5483">
        <v>67.213626799943896</v>
      </c>
      <c r="AN5483">
        <v>0.999999952079073</v>
      </c>
    </row>
    <row r="5484" spans="1:40" x14ac:dyDescent="0.25">
      <c r="A5484" t="str">
        <f>"20190305135343095"</f>
        <v>20190305135343095</v>
      </c>
      <c r="B5484" t="str">
        <f>"1551765223085259"</f>
        <v>1551765223085259</v>
      </c>
      <c r="C5484" t="s">
        <v>40</v>
      </c>
      <c r="D5484">
        <v>4.7637619999999998</v>
      </c>
      <c r="E5484">
        <v>0.57330519999999996</v>
      </c>
      <c r="F5484" t="s">
        <v>47</v>
      </c>
      <c r="G5484">
        <v>-304.20949999999999</v>
      </c>
      <c r="H5484">
        <v>-0.05</v>
      </c>
      <c r="I5484">
        <v>-0.31538389999999999</v>
      </c>
      <c r="J5484">
        <v>-306.113</v>
      </c>
      <c r="K5484">
        <v>1.043744</v>
      </c>
      <c r="L5484">
        <v>11.13077</v>
      </c>
      <c r="M5484">
        <v>0.71235360000000003</v>
      </c>
      <c r="N5484">
        <v>-1.428342E-2</v>
      </c>
      <c r="O5484">
        <v>-0.70167539999999995</v>
      </c>
      <c r="P5484">
        <v>0.39048080000000002</v>
      </c>
      <c r="Q5484">
        <v>5.6807990000000003E-3</v>
      </c>
      <c r="R5484">
        <v>-0.92059360000000001</v>
      </c>
      <c r="S5484">
        <v>0.54318239999999995</v>
      </c>
      <c r="T5484">
        <v>-0.28599999999999998</v>
      </c>
      <c r="U5484">
        <v>-3.044006</v>
      </c>
      <c r="V5484">
        <v>0.38227630000000001</v>
      </c>
      <c r="W5484">
        <v>4.5121199999999997E-3</v>
      </c>
      <c r="X5484">
        <v>0.924037</v>
      </c>
      <c r="Y5484">
        <v>0.57731869999999996</v>
      </c>
      <c r="Z5484">
        <v>3.0596740000000001E-2</v>
      </c>
      <c r="AA5484">
        <v>0.81594540000000004</v>
      </c>
      <c r="AB5484">
        <v>25</v>
      </c>
      <c r="AC5484">
        <v>1.9035</v>
      </c>
      <c r="AD5484">
        <v>-1.093744</v>
      </c>
      <c r="AE5484">
        <v>-11.446153900000001</v>
      </c>
      <c r="AF5484">
        <v>6.7587131536248197</v>
      </c>
      <c r="AG5484">
        <v>-1.093744</v>
      </c>
      <c r="AH5484">
        <v>9.3057245621853593</v>
      </c>
      <c r="AI5484">
        <v>95.4324095740008</v>
      </c>
      <c r="AJ5484">
        <v>54.009235436782802</v>
      </c>
      <c r="AK5484">
        <v>11.553051071374</v>
      </c>
      <c r="AL5484">
        <v>89.741473677972706</v>
      </c>
      <c r="AM5484">
        <v>67.525004218229697</v>
      </c>
      <c r="AN5484">
        <v>0.99999995306879097</v>
      </c>
    </row>
    <row r="5485" spans="1:40" x14ac:dyDescent="0.25">
      <c r="A5485" t="str">
        <f>"20190305135343118"</f>
        <v>20190305135343118</v>
      </c>
      <c r="B5485" t="str">
        <f>"1551765223115515"</f>
        <v>1551765223115515</v>
      </c>
      <c r="C5485" t="s">
        <v>40</v>
      </c>
      <c r="D5485">
        <v>4.8555679999999999</v>
      </c>
      <c r="E5485">
        <v>0.61329500000000003</v>
      </c>
      <c r="F5485" t="s">
        <v>47</v>
      </c>
      <c r="G5485">
        <v>-303.93380000000002</v>
      </c>
      <c r="H5485">
        <v>-0.05</v>
      </c>
      <c r="I5485">
        <v>0.59365840000000003</v>
      </c>
      <c r="J5485">
        <v>-305.94560000000001</v>
      </c>
      <c r="K5485">
        <v>1.0436379999999901</v>
      </c>
      <c r="L5485">
        <v>10.932919999999999</v>
      </c>
      <c r="M5485">
        <v>0.69613190000000003</v>
      </c>
      <c r="N5485">
        <v>-1.4359500000000001E-2</v>
      </c>
      <c r="O5485">
        <v>-0.71777049999999998</v>
      </c>
      <c r="P5485">
        <v>0.37515510000000002</v>
      </c>
      <c r="Q5485">
        <v>5.8374610000000004E-3</v>
      </c>
      <c r="R5485">
        <v>-0.92694390000000004</v>
      </c>
      <c r="S5485">
        <v>0.61996459999999998</v>
      </c>
      <c r="T5485">
        <v>-0.31116329999999998</v>
      </c>
      <c r="U5485">
        <v>-2.9977420000000001</v>
      </c>
      <c r="V5485">
        <v>0.37649379999999999</v>
      </c>
      <c r="W5485">
        <v>4.8892939999999998E-3</v>
      </c>
      <c r="X5485">
        <v>0.92640630000000002</v>
      </c>
      <c r="Y5485">
        <v>0.53573859999999995</v>
      </c>
      <c r="Z5485">
        <v>3.9030950000000002E-2</v>
      </c>
      <c r="AA5485">
        <v>0.84348129999999999</v>
      </c>
      <c r="AB5485">
        <v>25</v>
      </c>
      <c r="AC5485">
        <v>2.0117999999999898</v>
      </c>
      <c r="AD5485">
        <v>-1.0936380000000001</v>
      </c>
      <c r="AE5485">
        <v>-10.3392616</v>
      </c>
      <c r="AF5485">
        <v>5.6927027233502896</v>
      </c>
      <c r="AG5485">
        <v>-1.0936380000000001</v>
      </c>
      <c r="AH5485">
        <v>8.7285078686268101</v>
      </c>
      <c r="AI5485">
        <v>95.991106084178</v>
      </c>
      <c r="AJ5485">
        <v>56.887748061378097</v>
      </c>
      <c r="AK5485">
        <v>10.478060793112601</v>
      </c>
      <c r="AL5485">
        <v>89.7198629895843</v>
      </c>
      <c r="AM5485">
        <v>67.883054143965495</v>
      </c>
      <c r="AN5485">
        <v>1.00000005965697</v>
      </c>
    </row>
    <row r="5486" spans="1:40" x14ac:dyDescent="0.25">
      <c r="A5486" t="str">
        <f>"20190305135343134"</f>
        <v>20190305135343134</v>
      </c>
      <c r="B5486" t="str">
        <f>"1551765223125275"</f>
        <v>1551765223125275</v>
      </c>
      <c r="C5486" t="s">
        <v>40</v>
      </c>
      <c r="D5486">
        <v>4.8168030000000002</v>
      </c>
      <c r="E5486">
        <v>0.61625589999999997</v>
      </c>
      <c r="F5486" t="s">
        <v>47</v>
      </c>
      <c r="G5486">
        <v>-305.16199999999998</v>
      </c>
      <c r="H5486">
        <v>-0.05</v>
      </c>
      <c r="I5486">
        <v>1.8619380000000001</v>
      </c>
      <c r="J5486">
        <v>-305.83390000000003</v>
      </c>
      <c r="K5486">
        <v>1.043577</v>
      </c>
      <c r="L5486">
        <v>10.79541</v>
      </c>
      <c r="M5486">
        <v>0.6847818</v>
      </c>
      <c r="N5486">
        <v>-1.440754E-2</v>
      </c>
      <c r="O5486">
        <v>-0.72860599999999998</v>
      </c>
      <c r="P5486">
        <v>0.36339359999999998</v>
      </c>
      <c r="Q5486">
        <v>5.9754719999999999E-3</v>
      </c>
      <c r="R5486">
        <v>-0.93161669999999996</v>
      </c>
      <c r="S5486">
        <v>0.27032469999999997</v>
      </c>
      <c r="T5486">
        <v>-0.3772974</v>
      </c>
      <c r="U5486">
        <v>-3.1294249999999999</v>
      </c>
      <c r="V5486">
        <v>0.37368770000000001</v>
      </c>
      <c r="W5486">
        <v>5.1324780000000002E-3</v>
      </c>
      <c r="X5486">
        <v>0.92754040000000004</v>
      </c>
      <c r="Y5486">
        <v>0.61839569999999999</v>
      </c>
      <c r="Z5486">
        <v>4.486043E-2</v>
      </c>
      <c r="AA5486">
        <v>0.78458539999999999</v>
      </c>
      <c r="AB5486">
        <v>25</v>
      </c>
      <c r="AC5486">
        <v>0.67189999999999295</v>
      </c>
      <c r="AD5486">
        <v>-1.093577</v>
      </c>
      <c r="AE5486">
        <v>-8.9334720000000001</v>
      </c>
      <c r="AF5486">
        <v>5.5458740291141604</v>
      </c>
      <c r="AG5486">
        <v>-1.093577</v>
      </c>
      <c r="AH5486">
        <v>6.86747761323406</v>
      </c>
      <c r="AI5486">
        <v>97.062251433744294</v>
      </c>
      <c r="AJ5486">
        <v>51.077176735869998</v>
      </c>
      <c r="AK5486">
        <v>8.8946544716477298</v>
      </c>
      <c r="AL5486">
        <v>89.7059293859283</v>
      </c>
      <c r="AM5486">
        <v>68.056468459038001</v>
      </c>
      <c r="AN5486">
        <v>1.00000001654693</v>
      </c>
    </row>
    <row r="5487" spans="1:40" x14ac:dyDescent="0.25">
      <c r="A5487" t="str">
        <f>"20190305135343146"</f>
        <v>20190305135343146</v>
      </c>
      <c r="B5487" t="str">
        <f>"1551765223135035"</f>
        <v>1551765223135035</v>
      </c>
      <c r="C5487" t="s">
        <v>40</v>
      </c>
      <c r="D5487">
        <v>4.7416429999999998</v>
      </c>
      <c r="E5487">
        <v>0.61686809999999903</v>
      </c>
      <c r="F5487" t="s">
        <v>47</v>
      </c>
      <c r="G5487">
        <v>-305.22519999999997</v>
      </c>
      <c r="H5487">
        <v>-0.05</v>
      </c>
      <c r="I5487">
        <v>1.6092219999999999</v>
      </c>
      <c r="J5487">
        <v>-305.73570000000001</v>
      </c>
      <c r="K5487">
        <v>1.0435350000000001</v>
      </c>
      <c r="L5487">
        <v>10.671419999999999</v>
      </c>
      <c r="M5487">
        <v>0.67447919999999995</v>
      </c>
      <c r="N5487">
        <v>-1.4447899999999901E-2</v>
      </c>
      <c r="O5487">
        <v>-0.73815249999999999</v>
      </c>
      <c r="P5487">
        <v>0.35309879999999999</v>
      </c>
      <c r="Q5487">
        <v>6.2516560000000004E-3</v>
      </c>
      <c r="R5487">
        <v>-0.93556539999999999</v>
      </c>
      <c r="S5487">
        <v>0.2081604</v>
      </c>
      <c r="T5487">
        <v>-0.37396879999999999</v>
      </c>
      <c r="U5487">
        <v>-3.1413880000000001</v>
      </c>
      <c r="V5487">
        <v>0.37089810000000001</v>
      </c>
      <c r="W5487">
        <v>5.5168029999999998E-3</v>
      </c>
      <c r="X5487">
        <v>0.92865719999999996</v>
      </c>
      <c r="Y5487">
        <v>0.62305759999999999</v>
      </c>
      <c r="Z5487">
        <v>4.5339549999999999E-2</v>
      </c>
      <c r="AA5487">
        <v>0.78086080000000002</v>
      </c>
      <c r="AB5487">
        <v>25</v>
      </c>
      <c r="AC5487">
        <v>0.51050000000003504</v>
      </c>
      <c r="AD5487">
        <v>-1.0935349999999999</v>
      </c>
      <c r="AE5487">
        <v>-9.0621980000000004</v>
      </c>
      <c r="AF5487">
        <v>5.6539674528931698</v>
      </c>
      <c r="AG5487">
        <v>-1.0935349999999999</v>
      </c>
      <c r="AH5487">
        <v>6.9336959862652696</v>
      </c>
      <c r="AI5487">
        <v>96.968566698957005</v>
      </c>
      <c r="AJ5487">
        <v>50.805047230834496</v>
      </c>
      <c r="AK5487">
        <v>9.0132850162718992</v>
      </c>
      <c r="AL5487">
        <v>89.6839088731722</v>
      </c>
      <c r="AM5487">
        <v>68.2286360228766</v>
      </c>
      <c r="AN5487">
        <v>1.0000000154053901</v>
      </c>
    </row>
    <row r="5488" spans="1:40" x14ac:dyDescent="0.25">
      <c r="A5488" t="str">
        <f>"20190305135343163"</f>
        <v>20190305135343163</v>
      </c>
      <c r="B5488" t="str">
        <f>"1551765223155531"</f>
        <v>1551765223155531</v>
      </c>
      <c r="C5488" t="s">
        <v>40</v>
      </c>
      <c r="D5488">
        <v>4.7738529999999999</v>
      </c>
      <c r="E5488">
        <v>0.61531590000000003</v>
      </c>
      <c r="F5488" t="s">
        <v>47</v>
      </c>
      <c r="G5488">
        <v>-305.21460000000002</v>
      </c>
      <c r="H5488">
        <v>-0.05</v>
      </c>
      <c r="I5488">
        <v>1.002335</v>
      </c>
      <c r="J5488">
        <v>-305.61540000000002</v>
      </c>
      <c r="K5488">
        <v>1.0434890000000001</v>
      </c>
      <c r="L5488">
        <v>10.5137</v>
      </c>
      <c r="M5488">
        <v>0.66132469999999999</v>
      </c>
      <c r="N5488">
        <v>-1.4494959999999999E-2</v>
      </c>
      <c r="O5488">
        <v>-0.74995979999999995</v>
      </c>
      <c r="P5488">
        <v>0.34328399999999998</v>
      </c>
      <c r="Q5488">
        <v>1.083863E-2</v>
      </c>
      <c r="R5488">
        <v>-0.93916929999999998</v>
      </c>
      <c r="S5488">
        <v>0.1694946</v>
      </c>
      <c r="T5488">
        <v>-0.35568929999999999</v>
      </c>
      <c r="U5488">
        <v>-3.1450200000000001</v>
      </c>
      <c r="V5488">
        <v>0.36435050000000002</v>
      </c>
      <c r="W5488">
        <v>1.038181E-2</v>
      </c>
      <c r="X5488">
        <v>0.93120400000000003</v>
      </c>
      <c r="Y5488">
        <v>0.61896809999999902</v>
      </c>
      <c r="Z5488">
        <v>4.4375020000000001E-2</v>
      </c>
      <c r="AA5488">
        <v>0.78416160000000001</v>
      </c>
      <c r="AB5488">
        <v>25</v>
      </c>
      <c r="AC5488">
        <v>0.40080000000000299</v>
      </c>
      <c r="AD5488">
        <v>-1.0934889999999999</v>
      </c>
      <c r="AE5488">
        <v>-9.5113649999999996</v>
      </c>
      <c r="AF5488">
        <v>5.9121414288542002</v>
      </c>
      <c r="AG5488">
        <v>-1.0934889999999999</v>
      </c>
      <c r="AH5488">
        <v>7.3026270316831097</v>
      </c>
      <c r="AI5488">
        <v>96.638228315366405</v>
      </c>
      <c r="AJ5488">
        <v>51.006678916589202</v>
      </c>
      <c r="AK5488">
        <v>9.4592545177600602</v>
      </c>
      <c r="AL5488">
        <v>89.4051554050194</v>
      </c>
      <c r="AM5488">
        <v>68.631174542295</v>
      </c>
      <c r="AN5488">
        <v>0.99999997922256201</v>
      </c>
    </row>
    <row r="5489" spans="1:40" x14ac:dyDescent="0.25">
      <c r="A5489" t="str">
        <f>"20190305135343185"</f>
        <v>20190305135343185</v>
      </c>
      <c r="B5489" t="str">
        <f>"1551765223176026"</f>
        <v>1551765223176026</v>
      </c>
      <c r="C5489" t="s">
        <v>40</v>
      </c>
      <c r="D5489">
        <v>5.0014789999999998</v>
      </c>
      <c r="E5489">
        <v>0.61366830000000006</v>
      </c>
      <c r="F5489" t="s">
        <v>47</v>
      </c>
      <c r="G5489">
        <v>-305.13850000000002</v>
      </c>
      <c r="H5489">
        <v>-0.05</v>
      </c>
      <c r="I5489">
        <v>0.3986053</v>
      </c>
      <c r="J5489">
        <v>-305.46379999999999</v>
      </c>
      <c r="K5489">
        <v>1.043401</v>
      </c>
      <c r="L5489">
        <v>10.306369999999999</v>
      </c>
      <c r="M5489">
        <v>0.64393480000000003</v>
      </c>
      <c r="N5489">
        <v>-1.4550179999999999E-2</v>
      </c>
      <c r="O5489">
        <v>-0.76494209999999996</v>
      </c>
      <c r="P5489">
        <v>0.329814</v>
      </c>
      <c r="Q5489">
        <v>1.3651760000000001E-2</v>
      </c>
      <c r="R5489">
        <v>-0.94394730000000004</v>
      </c>
      <c r="S5489">
        <v>0.14822389999999999</v>
      </c>
      <c r="T5489">
        <v>-0.339889</v>
      </c>
      <c r="U5489">
        <v>-3.1440730000000001</v>
      </c>
      <c r="V5489">
        <v>0.3563751</v>
      </c>
      <c r="W5489">
        <v>1.3534910000000001E-2</v>
      </c>
      <c r="X5489">
        <v>0.93424490000000004</v>
      </c>
      <c r="Y5489">
        <v>0.60627439999999999</v>
      </c>
      <c r="Z5489">
        <v>4.4606649999999998E-2</v>
      </c>
      <c r="AA5489">
        <v>0.79400349999999997</v>
      </c>
      <c r="AB5489">
        <v>25</v>
      </c>
      <c r="AC5489">
        <v>0.32529999999997</v>
      </c>
      <c r="AD5489">
        <v>-1.0934010000000001</v>
      </c>
      <c r="AE5489">
        <v>-9.9077646999999995</v>
      </c>
      <c r="AF5489">
        <v>6.0580664080250299</v>
      </c>
      <c r="AG5489">
        <v>-1.0934010000000001</v>
      </c>
      <c r="AH5489">
        <v>7.6955401142574997</v>
      </c>
      <c r="AI5489">
        <v>96.370147472476006</v>
      </c>
      <c r="AJ5489">
        <v>51.789547988176103</v>
      </c>
      <c r="AK5489">
        <v>9.8547974104488105</v>
      </c>
      <c r="AL5489">
        <v>89.224483077661105</v>
      </c>
      <c r="AM5489">
        <v>69.120252679573298</v>
      </c>
      <c r="AN5489">
        <v>0.99999996943236302</v>
      </c>
    </row>
    <row r="5490" spans="1:40" x14ac:dyDescent="0.25">
      <c r="A5490" t="str">
        <f>"20190305135343209"</f>
        <v>20190305135343209</v>
      </c>
      <c r="B5490" t="str">
        <f>"1551765223205307"</f>
        <v>1551765223205307</v>
      </c>
      <c r="C5490" t="s">
        <v>40</v>
      </c>
      <c r="D5490">
        <v>4.6919769999999996</v>
      </c>
      <c r="E5490">
        <v>0.61091169999999995</v>
      </c>
      <c r="F5490" t="s">
        <v>47</v>
      </c>
      <c r="G5490">
        <v>-305.07150000000001</v>
      </c>
      <c r="H5490">
        <v>-0.05</v>
      </c>
      <c r="I5490">
        <v>-0.36775210000000003</v>
      </c>
      <c r="J5490">
        <v>-305.31470000000002</v>
      </c>
      <c r="K5490">
        <v>1.043339</v>
      </c>
      <c r="L5490">
        <v>10.091710000000001</v>
      </c>
      <c r="M5490">
        <v>0.62583849999999996</v>
      </c>
      <c r="N5490">
        <v>-1.459914E-2</v>
      </c>
      <c r="O5490">
        <v>-0.77981619999999996</v>
      </c>
      <c r="P5490">
        <v>0.319741</v>
      </c>
      <c r="Q5490">
        <v>1.244635E-2</v>
      </c>
      <c r="R5490">
        <v>-0.94742329999999997</v>
      </c>
      <c r="S5490">
        <v>0.1154785</v>
      </c>
      <c r="T5490">
        <v>-0.32189679999999998</v>
      </c>
      <c r="U5490">
        <v>-3.1424560000000001</v>
      </c>
      <c r="V5490">
        <v>0.34438560000000001</v>
      </c>
      <c r="W5490">
        <v>1.284833E-2</v>
      </c>
      <c r="X5490">
        <v>0.93874040000000003</v>
      </c>
      <c r="Y5490">
        <v>0.59595580000000004</v>
      </c>
      <c r="Z5490">
        <v>4.4049230000000002E-2</v>
      </c>
      <c r="AA5490">
        <v>0.80180819999999997</v>
      </c>
      <c r="AB5490">
        <v>25</v>
      </c>
      <c r="AC5490">
        <v>0.243200000000001</v>
      </c>
      <c r="AD5490">
        <v>-1.0933389999999901</v>
      </c>
      <c r="AE5490">
        <v>-10.4594621</v>
      </c>
      <c r="AF5490">
        <v>6.2882860013145798</v>
      </c>
      <c r="AG5490">
        <v>-1.0933389999999901</v>
      </c>
      <c r="AH5490">
        <v>8.2197794321688402</v>
      </c>
      <c r="AI5490">
        <v>96.030592648324998</v>
      </c>
      <c r="AJ5490">
        <v>52.583330991065701</v>
      </c>
      <c r="AK5490">
        <v>10.4068585517799</v>
      </c>
      <c r="AL5490">
        <v>89.263824683637296</v>
      </c>
      <c r="AM5490">
        <v>69.853970594441094</v>
      </c>
      <c r="AN5490">
        <v>1.00000002983165</v>
      </c>
    </row>
    <row r="5491" spans="1:40" x14ac:dyDescent="0.25">
      <c r="A5491" t="str">
        <f>"20190305135343243"</f>
        <v>20190305135343243</v>
      </c>
      <c r="B5491" t="str">
        <f>"1551765223235563"</f>
        <v>1551765223235563</v>
      </c>
      <c r="C5491" t="s">
        <v>40</v>
      </c>
      <c r="D5491">
        <v>4.7050809999999998</v>
      </c>
      <c r="E5491">
        <v>0.60879150000000004</v>
      </c>
      <c r="F5491" t="s">
        <v>47</v>
      </c>
      <c r="G5491">
        <v>-304.96780000000001</v>
      </c>
      <c r="H5491">
        <v>-0.05</v>
      </c>
      <c r="I5491">
        <v>-0.6060181</v>
      </c>
      <c r="J5491">
        <v>-305.09070000000003</v>
      </c>
      <c r="K5491">
        <v>1.0432380000000001</v>
      </c>
      <c r="L5491">
        <v>9.7479250000000004</v>
      </c>
      <c r="M5491">
        <v>0.59666989999999998</v>
      </c>
      <c r="N5491">
        <v>-1.4661270000000001E-2</v>
      </c>
      <c r="O5491">
        <v>-0.80235299999999998</v>
      </c>
      <c r="P5491">
        <v>0.29275790000000002</v>
      </c>
      <c r="Q5491">
        <v>7.9182899999999997E-3</v>
      </c>
      <c r="R5491">
        <v>-0.9561539</v>
      </c>
      <c r="S5491">
        <v>0.1017151</v>
      </c>
      <c r="T5491">
        <v>-0.32054749999999999</v>
      </c>
      <c r="U5491">
        <v>-3.1363829999999999</v>
      </c>
      <c r="V5491">
        <v>0.33623979999999998</v>
      </c>
      <c r="W5491">
        <v>8.6695699999999997E-3</v>
      </c>
      <c r="X5491">
        <v>0.94173649999999998</v>
      </c>
      <c r="Y5491">
        <v>0.56961169999999905</v>
      </c>
      <c r="Z5491">
        <v>4.8186760000000002E-2</v>
      </c>
      <c r="AA5491">
        <v>0.82050020000000001</v>
      </c>
      <c r="AB5491">
        <v>25</v>
      </c>
      <c r="AC5491">
        <v>0.122900000000015</v>
      </c>
      <c r="AD5491">
        <v>-1.0932379999999999</v>
      </c>
      <c r="AE5491">
        <v>-10.3539431</v>
      </c>
      <c r="AF5491">
        <v>6.0129040655397397</v>
      </c>
      <c r="AG5491">
        <v>-1.0932379999999999</v>
      </c>
      <c r="AH5491">
        <v>8.2893467692378309</v>
      </c>
      <c r="AI5491">
        <v>96.093593722000804</v>
      </c>
      <c r="AJ5491">
        <v>54.043720541508499</v>
      </c>
      <c r="AK5491">
        <v>10.298711302231</v>
      </c>
      <c r="AL5491">
        <v>89.503264006103507</v>
      </c>
      <c r="AM5491">
        <v>70.351284014013302</v>
      </c>
      <c r="AN5491">
        <v>0.999999999990137</v>
      </c>
    </row>
    <row r="5492" spans="1:40" x14ac:dyDescent="0.25">
      <c r="A5492" t="str">
        <f>"20190305135343263"</f>
        <v>20190305135343263</v>
      </c>
      <c r="B5492" t="str">
        <f>"1551765223255087"</f>
        <v>1551765223255087</v>
      </c>
      <c r="C5492" t="s">
        <v>40</v>
      </c>
      <c r="D5492">
        <v>4.665807</v>
      </c>
      <c r="E5492">
        <v>0.60770950000000001</v>
      </c>
      <c r="F5492" t="s">
        <v>47</v>
      </c>
      <c r="G5492">
        <v>-305.00069999999999</v>
      </c>
      <c r="H5492">
        <v>-0.05</v>
      </c>
      <c r="I5492">
        <v>-0.39370729999999998</v>
      </c>
      <c r="J5492">
        <v>-304.96109999999999</v>
      </c>
      <c r="K5492">
        <v>1.043194</v>
      </c>
      <c r="L5492">
        <v>9.535736</v>
      </c>
      <c r="M5492">
        <v>0.57859240000000001</v>
      </c>
      <c r="N5492">
        <v>-1.468789E-2</v>
      </c>
      <c r="O5492">
        <v>-0.81548449999999995</v>
      </c>
      <c r="P5492">
        <v>0.27421230000000002</v>
      </c>
      <c r="Q5492">
        <v>1.5875079999999901E-3</v>
      </c>
      <c r="R5492">
        <v>-0.96166779999999996</v>
      </c>
      <c r="S5492">
        <v>2.7801510000000001E-2</v>
      </c>
      <c r="T5492">
        <v>-0.33760259999999997</v>
      </c>
      <c r="U5492">
        <v>-3.1318359999999998</v>
      </c>
      <c r="V5492">
        <v>0.33318239999999999</v>
      </c>
      <c r="W5492">
        <v>2.4688850000000001E-3</v>
      </c>
      <c r="X5492">
        <v>0.94285920000000001</v>
      </c>
      <c r="Y5492">
        <v>0.57051870000000005</v>
      </c>
      <c r="Z5492">
        <v>5.3453970000000003E-2</v>
      </c>
      <c r="AA5492">
        <v>0.81954319999999903</v>
      </c>
      <c r="AB5492">
        <v>25</v>
      </c>
      <c r="AC5492">
        <v>-3.9600000000007102E-2</v>
      </c>
      <c r="AD5492">
        <v>-1.093194</v>
      </c>
      <c r="AE5492">
        <v>-9.9294433000000009</v>
      </c>
      <c r="AF5492">
        <v>5.7088207768596204</v>
      </c>
      <c r="AG5492">
        <v>-1.093194</v>
      </c>
      <c r="AH5492">
        <v>7.9785585198442703</v>
      </c>
      <c r="AI5492">
        <v>96.3582274164322</v>
      </c>
      <c r="AJ5492">
        <v>54.415509577550601</v>
      </c>
      <c r="AK5492">
        <v>9.8713273595053899</v>
      </c>
      <c r="AL5492">
        <v>89.858543171213697</v>
      </c>
      <c r="AM5492">
        <v>70.537890612737698</v>
      </c>
      <c r="AN5492">
        <v>1.00000003904377</v>
      </c>
    </row>
    <row r="5493" spans="1:40" x14ac:dyDescent="0.25">
      <c r="A5493" t="str">
        <f>"20190305135343286"</f>
        <v>20190305135343286</v>
      </c>
      <c r="B5493" t="str">
        <f>"1551765223275579"</f>
        <v>1551765223275579</v>
      </c>
      <c r="C5493" t="s">
        <v>40</v>
      </c>
      <c r="D5493">
        <v>4.6701290000000002</v>
      </c>
      <c r="E5493">
        <v>0.60662720000000003</v>
      </c>
      <c r="F5493" t="s">
        <v>47</v>
      </c>
      <c r="G5493">
        <v>-305.03559999999999</v>
      </c>
      <c r="H5493">
        <v>-0.05</v>
      </c>
      <c r="I5493">
        <v>2.6443479999999998E-2</v>
      </c>
      <c r="J5493">
        <v>-304.83049999999997</v>
      </c>
      <c r="K5493">
        <v>1.0431790000000001</v>
      </c>
      <c r="L5493">
        <v>9.3106380000000009</v>
      </c>
      <c r="M5493">
        <v>0.55940719999999899</v>
      </c>
      <c r="N5493">
        <v>-1.4700980000000001E-2</v>
      </c>
      <c r="O5493">
        <v>-0.82876249999999996</v>
      </c>
      <c r="P5493">
        <v>0.2550444</v>
      </c>
      <c r="Q5493">
        <v>-1.5924839999999999E-3</v>
      </c>
      <c r="R5493">
        <v>-0.96692789999999995</v>
      </c>
      <c r="S5493">
        <v>-2.4505619999999999E-2</v>
      </c>
      <c r="T5493">
        <v>-0.3595004</v>
      </c>
      <c r="U5493">
        <v>-3.127167</v>
      </c>
      <c r="V5493">
        <v>0.32979930000000002</v>
      </c>
      <c r="W5493">
        <v>-5.5706729999999995E-4</v>
      </c>
      <c r="X5493">
        <v>0.94405090000000003</v>
      </c>
      <c r="Y5493">
        <v>0.56499569999999999</v>
      </c>
      <c r="Z5493">
        <v>6.0281750000000002E-2</v>
      </c>
      <c r="AA5493">
        <v>0.82288879999999998</v>
      </c>
      <c r="AB5493">
        <v>25</v>
      </c>
      <c r="AC5493">
        <v>-0.20510000000001499</v>
      </c>
      <c r="AD5493">
        <v>-1.0931789999999999</v>
      </c>
      <c r="AE5493">
        <v>-9.2841945199999998</v>
      </c>
      <c r="AF5493">
        <v>5.2908866198833699</v>
      </c>
      <c r="AG5493">
        <v>-1.0931789999999999</v>
      </c>
      <c r="AH5493">
        <v>7.4768676757683803</v>
      </c>
      <c r="AI5493">
        <v>96.805988080676798</v>
      </c>
      <c r="AJ5493">
        <v>54.715472762476701</v>
      </c>
      <c r="AK5493">
        <v>9.2245363998117504</v>
      </c>
      <c r="AL5493">
        <v>90.031917606998803</v>
      </c>
      <c r="AM5493">
        <v>70.743402522770197</v>
      </c>
      <c r="AN5493">
        <v>0.99999999519763805</v>
      </c>
    </row>
    <row r="5494" spans="1:40" x14ac:dyDescent="0.25">
      <c r="A5494" t="str">
        <f>"20190305135343308"</f>
        <v>20190305135343308</v>
      </c>
      <c r="B5494" t="str">
        <f>"1551765223295099"</f>
        <v>1551765223295099</v>
      </c>
      <c r="C5494" t="s">
        <v>40</v>
      </c>
      <c r="D5494">
        <v>4.6369600000000002</v>
      </c>
      <c r="E5494">
        <v>0.59123800000000004</v>
      </c>
      <c r="F5494" t="s">
        <v>47</v>
      </c>
      <c r="G5494">
        <v>-305.06180000000001</v>
      </c>
      <c r="H5494">
        <v>-0.05</v>
      </c>
      <c r="I5494">
        <v>0.11541750000000001</v>
      </c>
      <c r="J5494">
        <v>-304.70400000000001</v>
      </c>
      <c r="K5494">
        <v>1.0431969999999999</v>
      </c>
      <c r="L5494">
        <v>9.0797419999999995</v>
      </c>
      <c r="M5494">
        <v>0.53979319999999997</v>
      </c>
      <c r="N5494">
        <v>-1.469353E-2</v>
      </c>
      <c r="O5494">
        <v>-0.84166949999999996</v>
      </c>
      <c r="P5494">
        <v>0.2360659</v>
      </c>
      <c r="Q5494">
        <v>-3.002953E-3</v>
      </c>
      <c r="R5494">
        <v>-0.97173259999999995</v>
      </c>
      <c r="S5494">
        <v>-7.8521729999999998E-2</v>
      </c>
      <c r="T5494">
        <v>-0.37124509999999999</v>
      </c>
      <c r="U5494">
        <v>-3.1227109999999998</v>
      </c>
      <c r="V5494">
        <v>0.32605719999999999</v>
      </c>
      <c r="W5494">
        <v>-1.786665E-3</v>
      </c>
      <c r="X5494">
        <v>0.94534839999999998</v>
      </c>
      <c r="Y5494">
        <v>0.55983830000000001</v>
      </c>
      <c r="Z5494">
        <v>6.5182180000000006E-2</v>
      </c>
      <c r="AA5494">
        <v>0.82603409999999999</v>
      </c>
      <c r="AB5494">
        <v>25</v>
      </c>
      <c r="AC5494">
        <v>-0.35779999999999701</v>
      </c>
      <c r="AD5494">
        <v>-1.093197</v>
      </c>
      <c r="AE5494">
        <v>-8.9643245</v>
      </c>
      <c r="AF5494">
        <v>5.0653742369025103</v>
      </c>
      <c r="AG5494">
        <v>-1.093197</v>
      </c>
      <c r="AH5494">
        <v>7.2450782128244597</v>
      </c>
      <c r="AI5494">
        <v>97.049521100654403</v>
      </c>
      <c r="AJ5494">
        <v>55.040796265453302</v>
      </c>
      <c r="AK5494">
        <v>8.90753917480178</v>
      </c>
      <c r="AL5494">
        <v>90.102368413902099</v>
      </c>
      <c r="AM5494">
        <v>70.970331888535895</v>
      </c>
      <c r="AN5494">
        <v>1.00000004361311</v>
      </c>
    </row>
    <row r="5495" spans="1:40" x14ac:dyDescent="0.25">
      <c r="A5495" t="str">
        <f>"20190305135343331"</f>
        <v>20190305135343331</v>
      </c>
      <c r="B5495" t="str">
        <f>"1551765223325355"</f>
        <v>1551765223325355</v>
      </c>
      <c r="C5495" t="s">
        <v>40</v>
      </c>
      <c r="D5495">
        <v>4.6380949999999999</v>
      </c>
      <c r="E5495">
        <v>0.58996879999999996</v>
      </c>
      <c r="F5495" t="s">
        <v>47</v>
      </c>
      <c r="G5495">
        <v>-304.76209999999998</v>
      </c>
      <c r="H5495">
        <v>-0.05</v>
      </c>
      <c r="I5495">
        <v>-0.31756590000000001</v>
      </c>
      <c r="J5495">
        <v>-304.57889999999998</v>
      </c>
      <c r="K5495">
        <v>1.0432399999999999</v>
      </c>
      <c r="L5495">
        <v>8.8381959999999999</v>
      </c>
      <c r="M5495">
        <v>0.51933999999999902</v>
      </c>
      <c r="N5495">
        <v>-1.466781E-2</v>
      </c>
      <c r="O5495">
        <v>-0.85444200000000003</v>
      </c>
      <c r="P5495">
        <v>0.21663669999999999</v>
      </c>
      <c r="Q5495">
        <v>-3.777103E-3</v>
      </c>
      <c r="R5495">
        <v>-0.97624540000000004</v>
      </c>
      <c r="S5495">
        <v>-1.9103999999999999E-2</v>
      </c>
      <c r="T5495">
        <v>-0.35955350000000003</v>
      </c>
      <c r="U5495">
        <v>-3.0907900000000001</v>
      </c>
      <c r="V5495">
        <v>0.32208419999999999</v>
      </c>
      <c r="W5495">
        <v>-2.3631250000000002E-3</v>
      </c>
      <c r="X5495">
        <v>0.94670810000000005</v>
      </c>
      <c r="Y5495">
        <v>0.52383539999999995</v>
      </c>
      <c r="Z5495">
        <v>6.7206769999999999E-2</v>
      </c>
      <c r="AA5495">
        <v>0.84916420000000004</v>
      </c>
      <c r="AB5495">
        <v>25</v>
      </c>
      <c r="AC5495">
        <v>-0.183199999999999</v>
      </c>
      <c r="AD5495">
        <v>-1.09324</v>
      </c>
      <c r="AE5495">
        <v>-9.1557618999999999</v>
      </c>
      <c r="AF5495">
        <v>4.8429936830141598</v>
      </c>
      <c r="AG5495">
        <v>-1.09324</v>
      </c>
      <c r="AH5495">
        <v>7.6201541284118797</v>
      </c>
      <c r="AI5495">
        <v>96.903883989630998</v>
      </c>
      <c r="AJ5495">
        <v>57.561975620399302</v>
      </c>
      <c r="AK5495">
        <v>9.0948617610202191</v>
      </c>
      <c r="AL5495">
        <v>90.135397212078601</v>
      </c>
      <c r="AM5495">
        <v>71.210930598420305</v>
      </c>
      <c r="AN5495">
        <v>1.0000000214275</v>
      </c>
    </row>
    <row r="5496" spans="1:40" x14ac:dyDescent="0.25">
      <c r="A5496" t="str">
        <f>"20190305135343352"</f>
        <v>20190305135343352</v>
      </c>
      <c r="B5496" t="str">
        <f>"1551765223345851"</f>
        <v>1551765223345851</v>
      </c>
      <c r="C5496" t="s">
        <v>40</v>
      </c>
      <c r="D5496">
        <v>4.6360939999999999</v>
      </c>
      <c r="E5496">
        <v>0.58786139999999998</v>
      </c>
      <c r="F5496" t="s">
        <v>47</v>
      </c>
      <c r="G5496">
        <v>-304.79469999999998</v>
      </c>
      <c r="H5496">
        <v>-0.05</v>
      </c>
      <c r="I5496">
        <v>-0.5808411</v>
      </c>
      <c r="J5496">
        <v>-304.46429999999998</v>
      </c>
      <c r="K5496">
        <v>1.043301</v>
      </c>
      <c r="L5496">
        <v>8.6045839999999991</v>
      </c>
      <c r="M5496">
        <v>0.49965809999999999</v>
      </c>
      <c r="N5496">
        <v>-1.462546E-2</v>
      </c>
      <c r="O5496">
        <v>-0.86609950000000002</v>
      </c>
      <c r="P5496">
        <v>0.19936690000000001</v>
      </c>
      <c r="Q5496">
        <v>-5.5956769999999899E-3</v>
      </c>
      <c r="R5496">
        <v>-0.97990940000000004</v>
      </c>
      <c r="S5496">
        <v>-7.0739750000000004E-2</v>
      </c>
      <c r="T5496">
        <v>-0.35833500000000001</v>
      </c>
      <c r="U5496">
        <v>-3.0873110000000001</v>
      </c>
      <c r="V5496">
        <v>0.3170654</v>
      </c>
      <c r="W5496">
        <v>-3.9321219999999997E-3</v>
      </c>
      <c r="X5496">
        <v>0.94839549999999995</v>
      </c>
      <c r="Y5496">
        <v>0.51857549999999997</v>
      </c>
      <c r="Z5496">
        <v>6.9155460000000002E-2</v>
      </c>
      <c r="AA5496">
        <v>0.8522305</v>
      </c>
      <c r="AB5496">
        <v>25</v>
      </c>
      <c r="AC5496">
        <v>-0.33039999999999697</v>
      </c>
      <c r="AD5496">
        <v>-1.0933010000000001</v>
      </c>
      <c r="AE5496">
        <v>-9.1854250999999998</v>
      </c>
      <c r="AF5496">
        <v>4.8082212157072002</v>
      </c>
      <c r="AG5496">
        <v>-1.0933010000000001</v>
      </c>
      <c r="AH5496">
        <v>7.6825379254039001</v>
      </c>
      <c r="AI5496">
        <v>96.878449796188093</v>
      </c>
      <c r="AJ5496">
        <v>57.959047024636199</v>
      </c>
      <c r="AK5496">
        <v>9.1288382235116394</v>
      </c>
      <c r="AL5496">
        <v>90.225294580896701</v>
      </c>
      <c r="AM5496">
        <v>71.514306248211</v>
      </c>
      <c r="AN5496">
        <v>0.99999997694041598</v>
      </c>
    </row>
    <row r="5497" spans="1:40" x14ac:dyDescent="0.25">
      <c r="A5497" t="str">
        <f>"20190305135343376"</f>
        <v>20190305135343376</v>
      </c>
      <c r="B5497" t="str">
        <f>"1551765223365371"</f>
        <v>1551765223365371</v>
      </c>
      <c r="C5497" t="s">
        <v>40</v>
      </c>
      <c r="D5497">
        <v>4.593089</v>
      </c>
      <c r="E5497">
        <v>0.58691260000000001</v>
      </c>
      <c r="F5497" t="s">
        <v>42</v>
      </c>
      <c r="G5497">
        <v>-304.78480000000002</v>
      </c>
      <c r="H5497" s="1">
        <v>-5.1223120000000004E-6</v>
      </c>
      <c r="I5497">
        <v>-0.42113109999999998</v>
      </c>
      <c r="J5497">
        <v>-304.35329999999999</v>
      </c>
      <c r="K5497">
        <v>1.0433870000000001</v>
      </c>
      <c r="L5497">
        <v>8.3650210000000005</v>
      </c>
      <c r="M5497">
        <v>0.47965239999999998</v>
      </c>
      <c r="N5497">
        <v>-1.455965E-2</v>
      </c>
      <c r="O5497">
        <v>-0.87733779999999995</v>
      </c>
      <c r="P5497">
        <v>0.18281919999999999</v>
      </c>
      <c r="Q5497">
        <v>-9.3673980000000007E-3</v>
      </c>
      <c r="R5497">
        <v>-0.98310200000000003</v>
      </c>
      <c r="S5497">
        <v>-0.1094055</v>
      </c>
      <c r="T5497">
        <v>-0.3562284</v>
      </c>
      <c r="U5497">
        <v>-3.0817570000000001</v>
      </c>
      <c r="V5497">
        <v>0.31113000000000002</v>
      </c>
      <c r="W5497">
        <v>-7.40721E-3</v>
      </c>
      <c r="X5497">
        <v>0.95033849999999997</v>
      </c>
      <c r="Y5497">
        <v>0.50968619999999998</v>
      </c>
      <c r="Z5497">
        <v>7.1044659999999996E-2</v>
      </c>
      <c r="AA5497">
        <v>0.85742209999999996</v>
      </c>
      <c r="AB5497">
        <v>25</v>
      </c>
      <c r="AC5497">
        <v>-0.43150000000002797</v>
      </c>
      <c r="AD5497">
        <v>-1.043392122312</v>
      </c>
      <c r="AE5497">
        <v>-8.78615209999999</v>
      </c>
      <c r="AF5497">
        <v>4.5296313767818503</v>
      </c>
      <c r="AG5497">
        <v>-1.043392122312</v>
      </c>
      <c r="AH5497">
        <v>7.3981664926400397</v>
      </c>
      <c r="AI5497">
        <v>96.858582451180197</v>
      </c>
      <c r="AJ5497">
        <v>58.522362522086503</v>
      </c>
      <c r="AK5497">
        <v>8.7372246728152394</v>
      </c>
      <c r="AL5497">
        <v>90.424405750239799</v>
      </c>
      <c r="AM5497">
        <v>71.872142745236303</v>
      </c>
      <c r="AN5497">
        <v>1.0000000041211099</v>
      </c>
    </row>
    <row r="5498" spans="1:40" x14ac:dyDescent="0.25">
      <c r="A5498" t="str">
        <f>"20190305135343398"</f>
        <v>20190305135343398</v>
      </c>
      <c r="B5498" t="str">
        <f>"1551765223385867"</f>
        <v>1551765223385867</v>
      </c>
      <c r="C5498" t="s">
        <v>40</v>
      </c>
      <c r="D5498">
        <v>4.5863559999999897</v>
      </c>
      <c r="E5498">
        <v>0.57772539999999994</v>
      </c>
      <c r="F5498" t="s">
        <v>42</v>
      </c>
      <c r="G5498">
        <v>-304.79640000000001</v>
      </c>
      <c r="H5498" s="1">
        <v>-5.1311580000000002E-6</v>
      </c>
      <c r="I5498">
        <v>-0.40349010000000002</v>
      </c>
      <c r="J5498">
        <v>-304.24869999999999</v>
      </c>
      <c r="K5498">
        <v>1.043526</v>
      </c>
      <c r="L5498">
        <v>8.1258850000000002</v>
      </c>
      <c r="M5498">
        <v>0.45993109999999998</v>
      </c>
      <c r="N5498">
        <v>-1.446916E-2</v>
      </c>
      <c r="O5498">
        <v>-0.88783690000000004</v>
      </c>
      <c r="P5498">
        <v>0.16784679999999999</v>
      </c>
      <c r="Q5498">
        <v>-1.2838540000000001E-2</v>
      </c>
      <c r="R5498">
        <v>-0.98572959999999998</v>
      </c>
      <c r="S5498">
        <v>-0.15548709999999999</v>
      </c>
      <c r="T5498">
        <v>-0.3661412</v>
      </c>
      <c r="U5498">
        <v>-3.0769959999999998</v>
      </c>
      <c r="V5498">
        <v>0.30419819999999997</v>
      </c>
      <c r="W5498">
        <v>-1.052984E-2</v>
      </c>
      <c r="X5498">
        <v>0.95255060000000003</v>
      </c>
      <c r="Y5498">
        <v>0.50330429999999904</v>
      </c>
      <c r="Z5498">
        <v>7.5614039999999993E-2</v>
      </c>
      <c r="AA5498">
        <v>0.86079459999999997</v>
      </c>
      <c r="AB5498">
        <v>25</v>
      </c>
      <c r="AC5498">
        <v>-0.54770000000001995</v>
      </c>
      <c r="AD5498">
        <v>-1.043531131158</v>
      </c>
      <c r="AE5498">
        <v>-8.5293750999999993</v>
      </c>
      <c r="AF5498">
        <v>4.3448849627169004</v>
      </c>
      <c r="AG5498">
        <v>-1.043531131158</v>
      </c>
      <c r="AH5498">
        <v>7.2140158048392502</v>
      </c>
      <c r="AI5498">
        <v>97.0637505962234</v>
      </c>
      <c r="AJ5498">
        <v>58.940124978118199</v>
      </c>
      <c r="AK5498">
        <v>8.4858120762488003</v>
      </c>
      <c r="AL5498">
        <v>90.603326520018399</v>
      </c>
      <c r="AM5498">
        <v>72.289053997219199</v>
      </c>
      <c r="AN5498">
        <v>1.0000000339870101</v>
      </c>
    </row>
    <row r="5499" spans="1:40" x14ac:dyDescent="0.25">
      <c r="A5499" t="str">
        <f>"20190305135343421"</f>
        <v>20190305135343421</v>
      </c>
      <c r="B5499" t="str">
        <f>"1551765223415147"</f>
        <v>1551765223415147</v>
      </c>
      <c r="C5499" t="s">
        <v>40</v>
      </c>
      <c r="D5499">
        <v>4.6368780000000003</v>
      </c>
      <c r="E5499">
        <v>0.57573260000000004</v>
      </c>
      <c r="F5499" t="s">
        <v>42</v>
      </c>
      <c r="G5499">
        <v>-304.64640000000003</v>
      </c>
      <c r="H5499" s="1">
        <v>-4.722397E-6</v>
      </c>
      <c r="I5499">
        <v>-1.3986259999999999</v>
      </c>
      <c r="J5499">
        <v>-304.14190000000002</v>
      </c>
      <c r="K5499">
        <v>1.0437479999999999</v>
      </c>
      <c r="L5499">
        <v>7.8671259999999998</v>
      </c>
      <c r="M5499">
        <v>0.4389306</v>
      </c>
      <c r="N5499">
        <v>-1.4343409999999999E-2</v>
      </c>
      <c r="O5499">
        <v>-0.89840640000000005</v>
      </c>
      <c r="P5499">
        <v>0.1523139</v>
      </c>
      <c r="Q5499">
        <v>-1.5769970000000001E-2</v>
      </c>
      <c r="R5499">
        <v>-0.98820649999999999</v>
      </c>
      <c r="S5499">
        <v>-0.12780759999999999</v>
      </c>
      <c r="T5499">
        <v>-0.33535160000000003</v>
      </c>
      <c r="U5499">
        <v>-3.0608219999999999</v>
      </c>
      <c r="V5499">
        <v>0.29666409999999999</v>
      </c>
      <c r="W5499">
        <v>-1.307552E-2</v>
      </c>
      <c r="X5499">
        <v>0.95489239999999997</v>
      </c>
      <c r="Y5499">
        <v>0.4753561</v>
      </c>
      <c r="Z5499">
        <v>7.1316119999999997E-2</v>
      </c>
      <c r="AA5499">
        <v>0.87689830000000002</v>
      </c>
      <c r="AB5499">
        <v>25</v>
      </c>
      <c r="AC5499">
        <v>-0.50450000000000705</v>
      </c>
      <c r="AD5499">
        <v>-1.04375272239699</v>
      </c>
      <c r="AE5499">
        <v>-9.2657520000000009</v>
      </c>
      <c r="AF5499">
        <v>4.4642531598666997</v>
      </c>
      <c r="AG5499">
        <v>-1.04375272239699</v>
      </c>
      <c r="AH5499">
        <v>8.0025587747406295</v>
      </c>
      <c r="AI5499">
        <v>96.498141978296204</v>
      </c>
      <c r="AJ5499">
        <v>60.8448963693548</v>
      </c>
      <c r="AK5499">
        <v>9.2227936637479395</v>
      </c>
      <c r="AL5499">
        <v>90.749193440277807</v>
      </c>
      <c r="AM5499">
        <v>72.741127788044906</v>
      </c>
      <c r="AN5499">
        <v>1.00000002651491</v>
      </c>
    </row>
    <row r="5500" spans="1:40" x14ac:dyDescent="0.25">
      <c r="A5500" t="str">
        <f>"20190305135343443"</f>
        <v>20190305135343443</v>
      </c>
      <c r="B5500" t="str">
        <f>"1551765223435643"</f>
        <v>1551765223435643</v>
      </c>
      <c r="C5500" t="s">
        <v>40</v>
      </c>
      <c r="D5500">
        <v>4.6150089999999997</v>
      </c>
      <c r="E5500">
        <v>0.57423729999999995</v>
      </c>
      <c r="F5500" t="s">
        <v>42</v>
      </c>
      <c r="G5500">
        <v>-304.61739999999998</v>
      </c>
      <c r="H5500" s="1">
        <v>-4.8160860000000004E-6</v>
      </c>
      <c r="I5500">
        <v>-1.141251</v>
      </c>
      <c r="J5500">
        <v>-304.04919999999998</v>
      </c>
      <c r="K5500">
        <v>1.044008</v>
      </c>
      <c r="L5500">
        <v>7.6286009999999997</v>
      </c>
      <c r="M5500">
        <v>0.419962</v>
      </c>
      <c r="N5500">
        <v>-1.420424E-2</v>
      </c>
      <c r="O5500">
        <v>-0.90743059999999998</v>
      </c>
      <c r="P5500">
        <v>0.1404532</v>
      </c>
      <c r="Q5500">
        <v>-1.7833149999999999E-2</v>
      </c>
      <c r="R5500">
        <v>-0.98992690000000005</v>
      </c>
      <c r="S5500">
        <v>-0.16125490000000001</v>
      </c>
      <c r="T5500">
        <v>-0.35396559999999999</v>
      </c>
      <c r="U5500">
        <v>-3.0549930000000001</v>
      </c>
      <c r="V5500">
        <v>0.28796480000000002</v>
      </c>
      <c r="W5500">
        <v>-1.470957E-2</v>
      </c>
      <c r="X5500">
        <v>0.95752800000000005</v>
      </c>
      <c r="Y5500">
        <v>0.46646520000000002</v>
      </c>
      <c r="Z5500">
        <v>7.81057E-2</v>
      </c>
      <c r="AA5500">
        <v>0.88108439999999999</v>
      </c>
      <c r="AB5500">
        <v>25</v>
      </c>
      <c r="AC5500">
        <v>-0.56819999999999005</v>
      </c>
      <c r="AD5500">
        <v>-1.0440128160860001</v>
      </c>
      <c r="AE5500">
        <v>-8.7698520000000002</v>
      </c>
      <c r="AF5500">
        <v>4.1405953083946399</v>
      </c>
      <c r="AG5500">
        <v>-1.0440128160860001</v>
      </c>
      <c r="AH5500">
        <v>7.6127520488323501</v>
      </c>
      <c r="AI5500">
        <v>96.869494470649002</v>
      </c>
      <c r="AJ5500">
        <v>61.458117565598698</v>
      </c>
      <c r="AK5500">
        <v>8.7286016076489901</v>
      </c>
      <c r="AL5500">
        <v>90.842826688625294</v>
      </c>
      <c r="AM5500">
        <v>73.261984756997805</v>
      </c>
      <c r="AN5500">
        <v>0.99999998413631197</v>
      </c>
    </row>
    <row r="5501" spans="1:40" x14ac:dyDescent="0.25">
      <c r="A5501" t="str">
        <f>"20190305135343464"</f>
        <v>20190305135343464</v>
      </c>
      <c r="B5501" t="str">
        <f>"1551765223455163"</f>
        <v>1551765223455163</v>
      </c>
      <c r="C5501" t="s">
        <v>40</v>
      </c>
      <c r="D5501">
        <v>4.6011049999999996</v>
      </c>
      <c r="E5501">
        <v>0.57269289999999995</v>
      </c>
      <c r="F5501" t="s">
        <v>42</v>
      </c>
      <c r="G5501">
        <v>-304.59570000000002</v>
      </c>
      <c r="H5501" s="1">
        <v>-4.725451E-6</v>
      </c>
      <c r="I5501">
        <v>-1.3672679999999999</v>
      </c>
      <c r="J5501">
        <v>-303.9597</v>
      </c>
      <c r="K5501">
        <v>1.0443199999999999</v>
      </c>
      <c r="L5501">
        <v>7.3850100000000003</v>
      </c>
      <c r="M5501">
        <v>0.40099980000000002</v>
      </c>
      <c r="N5501">
        <v>-1.4044360000000001E-2</v>
      </c>
      <c r="O5501">
        <v>-0.91597050000000002</v>
      </c>
      <c r="P5501">
        <v>0.12869510000000001</v>
      </c>
      <c r="Q5501">
        <v>-1.9615580000000001E-2</v>
      </c>
      <c r="R5501">
        <v>-0.99149030000000005</v>
      </c>
      <c r="S5501">
        <v>-0.18533330000000001</v>
      </c>
      <c r="T5501">
        <v>-0.35401870000000002</v>
      </c>
      <c r="U5501">
        <v>-3.050446</v>
      </c>
      <c r="V5501">
        <v>0.27933930000000001</v>
      </c>
      <c r="W5501">
        <v>-1.6072039999999999E-2</v>
      </c>
      <c r="X5501">
        <v>0.96005790000000002</v>
      </c>
      <c r="Y5501">
        <v>0.45506190000000002</v>
      </c>
      <c r="Z5501">
        <v>8.0193790000000001E-2</v>
      </c>
      <c r="AA5501">
        <v>0.8868414</v>
      </c>
      <c r="AB5501">
        <v>26</v>
      </c>
      <c r="AC5501">
        <v>-0.63600000000002399</v>
      </c>
      <c r="AD5501">
        <v>-1.044324725451</v>
      </c>
      <c r="AE5501">
        <v>-8.7522780000000004</v>
      </c>
      <c r="AF5501">
        <v>4.0354699520075297</v>
      </c>
      <c r="AG5501">
        <v>-1.044324725451</v>
      </c>
      <c r="AH5501">
        <v>7.6541556075409698</v>
      </c>
      <c r="AI5501">
        <v>96.881854852779398</v>
      </c>
      <c r="AJ5501">
        <v>62.200635497482203</v>
      </c>
      <c r="AK5501">
        <v>8.7156026716570096</v>
      </c>
      <c r="AL5501">
        <v>90.920899743323403</v>
      </c>
      <c r="AM5501">
        <v>73.777070098077999</v>
      </c>
      <c r="AN5501">
        <v>0.99999996317332995</v>
      </c>
    </row>
    <row r="5502" spans="1:40" x14ac:dyDescent="0.25">
      <c r="A5502" t="str">
        <f>"20190305135343487"</f>
        <v>20190305135343487</v>
      </c>
      <c r="B5502" t="str">
        <f>"1551765223475659"</f>
        <v>1551765223475659</v>
      </c>
      <c r="C5502" t="s">
        <v>40</v>
      </c>
      <c r="D5502">
        <v>4.4905980000000003</v>
      </c>
      <c r="E5502">
        <v>0.57189919999999905</v>
      </c>
      <c r="F5502" t="s">
        <v>42</v>
      </c>
      <c r="G5502">
        <v>-304.56360000000001</v>
      </c>
      <c r="H5502" s="1">
        <v>-4.6886229999999999E-6</v>
      </c>
      <c r="I5502">
        <v>-1.448329</v>
      </c>
      <c r="J5502">
        <v>-303.87299999999999</v>
      </c>
      <c r="K5502">
        <v>1.04467</v>
      </c>
      <c r="L5502">
        <v>7.1336979999999999</v>
      </c>
      <c r="M5502">
        <v>0.38193510000000003</v>
      </c>
      <c r="N5502">
        <v>-1.386714E-2</v>
      </c>
      <c r="O5502">
        <v>-0.92408509999999999</v>
      </c>
      <c r="P5502">
        <v>0.1161997</v>
      </c>
      <c r="Q5502">
        <v>-1.9674380000000002E-2</v>
      </c>
      <c r="R5502">
        <v>-0.993031</v>
      </c>
      <c r="S5502">
        <v>-0.2082214</v>
      </c>
      <c r="T5502">
        <v>-0.3600737</v>
      </c>
      <c r="U5502">
        <v>-3.0456539999999999</v>
      </c>
      <c r="V5502">
        <v>0.271538</v>
      </c>
      <c r="W5502">
        <v>-1.5755950000000001E-2</v>
      </c>
      <c r="X5502">
        <v>0.96229880000000001</v>
      </c>
      <c r="Y5502">
        <v>0.44330049999999999</v>
      </c>
      <c r="Z5502">
        <v>8.3854730000000002E-2</v>
      </c>
      <c r="AA5502">
        <v>0.89244219999999896</v>
      </c>
      <c r="AB5502">
        <v>26</v>
      </c>
      <c r="AC5502">
        <v>-0.69060000000001698</v>
      </c>
      <c r="AD5502">
        <v>-1.0446746886229901</v>
      </c>
      <c r="AE5502">
        <v>-8.5820270000000001</v>
      </c>
      <c r="AF5502">
        <v>3.8595058345324298</v>
      </c>
      <c r="AG5502">
        <v>-1.0446746886229901</v>
      </c>
      <c r="AH5502">
        <v>7.5562499120136399</v>
      </c>
      <c r="AI5502">
        <v>97.019064885169897</v>
      </c>
      <c r="AJ5502">
        <v>62.943417609208602</v>
      </c>
      <c r="AK5502">
        <v>8.5489205882757897</v>
      </c>
      <c r="AL5502">
        <v>90.902786740329901</v>
      </c>
      <c r="AM5502">
        <v>74.242186704050894</v>
      </c>
      <c r="AN5502">
        <v>1.00000005794291</v>
      </c>
    </row>
    <row r="5503" spans="1:40" x14ac:dyDescent="0.25">
      <c r="A5503" t="str">
        <f>"20190305135343509"</f>
        <v>20190305135343509</v>
      </c>
      <c r="B5503" t="str">
        <f>"1551765223505916"</f>
        <v>1551765223505916</v>
      </c>
      <c r="C5503" t="s">
        <v>40</v>
      </c>
      <c r="D5503">
        <v>4.4744840000000003</v>
      </c>
      <c r="E5503">
        <v>0.57051350000000001</v>
      </c>
      <c r="F5503" t="s">
        <v>42</v>
      </c>
      <c r="G5503">
        <v>-304.5607</v>
      </c>
      <c r="H5503" s="1">
        <v>-4.6241640000000004E-6</v>
      </c>
      <c r="I5503">
        <v>-1.6148340000000001</v>
      </c>
      <c r="J5503">
        <v>-303.79149999999998</v>
      </c>
      <c r="K5503">
        <v>1.0450170000000001</v>
      </c>
      <c r="L5503">
        <v>6.8824459999999998</v>
      </c>
      <c r="M5503">
        <v>0.36335400000000001</v>
      </c>
      <c r="N5503">
        <v>-1.368903E-2</v>
      </c>
      <c r="O5503">
        <v>-0.93155069999999995</v>
      </c>
      <c r="P5503">
        <v>0.1032783</v>
      </c>
      <c r="Q5503">
        <v>-1.9225289999999999E-2</v>
      </c>
      <c r="R5503">
        <v>-0.99446670000000004</v>
      </c>
      <c r="S5503">
        <v>-0.23910519999999999</v>
      </c>
      <c r="T5503">
        <v>-0.36323050000000001</v>
      </c>
      <c r="U5503">
        <v>-3.0418400000000001</v>
      </c>
      <c r="V5503">
        <v>0.26480369999999998</v>
      </c>
      <c r="W5503">
        <v>-1.49934E-2</v>
      </c>
      <c r="X5503">
        <v>0.96418579999999998</v>
      </c>
      <c r="Y5503">
        <v>0.43442730000000002</v>
      </c>
      <c r="Z5503">
        <v>8.6530889999999999E-2</v>
      </c>
      <c r="AA5503">
        <v>0.89654080000000003</v>
      </c>
      <c r="AB5503">
        <v>26</v>
      </c>
      <c r="AC5503">
        <v>-0.76920000000001199</v>
      </c>
      <c r="AD5503">
        <v>-1.045021624164</v>
      </c>
      <c r="AE5503">
        <v>-8.4972799999999999</v>
      </c>
      <c r="AF5503">
        <v>3.7481954470534702</v>
      </c>
      <c r="AG5503">
        <v>-1.045021624164</v>
      </c>
      <c r="AH5503">
        <v>7.5239956761611202</v>
      </c>
      <c r="AI5503">
        <v>97.086636186151793</v>
      </c>
      <c r="AJ5503">
        <v>63.519095484466803</v>
      </c>
      <c r="AK5503">
        <v>8.4706286802795194</v>
      </c>
      <c r="AL5503">
        <v>90.859090705030596</v>
      </c>
      <c r="AM5503">
        <v>74.6429427104067</v>
      </c>
      <c r="AN5503">
        <v>1.00000002924944</v>
      </c>
    </row>
    <row r="5504" spans="1:40" x14ac:dyDescent="0.25">
      <c r="A5504" t="str">
        <f>"20190305135343532"</f>
        <v>20190305135343532</v>
      </c>
      <c r="B5504" t="str">
        <f>"1551765223525439"</f>
        <v>1551765223525439</v>
      </c>
      <c r="C5504" t="s">
        <v>40</v>
      </c>
      <c r="D5504">
        <v>4.5057289999999997</v>
      </c>
      <c r="E5504">
        <v>0.569998</v>
      </c>
      <c r="F5504" t="s">
        <v>42</v>
      </c>
      <c r="G5504">
        <v>-305.21609999999998</v>
      </c>
      <c r="H5504" s="1">
        <v>-1.1646109999999999E-6</v>
      </c>
      <c r="I5504">
        <v>-9.934984</v>
      </c>
      <c r="J5504">
        <v>-303.71159999999998</v>
      </c>
      <c r="K5504">
        <v>1.045334</v>
      </c>
      <c r="L5504">
        <v>6.6199039999999902</v>
      </c>
      <c r="M5504">
        <v>0.3443852</v>
      </c>
      <c r="N5504">
        <v>-1.3512919999999999E-2</v>
      </c>
      <c r="O5504">
        <v>-0.93873110000000004</v>
      </c>
      <c r="P5504">
        <v>8.9738470000000001E-2</v>
      </c>
      <c r="Q5504">
        <v>-1.8497329999999999E-2</v>
      </c>
      <c r="R5504">
        <v>-0.9957935</v>
      </c>
      <c r="S5504">
        <v>-0.25750729999999999</v>
      </c>
      <c r="T5504">
        <v>-0.1888899</v>
      </c>
      <c r="U5504">
        <v>-3.0397949999999998</v>
      </c>
      <c r="V5504">
        <v>0.25839849999999998</v>
      </c>
      <c r="W5504">
        <v>-1.399542E-2</v>
      </c>
      <c r="X5504">
        <v>0.96593700000000005</v>
      </c>
      <c r="Y5504">
        <v>0.42211140000000003</v>
      </c>
      <c r="Z5504">
        <v>3.9612769999999999E-2</v>
      </c>
      <c r="AA5504">
        <v>0.90567810000000004</v>
      </c>
      <c r="AB5504">
        <v>26</v>
      </c>
      <c r="AC5504">
        <v>-1.5044999999999999</v>
      </c>
      <c r="AD5504">
        <v>-1.0453351646110001</v>
      </c>
      <c r="AE5504">
        <v>-16.554887999999998</v>
      </c>
      <c r="AF5504">
        <v>7.0862073900239002</v>
      </c>
      <c r="AG5504">
        <v>-1.0453351646110001</v>
      </c>
      <c r="AH5504">
        <v>14.964656559334999</v>
      </c>
      <c r="AI5504">
        <v>93.612466898233805</v>
      </c>
      <c r="AJ5504">
        <v>64.661061016200406</v>
      </c>
      <c r="AK5504">
        <v>16.590599950563799</v>
      </c>
      <c r="AL5504">
        <v>90.801904700615495</v>
      </c>
      <c r="AM5504">
        <v>75.023442421497805</v>
      </c>
      <c r="AN5504">
        <v>0.99999997227611204</v>
      </c>
    </row>
    <row r="5505" spans="1:40" x14ac:dyDescent="0.25">
      <c r="A5505" t="str">
        <f>"20190305135343553"</f>
        <v>20190305135343553</v>
      </c>
      <c r="B5505" t="str">
        <f>"1551765223545931"</f>
        <v>1551765223545931</v>
      </c>
      <c r="C5505" t="s">
        <v>40</v>
      </c>
      <c r="D5505">
        <v>4.518637</v>
      </c>
      <c r="E5505">
        <v>0.5688339</v>
      </c>
      <c r="F5505" t="s">
        <v>42</v>
      </c>
      <c r="G5505">
        <v>-305.3571</v>
      </c>
      <c r="H5505" s="1">
        <v>-1.0043559999999999E-6</v>
      </c>
      <c r="I5505">
        <v>-10.35337</v>
      </c>
      <c r="J5505">
        <v>-303.6413</v>
      </c>
      <c r="K5505">
        <v>1.0455970000000001</v>
      </c>
      <c r="L5505">
        <v>6.3737490000000001</v>
      </c>
      <c r="M5505">
        <v>0.3270073</v>
      </c>
      <c r="N5505">
        <v>-1.3358E-2</v>
      </c>
      <c r="O5505">
        <v>-0.94492759999999998</v>
      </c>
      <c r="P5505">
        <v>7.6925859999999999E-2</v>
      </c>
      <c r="Q5505">
        <v>-1.8040259999999999E-2</v>
      </c>
      <c r="R5505">
        <v>-0.99687389999999998</v>
      </c>
      <c r="S5505">
        <v>-0.2943115</v>
      </c>
      <c r="T5505">
        <v>-0.1869622</v>
      </c>
      <c r="U5505">
        <v>-3.035736</v>
      </c>
      <c r="V5505">
        <v>0.25301889999999999</v>
      </c>
      <c r="W5505">
        <v>-1.333083E-2</v>
      </c>
      <c r="X5505">
        <v>0.96736949999999999</v>
      </c>
      <c r="Y5505">
        <v>0.41637990000000002</v>
      </c>
      <c r="Z5505">
        <v>3.9903180000000003E-2</v>
      </c>
      <c r="AA5505">
        <v>0.90831459999999997</v>
      </c>
      <c r="AB5505">
        <v>26</v>
      </c>
      <c r="AC5505">
        <v>-1.7158</v>
      </c>
      <c r="AD5505">
        <v>-1.04559800435599</v>
      </c>
      <c r="AE5505">
        <v>-16.727118999999998</v>
      </c>
      <c r="AF5505">
        <v>7.06451178619196</v>
      </c>
      <c r="AG5505">
        <v>-1.04559800435599</v>
      </c>
      <c r="AH5505">
        <v>15.187469163466799</v>
      </c>
      <c r="AI5505">
        <v>93.571957512901406</v>
      </c>
      <c r="AJ5505">
        <v>65.054318665274593</v>
      </c>
      <c r="AK5505">
        <v>16.782723901536801</v>
      </c>
      <c r="AL5505">
        <v>90.763822911551301</v>
      </c>
      <c r="AM5505">
        <v>75.342441220804602</v>
      </c>
      <c r="AN5505">
        <v>1.00000001215797</v>
      </c>
    </row>
    <row r="5506" spans="1:40" x14ac:dyDescent="0.25">
      <c r="A5506" t="str">
        <f>"20190305135343577"</f>
        <v>20190305135343577</v>
      </c>
      <c r="B5506" t="str">
        <f>"1551765223565452"</f>
        <v>1551765223565452</v>
      </c>
      <c r="C5506" t="s">
        <v>40</v>
      </c>
      <c r="D5506">
        <v>4.5238420000000001</v>
      </c>
      <c r="E5506">
        <v>0.56837969999999904</v>
      </c>
      <c r="F5506" t="s">
        <v>42</v>
      </c>
      <c r="G5506">
        <v>-305.43090000000001</v>
      </c>
      <c r="H5506" s="1">
        <v>-1.0110219999999999E-6</v>
      </c>
      <c r="I5506">
        <v>-10.38082</v>
      </c>
      <c r="J5506">
        <v>-303.57139999999998</v>
      </c>
      <c r="K5506">
        <v>1.045866</v>
      </c>
      <c r="L5506">
        <v>6.1121220000000003</v>
      </c>
      <c r="M5506">
        <v>0.30898829999999999</v>
      </c>
      <c r="N5506">
        <v>-1.319879E-2</v>
      </c>
      <c r="O5506">
        <v>-0.9509744</v>
      </c>
      <c r="P5506">
        <v>6.3326759999999996E-2</v>
      </c>
      <c r="Q5506">
        <v>-1.7030030000000002E-2</v>
      </c>
      <c r="R5506">
        <v>-0.99784790000000001</v>
      </c>
      <c r="S5506">
        <v>-0.32376100000000002</v>
      </c>
      <c r="T5506">
        <v>-0.1891533</v>
      </c>
      <c r="U5506">
        <v>-3.0309750000000002</v>
      </c>
      <c r="V5506">
        <v>0.2478621</v>
      </c>
      <c r="W5506">
        <v>-1.213624E-2</v>
      </c>
      <c r="X5506">
        <v>0.96871929999999995</v>
      </c>
      <c r="Y5506">
        <v>0.4079547</v>
      </c>
      <c r="Z5506">
        <v>4.1422479999999998E-2</v>
      </c>
      <c r="AA5506">
        <v>0.91206200000000004</v>
      </c>
      <c r="AB5506">
        <v>26</v>
      </c>
      <c r="AC5506">
        <v>-1.8595000000000199</v>
      </c>
      <c r="AD5506">
        <v>-1.0458670110220001</v>
      </c>
      <c r="AE5506">
        <v>-16.492941999999999</v>
      </c>
      <c r="AF5506">
        <v>6.8379084980115996</v>
      </c>
      <c r="AG5506">
        <v>-1.0458670110220001</v>
      </c>
      <c r="AH5506">
        <v>15.051351075750199</v>
      </c>
      <c r="AI5506">
        <v>93.619934881878606</v>
      </c>
      <c r="AJ5506">
        <v>65.567450169921202</v>
      </c>
      <c r="AK5506">
        <v>16.564842276261199</v>
      </c>
      <c r="AL5506">
        <v>90.695372404993194</v>
      </c>
      <c r="AM5506">
        <v>75.647882009428898</v>
      </c>
      <c r="AN5506">
        <v>0.99999999556511798</v>
      </c>
    </row>
    <row r="5507" spans="1:40" x14ac:dyDescent="0.25">
      <c r="A5507" t="str">
        <f>"20190305135343599"</f>
        <v>20190305135343599</v>
      </c>
      <c r="B5507" t="str">
        <f>"1551765223595709"</f>
        <v>1551765223595709</v>
      </c>
      <c r="C5507" t="s">
        <v>40</v>
      </c>
      <c r="D5507">
        <v>4.5257670000000001</v>
      </c>
      <c r="E5507">
        <v>0.54211519999999902</v>
      </c>
      <c r="F5507" t="s">
        <v>42</v>
      </c>
      <c r="G5507">
        <v>-305.57069999999999</v>
      </c>
      <c r="H5507" s="1">
        <v>-5.1970999999999998E-6</v>
      </c>
      <c r="I5507">
        <v>-10.64504</v>
      </c>
      <c r="J5507">
        <v>-303.50850000000003</v>
      </c>
      <c r="K5507">
        <v>1.0461229999999999</v>
      </c>
      <c r="L5507">
        <v>5.8593140000000004</v>
      </c>
      <c r="M5507">
        <v>0.29201440000000001</v>
      </c>
      <c r="N5507">
        <v>-1.304574E-2</v>
      </c>
      <c r="O5507">
        <v>-0.95632519999999999</v>
      </c>
      <c r="P5507">
        <v>5.2121290000000001E-2</v>
      </c>
      <c r="Q5507">
        <v>-1.6258499999999999E-2</v>
      </c>
      <c r="R5507">
        <v>-0.99850859999999997</v>
      </c>
      <c r="S5507">
        <v>-0.36105350000000003</v>
      </c>
      <c r="T5507">
        <v>-0.1888725</v>
      </c>
      <c r="U5507">
        <v>-3.026154</v>
      </c>
      <c r="V5507">
        <v>0.24152409999999999</v>
      </c>
      <c r="W5507">
        <v>-1.114803E-2</v>
      </c>
      <c r="X5507">
        <v>0.97033080000000005</v>
      </c>
      <c r="Y5507">
        <v>0.40295579999999998</v>
      </c>
      <c r="Z5507">
        <v>4.2102050000000002E-2</v>
      </c>
      <c r="AA5507">
        <v>0.91425060000000002</v>
      </c>
      <c r="AB5507">
        <v>26</v>
      </c>
      <c r="AC5507">
        <v>-2.0621999999999598</v>
      </c>
      <c r="AD5507">
        <v>-1.0461281970999901</v>
      </c>
      <c r="AE5507">
        <v>-16.504353999999999</v>
      </c>
      <c r="AF5507">
        <v>6.7654557714249703</v>
      </c>
      <c r="AG5507">
        <v>-1.0461281970999901</v>
      </c>
      <c r="AH5507">
        <v>15.122801633123499</v>
      </c>
      <c r="AI5507">
        <v>93.613129001046403</v>
      </c>
      <c r="AJ5507">
        <v>65.897791123539207</v>
      </c>
      <c r="AK5507">
        <v>16.600147747375001</v>
      </c>
      <c r="AL5507">
        <v>90.6387482899422</v>
      </c>
      <c r="AM5507">
        <v>76.022602554205704</v>
      </c>
      <c r="AN5507">
        <v>1.0000000154411599</v>
      </c>
    </row>
    <row r="5508" spans="1:40" x14ac:dyDescent="0.25">
      <c r="A5508" t="str">
        <f>"20190305135343621"</f>
        <v>20190305135343621</v>
      </c>
      <c r="B5508" t="str">
        <f>"1551765223615227"</f>
        <v>1551765223615227</v>
      </c>
      <c r="C5508" t="s">
        <v>40</v>
      </c>
      <c r="D5508">
        <v>4.5439350000000003</v>
      </c>
      <c r="E5508">
        <v>0.54022309999999996</v>
      </c>
      <c r="F5508" t="s">
        <v>42</v>
      </c>
      <c r="G5508">
        <v>-304.68630000000002</v>
      </c>
      <c r="H5508" s="1">
        <v>-4.1257150000000004E-6</v>
      </c>
      <c r="I5508">
        <v>-13.33236</v>
      </c>
      <c r="J5508">
        <v>-303.447</v>
      </c>
      <c r="K5508">
        <v>1.0464070000000001</v>
      </c>
      <c r="L5508">
        <v>5.5933840000000004</v>
      </c>
      <c r="M5508">
        <v>0.27461780000000002</v>
      </c>
      <c r="N5508">
        <v>-1.2885310000000001E-2</v>
      </c>
      <c r="O5508">
        <v>-0.96146719999999997</v>
      </c>
      <c r="P5508">
        <v>4.0722359999999999E-2</v>
      </c>
      <c r="Q5508">
        <v>-1.51147E-2</v>
      </c>
      <c r="R5508">
        <v>-0.99905630000000001</v>
      </c>
      <c r="S5508">
        <v>-0.18481449999999999</v>
      </c>
      <c r="T5508">
        <v>-0.1641521</v>
      </c>
      <c r="U5508">
        <v>-3.011444</v>
      </c>
      <c r="V5508">
        <v>0.23503569999999999</v>
      </c>
      <c r="W5508">
        <v>-9.7828959999999993E-3</v>
      </c>
      <c r="X5508">
        <v>0.97193750000000001</v>
      </c>
      <c r="Y5508">
        <v>0.33282410000000001</v>
      </c>
      <c r="Z5508">
        <v>3.6702100000000001E-2</v>
      </c>
      <c r="AA5508">
        <v>0.94227450000000001</v>
      </c>
      <c r="AB5508">
        <v>26</v>
      </c>
      <c r="AC5508">
        <v>-1.2393000000000101</v>
      </c>
      <c r="AD5508">
        <v>-1.0464111257149999</v>
      </c>
      <c r="AE5508">
        <v>-18.925744000000002</v>
      </c>
      <c r="AF5508">
        <v>6.3700322708728496</v>
      </c>
      <c r="AG5508">
        <v>-1.0464111257149999</v>
      </c>
      <c r="AH5508">
        <v>17.803436343093502</v>
      </c>
      <c r="AI5508">
        <v>93.167525442955096</v>
      </c>
      <c r="AJ5508">
        <v>70.312896885261395</v>
      </c>
      <c r="AK5508">
        <v>18.937651200678602</v>
      </c>
      <c r="AL5508">
        <v>90.560527596362306</v>
      </c>
      <c r="AM5508">
        <v>76.405609720676097</v>
      </c>
      <c r="AN5508">
        <v>0.99999999461744304</v>
      </c>
    </row>
    <row r="5509" spans="1:40" x14ac:dyDescent="0.25">
      <c r="A5509" t="str">
        <f>"20190305135343644"</f>
        <v>20190305135343644</v>
      </c>
      <c r="B5509" t="str">
        <f>"1551765223635725"</f>
        <v>1551765223635725</v>
      </c>
      <c r="C5509" t="s">
        <v>40</v>
      </c>
      <c r="D5509">
        <v>4.556489</v>
      </c>
      <c r="E5509">
        <v>0.53901980000000005</v>
      </c>
      <c r="F5509" t="s">
        <v>42</v>
      </c>
      <c r="G5509">
        <v>-304.95389999999998</v>
      </c>
      <c r="H5509" s="1">
        <v>-2.9095950000000001E-6</v>
      </c>
      <c r="I5509">
        <v>-16.701049999999999</v>
      </c>
      <c r="J5509">
        <v>-303.38979999999998</v>
      </c>
      <c r="K5509">
        <v>1.0467059999999999</v>
      </c>
      <c r="L5509">
        <v>5.3260189999999996</v>
      </c>
      <c r="M5509">
        <v>0.25760260000000001</v>
      </c>
      <c r="N5509">
        <v>-1.2726370000000001E-2</v>
      </c>
      <c r="O5509">
        <v>-0.96616729999999995</v>
      </c>
      <c r="P5509">
        <v>3.0848830000000001E-2</v>
      </c>
      <c r="Q5509">
        <v>-1.517755E-2</v>
      </c>
      <c r="R5509">
        <v>-0.99940890000000004</v>
      </c>
      <c r="S5509">
        <v>-0.2033691</v>
      </c>
      <c r="T5509">
        <v>-0.14122889999999999</v>
      </c>
      <c r="U5509">
        <v>-3.008972</v>
      </c>
      <c r="V5509">
        <v>0.22747890000000001</v>
      </c>
      <c r="W5509">
        <v>-9.5832520000000004E-3</v>
      </c>
      <c r="X5509">
        <v>0.97373589999999999</v>
      </c>
      <c r="Y5509">
        <v>0.32203130000000002</v>
      </c>
      <c r="Z5509">
        <v>3.0377350000000001E-2</v>
      </c>
      <c r="AA5509">
        <v>0.94624149999999996</v>
      </c>
      <c r="AB5509">
        <v>26</v>
      </c>
      <c r="AC5509">
        <v>-1.5640999999999901</v>
      </c>
      <c r="AD5509">
        <v>-1.046708909595</v>
      </c>
      <c r="AE5509">
        <v>-22.027069000000001</v>
      </c>
      <c r="AF5509">
        <v>7.1698844307945304</v>
      </c>
      <c r="AG5509">
        <v>-1.046708909595</v>
      </c>
      <c r="AH5509">
        <v>20.833797019545099</v>
      </c>
      <c r="AI5509">
        <v>92.719868860281196</v>
      </c>
      <c r="AJ5509">
        <v>71.009262624025496</v>
      </c>
      <c r="AK5509">
        <v>22.057877063397999</v>
      </c>
      <c r="AL5509">
        <v>90.549088273270698</v>
      </c>
      <c r="AM5509">
        <v>76.850696614379601</v>
      </c>
      <c r="AN5509">
        <v>1.00000004580645</v>
      </c>
    </row>
    <row r="5510" spans="1:40" x14ac:dyDescent="0.25">
      <c r="A5510" t="str">
        <f>"20190305135343667"</f>
        <v>20190305135343667</v>
      </c>
      <c r="B5510" t="str">
        <f>"1551765223655244"</f>
        <v>1551765223655244</v>
      </c>
      <c r="C5510" t="s">
        <v>40</v>
      </c>
      <c r="D5510">
        <v>4.5357580000000004</v>
      </c>
      <c r="E5510">
        <v>0.53788840000000004</v>
      </c>
      <c r="F5510" t="s">
        <v>42</v>
      </c>
      <c r="G5510">
        <v>-305.14460000000003</v>
      </c>
      <c r="H5510" s="1">
        <v>-2.2666399999999999E-6</v>
      </c>
      <c r="I5510">
        <v>-18.318079999999998</v>
      </c>
      <c r="J5510">
        <v>-303.3374</v>
      </c>
      <c r="K5510">
        <v>1.04704</v>
      </c>
      <c r="L5510">
        <v>5.0604550000000001</v>
      </c>
      <c r="M5510">
        <v>0.24122679999999999</v>
      </c>
      <c r="N5510">
        <v>-1.257018E-2</v>
      </c>
      <c r="O5510">
        <v>-0.97038749999999996</v>
      </c>
      <c r="P5510">
        <v>2.2724310000000001E-2</v>
      </c>
      <c r="Q5510">
        <v>-1.6032499999999901E-2</v>
      </c>
      <c r="R5510">
        <v>-0.99961319999999998</v>
      </c>
      <c r="S5510">
        <v>-0.2231445</v>
      </c>
      <c r="T5510">
        <v>-0.13310239999999901</v>
      </c>
      <c r="U5510">
        <v>-3.006653</v>
      </c>
      <c r="V5510">
        <v>0.21889739999999999</v>
      </c>
      <c r="W5510">
        <v>-1.013446E-2</v>
      </c>
      <c r="X5510">
        <v>0.97569530000000004</v>
      </c>
      <c r="Y5510">
        <v>0.3122625</v>
      </c>
      <c r="Z5510">
        <v>2.8423400000000001E-2</v>
      </c>
      <c r="AA5510">
        <v>0.94957049999999998</v>
      </c>
      <c r="AB5510">
        <v>26</v>
      </c>
      <c r="AC5510">
        <v>-1.8072000000000199</v>
      </c>
      <c r="AD5510">
        <v>-1.0470422666400001</v>
      </c>
      <c r="AE5510">
        <v>-23.378534999999999</v>
      </c>
      <c r="AF5510">
        <v>7.3790833570986196</v>
      </c>
      <c r="AG5510">
        <v>-1.0470422666400001</v>
      </c>
      <c r="AH5510">
        <v>22.207767667122202</v>
      </c>
      <c r="AI5510">
        <v>92.561836295193103</v>
      </c>
      <c r="AJ5510">
        <v>71.619648867749106</v>
      </c>
      <c r="AK5510">
        <v>23.425031770651199</v>
      </c>
      <c r="AL5510">
        <v>90.580671697508507</v>
      </c>
      <c r="AM5510">
        <v>77.355060240419505</v>
      </c>
      <c r="AN5510">
        <v>1.00000004872416</v>
      </c>
    </row>
    <row r="5511" spans="1:40" x14ac:dyDescent="0.25">
      <c r="A5511" t="str">
        <f>"20190305135343689"</f>
        <v>20190305135343689</v>
      </c>
      <c r="B5511" t="str">
        <f>"1551765223685500"</f>
        <v>1551765223685500</v>
      </c>
      <c r="C5511" t="s">
        <v>40</v>
      </c>
      <c r="D5511">
        <v>4.5134499999999997</v>
      </c>
      <c r="E5511">
        <v>0.53623739999999998</v>
      </c>
      <c r="F5511" t="s">
        <v>42</v>
      </c>
      <c r="G5511">
        <v>-305.17939999999999</v>
      </c>
      <c r="H5511" s="1">
        <v>-2.3495079999999999E-6</v>
      </c>
      <c r="I5511">
        <v>-18.146529999999998</v>
      </c>
      <c r="J5511">
        <v>-303.29140000000001</v>
      </c>
      <c r="K5511">
        <v>1.0473840000000001</v>
      </c>
      <c r="L5511">
        <v>4.8070370000000002</v>
      </c>
      <c r="M5511">
        <v>0.22608039999999999</v>
      </c>
      <c r="N5511">
        <v>-1.2423399999999999E-2</v>
      </c>
      <c r="O5511">
        <v>-0.97402949999999999</v>
      </c>
      <c r="P5511">
        <v>1.7315819999999999E-2</v>
      </c>
      <c r="Q5511">
        <v>-1.686203E-2</v>
      </c>
      <c r="R5511">
        <v>-0.99970789999999998</v>
      </c>
      <c r="S5511">
        <v>-0.23846439999999999</v>
      </c>
      <c r="T5511">
        <v>-0.1355509</v>
      </c>
      <c r="U5511">
        <v>-3.0043950000000001</v>
      </c>
      <c r="V5511">
        <v>0.20894789999999999</v>
      </c>
      <c r="W5511">
        <v>-1.061785E-2</v>
      </c>
      <c r="X5511">
        <v>0.97786919999999999</v>
      </c>
      <c r="Y5511">
        <v>0.30231340000000001</v>
      </c>
      <c r="Z5511">
        <v>2.9668190000000001E-2</v>
      </c>
      <c r="AA5511">
        <v>0.95274669999999895</v>
      </c>
      <c r="AB5511">
        <v>26</v>
      </c>
      <c r="AC5511">
        <v>-1.8879999999999699</v>
      </c>
      <c r="AD5511">
        <v>-1.047386349508</v>
      </c>
      <c r="AE5511">
        <v>-22.953567</v>
      </c>
      <c r="AF5511">
        <v>7.0143543618301498</v>
      </c>
      <c r="AG5511">
        <v>-1.047386349508</v>
      </c>
      <c r="AH5511">
        <v>21.8870364897024</v>
      </c>
      <c r="AI5511">
        <v>92.609228299990903</v>
      </c>
      <c r="AJ5511">
        <v>72.230391829168994</v>
      </c>
      <c r="AK5511">
        <v>23.007402104106099</v>
      </c>
      <c r="AL5511">
        <v>90.608369382642707</v>
      </c>
      <c r="AM5511">
        <v>77.938607066506606</v>
      </c>
      <c r="AN5511">
        <v>1.0000000679808301</v>
      </c>
    </row>
    <row r="5512" spans="1:40" x14ac:dyDescent="0.25">
      <c r="A5512" t="str">
        <f>"20190305135343711"</f>
        <v>20190305135343711</v>
      </c>
      <c r="B5512" t="str">
        <f>"1551765223705996"</f>
        <v>1551765223705996</v>
      </c>
      <c r="C5512" t="s">
        <v>40</v>
      </c>
      <c r="D5512">
        <v>4.5034929999999997</v>
      </c>
      <c r="E5512">
        <v>0.53536139999999999</v>
      </c>
      <c r="F5512" t="s">
        <v>42</v>
      </c>
      <c r="G5512">
        <v>-305.13170000000002</v>
      </c>
      <c r="H5512" s="1">
        <v>-2.3746999999999999E-6</v>
      </c>
      <c r="I5512">
        <v>-18.05819</v>
      </c>
      <c r="J5512">
        <v>-303.24709999999999</v>
      </c>
      <c r="K5512">
        <v>1.0477350000000001</v>
      </c>
      <c r="L5512">
        <v>4.5415039999999998</v>
      </c>
      <c r="M5512">
        <v>0.21064150000000001</v>
      </c>
      <c r="N5512">
        <v>-1.2278570000000001E-2</v>
      </c>
      <c r="O5512">
        <v>-0.97748639999999998</v>
      </c>
      <c r="P5512">
        <v>1.2386640000000001E-2</v>
      </c>
      <c r="Q5512">
        <v>-1.6428160000000001E-2</v>
      </c>
      <c r="R5512">
        <v>-0.99978849999999997</v>
      </c>
      <c r="S5512">
        <v>-0.24166869999999999</v>
      </c>
      <c r="T5512">
        <v>-0.13754669999999999</v>
      </c>
      <c r="U5512">
        <v>-3.0027469999999998</v>
      </c>
      <c r="V5512">
        <v>0.19830909999999999</v>
      </c>
      <c r="W5512">
        <v>-9.8334709999999999E-3</v>
      </c>
      <c r="X5512">
        <v>0.98009020000000002</v>
      </c>
      <c r="Y5512">
        <v>0.28825460000000003</v>
      </c>
      <c r="Z5512">
        <v>3.0799489999999999E-2</v>
      </c>
      <c r="AA5512">
        <v>0.95705839999999998</v>
      </c>
      <c r="AB5512">
        <v>26</v>
      </c>
      <c r="AC5512">
        <v>-1.88460000000003</v>
      </c>
      <c r="AD5512">
        <v>-1.0477373747000001</v>
      </c>
      <c r="AE5512">
        <v>-22.599694</v>
      </c>
      <c r="AF5512">
        <v>6.5890370984169797</v>
      </c>
      <c r="AG5512">
        <v>-1.0477373747000001</v>
      </c>
      <c r="AH5512">
        <v>21.649341291878901</v>
      </c>
      <c r="AI5512">
        <v>92.650840950496104</v>
      </c>
      <c r="AJ5512">
        <v>73.072227424178607</v>
      </c>
      <c r="AK5512">
        <v>22.654075612633399</v>
      </c>
      <c r="AL5512">
        <v>90.563425467791603</v>
      </c>
      <c r="AM5512">
        <v>78.561342262214495</v>
      </c>
      <c r="AN5512">
        <v>0.99999999821537799</v>
      </c>
    </row>
    <row r="5513" spans="1:40" x14ac:dyDescent="0.25">
      <c r="A5513" t="str">
        <f>"20190305135343734"</f>
        <v>20190305135343734</v>
      </c>
      <c r="B5513" t="str">
        <f>"1551765223725516"</f>
        <v>1551765223725516</v>
      </c>
      <c r="C5513" t="s">
        <v>40</v>
      </c>
      <c r="D5513">
        <v>4.4766539999999999</v>
      </c>
      <c r="E5513">
        <v>0.53437389999999996</v>
      </c>
      <c r="F5513" t="s">
        <v>42</v>
      </c>
      <c r="G5513">
        <v>-305.1739</v>
      </c>
      <c r="H5513" s="1">
        <v>-2.1413219999999999E-6</v>
      </c>
      <c r="I5513">
        <v>-18.62838</v>
      </c>
      <c r="J5513">
        <v>-303.2054</v>
      </c>
      <c r="K5513">
        <v>1.0480830000000001</v>
      </c>
      <c r="L5513">
        <v>4.2685849999999999</v>
      </c>
      <c r="M5513">
        <v>0.19524710000000001</v>
      </c>
      <c r="N5513">
        <v>-1.214018E-2</v>
      </c>
      <c r="O5513">
        <v>-0.98067899999999997</v>
      </c>
      <c r="P5513">
        <v>7.1618890000000003E-3</v>
      </c>
      <c r="Q5513">
        <v>-1.5085309999999999E-2</v>
      </c>
      <c r="R5513">
        <v>-0.99986059999999999</v>
      </c>
      <c r="S5513">
        <v>-0.2496033</v>
      </c>
      <c r="T5513">
        <v>-0.13572690000000001</v>
      </c>
      <c r="U5513">
        <v>-3.0014949999999998</v>
      </c>
      <c r="V5513">
        <v>0.18805959999999999</v>
      </c>
      <c r="W5513">
        <v>-8.1650409999999996E-3</v>
      </c>
      <c r="X5513">
        <v>0.98212370000000004</v>
      </c>
      <c r="Y5513">
        <v>0.27572829999999998</v>
      </c>
      <c r="Z5513">
        <v>3.068595E-2</v>
      </c>
      <c r="AA5513">
        <v>0.96074570000000004</v>
      </c>
      <c r="AB5513">
        <v>26</v>
      </c>
      <c r="AC5513">
        <v>-1.9684999999999999</v>
      </c>
      <c r="AD5513">
        <v>-1.048085141322</v>
      </c>
      <c r="AE5513">
        <v>-22.896964999999899</v>
      </c>
      <c r="AF5513">
        <v>6.3882172636373298</v>
      </c>
      <c r="AG5513">
        <v>-1.048085141322</v>
      </c>
      <c r="AH5513">
        <v>22.0260425160083</v>
      </c>
      <c r="AI5513">
        <v>92.616630920957903</v>
      </c>
      <c r="AJ5513">
        <v>73.8262455024541</v>
      </c>
      <c r="AK5513">
        <v>22.9576643234433</v>
      </c>
      <c r="AL5513">
        <v>90.467827577036203</v>
      </c>
      <c r="AM5513">
        <v>79.160068237090499</v>
      </c>
      <c r="AN5513">
        <v>1.00000002157419</v>
      </c>
    </row>
    <row r="5514" spans="1:40" x14ac:dyDescent="0.25">
      <c r="A5514" t="str">
        <f>"20190305135343754"</f>
        <v>20190305135343754</v>
      </c>
      <c r="B5514" t="str">
        <f>"1551765223746012"</f>
        <v>1551765223746012</v>
      </c>
      <c r="C5514" t="s">
        <v>40</v>
      </c>
      <c r="D5514">
        <v>4.5254830000000004</v>
      </c>
      <c r="E5514">
        <v>0.53341519999999898</v>
      </c>
      <c r="F5514" t="s">
        <v>42</v>
      </c>
      <c r="G5514">
        <v>-305.2552</v>
      </c>
      <c r="H5514" s="1">
        <v>-1.7411050000000001E-6</v>
      </c>
      <c r="I5514">
        <v>-19.61176</v>
      </c>
      <c r="J5514">
        <v>-303.17039999999997</v>
      </c>
      <c r="K5514">
        <v>1.0484059999999999</v>
      </c>
      <c r="L5514">
        <v>4.0177310000000004</v>
      </c>
      <c r="M5514">
        <v>0.18157619999999999</v>
      </c>
      <c r="N5514">
        <v>-1.2015420000000001E-2</v>
      </c>
      <c r="O5514">
        <v>-0.98330340000000005</v>
      </c>
      <c r="P5514">
        <v>3.7776039999999999E-3</v>
      </c>
      <c r="Q5514">
        <v>-1.5069600000000001E-2</v>
      </c>
      <c r="R5514">
        <v>-0.99987919999999997</v>
      </c>
      <c r="S5514">
        <v>-0.25753779999999998</v>
      </c>
      <c r="T5514">
        <v>-0.1316792</v>
      </c>
      <c r="U5514">
        <v>-3.0002749999999998</v>
      </c>
      <c r="V5514">
        <v>0.1777097</v>
      </c>
      <c r="W5514">
        <v>-7.8340249999999997E-3</v>
      </c>
      <c r="X5514">
        <v>0.98405180000000003</v>
      </c>
      <c r="Y5514">
        <v>0.26489499999999999</v>
      </c>
      <c r="Z5514">
        <v>2.978927E-2</v>
      </c>
      <c r="AA5514">
        <v>0.96381700000000003</v>
      </c>
      <c r="AB5514">
        <v>26</v>
      </c>
      <c r="AC5514">
        <v>-2.08480000000002</v>
      </c>
      <c r="AD5514">
        <v>-1.0484077411049999</v>
      </c>
      <c r="AE5514">
        <v>-23.629491000000002</v>
      </c>
      <c r="AF5514">
        <v>6.3286401243016597</v>
      </c>
      <c r="AG5514">
        <v>-1.0484077411049999</v>
      </c>
      <c r="AH5514">
        <v>22.813497254986501</v>
      </c>
      <c r="AI5514">
        <v>92.535587220977007</v>
      </c>
      <c r="AJ5514">
        <v>74.495575121882297</v>
      </c>
      <c r="AK5514">
        <v>23.6982383652837</v>
      </c>
      <c r="AL5514">
        <v>90.448861148194197</v>
      </c>
      <c r="AM5514">
        <v>79.763298131175006</v>
      </c>
      <c r="AN5514">
        <v>1.00000002725251</v>
      </c>
    </row>
    <row r="5515" spans="1:40" x14ac:dyDescent="0.25">
      <c r="A5515" t="str">
        <f>"20190305135343777"</f>
        <v>20190305135343777</v>
      </c>
      <c r="B5515" t="str">
        <f>"1551765223765532"</f>
        <v>1551765223765532</v>
      </c>
      <c r="C5515" t="s">
        <v>40</v>
      </c>
      <c r="D5515">
        <v>4.5122549999999997</v>
      </c>
      <c r="E5515">
        <v>0.53244429999999998</v>
      </c>
      <c r="F5515" t="s">
        <v>42</v>
      </c>
      <c r="G5515">
        <v>-305.22039999999998</v>
      </c>
      <c r="H5515" s="1">
        <v>-1.725392E-6</v>
      </c>
      <c r="I5515">
        <v>-19.62677</v>
      </c>
      <c r="J5515">
        <v>-303.13670000000002</v>
      </c>
      <c r="K5515">
        <v>1.0487789999999999</v>
      </c>
      <c r="L5515">
        <v>3.752075</v>
      </c>
      <c r="M5515">
        <v>0.16767000000000001</v>
      </c>
      <c r="N5515">
        <v>-1.187503E-2</v>
      </c>
      <c r="O5515">
        <v>-0.98577170000000003</v>
      </c>
      <c r="P5515">
        <v>-1.1869390000000001E-4</v>
      </c>
      <c r="Q5515">
        <v>-1.664823E-2</v>
      </c>
      <c r="R5515">
        <v>-0.99986149999999996</v>
      </c>
      <c r="S5515">
        <v>-0.2600403</v>
      </c>
      <c r="T5515">
        <v>-0.13299159999999999</v>
      </c>
      <c r="U5515">
        <v>-2.9993289999999999</v>
      </c>
      <c r="V5515">
        <v>0.16760079999999999</v>
      </c>
      <c r="W5515">
        <v>-9.1138350000000007E-3</v>
      </c>
      <c r="X5515">
        <v>0.98581280000000004</v>
      </c>
      <c r="Y5515">
        <v>0.25207980000000002</v>
      </c>
      <c r="Z5515">
        <v>3.0605719999999999E-2</v>
      </c>
      <c r="AA5515">
        <v>0.96722229999999998</v>
      </c>
      <c r="AB5515">
        <v>26</v>
      </c>
      <c r="AC5515">
        <v>-2.0836999999999599</v>
      </c>
      <c r="AD5515">
        <v>-1.0487807253919901</v>
      </c>
      <c r="AE5515">
        <v>-23.378844999999998</v>
      </c>
      <c r="AF5515">
        <v>5.9624998076814402</v>
      </c>
      <c r="AG5515">
        <v>-1.0487807253919901</v>
      </c>
      <c r="AH5515">
        <v>22.653200306298501</v>
      </c>
      <c r="AI5515">
        <v>92.563553801545794</v>
      </c>
      <c r="AJ5515">
        <v>75.253761153566799</v>
      </c>
      <c r="AK5515">
        <v>23.448215904069102</v>
      </c>
      <c r="AL5515">
        <v>90.522191518563403</v>
      </c>
      <c r="AM5515">
        <v>80.3512415828462</v>
      </c>
      <c r="AN5515">
        <v>0.99999998339644303</v>
      </c>
    </row>
    <row r="5516" spans="1:40" x14ac:dyDescent="0.25">
      <c r="A5516" t="str">
        <f>"20190305135343799"</f>
        <v>20190305135343799</v>
      </c>
      <c r="B5516" t="str">
        <f>"1551765223786028"</f>
        <v>1551765223786028</v>
      </c>
      <c r="C5516" t="s">
        <v>40</v>
      </c>
      <c r="D5516">
        <v>4.5237270000000001</v>
      </c>
      <c r="E5516">
        <v>0.53151709999999996</v>
      </c>
      <c r="F5516" t="s">
        <v>42</v>
      </c>
      <c r="G5516">
        <v>-305.11320000000001</v>
      </c>
      <c r="H5516" s="1">
        <v>-2.0896470000000001E-6</v>
      </c>
      <c r="I5516">
        <v>-18.711189999999998</v>
      </c>
      <c r="J5516">
        <v>-303.10559999999998</v>
      </c>
      <c r="K5516">
        <v>1.049228</v>
      </c>
      <c r="L5516">
        <v>3.482208</v>
      </c>
      <c r="M5516">
        <v>0.15421699999999999</v>
      </c>
      <c r="N5516">
        <v>-1.1719240000000001E-2</v>
      </c>
      <c r="O5516">
        <v>-0.9879677</v>
      </c>
      <c r="P5516">
        <v>-3.0250110000000002E-3</v>
      </c>
      <c r="Q5516">
        <v>-1.8682689999999998E-2</v>
      </c>
      <c r="R5516">
        <v>-0.99982130000000002</v>
      </c>
      <c r="S5516">
        <v>-0.26379390000000003</v>
      </c>
      <c r="T5516">
        <v>-0.13997499999999999</v>
      </c>
      <c r="U5516">
        <v>-2.9980470000000001</v>
      </c>
      <c r="V5516">
        <v>0.15697539999999999</v>
      </c>
      <c r="W5516">
        <v>-1.0844080000000001E-2</v>
      </c>
      <c r="X5516">
        <v>0.98754299999999995</v>
      </c>
      <c r="Y5516">
        <v>0.2401018</v>
      </c>
      <c r="Z5516">
        <v>3.3240640000000002E-2</v>
      </c>
      <c r="AA5516">
        <v>0.9701784</v>
      </c>
      <c r="AB5516">
        <v>26</v>
      </c>
      <c r="AC5516">
        <v>-2.00760000000002</v>
      </c>
      <c r="AD5516">
        <v>-1.0492300896469999</v>
      </c>
      <c r="AE5516">
        <v>-22.193397999999998</v>
      </c>
      <c r="AF5516">
        <v>5.3944542074428696</v>
      </c>
      <c r="AG5516">
        <v>-1.0492300896469999</v>
      </c>
      <c r="AH5516">
        <v>21.5704142054676</v>
      </c>
      <c r="AI5516">
        <v>92.701715392963607</v>
      </c>
      <c r="AJ5516">
        <v>75.959130036422096</v>
      </c>
      <c r="AK5516">
        <v>22.2594651546855</v>
      </c>
      <c r="AL5516">
        <v>90.621332179964199</v>
      </c>
      <c r="AM5516">
        <v>80.968083718324905</v>
      </c>
      <c r="AN5516">
        <v>1.0000000235626001</v>
      </c>
    </row>
    <row r="5517" spans="1:40" x14ac:dyDescent="0.25">
      <c r="A5517" t="str">
        <f>"20190305135343822"</f>
        <v>20190305135343822</v>
      </c>
      <c r="B5517" t="str">
        <f>"1551765223815308"</f>
        <v>1551765223815308</v>
      </c>
      <c r="C5517" t="s">
        <v>40</v>
      </c>
      <c r="D5517">
        <v>4.5223559999999896</v>
      </c>
      <c r="E5517">
        <v>0.53060909999999994</v>
      </c>
      <c r="F5517" t="s">
        <v>42</v>
      </c>
      <c r="G5517">
        <v>-304.98450000000003</v>
      </c>
      <c r="H5517" s="1">
        <v>-2.4704589999999998E-6</v>
      </c>
      <c r="I5517">
        <v>-17.743670000000002</v>
      </c>
      <c r="J5517">
        <v>-303.07709999999997</v>
      </c>
      <c r="K5517">
        <v>1.0497559999999999</v>
      </c>
      <c r="L5517">
        <v>3.2103269999999999</v>
      </c>
      <c r="M5517">
        <v>0.141434</v>
      </c>
      <c r="N5517">
        <v>-1.1554699999999999E-2</v>
      </c>
      <c r="O5517">
        <v>-0.98988019999999999</v>
      </c>
      <c r="P5517">
        <v>-5.5583400000000002E-3</v>
      </c>
      <c r="Q5517">
        <v>-1.8898129999999999E-2</v>
      </c>
      <c r="R5517">
        <v>-0.99980619999999998</v>
      </c>
      <c r="S5517">
        <v>-0.26528930000000001</v>
      </c>
      <c r="T5517">
        <v>-0.14814569999999999</v>
      </c>
      <c r="U5517">
        <v>-2.9969790000000001</v>
      </c>
      <c r="V5517">
        <v>0.1467136</v>
      </c>
      <c r="W5517">
        <v>-1.07673E-2</v>
      </c>
      <c r="X5517">
        <v>0.98912040000000001</v>
      </c>
      <c r="Y5517">
        <v>0.2280392</v>
      </c>
      <c r="Z5517">
        <v>3.6265140000000001E-2</v>
      </c>
      <c r="AA5517">
        <v>0.97297630000000002</v>
      </c>
      <c r="AB5517">
        <v>26</v>
      </c>
      <c r="AC5517">
        <v>-1.9074000000000499</v>
      </c>
      <c r="AD5517">
        <v>-1.0497584704589999</v>
      </c>
      <c r="AE5517">
        <v>-20.953997000000001</v>
      </c>
      <c r="AF5517">
        <v>4.8399815415016798</v>
      </c>
      <c r="AG5517">
        <v>-1.0497584704589999</v>
      </c>
      <c r="AH5517">
        <v>20.422706971967401</v>
      </c>
      <c r="AI5517">
        <v>92.863328699187505</v>
      </c>
      <c r="AJ5517">
        <v>76.667434141332606</v>
      </c>
      <c r="AK5517">
        <v>21.014622866737898</v>
      </c>
      <c r="AL5517">
        <v>90.616932773701507</v>
      </c>
      <c r="AM5517">
        <v>81.562984680100001</v>
      </c>
      <c r="AN5517">
        <v>0.99999999043520404</v>
      </c>
    </row>
    <row r="5518" spans="1:40" x14ac:dyDescent="0.25">
      <c r="A5518" t="str">
        <f>"20190305135343845"</f>
        <v>20190305135343845</v>
      </c>
      <c r="B5518" t="str">
        <f>"1551765223835804"</f>
        <v>1551765223835804</v>
      </c>
      <c r="C5518" t="s">
        <v>40</v>
      </c>
      <c r="D5518">
        <v>4.5529270000000004</v>
      </c>
      <c r="E5518">
        <v>0.51598449999999996</v>
      </c>
      <c r="F5518" t="s">
        <v>42</v>
      </c>
      <c r="G5518">
        <v>-304.94130000000001</v>
      </c>
      <c r="H5518" s="1">
        <v>-2.4232349999999998E-6</v>
      </c>
      <c r="I5518">
        <v>-17.826979999999999</v>
      </c>
      <c r="J5518">
        <v>-303.05160000000001</v>
      </c>
      <c r="K5518">
        <v>1.050365</v>
      </c>
      <c r="L5518">
        <v>2.9407649999999999</v>
      </c>
      <c r="M5518">
        <v>0.12961210000000001</v>
      </c>
      <c r="N5518">
        <v>-1.13901E-2</v>
      </c>
      <c r="O5518">
        <v>-0.99149929999999997</v>
      </c>
      <c r="P5518">
        <v>-7.5467030000000001E-3</v>
      </c>
      <c r="Q5518">
        <v>-1.9934830000000001E-2</v>
      </c>
      <c r="R5518">
        <v>-0.99977269999999896</v>
      </c>
      <c r="S5518">
        <v>-0.26550289999999999</v>
      </c>
      <c r="T5518">
        <v>-0.1495137</v>
      </c>
      <c r="U5518">
        <v>-2.9962770000000001</v>
      </c>
      <c r="V5518">
        <v>0.1368627</v>
      </c>
      <c r="W5518">
        <v>-1.152443E-2</v>
      </c>
      <c r="X5518">
        <v>0.99052300000000004</v>
      </c>
      <c r="Y5518">
        <v>0.21649660000000001</v>
      </c>
      <c r="Z5518">
        <v>3.7075490000000003E-2</v>
      </c>
      <c r="AA5518">
        <v>0.97557910000000003</v>
      </c>
      <c r="AB5518">
        <v>26</v>
      </c>
      <c r="AC5518">
        <v>-1.8896999999999999</v>
      </c>
      <c r="AD5518">
        <v>-1.050367423235</v>
      </c>
      <c r="AE5518">
        <v>-20.767745000000001</v>
      </c>
      <c r="AF5518">
        <v>4.5541297960159399</v>
      </c>
      <c r="AG5518">
        <v>-1.050367423235</v>
      </c>
      <c r="AH5518">
        <v>20.296106167457399</v>
      </c>
      <c r="AI5518">
        <v>92.890784648275499</v>
      </c>
      <c r="AJ5518">
        <v>77.353192130590998</v>
      </c>
      <c r="AK5518">
        <v>20.827272876770401</v>
      </c>
      <c r="AL5518">
        <v>90.660315809063803</v>
      </c>
      <c r="AM5518">
        <v>82.133129736599798</v>
      </c>
      <c r="AN5518">
        <v>1.00000001233355</v>
      </c>
    </row>
    <row r="5519" spans="1:40" x14ac:dyDescent="0.25">
      <c r="A5519" t="str">
        <f>"20190305135343868"</f>
        <v>20190305135343868</v>
      </c>
      <c r="B5519" t="str">
        <f>"1551765223855323"</f>
        <v>1551765223855323</v>
      </c>
      <c r="C5519" t="s">
        <v>40</v>
      </c>
      <c r="D5519">
        <v>4.5394319999999997</v>
      </c>
      <c r="E5519">
        <v>0.51526910000000004</v>
      </c>
      <c r="F5519" t="s">
        <v>42</v>
      </c>
      <c r="G5519">
        <v>-303.90210000000002</v>
      </c>
      <c r="H5519" s="1">
        <v>-3.992329E-6</v>
      </c>
      <c r="I5519">
        <v>-13.31555</v>
      </c>
      <c r="J5519">
        <v>-303.02850000000001</v>
      </c>
      <c r="K5519">
        <v>1.05104</v>
      </c>
      <c r="L5519">
        <v>2.6739809999999999</v>
      </c>
      <c r="M5519">
        <v>0.1189368</v>
      </c>
      <c r="N5519">
        <v>-1.1227010000000001E-2</v>
      </c>
      <c r="O5519">
        <v>-0.99283840000000001</v>
      </c>
      <c r="P5519">
        <v>-8.5441919999999904E-3</v>
      </c>
      <c r="Q5519">
        <v>-2.062247E-2</v>
      </c>
      <c r="R5519">
        <v>-0.9997509</v>
      </c>
      <c r="S5519">
        <v>-0.156738299999999</v>
      </c>
      <c r="T5519">
        <v>-0.1935569</v>
      </c>
      <c r="U5519">
        <v>-2.9956360000000002</v>
      </c>
      <c r="V5519">
        <v>0.12719140000000001</v>
      </c>
      <c r="W5519">
        <v>-1.1943809999999999E-2</v>
      </c>
      <c r="X5519">
        <v>0.99180630000000003</v>
      </c>
      <c r="Y5519">
        <v>0.1705159</v>
      </c>
      <c r="Z5519">
        <v>5.2033620000000003E-2</v>
      </c>
      <c r="AA5519">
        <v>0.98398010000000002</v>
      </c>
      <c r="AB5519">
        <v>26</v>
      </c>
      <c r="AC5519">
        <v>-0.87360000000001004</v>
      </c>
      <c r="AD5519">
        <v>-1.051043992329</v>
      </c>
      <c r="AE5519">
        <v>-15.989530999999999</v>
      </c>
      <c r="AF5519">
        <v>2.7573828651484602</v>
      </c>
      <c r="AG5519">
        <v>-1.051043992329</v>
      </c>
      <c r="AH5519">
        <v>15.704455636647801</v>
      </c>
      <c r="AI5519">
        <v>93.771374326273502</v>
      </c>
      <c r="AJ5519">
        <v>80.041532903306503</v>
      </c>
      <c r="AK5519">
        <v>15.979292242845601</v>
      </c>
      <c r="AL5519">
        <v>90.684346160915794</v>
      </c>
      <c r="AM5519">
        <v>82.692152010575498</v>
      </c>
      <c r="AN5519">
        <v>1.0000000217754801</v>
      </c>
    </row>
    <row r="5520" spans="1:40" x14ac:dyDescent="0.25">
      <c r="A5520" t="str">
        <f>"20190305135343890"</f>
        <v>20190305135343890</v>
      </c>
      <c r="B5520" t="str">
        <f>"1551765223885580"</f>
        <v>1551765223885580</v>
      </c>
      <c r="C5520" t="s">
        <v>40</v>
      </c>
      <c r="D5520">
        <v>4.5519499999999997</v>
      </c>
      <c r="E5520">
        <v>0.51575660000000001</v>
      </c>
      <c r="F5520" t="s">
        <v>42</v>
      </c>
      <c r="G5520">
        <v>-303.85539999999997</v>
      </c>
      <c r="H5520" s="1">
        <v>-3.9507449999999999E-6</v>
      </c>
      <c r="I5520">
        <v>-13.41339</v>
      </c>
      <c r="J5520">
        <v>-303.00709999999998</v>
      </c>
      <c r="K5520">
        <v>1.0517860000000001</v>
      </c>
      <c r="L5520">
        <v>2.404236</v>
      </c>
      <c r="M5520">
        <v>0.1091994</v>
      </c>
      <c r="N5520">
        <v>-1.1065520000000001E-2</v>
      </c>
      <c r="O5520">
        <v>-0.99395840000000002</v>
      </c>
      <c r="P5520">
        <v>-1.062808E-2</v>
      </c>
      <c r="Q5520">
        <v>-2.0954739999999999E-2</v>
      </c>
      <c r="R5520">
        <v>-0.99972399999999995</v>
      </c>
      <c r="S5520">
        <v>-0.15396119999999999</v>
      </c>
      <c r="T5520">
        <v>-0.1956995</v>
      </c>
      <c r="U5520">
        <v>-2.9953919999999998</v>
      </c>
      <c r="V5520">
        <v>0.1195479</v>
      </c>
      <c r="W5520">
        <v>-1.2061399999999899E-2</v>
      </c>
      <c r="X5520">
        <v>0.99275519999999995</v>
      </c>
      <c r="Y5520">
        <v>0.1599448</v>
      </c>
      <c r="Z5520">
        <v>5.3070529999999998E-2</v>
      </c>
      <c r="AA5520">
        <v>0.98569830000000003</v>
      </c>
      <c r="AB5520">
        <v>27</v>
      </c>
      <c r="AC5520">
        <v>-0.84829999999999395</v>
      </c>
      <c r="AD5520">
        <v>-1.0517899507449999</v>
      </c>
      <c r="AE5520">
        <v>-15.817626000000001</v>
      </c>
      <c r="AF5520">
        <v>2.5593234897125599</v>
      </c>
      <c r="AG5520">
        <v>-1.0517899507449999</v>
      </c>
      <c r="AH5520">
        <v>15.5617733829204</v>
      </c>
      <c r="AI5520">
        <v>93.815527412557998</v>
      </c>
      <c r="AJ5520">
        <v>80.660614482465206</v>
      </c>
      <c r="AK5520">
        <v>15.805859345409001</v>
      </c>
      <c r="AL5520">
        <v>90.691084049468202</v>
      </c>
      <c r="AM5520">
        <v>83.133487008559698</v>
      </c>
      <c r="AN5520">
        <v>1.0000000324456999</v>
      </c>
    </row>
    <row r="5521" spans="1:40" x14ac:dyDescent="0.25">
      <c r="A5521" t="str">
        <f>"20190305135343912"</f>
        <v>20190305135343912</v>
      </c>
      <c r="B5521" t="str">
        <f>"1551765223905099"</f>
        <v>1551765223905099</v>
      </c>
      <c r="C5521" t="s">
        <v>40</v>
      </c>
      <c r="D5521">
        <v>4.5952960000000003</v>
      </c>
      <c r="E5521">
        <v>0.5166404</v>
      </c>
      <c r="F5521" t="s">
        <v>42</v>
      </c>
      <c r="G5521">
        <v>-303.88200000000001</v>
      </c>
      <c r="H5521" s="1">
        <v>-3.8927960000000001E-6</v>
      </c>
      <c r="I5521">
        <v>-13.59756</v>
      </c>
      <c r="J5521">
        <v>-302.98680000000002</v>
      </c>
      <c r="K5521">
        <v>1.0524789999999999</v>
      </c>
      <c r="L5521">
        <v>2.1296390000000001</v>
      </c>
      <c r="M5521">
        <v>0.1002357</v>
      </c>
      <c r="N5521">
        <v>-1.0911860000000001E-2</v>
      </c>
      <c r="O5521">
        <v>-0.99490389999999995</v>
      </c>
      <c r="P5521">
        <v>-1.2134539999999999E-2</v>
      </c>
      <c r="Q5521">
        <v>-2.205141E-2</v>
      </c>
      <c r="R5521">
        <v>-0.99968330000000005</v>
      </c>
      <c r="S5521">
        <v>-0.16375729999999999</v>
      </c>
      <c r="T5521">
        <v>-0.19685749999999999</v>
      </c>
      <c r="U5521">
        <v>-2.9949650000000001</v>
      </c>
      <c r="V5521">
        <v>0.1120927</v>
      </c>
      <c r="W5521">
        <v>-1.2979009999999999E-2</v>
      </c>
      <c r="X5521">
        <v>0.99361299999999997</v>
      </c>
      <c r="Y5521">
        <v>0.15426809999999999</v>
      </c>
      <c r="Z5521">
        <v>5.3729369999999999E-2</v>
      </c>
      <c r="AA5521">
        <v>0.98656699999999997</v>
      </c>
      <c r="AB5521">
        <v>27</v>
      </c>
      <c r="AC5521">
        <v>-0.89519999999998801</v>
      </c>
      <c r="AD5521">
        <v>-1.0524828927959999</v>
      </c>
      <c r="AE5521">
        <v>-15.727199000000001</v>
      </c>
      <c r="AF5521">
        <v>2.45624697352013</v>
      </c>
      <c r="AG5521">
        <v>-1.0524828927959999</v>
      </c>
      <c r="AH5521">
        <v>15.489103540197201</v>
      </c>
      <c r="AI5521">
        <v>93.839436737987299</v>
      </c>
      <c r="AJ5521">
        <v>80.989124149105706</v>
      </c>
      <c r="AK5521">
        <v>15.7179260054723</v>
      </c>
      <c r="AL5521">
        <v>90.743663367056797</v>
      </c>
      <c r="AM5521">
        <v>83.563490968632095</v>
      </c>
      <c r="AN5521">
        <v>1.00000001093143</v>
      </c>
    </row>
    <row r="5522" spans="1:40" x14ac:dyDescent="0.25">
      <c r="A5522" t="str">
        <f>"20190305135343934"</f>
        <v>20190305135343934</v>
      </c>
      <c r="B5522" t="str">
        <f>"1551765223925596"</f>
        <v>1551765223925596</v>
      </c>
      <c r="C5522" t="s">
        <v>40</v>
      </c>
      <c r="D5522">
        <v>4.4355219999999997</v>
      </c>
      <c r="E5522">
        <v>0.48827670000000001</v>
      </c>
      <c r="F5522" t="s">
        <v>42</v>
      </c>
      <c r="G5522">
        <v>-303.89749999999998</v>
      </c>
      <c r="H5522" s="1">
        <v>-3.9382169999999997E-6</v>
      </c>
      <c r="I5522">
        <v>-13.472110000000001</v>
      </c>
      <c r="J5522">
        <v>-302.96910000000003</v>
      </c>
      <c r="K5522">
        <v>1.0530930000000001</v>
      </c>
      <c r="L5522">
        <v>1.871246</v>
      </c>
      <c r="M5522">
        <v>9.2723139999999996E-2</v>
      </c>
      <c r="N5522">
        <v>-1.077707E-2</v>
      </c>
      <c r="O5522">
        <v>-0.99563369999999995</v>
      </c>
      <c r="P5522">
        <v>-1.1132670000000001E-2</v>
      </c>
      <c r="Q5522">
        <v>-2.3995039999999999E-2</v>
      </c>
      <c r="R5522">
        <v>-0.99965029999999999</v>
      </c>
      <c r="S5522">
        <v>-0.17477419999999999</v>
      </c>
      <c r="T5522">
        <v>-0.20199909999999999</v>
      </c>
      <c r="U5522">
        <v>-2.9943849999999999</v>
      </c>
      <c r="V5522">
        <v>0.103581199999999</v>
      </c>
      <c r="W5522">
        <v>-1.47546E-2</v>
      </c>
      <c r="X5522">
        <v>0.99451149999999999</v>
      </c>
      <c r="Y5522">
        <v>0.15043280000000001</v>
      </c>
      <c r="Z5522">
        <v>5.56462E-2</v>
      </c>
      <c r="AA5522">
        <v>0.98705290000000001</v>
      </c>
      <c r="AB5522">
        <v>27</v>
      </c>
      <c r="AC5522">
        <v>-0.92839999999995304</v>
      </c>
      <c r="AD5522">
        <v>-1.0530969382169999</v>
      </c>
      <c r="AE5522">
        <v>-15.343356</v>
      </c>
      <c r="AF5522">
        <v>2.3362012963336598</v>
      </c>
      <c r="AG5522">
        <v>-1.0530969382169999</v>
      </c>
      <c r="AH5522">
        <v>15.120190336684701</v>
      </c>
      <c r="AI5522">
        <v>93.937551334263006</v>
      </c>
      <c r="AJ5522">
        <v>81.216756777795297</v>
      </c>
      <c r="AK5522">
        <v>15.335807949888</v>
      </c>
      <c r="AL5522">
        <v>90.845407032062397</v>
      </c>
      <c r="AM5522">
        <v>84.053920489899198</v>
      </c>
      <c r="AN5522">
        <v>0.99999994342342302</v>
      </c>
    </row>
    <row r="5523" spans="1:40" x14ac:dyDescent="0.25">
      <c r="A5523" t="str">
        <f>"20190305135343955"</f>
        <v>20190305135343955</v>
      </c>
      <c r="B5523" t="str">
        <f>"1551765223945115"</f>
        <v>1551765223945115</v>
      </c>
      <c r="C5523" t="s">
        <v>40</v>
      </c>
      <c r="D5523">
        <v>4.4410629999999998</v>
      </c>
      <c r="E5523">
        <v>0.43117240000000001</v>
      </c>
      <c r="F5523" t="s">
        <v>42</v>
      </c>
      <c r="G5523">
        <v>-302.58069999999998</v>
      </c>
      <c r="H5523" s="1">
        <v>-1.489336E-6</v>
      </c>
      <c r="I5523">
        <v>-18.539840000000002</v>
      </c>
      <c r="J5523">
        <v>-302.95190000000002</v>
      </c>
      <c r="K5523">
        <v>1.053747</v>
      </c>
      <c r="L5523">
        <v>1.605988</v>
      </c>
      <c r="M5523">
        <v>8.6046419999999998E-2</v>
      </c>
      <c r="N5523">
        <v>-1.064414E-2</v>
      </c>
      <c r="O5523">
        <v>-0.99623419999999896</v>
      </c>
      <c r="P5523">
        <v>-8.7257619999999998E-3</v>
      </c>
      <c r="Q5523">
        <v>-2.4989859999999999E-2</v>
      </c>
      <c r="R5523">
        <v>-0.99964969999999997</v>
      </c>
      <c r="S5523">
        <v>5.7037350000000001E-2</v>
      </c>
      <c r="T5523">
        <v>-0.15467879999999901</v>
      </c>
      <c r="U5523">
        <v>-2.997986</v>
      </c>
      <c r="V5523">
        <v>9.4524979999999995E-2</v>
      </c>
      <c r="W5523">
        <v>-1.559171E-2</v>
      </c>
      <c r="X5523">
        <v>0.99540039999999996</v>
      </c>
      <c r="Y5523">
        <v>6.7077849999999994E-2</v>
      </c>
      <c r="Z5523">
        <v>4.0552409999999997E-2</v>
      </c>
      <c r="AA5523">
        <v>0.99692329999999996</v>
      </c>
      <c r="AB5523">
        <v>27</v>
      </c>
      <c r="AC5523">
        <v>0.37120000000004399</v>
      </c>
      <c r="AD5523">
        <v>-1.0537484893359901</v>
      </c>
      <c r="AE5523">
        <v>-20.145828000000002</v>
      </c>
      <c r="AF5523">
        <v>1.36003191309806</v>
      </c>
      <c r="AG5523">
        <v>-1.0537484893359901</v>
      </c>
      <c r="AH5523">
        <v>20.048211747356</v>
      </c>
      <c r="AI5523">
        <v>93.001852238329505</v>
      </c>
      <c r="AJ5523">
        <v>86.119111123238199</v>
      </c>
      <c r="AK5523">
        <v>20.121900182394501</v>
      </c>
      <c r="AL5523">
        <v>90.893375364473002</v>
      </c>
      <c r="AM5523">
        <v>84.575358554397894</v>
      </c>
      <c r="AN5523">
        <v>1.0000000147924399</v>
      </c>
    </row>
    <row r="5524" spans="1:40" x14ac:dyDescent="0.25">
      <c r="A5524" t="str">
        <f>"20190305135343979"</f>
        <v>20190305135343979</v>
      </c>
      <c r="B5524" t="str">
        <f>"1551765223975372"</f>
        <v>1551765223975372</v>
      </c>
      <c r="C5524" t="s">
        <v>40</v>
      </c>
      <c r="D5524">
        <v>4.3764629999999904</v>
      </c>
      <c r="E5524">
        <v>0.43249300000000002</v>
      </c>
      <c r="F5524" t="s">
        <v>42</v>
      </c>
      <c r="G5524">
        <v>-299.67680000000001</v>
      </c>
      <c r="H5524" s="1">
        <v>-1.3682380000000001E-6</v>
      </c>
      <c r="I5524">
        <v>-17.31146</v>
      </c>
      <c r="J5524">
        <v>-302.935</v>
      </c>
      <c r="K5524">
        <v>1.0544579999999999</v>
      </c>
      <c r="L5524">
        <v>1.331879</v>
      </c>
      <c r="M5524">
        <v>8.027803E-2</v>
      </c>
      <c r="N5524">
        <v>-1.0512509999999999E-2</v>
      </c>
      <c r="O5524">
        <v>-0.99671730000000003</v>
      </c>
      <c r="P5524">
        <v>-6.0800439999999997E-3</v>
      </c>
      <c r="Q5524">
        <v>-2.6747509999999999E-2</v>
      </c>
      <c r="R5524">
        <v>-0.99962399999999996</v>
      </c>
      <c r="S5524">
        <v>0.51962280000000005</v>
      </c>
      <c r="T5524">
        <v>-0.16718549999999999</v>
      </c>
      <c r="U5524">
        <v>-3.001404</v>
      </c>
      <c r="V5524">
        <v>8.6130929999999994E-2</v>
      </c>
      <c r="W5524">
        <v>-1.7212379999999999E-2</v>
      </c>
      <c r="X5524">
        <v>0.99613510000000005</v>
      </c>
      <c r="Y5524">
        <v>-9.0733030000000006E-2</v>
      </c>
      <c r="Z5524">
        <v>4.4399460000000002E-2</v>
      </c>
      <c r="AA5524">
        <v>0.99488500000000002</v>
      </c>
      <c r="AB5524">
        <v>27</v>
      </c>
      <c r="AC5524">
        <v>3.25819999999998</v>
      </c>
      <c r="AD5524">
        <v>-1.0544593682379999</v>
      </c>
      <c r="AE5524">
        <v>-18.643339000000001</v>
      </c>
      <c r="AF5524">
        <v>-1.7455317012188101</v>
      </c>
      <c r="AG5524">
        <v>-1.0544593682379999</v>
      </c>
      <c r="AH5524">
        <v>18.786421107681399</v>
      </c>
      <c r="AI5524">
        <v>93.198823364472602</v>
      </c>
      <c r="AJ5524">
        <v>95.308370167388503</v>
      </c>
      <c r="AK5524">
        <v>18.8967823587605</v>
      </c>
      <c r="AL5524">
        <v>90.9862454612704</v>
      </c>
      <c r="AM5524">
        <v>85.058205029708404</v>
      </c>
      <c r="AN5524">
        <v>0.99999997028996901</v>
      </c>
    </row>
    <row r="5525" spans="1:40" x14ac:dyDescent="0.25">
      <c r="A5525" t="str">
        <f>"20190305135344001"</f>
        <v>20190305135344001</v>
      </c>
      <c r="B5525" t="str">
        <f>"1551765223995867"</f>
        <v>1551765223995867</v>
      </c>
      <c r="C5525" t="s">
        <v>40</v>
      </c>
      <c r="D5525">
        <v>4.3790360000000002</v>
      </c>
      <c r="E5525">
        <v>0.43364780000000003</v>
      </c>
      <c r="F5525" t="s">
        <v>42</v>
      </c>
      <c r="G5525">
        <v>-299.49930000000001</v>
      </c>
      <c r="H5525" s="1">
        <v>-8.5149539999999996E-7</v>
      </c>
      <c r="I5525">
        <v>-18.589400000000001</v>
      </c>
      <c r="J5525">
        <v>-302.91820000000001</v>
      </c>
      <c r="K5525">
        <v>1.055237</v>
      </c>
      <c r="L5525">
        <v>1.0537719999999999</v>
      </c>
      <c r="M5525">
        <v>7.557432E-2</v>
      </c>
      <c r="N5525">
        <v>-1.039083E-2</v>
      </c>
      <c r="O5525">
        <v>-0.99708600000000003</v>
      </c>
      <c r="P5525">
        <v>-3.2338760000000001E-3</v>
      </c>
      <c r="Q5525">
        <v>-2.905783E-2</v>
      </c>
      <c r="R5525">
        <v>-0.99957249999999997</v>
      </c>
      <c r="S5525">
        <v>0.51739499999999905</v>
      </c>
      <c r="T5525">
        <v>-0.15879550000000001</v>
      </c>
      <c r="U5525">
        <v>-3.0000309999999999</v>
      </c>
      <c r="V5525">
        <v>7.8601329999999997E-2</v>
      </c>
      <c r="W5525">
        <v>-1.940178E-2</v>
      </c>
      <c r="X5525">
        <v>0.99671730000000003</v>
      </c>
      <c r="Y5525">
        <v>-9.4809749999999998E-2</v>
      </c>
      <c r="Z5525">
        <v>4.1816220000000001E-2</v>
      </c>
      <c r="AA5525">
        <v>0.99461670000000002</v>
      </c>
      <c r="AB5525">
        <v>27</v>
      </c>
      <c r="AC5525">
        <v>3.4188999999999998</v>
      </c>
      <c r="AD5525">
        <v>-1.0552378514953999</v>
      </c>
      <c r="AE5525">
        <v>-19.643172</v>
      </c>
      <c r="AF5525">
        <v>-1.9191463443132799</v>
      </c>
      <c r="AG5525">
        <v>-1.0552378514953999</v>
      </c>
      <c r="AH5525">
        <v>19.789952731391502</v>
      </c>
      <c r="AI5525">
        <v>93.038004361419794</v>
      </c>
      <c r="AJ5525">
        <v>95.538983511969704</v>
      </c>
      <c r="AK5525">
        <v>19.9107729313764</v>
      </c>
      <c r="AL5525">
        <v>91.111709877439793</v>
      </c>
      <c r="AM5525">
        <v>85.490974772811001</v>
      </c>
      <c r="AN5525">
        <v>0.99999998713211302</v>
      </c>
    </row>
    <row r="5526" spans="1:40" x14ac:dyDescent="0.25">
      <c r="A5526" t="str">
        <f>"20190305135344024"</f>
        <v>20190305135344024</v>
      </c>
      <c r="B5526" t="str">
        <f>"1551765224015388"</f>
        <v>1551765224015388</v>
      </c>
      <c r="C5526" t="s">
        <v>40</v>
      </c>
      <c r="D5526">
        <v>4.4941909999999998</v>
      </c>
      <c r="E5526">
        <v>0.43540459999999898</v>
      </c>
      <c r="F5526" t="s">
        <v>42</v>
      </c>
      <c r="G5526">
        <v>-299.61110000000002</v>
      </c>
      <c r="H5526" s="1">
        <v>-1.029644E-6</v>
      </c>
      <c r="I5526">
        <v>-18.127870000000001</v>
      </c>
      <c r="J5526">
        <v>-302.90230000000003</v>
      </c>
      <c r="K5526">
        <v>1.056108</v>
      </c>
      <c r="L5526">
        <v>0.78915409999999997</v>
      </c>
      <c r="M5526">
        <v>7.0843340000000005E-2</v>
      </c>
      <c r="N5526">
        <v>-1.0751800000000001E-2</v>
      </c>
      <c r="O5526">
        <v>-0.99742969999999997</v>
      </c>
      <c r="P5526">
        <v>-5.100587E-4</v>
      </c>
      <c r="Q5526">
        <v>-3.378432E-2</v>
      </c>
      <c r="R5526">
        <v>-0.99942949999999997</v>
      </c>
      <c r="S5526">
        <v>0.51690670000000005</v>
      </c>
      <c r="T5526">
        <v>-0.164938</v>
      </c>
      <c r="U5526">
        <v>-2.9981689999999999</v>
      </c>
      <c r="V5526">
        <v>7.1152770000000004E-2</v>
      </c>
      <c r="W5526">
        <v>-2.3562079999999999E-2</v>
      </c>
      <c r="X5526">
        <v>0.99718709999999999</v>
      </c>
      <c r="Y5526">
        <v>-9.9460889999999996E-2</v>
      </c>
      <c r="Z5526">
        <v>4.3514829999999997E-2</v>
      </c>
      <c r="AA5526">
        <v>0.99408949999999996</v>
      </c>
      <c r="AB5526">
        <v>27</v>
      </c>
      <c r="AC5526">
        <v>3.2911999999999999</v>
      </c>
      <c r="AD5526">
        <v>-1.0561090296439899</v>
      </c>
      <c r="AE5526">
        <v>-18.917024099999999</v>
      </c>
      <c r="AF5526">
        <v>-1.9368479290718601</v>
      </c>
      <c r="AG5526">
        <v>-1.0561090296439899</v>
      </c>
      <c r="AH5526">
        <v>19.04504575679</v>
      </c>
      <c r="AI5526">
        <v>93.157730237863007</v>
      </c>
      <c r="AJ5526">
        <v>95.806916327540094</v>
      </c>
      <c r="AK5526">
        <v>19.172389367553301</v>
      </c>
      <c r="AL5526">
        <v>91.350132685624303</v>
      </c>
      <c r="AM5526">
        <v>85.918663813434094</v>
      </c>
      <c r="AN5526">
        <v>1.0000000003495</v>
      </c>
    </row>
    <row r="5527" spans="1:40" x14ac:dyDescent="0.25">
      <c r="A5527" t="str">
        <f>"20190305135344046"</f>
        <v>20190305135344046</v>
      </c>
      <c r="B5527" t="str">
        <f>"1551765224035884"</f>
        <v>1551765224035884</v>
      </c>
      <c r="C5527" t="s">
        <v>40</v>
      </c>
      <c r="D5527">
        <v>4.605772</v>
      </c>
      <c r="E5527">
        <v>0.43701509999999999</v>
      </c>
      <c r="F5527" t="s">
        <v>42</v>
      </c>
      <c r="G5527">
        <v>-299.9255</v>
      </c>
      <c r="H5527" s="1">
        <v>-1.6053039999999901E-6</v>
      </c>
      <c r="I5527">
        <v>-16.656020000000002</v>
      </c>
      <c r="J5527">
        <v>-302.88639999999998</v>
      </c>
      <c r="K5527">
        <v>1.056961</v>
      </c>
      <c r="L5527">
        <v>0.52685550000000003</v>
      </c>
      <c r="M5527">
        <v>6.7167329999999997E-2</v>
      </c>
      <c r="N5527">
        <v>-1.1892669999999999E-2</v>
      </c>
      <c r="O5527">
        <v>-0.99767090000000003</v>
      </c>
      <c r="P5527">
        <v>4.8538089999999997E-3</v>
      </c>
      <c r="Q5527">
        <v>-3.975944E-2</v>
      </c>
      <c r="R5527">
        <v>-0.99919760000000002</v>
      </c>
      <c r="S5527">
        <v>0.51119999999999999</v>
      </c>
      <c r="T5527">
        <v>-0.181365</v>
      </c>
      <c r="U5527">
        <v>-2.9958499999999999</v>
      </c>
      <c r="V5527">
        <v>6.2104499999999903E-2</v>
      </c>
      <c r="W5527">
        <v>-2.827472E-2</v>
      </c>
      <c r="X5527">
        <v>0.99766900000000003</v>
      </c>
      <c r="Y5527">
        <v>-0.1013743</v>
      </c>
      <c r="Z5527">
        <v>4.7831039999999998E-2</v>
      </c>
      <c r="AA5527">
        <v>0.99369790000000002</v>
      </c>
      <c r="AB5527">
        <v>27</v>
      </c>
      <c r="AC5527">
        <v>2.9608999999999801</v>
      </c>
      <c r="AD5527">
        <v>-1.056962605304</v>
      </c>
      <c r="AE5527">
        <v>-17.182875500000002</v>
      </c>
      <c r="AF5527">
        <v>-1.7934128742309501</v>
      </c>
      <c r="AG5527">
        <v>-1.056962605304</v>
      </c>
      <c r="AH5527">
        <v>17.279459635348299</v>
      </c>
      <c r="AI5527">
        <v>93.481692819538907</v>
      </c>
      <c r="AJ5527">
        <v>95.925439513067403</v>
      </c>
      <c r="AK5527">
        <v>17.404402459610601</v>
      </c>
      <c r="AL5527">
        <v>91.620238169304002</v>
      </c>
      <c r="AM5527">
        <v>86.437956667916794</v>
      </c>
      <c r="AN5527">
        <v>0.99999993113616104</v>
      </c>
    </row>
    <row r="5528" spans="1:40" x14ac:dyDescent="0.25">
      <c r="A5528" t="str">
        <f>"20190305135344068"</f>
        <v>20190305135344068</v>
      </c>
      <c r="B5528" t="str">
        <f>"1551765224065862"</f>
        <v>1551765224065862</v>
      </c>
      <c r="C5528" t="s">
        <v>40</v>
      </c>
      <c r="D5528">
        <v>4.3621470000000002</v>
      </c>
      <c r="E5528">
        <v>0.43732650000000001</v>
      </c>
      <c r="F5528" t="s">
        <v>42</v>
      </c>
      <c r="G5528">
        <v>-300.21080000000001</v>
      </c>
      <c r="H5528" s="1">
        <v>-2.3583529999999999E-6</v>
      </c>
      <c r="I5528">
        <v>-15.044219999999999</v>
      </c>
      <c r="J5528">
        <v>-302.87090000000001</v>
      </c>
      <c r="K5528">
        <v>1.0577749999999999</v>
      </c>
      <c r="L5528">
        <v>0.2687988</v>
      </c>
      <c r="M5528">
        <v>6.6794129999999993E-2</v>
      </c>
      <c r="N5528">
        <v>-1.2141860000000001E-2</v>
      </c>
      <c r="O5528">
        <v>-0.99769289999999999</v>
      </c>
      <c r="P5528">
        <v>1.493512E-2</v>
      </c>
      <c r="Q5528">
        <v>-4.5154140000000002E-2</v>
      </c>
      <c r="R5528">
        <v>-0.99886839999999999</v>
      </c>
      <c r="S5528">
        <v>0.51409910000000003</v>
      </c>
      <c r="T5528">
        <v>-0.2030846</v>
      </c>
      <c r="U5528">
        <v>-2.9918209999999998</v>
      </c>
      <c r="V5528">
        <v>5.1633440000000003E-2</v>
      </c>
      <c r="W5528">
        <v>-3.3331159999999999E-2</v>
      </c>
      <c r="X5528">
        <v>0.99810969999999999</v>
      </c>
      <c r="Y5528">
        <v>-0.1028367</v>
      </c>
      <c r="Z5528">
        <v>5.4780710000000003E-2</v>
      </c>
      <c r="AA5528">
        <v>0.99318859999999998</v>
      </c>
      <c r="AB5528">
        <v>26</v>
      </c>
      <c r="AC5528">
        <v>2.6600999999999999</v>
      </c>
      <c r="AD5528">
        <v>-1.0577773583529999</v>
      </c>
      <c r="AE5528">
        <v>-15.3130188</v>
      </c>
      <c r="AF5528">
        <v>-1.62374241891539</v>
      </c>
      <c r="AG5528">
        <v>-1.0577773583529999</v>
      </c>
      <c r="AH5528">
        <v>15.385246297830401</v>
      </c>
      <c r="AI5528">
        <v>93.911395584217004</v>
      </c>
      <c r="AJ5528">
        <v>96.024632880760805</v>
      </c>
      <c r="AK5528">
        <v>15.5068125682789</v>
      </c>
      <c r="AL5528">
        <v>91.910088625903299</v>
      </c>
      <c r="AM5528">
        <v>87.038658745200294</v>
      </c>
      <c r="AN5528">
        <v>0.99999997579363398</v>
      </c>
    </row>
    <row r="5529" spans="1:40" x14ac:dyDescent="0.25">
      <c r="A5529" t="str">
        <f>"20190305135344091"</f>
        <v>20190305135344091</v>
      </c>
      <c r="B5529" t="str">
        <f>"1551765224085383"</f>
        <v>1551765224085383</v>
      </c>
      <c r="C5529" t="s">
        <v>40</v>
      </c>
      <c r="D5529">
        <v>4.3276960000000004</v>
      </c>
      <c r="E5529">
        <v>0.43753829999999999</v>
      </c>
      <c r="F5529" t="s">
        <v>42</v>
      </c>
      <c r="G5529">
        <v>-300.19389999999999</v>
      </c>
      <c r="H5529" s="1">
        <v>-2.593009E-6</v>
      </c>
      <c r="I5529">
        <v>-14.48678</v>
      </c>
      <c r="J5529">
        <v>-302.85410000000002</v>
      </c>
      <c r="K5529">
        <v>1.0588040000000001</v>
      </c>
      <c r="L5529">
        <v>-6.2561040000000002E-3</v>
      </c>
      <c r="M5529">
        <v>6.7643990000000001E-2</v>
      </c>
      <c r="N5529">
        <v>-1.0523009999999999E-2</v>
      </c>
      <c r="O5529">
        <v>-0.99765409999999999</v>
      </c>
      <c r="P5529">
        <v>2.8112789999999999E-2</v>
      </c>
      <c r="Q5529">
        <v>-4.6367980000000003E-2</v>
      </c>
      <c r="R5529">
        <v>-0.99852870000000005</v>
      </c>
      <c r="S5529">
        <v>0.54165649999999999</v>
      </c>
      <c r="T5529">
        <v>-0.21402959999999999</v>
      </c>
      <c r="U5529">
        <v>-2.9856259999999999</v>
      </c>
      <c r="V5529">
        <v>3.9327540000000001E-2</v>
      </c>
      <c r="W5529">
        <v>-3.6050810000000003E-2</v>
      </c>
      <c r="X5529">
        <v>0.99857580000000001</v>
      </c>
      <c r="Y5529">
        <v>-0.11116810000000001</v>
      </c>
      <c r="Z5529">
        <v>6.002822E-2</v>
      </c>
      <c r="AA5529">
        <v>0.99198699999999995</v>
      </c>
      <c r="AB5529">
        <v>26</v>
      </c>
      <c r="AC5529">
        <v>2.6602000000000299</v>
      </c>
      <c r="AD5529">
        <v>-1.058806593009</v>
      </c>
      <c r="AE5529">
        <v>-14.480523895999999</v>
      </c>
      <c r="AF5529">
        <v>-1.66591567678897</v>
      </c>
      <c r="AG5529">
        <v>-1.058806593009</v>
      </c>
      <c r="AH5529">
        <v>14.5520477428172</v>
      </c>
      <c r="AI5529">
        <v>94.1345955150436</v>
      </c>
      <c r="AJ5529">
        <v>96.530779059498002</v>
      </c>
      <c r="AK5529">
        <v>14.6853137505741</v>
      </c>
      <c r="AL5529">
        <v>92.066007001207396</v>
      </c>
      <c r="AM5529">
        <v>87.744649796587197</v>
      </c>
      <c r="AN5529">
        <v>0.99999997232487303</v>
      </c>
    </row>
    <row r="5530" spans="1:40" x14ac:dyDescent="0.25">
      <c r="A5530" t="str">
        <f>"20190305135344113"</f>
        <v>20190305135344113</v>
      </c>
      <c r="B5530" t="str">
        <f>"1551765224105879"</f>
        <v>1551765224105879</v>
      </c>
      <c r="C5530" t="s">
        <v>40</v>
      </c>
      <c r="D5530">
        <v>4.3914220000000004</v>
      </c>
      <c r="E5530">
        <v>0.43786419999999998</v>
      </c>
      <c r="F5530" t="s">
        <v>42</v>
      </c>
      <c r="G5530">
        <v>-299.99040000000002</v>
      </c>
      <c r="H5530" s="1">
        <v>-2.4330280000000002E-6</v>
      </c>
      <c r="I5530">
        <v>-14.73349</v>
      </c>
      <c r="J5530">
        <v>-302.8372</v>
      </c>
      <c r="K5530">
        <v>1.0604549999999999</v>
      </c>
      <c r="L5530">
        <v>-0.26937870000000003</v>
      </c>
      <c r="M5530">
        <v>6.7934449999999993E-2</v>
      </c>
      <c r="N5530">
        <v>-8.4414709999999903E-3</v>
      </c>
      <c r="O5530">
        <v>-0.99765420000000005</v>
      </c>
      <c r="P5530">
        <v>4.0947629999999999E-2</v>
      </c>
      <c r="Q5530">
        <v>-4.484113E-2</v>
      </c>
      <c r="R5530">
        <v>-0.99815480000000001</v>
      </c>
      <c r="S5530">
        <v>0.57910159999999999</v>
      </c>
      <c r="T5530">
        <v>-0.21411469999999999</v>
      </c>
      <c r="U5530">
        <v>-2.97818</v>
      </c>
      <c r="V5530">
        <v>2.6848440000000001E-2</v>
      </c>
      <c r="W5530">
        <v>-3.6490839999999997E-2</v>
      </c>
      <c r="X5530">
        <v>0.99897329999999995</v>
      </c>
      <c r="Y5530">
        <v>-0.1233341</v>
      </c>
      <c r="Z5530">
        <v>6.2163620000000003E-2</v>
      </c>
      <c r="AA5530">
        <v>0.99041630000000003</v>
      </c>
      <c r="AB5530">
        <v>27</v>
      </c>
      <c r="AC5530">
        <v>2.8467999999999698</v>
      </c>
      <c r="AD5530">
        <v>-1.0604574330280001</v>
      </c>
      <c r="AE5530">
        <v>-14.464111300000001</v>
      </c>
      <c r="AF5530">
        <v>-1.8480133036764901</v>
      </c>
      <c r="AG5530">
        <v>-1.0604574330280001</v>
      </c>
      <c r="AH5530">
        <v>14.548808596196499</v>
      </c>
      <c r="AI5530">
        <v>94.135782073269894</v>
      </c>
      <c r="AJ5530">
        <v>97.239036376382202</v>
      </c>
      <c r="AK5530">
        <v>14.703997915757199</v>
      </c>
      <c r="AL5530">
        <v>92.091235328800906</v>
      </c>
      <c r="AM5530">
        <v>88.4604873061474</v>
      </c>
      <c r="AN5530">
        <v>1.00000003712361</v>
      </c>
    </row>
    <row r="5531" spans="1:40" x14ac:dyDescent="0.25">
      <c r="A5531" t="str">
        <f>"20190305135344135"</f>
        <v>20190305135344135</v>
      </c>
      <c r="B5531" t="str">
        <f>"1551765224125399"</f>
        <v>1551765224125399</v>
      </c>
      <c r="C5531" t="s">
        <v>40</v>
      </c>
      <c r="D5531">
        <v>4.3680450000000004</v>
      </c>
      <c r="E5531">
        <v>0.43844139999999998</v>
      </c>
      <c r="F5531" t="s">
        <v>42</v>
      </c>
      <c r="G5531">
        <v>-299.67950000000002</v>
      </c>
      <c r="H5531" s="1">
        <v>-2.1331680000000001E-6</v>
      </c>
      <c r="I5531">
        <v>-15.52725</v>
      </c>
      <c r="J5531">
        <v>-302.81959999999998</v>
      </c>
      <c r="K5531">
        <v>1.0624359999999999</v>
      </c>
      <c r="L5531">
        <v>-0.52832029999999996</v>
      </c>
      <c r="M5531">
        <v>6.7813970000000001E-2</v>
      </c>
      <c r="N5531">
        <v>-6.581656E-3</v>
      </c>
      <c r="O5531">
        <v>-0.99767640000000002</v>
      </c>
      <c r="P5531">
        <v>5.360227E-2</v>
      </c>
      <c r="Q5531">
        <v>-4.0864289999999998E-2</v>
      </c>
      <c r="R5531">
        <v>-0.997726</v>
      </c>
      <c r="S5531">
        <v>0.61486819999999998</v>
      </c>
      <c r="T5531">
        <v>-0.20649400000000001</v>
      </c>
      <c r="U5531">
        <v>-2.9710390000000002</v>
      </c>
      <c r="V5531">
        <v>1.4137540000000001E-2</v>
      </c>
      <c r="W5531">
        <v>-3.4306400000000001E-2</v>
      </c>
      <c r="X5531">
        <v>0.99931139999999996</v>
      </c>
      <c r="Y5531">
        <v>-0.1353675</v>
      </c>
      <c r="Z5531">
        <v>6.1537979999999999E-2</v>
      </c>
      <c r="AA5531">
        <v>0.9888825</v>
      </c>
      <c r="AB5531">
        <v>27</v>
      </c>
      <c r="AC5531">
        <v>3.1400999999999599</v>
      </c>
      <c r="AD5531">
        <v>-1.062438133168</v>
      </c>
      <c r="AE5531">
        <v>-14.9989297</v>
      </c>
      <c r="AF5531">
        <v>-2.1055910715583401</v>
      </c>
      <c r="AG5531">
        <v>-1.062438133168</v>
      </c>
      <c r="AH5531">
        <v>15.104741988793799</v>
      </c>
      <c r="AI5531">
        <v>93.985040253262696</v>
      </c>
      <c r="AJ5531">
        <v>97.935853931650001</v>
      </c>
      <c r="AK5531">
        <v>15.287757163674</v>
      </c>
      <c r="AL5531">
        <v>91.965997626869196</v>
      </c>
      <c r="AM5531">
        <v>89.189474531709806</v>
      </c>
      <c r="AN5531">
        <v>1.00000003664408</v>
      </c>
    </row>
    <row r="5532" spans="1:40" x14ac:dyDescent="0.25">
      <c r="A5532" t="str">
        <f>"20190305135344157"</f>
        <v>20190305135344157</v>
      </c>
      <c r="B5532" t="str">
        <f>"1551765224145895"</f>
        <v>1551765224145895</v>
      </c>
      <c r="C5532" t="s">
        <v>40</v>
      </c>
      <c r="D5532">
        <v>4.3614519999999999</v>
      </c>
      <c r="E5532">
        <v>0.43907990000000002</v>
      </c>
      <c r="F5532" t="s">
        <v>42</v>
      </c>
      <c r="G5532">
        <v>-299.17009999999999</v>
      </c>
      <c r="H5532" s="1">
        <v>-1.496669E-6</v>
      </c>
      <c r="I5532">
        <v>-17.221609999999998</v>
      </c>
      <c r="J5532">
        <v>-302.80040000000002</v>
      </c>
      <c r="K5532">
        <v>1.064527</v>
      </c>
      <c r="L5532">
        <v>-0.79922490000000002</v>
      </c>
      <c r="M5532">
        <v>6.7724279999999998E-2</v>
      </c>
      <c r="N5532">
        <v>-4.8419379999999996E-3</v>
      </c>
      <c r="O5532">
        <v>-0.99769229999999998</v>
      </c>
      <c r="P5532">
        <v>6.6509139999999994E-2</v>
      </c>
      <c r="Q5532">
        <v>-3.768299E-2</v>
      </c>
      <c r="R5532">
        <v>-0.99707420000000002</v>
      </c>
      <c r="S5532">
        <v>0.64807130000000002</v>
      </c>
      <c r="T5532">
        <v>-0.1886612</v>
      </c>
      <c r="U5532">
        <v>-2.9642940000000002</v>
      </c>
      <c r="V5532">
        <v>1.169444E-3</v>
      </c>
      <c r="W5532">
        <v>-3.2844089999999999E-2</v>
      </c>
      <c r="X5532">
        <v>0.99945980000000001</v>
      </c>
      <c r="Y5532">
        <v>-0.14655219999999999</v>
      </c>
      <c r="Z5532">
        <v>5.7425780000000003E-2</v>
      </c>
      <c r="AA5532">
        <v>0.98753460000000004</v>
      </c>
      <c r="AB5532">
        <v>27</v>
      </c>
      <c r="AC5532">
        <v>3.6303000000000298</v>
      </c>
      <c r="AD5532">
        <v>-1.0645284966689901</v>
      </c>
      <c r="AE5532">
        <v>-16.4223851</v>
      </c>
      <c r="AF5532">
        <v>-2.4997434118505399</v>
      </c>
      <c r="AG5532">
        <v>-1.0645284966689901</v>
      </c>
      <c r="AH5532">
        <v>16.564184208796799</v>
      </c>
      <c r="AI5532">
        <v>93.636104260259799</v>
      </c>
      <c r="AJ5532">
        <v>98.581893937956806</v>
      </c>
      <c r="AK5532">
        <v>16.785533549704802</v>
      </c>
      <c r="AL5532">
        <v>91.882166241260606</v>
      </c>
      <c r="AM5532">
        <v>89.932959609782202</v>
      </c>
      <c r="AN5532">
        <v>0.999999996831618</v>
      </c>
    </row>
    <row r="5533" spans="1:40" x14ac:dyDescent="0.25">
      <c r="A5533" t="str">
        <f>"20190305135344180"</f>
        <v>20190305135344180</v>
      </c>
      <c r="B5533" t="str">
        <f>"1551765224175175"</f>
        <v>1551765224175175</v>
      </c>
      <c r="C5533" t="s">
        <v>40</v>
      </c>
      <c r="D5533">
        <v>4.542986</v>
      </c>
      <c r="E5533">
        <v>0.44000319999999998</v>
      </c>
      <c r="F5533" t="s">
        <v>42</v>
      </c>
      <c r="G5533">
        <v>-298.6318</v>
      </c>
      <c r="H5533" s="1">
        <v>-8.8033369999999896E-7</v>
      </c>
      <c r="I5533">
        <v>-18.880880000000001</v>
      </c>
      <c r="J5533">
        <v>-302.78109999999998</v>
      </c>
      <c r="K5533">
        <v>1.0663910000000001</v>
      </c>
      <c r="L5533">
        <v>-1.0654600000000001</v>
      </c>
      <c r="M5533">
        <v>6.8154919999999994E-2</v>
      </c>
      <c r="N5533">
        <v>-3.1870549999999998E-3</v>
      </c>
      <c r="O5533">
        <v>-0.99766980000000005</v>
      </c>
      <c r="P5533">
        <v>8.0158350000000003E-2</v>
      </c>
      <c r="Q5533">
        <v>-3.5453940000000003E-2</v>
      </c>
      <c r="R5533">
        <v>-0.99615169999999997</v>
      </c>
      <c r="S5533">
        <v>0.68167109999999997</v>
      </c>
      <c r="T5533">
        <v>-0.17407429999999999</v>
      </c>
      <c r="U5533">
        <v>-2.9567570000000001</v>
      </c>
      <c r="V5533">
        <v>-1.206199E-2</v>
      </c>
      <c r="W5533">
        <v>-3.2275400000000003E-2</v>
      </c>
      <c r="X5533">
        <v>0.99940620000000002</v>
      </c>
      <c r="Y5533">
        <v>-0.15737190000000001</v>
      </c>
      <c r="Z5533">
        <v>5.4293189999999998E-2</v>
      </c>
      <c r="AA5533">
        <v>0.98604579999999997</v>
      </c>
      <c r="AB5533">
        <v>27</v>
      </c>
      <c r="AC5533">
        <v>4.1492999999999798</v>
      </c>
      <c r="AD5533">
        <v>-1.06639188033369</v>
      </c>
      <c r="AE5533">
        <v>-17.8154199999999</v>
      </c>
      <c r="AF5533">
        <v>-2.91552850761297</v>
      </c>
      <c r="AG5533">
        <v>-1.06639188033369</v>
      </c>
      <c r="AH5533">
        <v>17.995630935429801</v>
      </c>
      <c r="AI5533">
        <v>93.347738707367697</v>
      </c>
      <c r="AJ5533">
        <v>99.2027062634142</v>
      </c>
      <c r="AK5533">
        <v>18.261441095525399</v>
      </c>
      <c r="AL5533">
        <v>91.849565463034196</v>
      </c>
      <c r="AM5533">
        <v>90.691478165886807</v>
      </c>
      <c r="AN5533">
        <v>0.99999997282317898</v>
      </c>
    </row>
    <row r="5534" spans="1:40" x14ac:dyDescent="0.25">
      <c r="A5534" t="str">
        <f>"20190305135344203"</f>
        <v>20190305135344203</v>
      </c>
      <c r="B5534" t="str">
        <f>"1551765224195671"</f>
        <v>1551765224195671</v>
      </c>
      <c r="C5534" t="s">
        <v>40</v>
      </c>
      <c r="D5534">
        <v>4.4317529999999996</v>
      </c>
      <c r="E5534">
        <v>0.46032479999999998</v>
      </c>
      <c r="F5534" t="s">
        <v>42</v>
      </c>
      <c r="G5534">
        <v>-298.0985</v>
      </c>
      <c r="H5534" s="1">
        <v>-4.9874169999999995E-7</v>
      </c>
      <c r="I5534">
        <v>-20.373069999999998</v>
      </c>
      <c r="J5534">
        <v>-302.7602</v>
      </c>
      <c r="K5534">
        <v>1.068154</v>
      </c>
      <c r="L5534">
        <v>-1.3493649999999999</v>
      </c>
      <c r="M5534">
        <v>6.9201830000000006E-2</v>
      </c>
      <c r="N5534">
        <v>-1.4912619999999999E-3</v>
      </c>
      <c r="O5534">
        <v>-0.99760170000000004</v>
      </c>
      <c r="P5534">
        <v>9.3666609999999997E-2</v>
      </c>
      <c r="Q5534">
        <v>-3.3607209999999998E-2</v>
      </c>
      <c r="R5534">
        <v>-0.99503629999999998</v>
      </c>
      <c r="S5534">
        <v>0.71502690000000002</v>
      </c>
      <c r="T5534">
        <v>-0.16283800000000001</v>
      </c>
      <c r="U5534">
        <v>-2.9482729999999999</v>
      </c>
      <c r="V5534">
        <v>-2.4564180000000001E-2</v>
      </c>
      <c r="W5534">
        <v>-3.2132220000000003E-2</v>
      </c>
      <c r="X5534">
        <v>0.99918169999999995</v>
      </c>
      <c r="Y5534">
        <v>-0.16754469999999999</v>
      </c>
      <c r="Z5534">
        <v>5.2306459999999999E-2</v>
      </c>
      <c r="AA5534">
        <v>0.98447589999999996</v>
      </c>
      <c r="AB5534">
        <v>27</v>
      </c>
      <c r="AC5534">
        <v>4.66169999999999</v>
      </c>
      <c r="AD5534">
        <v>-1.0681544987417</v>
      </c>
      <c r="AE5534">
        <v>-19.023705</v>
      </c>
      <c r="AF5534">
        <v>-3.3241615870620098</v>
      </c>
      <c r="AG5534">
        <v>-1.0681544987417</v>
      </c>
      <c r="AH5534">
        <v>19.243465907576098</v>
      </c>
      <c r="AI5534">
        <v>93.130804893581896</v>
      </c>
      <c r="AJ5534">
        <v>99.800687689518298</v>
      </c>
      <c r="AK5534">
        <v>19.557657948387501</v>
      </c>
      <c r="AL5534">
        <v>91.841357593585101</v>
      </c>
      <c r="AM5534">
        <v>91.408292806773204</v>
      </c>
      <c r="AN5534">
        <v>0.99999997405804497</v>
      </c>
    </row>
    <row r="5535" spans="1:40" x14ac:dyDescent="0.25">
      <c r="A5535" t="str">
        <f>"20190305135344223"</f>
        <v>20190305135344223</v>
      </c>
      <c r="B5535" t="str">
        <f>"1551765224215191"</f>
        <v>1551765224215191</v>
      </c>
      <c r="C5535" t="s">
        <v>40</v>
      </c>
      <c r="D5535">
        <v>4.4581559999999998</v>
      </c>
      <c r="E5535">
        <v>0.46111590000000002</v>
      </c>
      <c r="F5535" t="s">
        <v>42</v>
      </c>
      <c r="G5535">
        <v>-298.41820000000001</v>
      </c>
      <c r="H5535" s="1">
        <v>-3.4642359999999999E-6</v>
      </c>
      <c r="I5535">
        <v>-22.946059999999999</v>
      </c>
      <c r="J5535">
        <v>-302.7414</v>
      </c>
      <c r="K5535">
        <v>1.0696349999999999</v>
      </c>
      <c r="L5535">
        <v>-1.604584</v>
      </c>
      <c r="M5535">
        <v>7.0401850000000002E-2</v>
      </c>
      <c r="N5535" s="1">
        <v>-9.6751579999999996E-5</v>
      </c>
      <c r="O5535">
        <v>-0.99751889999999999</v>
      </c>
      <c r="P5535">
        <v>0.1050249</v>
      </c>
      <c r="Q5535">
        <v>-3.0808309999999998E-2</v>
      </c>
      <c r="R5535">
        <v>-0.99399269999999995</v>
      </c>
      <c r="S5535">
        <v>0.59393309999999999</v>
      </c>
      <c r="T5535">
        <v>-0.1461093</v>
      </c>
      <c r="U5535">
        <v>-2.954132</v>
      </c>
      <c r="V5535">
        <v>-3.476928E-2</v>
      </c>
      <c r="W5535">
        <v>-3.0729929999999999E-2</v>
      </c>
      <c r="X5535">
        <v>0.9989228</v>
      </c>
      <c r="Y5535">
        <v>-0.1273658</v>
      </c>
      <c r="Z5535">
        <v>4.8434280000000003E-2</v>
      </c>
      <c r="AA5535">
        <v>0.99067249999999996</v>
      </c>
      <c r="AB5535">
        <v>27</v>
      </c>
      <c r="AC5535">
        <v>4.3231999999999804</v>
      </c>
      <c r="AD5535">
        <v>-1.069638464236</v>
      </c>
      <c r="AE5535">
        <v>-21.341476</v>
      </c>
      <c r="AF5535">
        <v>-2.8032295607439899</v>
      </c>
      <c r="AG5535">
        <v>-1.069638464236</v>
      </c>
      <c r="AH5535">
        <v>21.540904415685802</v>
      </c>
      <c r="AI5535">
        <v>92.819021828995403</v>
      </c>
      <c r="AJ5535">
        <v>97.414528749241498</v>
      </c>
      <c r="AK5535">
        <v>21.748857106986499</v>
      </c>
      <c r="AL5535">
        <v>91.760972531275002</v>
      </c>
      <c r="AM5535">
        <v>91.993476460490101</v>
      </c>
      <c r="AN5535">
        <v>0.99999999589468103</v>
      </c>
    </row>
    <row r="5536" spans="1:40" x14ac:dyDescent="0.25">
      <c r="A5536" t="str">
        <f>"20190305135344247"</f>
        <v>20190305135344247</v>
      </c>
      <c r="B5536" t="str">
        <f>"1551765224235687"</f>
        <v>1551765224235687</v>
      </c>
      <c r="C5536" t="s">
        <v>40</v>
      </c>
      <c r="D5536">
        <v>4.4250889999999998</v>
      </c>
      <c r="E5536">
        <v>0.46262209999999998</v>
      </c>
      <c r="F5536" t="s">
        <v>42</v>
      </c>
      <c r="G5536">
        <v>-297.81779999999998</v>
      </c>
      <c r="H5536" s="1">
        <v>-2.7101269999999998E-6</v>
      </c>
      <c r="I5536">
        <v>-24.95214</v>
      </c>
      <c r="J5536">
        <v>-302.72160000000002</v>
      </c>
      <c r="K5536">
        <v>1.071372</v>
      </c>
      <c r="L5536">
        <v>-1.8718570000000001</v>
      </c>
      <c r="M5536">
        <v>7.1700299999999995E-2</v>
      </c>
      <c r="N5536">
        <v>4.7180099999999999E-4</v>
      </c>
      <c r="O5536">
        <v>-0.99742629999999999</v>
      </c>
      <c r="P5536">
        <v>0.1138788</v>
      </c>
      <c r="Q5536">
        <v>-2.8588039999999999E-2</v>
      </c>
      <c r="R5536">
        <v>-0.99308320000000005</v>
      </c>
      <c r="S5536">
        <v>0.62173459999999903</v>
      </c>
      <c r="T5536">
        <v>-0.13506979999999999</v>
      </c>
      <c r="U5536">
        <v>-2.948242</v>
      </c>
      <c r="V5536">
        <v>-4.2367179999999997E-2</v>
      </c>
      <c r="W5536">
        <v>-2.9079899999999999E-2</v>
      </c>
      <c r="X5536">
        <v>0.99867879999999998</v>
      </c>
      <c r="Y5536">
        <v>-0.13544529999999999</v>
      </c>
      <c r="Z5536">
        <v>4.5354020000000002E-2</v>
      </c>
      <c r="AA5536">
        <v>0.98974620000000002</v>
      </c>
      <c r="AB5536">
        <v>27</v>
      </c>
      <c r="AC5536">
        <v>4.9038000000000403</v>
      </c>
      <c r="AD5536">
        <v>-1.0713747101269999</v>
      </c>
      <c r="AE5536">
        <v>-23.080282999999898</v>
      </c>
      <c r="AF5536">
        <v>-3.22965704230299</v>
      </c>
      <c r="AG5536">
        <v>-1.0713747101269999</v>
      </c>
      <c r="AH5536">
        <v>23.324395505713699</v>
      </c>
      <c r="AI5536">
        <v>92.605134965597998</v>
      </c>
      <c r="AJ5536">
        <v>97.883441459938794</v>
      </c>
      <c r="AK5536">
        <v>23.571295129613802</v>
      </c>
      <c r="AL5536">
        <v>91.666390486116995</v>
      </c>
      <c r="AM5536">
        <v>92.429215395535905</v>
      </c>
      <c r="AN5536">
        <v>0.99999998204730101</v>
      </c>
    </row>
    <row r="5537" spans="1:40" x14ac:dyDescent="0.25">
      <c r="A5537" t="str">
        <f>"20190305135344272"</f>
        <v>20190305135344272</v>
      </c>
      <c r="B5537" t="str">
        <f>"1551765224265944"</f>
        <v>1551765224265944</v>
      </c>
      <c r="C5537" t="s">
        <v>40</v>
      </c>
      <c r="D5537">
        <v>4.4425720000000002</v>
      </c>
      <c r="E5537">
        <v>0.46417639999999999</v>
      </c>
      <c r="F5537" t="s">
        <v>42</v>
      </c>
      <c r="G5537">
        <v>-297.18459999999999</v>
      </c>
      <c r="H5537" s="1">
        <v>-1.729926E-6</v>
      </c>
      <c r="I5537">
        <v>-27.498840000000001</v>
      </c>
      <c r="J5537">
        <v>-302.6986</v>
      </c>
      <c r="K5537">
        <v>1.073987</v>
      </c>
      <c r="L5537">
        <v>-2.1786500000000002</v>
      </c>
      <c r="M5537">
        <v>7.3067279999999998E-2</v>
      </c>
      <c r="N5537" s="1">
        <v>9.0518050000000007E-5</v>
      </c>
      <c r="O5537">
        <v>-0.99732690000000002</v>
      </c>
      <c r="P5537">
        <v>0.1220435</v>
      </c>
      <c r="Q5537">
        <v>-2.8022330000000002E-2</v>
      </c>
      <c r="R5537">
        <v>-0.99212900000000004</v>
      </c>
      <c r="S5537">
        <v>0.6361694</v>
      </c>
      <c r="T5537">
        <v>-0.1230948</v>
      </c>
      <c r="U5537">
        <v>-2.9443969999999999</v>
      </c>
      <c r="V5537">
        <v>-4.9209120000000002E-2</v>
      </c>
      <c r="W5537">
        <v>-2.8141059999999999E-2</v>
      </c>
      <c r="X5537">
        <v>0.99839199999999995</v>
      </c>
      <c r="Y5537">
        <v>-0.13902639999999999</v>
      </c>
      <c r="Z5537">
        <v>4.1018640000000002E-2</v>
      </c>
      <c r="AA5537">
        <v>0.98943879999999995</v>
      </c>
      <c r="AB5537">
        <v>27</v>
      </c>
      <c r="AC5537">
        <v>5.5140000000000002</v>
      </c>
      <c r="AD5537">
        <v>-1.073988729926</v>
      </c>
      <c r="AE5537">
        <v>-25.32019</v>
      </c>
      <c r="AF5537">
        <v>-3.6429261374203898</v>
      </c>
      <c r="AG5537">
        <v>-1.073988729926</v>
      </c>
      <c r="AH5537">
        <v>25.611410219243901</v>
      </c>
      <c r="AI5537">
        <v>92.377333525797496</v>
      </c>
      <c r="AJ5537">
        <v>98.095357297891098</v>
      </c>
      <c r="AK5537">
        <v>25.891479217169099</v>
      </c>
      <c r="AL5537">
        <v>91.612576821038104</v>
      </c>
      <c r="AM5537">
        <v>92.821732399316303</v>
      </c>
      <c r="AN5537">
        <v>1.0000000212065401</v>
      </c>
    </row>
    <row r="5538" spans="1:40" x14ac:dyDescent="0.25">
      <c r="A5538" t="str">
        <f>"20190305135344292"</f>
        <v>20190305135344292</v>
      </c>
      <c r="B5538" t="str">
        <f>"1551765224285463"</f>
        <v>1551765224285463</v>
      </c>
      <c r="C5538" t="s">
        <v>40</v>
      </c>
      <c r="D5538">
        <v>4.4214960000000003</v>
      </c>
      <c r="E5538">
        <v>0.47444160000000002</v>
      </c>
      <c r="F5538" t="s">
        <v>42</v>
      </c>
      <c r="G5538">
        <v>-296.73250000000002</v>
      </c>
      <c r="H5538" s="1">
        <v>-1.2515089999999901E-6</v>
      </c>
      <c r="I5538">
        <v>-29.22907</v>
      </c>
      <c r="J5538">
        <v>-302.68049999999999</v>
      </c>
      <c r="K5538">
        <v>1.076265</v>
      </c>
      <c r="L5538">
        <v>-2.4186399999999999</v>
      </c>
      <c r="M5538">
        <v>7.396548E-2</v>
      </c>
      <c r="N5538">
        <v>-1.3812979999999999E-4</v>
      </c>
      <c r="O5538">
        <v>-0.99726110000000001</v>
      </c>
      <c r="P5538">
        <v>0.1287354</v>
      </c>
      <c r="Q5538">
        <v>-2.9629829999999999E-2</v>
      </c>
      <c r="R5538">
        <v>-0.99123649999999996</v>
      </c>
      <c r="S5538">
        <v>0.64859009999999995</v>
      </c>
      <c r="T5538">
        <v>-0.116755399999999</v>
      </c>
      <c r="U5538">
        <v>-2.9407040000000002</v>
      </c>
      <c r="V5538">
        <v>-5.5043130000000003E-2</v>
      </c>
      <c r="W5538">
        <v>-2.9533449999999999E-2</v>
      </c>
      <c r="X5538">
        <v>0.99804709999999996</v>
      </c>
      <c r="Y5538">
        <v>-0.14239830000000001</v>
      </c>
      <c r="Z5538">
        <v>3.8704460000000003E-2</v>
      </c>
      <c r="AA5538">
        <v>0.98905240000000005</v>
      </c>
      <c r="AB5538">
        <v>27</v>
      </c>
      <c r="AC5538">
        <v>5.9479999999999702</v>
      </c>
      <c r="AD5538">
        <v>-1.076266251509</v>
      </c>
      <c r="AE5538">
        <v>-26.81043</v>
      </c>
      <c r="AF5538">
        <v>-3.9426060398663898</v>
      </c>
      <c r="AG5538">
        <v>-1.076266251509</v>
      </c>
      <c r="AH5538">
        <v>27.135260211763001</v>
      </c>
      <c r="AI5538">
        <v>92.247755711777799</v>
      </c>
      <c r="AJ5538">
        <v>98.266916766204105</v>
      </c>
      <c r="AK5538">
        <v>27.441298041270201</v>
      </c>
      <c r="AL5538">
        <v>91.6923881370613</v>
      </c>
      <c r="AM5538">
        <v>93.156712119823894</v>
      </c>
      <c r="AN5538">
        <v>0.99999999232375403</v>
      </c>
    </row>
    <row r="5539" spans="1:40" x14ac:dyDescent="0.25">
      <c r="A5539" t="str">
        <f>"20190305135344314"</f>
        <v>20190305135344314</v>
      </c>
      <c r="B5539" t="str">
        <f>"1551765224305959"</f>
        <v>1551765224305959</v>
      </c>
      <c r="C5539" t="s">
        <v>40</v>
      </c>
      <c r="D5539">
        <v>4.4664270000000004</v>
      </c>
      <c r="E5539">
        <v>0.47611500000000001</v>
      </c>
      <c r="F5539" t="s">
        <v>42</v>
      </c>
      <c r="G5539">
        <v>-295.96170000000001</v>
      </c>
      <c r="H5539" s="1">
        <v>-2.557268E-6</v>
      </c>
      <c r="I5539">
        <v>-36.075940000000003</v>
      </c>
      <c r="J5539">
        <v>-302.65989999999999</v>
      </c>
      <c r="K5539">
        <v>1.078902</v>
      </c>
      <c r="L5539">
        <v>-2.6865839999999999</v>
      </c>
      <c r="M5539">
        <v>7.4861250000000004E-2</v>
      </c>
      <c r="N5539">
        <v>-1.2263009999999999E-4</v>
      </c>
      <c r="O5539">
        <v>-0.99719429999999998</v>
      </c>
      <c r="P5539">
        <v>0.1348113</v>
      </c>
      <c r="Q5539">
        <v>-3.1251580000000001E-2</v>
      </c>
      <c r="R5539">
        <v>-0.9903788</v>
      </c>
      <c r="S5539">
        <v>0.58834839999999999</v>
      </c>
      <c r="T5539">
        <v>-9.4246389999999999E-2</v>
      </c>
      <c r="U5539">
        <v>-2.9472960000000001</v>
      </c>
      <c r="V5539">
        <v>-6.0262389999999999E-2</v>
      </c>
      <c r="W5539">
        <v>-3.1187650000000001E-2</v>
      </c>
      <c r="X5539">
        <v>0.9976952</v>
      </c>
      <c r="Y5539">
        <v>-0.12170250000000001</v>
      </c>
      <c r="Z5539">
        <v>3.1276900000000003E-2</v>
      </c>
      <c r="AA5539">
        <v>0.99207369999999995</v>
      </c>
      <c r="AB5539">
        <v>27</v>
      </c>
      <c r="AC5539">
        <v>6.6981999999999804</v>
      </c>
      <c r="AD5539">
        <v>-1.0789045572680001</v>
      </c>
      <c r="AE5539">
        <v>-33.389355999999999</v>
      </c>
      <c r="AF5539">
        <v>-4.1756453149143997</v>
      </c>
      <c r="AG5539">
        <v>-1.0789045572680001</v>
      </c>
      <c r="AH5539">
        <v>33.7632106571631</v>
      </c>
      <c r="AI5539">
        <v>91.8164363659982</v>
      </c>
      <c r="AJ5539">
        <v>97.050222211562797</v>
      </c>
      <c r="AK5539">
        <v>34.037544604739502</v>
      </c>
      <c r="AL5539">
        <v>91.787210581428099</v>
      </c>
      <c r="AM5539">
        <v>93.456557463437207</v>
      </c>
      <c r="AN5539">
        <v>0.999999968632036</v>
      </c>
    </row>
    <row r="5540" spans="1:40" x14ac:dyDescent="0.25">
      <c r="A5540" t="str">
        <f>"20190305135344336"</f>
        <v>20190305135344336</v>
      </c>
      <c r="B5540" t="str">
        <f>"1551765224325479"</f>
        <v>1551765224325479</v>
      </c>
      <c r="C5540" t="s">
        <v>40</v>
      </c>
      <c r="D5540">
        <v>4.4689589999999999</v>
      </c>
      <c r="E5540">
        <v>0.47694239999999999</v>
      </c>
      <c r="F5540" t="s">
        <v>42</v>
      </c>
      <c r="G5540">
        <v>-296.00850000000003</v>
      </c>
      <c r="H5540" s="1">
        <v>-2.7065729999999999E-6</v>
      </c>
      <c r="I5540">
        <v>-35.708559999999999</v>
      </c>
      <c r="J5540">
        <v>-302.63940000000002</v>
      </c>
      <c r="K5540">
        <v>1.081596</v>
      </c>
      <c r="L5540">
        <v>-2.949036</v>
      </c>
      <c r="M5540">
        <v>7.5691670000000003E-2</v>
      </c>
      <c r="N5540">
        <v>-2.0731100000000001E-4</v>
      </c>
      <c r="O5540">
        <v>-0.9971314</v>
      </c>
      <c r="P5540">
        <v>0.13871889999999901</v>
      </c>
      <c r="Q5540">
        <v>-3.2537469999999999E-2</v>
      </c>
      <c r="R5540">
        <v>-0.98979740000000005</v>
      </c>
      <c r="S5540">
        <v>0.593261699999999</v>
      </c>
      <c r="T5540">
        <v>-9.6231220000000006E-2</v>
      </c>
      <c r="U5540">
        <v>-2.9453429999999998</v>
      </c>
      <c r="V5540">
        <v>-6.3364320000000002E-2</v>
      </c>
      <c r="W5540">
        <v>-3.2403790000000002E-2</v>
      </c>
      <c r="X5540">
        <v>0.99746420000000002</v>
      </c>
      <c r="Y5540">
        <v>-0.1225892</v>
      </c>
      <c r="Z5540">
        <v>3.1864330000000003E-2</v>
      </c>
      <c r="AA5540">
        <v>0.99194590000000005</v>
      </c>
      <c r="AB5540">
        <v>27</v>
      </c>
      <c r="AC5540">
        <v>6.6308999999999898</v>
      </c>
      <c r="AD5540">
        <v>-1.0815987065729999</v>
      </c>
      <c r="AE5540">
        <v>-32.759523999999999</v>
      </c>
      <c r="AF5540">
        <v>-4.1279323249153803</v>
      </c>
      <c r="AG5540">
        <v>-1.0815987065729999</v>
      </c>
      <c r="AH5540">
        <v>33.132753895742503</v>
      </c>
      <c r="AI5540">
        <v>91.855387934390805</v>
      </c>
      <c r="AJ5540">
        <v>97.101753375869094</v>
      </c>
      <c r="AK5540">
        <v>33.406422462708903</v>
      </c>
      <c r="AL5540">
        <v>91.856925585664101</v>
      </c>
      <c r="AM5540">
        <v>93.634853548816807</v>
      </c>
      <c r="AN5540">
        <v>0.99999993646853103</v>
      </c>
    </row>
    <row r="5541" spans="1:40" x14ac:dyDescent="0.25">
      <c r="A5541" t="str">
        <f>"20190305135344359"</f>
        <v>20190305135344359</v>
      </c>
      <c r="B5541" t="str">
        <f>"1551765224355736"</f>
        <v>1551765224355736</v>
      </c>
      <c r="C5541" t="s">
        <v>40</v>
      </c>
      <c r="D5541">
        <v>4.4925509999999997</v>
      </c>
      <c r="E5541">
        <v>0.47821439999999998</v>
      </c>
      <c r="F5541" t="s">
        <v>42</v>
      </c>
      <c r="G5541">
        <v>-295.9812</v>
      </c>
      <c r="H5541" s="1">
        <v>-2.7105339999999998E-6</v>
      </c>
      <c r="I5541">
        <v>-35.710619999999999</v>
      </c>
      <c r="J5541">
        <v>-302.61709999999999</v>
      </c>
      <c r="K5541">
        <v>1.0845670000000001</v>
      </c>
      <c r="L5541">
        <v>-3.2308650000000001</v>
      </c>
      <c r="M5541">
        <v>7.6579670000000002E-2</v>
      </c>
      <c r="N5541">
        <v>-5.8152539999999997E-4</v>
      </c>
      <c r="O5541">
        <v>-0.99706340000000004</v>
      </c>
      <c r="P5541">
        <v>0.14148069999999999</v>
      </c>
      <c r="Q5541">
        <v>-3.5106230000000002E-2</v>
      </c>
      <c r="R5541">
        <v>-0.98931840000000004</v>
      </c>
      <c r="S5541">
        <v>0.59829709999999903</v>
      </c>
      <c r="T5541">
        <v>-9.7189899999999899E-2</v>
      </c>
      <c r="U5541">
        <v>-2.9438780000000002</v>
      </c>
      <c r="V5541">
        <v>-6.5258079999999996E-2</v>
      </c>
      <c r="W5541">
        <v>-3.4611719999999999E-2</v>
      </c>
      <c r="X5541">
        <v>0.99726800000000004</v>
      </c>
      <c r="Y5541">
        <v>-0.12343030000000001</v>
      </c>
      <c r="Z5541">
        <v>3.1817709999999999E-2</v>
      </c>
      <c r="AA5541">
        <v>0.99184300000000003</v>
      </c>
      <c r="AB5541">
        <v>27</v>
      </c>
      <c r="AC5541">
        <v>6.6358999999999897</v>
      </c>
      <c r="AD5541">
        <v>-1.084569710534</v>
      </c>
      <c r="AE5541">
        <v>-32.479754999999997</v>
      </c>
      <c r="AF5541">
        <v>-4.1247094483332898</v>
      </c>
      <c r="AG5541">
        <v>-1.084569710534</v>
      </c>
      <c r="AH5541">
        <v>32.857382952694103</v>
      </c>
      <c r="AI5541">
        <v>91.875843686446302</v>
      </c>
      <c r="AJ5541">
        <v>97.155123703334297</v>
      </c>
      <c r="AK5541">
        <v>33.133021805898899</v>
      </c>
      <c r="AL5541">
        <v>91.983501590239001</v>
      </c>
      <c r="AM5541">
        <v>93.743917821478107</v>
      </c>
      <c r="AN5541">
        <v>1.0000000259953199</v>
      </c>
    </row>
    <row r="5542" spans="1:40" x14ac:dyDescent="0.25">
      <c r="A5542" t="str">
        <f>"20190305135344382"</f>
        <v>20190305135344382</v>
      </c>
      <c r="B5542" t="str">
        <f>"1551765224375255"</f>
        <v>1551765224375255</v>
      </c>
      <c r="C5542" t="s">
        <v>40</v>
      </c>
      <c r="D5542">
        <v>4.5016290000000003</v>
      </c>
      <c r="E5542">
        <v>0.47900749999999997</v>
      </c>
      <c r="F5542" t="s">
        <v>42</v>
      </c>
      <c r="G5542">
        <v>-296.30059999999997</v>
      </c>
      <c r="H5542" s="1">
        <v>-3.2202460000000001E-6</v>
      </c>
      <c r="I5542">
        <v>-34.3904</v>
      </c>
      <c r="J5542">
        <v>-302.59519999999998</v>
      </c>
      <c r="K5542">
        <v>1.087402</v>
      </c>
      <c r="L5542">
        <v>-3.5046689999999998</v>
      </c>
      <c r="M5542">
        <v>7.7472509999999994E-2</v>
      </c>
      <c r="N5542">
        <v>-1.1447650000000001E-3</v>
      </c>
      <c r="O5542">
        <v>-0.99699409999999999</v>
      </c>
      <c r="P5542">
        <v>0.14318529999999999</v>
      </c>
      <c r="Q5542">
        <v>-3.8330690000000001E-2</v>
      </c>
      <c r="R5542">
        <v>-0.98895370000000005</v>
      </c>
      <c r="S5542">
        <v>0.59667969999999904</v>
      </c>
      <c r="T5542">
        <v>-0.10245170000000001</v>
      </c>
      <c r="U5542">
        <v>-2.9434200000000001</v>
      </c>
      <c r="V5542">
        <v>-6.6084829999999997E-2</v>
      </c>
      <c r="W5542">
        <v>-3.7283959999999998E-2</v>
      </c>
      <c r="X5542">
        <v>0.99711719999999904</v>
      </c>
      <c r="Y5542">
        <v>-0.1220392</v>
      </c>
      <c r="Z5542">
        <v>3.3017480000000002E-2</v>
      </c>
      <c r="AA5542">
        <v>0.99197599999999997</v>
      </c>
      <c r="AB5542">
        <v>27</v>
      </c>
      <c r="AC5542">
        <v>6.2946</v>
      </c>
      <c r="AD5542">
        <v>-1.0874052202460001</v>
      </c>
      <c r="AE5542">
        <v>-30.885731</v>
      </c>
      <c r="AF5542">
        <v>-3.8782698325443601</v>
      </c>
      <c r="AG5542">
        <v>-1.0874052202460001</v>
      </c>
      <c r="AH5542">
        <v>31.2433786032942</v>
      </c>
      <c r="AI5542">
        <v>91.978167442998597</v>
      </c>
      <c r="AJ5542">
        <v>97.075983478719195</v>
      </c>
      <c r="AK5542">
        <v>31.501938568218701</v>
      </c>
      <c r="AL5542">
        <v>92.136708774627294</v>
      </c>
      <c r="AM5542">
        <v>93.791783481435004</v>
      </c>
      <c r="AN5542">
        <v>1.0000000044826201</v>
      </c>
    </row>
    <row r="5543" spans="1:40" x14ac:dyDescent="0.25">
      <c r="A5543" t="str">
        <f>"20190305135344404"</f>
        <v>20190305135344404</v>
      </c>
      <c r="B5543" t="str">
        <f>"1551765224395751"</f>
        <v>1551765224395751</v>
      </c>
      <c r="C5543" t="s">
        <v>40</v>
      </c>
      <c r="D5543">
        <v>4.4724909999999998</v>
      </c>
      <c r="E5543">
        <v>0.4794641</v>
      </c>
      <c r="F5543" t="s">
        <v>42</v>
      </c>
      <c r="G5543">
        <v>-296.76799999999997</v>
      </c>
      <c r="H5543" s="1">
        <v>-4.0347679999999999E-6</v>
      </c>
      <c r="I5543">
        <v>-32.298439999999999</v>
      </c>
      <c r="J5543">
        <v>-302.57220000000001</v>
      </c>
      <c r="K5543">
        <v>1.0902000000000001</v>
      </c>
      <c r="L5543">
        <v>-3.78653</v>
      </c>
      <c r="M5543">
        <v>7.8471700000000005E-2</v>
      </c>
      <c r="N5543">
        <v>-1.8053640000000001E-3</v>
      </c>
      <c r="O5543">
        <v>-0.99691479999999999</v>
      </c>
      <c r="P5543">
        <v>0.14416399999999999</v>
      </c>
      <c r="Q5543">
        <v>-4.138472E-2</v>
      </c>
      <c r="R5543">
        <v>-0.98868829999999996</v>
      </c>
      <c r="S5543">
        <v>0.59558109999999997</v>
      </c>
      <c r="T5543">
        <v>-0.1111419</v>
      </c>
      <c r="U5543">
        <v>-2.9429630000000002</v>
      </c>
      <c r="V5543">
        <v>-6.6073000000000007E-2</v>
      </c>
      <c r="W5543">
        <v>-3.9688809999999998E-2</v>
      </c>
      <c r="X5543">
        <v>0.9970251</v>
      </c>
      <c r="Y5543">
        <v>-0.12070160000000001</v>
      </c>
      <c r="Z5543">
        <v>3.5261460000000001E-2</v>
      </c>
      <c r="AA5543">
        <v>0.99206240000000001</v>
      </c>
      <c r="AB5543">
        <v>27</v>
      </c>
      <c r="AC5543">
        <v>5.80420000000003</v>
      </c>
      <c r="AD5543">
        <v>-1.090204034768</v>
      </c>
      <c r="AE5543">
        <v>-28.511909999999901</v>
      </c>
      <c r="AF5543">
        <v>-3.54394503553167</v>
      </c>
      <c r="AG5543">
        <v>-1.090204034768</v>
      </c>
      <c r="AH5543">
        <v>28.838968597149002</v>
      </c>
      <c r="AI5543">
        <v>92.148781823254794</v>
      </c>
      <c r="AJ5543">
        <v>97.005803029154507</v>
      </c>
      <c r="AK5543">
        <v>29.076351232567699</v>
      </c>
      <c r="AL5543">
        <v>92.274598853994306</v>
      </c>
      <c r="AM5543">
        <v>93.791455866364501</v>
      </c>
      <c r="AN5543">
        <v>0.99999994649911095</v>
      </c>
    </row>
    <row r="5544" spans="1:40" x14ac:dyDescent="0.25">
      <c r="A5544" t="str">
        <f>"20190305135344426"</f>
        <v>20190305135344426</v>
      </c>
      <c r="B5544" t="str">
        <f>"1551765224415272"</f>
        <v>1551765224415272</v>
      </c>
      <c r="C5544" t="s">
        <v>40</v>
      </c>
      <c r="D5544">
        <v>4.4811459999999999</v>
      </c>
      <c r="E5544">
        <v>0.4869271</v>
      </c>
      <c r="F5544" t="s">
        <v>42</v>
      </c>
      <c r="G5544">
        <v>-297.09640000000002</v>
      </c>
      <c r="H5544" s="1">
        <v>-4.590962E-6</v>
      </c>
      <c r="I5544">
        <v>-30.86618</v>
      </c>
      <c r="J5544">
        <v>-302.55059999999997</v>
      </c>
      <c r="K5544">
        <v>1.092632</v>
      </c>
      <c r="L5544">
        <v>-4.04657</v>
      </c>
      <c r="M5544">
        <v>7.9535469999999997E-2</v>
      </c>
      <c r="N5544">
        <v>-2.4396069999999999E-3</v>
      </c>
      <c r="O5544">
        <v>-0.99682930000000003</v>
      </c>
      <c r="P5544">
        <v>0.14434659999999999</v>
      </c>
      <c r="Q5544">
        <v>-4.220662E-2</v>
      </c>
      <c r="R5544">
        <v>-0.98862700000000003</v>
      </c>
      <c r="S5544">
        <v>0.59503169999999905</v>
      </c>
      <c r="T5544">
        <v>-0.1184665</v>
      </c>
      <c r="U5544">
        <v>-2.942596</v>
      </c>
      <c r="V5544">
        <v>-6.5187690000000006E-2</v>
      </c>
      <c r="W5544">
        <v>-3.9889790000000001E-2</v>
      </c>
      <c r="X5544">
        <v>0.99707539999999995</v>
      </c>
      <c r="Y5544">
        <v>-0.1194733</v>
      </c>
      <c r="Z5544">
        <v>3.7074580000000003E-2</v>
      </c>
      <c r="AA5544">
        <v>0.9921449</v>
      </c>
      <c r="AB5544">
        <v>28</v>
      </c>
      <c r="AC5544">
        <v>5.4541999999999504</v>
      </c>
      <c r="AD5544">
        <v>-1.0926365909619999</v>
      </c>
      <c r="AE5544">
        <v>-26.819609999999901</v>
      </c>
      <c r="AF5544">
        <v>-3.2985477137358798</v>
      </c>
      <c r="AG5544">
        <v>-1.0926365909619999</v>
      </c>
      <c r="AH5544">
        <v>27.1252160929692</v>
      </c>
      <c r="AI5544">
        <v>92.289845975703003</v>
      </c>
      <c r="AJ5544">
        <v>96.933380897494104</v>
      </c>
      <c r="AK5544">
        <v>27.346875869648802</v>
      </c>
      <c r="AL5544">
        <v>92.286123183113602</v>
      </c>
      <c r="AM5544">
        <v>93.740611312460999</v>
      </c>
      <c r="AN5544">
        <v>0.99999999177946997</v>
      </c>
    </row>
    <row r="5545" spans="1:40" x14ac:dyDescent="0.25">
      <c r="A5545" t="str">
        <f>"20190305135344448"</f>
        <v>20190305135344448</v>
      </c>
      <c r="B5545" t="str">
        <f>"1551765224435768"</f>
        <v>1551765224435768</v>
      </c>
      <c r="C5545" t="s">
        <v>40</v>
      </c>
      <c r="D5545">
        <v>4.5606269999999904</v>
      </c>
      <c r="E5545">
        <v>0.48769630000000003</v>
      </c>
      <c r="F5545" t="s">
        <v>81</v>
      </c>
      <c r="G5545">
        <v>-295.87299999999999</v>
      </c>
      <c r="H5545" s="1">
        <v>-1.270356E-6</v>
      </c>
      <c r="I5545">
        <v>-40.674840000000003</v>
      </c>
      <c r="J5545">
        <v>-302.52699999999999</v>
      </c>
      <c r="K5545">
        <v>1.095045</v>
      </c>
      <c r="L5545">
        <v>-4.3252870000000003</v>
      </c>
      <c r="M5545">
        <v>8.0883579999999997E-2</v>
      </c>
      <c r="N5545">
        <v>-3.1184950000000002E-3</v>
      </c>
      <c r="O5545">
        <v>-0.99671900000000002</v>
      </c>
      <c r="P5545">
        <v>0.14273520000000001</v>
      </c>
      <c r="Q5545">
        <v>-4.1440240000000003E-2</v>
      </c>
      <c r="R5545">
        <v>-0.98889340000000003</v>
      </c>
      <c r="S5545">
        <v>0.53820800000000002</v>
      </c>
      <c r="T5545">
        <v>-8.8064429999999999E-2</v>
      </c>
      <c r="U5545">
        <v>-2.9521790000000001</v>
      </c>
      <c r="V5545">
        <v>-6.220179E-2</v>
      </c>
      <c r="W5545">
        <v>-3.846016E-2</v>
      </c>
      <c r="X5545">
        <v>0.99732229999999999</v>
      </c>
      <c r="Y5545">
        <v>-9.9125560000000001E-2</v>
      </c>
      <c r="Z5545">
        <v>2.626127E-2</v>
      </c>
      <c r="AA5545">
        <v>0.99472830000000001</v>
      </c>
      <c r="AB5545">
        <v>28</v>
      </c>
      <c r="AC5545">
        <v>6.6539999999999901</v>
      </c>
      <c r="AD5545">
        <v>-1.095046270356</v>
      </c>
      <c r="AE5545">
        <v>-36.349553</v>
      </c>
      <c r="AF5545">
        <v>-3.68886375935833</v>
      </c>
      <c r="AG5545">
        <v>-1.095046270356</v>
      </c>
      <c r="AH5545">
        <v>36.736397564555404</v>
      </c>
      <c r="AI5545">
        <v>91.698840862234405</v>
      </c>
      <c r="AJ5545">
        <v>95.734101138841893</v>
      </c>
      <c r="AK5545">
        <v>36.937376032826101</v>
      </c>
      <c r="AL5545">
        <v>92.204148447089906</v>
      </c>
      <c r="AM5545">
        <v>93.568846067623596</v>
      </c>
      <c r="AN5545">
        <v>1.0000000083318501</v>
      </c>
    </row>
    <row r="5546" spans="1:40" x14ac:dyDescent="0.25">
      <c r="A5546" t="str">
        <f>"20190305135344470"</f>
        <v>20190305135344470</v>
      </c>
      <c r="B5546" t="str">
        <f>"1551765224466024"</f>
        <v>1551765224466024</v>
      </c>
      <c r="C5546" t="s">
        <v>40</v>
      </c>
      <c r="D5546">
        <v>4.6021159999999997</v>
      </c>
      <c r="E5546">
        <v>0.50065470000000001</v>
      </c>
      <c r="F5546" t="s">
        <v>81</v>
      </c>
      <c r="G5546">
        <v>-295.89210000000003</v>
      </c>
      <c r="H5546" s="1">
        <v>-1.78677E-6</v>
      </c>
      <c r="I5546">
        <v>-41.4953</v>
      </c>
      <c r="J5546">
        <v>-302.5027</v>
      </c>
      <c r="K5546">
        <v>1.097262</v>
      </c>
      <c r="L5546">
        <v>-4.6054079999999997</v>
      </c>
      <c r="M5546">
        <v>8.2415859999999994E-2</v>
      </c>
      <c r="N5546">
        <v>-3.773027E-3</v>
      </c>
      <c r="O5546">
        <v>-0.99659089999999995</v>
      </c>
      <c r="P5546">
        <v>0.1408382</v>
      </c>
      <c r="Q5546">
        <v>-4.1462510000000001E-2</v>
      </c>
      <c r="R5546">
        <v>-0.98916420000000005</v>
      </c>
      <c r="S5546">
        <v>0.52728269999999899</v>
      </c>
      <c r="T5546">
        <v>-8.7024809999999994E-2</v>
      </c>
      <c r="U5546">
        <v>-2.9539490000000002</v>
      </c>
      <c r="V5546">
        <v>-5.8743579999999997E-2</v>
      </c>
      <c r="W5546">
        <v>-3.7842559999999997E-2</v>
      </c>
      <c r="X5546">
        <v>0.99755559999999999</v>
      </c>
      <c r="Y5546">
        <v>-9.392963E-2</v>
      </c>
      <c r="Z5546">
        <v>2.52596E-2</v>
      </c>
      <c r="AA5546">
        <v>0.99525830000000004</v>
      </c>
      <c r="AB5546">
        <v>28</v>
      </c>
      <c r="AC5546">
        <v>6.6105999999999696</v>
      </c>
      <c r="AD5546">
        <v>-1.0972637867699999</v>
      </c>
      <c r="AE5546">
        <v>-36.889891999999897</v>
      </c>
      <c r="AF5546">
        <v>-3.5447382874637001</v>
      </c>
      <c r="AG5546">
        <v>-1.0972637867699999</v>
      </c>
      <c r="AH5546">
        <v>37.277259979750603</v>
      </c>
      <c r="AI5546">
        <v>91.678459029228193</v>
      </c>
      <c r="AJ5546">
        <v>95.431989421401795</v>
      </c>
      <c r="AK5546">
        <v>37.461490479454802</v>
      </c>
      <c r="AL5546">
        <v>92.168736764540697</v>
      </c>
      <c r="AM5546">
        <v>93.370114664004902</v>
      </c>
      <c r="AN5546">
        <v>1.00000002131496</v>
      </c>
    </row>
    <row r="5547" spans="1:40" x14ac:dyDescent="0.25">
      <c r="A5547" t="str">
        <f>"20190305135344493"</f>
        <v>20190305135344493</v>
      </c>
      <c r="B5547" t="str">
        <f>"1551765224485544"</f>
        <v>1551765224485544</v>
      </c>
      <c r="C5547" t="s">
        <v>40</v>
      </c>
      <c r="D5547">
        <v>4.6004129999999996</v>
      </c>
      <c r="E5547">
        <v>0.50116689999999997</v>
      </c>
      <c r="F5547" t="s">
        <v>42</v>
      </c>
      <c r="G5547">
        <v>-300.38619999999997</v>
      </c>
      <c r="H5547" s="1">
        <v>-3.6549430000000001E-7</v>
      </c>
      <c r="I5547">
        <v>-19.798449999999999</v>
      </c>
      <c r="J5547">
        <v>-302.47789999999998</v>
      </c>
      <c r="K5547">
        <v>1.0992249999999999</v>
      </c>
      <c r="L5547">
        <v>-4.8838200000000001</v>
      </c>
      <c r="M5547">
        <v>8.4118899999999996E-2</v>
      </c>
      <c r="N5547">
        <v>-4.3792830000000003E-3</v>
      </c>
      <c r="O5547">
        <v>-0.9964461</v>
      </c>
      <c r="P5547">
        <v>0.13962060000000001</v>
      </c>
      <c r="Q5547">
        <v>-4.2928439999999998E-2</v>
      </c>
      <c r="R5547">
        <v>-0.98927430000000005</v>
      </c>
      <c r="S5547">
        <v>0.41305540000000002</v>
      </c>
      <c r="T5547">
        <v>-0.21414269999999999</v>
      </c>
      <c r="U5547">
        <v>-2.9650880000000002</v>
      </c>
      <c r="V5547">
        <v>-5.5799910000000001E-2</v>
      </c>
      <c r="W5547">
        <v>-3.8715819999999998E-2</v>
      </c>
      <c r="X5547">
        <v>0.99769099999999999</v>
      </c>
      <c r="Y5547">
        <v>-5.385061E-2</v>
      </c>
      <c r="Z5547">
        <v>6.6914550000000003E-2</v>
      </c>
      <c r="AA5547">
        <v>0.99630450000000004</v>
      </c>
      <c r="AB5547">
        <v>28</v>
      </c>
      <c r="AC5547">
        <v>2.0916999999999999</v>
      </c>
      <c r="AD5547">
        <v>-1.0992253654942901</v>
      </c>
      <c r="AE5547">
        <v>-14.914630000000001</v>
      </c>
      <c r="AF5547">
        <v>-0.82527568259890705</v>
      </c>
      <c r="AG5547">
        <v>-1.0992253654942901</v>
      </c>
      <c r="AH5547">
        <v>14.958037906230199</v>
      </c>
      <c r="AI5547">
        <v>94.196595841972794</v>
      </c>
      <c r="AJ5547">
        <v>93.157962461120306</v>
      </c>
      <c r="AK5547">
        <v>15.0210610264606</v>
      </c>
      <c r="AL5547">
        <v>92.218807760006598</v>
      </c>
      <c r="AM5547">
        <v>93.201163497926103</v>
      </c>
      <c r="AN5547">
        <v>0.99999993807763798</v>
      </c>
    </row>
    <row r="5548" spans="1:40" x14ac:dyDescent="0.25">
      <c r="A5548" t="str">
        <f>"20190305135344515"</f>
        <v>20190305135344515</v>
      </c>
      <c r="B5548" t="str">
        <f>"1551765224506040"</f>
        <v>1551765224506040</v>
      </c>
      <c r="C5548" t="s">
        <v>40</v>
      </c>
      <c r="D5548">
        <v>4.6573359999999999</v>
      </c>
      <c r="E5548">
        <v>0.50102340000000001</v>
      </c>
      <c r="F5548" t="s">
        <v>42</v>
      </c>
      <c r="G5548">
        <v>-300.60829999999999</v>
      </c>
      <c r="H5548" s="1">
        <v>-9.4186419999999998E-7</v>
      </c>
      <c r="I5548">
        <v>-18.592639999999999</v>
      </c>
      <c r="J5548">
        <v>-302.45330000000001</v>
      </c>
      <c r="K5548">
        <v>1.100897</v>
      </c>
      <c r="L5548">
        <v>-5.1530149999999999</v>
      </c>
      <c r="M5548">
        <v>8.5923299999999994E-2</v>
      </c>
      <c r="N5548">
        <v>-4.9175249999999998E-3</v>
      </c>
      <c r="O5548">
        <v>-0.9962896</v>
      </c>
      <c r="P5548">
        <v>0.13919609999999999</v>
      </c>
      <c r="Q5548">
        <v>-4.5321899999999998E-2</v>
      </c>
      <c r="R5548">
        <v>-0.98922730000000003</v>
      </c>
      <c r="S5548">
        <v>0.40438839999999998</v>
      </c>
      <c r="T5548">
        <v>-0.23775460000000001</v>
      </c>
      <c r="U5548">
        <v>-2.9651179999999999</v>
      </c>
      <c r="V5548">
        <v>-5.3556989999999999E-2</v>
      </c>
      <c r="W5548">
        <v>-4.0582119999999999E-2</v>
      </c>
      <c r="X5548">
        <v>0.99773979999999995</v>
      </c>
      <c r="Y5548">
        <v>-4.9111019999999998E-2</v>
      </c>
      <c r="Z5548">
        <v>7.4199669999999995E-2</v>
      </c>
      <c r="AA5548">
        <v>0.99603339999999996</v>
      </c>
      <c r="AB5548">
        <v>28</v>
      </c>
      <c r="AC5548">
        <v>1.84500000000002</v>
      </c>
      <c r="AD5548">
        <v>-1.1008979418642</v>
      </c>
      <c r="AE5548">
        <v>-13.439624999999999</v>
      </c>
      <c r="AF5548">
        <v>-0.67891443391863104</v>
      </c>
      <c r="AG5548">
        <v>-1.1008979418642</v>
      </c>
      <c r="AH5548">
        <v>13.459807014763101</v>
      </c>
      <c r="AI5548">
        <v>94.669989216110906</v>
      </c>
      <c r="AJ5548">
        <v>92.887559454779407</v>
      </c>
      <c r="AK5548">
        <v>13.521808531466901</v>
      </c>
      <c r="AL5548">
        <v>92.325822937807601</v>
      </c>
      <c r="AM5548">
        <v>93.072592009255601</v>
      </c>
      <c r="AN5548">
        <v>0.999999984072797</v>
      </c>
    </row>
    <row r="5549" spans="1:40" x14ac:dyDescent="0.25">
      <c r="A5549" t="str">
        <f>"20190305135344537"</f>
        <v>20190305135344537</v>
      </c>
      <c r="B5549" t="str">
        <f>"1551765224525560"</f>
        <v>1551765224525560</v>
      </c>
      <c r="C5549" t="s">
        <v>40</v>
      </c>
      <c r="D5549">
        <v>4.620679</v>
      </c>
      <c r="E5549">
        <v>0.50072490000000003</v>
      </c>
      <c r="F5549" t="s">
        <v>42</v>
      </c>
      <c r="G5549">
        <v>-300.70740000000001</v>
      </c>
      <c r="H5549" s="1">
        <v>-1.2330289999999901E-6</v>
      </c>
      <c r="I5549">
        <v>-17.975429999999999</v>
      </c>
      <c r="J5549">
        <v>-302.42790000000002</v>
      </c>
      <c r="K5549">
        <v>1.102355</v>
      </c>
      <c r="L5549">
        <v>-5.4241640000000002</v>
      </c>
      <c r="M5549">
        <v>8.786215E-2</v>
      </c>
      <c r="N5549">
        <v>-5.4113850000000003E-3</v>
      </c>
      <c r="O5549">
        <v>-0.99611810000000001</v>
      </c>
      <c r="P5549">
        <v>0.1400132</v>
      </c>
      <c r="Q5549">
        <v>-4.6180239999999997E-2</v>
      </c>
      <c r="R5549">
        <v>-0.98907210000000001</v>
      </c>
      <c r="S5549">
        <v>0.40359499999999998</v>
      </c>
      <c r="T5549">
        <v>-0.25450109999999998</v>
      </c>
      <c r="U5549">
        <v>-2.9642330000000001</v>
      </c>
      <c r="V5549">
        <v>-5.2432409999999999E-2</v>
      </c>
      <c r="W5549">
        <v>-4.0956449999999998E-2</v>
      </c>
      <c r="X5549">
        <v>0.99778429999999996</v>
      </c>
      <c r="Y5549">
        <v>-4.6890889999999998E-2</v>
      </c>
      <c r="Z5549">
        <v>7.9253320000000002E-2</v>
      </c>
      <c r="AA5549">
        <v>0.99575100000000005</v>
      </c>
      <c r="AB5549">
        <v>28</v>
      </c>
      <c r="AC5549">
        <v>1.7205000000000099</v>
      </c>
      <c r="AD5549">
        <v>-1.102356233029</v>
      </c>
      <c r="AE5549">
        <v>-12.551265999999901</v>
      </c>
      <c r="AF5549">
        <v>-0.60645701554054499</v>
      </c>
      <c r="AG5549">
        <v>-1.102356233029</v>
      </c>
      <c r="AH5549">
        <v>12.558803936621601</v>
      </c>
      <c r="AI5549">
        <v>95.0105047840363</v>
      </c>
      <c r="AJ5549">
        <v>92.764630817733604</v>
      </c>
      <c r="AK5549">
        <v>12.6216692911318</v>
      </c>
      <c r="AL5549">
        <v>92.347288161827507</v>
      </c>
      <c r="AM5549">
        <v>93.008060127883695</v>
      </c>
      <c r="AN5549">
        <v>1.0000000488707399</v>
      </c>
    </row>
    <row r="5550" spans="1:40" x14ac:dyDescent="0.25">
      <c r="A5550" t="str">
        <f>"20190305135344559"</f>
        <v>20190305135344559</v>
      </c>
      <c r="B5550" t="str">
        <f>"1551765224555816"</f>
        <v>1551765224555816</v>
      </c>
      <c r="C5550" t="s">
        <v>40</v>
      </c>
      <c r="D5550">
        <v>4.6375029999999997</v>
      </c>
      <c r="E5550">
        <v>0.50105909999999998</v>
      </c>
      <c r="F5550" t="s">
        <v>42</v>
      </c>
      <c r="G5550">
        <v>-300.69510000000002</v>
      </c>
      <c r="H5550" s="1">
        <v>-1.2163060000000001E-6</v>
      </c>
      <c r="I5550">
        <v>-18.006740000000001</v>
      </c>
      <c r="J5550">
        <v>-302.40100000000001</v>
      </c>
      <c r="K5550">
        <v>1.103648</v>
      </c>
      <c r="L5550">
        <v>-5.7037959999999996</v>
      </c>
      <c r="M5550">
        <v>8.9946139999999994E-2</v>
      </c>
      <c r="N5550">
        <v>-5.8716609999999898E-3</v>
      </c>
      <c r="O5550">
        <v>-0.99592930000000002</v>
      </c>
      <c r="P5550">
        <v>0.14101259999999999</v>
      </c>
      <c r="Q5550">
        <v>-4.5156969999999998E-2</v>
      </c>
      <c r="R5550">
        <v>-0.98897780000000002</v>
      </c>
      <c r="S5550">
        <v>0.40808109999999997</v>
      </c>
      <c r="T5550">
        <v>-0.25961020000000001</v>
      </c>
      <c r="U5550">
        <v>-2.963257</v>
      </c>
      <c r="V5550">
        <v>-5.1346849999999999E-2</v>
      </c>
      <c r="W5550">
        <v>-3.9478109999999997E-2</v>
      </c>
      <c r="X5550">
        <v>0.99790029999999996</v>
      </c>
      <c r="Y5550">
        <v>-4.630956E-2</v>
      </c>
      <c r="Z5550">
        <v>8.0481549999999999E-2</v>
      </c>
      <c r="AA5550">
        <v>0.99567969999999895</v>
      </c>
      <c r="AB5550">
        <v>28</v>
      </c>
      <c r="AC5550">
        <v>1.70589999999998</v>
      </c>
      <c r="AD5550">
        <v>-1.1036492163060001</v>
      </c>
      <c r="AE5550">
        <v>-12.302944</v>
      </c>
      <c r="AF5550">
        <v>-0.58772338936373503</v>
      </c>
      <c r="AG5550">
        <v>-1.1036492163060001</v>
      </c>
      <c r="AH5550">
        <v>12.3093287346632</v>
      </c>
      <c r="AI5550">
        <v>95.117616951844994</v>
      </c>
      <c r="AJ5550">
        <v>92.733578451301</v>
      </c>
      <c r="AK5550">
        <v>12.372672883134999</v>
      </c>
      <c r="AL5550">
        <v>92.262517009934996</v>
      </c>
      <c r="AM5550">
        <v>92.945550303598097</v>
      </c>
      <c r="AN5550">
        <v>1.00000001445709</v>
      </c>
    </row>
    <row r="5551" spans="1:40" x14ac:dyDescent="0.25">
      <c r="A5551" t="str">
        <f>"20190305135344583"</f>
        <v>20190305135344583</v>
      </c>
      <c r="B5551" t="str">
        <f>"1551765224575335"</f>
        <v>1551765224575335</v>
      </c>
      <c r="C5551" t="s">
        <v>40</v>
      </c>
      <c r="D5551">
        <v>4.6519899999999996</v>
      </c>
      <c r="E5551">
        <v>0.50109029999999999</v>
      </c>
      <c r="F5551" t="s">
        <v>42</v>
      </c>
      <c r="G5551">
        <v>-300.601</v>
      </c>
      <c r="H5551" s="1">
        <v>-8.6643349999999995E-7</v>
      </c>
      <c r="I5551">
        <v>-18.763960000000001</v>
      </c>
      <c r="J5551">
        <v>-302.37270000000001</v>
      </c>
      <c r="K5551">
        <v>1.1047750000000001</v>
      </c>
      <c r="L5551">
        <v>-5.9921569999999997</v>
      </c>
      <c r="M5551">
        <v>9.2137739999999996E-2</v>
      </c>
      <c r="N5551">
        <v>-6.2971019999999997E-3</v>
      </c>
      <c r="O5551">
        <v>-0.99572640000000001</v>
      </c>
      <c r="P5551">
        <v>0.14275789999999999</v>
      </c>
      <c r="Q5551">
        <v>-4.3999660000000003E-2</v>
      </c>
      <c r="R5551">
        <v>-0.98877919999999997</v>
      </c>
      <c r="S5551">
        <v>0.4084778</v>
      </c>
      <c r="T5551">
        <v>-0.2504538</v>
      </c>
      <c r="U5551">
        <v>-2.9637760000000002</v>
      </c>
      <c r="V5551">
        <v>-5.0908849999999999E-2</v>
      </c>
      <c r="W5551">
        <v>-3.7899090000000003E-2</v>
      </c>
      <c r="X5551">
        <v>0.99798390000000003</v>
      </c>
      <c r="Y5551">
        <v>-4.425573E-2</v>
      </c>
      <c r="Z5551">
        <v>7.7001280000000005E-2</v>
      </c>
      <c r="AA5551">
        <v>0.9960483</v>
      </c>
      <c r="AB5551">
        <v>28</v>
      </c>
      <c r="AC5551">
        <v>1.7717000000000001</v>
      </c>
      <c r="AD5551">
        <v>-1.1047758664334999</v>
      </c>
      <c r="AE5551">
        <v>-12.771803</v>
      </c>
      <c r="AF5551">
        <v>-0.58309441732117795</v>
      </c>
      <c r="AG5551">
        <v>-1.1047758664334999</v>
      </c>
      <c r="AH5551">
        <v>12.7868461285011</v>
      </c>
      <c r="AI5551">
        <v>94.932957236304105</v>
      </c>
      <c r="AJ5551">
        <v>92.610942543041403</v>
      </c>
      <c r="AK5551">
        <v>12.847722083253799</v>
      </c>
      <c r="AL5551">
        <v>92.171978156859694</v>
      </c>
      <c r="AM5551">
        <v>92.920223571032395</v>
      </c>
      <c r="AN5551">
        <v>0.99999995834517896</v>
      </c>
    </row>
    <row r="5552" spans="1:40" x14ac:dyDescent="0.25">
      <c r="A5552" t="str">
        <f>"20190305135344605"</f>
        <v>20190305135344605</v>
      </c>
      <c r="B5552" t="str">
        <f>"1551765224595832"</f>
        <v>1551765224595832</v>
      </c>
      <c r="C5552" t="s">
        <v>40</v>
      </c>
      <c r="D5552">
        <v>4.6352520000000004</v>
      </c>
      <c r="E5552">
        <v>0.5011835</v>
      </c>
      <c r="F5552" t="s">
        <v>42</v>
      </c>
      <c r="G5552">
        <v>-300.51609999999999</v>
      </c>
      <c r="H5552" s="1">
        <v>-6.1906170000000001E-7</v>
      </c>
      <c r="I5552">
        <v>-19.287939999999999</v>
      </c>
      <c r="J5552">
        <v>-302.34460000000001</v>
      </c>
      <c r="K5552">
        <v>1.1056680000000001</v>
      </c>
      <c r="L5552">
        <v>-6.2720949999999904</v>
      </c>
      <c r="M5552">
        <v>9.4261010000000006E-2</v>
      </c>
      <c r="N5552">
        <v>-6.6651899999999997E-3</v>
      </c>
      <c r="O5552">
        <v>-0.9955252</v>
      </c>
      <c r="P5552">
        <v>0.14466379999999901</v>
      </c>
      <c r="Q5552">
        <v>-4.5184330000000002E-2</v>
      </c>
      <c r="R5552">
        <v>-0.98844909999999997</v>
      </c>
      <c r="S5552">
        <v>0.41378779999999998</v>
      </c>
      <c r="T5552">
        <v>-0.24623110000000001</v>
      </c>
      <c r="U5552">
        <v>-2.9633479999999999</v>
      </c>
      <c r="V5552">
        <v>-5.0705500000000001E-2</v>
      </c>
      <c r="W5552">
        <v>-3.8717469999999997E-2</v>
      </c>
      <c r="X5552">
        <v>0.99796289999999999</v>
      </c>
      <c r="Y5552">
        <v>-4.3913920000000002E-2</v>
      </c>
      <c r="Z5552">
        <v>7.5221369999999996E-2</v>
      </c>
      <c r="AA5552">
        <v>0.99619939999999996</v>
      </c>
      <c r="AB5552">
        <v>28</v>
      </c>
      <c r="AC5552">
        <v>1.82850000000002</v>
      </c>
      <c r="AD5552">
        <v>-1.1056686190617</v>
      </c>
      <c r="AE5552">
        <v>-13.015845000000001</v>
      </c>
      <c r="AF5552">
        <v>-0.58927432597485097</v>
      </c>
      <c r="AG5552">
        <v>-1.1056686190617</v>
      </c>
      <c r="AH5552">
        <v>13.0379865488741</v>
      </c>
      <c r="AI5552">
        <v>94.8423726081529</v>
      </c>
      <c r="AJ5552">
        <v>92.587820610638701</v>
      </c>
      <c r="AK5552">
        <v>13.0980472046428</v>
      </c>
      <c r="AL5552">
        <v>92.218902187126304</v>
      </c>
      <c r="AM5552">
        <v>92.908640217023205</v>
      </c>
      <c r="AN5552">
        <v>1.0000000199949299</v>
      </c>
    </row>
    <row r="5553" spans="1:40" x14ac:dyDescent="0.25">
      <c r="A5553" t="str">
        <f>"20190305135344627"</f>
        <v>20190305135344627</v>
      </c>
      <c r="B5553" t="str">
        <f>"1551765224615351"</f>
        <v>1551765224615351</v>
      </c>
      <c r="C5553" t="s">
        <v>40</v>
      </c>
      <c r="D5553">
        <v>4.6997470000000003</v>
      </c>
      <c r="E5553">
        <v>0.50118640000000003</v>
      </c>
      <c r="F5553" t="s">
        <v>42</v>
      </c>
      <c r="G5553">
        <v>-300.47109999999998</v>
      </c>
      <c r="H5553" s="1">
        <v>-5.0687089999999997E-7</v>
      </c>
      <c r="I5553">
        <v>-19.521560000000001</v>
      </c>
      <c r="J5553">
        <v>-302.31779999999998</v>
      </c>
      <c r="K5553">
        <v>1.106352</v>
      </c>
      <c r="L5553">
        <v>-6.5330810000000001</v>
      </c>
      <c r="M5553">
        <v>9.6195249999999996E-2</v>
      </c>
      <c r="N5553">
        <v>-6.9695260000000002E-3</v>
      </c>
      <c r="O5553">
        <v>-0.99533839999999996</v>
      </c>
      <c r="P5553">
        <v>0.14688560000000001</v>
      </c>
      <c r="Q5553">
        <v>-4.6884210000000003E-2</v>
      </c>
      <c r="R5553">
        <v>-0.98804219999999998</v>
      </c>
      <c r="S5553">
        <v>0.41888429999999999</v>
      </c>
      <c r="T5553">
        <v>-0.24721750000000001</v>
      </c>
      <c r="U5553">
        <v>-2.9624630000000001</v>
      </c>
      <c r="V5553">
        <v>-5.101294E-2</v>
      </c>
      <c r="W5553">
        <v>-4.0114089999999998E-2</v>
      </c>
      <c r="X5553">
        <v>0.997892</v>
      </c>
      <c r="Y5553">
        <v>-4.3693000000000003E-2</v>
      </c>
      <c r="Z5553">
        <v>7.5239130000000001E-2</v>
      </c>
      <c r="AA5553">
        <v>0.99620779999999998</v>
      </c>
      <c r="AB5553">
        <v>28</v>
      </c>
      <c r="AC5553">
        <v>1.84669999999999</v>
      </c>
      <c r="AD5553">
        <v>-1.1063525068708999</v>
      </c>
      <c r="AE5553">
        <v>-12.988479</v>
      </c>
      <c r="AF5553">
        <v>-0.58451857918662098</v>
      </c>
      <c r="AG5553">
        <v>-1.1063525068708999</v>
      </c>
      <c r="AH5553">
        <v>13.0133417416664</v>
      </c>
      <c r="AI5553">
        <v>94.854546668421307</v>
      </c>
      <c r="AJ5553">
        <v>92.571818439569697</v>
      </c>
      <c r="AK5553">
        <v>13.073359978378599</v>
      </c>
      <c r="AL5553">
        <v>92.298985012684</v>
      </c>
      <c r="AM5553">
        <v>92.926453010923197</v>
      </c>
      <c r="AN5553">
        <v>0.99999995196398395</v>
      </c>
    </row>
    <row r="5554" spans="1:40" x14ac:dyDescent="0.25">
      <c r="A5554" t="str">
        <f>"20190305135344649"</f>
        <v>20190305135344649</v>
      </c>
      <c r="B5554" t="str">
        <f>"1551765224645607"</f>
        <v>1551765224645607</v>
      </c>
      <c r="C5554" t="s">
        <v>40</v>
      </c>
      <c r="D5554">
        <v>4.6285780000000001</v>
      </c>
      <c r="E5554">
        <v>0.50107449999999998</v>
      </c>
      <c r="F5554" t="s">
        <v>42</v>
      </c>
      <c r="G5554">
        <v>-300.43619999999999</v>
      </c>
      <c r="H5554" s="1">
        <v>-4.5671480000000001E-7</v>
      </c>
      <c r="I5554">
        <v>-19.616800000000001</v>
      </c>
      <c r="J5554">
        <v>-302.28820000000002</v>
      </c>
      <c r="K5554">
        <v>1.1069450000000001</v>
      </c>
      <c r="L5554">
        <v>-6.8166200000000003</v>
      </c>
      <c r="M5554">
        <v>9.8189269999999995E-2</v>
      </c>
      <c r="N5554">
        <v>-7.2629359999999898E-3</v>
      </c>
      <c r="O5554">
        <v>-0.99514130000000001</v>
      </c>
      <c r="P5554">
        <v>0.1494586</v>
      </c>
      <c r="Q5554">
        <v>-4.8255850000000003E-2</v>
      </c>
      <c r="R5554">
        <v>-0.98758970000000001</v>
      </c>
      <c r="S5554">
        <v>0.42584230000000001</v>
      </c>
      <c r="T5554">
        <v>-0.25039060000000002</v>
      </c>
      <c r="U5554">
        <v>-2.9611209999999999</v>
      </c>
      <c r="V5554">
        <v>-5.1619730000000003E-2</v>
      </c>
      <c r="W5554">
        <v>-4.1190270000000001E-2</v>
      </c>
      <c r="X5554">
        <v>0.99781699999999995</v>
      </c>
      <c r="Y5554">
        <v>-4.4038790000000001E-2</v>
      </c>
      <c r="Z5554">
        <v>7.5996449999999993E-2</v>
      </c>
      <c r="AA5554">
        <v>0.99613510000000005</v>
      </c>
      <c r="AB5554">
        <v>28</v>
      </c>
      <c r="AC5554">
        <v>1.8520000000000301</v>
      </c>
      <c r="AD5554">
        <v>-1.1069454567148</v>
      </c>
      <c r="AE5554">
        <v>-12.800179999999999</v>
      </c>
      <c r="AF5554">
        <v>-0.58191412324974601</v>
      </c>
      <c r="AG5554">
        <v>-1.1069454567148</v>
      </c>
      <c r="AH5554">
        <v>12.8262191780797</v>
      </c>
      <c r="AI5554">
        <v>94.927550782795507</v>
      </c>
      <c r="AJ5554">
        <v>92.597677071798401</v>
      </c>
      <c r="AK5554">
        <v>12.8870419683929</v>
      </c>
      <c r="AL5554">
        <v>92.360696490123004</v>
      </c>
      <c r="AM5554">
        <v>92.961423246944193</v>
      </c>
      <c r="AN5554">
        <v>1.0000000001784699</v>
      </c>
    </row>
    <row r="5555" spans="1:40" x14ac:dyDescent="0.25">
      <c r="A5555" t="str">
        <f>"20190305135344673"</f>
        <v>20190305135344673</v>
      </c>
      <c r="B5555" t="str">
        <f>"1551765224665635"</f>
        <v>1551765224665635</v>
      </c>
      <c r="C5555" t="s">
        <v>40</v>
      </c>
      <c r="D5555">
        <v>4.648695</v>
      </c>
      <c r="E5555">
        <v>0.50105359999999999</v>
      </c>
      <c r="F5555" t="s">
        <v>42</v>
      </c>
      <c r="G5555">
        <v>-300.38080000000002</v>
      </c>
      <c r="H5555" s="1">
        <v>-3.6191759999999902E-7</v>
      </c>
      <c r="I5555">
        <v>-19.8034</v>
      </c>
      <c r="J5555">
        <v>-302.25689999999997</v>
      </c>
      <c r="K5555">
        <v>1.107424</v>
      </c>
      <c r="L5555">
        <v>-7.1122129999999997</v>
      </c>
      <c r="M5555">
        <v>0.1001387</v>
      </c>
      <c r="N5555">
        <v>-7.5331759999999999E-3</v>
      </c>
      <c r="O5555">
        <v>-0.99494499999999997</v>
      </c>
      <c r="P5555">
        <v>0.15132279999999901</v>
      </c>
      <c r="Q5555">
        <v>-5.1155880000000001E-2</v>
      </c>
      <c r="R5555">
        <v>-0.98715980000000003</v>
      </c>
      <c r="S5555">
        <v>0.43469239999999998</v>
      </c>
      <c r="T5555">
        <v>-0.25226490000000001</v>
      </c>
      <c r="U5555">
        <v>-2.9595950000000002</v>
      </c>
      <c r="V5555">
        <v>-5.1560689999999999E-2</v>
      </c>
      <c r="W5555">
        <v>-4.3812759999999999E-2</v>
      </c>
      <c r="X5555">
        <v>0.99770829999999999</v>
      </c>
      <c r="Y5555">
        <v>-4.506574E-2</v>
      </c>
      <c r="Z5555">
        <v>7.6347999999999999E-2</v>
      </c>
      <c r="AA5555">
        <v>0.99606229999999996</v>
      </c>
      <c r="AB5555">
        <v>28</v>
      </c>
      <c r="AC5555">
        <v>1.8760999999999499</v>
      </c>
      <c r="AD5555">
        <v>-1.1074243619176001</v>
      </c>
      <c r="AE5555">
        <v>-12.691186999999999</v>
      </c>
      <c r="AF5555">
        <v>-0.59134788944652295</v>
      </c>
      <c r="AG5555">
        <v>-1.1074243619176001</v>
      </c>
      <c r="AH5555">
        <v>12.7204816669551</v>
      </c>
      <c r="AI5555">
        <v>94.970191428575006</v>
      </c>
      <c r="AJ5555">
        <v>92.661641537537903</v>
      </c>
      <c r="AK5555">
        <v>12.782282068670799</v>
      </c>
      <c r="AL5555">
        <v>92.511090145299505</v>
      </c>
      <c r="AM5555">
        <v>92.958363847126705</v>
      </c>
      <c r="AN5555">
        <v>0.99999995729049096</v>
      </c>
    </row>
    <row r="5556" spans="1:40" x14ac:dyDescent="0.25">
      <c r="A5556" t="str">
        <f>"20190305135344696"</f>
        <v>20190305135344696</v>
      </c>
      <c r="B5556" t="str">
        <f>"1551765224686133"</f>
        <v>1551765224686133</v>
      </c>
      <c r="C5556" t="s">
        <v>40</v>
      </c>
      <c r="D5556">
        <v>4.6738030000000004</v>
      </c>
      <c r="E5556">
        <v>0.50101379999999995</v>
      </c>
      <c r="F5556" t="s">
        <v>42</v>
      </c>
      <c r="G5556">
        <v>-300.3775</v>
      </c>
      <c r="H5556" s="1">
        <v>-3.9490389999999998E-7</v>
      </c>
      <c r="I5556">
        <v>-19.72447</v>
      </c>
      <c r="J5556">
        <v>-302.22480000000002</v>
      </c>
      <c r="K5556">
        <v>1.1077779999999999</v>
      </c>
      <c r="L5556">
        <v>-7.411835</v>
      </c>
      <c r="M5556">
        <v>0.10190689999999999</v>
      </c>
      <c r="N5556">
        <v>-7.7745059999999996E-3</v>
      </c>
      <c r="O5556">
        <v>-0.99476390000000003</v>
      </c>
      <c r="P5556">
        <v>0.1536274</v>
      </c>
      <c r="Q5556">
        <v>-5.4523170000000003E-2</v>
      </c>
      <c r="R5556">
        <v>-0.9866239</v>
      </c>
      <c r="S5556">
        <v>0.44079590000000002</v>
      </c>
      <c r="T5556">
        <v>-0.25972899999999999</v>
      </c>
      <c r="U5556">
        <v>-2.958008</v>
      </c>
      <c r="V5556">
        <v>-5.213798E-2</v>
      </c>
      <c r="W5556">
        <v>-4.692822E-2</v>
      </c>
      <c r="X5556">
        <v>0.99753670000000005</v>
      </c>
      <c r="Y5556">
        <v>-4.5351299999999997E-2</v>
      </c>
      <c r="Z5556">
        <v>7.8582490000000005E-2</v>
      </c>
      <c r="AA5556">
        <v>0.99587550000000002</v>
      </c>
      <c r="AB5556">
        <v>28</v>
      </c>
      <c r="AC5556">
        <v>1.8473000000000099</v>
      </c>
      <c r="AD5556">
        <v>-1.1077783949039</v>
      </c>
      <c r="AE5556">
        <v>-12.312635</v>
      </c>
      <c r="AF5556">
        <v>-0.57832397432015903</v>
      </c>
      <c r="AG5556">
        <v>-1.1077783949039</v>
      </c>
      <c r="AH5556">
        <v>12.3391058710693</v>
      </c>
      <c r="AI5556">
        <v>95.124542808527593</v>
      </c>
      <c r="AJ5556">
        <v>92.683443356661797</v>
      </c>
      <c r="AK5556">
        <v>12.402224207332599</v>
      </c>
      <c r="AL5556">
        <v>92.689776699095404</v>
      </c>
      <c r="AM5556">
        <v>92.991940469617802</v>
      </c>
      <c r="AN5556">
        <v>1.0000000473188599</v>
      </c>
    </row>
    <row r="5557" spans="1:40" x14ac:dyDescent="0.25">
      <c r="A5557" t="str">
        <f>"20190305135344719"</f>
        <v>20190305135344719</v>
      </c>
      <c r="B5557" t="str">
        <f>"1551765224715411"</f>
        <v>1551765224715411</v>
      </c>
      <c r="C5557" t="s">
        <v>40</v>
      </c>
      <c r="D5557">
        <v>4.6535710000000003</v>
      </c>
      <c r="E5557">
        <v>0.50089589999999995</v>
      </c>
      <c r="F5557" t="s">
        <v>42</v>
      </c>
      <c r="G5557">
        <v>-300.37389999999999</v>
      </c>
      <c r="H5557" s="1">
        <v>-4.3909349999999999E-7</v>
      </c>
      <c r="I5557">
        <v>-19.61927</v>
      </c>
      <c r="J5557">
        <v>-302.1943</v>
      </c>
      <c r="K5557">
        <v>1.1079840000000001</v>
      </c>
      <c r="L5557">
        <v>-7.6934809999999896</v>
      </c>
      <c r="M5557">
        <v>0.10328950000000001</v>
      </c>
      <c r="N5557">
        <v>-7.9743560000000002E-3</v>
      </c>
      <c r="O5557">
        <v>-0.99461949999999999</v>
      </c>
      <c r="P5557">
        <v>0.15627179999999999</v>
      </c>
      <c r="Q5557">
        <v>-5.7064959999999998E-2</v>
      </c>
      <c r="R5557">
        <v>-0.98606439999999995</v>
      </c>
      <c r="S5557">
        <v>0.4481812</v>
      </c>
      <c r="T5557">
        <v>-0.26825070000000001</v>
      </c>
      <c r="U5557">
        <v>-2.9560550000000001</v>
      </c>
      <c r="V5557">
        <v>-5.3452850000000003E-2</v>
      </c>
      <c r="W5557">
        <v>-4.9254560000000003E-2</v>
      </c>
      <c r="X5557">
        <v>0.99735490000000004</v>
      </c>
      <c r="Y5557">
        <v>-4.6458190000000003E-2</v>
      </c>
      <c r="Z5557">
        <v>8.1216830000000004E-2</v>
      </c>
      <c r="AA5557">
        <v>0.99561310000000003</v>
      </c>
      <c r="AB5557">
        <v>28</v>
      </c>
      <c r="AC5557">
        <v>1.8204</v>
      </c>
      <c r="AD5557">
        <v>-1.1079844390934901</v>
      </c>
      <c r="AE5557">
        <v>-11.925789</v>
      </c>
      <c r="AF5557">
        <v>-0.57397336280030498</v>
      </c>
      <c r="AG5557">
        <v>-1.1079844390934901</v>
      </c>
      <c r="AH5557">
        <v>11.9492390868404</v>
      </c>
      <c r="AI5557">
        <v>95.291495079455601</v>
      </c>
      <c r="AJ5557">
        <v>92.750049037216399</v>
      </c>
      <c r="AK5557">
        <v>12.014216149751601</v>
      </c>
      <c r="AL5557">
        <v>92.823220701380095</v>
      </c>
      <c r="AM5557">
        <v>93.067810074365894</v>
      </c>
      <c r="AN5557">
        <v>1.0000000077039599</v>
      </c>
    </row>
    <row r="5558" spans="1:40" x14ac:dyDescent="0.25">
      <c r="A5558" t="str">
        <f>"20190305135344738"</f>
        <v>20190305135344738</v>
      </c>
      <c r="B5558" t="str">
        <f>"1551765224726148"</f>
        <v>1551765224726148</v>
      </c>
      <c r="C5558" t="s">
        <v>40</v>
      </c>
      <c r="D5558">
        <v>4.6279250000000003</v>
      </c>
      <c r="E5558">
        <v>0.50090829999999997</v>
      </c>
      <c r="F5558" t="s">
        <v>42</v>
      </c>
      <c r="G5558">
        <v>-300.35109999999997</v>
      </c>
      <c r="H5558" s="1">
        <v>-4.3495929999999997E-7</v>
      </c>
      <c r="I5558">
        <v>-19.614730000000002</v>
      </c>
      <c r="J5558">
        <v>-302.1678</v>
      </c>
      <c r="K5558">
        <v>1.108061</v>
      </c>
      <c r="L5558">
        <v>-7.9376829999999998</v>
      </c>
      <c r="M5558">
        <v>0.1042033</v>
      </c>
      <c r="N5558">
        <v>-8.1285260000000005E-3</v>
      </c>
      <c r="O5558">
        <v>-0.99452289999999999</v>
      </c>
      <c r="P5558">
        <v>0.158804799999999</v>
      </c>
      <c r="Q5558">
        <v>-5.8234559999999998E-2</v>
      </c>
      <c r="R5558">
        <v>-0.9855912</v>
      </c>
      <c r="S5558">
        <v>0.45675660000000001</v>
      </c>
      <c r="T5558">
        <v>-0.2745628</v>
      </c>
      <c r="U5558">
        <v>-2.954132</v>
      </c>
      <c r="V5558">
        <v>-5.512645E-2</v>
      </c>
      <c r="W5558">
        <v>-5.0249450000000001E-2</v>
      </c>
      <c r="X5558">
        <v>0.99721409999999999</v>
      </c>
      <c r="Y5558">
        <v>-4.8433799999999999E-2</v>
      </c>
      <c r="Z5558">
        <v>8.3167930000000001E-2</v>
      </c>
      <c r="AA5558">
        <v>0.99535790000000002</v>
      </c>
      <c r="AB5558">
        <v>28</v>
      </c>
      <c r="AC5558">
        <v>1.81670000000002</v>
      </c>
      <c r="AD5558">
        <v>-1.1080614349593001</v>
      </c>
      <c r="AE5558">
        <v>-11.6770469999999</v>
      </c>
      <c r="AF5558">
        <v>-0.58484058677653905</v>
      </c>
      <c r="AG5558">
        <v>-1.1080614349593001</v>
      </c>
      <c r="AH5558">
        <v>11.699922852261601</v>
      </c>
      <c r="AI5558">
        <v>95.403452692611197</v>
      </c>
      <c r="AJ5558">
        <v>92.861645351644796</v>
      </c>
      <c r="AK5558">
        <v>11.7668191710614</v>
      </c>
      <c r="AL5558">
        <v>92.880294556373897</v>
      </c>
      <c r="AM5558">
        <v>93.164116325779801</v>
      </c>
      <c r="AN5558">
        <v>0.99999994697685601</v>
      </c>
    </row>
    <row r="5559" spans="1:40" x14ac:dyDescent="0.25">
      <c r="A5559" t="str">
        <f>"20190305135344761"</f>
        <v>20190305135344761</v>
      </c>
      <c r="B5559" t="str">
        <f>"1551765224755426"</f>
        <v>1551765224755426</v>
      </c>
      <c r="C5559" t="s">
        <v>40</v>
      </c>
      <c r="D5559">
        <v>4.6488139999999998</v>
      </c>
      <c r="E5559">
        <v>0.50075530000000001</v>
      </c>
      <c r="F5559" t="s">
        <v>42</v>
      </c>
      <c r="G5559">
        <v>-300.31139999999999</v>
      </c>
      <c r="H5559" s="1">
        <v>-3.6715990000000002E-7</v>
      </c>
      <c r="I5559">
        <v>-19.748169999999998</v>
      </c>
      <c r="J5559">
        <v>-302.13709999999998</v>
      </c>
      <c r="K5559">
        <v>1.108069</v>
      </c>
      <c r="L5559">
        <v>-8.2220759999999995</v>
      </c>
      <c r="M5559">
        <v>0.10492310000000001</v>
      </c>
      <c r="N5559">
        <v>-8.2899059999999997E-3</v>
      </c>
      <c r="O5559">
        <v>-0.99444589999999999</v>
      </c>
      <c r="P5559">
        <v>0.16143460000000001</v>
      </c>
      <c r="Q5559">
        <v>-5.8024119999999998E-2</v>
      </c>
      <c r="R5559">
        <v>-0.9851763</v>
      </c>
      <c r="S5559">
        <v>0.4641113</v>
      </c>
      <c r="T5559">
        <v>-0.2770225</v>
      </c>
      <c r="U5559">
        <v>-2.9526979999999998</v>
      </c>
      <c r="V5559">
        <v>-5.7097540000000002E-2</v>
      </c>
      <c r="W5559">
        <v>-4.984512E-2</v>
      </c>
      <c r="X5559">
        <v>0.99712350000000005</v>
      </c>
      <c r="Y5559">
        <v>-5.0194019999999999E-2</v>
      </c>
      <c r="Z5559">
        <v>8.3832539999999997E-2</v>
      </c>
      <c r="AA5559">
        <v>0.99521490000000001</v>
      </c>
      <c r="AB5559">
        <v>28</v>
      </c>
      <c r="AC5559">
        <v>1.8256999999999799</v>
      </c>
      <c r="AD5559">
        <v>-1.1080693671599</v>
      </c>
      <c r="AE5559">
        <v>-11.526094000000001</v>
      </c>
      <c r="AF5559">
        <v>-0.60081029964170796</v>
      </c>
      <c r="AG5559">
        <v>-1.1080693671599</v>
      </c>
      <c r="AH5559">
        <v>11.549901718269799</v>
      </c>
      <c r="AI5559">
        <v>95.472691065587398</v>
      </c>
      <c r="AJ5559">
        <v>92.977765174637</v>
      </c>
      <c r="AK5559">
        <v>11.618477543993601</v>
      </c>
      <c r="AL5559">
        <v>92.857099020181195</v>
      </c>
      <c r="AM5559">
        <v>93.277306597770604</v>
      </c>
      <c r="AN5559">
        <v>0.99999996965705695</v>
      </c>
    </row>
    <row r="5560" spans="1:40" x14ac:dyDescent="0.25">
      <c r="A5560" t="str">
        <f>"20190305135344795"</f>
        <v>20190305135344795</v>
      </c>
      <c r="B5560" t="str">
        <f>"1551765224785685"</f>
        <v>1551765224785685</v>
      </c>
      <c r="C5560" t="s">
        <v>40</v>
      </c>
      <c r="D5560">
        <v>4.6083150000000002</v>
      </c>
      <c r="E5560">
        <v>0.50077799999999995</v>
      </c>
      <c r="F5560" t="s">
        <v>42</v>
      </c>
      <c r="G5560">
        <v>-300.2398</v>
      </c>
      <c r="H5560" s="1">
        <v>-2.1481260000000001E-7</v>
      </c>
      <c r="I5560">
        <v>-20.058900000000001</v>
      </c>
      <c r="J5560">
        <v>-302.09179999999998</v>
      </c>
      <c r="K5560">
        <v>1.1079730000000001</v>
      </c>
      <c r="L5560">
        <v>-8.6446229999999993</v>
      </c>
      <c r="M5560">
        <v>0.1052355</v>
      </c>
      <c r="N5560">
        <v>-8.4968179999999997E-3</v>
      </c>
      <c r="O5560">
        <v>-0.99441109999999999</v>
      </c>
      <c r="P5560">
        <v>0.1641881</v>
      </c>
      <c r="Q5560">
        <v>-5.5278750000000001E-2</v>
      </c>
      <c r="R5560">
        <v>-0.98487880000000005</v>
      </c>
      <c r="S5560">
        <v>0.473053</v>
      </c>
      <c r="T5560">
        <v>-0.27628229999999998</v>
      </c>
      <c r="U5560">
        <v>-2.951355</v>
      </c>
      <c r="V5560">
        <v>-5.9608429999999997E-2</v>
      </c>
      <c r="W5560">
        <v>-4.6833630000000001E-2</v>
      </c>
      <c r="X5560">
        <v>0.99712259999999997</v>
      </c>
      <c r="Y5560">
        <v>-5.2894570000000002E-2</v>
      </c>
      <c r="Z5560">
        <v>8.3394120000000002E-2</v>
      </c>
      <c r="AA5560">
        <v>0.99511179999999999</v>
      </c>
      <c r="AB5560">
        <v>28</v>
      </c>
      <c r="AC5560">
        <v>1.8519999999999699</v>
      </c>
      <c r="AD5560">
        <v>-1.10797321481259</v>
      </c>
      <c r="AE5560">
        <v>-11.414277</v>
      </c>
      <c r="AF5560">
        <v>-0.63465866654880598</v>
      </c>
      <c r="AG5560">
        <v>-1.10797321481259</v>
      </c>
      <c r="AH5560">
        <v>11.4407615216652</v>
      </c>
      <c r="AI5560">
        <v>95.5230840487785</v>
      </c>
      <c r="AJ5560">
        <v>93.175141041958597</v>
      </c>
      <c r="AK5560">
        <v>11.511794841091501</v>
      </c>
      <c r="AL5560">
        <v>92.684351208511501</v>
      </c>
      <c r="AM5560">
        <v>93.421095589957105</v>
      </c>
      <c r="AN5560">
        <v>1.0000000166284</v>
      </c>
    </row>
    <row r="5561" spans="1:40" x14ac:dyDescent="0.25">
      <c r="A5561" t="str">
        <f>"20190305135344816"</f>
        <v>20190305135344816</v>
      </c>
      <c r="B5561" t="str">
        <f>"1551765224805203"</f>
        <v>1551765224805203</v>
      </c>
      <c r="C5561" t="s">
        <v>40</v>
      </c>
      <c r="D5561">
        <v>4.6296549999999996</v>
      </c>
      <c r="E5561">
        <v>0.50071560000000004</v>
      </c>
      <c r="F5561" t="s">
        <v>42</v>
      </c>
      <c r="G5561">
        <v>-300.10070000000002</v>
      </c>
      <c r="H5561" s="1">
        <v>-4.1287589999999997E-6</v>
      </c>
      <c r="I5561">
        <v>-20.84909</v>
      </c>
      <c r="J5561">
        <v>-302.06259999999997</v>
      </c>
      <c r="K5561">
        <v>1.1078809999999999</v>
      </c>
      <c r="L5561">
        <v>-8.9219059999999999</v>
      </c>
      <c r="M5561">
        <v>0.104991</v>
      </c>
      <c r="N5561">
        <v>-8.6142519999999993E-3</v>
      </c>
      <c r="O5561">
        <v>-0.99443610000000005</v>
      </c>
      <c r="P5561">
        <v>0.16492379999999901</v>
      </c>
      <c r="Q5561">
        <v>-5.3944510000000001E-2</v>
      </c>
      <c r="R5561">
        <v>-0.98483030000000005</v>
      </c>
      <c r="S5561">
        <v>0.48141479999999998</v>
      </c>
      <c r="T5561">
        <v>-0.26788499999999998</v>
      </c>
      <c r="U5561">
        <v>-2.9507750000000001</v>
      </c>
      <c r="V5561">
        <v>-6.0620550000000002E-2</v>
      </c>
      <c r="W5561">
        <v>-4.5342840000000002E-2</v>
      </c>
      <c r="X5561">
        <v>0.99713050000000003</v>
      </c>
      <c r="Y5561">
        <v>-5.5955949999999997E-2</v>
      </c>
      <c r="Z5561">
        <v>8.0503320000000003E-2</v>
      </c>
      <c r="AA5561">
        <v>0.99518249999999997</v>
      </c>
      <c r="AB5561">
        <v>28</v>
      </c>
      <c r="AC5561">
        <v>1.96189999999995</v>
      </c>
      <c r="AD5561">
        <v>-1.1078851287589999</v>
      </c>
      <c r="AE5561">
        <v>-11.927184</v>
      </c>
      <c r="AF5561">
        <v>-0.69294172615104599</v>
      </c>
      <c r="AG5561">
        <v>-1.1078851287589999</v>
      </c>
      <c r="AH5561">
        <v>11.9667194041402</v>
      </c>
      <c r="AI5561">
        <v>95.280599905522493</v>
      </c>
      <c r="AJ5561">
        <v>93.314053650002194</v>
      </c>
      <c r="AK5561">
        <v>12.0378549165452</v>
      </c>
      <c r="AL5561">
        <v>92.598844332410394</v>
      </c>
      <c r="AM5561">
        <v>93.479015019987401</v>
      </c>
      <c r="AN5561">
        <v>1.0000000291258999</v>
      </c>
    </row>
    <row r="5562" spans="1:40" x14ac:dyDescent="0.25">
      <c r="A5562" t="str">
        <f>"20190305135344839"</f>
        <v>20190305135344839</v>
      </c>
      <c r="B5562" t="str">
        <f>"1551765224835459"</f>
        <v>1551765224835459</v>
      </c>
      <c r="C5562" t="s">
        <v>40</v>
      </c>
      <c r="D5562">
        <v>4.6492209999999998</v>
      </c>
      <c r="E5562">
        <v>0.50081339999999996</v>
      </c>
      <c r="F5562" t="s">
        <v>42</v>
      </c>
      <c r="G5562">
        <v>-300.03140000000002</v>
      </c>
      <c r="H5562" s="1">
        <v>-3.9188539999999999E-6</v>
      </c>
      <c r="I5562">
        <v>-21.295400000000001</v>
      </c>
      <c r="J5562">
        <v>-302.03250000000003</v>
      </c>
      <c r="K5562">
        <v>1.107782</v>
      </c>
      <c r="L5562">
        <v>-9.2117000000000004</v>
      </c>
      <c r="M5562">
        <v>0.104393899999999</v>
      </c>
      <c r="N5562">
        <v>-8.7225740000000003E-3</v>
      </c>
      <c r="O5562">
        <v>-0.99449810000000005</v>
      </c>
      <c r="P5562">
        <v>0.16438120000000001</v>
      </c>
      <c r="Q5562">
        <v>-5.3549670000000001E-2</v>
      </c>
      <c r="R5562">
        <v>-0.98494269999999995</v>
      </c>
      <c r="S5562">
        <v>0.484375</v>
      </c>
      <c r="T5562">
        <v>-0.26418979999999997</v>
      </c>
      <c r="U5562">
        <v>-2.9506230000000002</v>
      </c>
      <c r="V5562">
        <v>-6.0694779999999997E-2</v>
      </c>
      <c r="W5562">
        <v>-4.480286E-2</v>
      </c>
      <c r="X5562">
        <v>0.99715039999999999</v>
      </c>
      <c r="Y5562">
        <v>-5.7552409999999998E-2</v>
      </c>
      <c r="Z5562">
        <v>7.9178929999999995E-2</v>
      </c>
      <c r="AA5562">
        <v>0.99519769999999996</v>
      </c>
      <c r="AB5562">
        <v>28</v>
      </c>
      <c r="AC5562">
        <v>2.0011000000000001</v>
      </c>
      <c r="AD5562">
        <v>-1.107785918854</v>
      </c>
      <c r="AE5562">
        <v>-12.0837</v>
      </c>
      <c r="AF5562">
        <v>-0.72274092670249601</v>
      </c>
      <c r="AG5562">
        <v>-1.107785918854</v>
      </c>
      <c r="AH5562">
        <v>12.1273766271347</v>
      </c>
      <c r="AI5562">
        <v>95.210056132829905</v>
      </c>
      <c r="AJ5562">
        <v>93.410554935941605</v>
      </c>
      <c r="AK5562">
        <v>12.199295387255599</v>
      </c>
      <c r="AL5562">
        <v>92.567874264438302</v>
      </c>
      <c r="AM5562">
        <v>93.483195255267603</v>
      </c>
      <c r="AN5562">
        <v>1.00000003640179</v>
      </c>
    </row>
    <row r="5563" spans="1:40" x14ac:dyDescent="0.25">
      <c r="A5563" t="str">
        <f>"20190305135344862"</f>
        <v>20190305135344862</v>
      </c>
      <c r="B5563" t="str">
        <f>"1551765224855954"</f>
        <v>1551765224855954</v>
      </c>
      <c r="C5563" t="s">
        <v>40</v>
      </c>
      <c r="D5563">
        <v>4.5867769999999997</v>
      </c>
      <c r="E5563">
        <v>0.50159620000000005</v>
      </c>
      <c r="F5563" t="s">
        <v>42</v>
      </c>
      <c r="G5563">
        <v>-299.99889999999999</v>
      </c>
      <c r="H5563" s="1">
        <v>-3.7521480000000001E-6</v>
      </c>
      <c r="I5563">
        <v>-21.66384</v>
      </c>
      <c r="J5563">
        <v>-302.00279999999998</v>
      </c>
      <c r="K5563">
        <v>1.107666</v>
      </c>
      <c r="L5563">
        <v>-9.5022889999999993</v>
      </c>
      <c r="M5563">
        <v>0.1034557</v>
      </c>
      <c r="N5563">
        <v>-8.8187059999999904E-3</v>
      </c>
      <c r="O5563">
        <v>-0.99459520000000001</v>
      </c>
      <c r="P5563">
        <v>0.1631937</v>
      </c>
      <c r="Q5563">
        <v>-5.340081E-2</v>
      </c>
      <c r="R5563">
        <v>-0.98514800000000002</v>
      </c>
      <c r="S5563">
        <v>0.48196410000000001</v>
      </c>
      <c r="T5563">
        <v>-0.26254379999999999</v>
      </c>
      <c r="U5563">
        <v>-2.9511409999999998</v>
      </c>
      <c r="V5563">
        <v>-6.0457320000000002E-2</v>
      </c>
      <c r="W5563">
        <v>-4.4523689999999998E-2</v>
      </c>
      <c r="X5563">
        <v>0.99717730000000004</v>
      </c>
      <c r="Y5563">
        <v>-5.7682310000000001E-2</v>
      </c>
      <c r="Z5563">
        <v>7.8542849999999997E-2</v>
      </c>
      <c r="AA5563">
        <v>0.99524060000000003</v>
      </c>
      <c r="AB5563">
        <v>28</v>
      </c>
      <c r="AC5563">
        <v>2.0038999999999798</v>
      </c>
      <c r="AD5563">
        <v>-1.1076697521479999</v>
      </c>
      <c r="AE5563">
        <v>-12.161550999999999</v>
      </c>
      <c r="AF5563">
        <v>-0.72902815778751795</v>
      </c>
      <c r="AG5563">
        <v>-1.1076697521479999</v>
      </c>
      <c r="AH5563">
        <v>12.2050399988852</v>
      </c>
      <c r="AI5563">
        <v>95.1765025780755</v>
      </c>
      <c r="AJ5563">
        <v>93.418314532978499</v>
      </c>
      <c r="AK5563">
        <v>12.2768650603099</v>
      </c>
      <c r="AL5563">
        <v>92.551863099444802</v>
      </c>
      <c r="AM5563">
        <v>93.469507719538697</v>
      </c>
      <c r="AN5563">
        <v>1.00000000707404</v>
      </c>
    </row>
    <row r="5564" spans="1:40" x14ac:dyDescent="0.25">
      <c r="A5564" t="str">
        <f>"20190305135344886"</f>
        <v>20190305135344886</v>
      </c>
      <c r="B5564" t="str">
        <f>"1551765224875475"</f>
        <v>1551765224875475</v>
      </c>
      <c r="C5564" t="s">
        <v>40</v>
      </c>
      <c r="D5564">
        <v>4.5847670000000003</v>
      </c>
      <c r="E5564">
        <v>0.5259433</v>
      </c>
      <c r="F5564" t="s">
        <v>42</v>
      </c>
      <c r="G5564">
        <v>-299.99130000000002</v>
      </c>
      <c r="H5564" s="1">
        <v>-3.5714580000000001E-6</v>
      </c>
      <c r="I5564">
        <v>-22.08034</v>
      </c>
      <c r="J5564">
        <v>-301.97300000000001</v>
      </c>
      <c r="K5564">
        <v>1.107523</v>
      </c>
      <c r="L5564">
        <v>-9.8000489999999996</v>
      </c>
      <c r="M5564">
        <v>0.1021878</v>
      </c>
      <c r="N5564">
        <v>-8.9069769999999999E-3</v>
      </c>
      <c r="O5564">
        <v>-0.99472539999999998</v>
      </c>
      <c r="P5564">
        <v>0.16069269999999999</v>
      </c>
      <c r="Q5564">
        <v>-5.4447299999999997E-2</v>
      </c>
      <c r="R5564">
        <v>-0.98550190000000004</v>
      </c>
      <c r="S5564">
        <v>0.47222900000000001</v>
      </c>
      <c r="T5564">
        <v>-0.26004429999999901</v>
      </c>
      <c r="U5564">
        <v>-2.9529109999999998</v>
      </c>
      <c r="V5564">
        <v>-5.923088E-2</v>
      </c>
      <c r="W5564">
        <v>-4.545047E-2</v>
      </c>
      <c r="X5564">
        <v>0.99720909999999996</v>
      </c>
      <c r="Y5564">
        <v>-5.5674429999999997E-2</v>
      </c>
      <c r="Z5564">
        <v>7.762173E-2</v>
      </c>
      <c r="AA5564">
        <v>0.99542710000000001</v>
      </c>
      <c r="AB5564">
        <v>29</v>
      </c>
      <c r="AC5564">
        <v>1.98169999999998</v>
      </c>
      <c r="AD5564">
        <v>-1.107526571458</v>
      </c>
      <c r="AE5564">
        <v>-12.280290999999901</v>
      </c>
      <c r="AF5564">
        <v>-0.71074540903425498</v>
      </c>
      <c r="AG5564">
        <v>-1.107526571458</v>
      </c>
      <c r="AH5564">
        <v>12.3208424501174</v>
      </c>
      <c r="AI5564">
        <v>95.128060749234905</v>
      </c>
      <c r="AJ5564">
        <v>93.301529994384396</v>
      </c>
      <c r="AK5564">
        <v>12.3909213871917</v>
      </c>
      <c r="AL5564">
        <v>92.605017476087497</v>
      </c>
      <c r="AM5564">
        <v>93.399183725285695</v>
      </c>
      <c r="AN5564">
        <v>1.0000000157458</v>
      </c>
    </row>
    <row r="5565" spans="1:40" x14ac:dyDescent="0.25">
      <c r="A5565" t="str">
        <f>"20190305135344907"</f>
        <v>20190305135344907</v>
      </c>
      <c r="B5565" t="str">
        <f>"1551765224895971"</f>
        <v>1551765224895971</v>
      </c>
      <c r="C5565" t="s">
        <v>40</v>
      </c>
      <c r="D5565">
        <v>4.5695829999999997</v>
      </c>
      <c r="E5565">
        <v>0.52632060000000003</v>
      </c>
      <c r="F5565" t="s">
        <v>41</v>
      </c>
      <c r="G5565">
        <v>-301.88220000000001</v>
      </c>
      <c r="H5565">
        <v>1.0433399999999999</v>
      </c>
      <c r="I5565">
        <v>-10.78511</v>
      </c>
      <c r="J5565">
        <v>-301.94600000000003</v>
      </c>
      <c r="K5565">
        <v>1.1073980000000001</v>
      </c>
      <c r="L5565">
        <v>-10.07516</v>
      </c>
      <c r="M5565">
        <v>0.10076830000000001</v>
      </c>
      <c r="N5565">
        <v>-8.9792959999999995E-3</v>
      </c>
      <c r="O5565">
        <v>-0.99486940000000001</v>
      </c>
      <c r="P5565">
        <v>0.1579226</v>
      </c>
      <c r="Q5565">
        <v>-5.4941240000000002E-2</v>
      </c>
      <c r="R5565">
        <v>-0.98592199999999997</v>
      </c>
      <c r="S5565">
        <v>0.27606199999999997</v>
      </c>
      <c r="T5565">
        <v>-0.19461210000000001</v>
      </c>
      <c r="U5565">
        <v>-2.9883730000000002</v>
      </c>
      <c r="V5565">
        <v>-5.7877919999999999E-2</v>
      </c>
      <c r="W5565">
        <v>-4.5846659999999997E-2</v>
      </c>
      <c r="X5565">
        <v>0.9972704</v>
      </c>
      <c r="Y5565">
        <v>8.9655180000000004E-3</v>
      </c>
      <c r="Z5565">
        <v>5.543149E-2</v>
      </c>
      <c r="AA5565">
        <v>0.99842229999999998</v>
      </c>
      <c r="AB5565">
        <v>29</v>
      </c>
      <c r="AC5565">
        <v>6.3799999999957793E-2</v>
      </c>
      <c r="AD5565">
        <v>-6.4057999999999907E-2</v>
      </c>
      <c r="AE5565">
        <v>-0.70995000000000097</v>
      </c>
      <c r="AF5565">
        <v>8.0034757972963309E-3</v>
      </c>
      <c r="AG5565">
        <v>-6.4057999999999907E-2</v>
      </c>
      <c r="AH5565">
        <v>0.70705508310389198</v>
      </c>
      <c r="AI5565">
        <v>95.1764384703921</v>
      </c>
      <c r="AJ5565">
        <v>89.351470894194605</v>
      </c>
      <c r="AK5565">
        <v>0.709996037687458</v>
      </c>
      <c r="AL5565">
        <v>92.627741193196101</v>
      </c>
      <c r="AM5565">
        <v>93.321511264385407</v>
      </c>
      <c r="AN5565">
        <v>1.0000000102864199</v>
      </c>
    </row>
    <row r="5566" spans="1:40" x14ac:dyDescent="0.25">
      <c r="A5566" t="str">
        <f>"20190305135344928"</f>
        <v>20190305135344928</v>
      </c>
      <c r="B5566" t="str">
        <f>"1551765224925252"</f>
        <v>1551765224925252</v>
      </c>
      <c r="C5566" t="s">
        <v>40</v>
      </c>
      <c r="D5566">
        <v>4.558611</v>
      </c>
      <c r="E5566">
        <v>0.52592649999999996</v>
      </c>
      <c r="F5566" t="s">
        <v>41</v>
      </c>
      <c r="G5566">
        <v>-301.8605</v>
      </c>
      <c r="H5566">
        <v>1.0443150000000001</v>
      </c>
      <c r="I5566">
        <v>-11.042160000000001</v>
      </c>
      <c r="J5566">
        <v>-301.91969999999998</v>
      </c>
      <c r="K5566">
        <v>1.1072850000000001</v>
      </c>
      <c r="L5566">
        <v>-10.35019</v>
      </c>
      <c r="M5566">
        <v>9.9194870000000004E-2</v>
      </c>
      <c r="N5566">
        <v>-9.0433619999999992E-3</v>
      </c>
      <c r="O5566">
        <v>-0.99502699999999999</v>
      </c>
      <c r="P5566">
        <v>0.15460779999999999</v>
      </c>
      <c r="Q5566">
        <v>-5.4712660000000003E-2</v>
      </c>
      <c r="R5566">
        <v>-0.98645989999999995</v>
      </c>
      <c r="S5566">
        <v>0.26495360000000001</v>
      </c>
      <c r="T5566">
        <v>-0.1949449</v>
      </c>
      <c r="U5566">
        <v>-2.9895320000000001</v>
      </c>
      <c r="V5566">
        <v>-5.6119620000000002E-2</v>
      </c>
      <c r="W5566">
        <v>-4.5534989999999997E-2</v>
      </c>
      <c r="X5566">
        <v>0.99738510000000002</v>
      </c>
      <c r="Y5566">
        <v>1.109893E-2</v>
      </c>
      <c r="Z5566">
        <v>5.5475650000000001E-2</v>
      </c>
      <c r="AA5566">
        <v>0.99839840000000002</v>
      </c>
      <c r="AB5566">
        <v>29</v>
      </c>
      <c r="AC5566">
        <v>5.9199999999975703E-2</v>
      </c>
      <c r="AD5566">
        <v>-6.2970000000000095E-2</v>
      </c>
      <c r="AE5566">
        <v>-0.69197000000000097</v>
      </c>
      <c r="AF5566">
        <v>9.6552968175528005E-3</v>
      </c>
      <c r="AG5566">
        <v>-6.2970000000000095E-2</v>
      </c>
      <c r="AH5566">
        <v>0.68876715061896099</v>
      </c>
      <c r="AI5566">
        <v>95.223190042663703</v>
      </c>
      <c r="AJ5566">
        <v>89.196867149850902</v>
      </c>
      <c r="AK5566">
        <v>0.69170704306693098</v>
      </c>
      <c r="AL5566">
        <v>92.609865325824401</v>
      </c>
      <c r="AM5566">
        <v>93.220451683484399</v>
      </c>
      <c r="AN5566">
        <v>0.99999994238262502</v>
      </c>
    </row>
    <row r="5567" spans="1:40" x14ac:dyDescent="0.25">
      <c r="A5567" t="str">
        <f>"20190305135344962"</f>
        <v>20190305135344962</v>
      </c>
      <c r="B5567" t="str">
        <f>"1551765224955507"</f>
        <v>1551765224955507</v>
      </c>
      <c r="C5567" t="s">
        <v>40</v>
      </c>
      <c r="D5567">
        <v>4.5684490000000002</v>
      </c>
      <c r="E5567">
        <v>0.52587139999999999</v>
      </c>
      <c r="F5567" t="s">
        <v>41</v>
      </c>
      <c r="G5567">
        <v>-301.83839999999998</v>
      </c>
      <c r="H5567">
        <v>1.0451220000000001</v>
      </c>
      <c r="I5567">
        <v>-11.299580000000001</v>
      </c>
      <c r="J5567">
        <v>-301.87900000000002</v>
      </c>
      <c r="K5567">
        <v>1.107154</v>
      </c>
      <c r="L5567">
        <v>-10.789339999999999</v>
      </c>
      <c r="M5567">
        <v>9.6416699999999994E-2</v>
      </c>
      <c r="N5567">
        <v>-9.1304669999999997E-3</v>
      </c>
      <c r="O5567">
        <v>-0.99529920000000005</v>
      </c>
      <c r="P5567">
        <v>0.1483786</v>
      </c>
      <c r="Q5567">
        <v>-5.5266059999999999E-2</v>
      </c>
      <c r="R5567">
        <v>-0.98738510000000002</v>
      </c>
      <c r="S5567">
        <v>0.25744630000000002</v>
      </c>
      <c r="T5567">
        <v>-0.19557169999999999</v>
      </c>
      <c r="U5567">
        <v>-2.9899900000000001</v>
      </c>
      <c r="V5567">
        <v>-5.2635929999999997E-2</v>
      </c>
      <c r="W5567">
        <v>-4.5984850000000001E-2</v>
      </c>
      <c r="X5567">
        <v>0.99755439999999995</v>
      </c>
      <c r="Y5567">
        <v>1.080944E-2</v>
      </c>
      <c r="Z5567">
        <v>5.5617220000000002E-2</v>
      </c>
      <c r="AA5567">
        <v>0.99839370000000005</v>
      </c>
      <c r="AB5567">
        <v>29</v>
      </c>
      <c r="AC5567">
        <v>4.0600000000040298E-2</v>
      </c>
      <c r="AD5567">
        <v>-6.2032000000000302E-2</v>
      </c>
      <c r="AE5567">
        <v>-0.51024000000000103</v>
      </c>
      <c r="AF5567">
        <v>8.6596882590947496E-3</v>
      </c>
      <c r="AG5567">
        <v>-6.2032000000000302E-2</v>
      </c>
      <c r="AH5567">
        <v>0.504369485223924</v>
      </c>
      <c r="AI5567">
        <v>97.010527643830898</v>
      </c>
      <c r="AJ5567">
        <v>89.016366258728993</v>
      </c>
      <c r="AK5567">
        <v>0.50824358023470495</v>
      </c>
      <c r="AL5567">
        <v>92.635667377788806</v>
      </c>
      <c r="AM5567">
        <v>93.020409197727901</v>
      </c>
      <c r="AN5567">
        <v>0.99999996425792304</v>
      </c>
    </row>
    <row r="5568" spans="1:40" x14ac:dyDescent="0.25">
      <c r="A5568" t="str">
        <f>"20190305135344983"</f>
        <v>20190305135344983</v>
      </c>
      <c r="B5568" t="str">
        <f>"1551765224976003"</f>
        <v>1551765224976003</v>
      </c>
      <c r="C5568" t="s">
        <v>40</v>
      </c>
      <c r="D5568">
        <v>4.5959750000000001</v>
      </c>
      <c r="E5568">
        <v>0.52605800000000003</v>
      </c>
      <c r="F5568" t="s">
        <v>42</v>
      </c>
      <c r="G5568">
        <v>-300.52409999999998</v>
      </c>
      <c r="H5568" s="1">
        <v>-1.29551E-6</v>
      </c>
      <c r="I5568">
        <v>-27.716069999999998</v>
      </c>
      <c r="J5568">
        <v>-301.85399999999998</v>
      </c>
      <c r="K5568">
        <v>1.107097</v>
      </c>
      <c r="L5568">
        <v>-11.06589</v>
      </c>
      <c r="M5568">
        <v>9.4526650000000004E-2</v>
      </c>
      <c r="N5568">
        <v>-9.1777669999999999E-3</v>
      </c>
      <c r="O5568">
        <v>-0.99548009999999998</v>
      </c>
      <c r="P5568">
        <v>0.1448564</v>
      </c>
      <c r="Q5568">
        <v>-5.6455140000000001E-2</v>
      </c>
      <c r="R5568">
        <v>-0.98784090000000002</v>
      </c>
      <c r="S5568">
        <v>0.23944090000000001</v>
      </c>
      <c r="T5568">
        <v>-0.19566320000000001</v>
      </c>
      <c r="U5568">
        <v>-2.9913940000000001</v>
      </c>
      <c r="V5568">
        <v>-5.0993990000000003E-2</v>
      </c>
      <c r="W5568">
        <v>-4.7120559999999999E-2</v>
      </c>
      <c r="X5568">
        <v>0.99758670000000005</v>
      </c>
      <c r="Y5568">
        <v>1.4917369999999999E-2</v>
      </c>
      <c r="Z5568">
        <v>5.5598769999999999E-2</v>
      </c>
      <c r="AA5568">
        <v>0.9983417</v>
      </c>
      <c r="AB5568">
        <v>29</v>
      </c>
      <c r="AC5568">
        <v>1.32990000000006</v>
      </c>
      <c r="AD5568">
        <v>-1.1070982955099999</v>
      </c>
      <c r="AE5568">
        <v>-16.650179999999999</v>
      </c>
      <c r="AF5568">
        <v>0.248913756295054</v>
      </c>
      <c r="AG5568">
        <v>-1.1070982955099999</v>
      </c>
      <c r="AH5568">
        <v>16.628286024006499</v>
      </c>
      <c r="AI5568">
        <v>93.808661146430197</v>
      </c>
      <c r="AJ5568">
        <v>89.142386499291504</v>
      </c>
      <c r="AK5568">
        <v>16.666958954475199</v>
      </c>
      <c r="AL5568">
        <v>92.700809357962797</v>
      </c>
      <c r="AM5568">
        <v>92.926261516816197</v>
      </c>
      <c r="AN5568">
        <v>0.99999997910386096</v>
      </c>
    </row>
    <row r="5569" spans="1:40" x14ac:dyDescent="0.25">
      <c r="A5569" t="str">
        <f>"20190305135345007"</f>
        <v>20190305135345007</v>
      </c>
      <c r="B5569" t="str">
        <f>"1551765224995523"</f>
        <v>1551765224995523</v>
      </c>
      <c r="C5569" t="s">
        <v>40</v>
      </c>
      <c r="D5569">
        <v>4.5758349999999997</v>
      </c>
      <c r="E5569">
        <v>0.52608750000000004</v>
      </c>
      <c r="F5569" t="s">
        <v>42</v>
      </c>
      <c r="G5569">
        <v>-300.584</v>
      </c>
      <c r="H5569" s="1">
        <v>-1.2834029999999999E-6</v>
      </c>
      <c r="I5569">
        <v>-27.78143</v>
      </c>
      <c r="J5569">
        <v>-301.8288</v>
      </c>
      <c r="K5569">
        <v>1.107038</v>
      </c>
      <c r="L5569">
        <v>-11.35397</v>
      </c>
      <c r="M5569">
        <v>9.2456880000000005E-2</v>
      </c>
      <c r="N5569">
        <v>-9.2220919999999994E-3</v>
      </c>
      <c r="O5569">
        <v>-0.99567380000000005</v>
      </c>
      <c r="P5569">
        <v>0.141833399999999</v>
      </c>
      <c r="Q5569">
        <v>-5.7973619999999997E-2</v>
      </c>
      <c r="R5569">
        <v>-0.98819140000000005</v>
      </c>
      <c r="S5569">
        <v>0.227356</v>
      </c>
      <c r="T5569">
        <v>-0.19818169999999999</v>
      </c>
      <c r="U5569">
        <v>-2.9922490000000002</v>
      </c>
      <c r="V5569">
        <v>-5.0040029999999999E-2</v>
      </c>
      <c r="W5569">
        <v>-4.8588109999999997E-2</v>
      </c>
      <c r="X5569">
        <v>0.99756460000000002</v>
      </c>
      <c r="Y5569">
        <v>1.687162E-2</v>
      </c>
      <c r="Z5569">
        <v>5.6391980000000001E-2</v>
      </c>
      <c r="AA5569">
        <v>0.99826619999999999</v>
      </c>
      <c r="AB5569">
        <v>29</v>
      </c>
      <c r="AC5569">
        <v>1.2447999999999899</v>
      </c>
      <c r="AD5569">
        <v>-1.1070392834029901</v>
      </c>
      <c r="AE5569">
        <v>-16.42746</v>
      </c>
      <c r="AF5569">
        <v>0.27817281626585499</v>
      </c>
      <c r="AG5569">
        <v>-1.1070392834029901</v>
      </c>
      <c r="AH5569">
        <v>16.3981407203852</v>
      </c>
      <c r="AI5569">
        <v>93.8616266606588</v>
      </c>
      <c r="AJ5569">
        <v>89.028145930478999</v>
      </c>
      <c r="AK5569">
        <v>16.4378202684012</v>
      </c>
      <c r="AL5569">
        <v>92.7849902575675</v>
      </c>
      <c r="AM5569">
        <v>92.871675065770802</v>
      </c>
      <c r="AN5569">
        <v>0.99999997010446595</v>
      </c>
    </row>
    <row r="5570" spans="1:40" x14ac:dyDescent="0.25">
      <c r="A5570" t="str">
        <f>"20190305135345028"</f>
        <v>20190305135345028</v>
      </c>
      <c r="B5570" t="str">
        <f>"1551765225025779"</f>
        <v>1551765225025779</v>
      </c>
      <c r="C5570" t="s">
        <v>40</v>
      </c>
      <c r="D5570">
        <v>4.571186</v>
      </c>
      <c r="E5570">
        <v>0.5260011</v>
      </c>
      <c r="F5570" t="s">
        <v>41</v>
      </c>
      <c r="G5570">
        <v>-301.75790000000001</v>
      </c>
      <c r="H5570">
        <v>1.0416510000000001</v>
      </c>
      <c r="I5570">
        <v>-12.327920000000001</v>
      </c>
      <c r="J5570">
        <v>-301.80470000000003</v>
      </c>
      <c r="K5570">
        <v>1.106981</v>
      </c>
      <c r="L5570">
        <v>-11.63696</v>
      </c>
      <c r="M5570">
        <v>9.0339710000000004E-2</v>
      </c>
      <c r="N5570">
        <v>-9.2612770000000001E-3</v>
      </c>
      <c r="O5570">
        <v>-0.99586819999999998</v>
      </c>
      <c r="P5570">
        <v>0.13939649999999901</v>
      </c>
      <c r="Q5570">
        <v>-5.8982729999999997E-2</v>
      </c>
      <c r="R5570">
        <v>-0.98847879999999999</v>
      </c>
      <c r="S5570">
        <v>0.21801760000000001</v>
      </c>
      <c r="T5570">
        <v>-0.20083280000000001</v>
      </c>
      <c r="U5570">
        <v>-2.9927670000000002</v>
      </c>
      <c r="V5570">
        <v>-4.9720399999999998E-2</v>
      </c>
      <c r="W5570">
        <v>-4.955006E-2</v>
      </c>
      <c r="X5570">
        <v>0.99753329999999996</v>
      </c>
      <c r="Y5570">
        <v>1.785962E-2</v>
      </c>
      <c r="Z5570">
        <v>5.7239690000000003E-2</v>
      </c>
      <c r="AA5570">
        <v>0.99820070000000005</v>
      </c>
      <c r="AB5570">
        <v>29</v>
      </c>
      <c r="AC5570">
        <v>4.6800000000018799E-2</v>
      </c>
      <c r="AD5570">
        <v>-6.5329999999999805E-2</v>
      </c>
      <c r="AE5570">
        <v>-0.69095999999999802</v>
      </c>
      <c r="AF5570">
        <v>1.5675673752920598E-2</v>
      </c>
      <c r="AG5570">
        <v>-6.5329999999999805E-2</v>
      </c>
      <c r="AH5570">
        <v>0.68625565247581999</v>
      </c>
      <c r="AI5570">
        <v>95.436632026792594</v>
      </c>
      <c r="AJ5570">
        <v>88.691458812827506</v>
      </c>
      <c r="AK5570">
        <v>0.68953647923994699</v>
      </c>
      <c r="AL5570">
        <v>92.840172308670304</v>
      </c>
      <c r="AM5570">
        <v>92.853452074173902</v>
      </c>
      <c r="AN5570">
        <v>1.00000000561552</v>
      </c>
    </row>
    <row r="5571" spans="1:40" x14ac:dyDescent="0.25">
      <c r="A5571" t="str">
        <f>"20190305135345051"</f>
        <v>20190305135345051</v>
      </c>
      <c r="B5571" t="str">
        <f>"1551765225045299"</f>
        <v>1551765225045299</v>
      </c>
      <c r="C5571" t="s">
        <v>40</v>
      </c>
      <c r="D5571">
        <v>4.5610790000000003</v>
      </c>
      <c r="E5571">
        <v>0.5258642</v>
      </c>
      <c r="F5571" t="s">
        <v>41</v>
      </c>
      <c r="G5571">
        <v>-301.73770000000002</v>
      </c>
      <c r="H5571">
        <v>1.0427059999999999</v>
      </c>
      <c r="I5571">
        <v>-12.58783</v>
      </c>
      <c r="J5571">
        <v>-301.77980000000002</v>
      </c>
      <c r="K5571">
        <v>1.1069249999999999</v>
      </c>
      <c r="L5571">
        <v>-11.938079999999999</v>
      </c>
      <c r="M5571">
        <v>8.8023329999999997E-2</v>
      </c>
      <c r="N5571">
        <v>-9.298321E-3</v>
      </c>
      <c r="O5571">
        <v>-0.99607500000000004</v>
      </c>
      <c r="P5571">
        <v>0.13768229999999901</v>
      </c>
      <c r="Q5571">
        <v>-5.9211310000000003E-2</v>
      </c>
      <c r="R5571">
        <v>-0.98870519999999995</v>
      </c>
      <c r="S5571">
        <v>0.21139530000000001</v>
      </c>
      <c r="T5571">
        <v>-0.20219760000000001</v>
      </c>
      <c r="U5571">
        <v>-2.9931030000000001</v>
      </c>
      <c r="V5571">
        <v>-5.0321650000000002E-2</v>
      </c>
      <c r="W5571">
        <v>-4.9730589999999998E-2</v>
      </c>
      <c r="X5571">
        <v>0.9974942</v>
      </c>
      <c r="Y5571">
        <v>1.7741349999999999E-2</v>
      </c>
      <c r="Z5571">
        <v>5.7669680000000001E-2</v>
      </c>
      <c r="AA5571">
        <v>0.99817809999999996</v>
      </c>
      <c r="AB5571">
        <v>29</v>
      </c>
      <c r="AC5571">
        <v>4.2100000000004897E-2</v>
      </c>
      <c r="AD5571">
        <v>-6.4218999999999998E-2</v>
      </c>
      <c r="AE5571">
        <v>-0.64974999999999905</v>
      </c>
      <c r="AF5571">
        <v>1.51120538717973E-2</v>
      </c>
      <c r="AG5571">
        <v>-6.4218999999999998E-2</v>
      </c>
      <c r="AH5571">
        <v>0.64466250930374402</v>
      </c>
      <c r="AI5571">
        <v>95.687282751731402</v>
      </c>
      <c r="AJ5571">
        <v>88.657129358381397</v>
      </c>
      <c r="AK5571">
        <v>0.64802947852318005</v>
      </c>
      <c r="AL5571">
        <v>92.850528586689805</v>
      </c>
      <c r="AM5571">
        <v>92.888012736793002</v>
      </c>
      <c r="AN5571">
        <v>1.0000000395370501</v>
      </c>
    </row>
    <row r="5572" spans="1:40" x14ac:dyDescent="0.25">
      <c r="A5572" t="str">
        <f>"20190305135345073"</f>
        <v>20190305135345073</v>
      </c>
      <c r="B5572" t="str">
        <f>"1551765225065795"</f>
        <v>1551765225065795</v>
      </c>
      <c r="C5572" t="s">
        <v>40</v>
      </c>
      <c r="D5572">
        <v>4.7579820000000002</v>
      </c>
      <c r="E5572">
        <v>0.53811069999999905</v>
      </c>
      <c r="F5572" t="s">
        <v>41</v>
      </c>
      <c r="G5572">
        <v>-301.71679999999998</v>
      </c>
      <c r="H5572">
        <v>1.0455700000000001</v>
      </c>
      <c r="I5572">
        <v>-12.84981</v>
      </c>
      <c r="J5572">
        <v>-301.75639999999999</v>
      </c>
      <c r="K5572">
        <v>1.106889</v>
      </c>
      <c r="L5572">
        <v>-12.228910000000001</v>
      </c>
      <c r="M5572">
        <v>8.5723779999999999E-2</v>
      </c>
      <c r="N5572">
        <v>-9.330283E-3</v>
      </c>
      <c r="O5572">
        <v>-0.99627540000000003</v>
      </c>
      <c r="P5572">
        <v>0.137321</v>
      </c>
      <c r="Q5572">
        <v>-5.8562349999999999E-2</v>
      </c>
      <c r="R5572">
        <v>-0.98879430000000001</v>
      </c>
      <c r="S5572">
        <v>0.20724490000000001</v>
      </c>
      <c r="T5572">
        <v>-0.20131850000000001</v>
      </c>
      <c r="U5572">
        <v>-2.993347</v>
      </c>
      <c r="V5572">
        <v>-5.2259689999999998E-2</v>
      </c>
      <c r="W5572">
        <v>-4.9034069999999999E-2</v>
      </c>
      <c r="X5572">
        <v>0.99742900000000001</v>
      </c>
      <c r="Y5572">
        <v>1.6815420000000001E-2</v>
      </c>
      <c r="Z5572">
        <v>5.7365220000000001E-2</v>
      </c>
      <c r="AA5572">
        <v>0.99821159999999998</v>
      </c>
      <c r="AB5572">
        <v>29</v>
      </c>
      <c r="AC5572">
        <v>3.9600000000007102E-2</v>
      </c>
      <c r="AD5572">
        <v>-6.1318999999999901E-2</v>
      </c>
      <c r="AE5572">
        <v>-0.62089999999999801</v>
      </c>
      <c r="AF5572">
        <v>1.3641477739100001E-2</v>
      </c>
      <c r="AG5572">
        <v>-6.1318999999999901E-2</v>
      </c>
      <c r="AH5572">
        <v>0.61602516943136398</v>
      </c>
      <c r="AI5572">
        <v>95.683099332805099</v>
      </c>
      <c r="AJ5572">
        <v>88.731429462713805</v>
      </c>
      <c r="AK5572">
        <v>0.61921976635831499</v>
      </c>
      <c r="AL5572">
        <v>92.810572257922402</v>
      </c>
      <c r="AM5572">
        <v>92.999235293699897</v>
      </c>
      <c r="AN5572">
        <v>1.0000000126303299</v>
      </c>
    </row>
    <row r="5573" spans="1:40" x14ac:dyDescent="0.25">
      <c r="A5573" t="str">
        <f>"20190305135345096"</f>
        <v>20190305135345096</v>
      </c>
      <c r="B5573" t="str">
        <f>"1551765225085314"</f>
        <v>1551765225085314</v>
      </c>
      <c r="C5573" t="s">
        <v>40</v>
      </c>
      <c r="D5573">
        <v>4.6751379999999996</v>
      </c>
      <c r="E5573">
        <v>0.55413869999999998</v>
      </c>
      <c r="F5573" t="s">
        <v>42</v>
      </c>
      <c r="G5573">
        <v>-300.69450000000001</v>
      </c>
      <c r="H5573" s="1">
        <v>-2.0767000000000001E-7</v>
      </c>
      <c r="I5573">
        <v>-40.357570000000003</v>
      </c>
      <c r="J5573">
        <v>-301.73430000000002</v>
      </c>
      <c r="K5573">
        <v>1.1068450000000001</v>
      </c>
      <c r="L5573">
        <v>-12.513820000000001</v>
      </c>
      <c r="M5573">
        <v>8.3400569999999993E-2</v>
      </c>
      <c r="N5573">
        <v>-9.3587189999999997E-3</v>
      </c>
      <c r="O5573">
        <v>-0.99647249999999998</v>
      </c>
      <c r="P5573">
        <v>0.13721040000000001</v>
      </c>
      <c r="Q5573">
        <v>-5.8049980000000001E-2</v>
      </c>
      <c r="R5573">
        <v>-0.98883989999999999</v>
      </c>
      <c r="S5573">
        <v>0.113678</v>
      </c>
      <c r="T5573">
        <v>-0.1184936</v>
      </c>
      <c r="U5573">
        <v>-3.0112000000000001</v>
      </c>
      <c r="V5573">
        <v>-5.4475500000000003E-2</v>
      </c>
      <c r="W5573">
        <v>-4.8476449999999997E-2</v>
      </c>
      <c r="X5573">
        <v>0.99733769999999999</v>
      </c>
      <c r="Y5573">
        <v>4.5757699999999998E-2</v>
      </c>
      <c r="Z5573">
        <v>2.9742230000000001E-2</v>
      </c>
      <c r="AA5573">
        <v>0.99850969999999994</v>
      </c>
      <c r="AB5573">
        <v>29</v>
      </c>
      <c r="AC5573">
        <v>1.03980000000001</v>
      </c>
      <c r="AD5573">
        <v>-1.1068452076699999</v>
      </c>
      <c r="AE5573">
        <v>-27.84375</v>
      </c>
      <c r="AF5573">
        <v>1.28408208918167</v>
      </c>
      <c r="AG5573">
        <v>-1.1068452076699999</v>
      </c>
      <c r="AH5573">
        <v>27.789607881708001</v>
      </c>
      <c r="AI5573">
        <v>92.278426150192203</v>
      </c>
      <c r="AJ5573">
        <v>87.354399899860695</v>
      </c>
      <c r="AK5573">
        <v>27.841269355842702</v>
      </c>
      <c r="AL5573">
        <v>92.778584932235404</v>
      </c>
      <c r="AM5573">
        <v>93.126441314202594</v>
      </c>
      <c r="AN5573">
        <v>1.0000000170730701</v>
      </c>
    </row>
    <row r="5574" spans="1:40" x14ac:dyDescent="0.25">
      <c r="A5574" t="str">
        <f>"20190305135345118"</f>
        <v>20190305135345118</v>
      </c>
      <c r="B5574" t="str">
        <f>"1551765225115571"</f>
        <v>1551765225115571</v>
      </c>
      <c r="C5574" t="s">
        <v>40</v>
      </c>
      <c r="D5574">
        <v>4.623259</v>
      </c>
      <c r="E5574">
        <v>0.5681794</v>
      </c>
      <c r="F5574" t="s">
        <v>42</v>
      </c>
      <c r="G5574">
        <v>-301.84160000000003</v>
      </c>
      <c r="H5574" s="1">
        <v>-3.7793450000000002E-6</v>
      </c>
      <c r="I5574">
        <v>-32.743369999999999</v>
      </c>
      <c r="J5574">
        <v>-301.71210000000002</v>
      </c>
      <c r="K5574">
        <v>1.106795</v>
      </c>
      <c r="L5574">
        <v>-12.809939999999999</v>
      </c>
      <c r="M5574">
        <v>8.0900470000000002E-2</v>
      </c>
      <c r="N5574">
        <v>-9.3859330000000008E-3</v>
      </c>
      <c r="O5574">
        <v>-0.99667819999999996</v>
      </c>
      <c r="P5574">
        <v>0.13636760000000001</v>
      </c>
      <c r="Q5574">
        <v>-5.7159109999999999E-2</v>
      </c>
      <c r="R5574">
        <v>-0.98900809999999995</v>
      </c>
      <c r="S5574">
        <v>-1.6052250000000001E-2</v>
      </c>
      <c r="T5574">
        <v>-0.16558610000000001</v>
      </c>
      <c r="U5574">
        <v>-3.026367</v>
      </c>
      <c r="V5574">
        <v>-5.6126259999999997E-2</v>
      </c>
      <c r="W5574">
        <v>-4.7542069999999999E-2</v>
      </c>
      <c r="X5574">
        <v>0.99729109999999999</v>
      </c>
      <c r="Y5574">
        <v>8.6158020000000002E-2</v>
      </c>
      <c r="Z5574">
        <v>4.4885960000000003E-2</v>
      </c>
      <c r="AA5574">
        <v>0.99526979999999998</v>
      </c>
      <c r="AB5574">
        <v>29</v>
      </c>
      <c r="AC5574">
        <v>-0.129500000000007</v>
      </c>
      <c r="AD5574">
        <v>-1.106798779345</v>
      </c>
      <c r="AE5574">
        <v>-19.933429999999898</v>
      </c>
      <c r="AF5574">
        <v>1.7364168988834101</v>
      </c>
      <c r="AG5574">
        <v>-1.106798779345</v>
      </c>
      <c r="AH5574">
        <v>19.796578852769098</v>
      </c>
      <c r="AI5574">
        <v>93.187780960835596</v>
      </c>
      <c r="AJ5574">
        <v>84.987245564656007</v>
      </c>
      <c r="AK5574">
        <v>19.903383668577401</v>
      </c>
      <c r="AL5574">
        <v>92.7249872199924</v>
      </c>
      <c r="AM5574">
        <v>93.221134862272606</v>
      </c>
      <c r="AN5574">
        <v>0.99999997181033995</v>
      </c>
    </row>
    <row r="5575" spans="1:40" x14ac:dyDescent="0.25">
      <c r="A5575" t="str">
        <f>"20190305135345140"</f>
        <v>20190305135345140</v>
      </c>
      <c r="B5575" t="str">
        <f>"1551765225136067"</f>
        <v>1551765225136067</v>
      </c>
      <c r="C5575" t="s">
        <v>40</v>
      </c>
      <c r="D5575">
        <v>4.5800769999999904</v>
      </c>
      <c r="E5575">
        <v>0.5713973</v>
      </c>
      <c r="F5575" t="s">
        <v>42</v>
      </c>
      <c r="G5575">
        <v>-302.53100000000001</v>
      </c>
      <c r="H5575" s="1">
        <v>-4.2292860000000004E-6</v>
      </c>
      <c r="I5575">
        <v>-31.90456</v>
      </c>
      <c r="J5575">
        <v>-301.69139999999999</v>
      </c>
      <c r="K5575">
        <v>1.1067309999999999</v>
      </c>
      <c r="L5575">
        <v>-13.0968</v>
      </c>
      <c r="M5575">
        <v>7.8388250000000007E-2</v>
      </c>
      <c r="N5575">
        <v>-9.410402E-3</v>
      </c>
      <c r="O5575">
        <v>-0.99687859999999995</v>
      </c>
      <c r="P5575">
        <v>0.13389499999999999</v>
      </c>
      <c r="Q5575">
        <v>-5.7175080000000003E-2</v>
      </c>
      <c r="R5575">
        <v>-0.98934489999999997</v>
      </c>
      <c r="S5575">
        <v>-0.1304321</v>
      </c>
      <c r="T5575">
        <v>-0.1762763</v>
      </c>
      <c r="U5575">
        <v>-3.0411380000000001</v>
      </c>
      <c r="V5575">
        <v>-5.6155320000000002E-2</v>
      </c>
      <c r="W5575">
        <v>-4.7523320000000001E-2</v>
      </c>
      <c r="X5575">
        <v>0.99729040000000002</v>
      </c>
      <c r="Y5575">
        <v>0.1209495</v>
      </c>
      <c r="Z5575">
        <v>4.7947950000000003E-2</v>
      </c>
      <c r="AA5575">
        <v>0.99150000000000005</v>
      </c>
      <c r="AB5575">
        <v>29</v>
      </c>
      <c r="AC5575">
        <v>-0.839600000000018</v>
      </c>
      <c r="AD5575">
        <v>-1.106735229286</v>
      </c>
      <c r="AE5575">
        <v>-18.807759999999899</v>
      </c>
      <c r="AF5575">
        <v>2.3034285702780002</v>
      </c>
      <c r="AG5575">
        <v>-1.106735229286</v>
      </c>
      <c r="AH5575">
        <v>18.619717931532701</v>
      </c>
      <c r="AI5575">
        <v>93.375920797125005</v>
      </c>
      <c r="AJ5575">
        <v>82.947820342923507</v>
      </c>
      <c r="AK5575">
        <v>18.794268857711799</v>
      </c>
      <c r="AL5575">
        <v>92.723911593636899</v>
      </c>
      <c r="AM5575">
        <v>93.222801383614595</v>
      </c>
      <c r="AN5575">
        <v>1.0000000139201399</v>
      </c>
    </row>
    <row r="5576" spans="1:40" x14ac:dyDescent="0.25">
      <c r="A5576" t="str">
        <f>"20190305135345163"</f>
        <v>20190305135345163</v>
      </c>
      <c r="B5576" t="str">
        <f>"1551765225155587"</f>
        <v>1551765225155587</v>
      </c>
      <c r="C5576" t="s">
        <v>40</v>
      </c>
      <c r="D5576">
        <v>4.5621470000000004</v>
      </c>
      <c r="E5576">
        <v>0.57308669999999995</v>
      </c>
      <c r="F5576" t="s">
        <v>42</v>
      </c>
      <c r="G5576">
        <v>-302.64420000000001</v>
      </c>
      <c r="H5576" s="1">
        <v>-4.6294920000000001E-6</v>
      </c>
      <c r="I5576">
        <v>-30.787489999999998</v>
      </c>
      <c r="J5576">
        <v>-301.67079999999999</v>
      </c>
      <c r="K5576">
        <v>1.1066560000000001</v>
      </c>
      <c r="L5576">
        <v>-13.394959999999999</v>
      </c>
      <c r="M5576">
        <v>7.5679060000000006E-2</v>
      </c>
      <c r="N5576">
        <v>-9.4339880000000008E-3</v>
      </c>
      <c r="O5576">
        <v>-0.99708770000000002</v>
      </c>
      <c r="P5576">
        <v>0.1296823</v>
      </c>
      <c r="Q5576">
        <v>-5.7351810000000003E-2</v>
      </c>
      <c r="R5576">
        <v>-0.98989590000000005</v>
      </c>
      <c r="S5576">
        <v>-0.1639099</v>
      </c>
      <c r="T5576">
        <v>-0.19040170000000001</v>
      </c>
      <c r="U5576">
        <v>-3.043488</v>
      </c>
      <c r="V5576">
        <v>-5.4632170000000001E-2</v>
      </c>
      <c r="W5576">
        <v>-4.7671850000000002E-2</v>
      </c>
      <c r="X5576">
        <v>0.99736789999999997</v>
      </c>
      <c r="Y5576">
        <v>0.1290781</v>
      </c>
      <c r="Z5576">
        <v>5.2426199999999902E-2</v>
      </c>
      <c r="AA5576">
        <v>0.99024760000000001</v>
      </c>
      <c r="AB5576">
        <v>29</v>
      </c>
      <c r="AC5576">
        <v>-0.97340000000002602</v>
      </c>
      <c r="AD5576">
        <v>-1.1066606294919901</v>
      </c>
      <c r="AE5576">
        <v>-17.392529999999901</v>
      </c>
      <c r="AF5576">
        <v>2.2777242590787798</v>
      </c>
      <c r="AG5576">
        <v>-1.1066606294919901</v>
      </c>
      <c r="AH5576">
        <v>17.1995620032814</v>
      </c>
      <c r="AI5576">
        <v>93.649694740747904</v>
      </c>
      <c r="AJ5576">
        <v>82.456260741085302</v>
      </c>
      <c r="AK5576">
        <v>17.384983711639901</v>
      </c>
      <c r="AL5576">
        <v>92.732431420236395</v>
      </c>
      <c r="AM5576">
        <v>93.135320206549096</v>
      </c>
      <c r="AN5576">
        <v>1.00000000361587</v>
      </c>
    </row>
    <row r="5577" spans="1:40" x14ac:dyDescent="0.25">
      <c r="A5577" t="str">
        <f>"20190305135345184"</f>
        <v>20190305135345184</v>
      </c>
      <c r="B5577" t="str">
        <f>"1551765225176083"</f>
        <v>1551765225176083</v>
      </c>
      <c r="C5577" t="s">
        <v>40</v>
      </c>
      <c r="D5577">
        <v>4.6356449999999896</v>
      </c>
      <c r="E5577">
        <v>0.57401880000000005</v>
      </c>
      <c r="F5577" t="s">
        <v>42</v>
      </c>
      <c r="G5577">
        <v>-302.75</v>
      </c>
      <c r="H5577" s="1">
        <v>-4.6978610000000004E-6</v>
      </c>
      <c r="I5577">
        <v>-30.641749999999998</v>
      </c>
      <c r="J5577">
        <v>-301.65190000000001</v>
      </c>
      <c r="K5577">
        <v>1.1065860000000001</v>
      </c>
      <c r="L5577">
        <v>-13.67905</v>
      </c>
      <c r="M5577">
        <v>7.2997450000000005E-2</v>
      </c>
      <c r="N5577">
        <v>-9.4548129999999994E-3</v>
      </c>
      <c r="O5577">
        <v>-0.99728720000000004</v>
      </c>
      <c r="P5577">
        <v>0.12545390000000001</v>
      </c>
      <c r="Q5577">
        <v>-5.7040649999999998E-2</v>
      </c>
      <c r="R5577">
        <v>-0.99045810000000001</v>
      </c>
      <c r="S5577">
        <v>-0.19049070000000001</v>
      </c>
      <c r="T5577">
        <v>-0.19533800000000001</v>
      </c>
      <c r="U5577">
        <v>-3.0442499999999999</v>
      </c>
      <c r="V5577">
        <v>-5.3062570000000003E-2</v>
      </c>
      <c r="W5577">
        <v>-4.7335830000000002E-2</v>
      </c>
      <c r="X5577">
        <v>0.99746869999999999</v>
      </c>
      <c r="Y5577">
        <v>0.1350046</v>
      </c>
      <c r="Z5577">
        <v>5.396339E-2</v>
      </c>
      <c r="AA5577">
        <v>0.98937439999999999</v>
      </c>
      <c r="AB5577">
        <v>29</v>
      </c>
      <c r="AC5577">
        <v>-1.0980999999999801</v>
      </c>
      <c r="AD5577">
        <v>-1.1065906978610001</v>
      </c>
      <c r="AE5577">
        <v>-16.962699999999899</v>
      </c>
      <c r="AF5577">
        <v>2.3236118526759602</v>
      </c>
      <c r="AG5577">
        <v>-1.1065906978610001</v>
      </c>
      <c r="AH5577">
        <v>16.766223143149102</v>
      </c>
      <c r="AI5577">
        <v>93.740465403639803</v>
      </c>
      <c r="AJ5577">
        <v>82.109702708191193</v>
      </c>
      <c r="AK5577">
        <v>16.962604561221099</v>
      </c>
      <c r="AL5577">
        <v>92.713156973417995</v>
      </c>
      <c r="AM5577">
        <v>93.045106324393402</v>
      </c>
      <c r="AN5577">
        <v>1.0000000623082399</v>
      </c>
    </row>
    <row r="5578" spans="1:40" x14ac:dyDescent="0.25">
      <c r="A5578" t="str">
        <f>"20190305135345207"</f>
        <v>20190305135345207</v>
      </c>
      <c r="B5578" t="str">
        <f>"1551765225195603"</f>
        <v>1551765225195603</v>
      </c>
      <c r="C5578" t="s">
        <v>40</v>
      </c>
      <c r="D5578">
        <v>4.617845</v>
      </c>
      <c r="E5578">
        <v>0.5749514</v>
      </c>
      <c r="F5578" t="s">
        <v>42</v>
      </c>
      <c r="G5578">
        <v>-302.79050000000001</v>
      </c>
      <c r="H5578" s="1">
        <v>-8.8931880000000001E-7</v>
      </c>
      <c r="I5578">
        <v>-30.068619999999999</v>
      </c>
      <c r="J5578">
        <v>-301.63380000000001</v>
      </c>
      <c r="K5578">
        <v>1.1065119999999999</v>
      </c>
      <c r="L5578">
        <v>-13.96698</v>
      </c>
      <c r="M5578">
        <v>7.0172830000000005E-2</v>
      </c>
      <c r="N5578">
        <v>-9.4744270000000005E-3</v>
      </c>
      <c r="O5578">
        <v>-0.99749019999999999</v>
      </c>
      <c r="P5578">
        <v>0.12131069999999999</v>
      </c>
      <c r="Q5578">
        <v>-5.6589269999999997E-2</v>
      </c>
      <c r="R5578">
        <v>-0.9910004</v>
      </c>
      <c r="S5578">
        <v>-0.21145630000000001</v>
      </c>
      <c r="T5578">
        <v>-0.20551420000000001</v>
      </c>
      <c r="U5578">
        <v>-3.0438540000000001</v>
      </c>
      <c r="V5578">
        <v>-5.1722410000000003E-2</v>
      </c>
      <c r="W5578">
        <v>-4.6860100000000002E-2</v>
      </c>
      <c r="X5578">
        <v>0.99756149999999999</v>
      </c>
      <c r="Y5578">
        <v>0.13897409999999999</v>
      </c>
      <c r="Z5578">
        <v>5.7229269999999999E-2</v>
      </c>
      <c r="AA5578">
        <v>0.98864099999999999</v>
      </c>
      <c r="AB5578">
        <v>29</v>
      </c>
      <c r="AC5578">
        <v>-1.1567000000000001</v>
      </c>
      <c r="AD5578">
        <v>-1.1065128893188001</v>
      </c>
      <c r="AE5578">
        <v>-16.10164</v>
      </c>
      <c r="AF5578">
        <v>2.2731165793136099</v>
      </c>
      <c r="AG5578">
        <v>-1.1065128893188001</v>
      </c>
      <c r="AH5578">
        <v>15.9060401992247</v>
      </c>
      <c r="AI5578">
        <v>93.939506077956096</v>
      </c>
      <c r="AJ5578">
        <v>81.866984905354499</v>
      </c>
      <c r="AK5578">
        <v>16.105699133434999</v>
      </c>
      <c r="AL5578">
        <v>92.685869508573205</v>
      </c>
      <c r="AM5578">
        <v>92.968062120714293</v>
      </c>
      <c r="AN5578">
        <v>1.0000000114752301</v>
      </c>
    </row>
    <row r="5579" spans="1:40" x14ac:dyDescent="0.25">
      <c r="A5579" t="str">
        <f>"20190305135345229"</f>
        <v>20190305135345229</v>
      </c>
      <c r="B5579" t="str">
        <f>"1551765225225859"</f>
        <v>1551765225225859</v>
      </c>
      <c r="C5579" t="s">
        <v>40</v>
      </c>
      <c r="D5579">
        <v>4.6024440000000002</v>
      </c>
      <c r="E5579">
        <v>0.57525879999999996</v>
      </c>
      <c r="F5579" t="s">
        <v>41</v>
      </c>
      <c r="G5579">
        <v>-301.70859999999999</v>
      </c>
      <c r="H5579">
        <v>1.0394479999999999</v>
      </c>
      <c r="I5579">
        <v>-14.94754</v>
      </c>
      <c r="J5579">
        <v>-301.61599999999999</v>
      </c>
      <c r="K5579">
        <v>1.1064309999999999</v>
      </c>
      <c r="L5579">
        <v>-14.26511</v>
      </c>
      <c r="M5579">
        <v>6.7151329999999995E-2</v>
      </c>
      <c r="N5579">
        <v>-9.4932279999999994E-3</v>
      </c>
      <c r="O5579">
        <v>-0.99769759999999996</v>
      </c>
      <c r="P5579">
        <v>0.1174997</v>
      </c>
      <c r="Q5579">
        <v>-5.5814120000000002E-2</v>
      </c>
      <c r="R5579">
        <v>-0.99150329999999998</v>
      </c>
      <c r="S5579">
        <v>-0.23172000000000001</v>
      </c>
      <c r="T5579">
        <v>-0.20810100000000001</v>
      </c>
      <c r="U5579">
        <v>-3.0437319999999999</v>
      </c>
      <c r="V5579">
        <v>-5.0910419999999998E-2</v>
      </c>
      <c r="W5579">
        <v>-4.6059599999999999E-2</v>
      </c>
      <c r="X5579">
        <v>0.99764059999999999</v>
      </c>
      <c r="Y5579">
        <v>0.14251829999999999</v>
      </c>
      <c r="Z5579">
        <v>5.8036169999999998E-2</v>
      </c>
      <c r="AA5579">
        <v>0.98808929999999995</v>
      </c>
      <c r="AB5579">
        <v>29</v>
      </c>
      <c r="AC5579">
        <v>-9.2600000000004401E-2</v>
      </c>
      <c r="AD5579">
        <v>-6.6983000000000001E-2</v>
      </c>
      <c r="AE5579">
        <v>-0.68242999999999998</v>
      </c>
      <c r="AF5579">
        <v>0.13692381948923199</v>
      </c>
      <c r="AG5579">
        <v>-6.6983000000000001E-2</v>
      </c>
      <c r="AH5579">
        <v>0.66834843707163405</v>
      </c>
      <c r="AI5579">
        <v>95.6074667887911</v>
      </c>
      <c r="AJ5579">
        <v>78.4220816457658</v>
      </c>
      <c r="AK5579">
        <v>0.68551038501879502</v>
      </c>
      <c r="AL5579">
        <v>92.639954521598696</v>
      </c>
      <c r="AM5579">
        <v>92.921316647388394</v>
      </c>
      <c r="AN5579">
        <v>1.00000006219254</v>
      </c>
    </row>
    <row r="5580" spans="1:40" x14ac:dyDescent="0.25">
      <c r="A5580" t="str">
        <f>"20190305135345252"</f>
        <v>20190305135345252</v>
      </c>
      <c r="B5580" t="str">
        <f>"1551765225245382"</f>
        <v>1551765225245382</v>
      </c>
      <c r="C5580" t="s">
        <v>40</v>
      </c>
      <c r="D5580">
        <v>4.5824299999999996</v>
      </c>
      <c r="E5580">
        <v>0.57559359999999904</v>
      </c>
      <c r="F5580" t="s">
        <v>41</v>
      </c>
      <c r="G5580">
        <v>-301.69240000000002</v>
      </c>
      <c r="H5580">
        <v>1.0402629999999999</v>
      </c>
      <c r="I5580">
        <v>-15.210760000000001</v>
      </c>
      <c r="J5580">
        <v>-301.5992</v>
      </c>
      <c r="K5580">
        <v>1.1063620000000001</v>
      </c>
      <c r="L5580">
        <v>-14.56311</v>
      </c>
      <c r="M5580">
        <v>6.4058359999999995E-2</v>
      </c>
      <c r="N5580">
        <v>-9.5101130000000006E-3</v>
      </c>
      <c r="O5580">
        <v>-0.99790109999999999</v>
      </c>
      <c r="P5580">
        <v>0.1128885</v>
      </c>
      <c r="Q5580">
        <v>-5.6272349999999999E-2</v>
      </c>
      <c r="R5580">
        <v>-0.99201340000000005</v>
      </c>
      <c r="S5580">
        <v>-0.24597169999999999</v>
      </c>
      <c r="T5580">
        <v>-0.21293390000000001</v>
      </c>
      <c r="U5580">
        <v>-3.0428769999999998</v>
      </c>
      <c r="V5580">
        <v>-4.9377089999999998E-2</v>
      </c>
      <c r="W5580">
        <v>-4.6501029999999999E-2</v>
      </c>
      <c r="X5580">
        <v>0.9976971</v>
      </c>
      <c r="Y5580">
        <v>0.144061299999999</v>
      </c>
      <c r="Z5580">
        <v>5.960095E-2</v>
      </c>
      <c r="AA5580">
        <v>0.98777230000000005</v>
      </c>
      <c r="AB5580">
        <v>29</v>
      </c>
      <c r="AC5580">
        <v>-9.3200000000024305E-2</v>
      </c>
      <c r="AD5580">
        <v>-6.6099000000000102E-2</v>
      </c>
      <c r="AE5580">
        <v>-0.64764999999999995</v>
      </c>
      <c r="AF5580">
        <v>0.133139159478978</v>
      </c>
      <c r="AG5580">
        <v>-6.6099000000000102E-2</v>
      </c>
      <c r="AH5580">
        <v>0.63388053418704005</v>
      </c>
      <c r="AI5580">
        <v>95.826863797112907</v>
      </c>
      <c r="AJ5580">
        <v>78.138121778898693</v>
      </c>
      <c r="AK5580">
        <v>0.65107575996117095</v>
      </c>
      <c r="AL5580">
        <v>92.665273963591602</v>
      </c>
      <c r="AM5580">
        <v>92.833317264404798</v>
      </c>
      <c r="AN5580">
        <v>0.99999997307816901</v>
      </c>
    </row>
    <row r="5581" spans="1:40" x14ac:dyDescent="0.25">
      <c r="A5581" t="str">
        <f>"20190305135345274"</f>
        <v>20190305135345274</v>
      </c>
      <c r="B5581" t="str">
        <f>"1551765225265876"</f>
        <v>1551765225265876</v>
      </c>
      <c r="C5581" t="s">
        <v>40</v>
      </c>
      <c r="D5581">
        <v>4.617254</v>
      </c>
      <c r="E5581">
        <v>0.57562950000000002</v>
      </c>
      <c r="F5581" t="s">
        <v>41</v>
      </c>
      <c r="G5581">
        <v>-301.67880000000002</v>
      </c>
      <c r="H5581">
        <v>1.041987</v>
      </c>
      <c r="I5581">
        <v>-15.47892</v>
      </c>
      <c r="J5581">
        <v>-301.584</v>
      </c>
      <c r="K5581">
        <v>1.1063019999999999</v>
      </c>
      <c r="L5581">
        <v>-14.84979</v>
      </c>
      <c r="M5581">
        <v>6.1032110000000001E-2</v>
      </c>
      <c r="N5581">
        <v>-9.5245850000000003E-3</v>
      </c>
      <c r="O5581">
        <v>-0.99809040000000004</v>
      </c>
      <c r="P5581">
        <v>0.1090082</v>
      </c>
      <c r="Q5581">
        <v>-5.6982940000000003E-2</v>
      </c>
      <c r="R5581">
        <v>-0.99240640000000002</v>
      </c>
      <c r="S5581">
        <v>-0.2630615</v>
      </c>
      <c r="T5581">
        <v>-0.21347830000000001</v>
      </c>
      <c r="U5581">
        <v>-3.0419619999999998</v>
      </c>
      <c r="V5581">
        <v>-4.8513439999999998E-2</v>
      </c>
      <c r="W5581">
        <v>-4.7196370000000001E-2</v>
      </c>
      <c r="X5581">
        <v>0.9977068</v>
      </c>
      <c r="Y5581">
        <v>0.1465928</v>
      </c>
      <c r="Z5581">
        <v>5.9773409999999999E-2</v>
      </c>
      <c r="AA5581">
        <v>0.98738930000000003</v>
      </c>
      <c r="AB5581">
        <v>29</v>
      </c>
      <c r="AC5581">
        <v>-9.4800000000020604E-2</v>
      </c>
      <c r="AD5581">
        <v>-6.4315000000000094E-2</v>
      </c>
      <c r="AE5581">
        <v>-0.62913000000000097</v>
      </c>
      <c r="AF5581">
        <v>0.13167657426410101</v>
      </c>
      <c r="AG5581">
        <v>-6.4315000000000094E-2</v>
      </c>
      <c r="AH5581">
        <v>0.61587753495089104</v>
      </c>
      <c r="AI5581">
        <v>95.830846809557698</v>
      </c>
      <c r="AJ5581">
        <v>77.931679040752599</v>
      </c>
      <c r="AK5581">
        <v>0.63307209501929196</v>
      </c>
      <c r="AL5581">
        <v>92.705157854370796</v>
      </c>
      <c r="AM5581">
        <v>92.783811606952298</v>
      </c>
      <c r="AN5581">
        <v>0.99999995498402405</v>
      </c>
    </row>
    <row r="5582" spans="1:40" x14ac:dyDescent="0.25">
      <c r="A5582" t="str">
        <f>"20190305135345300"</f>
        <v>20190305135345300</v>
      </c>
      <c r="B5582" t="str">
        <f>"1551765225285395"</f>
        <v>1551765225285395</v>
      </c>
      <c r="C5582" t="s">
        <v>40</v>
      </c>
      <c r="D5582">
        <v>4.602627</v>
      </c>
      <c r="E5582">
        <v>0.57570940000000004</v>
      </c>
      <c r="F5582" t="s">
        <v>41</v>
      </c>
      <c r="G5582">
        <v>-301.66460000000001</v>
      </c>
      <c r="H5582">
        <v>1.042011</v>
      </c>
      <c r="I5582">
        <v>-15.738950000000001</v>
      </c>
      <c r="J5582">
        <v>-301.56849999999997</v>
      </c>
      <c r="K5582">
        <v>1.1062609999999999</v>
      </c>
      <c r="L5582">
        <v>-15.158390000000001</v>
      </c>
      <c r="M5582">
        <v>5.77391999999999E-2</v>
      </c>
      <c r="N5582">
        <v>-9.5385480000000009E-3</v>
      </c>
      <c r="O5582">
        <v>-0.99828620000000001</v>
      </c>
      <c r="P5582">
        <v>0.1054142</v>
      </c>
      <c r="Q5582">
        <v>-5.8119070000000002E-2</v>
      </c>
      <c r="R5582">
        <v>-0.99272850000000001</v>
      </c>
      <c r="S5582">
        <v>-0.27505489999999999</v>
      </c>
      <c r="T5582">
        <v>-0.21972990000000001</v>
      </c>
      <c r="U5582">
        <v>-3.0405579999999999</v>
      </c>
      <c r="V5582">
        <v>-4.8207319999999998E-2</v>
      </c>
      <c r="W5582">
        <v>-4.8316449999999997E-2</v>
      </c>
      <c r="X5582">
        <v>0.99766809999999995</v>
      </c>
      <c r="Y5582">
        <v>0.1472202</v>
      </c>
      <c r="Z5582">
        <v>6.1818270000000002E-2</v>
      </c>
      <c r="AA5582">
        <v>0.98716999999999999</v>
      </c>
      <c r="AB5582">
        <v>29</v>
      </c>
      <c r="AC5582">
        <v>-9.6100000000035296E-2</v>
      </c>
      <c r="AD5582">
        <v>-6.4250000000000099E-2</v>
      </c>
      <c r="AE5582">
        <v>-0.58056000000000196</v>
      </c>
      <c r="AF5582">
        <v>0.12793711711306099</v>
      </c>
      <c r="AG5582">
        <v>-6.4250000000000099E-2</v>
      </c>
      <c r="AH5582">
        <v>0.56727983605299503</v>
      </c>
      <c r="AI5582">
        <v>96.304746077816702</v>
      </c>
      <c r="AJ5582">
        <v>77.290860851525693</v>
      </c>
      <c r="AK5582">
        <v>0.58506613372123495</v>
      </c>
      <c r="AL5582">
        <v>92.769406813127503</v>
      </c>
      <c r="AM5582">
        <v>92.766380254114594</v>
      </c>
      <c r="AN5582">
        <v>1.00000003139989</v>
      </c>
    </row>
    <row r="5583" spans="1:40" x14ac:dyDescent="0.25">
      <c r="A5583" t="str">
        <f>"20190305135345320"</f>
        <v>20190305135345320</v>
      </c>
      <c r="B5583" t="str">
        <f>"1551765225315652"</f>
        <v>1551765225315652</v>
      </c>
      <c r="C5583" t="s">
        <v>40</v>
      </c>
      <c r="D5583">
        <v>4.6072509999999998</v>
      </c>
      <c r="E5583">
        <v>0.57564329999999997</v>
      </c>
      <c r="F5583" t="s">
        <v>41</v>
      </c>
      <c r="G5583">
        <v>-301.64839999999998</v>
      </c>
      <c r="H5583">
        <v>1.0438810000000001</v>
      </c>
      <c r="I5583">
        <v>-16.003879999999999</v>
      </c>
      <c r="J5583">
        <v>-301.55439999999999</v>
      </c>
      <c r="K5583">
        <v>1.1062379999999901</v>
      </c>
      <c r="L5583">
        <v>-15.45941</v>
      </c>
      <c r="M5583">
        <v>5.450816E-2</v>
      </c>
      <c r="N5583">
        <v>-9.5508399999999997E-3</v>
      </c>
      <c r="O5583">
        <v>-0.99846769999999996</v>
      </c>
      <c r="P5583">
        <v>0.1028187</v>
      </c>
      <c r="Q5583">
        <v>-5.8778629999999998E-2</v>
      </c>
      <c r="R5583">
        <v>-0.99296200000000001</v>
      </c>
      <c r="S5583">
        <v>-0.28680420000000001</v>
      </c>
      <c r="T5583">
        <v>-0.22413710000000001</v>
      </c>
      <c r="U5583">
        <v>-3.039307</v>
      </c>
      <c r="V5583">
        <v>-4.8836600000000001E-2</v>
      </c>
      <c r="W5583">
        <v>-4.8957680000000003E-2</v>
      </c>
      <c r="X5583">
        <v>0.9976062</v>
      </c>
      <c r="Y5583">
        <v>0.14782979999999901</v>
      </c>
      <c r="Z5583">
        <v>6.326445E-2</v>
      </c>
      <c r="AA5583">
        <v>0.98698730000000001</v>
      </c>
      <c r="AB5583">
        <v>29</v>
      </c>
      <c r="AC5583">
        <v>-9.3999999999994005E-2</v>
      </c>
      <c r="AD5583">
        <v>-6.2356999999999697E-2</v>
      </c>
      <c r="AE5583">
        <v>-0.54446999999999801</v>
      </c>
      <c r="AF5583">
        <v>0.121985915807753</v>
      </c>
      <c r="AG5583">
        <v>-6.2356999999999697E-2</v>
      </c>
      <c r="AH5583">
        <v>0.531763407975543</v>
      </c>
      <c r="AI5583">
        <v>96.520370571332194</v>
      </c>
      <c r="AJ5583">
        <v>77.079952469339503</v>
      </c>
      <c r="AK5583">
        <v>0.549127745762514</v>
      </c>
      <c r="AL5583">
        <v>92.806190208395407</v>
      </c>
      <c r="AM5583">
        <v>92.802607941851605</v>
      </c>
      <c r="AN5583">
        <v>0.999999999104491</v>
      </c>
    </row>
    <row r="5584" spans="1:40" x14ac:dyDescent="0.25">
      <c r="A5584" t="str">
        <f>"20190305135345341"</f>
        <v>20190305135345341</v>
      </c>
      <c r="B5584" t="str">
        <f>"1551765225335171"</f>
        <v>1551765225335171</v>
      </c>
      <c r="C5584" t="s">
        <v>40</v>
      </c>
      <c r="D5584">
        <v>4.6578350000000004</v>
      </c>
      <c r="E5584">
        <v>0.57554499999999997</v>
      </c>
      <c r="F5584" t="s">
        <v>41</v>
      </c>
      <c r="G5584">
        <v>-301.63310000000001</v>
      </c>
      <c r="H5584">
        <v>1.0451140000000001</v>
      </c>
      <c r="I5584">
        <v>-16.268699999999999</v>
      </c>
      <c r="J5584">
        <v>-301.5421</v>
      </c>
      <c r="K5584">
        <v>1.106236</v>
      </c>
      <c r="L5584">
        <v>-15.74161</v>
      </c>
      <c r="M5584">
        <v>5.1475699999999902E-2</v>
      </c>
      <c r="N5584">
        <v>-9.5613920000000002E-3</v>
      </c>
      <c r="O5584">
        <v>-0.99862850000000003</v>
      </c>
      <c r="P5584">
        <v>0.10164869999999999</v>
      </c>
      <c r="Q5584">
        <v>-5.7673139999999998E-2</v>
      </c>
      <c r="R5584">
        <v>-0.99314729999999996</v>
      </c>
      <c r="S5584">
        <v>-0.29476930000000001</v>
      </c>
      <c r="T5584">
        <v>-0.2293019</v>
      </c>
      <c r="U5584">
        <v>-3.038208</v>
      </c>
      <c r="V5584">
        <v>-5.0681660000000003E-2</v>
      </c>
      <c r="W5584">
        <v>-4.7828750000000003E-2</v>
      </c>
      <c r="X5584">
        <v>0.99756889999999998</v>
      </c>
      <c r="Y5584">
        <v>0.14741219999999999</v>
      </c>
      <c r="Z5584">
        <v>6.4962249999999999E-2</v>
      </c>
      <c r="AA5584">
        <v>0.98693949999999997</v>
      </c>
      <c r="AB5584">
        <v>29</v>
      </c>
      <c r="AC5584">
        <v>-9.1000000000008199E-2</v>
      </c>
      <c r="AD5584">
        <v>-6.11220000000001E-2</v>
      </c>
      <c r="AE5584">
        <v>-0.52708999999999695</v>
      </c>
      <c r="AF5584">
        <v>0.116491785904724</v>
      </c>
      <c r="AG5584">
        <v>-6.11220000000001E-2</v>
      </c>
      <c r="AH5584">
        <v>0.51498211127599103</v>
      </c>
      <c r="AI5584">
        <v>96.603329425725093</v>
      </c>
      <c r="AJ5584">
        <v>77.253891632657002</v>
      </c>
      <c r="AK5584">
        <v>0.53151934113590704</v>
      </c>
      <c r="AL5584">
        <v>92.741431499876995</v>
      </c>
      <c r="AM5584">
        <v>92.908421306884506</v>
      </c>
      <c r="AN5584">
        <v>0.99999996511706302</v>
      </c>
    </row>
    <row r="5585" spans="1:40" x14ac:dyDescent="0.25">
      <c r="A5585" t="str">
        <f>"20190305135345365"</f>
        <v>20190305135345365</v>
      </c>
      <c r="B5585" t="str">
        <f>"1551765225355667"</f>
        <v>1551765225355667</v>
      </c>
      <c r="C5585" t="s">
        <v>40</v>
      </c>
      <c r="D5585">
        <v>4.5911220000000004</v>
      </c>
      <c r="E5585">
        <v>0.57544249999999997</v>
      </c>
      <c r="F5585" t="s">
        <v>41</v>
      </c>
      <c r="G5585">
        <v>-301.61989999999997</v>
      </c>
      <c r="H5585">
        <v>1.046816</v>
      </c>
      <c r="I5585">
        <v>-16.53463</v>
      </c>
      <c r="J5585">
        <v>-301.52949999999998</v>
      </c>
      <c r="K5585">
        <v>1.1062430000000001</v>
      </c>
      <c r="L5585">
        <v>-16.050629999999899</v>
      </c>
      <c r="M5585">
        <v>4.815755E-2</v>
      </c>
      <c r="N5585">
        <v>-9.5721049999999992E-3</v>
      </c>
      <c r="O5585">
        <v>-0.99879410000000002</v>
      </c>
      <c r="P5585">
        <v>0.1012382</v>
      </c>
      <c r="Q5585">
        <v>-5.6044440000000001E-2</v>
      </c>
      <c r="R5585">
        <v>-0.99328249999999996</v>
      </c>
      <c r="S5585">
        <v>-0.29785159999999899</v>
      </c>
      <c r="T5585">
        <v>-0.22747210000000001</v>
      </c>
      <c r="U5585">
        <v>-3.0379640000000001</v>
      </c>
      <c r="V5585">
        <v>-5.3568709999999999E-2</v>
      </c>
      <c r="W5585">
        <v>-4.6170570000000001E-2</v>
      </c>
      <c r="X5585">
        <v>0.99749620000000006</v>
      </c>
      <c r="Y5585">
        <v>0.14513029999999999</v>
      </c>
      <c r="Z5585">
        <v>6.4394399999999893E-2</v>
      </c>
      <c r="AA5585">
        <v>0.98731480000000005</v>
      </c>
      <c r="AB5585">
        <v>30</v>
      </c>
      <c r="AC5585">
        <v>-9.0399999999988198E-2</v>
      </c>
      <c r="AD5585">
        <v>-5.9427000000000098E-2</v>
      </c>
      <c r="AE5585">
        <v>-0.48400000000000098</v>
      </c>
      <c r="AF5585">
        <v>0.111973252544013</v>
      </c>
      <c r="AG5585">
        <v>-5.9427000000000098E-2</v>
      </c>
      <c r="AH5585">
        <v>0.47220589591998902</v>
      </c>
      <c r="AI5585">
        <v>96.981344584917494</v>
      </c>
      <c r="AJ5585">
        <v>76.659957743701199</v>
      </c>
      <c r="AK5585">
        <v>0.48892533760880602</v>
      </c>
      <c r="AL5585">
        <v>92.646319573597907</v>
      </c>
      <c r="AM5585">
        <v>93.074012189686997</v>
      </c>
      <c r="AN5585">
        <v>0.99999999861981403</v>
      </c>
    </row>
    <row r="5586" spans="1:40" x14ac:dyDescent="0.25">
      <c r="A5586" t="str">
        <f>"20190305135345385"</f>
        <v>20190305135345385</v>
      </c>
      <c r="B5586" t="str">
        <f>"1551765225376164"</f>
        <v>1551765225376164</v>
      </c>
      <c r="C5586" t="s">
        <v>40</v>
      </c>
      <c r="D5586">
        <v>4.6101369999999999</v>
      </c>
      <c r="E5586">
        <v>0.57537109999999902</v>
      </c>
      <c r="F5586" t="s">
        <v>42</v>
      </c>
      <c r="G5586">
        <v>-303.00599999999997</v>
      </c>
      <c r="H5586" s="1">
        <v>-4.5891800000000003E-6</v>
      </c>
      <c r="I5586">
        <v>-31.094529999999999</v>
      </c>
      <c r="J5586">
        <v>-301.51909999999998</v>
      </c>
      <c r="K5586">
        <v>1.1062529999999999</v>
      </c>
      <c r="L5586">
        <v>-16.33258</v>
      </c>
      <c r="M5586">
        <v>4.513698E-2</v>
      </c>
      <c r="N5586">
        <v>-9.5811560000000004E-3</v>
      </c>
      <c r="O5586">
        <v>-0.99893489999999996</v>
      </c>
      <c r="P5586">
        <v>0.1022672</v>
      </c>
      <c r="Q5586">
        <v>-5.410562E-2</v>
      </c>
      <c r="R5586">
        <v>-0.99328479999999997</v>
      </c>
      <c r="S5586">
        <v>-0.2981567</v>
      </c>
      <c r="T5586">
        <v>-0.2234044</v>
      </c>
      <c r="U5586">
        <v>-3.0380859999999998</v>
      </c>
      <c r="V5586">
        <v>-5.7600680000000001E-2</v>
      </c>
      <c r="W5586">
        <v>-4.4197680000000003E-2</v>
      </c>
      <c r="X5586">
        <v>0.99736089999999999</v>
      </c>
      <c r="Y5586">
        <v>0.14224239999999999</v>
      </c>
      <c r="Z5586">
        <v>6.3097929999999997E-2</v>
      </c>
      <c r="AA5586">
        <v>0.98781870000000005</v>
      </c>
      <c r="AB5586">
        <v>30</v>
      </c>
      <c r="AC5586">
        <v>-1.4868999999999899</v>
      </c>
      <c r="AD5586">
        <v>-1.1062575891799999</v>
      </c>
      <c r="AE5586">
        <v>-14.761950000000001</v>
      </c>
      <c r="AF5586">
        <v>2.1398283009864101</v>
      </c>
      <c r="AG5586">
        <v>-1.1062575891799999</v>
      </c>
      <c r="AH5586">
        <v>14.5986240373872</v>
      </c>
      <c r="AI5586">
        <v>94.287845815834203</v>
      </c>
      <c r="AJ5586">
        <v>81.661115586856297</v>
      </c>
      <c r="AK5586">
        <v>14.7960296970606</v>
      </c>
      <c r="AL5586">
        <v>92.533165665962102</v>
      </c>
      <c r="AM5586">
        <v>93.305337032893107</v>
      </c>
      <c r="AN5586">
        <v>1.0000000190513201</v>
      </c>
    </row>
    <row r="5587" spans="1:40" x14ac:dyDescent="0.25">
      <c r="A5587" t="str">
        <f>"20190305135345408"</f>
        <v>20190305135345408</v>
      </c>
      <c r="B5587" t="str">
        <f>"1551765225395683"</f>
        <v>1551765225395683</v>
      </c>
      <c r="C5587" t="s">
        <v>40</v>
      </c>
      <c r="D5587">
        <v>4.580203</v>
      </c>
      <c r="E5587">
        <v>0.57530079999999995</v>
      </c>
      <c r="F5587" t="s">
        <v>41</v>
      </c>
      <c r="G5587">
        <v>-301.61529999999999</v>
      </c>
      <c r="H5587">
        <v>1.0350870000000001</v>
      </c>
      <c r="I5587">
        <v>-17.325759999999999</v>
      </c>
      <c r="J5587">
        <v>-301.50900000000001</v>
      </c>
      <c r="K5587">
        <v>1.1062529999999999</v>
      </c>
      <c r="L5587">
        <v>-16.62875</v>
      </c>
      <c r="M5587">
        <v>4.1974440000000002E-2</v>
      </c>
      <c r="N5587">
        <v>-9.5899910000000008E-3</v>
      </c>
      <c r="O5587">
        <v>-0.99907279999999998</v>
      </c>
      <c r="P5587">
        <v>0.1034668</v>
      </c>
      <c r="Q5587">
        <v>-5.3581320000000002E-2</v>
      </c>
      <c r="R5587">
        <v>-0.99318899999999999</v>
      </c>
      <c r="S5587">
        <v>-0.2944946</v>
      </c>
      <c r="T5587">
        <v>-0.21774470000000001</v>
      </c>
      <c r="U5587">
        <v>-3.0387569999999999</v>
      </c>
      <c r="V5587">
        <v>-6.1956049999999999E-2</v>
      </c>
      <c r="W5587">
        <v>-4.3638789999999997E-2</v>
      </c>
      <c r="X5587">
        <v>0.99712440000000002</v>
      </c>
      <c r="Y5587">
        <v>0.13792109999999999</v>
      </c>
      <c r="Z5587">
        <v>6.128306E-2</v>
      </c>
      <c r="AA5587">
        <v>0.98854549999999997</v>
      </c>
      <c r="AB5587">
        <v>30</v>
      </c>
      <c r="AC5587">
        <v>-0.106299999999976</v>
      </c>
      <c r="AD5587">
        <v>-7.1165999999999993E-2</v>
      </c>
      <c r="AE5587">
        <v>-0.69700999999999802</v>
      </c>
      <c r="AF5587">
        <v>0.13409808519334199</v>
      </c>
      <c r="AG5587">
        <v>-7.1165999999999993E-2</v>
      </c>
      <c r="AH5587">
        <v>0.68495536360493003</v>
      </c>
      <c r="AI5587">
        <v>95.821933594005102</v>
      </c>
      <c r="AJ5587">
        <v>78.922943178084296</v>
      </c>
      <c r="AK5587">
        <v>0.70157732727026101</v>
      </c>
      <c r="AL5587">
        <v>92.501112792186703</v>
      </c>
      <c r="AM5587">
        <v>93.555486598626601</v>
      </c>
      <c r="AN5587">
        <v>0.99999998259981304</v>
      </c>
    </row>
    <row r="5588" spans="1:40" x14ac:dyDescent="0.25">
      <c r="A5588" t="str">
        <f>"20190305135345431"</f>
        <v>20190305135345431</v>
      </c>
      <c r="B5588" t="str">
        <f>"1551765225425939"</f>
        <v>1551765225425939</v>
      </c>
      <c r="C5588" t="s">
        <v>40</v>
      </c>
      <c r="D5588">
        <v>4.5586229999999999</v>
      </c>
      <c r="E5588">
        <v>0.5753279</v>
      </c>
      <c r="F5588" t="s">
        <v>41</v>
      </c>
      <c r="G5588">
        <v>-301.60120000000001</v>
      </c>
      <c r="H5588">
        <v>1.03729</v>
      </c>
      <c r="I5588">
        <v>-17.592960000000001</v>
      </c>
      <c r="J5588">
        <v>-301.49950000000001</v>
      </c>
      <c r="K5588">
        <v>1.10625</v>
      </c>
      <c r="L5588">
        <v>-16.936579999999999</v>
      </c>
      <c r="M5588">
        <v>3.8699379999999999E-2</v>
      </c>
      <c r="N5588">
        <v>-9.5985010000000006E-3</v>
      </c>
      <c r="O5588">
        <v>-0.9992048</v>
      </c>
      <c r="P5588">
        <v>0.1053409</v>
      </c>
      <c r="Q5588">
        <v>-5.1753599999999997E-2</v>
      </c>
      <c r="R5588">
        <v>-0.99308839999999998</v>
      </c>
      <c r="S5588">
        <v>-0.29031370000000001</v>
      </c>
      <c r="T5588">
        <v>-0.21728040000000001</v>
      </c>
      <c r="U5588">
        <v>-3.0390929999999998</v>
      </c>
      <c r="V5588">
        <v>-6.7088460000000003E-2</v>
      </c>
      <c r="W5588">
        <v>-4.1772370000000003E-2</v>
      </c>
      <c r="X5588">
        <v>0.99687219999999999</v>
      </c>
      <c r="Y5588">
        <v>0.13331789999999999</v>
      </c>
      <c r="Z5588">
        <v>6.1159310000000001E-2</v>
      </c>
      <c r="AA5588">
        <v>0.98918439999999996</v>
      </c>
      <c r="AB5588">
        <v>30</v>
      </c>
      <c r="AC5588">
        <v>-0.101699999999993</v>
      </c>
      <c r="AD5588">
        <v>-6.8959999999999896E-2</v>
      </c>
      <c r="AE5588">
        <v>-0.65638000000000196</v>
      </c>
      <c r="AF5588">
        <v>0.125671853563459</v>
      </c>
      <c r="AG5588">
        <v>-6.8959999999999896E-2</v>
      </c>
      <c r="AH5588">
        <v>0.64499985629492196</v>
      </c>
      <c r="AI5588">
        <v>95.990770817016596</v>
      </c>
      <c r="AJ5588">
        <v>78.974615788514996</v>
      </c>
      <c r="AK5588">
        <v>0.66073724807864798</v>
      </c>
      <c r="AL5588">
        <v>92.394077124992606</v>
      </c>
      <c r="AM5588">
        <v>93.850140623316605</v>
      </c>
      <c r="AN5588">
        <v>0.99999998774671395</v>
      </c>
    </row>
    <row r="5589" spans="1:40" x14ac:dyDescent="0.25">
      <c r="A5589" t="str">
        <f>"20190305135345564"</f>
        <v>20190305135345564</v>
      </c>
      <c r="B5589" t="str">
        <f>"1551765225555824"</f>
        <v>1551765225555824</v>
      </c>
      <c r="C5589" t="s">
        <v>40</v>
      </c>
      <c r="D5589">
        <v>4.4116220000000004</v>
      </c>
      <c r="E5589">
        <v>0.44576569999999999</v>
      </c>
      <c r="F5589" t="s">
        <v>70</v>
      </c>
      <c r="G5589">
        <v>-277.17500000000001</v>
      </c>
      <c r="H5589">
        <v>2.183179</v>
      </c>
      <c r="I5589">
        <v>-100.8484</v>
      </c>
      <c r="J5589">
        <v>-301.46269999999998</v>
      </c>
      <c r="K5589">
        <v>1.106468</v>
      </c>
      <c r="L5589">
        <v>-18.730039999999999</v>
      </c>
      <c r="M5589">
        <v>2.0640349999999998E-2</v>
      </c>
      <c r="N5589">
        <v>-9.6305799999999997E-3</v>
      </c>
      <c r="O5589">
        <v>-0.99974079999999999</v>
      </c>
      <c r="P5589">
        <v>0.1148933</v>
      </c>
      <c r="Q5589">
        <v>-4.8935859999999998E-2</v>
      </c>
      <c r="R5589">
        <v>-0.9921719</v>
      </c>
      <c r="S5589">
        <v>0.8598633</v>
      </c>
      <c r="T5589">
        <v>3.8109900000000002E-2</v>
      </c>
      <c r="U5589">
        <v>-2.927063</v>
      </c>
      <c r="V5589">
        <v>-9.4610739999999999E-2</v>
      </c>
      <c r="W5589">
        <v>-3.8822219999999998E-2</v>
      </c>
      <c r="X5589">
        <v>0.99475709999999995</v>
      </c>
      <c r="Y5589">
        <v>-0.26192339999999997</v>
      </c>
      <c r="Z5589">
        <v>-2.2123420000000001E-2</v>
      </c>
      <c r="AA5589">
        <v>0.964835</v>
      </c>
      <c r="AB5589">
        <v>30</v>
      </c>
      <c r="AC5589">
        <v>24.287699999999901</v>
      </c>
      <c r="AD5589">
        <v>1.076711</v>
      </c>
      <c r="AE5589">
        <v>-82.118359999999996</v>
      </c>
      <c r="AF5589">
        <v>-22.583925233703901</v>
      </c>
      <c r="AG5589">
        <v>1.076711</v>
      </c>
      <c r="AH5589">
        <v>82.589137772246701</v>
      </c>
      <c r="AI5589">
        <v>89.2795276795635</v>
      </c>
      <c r="AJ5589">
        <v>105.293605975807</v>
      </c>
      <c r="AK5589">
        <v>85.628024988914703</v>
      </c>
      <c r="AL5589">
        <v>92.224908430155693</v>
      </c>
      <c r="AM5589">
        <v>95.433023904979706</v>
      </c>
      <c r="AN5589">
        <v>1.0000000224447401</v>
      </c>
    </row>
    <row r="5590" spans="1:40" x14ac:dyDescent="0.25">
      <c r="A5590" t="str">
        <f>"20190305135345587"</f>
        <v>20190305135345587</v>
      </c>
      <c r="B5590" t="str">
        <f>"1551765225575344"</f>
        <v>1551765225575344</v>
      </c>
      <c r="C5590" t="s">
        <v>40</v>
      </c>
      <c r="D5590">
        <v>4.3920159999999999</v>
      </c>
      <c r="E5590">
        <v>0.44933699999999999</v>
      </c>
      <c r="F5590" t="s">
        <v>53</v>
      </c>
      <c r="G5590">
        <v>-274.3947</v>
      </c>
      <c r="H5590">
        <v>-0.1</v>
      </c>
      <c r="I5590">
        <v>-120.8199</v>
      </c>
      <c r="J5590">
        <v>-301.45940000000002</v>
      </c>
      <c r="K5590">
        <v>1.1065370000000001</v>
      </c>
      <c r="L5590">
        <v>-19.02881</v>
      </c>
      <c r="M5590">
        <v>1.7910570000000001E-2</v>
      </c>
      <c r="N5590">
        <v>-9.6342370000000004E-3</v>
      </c>
      <c r="O5590">
        <v>-0.9997933</v>
      </c>
      <c r="P5590">
        <v>0.11614339999999999</v>
      </c>
      <c r="Q5590">
        <v>-4.8149089999999999E-2</v>
      </c>
      <c r="R5590">
        <v>-0.99206479999999997</v>
      </c>
      <c r="S5590">
        <v>0.77737429999999996</v>
      </c>
      <c r="T5590">
        <v>-3.4648900000000003E-2</v>
      </c>
      <c r="U5590">
        <v>-2.9319459999999999</v>
      </c>
      <c r="V5590">
        <v>-9.8567059999999998E-2</v>
      </c>
      <c r="W5590">
        <v>-3.8026400000000002E-2</v>
      </c>
      <c r="X5590">
        <v>0.99440360000000005</v>
      </c>
      <c r="Y5590">
        <v>-0.2389056</v>
      </c>
      <c r="Z5590">
        <v>1.8335960000000001E-3</v>
      </c>
      <c r="AA5590">
        <v>0.97104109999999999</v>
      </c>
      <c r="AB5590">
        <v>30</v>
      </c>
      <c r="AC5590">
        <v>27.064699999999998</v>
      </c>
      <c r="AD5590">
        <v>-1.206537</v>
      </c>
      <c r="AE5590">
        <v>-101.79109</v>
      </c>
      <c r="AF5590">
        <v>-25.233826243230698</v>
      </c>
      <c r="AG5590">
        <v>-1.206537</v>
      </c>
      <c r="AH5590">
        <v>102.246110500584</v>
      </c>
      <c r="AI5590">
        <v>90.656385030772199</v>
      </c>
      <c r="AJ5590">
        <v>103.86328115415</v>
      </c>
      <c r="AK5590">
        <v>105.320790117163</v>
      </c>
      <c r="AL5590">
        <v>92.179277662512305</v>
      </c>
      <c r="AM5590">
        <v>95.660769011884597</v>
      </c>
      <c r="AN5590">
        <v>0.999999996053481</v>
      </c>
    </row>
    <row r="5591" spans="1:40" x14ac:dyDescent="0.25">
      <c r="A5591" t="str">
        <f>"20190305135345609"</f>
        <v>20190305135345609</v>
      </c>
      <c r="B5591" t="str">
        <f>"1551765225605600"</f>
        <v>1551765225605600</v>
      </c>
      <c r="C5591" t="s">
        <v>40</v>
      </c>
      <c r="D5591">
        <v>4.4021629999999998</v>
      </c>
      <c r="E5591">
        <v>0.45106889999999999</v>
      </c>
      <c r="F5591" t="s">
        <v>90</v>
      </c>
      <c r="G5591">
        <v>-285.70170000000002</v>
      </c>
      <c r="H5591">
        <v>0.1106033</v>
      </c>
      <c r="I5591">
        <v>-80.464519999999993</v>
      </c>
      <c r="J5591">
        <v>-301.45679999999999</v>
      </c>
      <c r="K5591">
        <v>1.1066020000000001</v>
      </c>
      <c r="L5591">
        <v>-19.334440000000001</v>
      </c>
      <c r="M5591">
        <v>1.519125E-2</v>
      </c>
      <c r="N5591">
        <v>-9.6378829999999999E-3</v>
      </c>
      <c r="O5591">
        <v>-0.99983820000000001</v>
      </c>
      <c r="P5591">
        <v>0.1167261</v>
      </c>
      <c r="Q5591">
        <v>-4.558682E-2</v>
      </c>
      <c r="R5591">
        <v>-0.99211749999999999</v>
      </c>
      <c r="S5591">
        <v>0.75244140000000004</v>
      </c>
      <c r="T5591">
        <v>-4.7555800000000002E-2</v>
      </c>
      <c r="U5591">
        <v>-2.9335939999999998</v>
      </c>
      <c r="V5591">
        <v>-0.1018342</v>
      </c>
      <c r="W5591">
        <v>-3.545599E-2</v>
      </c>
      <c r="X5591">
        <v>0.99416939999999998</v>
      </c>
      <c r="Y5591">
        <v>-0.23367209999999999</v>
      </c>
      <c r="Z5591">
        <v>6.1080700000000002E-3</v>
      </c>
      <c r="AA5591">
        <v>0.9722963</v>
      </c>
      <c r="AB5591">
        <v>30</v>
      </c>
      <c r="AC5591">
        <v>15.755099999999899</v>
      </c>
      <c r="AD5591">
        <v>-0.99599870000000001</v>
      </c>
      <c r="AE5591">
        <v>-61.1300799999999</v>
      </c>
      <c r="AF5591">
        <v>-14.820907003922899</v>
      </c>
      <c r="AG5591">
        <v>-0.99599870000000001</v>
      </c>
      <c r="AH5591">
        <v>61.347104953343603</v>
      </c>
      <c r="AI5591">
        <v>90.904135038574395</v>
      </c>
      <c r="AJ5591">
        <v>103.581893722335</v>
      </c>
      <c r="AK5591">
        <v>63.119874714592797</v>
      </c>
      <c r="AL5591">
        <v>92.031904334765201</v>
      </c>
      <c r="AM5591">
        <v>95.848491419662693</v>
      </c>
      <c r="AN5591">
        <v>1.0000000637064299</v>
      </c>
    </row>
    <row r="5592" spans="1:40" x14ac:dyDescent="0.25">
      <c r="A5592" t="str">
        <f>"20190305135345632"</f>
        <v>20190305135345632</v>
      </c>
      <c r="B5592" t="str">
        <f>"1551765225626095"</f>
        <v>1551765225626095</v>
      </c>
      <c r="C5592" t="s">
        <v>40</v>
      </c>
      <c r="D5592">
        <v>4.534052</v>
      </c>
      <c r="E5592">
        <v>0.4524494</v>
      </c>
      <c r="F5592" t="s">
        <v>90</v>
      </c>
      <c r="G5592">
        <v>-286.03460000000001</v>
      </c>
      <c r="H5592">
        <v>0.1941166</v>
      </c>
      <c r="I5592">
        <v>-80.464519999999993</v>
      </c>
      <c r="J5592">
        <v>-301.45490000000001</v>
      </c>
      <c r="K5592">
        <v>1.1066469999999999</v>
      </c>
      <c r="L5592">
        <v>-19.652950000000001</v>
      </c>
      <c r="M5592">
        <v>1.241219E-2</v>
      </c>
      <c r="N5592">
        <v>-9.6420900000000007E-3</v>
      </c>
      <c r="O5592">
        <v>-0.99987649999999995</v>
      </c>
      <c r="P5592">
        <v>0.1166608</v>
      </c>
      <c r="Q5592">
        <v>-4.4161060000000002E-2</v>
      </c>
      <c r="R5592">
        <v>-0.99218980000000001</v>
      </c>
      <c r="S5592">
        <v>0.74038700000000002</v>
      </c>
      <c r="T5592">
        <v>-4.3805719999999999E-2</v>
      </c>
      <c r="U5592">
        <v>-2.934723</v>
      </c>
      <c r="V5592">
        <v>-0.104518899999999</v>
      </c>
      <c r="W5592">
        <v>-3.4022169999999997E-2</v>
      </c>
      <c r="X5592">
        <v>0.99394079999999996</v>
      </c>
      <c r="Y5592">
        <v>-0.23253650000000001</v>
      </c>
      <c r="Z5592">
        <v>4.8648930000000003E-3</v>
      </c>
      <c r="AA5592">
        <v>0.97257550000000004</v>
      </c>
      <c r="AB5592">
        <v>30</v>
      </c>
      <c r="AC5592">
        <v>15.4202999999999</v>
      </c>
      <c r="AD5592">
        <v>-0.91253039999999996</v>
      </c>
      <c r="AE5592">
        <v>-60.811569999999897</v>
      </c>
      <c r="AF5592">
        <v>-14.661170274462901</v>
      </c>
      <c r="AG5592">
        <v>-0.91253039999999996</v>
      </c>
      <c r="AH5592">
        <v>60.985390783879403</v>
      </c>
      <c r="AI5592">
        <v>90.833513993906195</v>
      </c>
      <c r="AJ5592">
        <v>103.517652183198</v>
      </c>
      <c r="AK5592">
        <v>62.729582452063198</v>
      </c>
      <c r="AL5592">
        <v>91.949702985270093</v>
      </c>
      <c r="AM5592">
        <v>96.002936970292595</v>
      </c>
      <c r="AN5592">
        <v>1.00000001120667</v>
      </c>
    </row>
    <row r="5593" spans="1:40" x14ac:dyDescent="0.25">
      <c r="A5593" t="str">
        <f>"20190305135345654"</f>
        <v>20190305135345654</v>
      </c>
      <c r="B5593" t="str">
        <f>"1551765225645616"</f>
        <v>1551765225645616</v>
      </c>
      <c r="C5593" t="s">
        <v>40</v>
      </c>
      <c r="D5593">
        <v>4.4328070000000004</v>
      </c>
      <c r="E5593">
        <v>0.4528315</v>
      </c>
      <c r="F5593" t="s">
        <v>90</v>
      </c>
      <c r="G5593">
        <v>-286.35520000000002</v>
      </c>
      <c r="H5593">
        <v>0.3207798</v>
      </c>
      <c r="I5593">
        <v>-80.464519999999993</v>
      </c>
      <c r="J5593">
        <v>-301.4538</v>
      </c>
      <c r="K5593">
        <v>1.106673</v>
      </c>
      <c r="L5593">
        <v>-19.944890000000001</v>
      </c>
      <c r="M5593">
        <v>9.9003709999999998E-3</v>
      </c>
      <c r="N5593">
        <v>-9.6462289999999992E-3</v>
      </c>
      <c r="O5593">
        <v>-0.99990480000000004</v>
      </c>
      <c r="P5593">
        <v>0.1170789</v>
      </c>
      <c r="Q5593">
        <v>-4.3587939999999999E-2</v>
      </c>
      <c r="R5593">
        <v>-0.99216610000000005</v>
      </c>
      <c r="S5593">
        <v>0.72906490000000002</v>
      </c>
      <c r="T5593">
        <v>-3.7943600000000001E-2</v>
      </c>
      <c r="U5593">
        <v>-2.936188</v>
      </c>
      <c r="V5593">
        <v>-0.1074282</v>
      </c>
      <c r="W5593">
        <v>-3.3437639999999998E-2</v>
      </c>
      <c r="X5593">
        <v>0.99365040000000004</v>
      </c>
      <c r="Y5593">
        <v>-0.23133919999999999</v>
      </c>
      <c r="Z5593">
        <v>2.9205070000000001E-3</v>
      </c>
      <c r="AA5593">
        <v>0.97286879999999998</v>
      </c>
      <c r="AB5593">
        <v>30</v>
      </c>
      <c r="AC5593">
        <v>15.0985999999999</v>
      </c>
      <c r="AD5593">
        <v>-0.78589319999999996</v>
      </c>
      <c r="AE5593">
        <v>-60.5196299999999</v>
      </c>
      <c r="AF5593">
        <v>-14.496364201346999</v>
      </c>
      <c r="AG5593">
        <v>-0.78589319999999996</v>
      </c>
      <c r="AH5593">
        <v>60.6565231453026</v>
      </c>
      <c r="AI5593">
        <v>90.721978384740893</v>
      </c>
      <c r="AJ5593">
        <v>103.441058881099</v>
      </c>
      <c r="AK5593">
        <v>62.369672143250298</v>
      </c>
      <c r="AL5593">
        <v>91.9161928259836</v>
      </c>
      <c r="AM5593">
        <v>96.170547569887106</v>
      </c>
      <c r="AN5593">
        <v>1.0000000056720799</v>
      </c>
    </row>
    <row r="5594" spans="1:40" x14ac:dyDescent="0.25">
      <c r="A5594" t="str">
        <f>"20190305135345676"</f>
        <v>20190305135345676</v>
      </c>
      <c r="B5594" t="str">
        <f>"1551765225666112"</f>
        <v>1551765225666112</v>
      </c>
      <c r="C5594" t="s">
        <v>40</v>
      </c>
      <c r="D5594">
        <v>4.4062429999999999</v>
      </c>
      <c r="E5594">
        <v>0.4529551</v>
      </c>
      <c r="F5594" t="s">
        <v>90</v>
      </c>
      <c r="G5594">
        <v>-286.4563</v>
      </c>
      <c r="H5594">
        <v>0.47264479999999998</v>
      </c>
      <c r="I5594">
        <v>-80.464519999999993</v>
      </c>
      <c r="J5594">
        <v>-301.45359999999999</v>
      </c>
      <c r="K5594">
        <v>1.106681</v>
      </c>
      <c r="L5594">
        <v>-20.244779999999999</v>
      </c>
      <c r="M5594">
        <v>7.3440909999999996E-3</v>
      </c>
      <c r="N5594">
        <v>-9.6505310000000004E-3</v>
      </c>
      <c r="O5594">
        <v>-0.99992639999999999</v>
      </c>
      <c r="P5594">
        <v>0.1172975</v>
      </c>
      <c r="Q5594">
        <v>-4.3510140000000003E-2</v>
      </c>
      <c r="R5594">
        <v>-0.99214340000000001</v>
      </c>
      <c r="S5594">
        <v>0.72769169999999905</v>
      </c>
      <c r="T5594">
        <v>-3.0762910000000001E-2</v>
      </c>
      <c r="U5594">
        <v>-2.9364620000000001</v>
      </c>
      <c r="V5594">
        <v>-0.110184199999999</v>
      </c>
      <c r="W5594">
        <v>-3.3347929999999998E-2</v>
      </c>
      <c r="X5594">
        <v>0.9933516</v>
      </c>
      <c r="Y5594">
        <v>-0.23337930000000001</v>
      </c>
      <c r="Z5594">
        <v>5.3480589999999897E-4</v>
      </c>
      <c r="AA5594">
        <v>0.97238559999999996</v>
      </c>
      <c r="AB5594">
        <v>30</v>
      </c>
      <c r="AC5594">
        <v>14.9972999999999</v>
      </c>
      <c r="AD5594">
        <v>-0.63403619999999905</v>
      </c>
      <c r="AE5594">
        <v>-60.219740000000002</v>
      </c>
      <c r="AF5594">
        <v>-14.553096587673901</v>
      </c>
      <c r="AG5594">
        <v>-0.63403619999999905</v>
      </c>
      <c r="AH5594">
        <v>60.321966104618902</v>
      </c>
      <c r="AI5594">
        <v>90.585411424022794</v>
      </c>
      <c r="AJ5594">
        <v>103.563812170284</v>
      </c>
      <c r="AK5594">
        <v>62.0558959078013</v>
      </c>
      <c r="AL5594">
        <v>91.911049922658194</v>
      </c>
      <c r="AM5594">
        <v>96.329468668325205</v>
      </c>
      <c r="AN5594">
        <v>1.0000000217937399</v>
      </c>
    </row>
    <row r="5595" spans="1:40" x14ac:dyDescent="0.25">
      <c r="A5595" t="str">
        <f>"20190305135345700"</f>
        <v>20190305135345700</v>
      </c>
      <c r="B5595" t="str">
        <f>"1551765225695392"</f>
        <v>1551765225695392</v>
      </c>
      <c r="C5595" t="s">
        <v>40</v>
      </c>
      <c r="D5595">
        <v>4.4076029999999999</v>
      </c>
      <c r="E5595">
        <v>0.45312629999999998</v>
      </c>
      <c r="F5595" t="s">
        <v>90</v>
      </c>
      <c r="G5595">
        <v>-286.54300000000001</v>
      </c>
      <c r="H5595">
        <v>0.54935459999999903</v>
      </c>
      <c r="I5595">
        <v>-80.464519999999993</v>
      </c>
      <c r="J5595">
        <v>-301.45400000000001</v>
      </c>
      <c r="K5595">
        <v>1.1066929999999999</v>
      </c>
      <c r="L5595">
        <v>-20.566800000000001</v>
      </c>
      <c r="M5595">
        <v>4.6120429999999997E-3</v>
      </c>
      <c r="N5595">
        <v>-9.6551290000000001E-3</v>
      </c>
      <c r="O5595">
        <v>-0.99994289999999997</v>
      </c>
      <c r="P5595">
        <v>0.1175934</v>
      </c>
      <c r="Q5595">
        <v>-4.3435599999999998E-2</v>
      </c>
      <c r="R5595">
        <v>-0.99211170000000004</v>
      </c>
      <c r="S5595">
        <v>0.72711179999999997</v>
      </c>
      <c r="T5595">
        <v>-2.7177449999999999E-2</v>
      </c>
      <c r="U5595">
        <v>-2.9366150000000002</v>
      </c>
      <c r="V5595">
        <v>-0.1131914</v>
      </c>
      <c r="W5595">
        <v>-3.3259339999999998E-2</v>
      </c>
      <c r="X5595">
        <v>0.99301640000000002</v>
      </c>
      <c r="Y5595">
        <v>-0.23584369999999999</v>
      </c>
      <c r="Z5595">
        <v>-6.6179469999999997E-4</v>
      </c>
      <c r="AA5595">
        <v>0.97179079999999995</v>
      </c>
      <c r="AB5595">
        <v>30</v>
      </c>
      <c r="AC5595">
        <v>14.911</v>
      </c>
      <c r="AD5595">
        <v>-0.55733840000000001</v>
      </c>
      <c r="AE5595">
        <v>-59.8977199999999</v>
      </c>
      <c r="AF5595">
        <v>-14.633384678252501</v>
      </c>
      <c r="AG5595">
        <v>-0.55733840000000001</v>
      </c>
      <c r="AH5595">
        <v>59.960967794374</v>
      </c>
      <c r="AI5595">
        <v>90.517366674378593</v>
      </c>
      <c r="AJ5595">
        <v>103.714859916791</v>
      </c>
      <c r="AK5595">
        <v>61.7232875993476</v>
      </c>
      <c r="AL5595">
        <v>91.905971268797003</v>
      </c>
      <c r="AM5595">
        <v>96.502931816366498</v>
      </c>
      <c r="AN5595">
        <v>1.0000000237000699</v>
      </c>
    </row>
    <row r="5596" spans="1:40" x14ac:dyDescent="0.25">
      <c r="A5596" t="str">
        <f>"20190305135345724"</f>
        <v>20190305135345724</v>
      </c>
      <c r="B5596" t="str">
        <f>"1551765225715887"</f>
        <v>1551765225715887</v>
      </c>
      <c r="C5596" t="s">
        <v>40</v>
      </c>
      <c r="D5596">
        <v>4.3918809999999997</v>
      </c>
      <c r="E5596">
        <v>0.45334160000000001</v>
      </c>
      <c r="F5596" t="s">
        <v>90</v>
      </c>
      <c r="G5596">
        <v>-286.64789999999999</v>
      </c>
      <c r="H5596">
        <v>0.59679409999999999</v>
      </c>
      <c r="I5596">
        <v>-80.464519999999993</v>
      </c>
      <c r="J5596">
        <v>-301.45530000000002</v>
      </c>
      <c r="K5596">
        <v>1.106708</v>
      </c>
      <c r="L5596">
        <v>-20.8931</v>
      </c>
      <c r="M5596">
        <v>1.8486749999999999E-3</v>
      </c>
      <c r="N5596">
        <v>-9.6599189999999995E-3</v>
      </c>
      <c r="O5596">
        <v>-0.99995160000000005</v>
      </c>
      <c r="P5596">
        <v>0.1179091</v>
      </c>
      <c r="Q5596">
        <v>-4.472657E-2</v>
      </c>
      <c r="R5596">
        <v>-0.99201660000000003</v>
      </c>
      <c r="S5596">
        <v>0.72592159999999994</v>
      </c>
      <c r="T5596">
        <v>-2.499914E-2</v>
      </c>
      <c r="U5596">
        <v>-2.9367070000000002</v>
      </c>
      <c r="V5596">
        <v>-0.116256</v>
      </c>
      <c r="W5596">
        <v>-3.4535379999999997E-2</v>
      </c>
      <c r="X5596">
        <v>0.99261869999999996</v>
      </c>
      <c r="Y5596">
        <v>-0.2381508</v>
      </c>
      <c r="Z5596">
        <v>-1.3923129999999901E-3</v>
      </c>
      <c r="AA5596">
        <v>0.97122719999999996</v>
      </c>
      <c r="AB5596">
        <v>30</v>
      </c>
      <c r="AC5596">
        <v>14.807399999999999</v>
      </c>
      <c r="AD5596">
        <v>-0.50991390000000003</v>
      </c>
      <c r="AE5596">
        <v>-59.571419999999897</v>
      </c>
      <c r="AF5596">
        <v>-14.6962272427562</v>
      </c>
      <c r="AG5596">
        <v>-0.50991390000000003</v>
      </c>
      <c r="AH5596">
        <v>59.594581212190697</v>
      </c>
      <c r="AI5596">
        <v>90.475974025908798</v>
      </c>
      <c r="AJ5596">
        <v>103.85293525482</v>
      </c>
      <c r="AK5596">
        <v>61.38202682555</v>
      </c>
      <c r="AL5596">
        <v>91.979125032242806</v>
      </c>
      <c r="AM5596">
        <v>96.680077353516097</v>
      </c>
      <c r="AN5596">
        <v>1.00000001679871</v>
      </c>
    </row>
    <row r="5597" spans="1:40" x14ac:dyDescent="0.25">
      <c r="A5597" t="str">
        <f>"20190305135345749"</f>
        <v>20190305135345749</v>
      </c>
      <c r="B5597" t="str">
        <f>"1551765225746146"</f>
        <v>1551765225746146</v>
      </c>
      <c r="C5597" t="s">
        <v>40</v>
      </c>
      <c r="D5597">
        <v>4.4111710000000004</v>
      </c>
      <c r="E5597">
        <v>0.45369350000000003</v>
      </c>
      <c r="F5597" t="s">
        <v>90</v>
      </c>
      <c r="G5597">
        <v>-286.7484</v>
      </c>
      <c r="H5597">
        <v>0.5191479</v>
      </c>
      <c r="I5597">
        <v>-80.464519999999993</v>
      </c>
      <c r="J5597">
        <v>-301.45760000000001</v>
      </c>
      <c r="K5597">
        <v>1.1067039999999999</v>
      </c>
      <c r="L5597">
        <v>-21.222200000000001</v>
      </c>
      <c r="M5597">
        <v>-9.37647E-4</v>
      </c>
      <c r="N5597">
        <v>-9.6649030000000007E-3</v>
      </c>
      <c r="O5597">
        <v>-0.99995319999999999</v>
      </c>
      <c r="P5597">
        <v>0.1197249</v>
      </c>
      <c r="Q5597">
        <v>-4.808055E-2</v>
      </c>
      <c r="R5597">
        <v>-0.99164269999999999</v>
      </c>
      <c r="S5597">
        <v>0.72500609999999999</v>
      </c>
      <c r="T5597">
        <v>-2.896404E-2</v>
      </c>
      <c r="U5597">
        <v>-2.9366759999999998</v>
      </c>
      <c r="V5597">
        <v>-0.1208531</v>
      </c>
      <c r="W5597">
        <v>-3.7867940000000003E-2</v>
      </c>
      <c r="X5597">
        <v>0.99194780000000005</v>
      </c>
      <c r="Y5597">
        <v>-0.2405718</v>
      </c>
      <c r="Z5597" s="1">
        <v>-9.2146100000000002E-5</v>
      </c>
      <c r="AA5597">
        <v>0.97063140000000003</v>
      </c>
      <c r="AB5597">
        <v>30</v>
      </c>
      <c r="AC5597">
        <v>14.709199999999999</v>
      </c>
      <c r="AD5597">
        <v>-0.58755610000000003</v>
      </c>
      <c r="AE5597">
        <v>-59.2423199999999</v>
      </c>
      <c r="AF5597">
        <v>-14.763376637525401</v>
      </c>
      <c r="AG5597">
        <v>-0.58755610000000003</v>
      </c>
      <c r="AH5597">
        <v>59.223014153994903</v>
      </c>
      <c r="AI5597">
        <v>90.551539483515697</v>
      </c>
      <c r="AJ5597">
        <v>103.99765074332601</v>
      </c>
      <c r="AK5597">
        <v>61.0382496259219</v>
      </c>
      <c r="AL5597">
        <v>92.170192139503001</v>
      </c>
      <c r="AM5597">
        <v>96.946347109522506</v>
      </c>
      <c r="AN5597">
        <v>0.99999994529214498</v>
      </c>
    </row>
    <row r="5598" spans="1:40" x14ac:dyDescent="0.25">
      <c r="A5598" t="str">
        <f>"20190305135345767"</f>
        <v>20190305135345767</v>
      </c>
      <c r="B5598" t="str">
        <f>"1551765225755904"</f>
        <v>1551765225755904</v>
      </c>
      <c r="C5598" t="s">
        <v>40</v>
      </c>
      <c r="D5598">
        <v>4.4850139999999996</v>
      </c>
      <c r="E5598">
        <v>0.45361360000000001</v>
      </c>
      <c r="F5598" t="s">
        <v>90</v>
      </c>
      <c r="G5598">
        <v>-286.76819999999998</v>
      </c>
      <c r="H5598">
        <v>0.26718140000000001</v>
      </c>
      <c r="I5598">
        <v>-80.464519999999993</v>
      </c>
      <c r="J5598">
        <v>-301.4599</v>
      </c>
      <c r="K5598">
        <v>1.106703</v>
      </c>
      <c r="L5598">
        <v>-21.475619999999999</v>
      </c>
      <c r="M5598">
        <v>-3.0835049999999998E-3</v>
      </c>
      <c r="N5598">
        <v>-9.6687950000000009E-3</v>
      </c>
      <c r="O5598">
        <v>-0.99994859999999997</v>
      </c>
      <c r="P5598">
        <v>0.123028399999999</v>
      </c>
      <c r="Q5598">
        <v>-5.1017189999999997E-2</v>
      </c>
      <c r="R5598">
        <v>-0.9910911</v>
      </c>
      <c r="S5598">
        <v>0.72784419999999905</v>
      </c>
      <c r="T5598">
        <v>-4.1596769999999998E-2</v>
      </c>
      <c r="U5598">
        <v>-2.9353940000000001</v>
      </c>
      <c r="V5598">
        <v>-0.12629749999999901</v>
      </c>
      <c r="W5598">
        <v>-4.0780289999999997E-2</v>
      </c>
      <c r="X5598">
        <v>0.99115379999999997</v>
      </c>
      <c r="Y5598">
        <v>-0.24362929999999999</v>
      </c>
      <c r="Z5598">
        <v>4.0755160000000004E-3</v>
      </c>
      <c r="AA5598">
        <v>0.9698599</v>
      </c>
      <c r="AB5598">
        <v>30</v>
      </c>
      <c r="AC5598">
        <v>14.691700000000001</v>
      </c>
      <c r="AD5598">
        <v>-0.83952159999999998</v>
      </c>
      <c r="AE5598">
        <v>-58.988900000000001</v>
      </c>
      <c r="AF5598">
        <v>-14.8706951280944</v>
      </c>
      <c r="AG5598">
        <v>-0.83952159999999998</v>
      </c>
      <c r="AH5598">
        <v>58.932076228639097</v>
      </c>
      <c r="AI5598">
        <v>90.791354302896195</v>
      </c>
      <c r="AJ5598">
        <v>104.162153708671</v>
      </c>
      <c r="AK5598">
        <v>60.785129585513999</v>
      </c>
      <c r="AL5598">
        <v>92.337186675886201</v>
      </c>
      <c r="AM5598">
        <v>97.261764435195204</v>
      </c>
      <c r="AN5598">
        <v>0.99999997290658604</v>
      </c>
    </row>
    <row r="5599" spans="1:40" x14ac:dyDescent="0.25">
      <c r="A5599" t="str">
        <f>"20190305135345810"</f>
        <v>20190305135345810</v>
      </c>
      <c r="B5599" t="str">
        <f>"1551765225805683"</f>
        <v>1551765225805683</v>
      </c>
      <c r="C5599" t="s">
        <v>40</v>
      </c>
      <c r="D5599">
        <v>4.534186</v>
      </c>
      <c r="E5599">
        <v>0.45112790000000003</v>
      </c>
      <c r="F5599" t="s">
        <v>90</v>
      </c>
      <c r="G5599">
        <v>-286.59699999999998</v>
      </c>
      <c r="H5599">
        <v>5.8824540000000002E-2</v>
      </c>
      <c r="I5599">
        <v>-80.464519999999993</v>
      </c>
      <c r="J5599">
        <v>-301.46749999999997</v>
      </c>
      <c r="K5599">
        <v>1.1066929999999999</v>
      </c>
      <c r="L5599">
        <v>-22.070430000000002</v>
      </c>
      <c r="M5599">
        <v>-8.1221709999999992E-3</v>
      </c>
      <c r="N5599">
        <v>-9.6777419999999996E-3</v>
      </c>
      <c r="O5599">
        <v>-0.99992009999999998</v>
      </c>
      <c r="P5599">
        <v>0.13148470000000001</v>
      </c>
      <c r="Q5599">
        <v>-5.0918369999999998E-2</v>
      </c>
      <c r="R5599">
        <v>-0.99000949999999999</v>
      </c>
      <c r="S5599">
        <v>0.73889159999999998</v>
      </c>
      <c r="T5599">
        <v>-5.2093269999999997E-2</v>
      </c>
      <c r="U5599">
        <v>-2.9325559999999999</v>
      </c>
      <c r="V5599">
        <v>-0.13973529999999901</v>
      </c>
      <c r="W5599">
        <v>-4.0618340000000003E-2</v>
      </c>
      <c r="X5599">
        <v>0.9893554</v>
      </c>
      <c r="Y5599">
        <v>-0.25215460000000001</v>
      </c>
      <c r="Z5599">
        <v>7.5175519999999899E-3</v>
      </c>
      <c r="AA5599">
        <v>0.96765769999999995</v>
      </c>
      <c r="AB5599">
        <v>30</v>
      </c>
      <c r="AC5599">
        <v>14.8704999999999</v>
      </c>
      <c r="AD5599">
        <v>-1.0478684599999999</v>
      </c>
      <c r="AE5599">
        <v>-58.394089999999899</v>
      </c>
      <c r="AF5599">
        <v>-15.339679704655</v>
      </c>
      <c r="AG5599">
        <v>-1.0478684599999999</v>
      </c>
      <c r="AH5599">
        <v>58.253761104839803</v>
      </c>
      <c r="AI5599">
        <v>90.996560570605197</v>
      </c>
      <c r="AJ5599">
        <v>104.75252420412301</v>
      </c>
      <c r="AK5599">
        <v>60.248688654696998</v>
      </c>
      <c r="AL5599">
        <v>92.327899969905701</v>
      </c>
      <c r="AM5599">
        <v>98.039208161898898</v>
      </c>
      <c r="AN5599">
        <v>0.99999995555980103</v>
      </c>
    </row>
    <row r="5600" spans="1:40" x14ac:dyDescent="0.25">
      <c r="A5600" t="str">
        <f>"20190305135345833"</f>
        <v>20190305135345833</v>
      </c>
      <c r="B5600" t="str">
        <f>"1551765225825200"</f>
        <v>1551765225825200</v>
      </c>
      <c r="C5600" t="s">
        <v>40</v>
      </c>
      <c r="D5600">
        <v>4.435657</v>
      </c>
      <c r="E5600">
        <v>0.36783640000000001</v>
      </c>
      <c r="F5600" t="s">
        <v>81</v>
      </c>
      <c r="G5600">
        <v>-288.50830000000002</v>
      </c>
      <c r="H5600">
        <v>4.1814070000000002E-2</v>
      </c>
      <c r="I5600">
        <v>-70.383740000000003</v>
      </c>
      <c r="J5600">
        <v>-301.47280000000001</v>
      </c>
      <c r="K5600">
        <v>1.106689</v>
      </c>
      <c r="L5600">
        <v>-22.38617</v>
      </c>
      <c r="M5600">
        <v>-1.0798149999999999E-2</v>
      </c>
      <c r="N5600">
        <v>-9.6824730000000005E-3</v>
      </c>
      <c r="O5600">
        <v>-0.99989490000000003</v>
      </c>
      <c r="P5600">
        <v>0.13873360000000001</v>
      </c>
      <c r="Q5600">
        <v>-5.1820629999999999E-2</v>
      </c>
      <c r="R5600">
        <v>-0.98897330000000006</v>
      </c>
      <c r="S5600">
        <v>0.78399659999999904</v>
      </c>
      <c r="T5600">
        <v>-6.442225E-2</v>
      </c>
      <c r="U5600">
        <v>-2.9228209999999999</v>
      </c>
      <c r="V5600">
        <v>-0.1496237</v>
      </c>
      <c r="W5600">
        <v>-4.1477229999999997E-2</v>
      </c>
      <c r="X5600">
        <v>0.98787270000000005</v>
      </c>
      <c r="Y5600">
        <v>-0.26943250000000002</v>
      </c>
      <c r="Z5600">
        <v>1.155599E-2</v>
      </c>
      <c r="AA5600">
        <v>0.96294990000000003</v>
      </c>
      <c r="AB5600">
        <v>31</v>
      </c>
      <c r="AC5600">
        <v>12.9644999999999</v>
      </c>
      <c r="AD5600">
        <v>-1.06487493</v>
      </c>
      <c r="AE5600">
        <v>-47.997570000000003</v>
      </c>
      <c r="AF5600">
        <v>-13.4758712371936</v>
      </c>
      <c r="AG5600">
        <v>-1.06487493</v>
      </c>
      <c r="AH5600">
        <v>47.832828925085899</v>
      </c>
      <c r="AI5600">
        <v>91.227561749475498</v>
      </c>
      <c r="AJ5600">
        <v>105.734041111485</v>
      </c>
      <c r="AK5600">
        <v>49.706263058034303</v>
      </c>
      <c r="AL5600">
        <v>92.377152051133194</v>
      </c>
      <c r="AM5600">
        <v>98.612587522243501</v>
      </c>
      <c r="AN5600">
        <v>1.00000004180772</v>
      </c>
    </row>
    <row r="5601" spans="1:40" x14ac:dyDescent="0.25">
      <c r="A5601" t="str">
        <f>"20190305135345854"</f>
        <v>20190305135345854</v>
      </c>
      <c r="B5601" t="str">
        <f>"1551765225845695"</f>
        <v>1551765225845695</v>
      </c>
      <c r="C5601" t="s">
        <v>40</v>
      </c>
      <c r="D5601">
        <v>4.3140650000000003</v>
      </c>
      <c r="E5601">
        <v>0.37055890000000002</v>
      </c>
      <c r="F5601" t="s">
        <v>41</v>
      </c>
      <c r="G5601">
        <v>-301.012</v>
      </c>
      <c r="H5601">
        <v>1.0484639999999901</v>
      </c>
      <c r="I5601">
        <v>-23.276579999999999</v>
      </c>
      <c r="J5601">
        <v>-301.47840000000002</v>
      </c>
      <c r="K5601">
        <v>1.106687</v>
      </c>
      <c r="L5601">
        <v>-22.679290000000002</v>
      </c>
      <c r="M5601">
        <v>-1.328236E-2</v>
      </c>
      <c r="N5601">
        <v>-9.6869150000000008E-3</v>
      </c>
      <c r="O5601">
        <v>-0.99986509999999995</v>
      </c>
      <c r="P5601">
        <v>0.14739079999999999</v>
      </c>
      <c r="Q5601">
        <v>-5.2659839999999999E-2</v>
      </c>
      <c r="R5601">
        <v>-0.98767550000000004</v>
      </c>
      <c r="S5601">
        <v>1.4593510000000001</v>
      </c>
      <c r="T5601">
        <v>-0.1843506</v>
      </c>
      <c r="U5601">
        <v>-2.819061</v>
      </c>
      <c r="V5601">
        <v>-0.16072030000000001</v>
      </c>
      <c r="W5601">
        <v>-4.2269580000000001E-2</v>
      </c>
      <c r="X5601">
        <v>0.98609449999999998</v>
      </c>
      <c r="Y5601">
        <v>-0.47080230000000001</v>
      </c>
      <c r="Z5601">
        <v>4.8075369999999999E-2</v>
      </c>
      <c r="AA5601">
        <v>0.88092789999999999</v>
      </c>
      <c r="AB5601">
        <v>31</v>
      </c>
      <c r="AC5601">
        <v>0.46640000000002102</v>
      </c>
      <c r="AD5601">
        <v>-5.8223000000000101E-2</v>
      </c>
      <c r="AE5601">
        <v>-0.59729000000000099</v>
      </c>
      <c r="AF5601">
        <v>-0.47150939192135299</v>
      </c>
      <c r="AG5601">
        <v>-5.8223000000000101E-2</v>
      </c>
      <c r="AH5601">
        <v>0.58757376009834505</v>
      </c>
      <c r="AI5601">
        <v>94.419237734896598</v>
      </c>
      <c r="AJ5601">
        <v>128.745942606536</v>
      </c>
      <c r="AK5601">
        <v>0.75561494688442499</v>
      </c>
      <c r="AL5601">
        <v>92.422590200044397</v>
      </c>
      <c r="AM5601">
        <v>99.257053241823996</v>
      </c>
      <c r="AN5601">
        <v>1.0000000475778501</v>
      </c>
    </row>
    <row r="5602" spans="1:40" x14ac:dyDescent="0.25">
      <c r="A5602" t="str">
        <f>"20190305135345876"</f>
        <v>20190305135345876</v>
      </c>
      <c r="B5602" t="str">
        <f>"1551765225865216"</f>
        <v>1551765225865216</v>
      </c>
      <c r="C5602" t="s">
        <v>40</v>
      </c>
      <c r="D5602">
        <v>4.329885</v>
      </c>
      <c r="E5602">
        <v>0.37317070000000002</v>
      </c>
      <c r="F5602" t="s">
        <v>41</v>
      </c>
      <c r="G5602">
        <v>-301.02359999999999</v>
      </c>
      <c r="H5602">
        <v>1.048189</v>
      </c>
      <c r="I5602">
        <v>-23.55331</v>
      </c>
      <c r="J5602">
        <v>-301.48509999999999</v>
      </c>
      <c r="K5602">
        <v>1.1066910000000001</v>
      </c>
      <c r="L5602">
        <v>-22.986689999999999</v>
      </c>
      <c r="M5602">
        <v>-1.5887769999999999E-2</v>
      </c>
      <c r="N5602">
        <v>-9.6915360000000006E-3</v>
      </c>
      <c r="O5602">
        <v>-0.99982689999999996</v>
      </c>
      <c r="P5602">
        <v>0.15595999999999999</v>
      </c>
      <c r="Q5602">
        <v>-5.1797889999999999E-2</v>
      </c>
      <c r="R5602">
        <v>-0.98640450000000002</v>
      </c>
      <c r="S5602">
        <v>1.4625239999999999</v>
      </c>
      <c r="T5602">
        <v>-0.18802360000000001</v>
      </c>
      <c r="U5602">
        <v>-2.8091430000000002</v>
      </c>
      <c r="V5602">
        <v>-0.17183209999999999</v>
      </c>
      <c r="W5602">
        <v>-4.1360500000000001E-2</v>
      </c>
      <c r="X5602">
        <v>0.98425759999999995</v>
      </c>
      <c r="Y5602">
        <v>-0.4751146</v>
      </c>
      <c r="Z5602">
        <v>4.9305069999999999E-2</v>
      </c>
      <c r="AA5602">
        <v>0.87854149999999998</v>
      </c>
      <c r="AB5602">
        <v>31</v>
      </c>
      <c r="AC5602">
        <v>0.46150000000000002</v>
      </c>
      <c r="AD5602">
        <v>-5.8501999999999998E-2</v>
      </c>
      <c r="AE5602">
        <v>-0.56662000000000001</v>
      </c>
      <c r="AF5602">
        <v>-0.46744877448954197</v>
      </c>
      <c r="AG5602">
        <v>-5.8501999999999998E-2</v>
      </c>
      <c r="AH5602">
        <v>0.55565492209108702</v>
      </c>
      <c r="AI5602">
        <v>94.606208361937107</v>
      </c>
      <c r="AJ5602">
        <v>130.072470186494</v>
      </c>
      <c r="AK5602">
        <v>0.72848008429869004</v>
      </c>
      <c r="AL5602">
        <v>92.370458288145898</v>
      </c>
      <c r="AM5602">
        <v>99.902917742218406</v>
      </c>
      <c r="AN5602">
        <v>0.999999992354209</v>
      </c>
    </row>
    <row r="5603" spans="1:40" x14ac:dyDescent="0.25">
      <c r="A5603" t="str">
        <f>"20190305135345900"</f>
        <v>20190305135345900</v>
      </c>
      <c r="B5603" t="str">
        <f>"1551765225895472"</f>
        <v>1551765225895472</v>
      </c>
      <c r="C5603" t="s">
        <v>40</v>
      </c>
      <c r="D5603">
        <v>4.3223349999999998</v>
      </c>
      <c r="E5603">
        <v>0.37699379999999999</v>
      </c>
      <c r="F5603" t="s">
        <v>41</v>
      </c>
      <c r="G5603">
        <v>-301.04270000000002</v>
      </c>
      <c r="H5603">
        <v>1.0514840000000001</v>
      </c>
      <c r="I5603">
        <v>-23.831759999999999</v>
      </c>
      <c r="J5603">
        <v>-301.49279999999999</v>
      </c>
      <c r="K5603">
        <v>1.1066940000000001</v>
      </c>
      <c r="L5603">
        <v>-23.301639999999999</v>
      </c>
      <c r="M5603">
        <v>-1.8556610000000001E-2</v>
      </c>
      <c r="N5603">
        <v>-9.6962149999999993E-3</v>
      </c>
      <c r="O5603">
        <v>-0.99978089999999997</v>
      </c>
      <c r="P5603">
        <v>0.16381270000000001</v>
      </c>
      <c r="Q5603">
        <v>-4.9684819999999998E-2</v>
      </c>
      <c r="R5603">
        <v>-0.98523959999999999</v>
      </c>
      <c r="S5603">
        <v>1.46637</v>
      </c>
      <c r="T5603">
        <v>-0.1829172</v>
      </c>
      <c r="U5603">
        <v>-2.7998959999999999</v>
      </c>
      <c r="V5603">
        <v>-0.18227650000000001</v>
      </c>
      <c r="W5603">
        <v>-3.9202889999999997E-2</v>
      </c>
      <c r="X5603">
        <v>0.98246549999999999</v>
      </c>
      <c r="Y5603">
        <v>-0.47962719999999998</v>
      </c>
      <c r="Z5603">
        <v>4.7767169999999998E-2</v>
      </c>
      <c r="AA5603">
        <v>0.87617129999999999</v>
      </c>
      <c r="AB5603">
        <v>31</v>
      </c>
      <c r="AC5603">
        <v>0.45009999999996297</v>
      </c>
      <c r="AD5603">
        <v>-5.5209999999999898E-2</v>
      </c>
      <c r="AE5603">
        <v>-0.53012000000000004</v>
      </c>
      <c r="AF5603">
        <v>-0.45697992763629902</v>
      </c>
      <c r="AG5603">
        <v>-5.5209999999999898E-2</v>
      </c>
      <c r="AH5603">
        <v>0.51840856177943495</v>
      </c>
      <c r="AI5603">
        <v>94.567691511517097</v>
      </c>
      <c r="AJ5603">
        <v>131.39634947152101</v>
      </c>
      <c r="AK5603">
        <v>0.69327212210552702</v>
      </c>
      <c r="AL5603">
        <v>92.246735827748793</v>
      </c>
      <c r="AM5603">
        <v>100.510558933347</v>
      </c>
      <c r="AN5603">
        <v>1.0000000238634199</v>
      </c>
    </row>
    <row r="5604" spans="1:40" x14ac:dyDescent="0.25">
      <c r="A5604" t="str">
        <f>"20190305135345923"</f>
        <v>20190305135345923</v>
      </c>
      <c r="B5604" t="str">
        <f>"1551765225915967"</f>
        <v>1551765225915967</v>
      </c>
      <c r="C5604" t="s">
        <v>40</v>
      </c>
      <c r="D5604">
        <v>4.2855359999999996</v>
      </c>
      <c r="E5604">
        <v>0.3788899</v>
      </c>
      <c r="F5604" t="s">
        <v>41</v>
      </c>
      <c r="G5604">
        <v>-301.06990000000002</v>
      </c>
      <c r="H5604">
        <v>1.05404599999999</v>
      </c>
      <c r="I5604">
        <v>-24.111930000000001</v>
      </c>
      <c r="J5604">
        <v>-301.5016</v>
      </c>
      <c r="K5604">
        <v>1.106692</v>
      </c>
      <c r="L5604">
        <v>-23.63083</v>
      </c>
      <c r="M5604">
        <v>-2.1346529999999999E-2</v>
      </c>
      <c r="N5604">
        <v>-9.7010640000000006E-3</v>
      </c>
      <c r="O5604">
        <v>-0.99972530000000004</v>
      </c>
      <c r="P5604">
        <v>0.17171910000000001</v>
      </c>
      <c r="Q5604">
        <v>-4.8584790000000003E-2</v>
      </c>
      <c r="R5604">
        <v>-0.98394749999999997</v>
      </c>
      <c r="S5604">
        <v>1.458405</v>
      </c>
      <c r="T5604">
        <v>-0.1815001</v>
      </c>
      <c r="U5604">
        <v>-2.793304</v>
      </c>
      <c r="V5604">
        <v>-0.192888</v>
      </c>
      <c r="W5604">
        <v>-3.8058870000000002E-2</v>
      </c>
      <c r="X5604">
        <v>0.98048239999999998</v>
      </c>
      <c r="Y5604">
        <v>-0.48097000000000001</v>
      </c>
      <c r="Z5604">
        <v>4.7438479999999998E-2</v>
      </c>
      <c r="AA5604">
        <v>0.87545280000000003</v>
      </c>
      <c r="AB5604">
        <v>31</v>
      </c>
      <c r="AC5604">
        <v>0.43169999999997699</v>
      </c>
      <c r="AD5604">
        <v>-5.2646000000000102E-2</v>
      </c>
      <c r="AE5604">
        <v>-0.48109999999999697</v>
      </c>
      <c r="AF5604">
        <v>-0.438960099628947</v>
      </c>
      <c r="AG5604">
        <v>-5.2646000000000102E-2</v>
      </c>
      <c r="AH5604">
        <v>0.46866576609153099</v>
      </c>
      <c r="AI5604">
        <v>94.686983400930302</v>
      </c>
      <c r="AJ5604">
        <v>133.12543687035401</v>
      </c>
      <c r="AK5604">
        <v>0.64428655945038704</v>
      </c>
      <c r="AL5604">
        <v>92.181139401182307</v>
      </c>
      <c r="AM5604">
        <v>101.129539018069</v>
      </c>
      <c r="AN5604">
        <v>0.99999999741971801</v>
      </c>
    </row>
    <row r="5605" spans="1:40" x14ac:dyDescent="0.25">
      <c r="A5605" t="str">
        <f>"20190305135345947"</f>
        <v>20190305135345947</v>
      </c>
      <c r="B5605" t="str">
        <f>"1551765225935487"</f>
        <v>1551765225935487</v>
      </c>
      <c r="C5605" t="s">
        <v>40</v>
      </c>
      <c r="D5605">
        <v>4.2760819999999997</v>
      </c>
      <c r="E5605">
        <v>0.38061139999999999</v>
      </c>
      <c r="F5605" t="s">
        <v>41</v>
      </c>
      <c r="G5605">
        <v>-301.09190000000001</v>
      </c>
      <c r="H5605">
        <v>1.0568930000000001</v>
      </c>
      <c r="I5605">
        <v>-24.409289999999999</v>
      </c>
      <c r="J5605">
        <v>-301.51089999999999</v>
      </c>
      <c r="K5605">
        <v>1.1067009999999999</v>
      </c>
      <c r="L5605">
        <v>-23.940799999999999</v>
      </c>
      <c r="M5605">
        <v>-2.3972420000000001E-2</v>
      </c>
      <c r="N5605">
        <v>-9.7056850000000004E-3</v>
      </c>
      <c r="O5605">
        <v>-0.99966569999999999</v>
      </c>
      <c r="P5605">
        <v>0.178841</v>
      </c>
      <c r="Q5605">
        <v>-4.7909729999999998E-2</v>
      </c>
      <c r="R5605">
        <v>-0.98271109999999995</v>
      </c>
      <c r="S5605">
        <v>1.465851</v>
      </c>
      <c r="T5605">
        <v>-0.17812339999999999</v>
      </c>
      <c r="U5605">
        <v>-2.784332</v>
      </c>
      <c r="V5605">
        <v>-0.2025487</v>
      </c>
      <c r="W5605">
        <v>-3.7344229999999999E-2</v>
      </c>
      <c r="X5605">
        <v>0.97855990000000004</v>
      </c>
      <c r="Y5605">
        <v>-0.48627769999999998</v>
      </c>
      <c r="Z5605">
        <v>4.640031E-2</v>
      </c>
      <c r="AA5605">
        <v>0.87257150000000006</v>
      </c>
      <c r="AB5605">
        <v>31</v>
      </c>
      <c r="AC5605">
        <v>0.418999999999982</v>
      </c>
      <c r="AD5605">
        <v>-4.9807999999999797E-2</v>
      </c>
      <c r="AE5605">
        <v>-0.46848999999999902</v>
      </c>
      <c r="AF5605">
        <v>-0.42742674437813</v>
      </c>
      <c r="AG5605">
        <v>-4.9807999999999797E-2</v>
      </c>
      <c r="AH5605">
        <v>0.45545025469307099</v>
      </c>
      <c r="AI5605">
        <v>94.559317424215806</v>
      </c>
      <c r="AJ5605">
        <v>133.181977815267</v>
      </c>
      <c r="AK5605">
        <v>0.62658550348190301</v>
      </c>
      <c r="AL5605">
        <v>92.140164358914205</v>
      </c>
      <c r="AM5605">
        <v>101.694311823329</v>
      </c>
      <c r="AN5605">
        <v>1.0000000226369901</v>
      </c>
    </row>
    <row r="5606" spans="1:40" x14ac:dyDescent="0.25">
      <c r="A5606" t="str">
        <f>"20190305135345966"</f>
        <v>20190305135345966</v>
      </c>
      <c r="B5606" t="str">
        <f>"1551765225955984"</f>
        <v>1551765225955984</v>
      </c>
      <c r="C5606" t="s">
        <v>40</v>
      </c>
      <c r="D5606">
        <v>4.30985</v>
      </c>
      <c r="E5606">
        <v>0.38207000000000002</v>
      </c>
      <c r="F5606" t="s">
        <v>41</v>
      </c>
      <c r="G5606">
        <v>-300.9898</v>
      </c>
      <c r="H5606">
        <v>1.043398</v>
      </c>
      <c r="I5606">
        <v>-24.922920000000001</v>
      </c>
      <c r="J5606">
        <v>-301.52</v>
      </c>
      <c r="K5606">
        <v>1.1067039999999999</v>
      </c>
      <c r="L5606">
        <v>-24.220669999999998</v>
      </c>
      <c r="M5606">
        <v>-2.6342770000000001E-2</v>
      </c>
      <c r="N5606">
        <v>-9.7098429999999993E-3</v>
      </c>
      <c r="O5606">
        <v>-0.99960590000000005</v>
      </c>
      <c r="P5606">
        <v>0.1858728</v>
      </c>
      <c r="Q5606">
        <v>-4.778516E-2</v>
      </c>
      <c r="R5606">
        <v>-0.98141109999999998</v>
      </c>
      <c r="S5606">
        <v>1.4724729999999999</v>
      </c>
      <c r="T5606">
        <v>-0.1789279</v>
      </c>
      <c r="U5606">
        <v>-2.7760929999999999</v>
      </c>
      <c r="V5606">
        <v>-0.21186269999999999</v>
      </c>
      <c r="W5606">
        <v>-3.718287E-2</v>
      </c>
      <c r="X5606">
        <v>0.97659180000000001</v>
      </c>
      <c r="Y5606">
        <v>-0.49102580000000001</v>
      </c>
      <c r="Z5606">
        <v>4.6675260000000003E-2</v>
      </c>
      <c r="AA5606">
        <v>0.86989369999999999</v>
      </c>
      <c r="AB5606">
        <v>31</v>
      </c>
      <c r="AC5606">
        <v>0.53019999999997902</v>
      </c>
      <c r="AD5606">
        <v>-6.3306000000000001E-2</v>
      </c>
      <c r="AE5606">
        <v>-0.70224999999999904</v>
      </c>
      <c r="AF5606">
        <v>-0.54569153778038504</v>
      </c>
      <c r="AG5606">
        <v>-6.3306000000000001E-2</v>
      </c>
      <c r="AH5606">
        <v>0.68449569286657497</v>
      </c>
      <c r="AI5606">
        <v>94.136269802922499</v>
      </c>
      <c r="AJ5606">
        <v>128.56244470573799</v>
      </c>
      <c r="AK5606">
        <v>0.87767947315293604</v>
      </c>
      <c r="AL5606">
        <v>92.130912827270294</v>
      </c>
      <c r="AM5606">
        <v>102.240129474383</v>
      </c>
      <c r="AN5606">
        <v>0.99999995664998198</v>
      </c>
    </row>
    <row r="5607" spans="1:40" x14ac:dyDescent="0.25">
      <c r="A5607" t="str">
        <f>"20190305135345989"</f>
        <v>20190305135345989</v>
      </c>
      <c r="B5607" t="str">
        <f>"1551765225975504"</f>
        <v>1551765225975504</v>
      </c>
      <c r="C5607" t="s">
        <v>40</v>
      </c>
      <c r="D5607">
        <v>4.3143260000000003</v>
      </c>
      <c r="E5607">
        <v>0.38278679999999998</v>
      </c>
      <c r="F5607" t="s">
        <v>41</v>
      </c>
      <c r="G5607">
        <v>-300.99610000000001</v>
      </c>
      <c r="H5607">
        <v>1.045174</v>
      </c>
      <c r="I5607">
        <v>-25.200130000000001</v>
      </c>
      <c r="J5607">
        <v>-301.53089999999997</v>
      </c>
      <c r="K5607">
        <v>1.106703</v>
      </c>
      <c r="L5607">
        <v>-24.533809999999999</v>
      </c>
      <c r="M5607">
        <v>-2.8994639999999999E-2</v>
      </c>
      <c r="N5607">
        <v>-9.7145540000000002E-3</v>
      </c>
      <c r="O5607">
        <v>-0.99953250000000005</v>
      </c>
      <c r="P5607">
        <v>0.19136829999999999</v>
      </c>
      <c r="Q5607">
        <v>-4.8688460000000003E-2</v>
      </c>
      <c r="R5607">
        <v>-0.98031009999999996</v>
      </c>
      <c r="S5607">
        <v>1.4811099999999999</v>
      </c>
      <c r="T5607">
        <v>-0.1738915</v>
      </c>
      <c r="U5607">
        <v>-2.7678530000000001</v>
      </c>
      <c r="V5607">
        <v>-0.21991830000000001</v>
      </c>
      <c r="W5607">
        <v>-3.8053589999999998E-2</v>
      </c>
      <c r="X5607">
        <v>0.97477579999999997</v>
      </c>
      <c r="Y5607">
        <v>-0.49654609999999899</v>
      </c>
      <c r="Z5607">
        <v>4.5087099999999998E-2</v>
      </c>
      <c r="AA5607">
        <v>0.86683860000000001</v>
      </c>
      <c r="AB5607">
        <v>31</v>
      </c>
      <c r="AC5607">
        <v>0.53479999999996097</v>
      </c>
      <c r="AD5607">
        <v>-6.1528999999999903E-2</v>
      </c>
      <c r="AE5607">
        <v>-0.66631999999999802</v>
      </c>
      <c r="AF5607">
        <v>-0.55103801120264695</v>
      </c>
      <c r="AG5607">
        <v>-6.1528999999999903E-2</v>
      </c>
      <c r="AH5607">
        <v>0.647176446682596</v>
      </c>
      <c r="AI5607">
        <v>94.140307969202894</v>
      </c>
      <c r="AJ5607">
        <v>130.41271443402999</v>
      </c>
      <c r="AK5607">
        <v>0.85221245049100303</v>
      </c>
      <c r="AL5607">
        <v>92.180836660363894</v>
      </c>
      <c r="AM5607">
        <v>102.71359689912801</v>
      </c>
      <c r="AN5607">
        <v>0.99999999732620903</v>
      </c>
    </row>
    <row r="5608" spans="1:40" x14ac:dyDescent="0.25">
      <c r="A5608" t="str">
        <f>"20190305135346012"</f>
        <v>20190305135346012</v>
      </c>
      <c r="B5608" t="str">
        <f>"1551765226005759"</f>
        <v>1551765226005759</v>
      </c>
      <c r="C5608" t="s">
        <v>40</v>
      </c>
      <c r="D5608">
        <v>4.3567049999999998</v>
      </c>
      <c r="E5608">
        <v>0.39561259999999998</v>
      </c>
      <c r="F5608" t="s">
        <v>41</v>
      </c>
      <c r="G5608">
        <v>-301.01960000000003</v>
      </c>
      <c r="H5608">
        <v>1.0459769999999999</v>
      </c>
      <c r="I5608">
        <v>-25.48067</v>
      </c>
      <c r="J5608">
        <v>-301.54300000000001</v>
      </c>
      <c r="K5608">
        <v>1.1067100000000001</v>
      </c>
      <c r="L5608">
        <v>-24.854579999999999</v>
      </c>
      <c r="M5608">
        <v>-3.1710330000000002E-2</v>
      </c>
      <c r="N5608">
        <v>-9.7193430000000001E-3</v>
      </c>
      <c r="O5608">
        <v>-0.99944999999999995</v>
      </c>
      <c r="P5608">
        <v>0.1968317</v>
      </c>
      <c r="Q5608">
        <v>-4.8307620000000003E-2</v>
      </c>
      <c r="R5608">
        <v>-0.97924690000000003</v>
      </c>
      <c r="S5608">
        <v>1.4907840000000001</v>
      </c>
      <c r="T5608">
        <v>-0.1770389</v>
      </c>
      <c r="U5608">
        <v>-2.760437</v>
      </c>
      <c r="V5608">
        <v>-0.22799030000000001</v>
      </c>
      <c r="W5608">
        <v>-3.7639480000000003E-2</v>
      </c>
      <c r="X5608">
        <v>0.97293560000000001</v>
      </c>
      <c r="Y5608">
        <v>-0.50219079999999905</v>
      </c>
      <c r="Z5608">
        <v>4.6048430000000001E-2</v>
      </c>
      <c r="AA5608">
        <v>0.86352999999999902</v>
      </c>
      <c r="AB5608">
        <v>31</v>
      </c>
      <c r="AC5608">
        <v>0.52339999999998099</v>
      </c>
      <c r="AD5608">
        <v>-6.0733000000000099E-2</v>
      </c>
      <c r="AE5608">
        <v>-0.62609000000000103</v>
      </c>
      <c r="AF5608">
        <v>-0.54000025191545198</v>
      </c>
      <c r="AG5608">
        <v>-6.0733000000000099E-2</v>
      </c>
      <c r="AH5608">
        <v>0.60582160876154101</v>
      </c>
      <c r="AI5608">
        <v>94.279776668737497</v>
      </c>
      <c r="AJ5608">
        <v>131.712276143249</v>
      </c>
      <c r="AK5608">
        <v>0.81382343969694804</v>
      </c>
      <c r="AL5608">
        <v>92.157092899964496</v>
      </c>
      <c r="AM5608">
        <v>103.188295076872</v>
      </c>
      <c r="AN5608">
        <v>0.99999999454805999</v>
      </c>
    </row>
    <row r="5609" spans="1:40" x14ac:dyDescent="0.25">
      <c r="A5609" t="str">
        <f>"20190305135346034"</f>
        <v>20190305135346034</v>
      </c>
      <c r="B5609" t="str">
        <f>"1551765226025283"</f>
        <v>1551765226025283</v>
      </c>
      <c r="C5609" t="s">
        <v>40</v>
      </c>
      <c r="D5609">
        <v>4.3403340000000004</v>
      </c>
      <c r="E5609">
        <v>0.39628819999999998</v>
      </c>
      <c r="F5609" t="s">
        <v>41</v>
      </c>
      <c r="G5609">
        <v>-301.0795</v>
      </c>
      <c r="H5609">
        <v>1.0571330000000001</v>
      </c>
      <c r="I5609">
        <v>-25.768000000000001</v>
      </c>
      <c r="J5609">
        <v>-301.55489999999998</v>
      </c>
      <c r="K5609">
        <v>1.1067089999999999</v>
      </c>
      <c r="L5609">
        <v>-25.153169999999999</v>
      </c>
      <c r="M5609">
        <v>-3.4239350000000002E-2</v>
      </c>
      <c r="N5609">
        <v>-9.7238029999999996E-3</v>
      </c>
      <c r="O5609">
        <v>-0.99936659999999999</v>
      </c>
      <c r="P5609">
        <v>0.2019099</v>
      </c>
      <c r="Q5609">
        <v>-4.7605969999999997E-2</v>
      </c>
      <c r="R5609">
        <v>-0.97824690000000003</v>
      </c>
      <c r="S5609">
        <v>1.40741</v>
      </c>
      <c r="T5609">
        <v>-0.15052689999999999</v>
      </c>
      <c r="U5609">
        <v>-2.7732540000000001</v>
      </c>
      <c r="V5609">
        <v>-0.235488</v>
      </c>
      <c r="W5609">
        <v>-3.6906920000000003E-2</v>
      </c>
      <c r="X5609">
        <v>0.97117629999999999</v>
      </c>
      <c r="Y5609">
        <v>-0.48236089999999998</v>
      </c>
      <c r="Z5609">
        <v>3.8097569999999997E-2</v>
      </c>
      <c r="AA5609">
        <v>0.87514369999999997</v>
      </c>
      <c r="AB5609">
        <v>31</v>
      </c>
      <c r="AC5609">
        <v>0.47539999999997901</v>
      </c>
      <c r="AD5609">
        <v>-4.9575999999999801E-2</v>
      </c>
      <c r="AE5609">
        <v>-0.61482999999999699</v>
      </c>
      <c r="AF5609">
        <v>-0.49416283493854601</v>
      </c>
      <c r="AG5609">
        <v>-4.9575999999999801E-2</v>
      </c>
      <c r="AH5609">
        <v>0.59576712086227701</v>
      </c>
      <c r="AI5609">
        <v>93.664703418465507</v>
      </c>
      <c r="AJ5609">
        <v>129.67422570990701</v>
      </c>
      <c r="AK5609">
        <v>0.77562436108662103</v>
      </c>
      <c r="AL5609">
        <v>92.115090972717098</v>
      </c>
      <c r="AM5609">
        <v>103.62985452238399</v>
      </c>
      <c r="AN5609">
        <v>1.00000006228478</v>
      </c>
    </row>
    <row r="5610" spans="1:40" x14ac:dyDescent="0.25">
      <c r="A5610" t="str">
        <f>"20190305135346055"</f>
        <v>20190305135346055</v>
      </c>
      <c r="B5610" t="str">
        <f>"1551765226045776"</f>
        <v>1551765226045776</v>
      </c>
      <c r="C5610" t="s">
        <v>40</v>
      </c>
      <c r="D5610">
        <v>4.3540729999999996</v>
      </c>
      <c r="E5610">
        <v>0.3971731</v>
      </c>
      <c r="F5610" t="s">
        <v>41</v>
      </c>
      <c r="G5610">
        <v>-301.09649999999999</v>
      </c>
      <c r="H5610">
        <v>1.059504</v>
      </c>
      <c r="I5610">
        <v>-26.048639999999999</v>
      </c>
      <c r="J5610">
        <v>-301.56810000000002</v>
      </c>
      <c r="K5610">
        <v>1.1067049999999901</v>
      </c>
      <c r="L5610">
        <v>-25.460599999999999</v>
      </c>
      <c r="M5610">
        <v>-3.6843960000000002E-2</v>
      </c>
      <c r="N5610">
        <v>-9.728446E-3</v>
      </c>
      <c r="O5610">
        <v>-0.99927370000000004</v>
      </c>
      <c r="P5610">
        <v>0.20594689999999999</v>
      </c>
      <c r="Q5610">
        <v>-4.7727680000000001E-2</v>
      </c>
      <c r="R5610">
        <v>-0.9773984</v>
      </c>
      <c r="S5610">
        <v>1.4168400000000001</v>
      </c>
      <c r="T5610">
        <v>-0.1458721</v>
      </c>
      <c r="U5610">
        <v>-2.7671809999999999</v>
      </c>
      <c r="V5610">
        <v>-0.24202199999999999</v>
      </c>
      <c r="W5610">
        <v>-3.7000529999999997E-2</v>
      </c>
      <c r="X5610">
        <v>0.96956500000000001</v>
      </c>
      <c r="Y5610">
        <v>-0.48780230000000002</v>
      </c>
      <c r="Z5610">
        <v>3.658314E-2</v>
      </c>
      <c r="AA5610">
        <v>0.8721873</v>
      </c>
      <c r="AB5610">
        <v>31</v>
      </c>
      <c r="AC5610">
        <v>0.471600000000023</v>
      </c>
      <c r="AD5610">
        <v>-4.7200999999999799E-2</v>
      </c>
      <c r="AE5610">
        <v>-0.58803999999999901</v>
      </c>
      <c r="AF5610">
        <v>-0.491021193460352</v>
      </c>
      <c r="AG5610">
        <v>-4.7200999999999799E-2</v>
      </c>
      <c r="AH5610">
        <v>0.56803696322356301</v>
      </c>
      <c r="AI5610">
        <v>93.597100594163607</v>
      </c>
      <c r="AJ5610">
        <v>130.84071513281799</v>
      </c>
      <c r="AK5610">
        <v>0.75232688268895298</v>
      </c>
      <c r="AL5610">
        <v>92.120458252773005</v>
      </c>
      <c r="AM5610">
        <v>104.0157046158</v>
      </c>
      <c r="AN5610">
        <v>0.99999998846464</v>
      </c>
    </row>
    <row r="5611" spans="1:40" x14ac:dyDescent="0.25">
      <c r="A5611" t="str">
        <f>"20190305135346077"</f>
        <v>20190305135346077</v>
      </c>
      <c r="B5611" t="str">
        <f>"1551765226076032"</f>
        <v>1551765226076032</v>
      </c>
      <c r="C5611" t="s">
        <v>40</v>
      </c>
      <c r="D5611">
        <v>4.3784599999999996</v>
      </c>
      <c r="E5611">
        <v>0.3982173</v>
      </c>
      <c r="F5611" t="s">
        <v>41</v>
      </c>
      <c r="G5611">
        <v>-301.12090000000001</v>
      </c>
      <c r="H5611">
        <v>1.0606519999999999</v>
      </c>
      <c r="I5611">
        <v>-26.32977</v>
      </c>
      <c r="J5611">
        <v>-301.58190000000002</v>
      </c>
      <c r="K5611">
        <v>1.106689</v>
      </c>
      <c r="L5611">
        <v>-25.767240000000001</v>
      </c>
      <c r="M5611">
        <v>-3.9442390000000001E-2</v>
      </c>
      <c r="N5611">
        <v>-9.7331540000000008E-3</v>
      </c>
      <c r="O5611">
        <v>-0.99917449999999997</v>
      </c>
      <c r="P5611">
        <v>0.20821809999999999</v>
      </c>
      <c r="Q5611">
        <v>-4.7007590000000002E-2</v>
      </c>
      <c r="R5611">
        <v>-0.97695240000000005</v>
      </c>
      <c r="S5611">
        <v>1.421295</v>
      </c>
      <c r="T5611">
        <v>-0.1463882</v>
      </c>
      <c r="U5611">
        <v>-2.762756</v>
      </c>
      <c r="V5611">
        <v>-0.24679000000000001</v>
      </c>
      <c r="W5611">
        <v>-3.6257379999999999E-2</v>
      </c>
      <c r="X5611">
        <v>0.96839050000000004</v>
      </c>
      <c r="Y5611">
        <v>-0.49174200000000001</v>
      </c>
      <c r="Z5611">
        <v>3.6723140000000001E-2</v>
      </c>
      <c r="AA5611">
        <v>0.86996620000000002</v>
      </c>
      <c r="AB5611">
        <v>31</v>
      </c>
      <c r="AC5611">
        <v>0.46100000000001201</v>
      </c>
      <c r="AD5611">
        <v>-4.60369999999998E-2</v>
      </c>
      <c r="AE5611">
        <v>-0.56252999999999798</v>
      </c>
      <c r="AF5611">
        <v>-0.48090296483977701</v>
      </c>
      <c r="AG5611">
        <v>-4.60369999999998E-2</v>
      </c>
      <c r="AH5611">
        <v>0.54173782295728201</v>
      </c>
      <c r="AI5611">
        <v>93.636392683154199</v>
      </c>
      <c r="AJ5611">
        <v>131.59560057637401</v>
      </c>
      <c r="AK5611">
        <v>0.72585600209902801</v>
      </c>
      <c r="AL5611">
        <v>92.077850211407494</v>
      </c>
      <c r="AM5611">
        <v>104.297241968799</v>
      </c>
      <c r="AN5611">
        <v>1.00000003109735</v>
      </c>
    </row>
    <row r="5612" spans="1:40" x14ac:dyDescent="0.25">
      <c r="A5612" t="str">
        <f>"20190305135346101"</f>
        <v>20190305135346101</v>
      </c>
      <c r="B5612" t="str">
        <f>"1551765226095552"</f>
        <v>1551765226095552</v>
      </c>
      <c r="C5612" t="s">
        <v>40</v>
      </c>
      <c r="D5612">
        <v>4.3334979999999996</v>
      </c>
      <c r="E5612">
        <v>0.39908549999999998</v>
      </c>
      <c r="F5612" t="s">
        <v>41</v>
      </c>
      <c r="G5612">
        <v>-301.10000000000002</v>
      </c>
      <c r="H5612">
        <v>1.060497</v>
      </c>
      <c r="I5612">
        <v>-26.704499999999999</v>
      </c>
      <c r="J5612">
        <v>-301.59739999999999</v>
      </c>
      <c r="K5612">
        <v>1.1066769999999999</v>
      </c>
      <c r="L5612">
        <v>-26.091370000000001</v>
      </c>
      <c r="M5612">
        <v>-4.2190020000000002E-2</v>
      </c>
      <c r="N5612">
        <v>-9.7381180000000005E-3</v>
      </c>
      <c r="O5612">
        <v>-0.99906229999999996</v>
      </c>
      <c r="P5612">
        <v>0.2081344</v>
      </c>
      <c r="Q5612">
        <v>-4.7563689999999999E-2</v>
      </c>
      <c r="R5612">
        <v>-0.97694340000000002</v>
      </c>
      <c r="S5612">
        <v>1.4203190000000001</v>
      </c>
      <c r="T5612">
        <v>-0.13610359999999999</v>
      </c>
      <c r="U5612">
        <v>-2.7615050000000001</v>
      </c>
      <c r="V5612">
        <v>-0.24937049999999999</v>
      </c>
      <c r="W5612">
        <v>-3.6797169999999997E-2</v>
      </c>
      <c r="X5612">
        <v>0.96770880000000004</v>
      </c>
      <c r="Y5612">
        <v>-0.49411100000000002</v>
      </c>
      <c r="Z5612">
        <v>3.3429470000000003E-2</v>
      </c>
      <c r="AA5612">
        <v>0.86875590000000003</v>
      </c>
      <c r="AB5612">
        <v>31</v>
      </c>
      <c r="AC5612">
        <v>0.49739999999996998</v>
      </c>
      <c r="AD5612">
        <v>-4.6180000000000103E-2</v>
      </c>
      <c r="AE5612">
        <v>-0.61312999999999795</v>
      </c>
      <c r="AF5612">
        <v>-0.52104363870645598</v>
      </c>
      <c r="AG5612">
        <v>-4.6180000000000103E-2</v>
      </c>
      <c r="AH5612">
        <v>0.589580603232148</v>
      </c>
      <c r="AI5612">
        <v>93.358931278217099</v>
      </c>
      <c r="AJ5612">
        <v>131.46873777094501</v>
      </c>
      <c r="AK5612">
        <v>0.78817786923006605</v>
      </c>
      <c r="AL5612">
        <v>92.108798618864995</v>
      </c>
      <c r="AM5612">
        <v>104.45026381926</v>
      </c>
      <c r="AN5612">
        <v>0.99999999979384901</v>
      </c>
    </row>
    <row r="5613" spans="1:40" x14ac:dyDescent="0.25">
      <c r="A5613" t="str">
        <f>"20190305135346123"</f>
        <v>20190305135346123</v>
      </c>
      <c r="B5613" t="str">
        <f>"1551765226116049"</f>
        <v>1551765226116049</v>
      </c>
      <c r="C5613" t="s">
        <v>40</v>
      </c>
      <c r="D5613">
        <v>4.5053679999999998</v>
      </c>
      <c r="E5613">
        <v>0.39928780000000003</v>
      </c>
      <c r="F5613" t="s">
        <v>81</v>
      </c>
      <c r="G5613">
        <v>-290.0643</v>
      </c>
      <c r="H5613" s="1">
        <v>-6.609645E-6</v>
      </c>
      <c r="I5613">
        <v>-48.640149999999998</v>
      </c>
      <c r="J5613">
        <v>-301.61329999999998</v>
      </c>
      <c r="K5613">
        <v>1.1066780000000001</v>
      </c>
      <c r="L5613">
        <v>-26.405760000000001</v>
      </c>
      <c r="M5613">
        <v>-4.4855649999999997E-2</v>
      </c>
      <c r="N5613">
        <v>-9.7429200000000004E-3</v>
      </c>
      <c r="O5613">
        <v>-0.998946</v>
      </c>
      <c r="P5613">
        <v>0.20696790000000001</v>
      </c>
      <c r="Q5613">
        <v>-4.8867750000000001E-2</v>
      </c>
      <c r="R5613">
        <v>-0.97712650000000001</v>
      </c>
      <c r="S5613">
        <v>1.4132690000000001</v>
      </c>
      <c r="T5613">
        <v>-0.1356127</v>
      </c>
      <c r="U5613">
        <v>-2.7631230000000002</v>
      </c>
      <c r="V5613">
        <v>-0.2508011</v>
      </c>
      <c r="W5613">
        <v>-3.8089169999999999E-2</v>
      </c>
      <c r="X5613">
        <v>0.96728899999999995</v>
      </c>
      <c r="Y5613">
        <v>-0.4944711</v>
      </c>
      <c r="Z5613">
        <v>3.3251389999999999E-2</v>
      </c>
      <c r="AA5613">
        <v>0.86855780000000005</v>
      </c>
      <c r="AB5613">
        <v>31</v>
      </c>
      <c r="AC5613">
        <v>11.5489999999999</v>
      </c>
      <c r="AD5613">
        <v>-1.106684609645</v>
      </c>
      <c r="AE5613">
        <v>-22.234389999999902</v>
      </c>
      <c r="AF5613">
        <v>-12.5103519014512</v>
      </c>
      <c r="AG5613">
        <v>-1.106684609645</v>
      </c>
      <c r="AH5613">
        <v>21.651703011030399</v>
      </c>
      <c r="AI5613">
        <v>92.534061776931097</v>
      </c>
      <c r="AJ5613">
        <v>120.01931783164299</v>
      </c>
      <c r="AK5613">
        <v>25.030579274184401</v>
      </c>
      <c r="AL5613">
        <v>92.182876732485397</v>
      </c>
      <c r="AM5613">
        <v>104.535702240313</v>
      </c>
      <c r="AN5613">
        <v>0.99999999307674903</v>
      </c>
    </row>
    <row r="5614" spans="1:40" x14ac:dyDescent="0.25">
      <c r="A5614" t="str">
        <f>"20190305135346147"</f>
        <v>20190305135346147</v>
      </c>
      <c r="B5614" t="str">
        <f>"1551765226135568"</f>
        <v>1551765226135568</v>
      </c>
      <c r="C5614" t="s">
        <v>40</v>
      </c>
      <c r="D5614">
        <v>5.0204309999999897</v>
      </c>
      <c r="E5614">
        <v>0.39928780000000003</v>
      </c>
      <c r="F5614" t="s">
        <v>81</v>
      </c>
      <c r="G5614">
        <v>-290.48399999999998</v>
      </c>
      <c r="H5614" s="1">
        <v>-6.3972700000000002E-6</v>
      </c>
      <c r="I5614">
        <v>-48.252189999999999</v>
      </c>
      <c r="J5614">
        <v>-301.63040000000001</v>
      </c>
      <c r="K5614">
        <v>1.106671</v>
      </c>
      <c r="L5614">
        <v>-26.72522</v>
      </c>
      <c r="M5614">
        <v>-4.7564250000000002E-2</v>
      </c>
      <c r="N5614">
        <v>-9.7478400000000007E-3</v>
      </c>
      <c r="O5614">
        <v>-0.99882079999999995</v>
      </c>
      <c r="P5614">
        <v>0.20494190000000001</v>
      </c>
      <c r="Q5614">
        <v>-5.0467629999999999E-2</v>
      </c>
      <c r="R5614">
        <v>-0.97747240000000002</v>
      </c>
      <c r="S5614">
        <v>1.408539</v>
      </c>
      <c r="T5614">
        <v>-0.14006250000000001</v>
      </c>
      <c r="U5614">
        <v>-2.7648929999999998</v>
      </c>
      <c r="V5614">
        <v>-0.25142379999999998</v>
      </c>
      <c r="W5614">
        <v>-3.9679520000000003E-2</v>
      </c>
      <c r="X5614">
        <v>0.96706340000000002</v>
      </c>
      <c r="Y5614">
        <v>-0.4953977</v>
      </c>
      <c r="Z5614">
        <v>3.4621119999999998E-2</v>
      </c>
      <c r="AA5614">
        <v>0.86797610000000003</v>
      </c>
      <c r="AB5614">
        <v>31</v>
      </c>
      <c r="AC5614">
        <v>11.1463999999999</v>
      </c>
      <c r="AD5614">
        <v>-1.1066773972699999</v>
      </c>
      <c r="AE5614">
        <v>-21.526969999999999</v>
      </c>
      <c r="AF5614">
        <v>-12.132460312372601</v>
      </c>
      <c r="AG5614">
        <v>-1.1066773972699999</v>
      </c>
      <c r="AH5614">
        <v>20.928789826989899</v>
      </c>
      <c r="AI5614">
        <v>92.619297339113203</v>
      </c>
      <c r="AJ5614">
        <v>120.100953211914</v>
      </c>
      <c r="AK5614">
        <v>24.216431853500701</v>
      </c>
      <c r="AL5614">
        <v>92.2740660221599</v>
      </c>
      <c r="AM5614">
        <v>104.57351228867699</v>
      </c>
      <c r="AN5614">
        <v>1.00000000556671</v>
      </c>
    </row>
    <row r="5615" spans="1:40" x14ac:dyDescent="0.25">
      <c r="A5615" t="str">
        <f>"20190305135346167"</f>
        <v>20190305135346167</v>
      </c>
      <c r="B5615" t="str">
        <f>"1551765226156064"</f>
        <v>1551765226156064</v>
      </c>
      <c r="C5615" t="s">
        <v>40</v>
      </c>
      <c r="D5615">
        <v>4.6240519999999998</v>
      </c>
      <c r="E5615">
        <v>0.522009099999999</v>
      </c>
      <c r="F5615" t="s">
        <v>41</v>
      </c>
      <c r="G5615">
        <v>-301.12720000000002</v>
      </c>
      <c r="H5615">
        <v>1.0540229999999999</v>
      </c>
      <c r="I5615">
        <v>-27.71781</v>
      </c>
      <c r="J5615">
        <v>-301.64679999999998</v>
      </c>
      <c r="K5615">
        <v>1.1066469999999999</v>
      </c>
      <c r="L5615">
        <v>-27.017209999999999</v>
      </c>
      <c r="M5615">
        <v>-5.0040330000000001E-2</v>
      </c>
      <c r="N5615">
        <v>-9.7523149999999992E-3</v>
      </c>
      <c r="O5615">
        <v>-0.99869980000000003</v>
      </c>
      <c r="P5615">
        <v>0.20294799999999999</v>
      </c>
      <c r="Q5615">
        <v>-5.2796780000000001E-2</v>
      </c>
      <c r="R5615">
        <v>-0.97776540000000001</v>
      </c>
      <c r="S5615">
        <v>1.402679</v>
      </c>
      <c r="T5615">
        <v>-0.146785</v>
      </c>
      <c r="U5615">
        <v>-2.7674560000000001</v>
      </c>
      <c r="V5615">
        <v>-0.25185590000000002</v>
      </c>
      <c r="W5615">
        <v>-4.2000759999999998E-2</v>
      </c>
      <c r="X5615">
        <v>0.96685290000000002</v>
      </c>
      <c r="Y5615">
        <v>-0.49572529999999998</v>
      </c>
      <c r="Z5615">
        <v>3.6710399999999997E-2</v>
      </c>
      <c r="AA5615">
        <v>0.86770309999999995</v>
      </c>
      <c r="AB5615">
        <v>31</v>
      </c>
      <c r="AC5615">
        <v>0.51959999999996798</v>
      </c>
      <c r="AD5615">
        <v>-5.2623999999999997E-2</v>
      </c>
      <c r="AE5615">
        <v>-0.700599999999997</v>
      </c>
      <c r="AF5615">
        <v>-0.55199970240942098</v>
      </c>
      <c r="AG5615">
        <v>-5.2623999999999997E-2</v>
      </c>
      <c r="AH5615">
        <v>0.67127667248925804</v>
      </c>
      <c r="AI5615">
        <v>93.465071581503594</v>
      </c>
      <c r="AJ5615">
        <v>129.43091385383599</v>
      </c>
      <c r="AK5615">
        <v>0.87068095641534504</v>
      </c>
      <c r="AL5615">
        <v>92.407174387197003</v>
      </c>
      <c r="AM5615">
        <v>104.600531833313</v>
      </c>
      <c r="AN5615">
        <v>0.999999994221898</v>
      </c>
    </row>
    <row r="5616" spans="1:40" x14ac:dyDescent="0.25">
      <c r="A5616" t="str">
        <f>"20190305135346190"</f>
        <v>20190305135346190</v>
      </c>
      <c r="B5616" t="str">
        <f>"1551765226185344"</f>
        <v>1551765226185344</v>
      </c>
      <c r="C5616" t="s">
        <v>40</v>
      </c>
      <c r="D5616">
        <v>4.7459389999999999</v>
      </c>
      <c r="E5616">
        <v>0.59396150000000003</v>
      </c>
      <c r="F5616" t="s">
        <v>81</v>
      </c>
      <c r="G5616">
        <v>-299.69779999999997</v>
      </c>
      <c r="H5616" s="1">
        <v>-1.078385E-7</v>
      </c>
      <c r="I5616">
        <v>-40.446980000000003</v>
      </c>
      <c r="J5616">
        <v>-301.66539999999998</v>
      </c>
      <c r="K5616">
        <v>1.106619</v>
      </c>
      <c r="L5616">
        <v>-27.334689999999998</v>
      </c>
      <c r="M5616">
        <v>-5.2732349999999997E-2</v>
      </c>
      <c r="N5616">
        <v>-9.7572040000000002E-3</v>
      </c>
      <c r="O5616">
        <v>-0.99856100000000003</v>
      </c>
      <c r="P5616">
        <v>0.20094190000000001</v>
      </c>
      <c r="Q5616">
        <v>-5.5093169999999997E-2</v>
      </c>
      <c r="R5616">
        <v>-0.97805279999999994</v>
      </c>
      <c r="S5616">
        <v>0.43038939999999998</v>
      </c>
      <c r="T5616">
        <v>-0.24438109999999999</v>
      </c>
      <c r="U5616">
        <v>-2.9656980000000002</v>
      </c>
      <c r="V5616">
        <v>-0.25248549999999997</v>
      </c>
      <c r="W5616">
        <v>-4.4287979999999998E-2</v>
      </c>
      <c r="X5616">
        <v>0.96658659999999996</v>
      </c>
      <c r="Y5616">
        <v>-0.19515540000000001</v>
      </c>
      <c r="Z5616">
        <v>7.0977390000000001E-2</v>
      </c>
      <c r="AA5616">
        <v>0.97820070000000003</v>
      </c>
      <c r="AB5616">
        <v>31</v>
      </c>
      <c r="AC5616">
        <v>1.9676</v>
      </c>
      <c r="AD5616">
        <v>-1.1066191078384999</v>
      </c>
      <c r="AE5616">
        <v>-13.1122899999999</v>
      </c>
      <c r="AF5616">
        <v>-2.6379615620093402</v>
      </c>
      <c r="AG5616">
        <v>-1.1066191078384999</v>
      </c>
      <c r="AH5616">
        <v>12.900422520548499</v>
      </c>
      <c r="AI5616">
        <v>94.803991629340203</v>
      </c>
      <c r="AJ5616">
        <v>101.55688562790399</v>
      </c>
      <c r="AK5616">
        <v>13.2137938632759</v>
      </c>
      <c r="AL5616">
        <v>92.538344583879194</v>
      </c>
      <c r="AM5616">
        <v>104.639324574516</v>
      </c>
      <c r="AN5616">
        <v>1.0000000040911401</v>
      </c>
    </row>
    <row r="5617" spans="1:40" x14ac:dyDescent="0.25">
      <c r="A5617" t="str">
        <f>"20190305135346212"</f>
        <v>20190305135346212</v>
      </c>
      <c r="B5617" t="str">
        <f>"1551765226205840"</f>
        <v>1551765226205840</v>
      </c>
      <c r="C5617" t="s">
        <v>40</v>
      </c>
      <c r="D5617">
        <v>4.6473599999999999</v>
      </c>
      <c r="E5617">
        <v>0.58836140000000003</v>
      </c>
      <c r="F5617" t="s">
        <v>41</v>
      </c>
      <c r="G5617">
        <v>-301.70999999999998</v>
      </c>
      <c r="H5617">
        <v>0.99473210000000001</v>
      </c>
      <c r="I5617">
        <v>-28.254549999999998</v>
      </c>
      <c r="J5617">
        <v>-301.68490000000003</v>
      </c>
      <c r="K5617">
        <v>1.1066</v>
      </c>
      <c r="L5617">
        <v>-27.652950000000001</v>
      </c>
      <c r="M5617">
        <v>-5.5430640000000003E-2</v>
      </c>
      <c r="N5617">
        <v>-9.7620859999999997E-3</v>
      </c>
      <c r="O5617">
        <v>-0.99841500000000005</v>
      </c>
      <c r="P5617">
        <v>0.19966339999999999</v>
      </c>
      <c r="Q5617">
        <v>-5.6012510000000001E-2</v>
      </c>
      <c r="R5617">
        <v>-0.97826259999999998</v>
      </c>
      <c r="S5617">
        <v>-0.1493835</v>
      </c>
      <c r="T5617">
        <v>-0.37427830000000001</v>
      </c>
      <c r="U5617">
        <v>-3.0769350000000002</v>
      </c>
      <c r="V5617">
        <v>-0.25383559999999999</v>
      </c>
      <c r="W5617">
        <v>-4.5195350000000002E-2</v>
      </c>
      <c r="X5617">
        <v>0.96619089999999996</v>
      </c>
      <c r="Y5617">
        <v>-7.2444229999999998E-3</v>
      </c>
      <c r="Z5617">
        <v>0.11071780000000001</v>
      </c>
      <c r="AA5617">
        <v>0.99382550000000003</v>
      </c>
      <c r="AB5617">
        <v>31</v>
      </c>
      <c r="AC5617">
        <v>-2.5099999999952102E-2</v>
      </c>
      <c r="AD5617">
        <v>-0.11186790000000001</v>
      </c>
      <c r="AE5617">
        <v>-0.60159999999999703</v>
      </c>
      <c r="AF5617">
        <v>-8.0107388054319103E-3</v>
      </c>
      <c r="AG5617">
        <v>-0.11186790000000001</v>
      </c>
      <c r="AH5617">
        <v>0.58197789922202203</v>
      </c>
      <c r="AI5617">
        <v>100.879686018116</v>
      </c>
      <c r="AJ5617">
        <v>90.788608194661506</v>
      </c>
      <c r="AK5617">
        <v>0.59268615149124004</v>
      </c>
      <c r="AL5617">
        <v>92.590385198670901</v>
      </c>
      <c r="AM5617">
        <v>104.719980750237</v>
      </c>
      <c r="AN5617">
        <v>0.99999999336589596</v>
      </c>
    </row>
    <row r="5618" spans="1:40" x14ac:dyDescent="0.25">
      <c r="A5618" t="str">
        <f>"20190305135346234"</f>
        <v>20190305135346234</v>
      </c>
      <c r="B5618" t="str">
        <f>"1551765226225360"</f>
        <v>1551765226225360</v>
      </c>
      <c r="C5618" t="s">
        <v>40</v>
      </c>
      <c r="D5618">
        <v>4.6128939999999998</v>
      </c>
      <c r="E5618">
        <v>0.58596680000000001</v>
      </c>
      <c r="F5618" t="s">
        <v>41</v>
      </c>
      <c r="G5618">
        <v>-301.71710000000002</v>
      </c>
      <c r="H5618">
        <v>0.99627469999999996</v>
      </c>
      <c r="I5618">
        <v>-28.53698</v>
      </c>
      <c r="J5618">
        <v>-301.70429999999999</v>
      </c>
      <c r="K5618">
        <v>1.106598</v>
      </c>
      <c r="L5618">
        <v>-27.95618</v>
      </c>
      <c r="M5618">
        <v>-5.8000690000000001E-2</v>
      </c>
      <c r="N5618">
        <v>-9.7667440000000008E-3</v>
      </c>
      <c r="O5618">
        <v>-0.99826890000000001</v>
      </c>
      <c r="P5618">
        <v>0.20028989999999999</v>
      </c>
      <c r="Q5618">
        <v>-5.6110769999999997E-2</v>
      </c>
      <c r="R5618">
        <v>-0.97812900000000003</v>
      </c>
      <c r="S5618">
        <v>-0.1108398</v>
      </c>
      <c r="T5618">
        <v>-0.382658</v>
      </c>
      <c r="U5618">
        <v>-3.067383</v>
      </c>
      <c r="V5618">
        <v>-0.25693949999999999</v>
      </c>
      <c r="W5618">
        <v>-4.527656E-2</v>
      </c>
      <c r="X5618">
        <v>0.96536630000000001</v>
      </c>
      <c r="Y5618">
        <v>-2.213534E-2</v>
      </c>
      <c r="Z5618">
        <v>0.11373759999999999</v>
      </c>
      <c r="AA5618">
        <v>0.99326420000000004</v>
      </c>
      <c r="AB5618">
        <v>31</v>
      </c>
      <c r="AC5618">
        <v>-1.2800000000027E-2</v>
      </c>
      <c r="AD5618">
        <v>-0.1103233</v>
      </c>
      <c r="AE5618">
        <v>-0.58079999999999998</v>
      </c>
      <c r="AF5618">
        <v>-2.01821115721827E-2</v>
      </c>
      <c r="AG5618">
        <v>-0.1103233</v>
      </c>
      <c r="AH5618">
        <v>0.56035608068373499</v>
      </c>
      <c r="AI5618">
        <v>101.130944558686</v>
      </c>
      <c r="AJ5618">
        <v>92.062706625188497</v>
      </c>
      <c r="AK5618">
        <v>0.57146958388845004</v>
      </c>
      <c r="AL5618">
        <v>92.595042982945401</v>
      </c>
      <c r="AM5618">
        <v>104.90417848301099</v>
      </c>
      <c r="AN5618">
        <v>0.99999998336068596</v>
      </c>
    </row>
    <row r="5619" spans="1:40" x14ac:dyDescent="0.25">
      <c r="A5619" t="str">
        <f>"20190305135346257"</f>
        <v>20190305135346257</v>
      </c>
      <c r="B5619" t="str">
        <f>"1551765226245856"</f>
        <v>1551765226245856</v>
      </c>
      <c r="C5619" t="s">
        <v>40</v>
      </c>
      <c r="D5619">
        <v>4.6320540000000001</v>
      </c>
      <c r="E5619">
        <v>0.58416429999999997</v>
      </c>
      <c r="F5619" t="s">
        <v>41</v>
      </c>
      <c r="G5619">
        <v>-301.7294</v>
      </c>
      <c r="H5619">
        <v>1.004181</v>
      </c>
      <c r="I5619">
        <v>-28.822420000000001</v>
      </c>
      <c r="J5619">
        <v>-301.72539999999998</v>
      </c>
      <c r="K5619">
        <v>1.1065940000000001</v>
      </c>
      <c r="L5619">
        <v>-28.273099999999999</v>
      </c>
      <c r="M5619">
        <v>-6.0686919999999998E-2</v>
      </c>
      <c r="N5619">
        <v>-9.7716230000000001E-3</v>
      </c>
      <c r="O5619">
        <v>-0.99810900000000002</v>
      </c>
      <c r="P5619">
        <v>0.20101060000000001</v>
      </c>
      <c r="Q5619">
        <v>-5.5694250000000001E-2</v>
      </c>
      <c r="R5619">
        <v>-0.97800450000000005</v>
      </c>
      <c r="S5619">
        <v>-8.9019780000000007E-2</v>
      </c>
      <c r="T5619">
        <v>-0.36239640000000001</v>
      </c>
      <c r="U5619">
        <v>-3.064514</v>
      </c>
      <c r="V5619">
        <v>-0.26024540000000002</v>
      </c>
      <c r="W5619">
        <v>-4.4841850000000003E-2</v>
      </c>
      <c r="X5619">
        <v>0.96450069999999999</v>
      </c>
      <c r="Y5619">
        <v>-3.1829690000000001E-2</v>
      </c>
      <c r="Z5619">
        <v>0.1073587</v>
      </c>
      <c r="AA5619">
        <v>0.99371069999999995</v>
      </c>
      <c r="AB5619">
        <v>31</v>
      </c>
      <c r="AC5619">
        <v>-4.0000000000190898E-3</v>
      </c>
      <c r="AD5619">
        <v>-0.102413</v>
      </c>
      <c r="AE5619">
        <v>-0.54932000000000103</v>
      </c>
      <c r="AF5619">
        <v>-2.8359815896842101E-2</v>
      </c>
      <c r="AG5619">
        <v>-0.102413</v>
      </c>
      <c r="AH5619">
        <v>0.53012488556066495</v>
      </c>
      <c r="AI5619">
        <v>100.918841430638</v>
      </c>
      <c r="AJ5619">
        <v>93.062203596159193</v>
      </c>
      <c r="AK5619">
        <v>0.54067096835081696</v>
      </c>
      <c r="AL5619">
        <v>92.570110490672803</v>
      </c>
      <c r="AM5619">
        <v>105.100173785213</v>
      </c>
      <c r="AN5619">
        <v>1.0000000300165299</v>
      </c>
    </row>
    <row r="5620" spans="1:40" x14ac:dyDescent="0.25">
      <c r="A5620" t="str">
        <f>"20190305135346280"</f>
        <v>20190305135346280</v>
      </c>
      <c r="B5620" t="str">
        <f>"1551765226276114"</f>
        <v>1551765226276114</v>
      </c>
      <c r="C5620" t="s">
        <v>40</v>
      </c>
      <c r="D5620">
        <v>4.6538519999999997</v>
      </c>
      <c r="E5620">
        <v>0.58253469999999996</v>
      </c>
      <c r="F5620" t="s">
        <v>41</v>
      </c>
      <c r="G5620">
        <v>-301.74549999999999</v>
      </c>
      <c r="H5620">
        <v>1.007484</v>
      </c>
      <c r="I5620">
        <v>-29.105720000000002</v>
      </c>
      <c r="J5620">
        <v>-301.74720000000002</v>
      </c>
      <c r="K5620">
        <v>1.1066049999999901</v>
      </c>
      <c r="L5620">
        <v>-28.587160000000001</v>
      </c>
      <c r="M5620">
        <v>-6.3347849999999997E-2</v>
      </c>
      <c r="N5620">
        <v>-9.7764529999999992E-3</v>
      </c>
      <c r="O5620">
        <v>-0.99794380000000005</v>
      </c>
      <c r="P5620">
        <v>0.20095080000000001</v>
      </c>
      <c r="Q5620">
        <v>-5.3916520000000002E-2</v>
      </c>
      <c r="R5620">
        <v>-0.97811680000000001</v>
      </c>
      <c r="S5620">
        <v>-7.3425290000000004E-2</v>
      </c>
      <c r="T5620">
        <v>-0.36436560000000001</v>
      </c>
      <c r="U5620">
        <v>-3.061798</v>
      </c>
      <c r="V5620">
        <v>-0.26275300000000001</v>
      </c>
      <c r="W5620">
        <v>-4.3047580000000002E-2</v>
      </c>
      <c r="X5620">
        <v>0.96390240000000005</v>
      </c>
      <c r="Y5620">
        <v>-3.9522330000000001E-2</v>
      </c>
      <c r="Z5620">
        <v>0.108046</v>
      </c>
      <c r="AA5620">
        <v>0.99336000000000002</v>
      </c>
      <c r="AB5620">
        <v>31</v>
      </c>
      <c r="AC5620">
        <v>1.7000000000280101E-3</v>
      </c>
      <c r="AD5620">
        <v>-9.9120999999999806E-2</v>
      </c>
      <c r="AE5620">
        <v>-0.51856000000000402</v>
      </c>
      <c r="AF5620">
        <v>-3.3330042547435199E-2</v>
      </c>
      <c r="AG5620">
        <v>-9.9120999999999806E-2</v>
      </c>
      <c r="AH5620">
        <v>0.49917258935041398</v>
      </c>
      <c r="AI5620">
        <v>101.206841813715</v>
      </c>
      <c r="AJ5620">
        <v>93.820002157338493</v>
      </c>
      <c r="AK5620">
        <v>0.51000895907426103</v>
      </c>
      <c r="AL5620">
        <v>92.467206960946001</v>
      </c>
      <c r="AM5620">
        <v>105.24795521252599</v>
      </c>
      <c r="AN5620">
        <v>1.0000000349392999</v>
      </c>
    </row>
    <row r="5621" spans="1:40" x14ac:dyDescent="0.25">
      <c r="A5621" t="str">
        <f>"20190305135346302"</f>
        <v>20190305135346302</v>
      </c>
      <c r="B5621" t="str">
        <f>"1551765226295644"</f>
        <v>1551765226295644</v>
      </c>
      <c r="C5621" t="s">
        <v>40</v>
      </c>
      <c r="D5621">
        <v>4.6772159999999996</v>
      </c>
      <c r="E5621">
        <v>0.58144969999999996</v>
      </c>
      <c r="F5621" t="s">
        <v>41</v>
      </c>
      <c r="G5621">
        <v>-301.76310000000001</v>
      </c>
      <c r="H5621">
        <v>1.012359</v>
      </c>
      <c r="I5621">
        <v>-29.39002</v>
      </c>
      <c r="J5621">
        <v>-301.77050000000003</v>
      </c>
      <c r="K5621">
        <v>1.1066149999999999</v>
      </c>
      <c r="L5621">
        <v>-28.910740000000001</v>
      </c>
      <c r="M5621">
        <v>-6.608377E-2</v>
      </c>
      <c r="N5621">
        <v>-9.7813510000000006E-3</v>
      </c>
      <c r="O5621">
        <v>-0.99776629999999999</v>
      </c>
      <c r="P5621">
        <v>0.19879379999999999</v>
      </c>
      <c r="Q5621">
        <v>-5.29998E-2</v>
      </c>
      <c r="R5621">
        <v>-0.97860720000000001</v>
      </c>
      <c r="S5621">
        <v>-6.1035159999999998E-2</v>
      </c>
      <c r="T5621">
        <v>-0.35921110000000001</v>
      </c>
      <c r="U5621">
        <v>-3.0598749999999999</v>
      </c>
      <c r="V5621">
        <v>-0.26326929999999998</v>
      </c>
      <c r="W5621">
        <v>-4.212188E-2</v>
      </c>
      <c r="X5621">
        <v>0.96380239999999995</v>
      </c>
      <c r="Y5621">
        <v>-4.625903E-2</v>
      </c>
      <c r="Z5621">
        <v>0.10642459999999999</v>
      </c>
      <c r="AA5621">
        <v>0.99324409999999996</v>
      </c>
      <c r="AB5621">
        <v>31</v>
      </c>
      <c r="AC5621">
        <v>7.40000000001828E-3</v>
      </c>
      <c r="AD5621">
        <v>-9.4255999999999895E-2</v>
      </c>
      <c r="AE5621">
        <v>-0.47927999999999499</v>
      </c>
      <c r="AF5621">
        <v>-3.76039455925824E-2</v>
      </c>
      <c r="AG5621">
        <v>-9.4255999999999895E-2</v>
      </c>
      <c r="AH5621">
        <v>0.45995817397253402</v>
      </c>
      <c r="AI5621">
        <v>101.543416723314</v>
      </c>
      <c r="AJ5621">
        <v>94.673829914106705</v>
      </c>
      <c r="AK5621">
        <v>0.471019927459845</v>
      </c>
      <c r="AL5621">
        <v>92.414120132577594</v>
      </c>
      <c r="AM5621">
        <v>105.278029198995</v>
      </c>
      <c r="AN5621">
        <v>1.0000000216714899</v>
      </c>
    </row>
    <row r="5622" spans="1:40" x14ac:dyDescent="0.25">
      <c r="A5622" t="str">
        <f>"20190305135346325"</f>
        <v>20190305135346325</v>
      </c>
      <c r="B5622" t="str">
        <f>"1551765226316128"</f>
        <v>1551765226316128</v>
      </c>
      <c r="C5622" t="s">
        <v>40</v>
      </c>
      <c r="D5622">
        <v>4.5894849999999998</v>
      </c>
      <c r="E5622">
        <v>0.580322</v>
      </c>
      <c r="F5622" t="s">
        <v>41</v>
      </c>
      <c r="G5622">
        <v>-301.78559999999999</v>
      </c>
      <c r="H5622">
        <v>1.0170790000000001</v>
      </c>
      <c r="I5622">
        <v>-29.675640000000001</v>
      </c>
      <c r="J5622">
        <v>-301.79450000000003</v>
      </c>
      <c r="K5622">
        <v>1.1066419999999999</v>
      </c>
      <c r="L5622">
        <v>-29.2334</v>
      </c>
      <c r="M5622">
        <v>-6.8771319999999997E-2</v>
      </c>
      <c r="N5622">
        <v>-9.7856739999999994E-3</v>
      </c>
      <c r="O5622">
        <v>-0.99758449999999999</v>
      </c>
      <c r="P5622">
        <v>0.19575999999999999</v>
      </c>
      <c r="Q5622">
        <v>-5.1580859999999999E-2</v>
      </c>
      <c r="R5622">
        <v>-0.97929449999999996</v>
      </c>
      <c r="S5622">
        <v>-5.911255E-2</v>
      </c>
      <c r="T5622">
        <v>-0.35769770000000001</v>
      </c>
      <c r="U5622">
        <v>-3.0582280000000002</v>
      </c>
      <c r="V5622">
        <v>-0.26287430000000001</v>
      </c>
      <c r="W5622">
        <v>-4.0708069999999999E-2</v>
      </c>
      <c r="X5622">
        <v>0.96397089999999996</v>
      </c>
      <c r="Y5622">
        <v>-4.9560269999999997E-2</v>
      </c>
      <c r="Z5622">
        <v>0.1059586</v>
      </c>
      <c r="AA5622">
        <v>0.99313470000000004</v>
      </c>
      <c r="AB5622">
        <v>31</v>
      </c>
      <c r="AC5622">
        <v>8.9000000000396505E-3</v>
      </c>
      <c r="AD5622">
        <v>-8.9562999999999796E-2</v>
      </c>
      <c r="AE5622">
        <v>-0.44224000000000102</v>
      </c>
      <c r="AF5622">
        <v>-3.7746278755054798E-2</v>
      </c>
      <c r="AG5622">
        <v>-8.9562999999999796E-2</v>
      </c>
      <c r="AH5622">
        <v>0.42322912513274802</v>
      </c>
      <c r="AI5622">
        <v>101.90266290880599</v>
      </c>
      <c r="AJ5622">
        <v>95.096519475197397</v>
      </c>
      <c r="AK5622">
        <v>0.43424555828411798</v>
      </c>
      <c r="AL5622">
        <v>92.333045341726105</v>
      </c>
      <c r="AM5622">
        <v>105.25363303562401</v>
      </c>
      <c r="AN5622">
        <v>0.99999997030521204</v>
      </c>
    </row>
    <row r="5623" spans="1:40" x14ac:dyDescent="0.25">
      <c r="A5623" t="str">
        <f>"20190305135346349"</f>
        <v>20190305135346349</v>
      </c>
      <c r="B5623" t="str">
        <f>"1551765226345408"</f>
        <v>1551765226345408</v>
      </c>
      <c r="C5623" t="s">
        <v>40</v>
      </c>
      <c r="D5623">
        <v>4.8574310000000001</v>
      </c>
      <c r="E5623">
        <v>0.57948949999999999</v>
      </c>
      <c r="F5623" t="s">
        <v>41</v>
      </c>
      <c r="G5623">
        <v>-301.80869999999999</v>
      </c>
      <c r="H5623">
        <v>1.023309</v>
      </c>
      <c r="I5623">
        <v>-29.96491</v>
      </c>
      <c r="J5623">
        <v>-301.81979999999999</v>
      </c>
      <c r="K5623">
        <v>1.1067359999999999</v>
      </c>
      <c r="L5623">
        <v>-29.560759999999998</v>
      </c>
      <c r="M5623">
        <v>-7.135416E-2</v>
      </c>
      <c r="N5623">
        <v>-9.7882639999999996E-3</v>
      </c>
      <c r="O5623">
        <v>-0.99740320000000005</v>
      </c>
      <c r="P5623">
        <v>0.1930733</v>
      </c>
      <c r="Q5623">
        <v>-4.9475459999999999E-2</v>
      </c>
      <c r="R5623">
        <v>-0.97993649999999999</v>
      </c>
      <c r="S5623">
        <v>-5.9020999999999997E-2</v>
      </c>
      <c r="T5623">
        <v>-0.34819029999999901</v>
      </c>
      <c r="U5623">
        <v>-3.0568849999999999</v>
      </c>
      <c r="V5623">
        <v>-0.26271609999999901</v>
      </c>
      <c r="W5623">
        <v>-3.86436E-2</v>
      </c>
      <c r="X5623">
        <v>0.96409900000000004</v>
      </c>
      <c r="Y5623">
        <v>-5.2160539999999998E-2</v>
      </c>
      <c r="Z5623">
        <v>0.1029289</v>
      </c>
      <c r="AA5623">
        <v>0.99332019999999999</v>
      </c>
      <c r="AB5623">
        <v>32</v>
      </c>
      <c r="AC5623">
        <v>1.1099999999999E-2</v>
      </c>
      <c r="AD5623">
        <v>-8.3427000000000098E-2</v>
      </c>
      <c r="AE5623">
        <v>-0.40414999999999701</v>
      </c>
      <c r="AF5623">
        <v>-3.8280882837182E-2</v>
      </c>
      <c r="AG5623">
        <v>-8.3427000000000098E-2</v>
      </c>
      <c r="AH5623">
        <v>0.38589639422628702</v>
      </c>
      <c r="AI5623">
        <v>102.141230217551</v>
      </c>
      <c r="AJ5623">
        <v>95.665200953185405</v>
      </c>
      <c r="AK5623">
        <v>0.39666297709345599</v>
      </c>
      <c r="AL5623">
        <v>92.214666668092207</v>
      </c>
      <c r="AM5623">
        <v>105.242949198367</v>
      </c>
      <c r="AN5623">
        <v>0.99999997941058405</v>
      </c>
    </row>
    <row r="5624" spans="1:40" x14ac:dyDescent="0.25">
      <c r="A5624" t="str">
        <f>"20190305135346369"</f>
        <v>20190305135346369</v>
      </c>
      <c r="B5624" t="str">
        <f>"1551765226365905"</f>
        <v>1551765226365905</v>
      </c>
      <c r="C5624" t="s">
        <v>40</v>
      </c>
      <c r="D5624">
        <v>4.6128280000000004</v>
      </c>
      <c r="E5624">
        <v>0.57885390000000003</v>
      </c>
      <c r="F5624" t="s">
        <v>41</v>
      </c>
      <c r="G5624">
        <v>-301.83879999999999</v>
      </c>
      <c r="H5624">
        <v>1.0012989999999999</v>
      </c>
      <c r="I5624">
        <v>-30.51671</v>
      </c>
      <c r="J5624">
        <v>-301.8433</v>
      </c>
      <c r="K5624">
        <v>1.1068910000000001</v>
      </c>
      <c r="L5624">
        <v>-29.856349999999999</v>
      </c>
      <c r="M5624">
        <v>-7.3489879999999994E-2</v>
      </c>
      <c r="N5624">
        <v>-9.7889689999999998E-3</v>
      </c>
      <c r="O5624">
        <v>-0.99724800000000002</v>
      </c>
      <c r="P5624">
        <v>0.1913986</v>
      </c>
      <c r="Q5624">
        <v>-4.7852390000000002E-2</v>
      </c>
      <c r="R5624">
        <v>-0.98034549999999998</v>
      </c>
      <c r="S5624">
        <v>-6.045532E-2</v>
      </c>
      <c r="T5624">
        <v>-0.33710089999999998</v>
      </c>
      <c r="U5624">
        <v>-3.056305</v>
      </c>
      <c r="V5624">
        <v>-0.26311909999999999</v>
      </c>
      <c r="W5624">
        <v>-3.7099409999999999E-2</v>
      </c>
      <c r="X5624">
        <v>0.96404979999999996</v>
      </c>
      <c r="Y5624">
        <v>-5.3822139999999997E-2</v>
      </c>
      <c r="Z5624">
        <v>9.9370379999999994E-2</v>
      </c>
      <c r="AA5624">
        <v>0.99359379999999997</v>
      </c>
      <c r="AB5624">
        <v>32</v>
      </c>
      <c r="AC5624">
        <v>4.5000000000072699E-3</v>
      </c>
      <c r="AD5624">
        <v>-0.10559200000000001</v>
      </c>
      <c r="AE5624">
        <v>-0.66035999999999695</v>
      </c>
      <c r="AF5624">
        <v>-5.1698160642288202E-2</v>
      </c>
      <c r="AG5624">
        <v>-0.10559200000000001</v>
      </c>
      <c r="AH5624">
        <v>0.64183368705548205</v>
      </c>
      <c r="AI5624">
        <v>99.312764123639198</v>
      </c>
      <c r="AJ5624">
        <v>94.605095327334794</v>
      </c>
      <c r="AK5624">
        <v>0.65251272180473996</v>
      </c>
      <c r="AL5624">
        <v>92.1261274807663</v>
      </c>
      <c r="AM5624">
        <v>105.265984072588</v>
      </c>
      <c r="AN5624">
        <v>1.0000000219435901</v>
      </c>
    </row>
    <row r="5625" spans="1:40" x14ac:dyDescent="0.25">
      <c r="A5625" t="str">
        <f>"20190305135346391"</f>
        <v>20190305135346391</v>
      </c>
      <c r="B5625" t="str">
        <f>"1551765226385424"</f>
        <v>1551765226385424</v>
      </c>
      <c r="C5625" t="s">
        <v>40</v>
      </c>
      <c r="D5625">
        <v>4.5342840000000004</v>
      </c>
      <c r="E5625">
        <v>0.5783315</v>
      </c>
      <c r="F5625" t="s">
        <v>41</v>
      </c>
      <c r="G5625">
        <v>-301.86219999999997</v>
      </c>
      <c r="H5625">
        <v>1.0045959999999901</v>
      </c>
      <c r="I5625">
        <v>-30.80227</v>
      </c>
      <c r="J5625">
        <v>-301.86869999999999</v>
      </c>
      <c r="K5625">
        <v>1.1070879999999901</v>
      </c>
      <c r="L5625">
        <v>-30.1723</v>
      </c>
      <c r="M5625">
        <v>-7.5549069999999996E-2</v>
      </c>
      <c r="N5625">
        <v>-9.789051E-3</v>
      </c>
      <c r="O5625">
        <v>-0.99709429999999999</v>
      </c>
      <c r="P5625">
        <v>0.18938759999999999</v>
      </c>
      <c r="Q5625">
        <v>-4.4704279999999999E-2</v>
      </c>
      <c r="R5625">
        <v>-0.9808846</v>
      </c>
      <c r="S5625">
        <v>-6.0791020000000001E-2</v>
      </c>
      <c r="T5625">
        <v>-0.33040829999999999</v>
      </c>
      <c r="U5625">
        <v>-3.0558779999999999</v>
      </c>
      <c r="V5625">
        <v>-0.2631134</v>
      </c>
      <c r="W5625">
        <v>-3.4065310000000001E-2</v>
      </c>
      <c r="X5625">
        <v>0.96416329999999995</v>
      </c>
      <c r="Y5625">
        <v>-5.5767410000000003E-2</v>
      </c>
      <c r="Z5625">
        <v>9.7211809999999996E-2</v>
      </c>
      <c r="AA5625">
        <v>0.99370009999999998</v>
      </c>
      <c r="AB5625">
        <v>32</v>
      </c>
      <c r="AC5625">
        <v>6.5000000000168196E-3</v>
      </c>
      <c r="AD5625">
        <v>-0.102492</v>
      </c>
      <c r="AE5625">
        <v>-0.62997000000000003</v>
      </c>
      <c r="AF5625">
        <v>-5.26830105628378E-2</v>
      </c>
      <c r="AG5625">
        <v>-0.102492</v>
      </c>
      <c r="AH5625">
        <v>0.61149431578385505</v>
      </c>
      <c r="AI5625">
        <v>99.480372636001206</v>
      </c>
      <c r="AJ5625">
        <v>94.924132167745995</v>
      </c>
      <c r="AK5625">
        <v>0.622258312842769</v>
      </c>
      <c r="AL5625">
        <v>91.952176204402406</v>
      </c>
      <c r="AM5625">
        <v>105.263955572339</v>
      </c>
      <c r="AN5625">
        <v>0.99999998783592203</v>
      </c>
    </row>
    <row r="5626" spans="1:40" x14ac:dyDescent="0.25">
      <c r="A5626" t="str">
        <f>"20190305135346413"</f>
        <v>20190305135346413</v>
      </c>
      <c r="B5626" t="str">
        <f>"1551765226405920"</f>
        <v>1551765226405920</v>
      </c>
      <c r="C5626" t="s">
        <v>40</v>
      </c>
      <c r="D5626">
        <v>4.5273349999999999</v>
      </c>
      <c r="E5626">
        <v>0.57789899999999905</v>
      </c>
      <c r="F5626" t="s">
        <v>41</v>
      </c>
      <c r="G5626">
        <v>-301.8877</v>
      </c>
      <c r="H5626">
        <v>1.0106360000000001</v>
      </c>
      <c r="I5626">
        <v>-31.091439999999999</v>
      </c>
      <c r="J5626">
        <v>-301.89460000000003</v>
      </c>
      <c r="K5626">
        <v>1.1073230000000001</v>
      </c>
      <c r="L5626">
        <v>-30.489039999999999</v>
      </c>
      <c r="M5626">
        <v>-7.7259510000000003E-2</v>
      </c>
      <c r="N5626">
        <v>-9.7931749999999994E-3</v>
      </c>
      <c r="O5626">
        <v>-0.99696300000000004</v>
      </c>
      <c r="P5626">
        <v>0.18693940000000001</v>
      </c>
      <c r="Q5626">
        <v>-4.2250599999999999E-2</v>
      </c>
      <c r="R5626">
        <v>-0.98146250000000002</v>
      </c>
      <c r="S5626">
        <v>-6.2469480000000001E-2</v>
      </c>
      <c r="T5626">
        <v>-0.32063979999999997</v>
      </c>
      <c r="U5626">
        <v>-3.0559080000000001</v>
      </c>
      <c r="V5626">
        <v>-0.26233980000000001</v>
      </c>
      <c r="W5626">
        <v>-3.176644E-2</v>
      </c>
      <c r="X5626">
        <v>0.96445259999999999</v>
      </c>
      <c r="Y5626">
        <v>-5.6928869999999999E-2</v>
      </c>
      <c r="Z5626">
        <v>9.4052640000000007E-2</v>
      </c>
      <c r="AA5626">
        <v>0.99393819999999999</v>
      </c>
      <c r="AB5626">
        <v>32</v>
      </c>
      <c r="AC5626">
        <v>6.9000000000300999E-3</v>
      </c>
      <c r="AD5626">
        <v>-9.6686999999999898E-2</v>
      </c>
      <c r="AE5626">
        <v>-0.60239999999999905</v>
      </c>
      <c r="AF5626">
        <v>-5.20812315604397E-2</v>
      </c>
      <c r="AG5626">
        <v>-9.6686999999999898E-2</v>
      </c>
      <c r="AH5626">
        <v>0.58499787223922795</v>
      </c>
      <c r="AI5626">
        <v>99.3485453398999</v>
      </c>
      <c r="AJ5626">
        <v>95.087519742697694</v>
      </c>
      <c r="AK5626">
        <v>0.59521705383353696</v>
      </c>
      <c r="AL5626">
        <v>91.820389104377796</v>
      </c>
      <c r="AM5626">
        <v>105.216807554282</v>
      </c>
      <c r="AN5626">
        <v>1.00000004751053</v>
      </c>
    </row>
    <row r="5627" spans="1:40" x14ac:dyDescent="0.25">
      <c r="A5627" t="str">
        <f>"20190305135346435"</f>
        <v>20190305135346435</v>
      </c>
      <c r="B5627" t="str">
        <f>"1551765226425440"</f>
        <v>1551765226425440</v>
      </c>
      <c r="C5627" t="s">
        <v>40</v>
      </c>
      <c r="D5627">
        <v>4.5264470000000001</v>
      </c>
      <c r="E5627">
        <v>0.57735669999999994</v>
      </c>
      <c r="F5627" t="s">
        <v>81</v>
      </c>
      <c r="G5627">
        <v>-302.12580000000003</v>
      </c>
      <c r="H5627" s="1">
        <v>-8.7597180000000005E-7</v>
      </c>
      <c r="I5627">
        <v>-41.170929999999998</v>
      </c>
      <c r="J5627">
        <v>-301.9196</v>
      </c>
      <c r="K5627">
        <v>1.1076379999999999</v>
      </c>
      <c r="L5627">
        <v>-30.794560000000001</v>
      </c>
      <c r="M5627">
        <v>-7.8424679999999997E-2</v>
      </c>
      <c r="N5627">
        <v>-9.8250890000000004E-3</v>
      </c>
      <c r="O5627">
        <v>-0.99687179999999997</v>
      </c>
      <c r="P5627">
        <v>0.1824084</v>
      </c>
      <c r="Q5627">
        <v>-4.0161139999999998E-2</v>
      </c>
      <c r="R5627">
        <v>-0.98240260000000001</v>
      </c>
      <c r="S5627">
        <v>-6.6131590000000004E-2</v>
      </c>
      <c r="T5627">
        <v>-0.31675829999999999</v>
      </c>
      <c r="U5627">
        <v>-3.055634</v>
      </c>
      <c r="V5627">
        <v>-0.25899070000000002</v>
      </c>
      <c r="W5627">
        <v>-2.9858289999999999E-2</v>
      </c>
      <c r="X5627">
        <v>0.9654182</v>
      </c>
      <c r="Y5627">
        <v>-5.6900920000000001E-2</v>
      </c>
      <c r="Z5627">
        <v>9.2771110000000004E-2</v>
      </c>
      <c r="AA5627">
        <v>0.99406030000000001</v>
      </c>
      <c r="AB5627">
        <v>32</v>
      </c>
      <c r="AC5627">
        <v>-0.206200000000023</v>
      </c>
      <c r="AD5627">
        <v>-1.1076388759718001</v>
      </c>
      <c r="AE5627">
        <v>-10.37637</v>
      </c>
      <c r="AF5627">
        <v>-0.60138781422161203</v>
      </c>
      <c r="AG5627">
        <v>-1.1076388759718001</v>
      </c>
      <c r="AH5627">
        <v>10.243899303716301</v>
      </c>
      <c r="AI5627">
        <v>96.160701661188497</v>
      </c>
      <c r="AJ5627">
        <v>93.3598026374802</v>
      </c>
      <c r="AK5627">
        <v>10.3211435474631</v>
      </c>
      <c r="AL5627">
        <v>91.711008296119999</v>
      </c>
      <c r="AM5627">
        <v>105.01703528530901</v>
      </c>
      <c r="AN5627">
        <v>1.00000000052972</v>
      </c>
    </row>
    <row r="5628" spans="1:40" x14ac:dyDescent="0.25">
      <c r="A5628" t="str">
        <f>"20190305135346457"</f>
        <v>20190305135346457</v>
      </c>
      <c r="B5628" t="str">
        <f>"1551765226445937"</f>
        <v>1551765226445937</v>
      </c>
      <c r="C5628" t="s">
        <v>40</v>
      </c>
      <c r="D5628">
        <v>4.4368059999999998</v>
      </c>
      <c r="E5628">
        <v>0.57697140000000002</v>
      </c>
      <c r="F5628" t="s">
        <v>81</v>
      </c>
      <c r="G5628">
        <v>-302.18349999999998</v>
      </c>
      <c r="H5628" s="1">
        <v>-9.9832139999999995E-7</v>
      </c>
      <c r="I5628">
        <v>-41.45102</v>
      </c>
      <c r="J5628">
        <v>-301.94540000000001</v>
      </c>
      <c r="K5628">
        <v>1.10812</v>
      </c>
      <c r="L5628">
        <v>-31.111180000000001</v>
      </c>
      <c r="M5628">
        <v>-7.900306E-2</v>
      </c>
      <c r="N5628">
        <v>-9.9701149999999999E-3</v>
      </c>
      <c r="O5628">
        <v>-0.99682479999999996</v>
      </c>
      <c r="P5628">
        <v>0.17821960000000001</v>
      </c>
      <c r="Q5628">
        <v>-4.0346970000000003E-2</v>
      </c>
      <c r="R5628">
        <v>-0.98316349999999997</v>
      </c>
      <c r="S5628">
        <v>-7.5653079999999998E-2</v>
      </c>
      <c r="T5628">
        <v>-0.31751869999999999</v>
      </c>
      <c r="U5628">
        <v>-3.0548099999999998</v>
      </c>
      <c r="V5628">
        <v>-0.25540170000000001</v>
      </c>
      <c r="W5628">
        <v>-3.0188940000000001E-2</v>
      </c>
      <c r="X5628">
        <v>0.96636359999999999</v>
      </c>
      <c r="Y5628">
        <v>-5.4378780000000002E-2</v>
      </c>
      <c r="Z5628">
        <v>9.2895900000000003E-2</v>
      </c>
      <c r="AA5628">
        <v>0.99418980000000001</v>
      </c>
      <c r="AB5628">
        <v>32</v>
      </c>
      <c r="AC5628">
        <v>-0.238099999999974</v>
      </c>
      <c r="AD5628">
        <v>-1.10812099832139</v>
      </c>
      <c r="AE5628">
        <v>-10.339840000000001</v>
      </c>
      <c r="AF5628">
        <v>-0.57298615957467802</v>
      </c>
      <c r="AG5628">
        <v>-1.10812099832139</v>
      </c>
      <c r="AH5628">
        <v>10.209135851390901</v>
      </c>
      <c r="AI5628">
        <v>96.185094104971697</v>
      </c>
      <c r="AJ5628">
        <v>93.212346568002303</v>
      </c>
      <c r="AK5628">
        <v>10.2850717118618</v>
      </c>
      <c r="AL5628">
        <v>91.729961684189206</v>
      </c>
      <c r="AM5628">
        <v>104.804290820147</v>
      </c>
      <c r="AN5628">
        <v>1.0000000039330801</v>
      </c>
    </row>
    <row r="5629" spans="1:40" x14ac:dyDescent="0.25">
      <c r="A5629" t="str">
        <f>"20190305135346481"</f>
        <v>20190305135346481</v>
      </c>
      <c r="B5629" t="str">
        <f>"1551765226475216"</f>
        <v>1551765226475216</v>
      </c>
      <c r="C5629" t="s">
        <v>40</v>
      </c>
      <c r="D5629">
        <v>4.4725669999999997</v>
      </c>
      <c r="E5629">
        <v>0.57617189999999996</v>
      </c>
      <c r="F5629" t="s">
        <v>81</v>
      </c>
      <c r="G5629">
        <v>-302.23669999999998</v>
      </c>
      <c r="H5629" s="1">
        <v>-1.101434E-6</v>
      </c>
      <c r="I5629">
        <v>-41.619759999999999</v>
      </c>
      <c r="J5629">
        <v>-301.97120000000001</v>
      </c>
      <c r="K5629">
        <v>1.108776</v>
      </c>
      <c r="L5629">
        <v>-31.43591</v>
      </c>
      <c r="M5629">
        <v>-7.8826469999999996E-2</v>
      </c>
      <c r="N5629">
        <v>-1.0284410000000001E-2</v>
      </c>
      <c r="O5629">
        <v>-0.99683540000000004</v>
      </c>
      <c r="P5629">
        <v>0.17598420000000001</v>
      </c>
      <c r="Q5629">
        <v>-4.2107869999999999E-2</v>
      </c>
      <c r="R5629">
        <v>-0.98349219999999904</v>
      </c>
      <c r="S5629">
        <v>-8.4655759999999997E-2</v>
      </c>
      <c r="T5629">
        <v>-0.32198870000000002</v>
      </c>
      <c r="U5629">
        <v>-3.0534970000000001</v>
      </c>
      <c r="V5629">
        <v>-0.25298680000000001</v>
      </c>
      <c r="W5629">
        <v>-3.200339E-2</v>
      </c>
      <c r="X5629">
        <v>0.96694029999999997</v>
      </c>
      <c r="Y5629">
        <v>-5.1265650000000003E-2</v>
      </c>
      <c r="Z5629">
        <v>9.406871E-2</v>
      </c>
      <c r="AA5629">
        <v>0.99424489999999999</v>
      </c>
      <c r="AB5629">
        <v>32</v>
      </c>
      <c r="AC5629">
        <v>-0.26549999999997398</v>
      </c>
      <c r="AD5629">
        <v>-1.108777101434</v>
      </c>
      <c r="AE5629">
        <v>-10.18385</v>
      </c>
      <c r="AF5629">
        <v>-0.53182558184136897</v>
      </c>
      <c r="AG5629">
        <v>-1.108777101434</v>
      </c>
      <c r="AH5629">
        <v>10.0539887123131</v>
      </c>
      <c r="AI5629">
        <v>96.284564002454005</v>
      </c>
      <c r="AJ5629">
        <v>93.027951316693503</v>
      </c>
      <c r="AK5629">
        <v>10.128914756156499</v>
      </c>
      <c r="AL5629">
        <v>91.833972257320895</v>
      </c>
      <c r="AM5629">
        <v>104.662004346266</v>
      </c>
      <c r="AN5629">
        <v>1.0000000408549099</v>
      </c>
    </row>
    <row r="5630" spans="1:40" x14ac:dyDescent="0.25">
      <c r="A5630" t="str">
        <f>"20190305135346503"</f>
        <v>20190305135346503</v>
      </c>
      <c r="B5630" t="str">
        <f>"1551765226495716"</f>
        <v>1551765226495716</v>
      </c>
      <c r="C5630" t="s">
        <v>40</v>
      </c>
      <c r="D5630">
        <v>4.4578470000000001</v>
      </c>
      <c r="E5630">
        <v>0.57566709999999999</v>
      </c>
      <c r="F5630" t="s">
        <v>41</v>
      </c>
      <c r="G5630">
        <v>-301.99349999999998</v>
      </c>
      <c r="H5630">
        <v>1.0219309999999999</v>
      </c>
      <c r="I5630">
        <v>-32.232640000000004</v>
      </c>
      <c r="J5630">
        <v>-301.99599999999998</v>
      </c>
      <c r="K5630">
        <v>1.1095079999999999</v>
      </c>
      <c r="L5630">
        <v>-31.76099</v>
      </c>
      <c r="M5630">
        <v>-7.7776129999999999E-2</v>
      </c>
      <c r="N5630">
        <v>-1.0690170000000001E-2</v>
      </c>
      <c r="O5630">
        <v>-0.99691339999999995</v>
      </c>
      <c r="P5630">
        <v>0.1766267</v>
      </c>
      <c r="Q5630">
        <v>-4.4655970000000003E-2</v>
      </c>
      <c r="R5630">
        <v>-0.98326429999999998</v>
      </c>
      <c r="S5630">
        <v>-8.5662840000000004E-2</v>
      </c>
      <c r="T5630">
        <v>-0.33260849999999997</v>
      </c>
      <c r="U5630">
        <v>-3.051453</v>
      </c>
      <c r="V5630">
        <v>-0.25253680000000001</v>
      </c>
      <c r="W5630">
        <v>-3.4567929999999997E-2</v>
      </c>
      <c r="X5630">
        <v>0.96696959999999998</v>
      </c>
      <c r="Y5630">
        <v>-4.987432E-2</v>
      </c>
      <c r="Z5630">
        <v>9.7157030000000005E-2</v>
      </c>
      <c r="AA5630">
        <v>0.99401870000000003</v>
      </c>
      <c r="AB5630">
        <v>32</v>
      </c>
      <c r="AC5630">
        <v>2.4999999999977202E-3</v>
      </c>
      <c r="AD5630">
        <v>-8.7577000000000002E-2</v>
      </c>
      <c r="AE5630">
        <v>-0.47165000000000001</v>
      </c>
      <c r="AF5630">
        <v>-3.7871932171543998E-2</v>
      </c>
      <c r="AG5630">
        <v>-8.7577000000000002E-2</v>
      </c>
      <c r="AH5630">
        <v>0.45436170114225</v>
      </c>
      <c r="AI5630">
        <v>100.873013816739</v>
      </c>
      <c r="AJ5630">
        <v>94.764700785897702</v>
      </c>
      <c r="AK5630">
        <v>0.46427208578621798</v>
      </c>
      <c r="AL5630">
        <v>91.980991172740204</v>
      </c>
      <c r="AM5630">
        <v>104.63662075614801</v>
      </c>
      <c r="AN5630">
        <v>0.99999999223144198</v>
      </c>
    </row>
    <row r="5631" spans="1:40" x14ac:dyDescent="0.25">
      <c r="A5631" t="str">
        <f>"20190305135346524"</f>
        <v>20190305135346524</v>
      </c>
      <c r="B5631" t="str">
        <f>"1551765226516208"</f>
        <v>1551765226516208</v>
      </c>
      <c r="C5631" t="s">
        <v>40</v>
      </c>
      <c r="D5631">
        <v>4.3545610000000003</v>
      </c>
      <c r="E5631">
        <v>0.57565469999999996</v>
      </c>
      <c r="F5631" t="s">
        <v>81</v>
      </c>
      <c r="G5631">
        <v>-302.25619999999998</v>
      </c>
      <c r="H5631" s="1">
        <v>-1.136683E-6</v>
      </c>
      <c r="I5631">
        <v>-41.670940000000002</v>
      </c>
      <c r="J5631">
        <v>-302.0179</v>
      </c>
      <c r="K5631">
        <v>1.110209</v>
      </c>
      <c r="L5631">
        <v>-32.061680000000003</v>
      </c>
      <c r="M5631">
        <v>-7.5942430000000005E-2</v>
      </c>
      <c r="N5631">
        <v>-1.107767E-2</v>
      </c>
      <c r="O5631">
        <v>-0.99705080000000001</v>
      </c>
      <c r="P5631">
        <v>0.17936199999999999</v>
      </c>
      <c r="Q5631">
        <v>-4.7552459999999998E-2</v>
      </c>
      <c r="R5631">
        <v>-0.9826336</v>
      </c>
      <c r="S5631">
        <v>-8.0078129999999997E-2</v>
      </c>
      <c r="T5631">
        <v>-0.34146680000000001</v>
      </c>
      <c r="U5631">
        <v>-3.0499269999999998</v>
      </c>
      <c r="V5631">
        <v>-0.25337680000000001</v>
      </c>
      <c r="W5631">
        <v>-3.749599E-2</v>
      </c>
      <c r="X5631">
        <v>0.96664070000000002</v>
      </c>
      <c r="Y5631">
        <v>-4.9847019999999999E-2</v>
      </c>
      <c r="Z5631">
        <v>9.9690520000000005E-2</v>
      </c>
      <c r="AA5631">
        <v>0.99376909999999896</v>
      </c>
      <c r="AB5631">
        <v>32</v>
      </c>
      <c r="AC5631">
        <v>-0.238299999999981</v>
      </c>
      <c r="AD5631">
        <v>-1.1102101366829999</v>
      </c>
      <c r="AE5631">
        <v>-9.6092600000000008</v>
      </c>
      <c r="AF5631">
        <v>-0.48570407742773603</v>
      </c>
      <c r="AG5631">
        <v>-1.1102101366829999</v>
      </c>
      <c r="AH5631">
        <v>9.4732300866697994</v>
      </c>
      <c r="AI5631">
        <v>96.675568684960595</v>
      </c>
      <c r="AJ5631">
        <v>92.935054568797099</v>
      </c>
      <c r="AK5631">
        <v>9.5504221515810208</v>
      </c>
      <c r="AL5631">
        <v>92.148865714525897</v>
      </c>
      <c r="AM5631">
        <v>104.68798526366101</v>
      </c>
      <c r="AN5631">
        <v>0.99999999747040502</v>
      </c>
    </row>
    <row r="5632" spans="1:40" x14ac:dyDescent="0.25">
      <c r="A5632" t="str">
        <f>"20190305135346549"</f>
        <v>20190305135346549</v>
      </c>
      <c r="B5632" t="str">
        <f>"1551765226545489"</f>
        <v>1551765226545489</v>
      </c>
      <c r="C5632" t="s">
        <v>40</v>
      </c>
      <c r="D5632">
        <v>4.332395</v>
      </c>
      <c r="E5632">
        <v>0.57528699999999999</v>
      </c>
      <c r="F5632" t="s">
        <v>81</v>
      </c>
      <c r="G5632">
        <v>-302.25029999999998</v>
      </c>
      <c r="H5632" s="1">
        <v>-1.30377999999999E-6</v>
      </c>
      <c r="I5632">
        <v>-41.935119999999998</v>
      </c>
      <c r="J5632">
        <v>-302.04020000000003</v>
      </c>
      <c r="K5632">
        <v>1.1109910000000001</v>
      </c>
      <c r="L5632">
        <v>-32.391419999999997</v>
      </c>
      <c r="M5632">
        <v>-7.2903590000000004E-2</v>
      </c>
      <c r="N5632">
        <v>-1.1488679999999999E-2</v>
      </c>
      <c r="O5632">
        <v>-0.99727299999999997</v>
      </c>
      <c r="P5632">
        <v>0.18416869999999999</v>
      </c>
      <c r="Q5632">
        <v>-4.8224099999999999E-2</v>
      </c>
      <c r="R5632">
        <v>-0.981711</v>
      </c>
      <c r="S5632">
        <v>-7.1777339999999995E-2</v>
      </c>
      <c r="T5632">
        <v>-0.34290120000000002</v>
      </c>
      <c r="U5632">
        <v>-3.0495299999999999</v>
      </c>
      <c r="V5632">
        <v>-0.25509039999999999</v>
      </c>
      <c r="W5632">
        <v>-3.8231199999999903E-2</v>
      </c>
      <c r="X5632">
        <v>0.96616109999999999</v>
      </c>
      <c r="Y5632">
        <v>-4.9502570000000003E-2</v>
      </c>
      <c r="Z5632">
        <v>9.9796999999999997E-2</v>
      </c>
      <c r="AA5632">
        <v>0.99377570000000004</v>
      </c>
      <c r="AB5632">
        <v>32</v>
      </c>
      <c r="AC5632">
        <v>-0.21009999999995399</v>
      </c>
      <c r="AD5632">
        <v>-1.11099230377999</v>
      </c>
      <c r="AE5632">
        <v>-9.5436999999999905</v>
      </c>
      <c r="AF5632">
        <v>-0.479776382080145</v>
      </c>
      <c r="AG5632">
        <v>-1.11099230377999</v>
      </c>
      <c r="AH5632">
        <v>9.4062119707984095</v>
      </c>
      <c r="AI5632">
        <v>96.727480435122501</v>
      </c>
      <c r="AJ5632">
        <v>92.919917179099002</v>
      </c>
      <c r="AK5632">
        <v>9.4837393951674809</v>
      </c>
      <c r="AL5632">
        <v>92.191020359742893</v>
      </c>
      <c r="AM5632">
        <v>104.790000904699</v>
      </c>
      <c r="AN5632">
        <v>1.0000000039893999</v>
      </c>
    </row>
    <row r="5633" spans="1:40" x14ac:dyDescent="0.25">
      <c r="A5633" t="str">
        <f>"20190305135346569"</f>
        <v>20190305135346569</v>
      </c>
      <c r="B5633" t="str">
        <f>"1551765226565985"</f>
        <v>1551765226565985</v>
      </c>
      <c r="C5633" t="s">
        <v>40</v>
      </c>
      <c r="D5633">
        <v>4.2797330000000002</v>
      </c>
      <c r="E5633">
        <v>0.57514379999999998</v>
      </c>
      <c r="F5633" t="s">
        <v>41</v>
      </c>
      <c r="G5633">
        <v>-302.05689999999998</v>
      </c>
      <c r="H5633">
        <v>1.006151</v>
      </c>
      <c r="I5633">
        <v>-33.338230000000003</v>
      </c>
      <c r="J5633">
        <v>-302.05869999999999</v>
      </c>
      <c r="K5633">
        <v>1.111686</v>
      </c>
      <c r="L5633">
        <v>-32.688510000000001</v>
      </c>
      <c r="M5633">
        <v>-6.940433E-2</v>
      </c>
      <c r="N5633">
        <v>-1.184408E-2</v>
      </c>
      <c r="O5633">
        <v>-0.99751840000000003</v>
      </c>
      <c r="P5633">
        <v>0.1892433</v>
      </c>
      <c r="Q5633">
        <v>-4.7473929999999998E-2</v>
      </c>
      <c r="R5633">
        <v>-0.98078180000000004</v>
      </c>
      <c r="S5633">
        <v>-5.3833010000000001E-2</v>
      </c>
      <c r="T5633">
        <v>-0.33765709999999999</v>
      </c>
      <c r="U5633">
        <v>-3.0493769999999998</v>
      </c>
      <c r="V5633">
        <v>-0.25664599999999999</v>
      </c>
      <c r="W5633">
        <v>-3.7548980000000003E-2</v>
      </c>
      <c r="X5633">
        <v>0.96577579999999996</v>
      </c>
      <c r="Y5633">
        <v>-5.1836970000000003E-2</v>
      </c>
      <c r="Z5633">
        <v>9.7805069999999994E-2</v>
      </c>
      <c r="AA5633">
        <v>0.99385460000000003</v>
      </c>
      <c r="AB5633">
        <v>32</v>
      </c>
      <c r="AC5633">
        <v>1.8000000000029099E-3</v>
      </c>
      <c r="AD5633">
        <v>-0.105534999999999</v>
      </c>
      <c r="AE5633">
        <v>-0.64971999999999497</v>
      </c>
      <c r="AF5633">
        <v>-4.56868076106536E-2</v>
      </c>
      <c r="AG5633">
        <v>-0.105534999999999</v>
      </c>
      <c r="AH5633">
        <v>0.63137017693765296</v>
      </c>
      <c r="AI5633">
        <v>99.465096265611805</v>
      </c>
      <c r="AJ5633">
        <v>94.138787060541404</v>
      </c>
      <c r="AK5633">
        <v>0.64175791459158205</v>
      </c>
      <c r="AL5633">
        <v>92.151903961626203</v>
      </c>
      <c r="AM5633">
        <v>104.88187752687701</v>
      </c>
      <c r="AN5633">
        <v>0.99999999554034003</v>
      </c>
    </row>
    <row r="5634" spans="1:40" x14ac:dyDescent="0.25">
      <c r="A5634" t="str">
        <f>"20190305135346593"</f>
        <v>20190305135346593</v>
      </c>
      <c r="B5634" t="str">
        <f>"1551765226585505"</f>
        <v>1551765226585505</v>
      </c>
      <c r="C5634" t="s">
        <v>40</v>
      </c>
      <c r="D5634">
        <v>4.359165</v>
      </c>
      <c r="E5634">
        <v>0.5748489</v>
      </c>
      <c r="F5634" t="s">
        <v>41</v>
      </c>
      <c r="G5634">
        <v>-302.06990000000002</v>
      </c>
      <c r="H5634">
        <v>1.009566</v>
      </c>
      <c r="I5634">
        <v>-33.620330000000003</v>
      </c>
      <c r="J5634">
        <v>-302.07670000000002</v>
      </c>
      <c r="K5634">
        <v>1.1123700000000001</v>
      </c>
      <c r="L5634">
        <v>-33.009279999999997</v>
      </c>
      <c r="M5634">
        <v>-6.4925869999999997E-2</v>
      </c>
      <c r="N5634">
        <v>-1.22028E-2</v>
      </c>
      <c r="O5634">
        <v>-0.99781540000000002</v>
      </c>
      <c r="P5634">
        <v>0.19565199999999999</v>
      </c>
      <c r="Q5634">
        <v>-4.763908E-2</v>
      </c>
      <c r="R5634">
        <v>-0.97951560000000004</v>
      </c>
      <c r="S5634">
        <v>-3.6224369999999999E-2</v>
      </c>
      <c r="T5634">
        <v>-0.334433799999999</v>
      </c>
      <c r="U5634">
        <v>-3.0495909999999999</v>
      </c>
      <c r="V5634">
        <v>-0.25856689999999999</v>
      </c>
      <c r="W5634">
        <v>-3.7778800000000001E-2</v>
      </c>
      <c r="X5634">
        <v>0.96525439999999996</v>
      </c>
      <c r="Y5634">
        <v>-5.3089450000000003E-2</v>
      </c>
      <c r="Z5634">
        <v>9.6453209999999998E-2</v>
      </c>
      <c r="AA5634">
        <v>0.99392069999999999</v>
      </c>
      <c r="AB5634">
        <v>31</v>
      </c>
      <c r="AC5634">
        <v>6.7999999999983603E-3</v>
      </c>
      <c r="AD5634">
        <v>-0.10280400000000001</v>
      </c>
      <c r="AE5634">
        <v>-0.61104999999999798</v>
      </c>
      <c r="AF5634">
        <v>-4.5182809483696802E-2</v>
      </c>
      <c r="AG5634">
        <v>-0.10280400000000001</v>
      </c>
      <c r="AH5634">
        <v>0.59254886911753002</v>
      </c>
      <c r="AI5634">
        <v>99.814596625151296</v>
      </c>
      <c r="AJ5634">
        <v>94.360457887860093</v>
      </c>
      <c r="AK5634">
        <v>0.60309560683303198</v>
      </c>
      <c r="AL5634">
        <v>92.165080870165895</v>
      </c>
      <c r="AM5634">
        <v>104.99599929943101</v>
      </c>
      <c r="AN5634">
        <v>1.0000000681122001</v>
      </c>
    </row>
    <row r="5635" spans="1:40" x14ac:dyDescent="0.25">
      <c r="A5635" t="str">
        <f>"20190305135346614"</f>
        <v>20190305135346614</v>
      </c>
      <c r="B5635" t="str">
        <f>"1551765226606001"</f>
        <v>1551765226606001</v>
      </c>
      <c r="C5635" t="s">
        <v>40</v>
      </c>
      <c r="D5635">
        <v>4.3936869999999999</v>
      </c>
      <c r="E5635">
        <v>0.57425700000000002</v>
      </c>
      <c r="F5635" t="s">
        <v>41</v>
      </c>
      <c r="G5635">
        <v>-302.08069999999998</v>
      </c>
      <c r="H5635">
        <v>1.0145459999999999</v>
      </c>
      <c r="I5635">
        <v>-33.902970000000003</v>
      </c>
      <c r="J5635">
        <v>-302.09160000000003</v>
      </c>
      <c r="K5635">
        <v>1.1129610000000001</v>
      </c>
      <c r="L5635">
        <v>-33.309719999999999</v>
      </c>
      <c r="M5635">
        <v>-6.0121969999999997E-2</v>
      </c>
      <c r="N5635">
        <v>-1.250769E-2</v>
      </c>
      <c r="O5635">
        <v>-0.99811280000000002</v>
      </c>
      <c r="P5635">
        <v>0.20361000000000001</v>
      </c>
      <c r="Q5635">
        <v>-4.6637810000000002E-2</v>
      </c>
      <c r="R5635">
        <v>-0.9779409</v>
      </c>
      <c r="S5635">
        <v>-1.333618E-2</v>
      </c>
      <c r="T5635">
        <v>-0.33396300000000001</v>
      </c>
      <c r="U5635">
        <v>-3.0491640000000002</v>
      </c>
      <c r="V5635">
        <v>-0.26173150000000001</v>
      </c>
      <c r="W5635">
        <v>-3.6855409999999998E-2</v>
      </c>
      <c r="X5635">
        <v>0.96443679999999998</v>
      </c>
      <c r="Y5635">
        <v>-5.5737849999999999E-2</v>
      </c>
      <c r="Z5635">
        <v>9.6054849999999997E-2</v>
      </c>
      <c r="AA5635">
        <v>0.99381419999999998</v>
      </c>
      <c r="AB5635">
        <v>31</v>
      </c>
      <c r="AC5635">
        <v>1.09000000000492E-2</v>
      </c>
      <c r="AD5635">
        <v>-9.84150000000001E-2</v>
      </c>
      <c r="AE5635">
        <v>-0.59325000000000405</v>
      </c>
      <c r="AF5635">
        <v>-4.5304079933696402E-2</v>
      </c>
      <c r="AG5635">
        <v>-9.84150000000001E-2</v>
      </c>
      <c r="AH5635">
        <v>0.57568386004382899</v>
      </c>
      <c r="AI5635">
        <v>99.671782010299495</v>
      </c>
      <c r="AJ5635">
        <v>94.499681255774107</v>
      </c>
      <c r="AK5635">
        <v>0.58578996116236204</v>
      </c>
      <c r="AL5635">
        <v>92.112137746824104</v>
      </c>
      <c r="AM5635">
        <v>105.183391399857</v>
      </c>
      <c r="AN5635">
        <v>1.0000000202663699</v>
      </c>
    </row>
    <row r="5636" spans="1:40" x14ac:dyDescent="0.25">
      <c r="A5636" t="str">
        <f>"20190305135346636"</f>
        <v>20190305135346636</v>
      </c>
      <c r="B5636" t="str">
        <f>"1551765226625520"</f>
        <v>1551765226625520</v>
      </c>
      <c r="C5636" t="s">
        <v>40</v>
      </c>
      <c r="D5636">
        <v>4.3930230000000003</v>
      </c>
      <c r="E5636">
        <v>0.57397949999999998</v>
      </c>
      <c r="F5636" t="s">
        <v>81</v>
      </c>
      <c r="G5636">
        <v>-302.0376</v>
      </c>
      <c r="H5636" s="1">
        <v>-2.2726430000000002E-6</v>
      </c>
      <c r="I5636">
        <v>-43.505980000000001</v>
      </c>
      <c r="J5636">
        <v>-302.1046</v>
      </c>
      <c r="K5636">
        <v>1.1135170000000001</v>
      </c>
      <c r="L5636">
        <v>-33.614109999999997</v>
      </c>
      <c r="M5636">
        <v>-5.4663679999999999E-2</v>
      </c>
      <c r="N5636">
        <v>-1.2787720000000001E-2</v>
      </c>
      <c r="O5636">
        <v>-0.99842280000000005</v>
      </c>
      <c r="P5636">
        <v>0.21187349999999999</v>
      </c>
      <c r="Q5636">
        <v>-4.232238E-2</v>
      </c>
      <c r="R5636">
        <v>-0.97638040000000004</v>
      </c>
      <c r="S5636">
        <v>1.61438E-2</v>
      </c>
      <c r="T5636">
        <v>-0.33274870000000001</v>
      </c>
      <c r="U5636">
        <v>-3.0484309999999999</v>
      </c>
      <c r="V5636">
        <v>-0.26462279999999999</v>
      </c>
      <c r="W5636">
        <v>-3.2628789999999998E-2</v>
      </c>
      <c r="X5636">
        <v>0.96379979999999998</v>
      </c>
      <c r="Y5636">
        <v>-5.9884039999999999E-2</v>
      </c>
      <c r="Z5636">
        <v>9.5445550000000004E-2</v>
      </c>
      <c r="AA5636">
        <v>0.99363170000000001</v>
      </c>
      <c r="AB5636">
        <v>31</v>
      </c>
      <c r="AC5636">
        <v>6.7000000000007207E-2</v>
      </c>
      <c r="AD5636">
        <v>-1.1135192726430001</v>
      </c>
      <c r="AE5636">
        <v>-9.8918700000000008</v>
      </c>
      <c r="AF5636">
        <v>-0.60006653177941105</v>
      </c>
      <c r="AG5636">
        <v>-1.1135192726430001</v>
      </c>
      <c r="AH5636">
        <v>9.7498718522985897</v>
      </c>
      <c r="AI5636">
        <v>96.503241159908995</v>
      </c>
      <c r="AJ5636">
        <v>93.521889048011403</v>
      </c>
      <c r="AK5636">
        <v>9.8315820776390606</v>
      </c>
      <c r="AL5636">
        <v>91.869823914691693</v>
      </c>
      <c r="AM5636">
        <v>105.35291746477</v>
      </c>
      <c r="AN5636">
        <v>0.99999995934837105</v>
      </c>
    </row>
    <row r="5637" spans="1:40" x14ac:dyDescent="0.25">
      <c r="A5637" t="str">
        <f>"20190305135346659"</f>
        <v>20190305135346659</v>
      </c>
      <c r="B5637" t="str">
        <f>"1551765226655778"</f>
        <v>1551765226655778</v>
      </c>
      <c r="C5637" t="s">
        <v>40</v>
      </c>
      <c r="D5637">
        <v>4.4658410000000002</v>
      </c>
      <c r="E5637">
        <v>0.57354749999999999</v>
      </c>
      <c r="F5637" t="s">
        <v>81</v>
      </c>
      <c r="G5637">
        <v>-301.94920000000002</v>
      </c>
      <c r="H5637" s="1">
        <v>-2.7471790000000002E-6</v>
      </c>
      <c r="I5637">
        <v>-44.271900000000002</v>
      </c>
      <c r="J5637">
        <v>-302.11590000000001</v>
      </c>
      <c r="K5637">
        <v>1.1140509999999999</v>
      </c>
      <c r="L5637">
        <v>-33.931459999999902</v>
      </c>
      <c r="M5637">
        <v>-4.8370160000000002E-2</v>
      </c>
      <c r="N5637">
        <v>-1.3055020000000001E-2</v>
      </c>
      <c r="O5637">
        <v>-0.99874410000000002</v>
      </c>
      <c r="P5637">
        <v>0.21892700000000001</v>
      </c>
      <c r="Q5637">
        <v>-3.69827E-2</v>
      </c>
      <c r="R5637">
        <v>-0.97504009999999997</v>
      </c>
      <c r="S5637">
        <v>4.4464110000000001E-2</v>
      </c>
      <c r="T5637">
        <v>-0.31856830000000003</v>
      </c>
      <c r="U5637">
        <v>-3.0491030000000001</v>
      </c>
      <c r="V5637">
        <v>-0.26554840000000002</v>
      </c>
      <c r="W5637">
        <v>-2.737148E-2</v>
      </c>
      <c r="X5637">
        <v>0.96370889999999998</v>
      </c>
      <c r="Y5637">
        <v>-6.2824710000000006E-2</v>
      </c>
      <c r="Z5637">
        <v>9.0625670000000005E-2</v>
      </c>
      <c r="AA5637">
        <v>0.99390140000000005</v>
      </c>
      <c r="AB5637">
        <v>31</v>
      </c>
      <c r="AC5637">
        <v>0.16669999999999099</v>
      </c>
      <c r="AD5637">
        <v>-1.114053747179</v>
      </c>
      <c r="AE5637">
        <v>-10.340439999999999</v>
      </c>
      <c r="AF5637">
        <v>-0.65906816768044196</v>
      </c>
      <c r="AG5637">
        <v>-1.114053747179</v>
      </c>
      <c r="AH5637">
        <v>10.2018838483708</v>
      </c>
      <c r="AI5637">
        <v>96.219188044975496</v>
      </c>
      <c r="AJ5637">
        <v>93.696319543047693</v>
      </c>
      <c r="AK5637">
        <v>10.2836725276966</v>
      </c>
      <c r="AL5637">
        <v>91.568466177451</v>
      </c>
      <c r="AM5637">
        <v>105.405456497776</v>
      </c>
      <c r="AN5637">
        <v>0.99999999729958</v>
      </c>
    </row>
    <row r="5638" spans="1:40" x14ac:dyDescent="0.25">
      <c r="A5638" t="str">
        <f>"20190305135346683"</f>
        <v>20190305135346683</v>
      </c>
      <c r="B5638" t="str">
        <f>"1551765226675297"</f>
        <v>1551765226675297</v>
      </c>
      <c r="C5638" t="s">
        <v>40</v>
      </c>
      <c r="D5638">
        <v>4.3170260000000003</v>
      </c>
      <c r="E5638">
        <v>0.57330009999999998</v>
      </c>
      <c r="F5638" t="s">
        <v>81</v>
      </c>
      <c r="G5638">
        <v>-301.8571</v>
      </c>
      <c r="H5638" s="1">
        <v>-3.2521830000000001E-6</v>
      </c>
      <c r="I5638">
        <v>-45.086570000000002</v>
      </c>
      <c r="J5638">
        <v>-302.12459999999999</v>
      </c>
      <c r="K5638">
        <v>1.114552</v>
      </c>
      <c r="L5638">
        <v>-34.246459999999999</v>
      </c>
      <c r="M5638">
        <v>-4.1546100000000002E-2</v>
      </c>
      <c r="N5638">
        <v>-1.3298340000000001E-2</v>
      </c>
      <c r="O5638">
        <v>-0.99904820000000005</v>
      </c>
      <c r="P5638">
        <v>0.22487299999999999</v>
      </c>
      <c r="Q5638">
        <v>-3.311948E-2</v>
      </c>
      <c r="R5638">
        <v>-0.97382500000000005</v>
      </c>
      <c r="S5638">
        <v>7.0739750000000004E-2</v>
      </c>
      <c r="T5638">
        <v>-0.30453940000000002</v>
      </c>
      <c r="U5638">
        <v>-3.0493769999999998</v>
      </c>
      <c r="V5638">
        <v>-0.26486999999999999</v>
      </c>
      <c r="W5638">
        <v>-2.358058E-2</v>
      </c>
      <c r="X5638">
        <v>0.96399579999999996</v>
      </c>
      <c r="Y5638">
        <v>-6.4575900000000006E-2</v>
      </c>
      <c r="Z5638">
        <v>8.5881840000000001E-2</v>
      </c>
      <c r="AA5638">
        <v>0.99421040000000005</v>
      </c>
      <c r="AB5638">
        <v>31</v>
      </c>
      <c r="AC5638">
        <v>0.26749999999998397</v>
      </c>
      <c r="AD5638">
        <v>-1.114555252183</v>
      </c>
      <c r="AE5638">
        <v>-10.840109999999999</v>
      </c>
      <c r="AF5638">
        <v>-0.71017008598428299</v>
      </c>
      <c r="AG5638">
        <v>-1.114555252183</v>
      </c>
      <c r="AH5638">
        <v>10.7065194182938</v>
      </c>
      <c r="AI5638">
        <v>95.930180977342204</v>
      </c>
      <c r="AJ5638">
        <v>93.794905626202194</v>
      </c>
      <c r="AK5638">
        <v>10.7877770191777</v>
      </c>
      <c r="AL5638">
        <v>91.351192909985897</v>
      </c>
      <c r="AM5638">
        <v>105.36360521371201</v>
      </c>
      <c r="AN5638">
        <v>1.0000000315353801</v>
      </c>
    </row>
    <row r="5639" spans="1:40" x14ac:dyDescent="0.25">
      <c r="A5639" t="str">
        <f>"20190305135346704"</f>
        <v>20190305135346704</v>
      </c>
      <c r="B5639" t="str">
        <f>"1551765226695794"</f>
        <v>1551765226695794</v>
      </c>
      <c r="C5639" t="s">
        <v>40</v>
      </c>
      <c r="D5639">
        <v>4.3033349999999997</v>
      </c>
      <c r="E5639">
        <v>0.57314580000000004</v>
      </c>
      <c r="F5639" t="s">
        <v>81</v>
      </c>
      <c r="G5639">
        <v>-301.77319999999997</v>
      </c>
      <c r="H5639" s="1">
        <v>-3.6058249999999999E-6</v>
      </c>
      <c r="I5639">
        <v>-45.892069999999997</v>
      </c>
      <c r="J5639">
        <v>-302.13029999999998</v>
      </c>
      <c r="K5639">
        <v>1.115022</v>
      </c>
      <c r="L5639">
        <v>-34.552700000000002</v>
      </c>
      <c r="M5639">
        <v>-3.4364060000000002E-2</v>
      </c>
      <c r="N5639">
        <v>-1.351453E-2</v>
      </c>
      <c r="O5639">
        <v>-0.99931809999999999</v>
      </c>
      <c r="P5639">
        <v>0.2308791</v>
      </c>
      <c r="Q5639">
        <v>-3.2755180000000002E-2</v>
      </c>
      <c r="R5639">
        <v>-0.97243089999999999</v>
      </c>
      <c r="S5639">
        <v>9.2010499999999995E-2</v>
      </c>
      <c r="T5639">
        <v>-0.29185270000000002</v>
      </c>
      <c r="U5639">
        <v>-3.0494690000000002</v>
      </c>
      <c r="V5639">
        <v>-0.26387169999999999</v>
      </c>
      <c r="W5639">
        <v>-2.329376E-2</v>
      </c>
      <c r="X5639">
        <v>0.96427649999999998</v>
      </c>
      <c r="Y5639">
        <v>-6.4344390000000001E-2</v>
      </c>
      <c r="Z5639">
        <v>8.1597489999999995E-2</v>
      </c>
      <c r="AA5639">
        <v>0.99458619999999998</v>
      </c>
      <c r="AB5639">
        <v>31</v>
      </c>
      <c r="AC5639">
        <v>0.35710000000000203</v>
      </c>
      <c r="AD5639">
        <v>-1.1150256058250001</v>
      </c>
      <c r="AE5639">
        <v>-11.339370000000001</v>
      </c>
      <c r="AF5639">
        <v>-0.73944858061475505</v>
      </c>
      <c r="AG5639">
        <v>-1.1150256058250001</v>
      </c>
      <c r="AH5639">
        <v>11.2120941178372</v>
      </c>
      <c r="AI5639">
        <v>95.667073178416103</v>
      </c>
      <c r="AJ5639">
        <v>93.7732484453431</v>
      </c>
      <c r="AK5639">
        <v>11.291639420928099</v>
      </c>
      <c r="AL5639">
        <v>91.334754833838204</v>
      </c>
      <c r="AM5639">
        <v>105.30417367983399</v>
      </c>
      <c r="AN5639">
        <v>1.0000000208840301</v>
      </c>
    </row>
    <row r="5640" spans="1:40" x14ac:dyDescent="0.25">
      <c r="A5640" t="str">
        <f>"20190305135346728"</f>
        <v>20190305135346728</v>
      </c>
      <c r="B5640" t="str">
        <f>"1551765226726048"</f>
        <v>1551765226726048</v>
      </c>
      <c r="C5640" t="s">
        <v>40</v>
      </c>
      <c r="D5640">
        <v>4.5003650000000004</v>
      </c>
      <c r="E5640">
        <v>0.57290769999999902</v>
      </c>
      <c r="F5640" t="s">
        <v>81</v>
      </c>
      <c r="G5640">
        <v>-301.697</v>
      </c>
      <c r="H5640" s="1">
        <v>-3.7404120000000001E-6</v>
      </c>
      <c r="I5640">
        <v>-46.292140000000003</v>
      </c>
      <c r="J5640">
        <v>-302.13319999999999</v>
      </c>
      <c r="K5640">
        <v>1.1154949999999999</v>
      </c>
      <c r="L5640">
        <v>-34.885559999999998</v>
      </c>
      <c r="M5640">
        <v>-2.591473E-2</v>
      </c>
      <c r="N5640">
        <v>-1.37287999999999E-2</v>
      </c>
      <c r="O5640">
        <v>-0.99956999999999996</v>
      </c>
      <c r="P5640">
        <v>0.23889360000000001</v>
      </c>
      <c r="Q5640">
        <v>-3.501315E-2</v>
      </c>
      <c r="R5640">
        <v>-0.97041440000000001</v>
      </c>
      <c r="S5640">
        <v>0.1125183</v>
      </c>
      <c r="T5640">
        <v>-0.28955789999999998</v>
      </c>
      <c r="U5640">
        <v>-3.048584</v>
      </c>
      <c r="V5640">
        <v>-0.26361459999999998</v>
      </c>
      <c r="W5640">
        <v>-2.5659089999999999E-2</v>
      </c>
      <c r="X5640">
        <v>0.96428670000000005</v>
      </c>
      <c r="Y5640">
        <v>-6.2603270000000003E-2</v>
      </c>
      <c r="Z5640">
        <v>8.0700610000000006E-2</v>
      </c>
      <c r="AA5640">
        <v>0.9947705</v>
      </c>
      <c r="AB5640">
        <v>31</v>
      </c>
      <c r="AC5640">
        <v>0.43619999999998499</v>
      </c>
      <c r="AD5640">
        <v>-1.115498740412</v>
      </c>
      <c r="AE5640">
        <v>-11.40658</v>
      </c>
      <c r="AF5640">
        <v>-0.724758472370444</v>
      </c>
      <c r="AG5640">
        <v>-1.115498740412</v>
      </c>
      <c r="AH5640">
        <v>11.2836868457064</v>
      </c>
      <c r="AI5640">
        <v>95.634346924842404</v>
      </c>
      <c r="AJ5640">
        <v>93.675096399899999</v>
      </c>
      <c r="AK5640">
        <v>11.3618308874539</v>
      </c>
      <c r="AL5640">
        <v>91.470319017335697</v>
      </c>
      <c r="AM5640">
        <v>105.28980632939</v>
      </c>
      <c r="AN5640">
        <v>0.99999994301483697</v>
      </c>
    </row>
    <row r="5641" spans="1:40" x14ac:dyDescent="0.25">
      <c r="A5641" t="str">
        <f>"20190305135346751"</f>
        <v>20190305135346751</v>
      </c>
      <c r="B5641" t="str">
        <f>"1551765226745569"</f>
        <v>1551765226745569</v>
      </c>
      <c r="C5641" t="s">
        <v>40</v>
      </c>
      <c r="D5641">
        <v>4.4177429999999998</v>
      </c>
      <c r="E5641">
        <v>0.56262979999999996</v>
      </c>
      <c r="F5641" t="s">
        <v>81</v>
      </c>
      <c r="G5641">
        <v>-301.61329999999998</v>
      </c>
      <c r="H5641" s="1">
        <v>-3.6989409999999999E-6</v>
      </c>
      <c r="I5641">
        <v>-46.220300000000002</v>
      </c>
      <c r="J5641">
        <v>-302.13279999999997</v>
      </c>
      <c r="K5641">
        <v>1.115912</v>
      </c>
      <c r="L5641">
        <v>-35.202060000000003</v>
      </c>
      <c r="M5641">
        <v>-1.7325920000000002E-2</v>
      </c>
      <c r="N5641">
        <v>-1.391568E-2</v>
      </c>
      <c r="O5641">
        <v>-0.99975320000000001</v>
      </c>
      <c r="P5641">
        <v>0.24688850000000001</v>
      </c>
      <c r="Q5641">
        <v>-3.9177209999999997E-2</v>
      </c>
      <c r="R5641">
        <v>-0.968252</v>
      </c>
      <c r="S5641">
        <v>0.13974</v>
      </c>
      <c r="T5641">
        <v>-0.29979549999999999</v>
      </c>
      <c r="U5641">
        <v>-3.046265</v>
      </c>
      <c r="V5641">
        <v>-0.26318930000000001</v>
      </c>
      <c r="W5641">
        <v>-2.99204E-2</v>
      </c>
      <c r="X5641">
        <v>0.96428009999999997</v>
      </c>
      <c r="Y5641">
        <v>-6.2916059999999996E-2</v>
      </c>
      <c r="Z5641">
        <v>8.3907179999999998E-2</v>
      </c>
      <c r="AA5641">
        <v>0.99448539999999996</v>
      </c>
      <c r="AB5641">
        <v>31</v>
      </c>
      <c r="AC5641">
        <v>0.51949999999999297</v>
      </c>
      <c r="AD5641">
        <v>-1.115915698941</v>
      </c>
      <c r="AE5641">
        <v>-11.01824</v>
      </c>
      <c r="AF5641">
        <v>-0.70314514823340701</v>
      </c>
      <c r="AG5641">
        <v>-1.115915698941</v>
      </c>
      <c r="AH5641">
        <v>10.8960664330165</v>
      </c>
      <c r="AI5641">
        <v>95.835479775680994</v>
      </c>
      <c r="AJ5641">
        <v>93.692292546359795</v>
      </c>
      <c r="AK5641">
        <v>10.975606801418101</v>
      </c>
      <c r="AL5641">
        <v>91.714568572095601</v>
      </c>
      <c r="AM5641">
        <v>105.26639018610599</v>
      </c>
      <c r="AN5641">
        <v>0.99999997461332901</v>
      </c>
    </row>
    <row r="5642" spans="1:40" x14ac:dyDescent="0.25">
      <c r="A5642" t="str">
        <f>"20190305135346775"</f>
        <v>20190305135346775</v>
      </c>
      <c r="B5642" t="str">
        <f>"1551765226766065"</f>
        <v>1551765226766065</v>
      </c>
      <c r="C5642" t="s">
        <v>40</v>
      </c>
      <c r="D5642">
        <v>5.8854410000000001</v>
      </c>
      <c r="E5642">
        <v>0.56399569999999999</v>
      </c>
      <c r="F5642" t="s">
        <v>81</v>
      </c>
      <c r="G5642">
        <v>-301.42829999999998</v>
      </c>
      <c r="H5642" s="1">
        <v>-2.5399189999999999E-6</v>
      </c>
      <c r="I5642">
        <v>-44.059930000000001</v>
      </c>
      <c r="J5642">
        <v>-302.12889999999999</v>
      </c>
      <c r="K5642">
        <v>1.116301</v>
      </c>
      <c r="L5642">
        <v>-35.529789999999998</v>
      </c>
      <c r="M5642">
        <v>-7.9494449999999994E-3</v>
      </c>
      <c r="N5642">
        <v>-1.4090409999999999E-2</v>
      </c>
      <c r="O5642">
        <v>-0.99986900000000001</v>
      </c>
      <c r="P5642">
        <v>0.2569246</v>
      </c>
      <c r="Q5642">
        <v>-4.1850999999999999E-2</v>
      </c>
      <c r="R5642">
        <v>-0.96552490000000002</v>
      </c>
      <c r="S5642">
        <v>0.24029539999999999</v>
      </c>
      <c r="T5642">
        <v>-0.38067329999999999</v>
      </c>
      <c r="U5642">
        <v>-3.0216980000000002</v>
      </c>
      <c r="V5642">
        <v>-0.26408120000000002</v>
      </c>
      <c r="W5642">
        <v>-3.2705039999999998E-2</v>
      </c>
      <c r="X5642">
        <v>0.96394579999999996</v>
      </c>
      <c r="Y5642">
        <v>-8.6624309999999996E-2</v>
      </c>
      <c r="Z5642">
        <v>0.11056059999999999</v>
      </c>
      <c r="AA5642">
        <v>0.99008719999999995</v>
      </c>
      <c r="AB5642">
        <v>31</v>
      </c>
      <c r="AC5642">
        <v>0.70060000000000799</v>
      </c>
      <c r="AD5642">
        <v>-1.116303539919</v>
      </c>
      <c r="AE5642">
        <v>-8.5301399999999905</v>
      </c>
      <c r="AF5642">
        <v>-0.75554187687381702</v>
      </c>
      <c r="AG5642">
        <v>-1.116303539919</v>
      </c>
      <c r="AH5642">
        <v>8.3817182029632296</v>
      </c>
      <c r="AI5642">
        <v>97.555908375373804</v>
      </c>
      <c r="AJ5642">
        <v>95.150814976761197</v>
      </c>
      <c r="AK5642">
        <v>8.4894155956008497</v>
      </c>
      <c r="AL5642">
        <v>91.874194969895299</v>
      </c>
      <c r="AM5642">
        <v>105.32076147741</v>
      </c>
      <c r="AN5642">
        <v>1.0000000025862401</v>
      </c>
    </row>
    <row r="5643" spans="1:40" x14ac:dyDescent="0.25">
      <c r="A5643" t="str">
        <f>"20190305135346794"</f>
        <v>20190305135346794</v>
      </c>
      <c r="B5643" t="str">
        <f>"1551765226785584"</f>
        <v>1551765226785584</v>
      </c>
      <c r="C5643" t="s">
        <v>40</v>
      </c>
      <c r="D5643">
        <v>4.7022389999999996</v>
      </c>
      <c r="E5643">
        <v>0.69048699999999996</v>
      </c>
      <c r="F5643" t="s">
        <v>81</v>
      </c>
      <c r="G5643">
        <v>-301.322</v>
      </c>
      <c r="H5643" s="1">
        <v>-3.0023040000000001E-6</v>
      </c>
      <c r="I5643">
        <v>-44.810679999999998</v>
      </c>
      <c r="J5643">
        <v>-302.12349999999998</v>
      </c>
      <c r="K5643">
        <v>1.116574</v>
      </c>
      <c r="L5643">
        <v>-35.785519999999998</v>
      </c>
      <c r="M5643">
        <v>-2.9346940000000001E-4</v>
      </c>
      <c r="N5643">
        <v>-1.4212870000000001E-2</v>
      </c>
      <c r="O5643">
        <v>-0.99989899999999998</v>
      </c>
      <c r="P5643">
        <v>0.26614460000000001</v>
      </c>
      <c r="Q5643">
        <v>-4.215795E-2</v>
      </c>
      <c r="R5643">
        <v>-0.96301099999999995</v>
      </c>
      <c r="S5643">
        <v>0.26269530000000002</v>
      </c>
      <c r="T5643">
        <v>-0.36341990000000002</v>
      </c>
      <c r="U5643">
        <v>-3.0214539999999999</v>
      </c>
      <c r="V5643">
        <v>-0.26588899999999999</v>
      </c>
      <c r="W5643">
        <v>-3.3119059999999999E-2</v>
      </c>
      <c r="X5643">
        <v>0.96343460000000003</v>
      </c>
      <c r="Y5643">
        <v>-8.6349229999999999E-2</v>
      </c>
      <c r="Z5643">
        <v>0.10485129999999999</v>
      </c>
      <c r="AA5643">
        <v>0.9907321</v>
      </c>
      <c r="AB5643">
        <v>31</v>
      </c>
      <c r="AC5643">
        <v>0.80149999999997501</v>
      </c>
      <c r="AD5643">
        <v>-1.116577002304</v>
      </c>
      <c r="AE5643">
        <v>-9.0251599999999996</v>
      </c>
      <c r="AF5643">
        <v>-0.79211937258957799</v>
      </c>
      <c r="AG5643">
        <v>-1.116577002304</v>
      </c>
      <c r="AH5643">
        <v>8.88991821523196</v>
      </c>
      <c r="AI5643">
        <v>97.130924213846498</v>
      </c>
      <c r="AJ5643">
        <v>95.091785452603901</v>
      </c>
      <c r="AK5643">
        <v>8.9947119562562392</v>
      </c>
      <c r="AL5643">
        <v>91.897929373804303</v>
      </c>
      <c r="AM5643">
        <v>105.428457873296</v>
      </c>
      <c r="AN5643">
        <v>1.00000003046672</v>
      </c>
    </row>
    <row r="5644" spans="1:40" x14ac:dyDescent="0.25">
      <c r="A5644" t="str">
        <f>"20190305135346815"</f>
        <v>20190305135346815</v>
      </c>
      <c r="B5644" t="str">
        <f>"1551765226806081"</f>
        <v>1551765226806081</v>
      </c>
      <c r="C5644" t="s">
        <v>40</v>
      </c>
      <c r="D5644">
        <v>4.6229990000000001</v>
      </c>
      <c r="E5644">
        <v>0.70421639999999996</v>
      </c>
      <c r="F5644" t="s">
        <v>41</v>
      </c>
      <c r="G5644">
        <v>-302.3023</v>
      </c>
      <c r="H5644">
        <v>0.9135953</v>
      </c>
      <c r="I5644">
        <v>-36.610619999999997</v>
      </c>
      <c r="J5644">
        <v>-302.11450000000002</v>
      </c>
      <c r="K5644">
        <v>1.1168830000000001</v>
      </c>
      <c r="L5644">
        <v>-36.078220000000002</v>
      </c>
      <c r="M5644">
        <v>8.8467549999999995E-3</v>
      </c>
      <c r="N5644">
        <v>-1.434218E-2</v>
      </c>
      <c r="O5644">
        <v>-0.99985800000000002</v>
      </c>
      <c r="P5644">
        <v>0.27655829999999998</v>
      </c>
      <c r="Q5644">
        <v>-4.1011180000000001E-2</v>
      </c>
      <c r="R5644">
        <v>-0.96012180000000003</v>
      </c>
      <c r="S5644">
        <v>-0.70996090000000001</v>
      </c>
      <c r="T5644">
        <v>-0.80635310000000004</v>
      </c>
      <c r="U5644">
        <v>-3.2761230000000001</v>
      </c>
      <c r="V5644">
        <v>-0.26751160000000002</v>
      </c>
      <c r="W5644">
        <v>-3.2089279999999998E-2</v>
      </c>
      <c r="X5644">
        <v>0.96302010000000005</v>
      </c>
      <c r="Y5644">
        <v>0.21486169999999999</v>
      </c>
      <c r="Z5644">
        <v>0.21966279999999999</v>
      </c>
      <c r="AA5644">
        <v>0.9516211</v>
      </c>
      <c r="AB5644">
        <v>31</v>
      </c>
      <c r="AC5644">
        <v>-0.18779999999998101</v>
      </c>
      <c r="AD5644">
        <v>-0.20328769999999999</v>
      </c>
      <c r="AE5644">
        <v>-0.53240000000000198</v>
      </c>
      <c r="AF5644">
        <v>0.17040764437687</v>
      </c>
      <c r="AG5644">
        <v>-0.20328769999999999</v>
      </c>
      <c r="AH5644">
        <v>0.46980183275044302</v>
      </c>
      <c r="AI5644">
        <v>112.13535034877</v>
      </c>
      <c r="AJ5644">
        <v>70.063157962509294</v>
      </c>
      <c r="AK5644">
        <v>0.53951683596440203</v>
      </c>
      <c r="AL5644">
        <v>91.8388960958751</v>
      </c>
      <c r="AM5644">
        <v>105.524443321067</v>
      </c>
      <c r="AN5644">
        <v>0.99999994551474203</v>
      </c>
    </row>
    <row r="5645" spans="1:40" x14ac:dyDescent="0.25">
      <c r="A5645" t="str">
        <f>"20190305135346838"</f>
        <v>20190305135346838</v>
      </c>
      <c r="B5645" t="str">
        <f>"1551765226825601"</f>
        <v>1551765226825601</v>
      </c>
      <c r="C5645" t="s">
        <v>40</v>
      </c>
      <c r="D5645">
        <v>4.6164680000000002</v>
      </c>
      <c r="E5645">
        <v>0.70333480000000004</v>
      </c>
      <c r="F5645" t="s">
        <v>41</v>
      </c>
      <c r="G5645">
        <v>-302.3048</v>
      </c>
      <c r="H5645">
        <v>0.90458499999999997</v>
      </c>
      <c r="I5645">
        <v>-36.88205</v>
      </c>
      <c r="J5645">
        <v>-302.10169999999999</v>
      </c>
      <c r="K5645">
        <v>1.1171990000000001</v>
      </c>
      <c r="L5645">
        <v>-36.387419999999999</v>
      </c>
      <c r="M5645">
        <v>1.8918830000000001E-2</v>
      </c>
      <c r="N5645">
        <v>-1.4471060000000001E-2</v>
      </c>
      <c r="O5645">
        <v>-0.9997163</v>
      </c>
      <c r="P5645">
        <v>0.28659190000000001</v>
      </c>
      <c r="Q5645">
        <v>-3.8563449999999999E-2</v>
      </c>
      <c r="R5645">
        <v>-0.95727629999999997</v>
      </c>
      <c r="S5645">
        <v>-0.78399659999999904</v>
      </c>
      <c r="T5645">
        <v>-0.87568519999999905</v>
      </c>
      <c r="U5645">
        <v>-3.3130190000000002</v>
      </c>
      <c r="V5645">
        <v>-0.26791019999999999</v>
      </c>
      <c r="W5645">
        <v>-2.9739809999999998E-2</v>
      </c>
      <c r="X5645">
        <v>0.96298470000000003</v>
      </c>
      <c r="Y5645">
        <v>0.24175140000000001</v>
      </c>
      <c r="Z5645">
        <v>0.23441090000000001</v>
      </c>
      <c r="AA5645">
        <v>0.9415985</v>
      </c>
      <c r="AB5645">
        <v>31</v>
      </c>
      <c r="AC5645">
        <v>-0.203100000000006</v>
      </c>
      <c r="AD5645">
        <v>-0.212614</v>
      </c>
      <c r="AE5645">
        <v>-0.49463000000000001</v>
      </c>
      <c r="AF5645">
        <v>0.183421796837451</v>
      </c>
      <c r="AG5645">
        <v>-0.212614</v>
      </c>
      <c r="AH5645">
        <v>0.42370676335569002</v>
      </c>
      <c r="AI5645">
        <v>114.725979485887</v>
      </c>
      <c r="AJ5645">
        <v>66.592311595040201</v>
      </c>
      <c r="AK5645">
        <v>0.50830668878584895</v>
      </c>
      <c r="AL5645">
        <v>91.704216992985806</v>
      </c>
      <c r="AM5645">
        <v>105.547001047282</v>
      </c>
      <c r="AN5645">
        <v>0.99999993199848003</v>
      </c>
    </row>
    <row r="5646" spans="1:40" x14ac:dyDescent="0.25">
      <c r="A5646" t="str">
        <f>"20190305135346860"</f>
        <v>20190305135346860</v>
      </c>
      <c r="B5646" t="str">
        <f>"1551765226855856"</f>
        <v>1551765226855856</v>
      </c>
      <c r="C5646" t="s">
        <v>40</v>
      </c>
      <c r="D5646">
        <v>4.6238210000000004</v>
      </c>
      <c r="E5646">
        <v>0.7006365</v>
      </c>
      <c r="F5646" t="s">
        <v>41</v>
      </c>
      <c r="G5646">
        <v>-302.27420000000001</v>
      </c>
      <c r="H5646">
        <v>0.91430659999999997</v>
      </c>
      <c r="I5646">
        <v>-37.159520000000001</v>
      </c>
      <c r="J5646">
        <v>-302.08580000000001</v>
      </c>
      <c r="K5646">
        <v>1.1175010000000001</v>
      </c>
      <c r="L5646">
        <v>-36.690950000000001</v>
      </c>
      <c r="M5646">
        <v>2.919822E-2</v>
      </c>
      <c r="N5646">
        <v>-1.459074E-2</v>
      </c>
      <c r="O5646">
        <v>-0.9994672</v>
      </c>
      <c r="P5646">
        <v>0.29561539999999997</v>
      </c>
      <c r="Q5646">
        <v>-3.7619340000000001E-2</v>
      </c>
      <c r="R5646">
        <v>-0.95456600000000003</v>
      </c>
      <c r="S5646">
        <v>-0.74157709999999999</v>
      </c>
      <c r="T5646">
        <v>-0.87300730000000004</v>
      </c>
      <c r="U5646">
        <v>-3.3207399999999998</v>
      </c>
      <c r="V5646">
        <v>-0.26709509999999997</v>
      </c>
      <c r="W5646">
        <v>-2.8866289999999999E-2</v>
      </c>
      <c r="X5646">
        <v>0.96323780000000003</v>
      </c>
      <c r="Y5646">
        <v>0.2398486</v>
      </c>
      <c r="Z5646">
        <v>0.23333010000000001</v>
      </c>
      <c r="AA5646">
        <v>0.94235329999999995</v>
      </c>
      <c r="AB5646">
        <v>31</v>
      </c>
      <c r="AC5646">
        <v>-0.18840000000000101</v>
      </c>
      <c r="AD5646">
        <v>-0.2031944</v>
      </c>
      <c r="AE5646">
        <v>-0.46856999999999899</v>
      </c>
      <c r="AF5646">
        <v>0.17385828785061699</v>
      </c>
      <c r="AG5646">
        <v>-0.2031944</v>
      </c>
      <c r="AH5646">
        <v>0.398378939432802</v>
      </c>
      <c r="AI5646">
        <v>115.054914732973</v>
      </c>
      <c r="AJ5646">
        <v>66.422852710499996</v>
      </c>
      <c r="AK5646">
        <v>0.47981293003556402</v>
      </c>
      <c r="AL5646">
        <v>91.654146269817801</v>
      </c>
      <c r="AM5646">
        <v>105.498100816942</v>
      </c>
      <c r="AN5646">
        <v>1.0000000572456</v>
      </c>
    </row>
    <row r="5647" spans="1:40" x14ac:dyDescent="0.25">
      <c r="A5647" t="str">
        <f>"20190305135346893"</f>
        <v>20190305135346893</v>
      </c>
      <c r="B5647" t="str">
        <f>"1551765226886112"</f>
        <v>1551765226886112</v>
      </c>
      <c r="C5647" t="s">
        <v>40</v>
      </c>
      <c r="D5647">
        <v>4.6549170000000002</v>
      </c>
      <c r="E5647">
        <v>0.69931430000000006</v>
      </c>
      <c r="F5647" t="s">
        <v>41</v>
      </c>
      <c r="G5647">
        <v>-302.24029999999999</v>
      </c>
      <c r="H5647">
        <v>0.92273179999999999</v>
      </c>
      <c r="I5647">
        <v>-37.435659999999999</v>
      </c>
      <c r="J5647">
        <v>-302.05549999999999</v>
      </c>
      <c r="K5647">
        <v>1.1179030000000001</v>
      </c>
      <c r="L5647">
        <v>-37.142699999999998</v>
      </c>
      <c r="M5647">
        <v>4.5205809999999999E-2</v>
      </c>
      <c r="N5647">
        <v>-1.475429E-2</v>
      </c>
      <c r="O5647">
        <v>-0.9988688</v>
      </c>
      <c r="P5647">
        <v>0.307037</v>
      </c>
      <c r="Q5647">
        <v>-4.1517100000000001E-2</v>
      </c>
      <c r="R5647">
        <v>-0.95079170000000002</v>
      </c>
      <c r="S5647">
        <v>-0.68792719999999996</v>
      </c>
      <c r="T5647">
        <v>-0.86987519999999996</v>
      </c>
      <c r="U5647">
        <v>-3.321564</v>
      </c>
      <c r="V5647">
        <v>-0.26310899999999998</v>
      </c>
      <c r="W5647">
        <v>-3.279878E-2</v>
      </c>
      <c r="X5647">
        <v>0.96420839999999997</v>
      </c>
      <c r="Y5647">
        <v>0.24080850000000001</v>
      </c>
      <c r="Z5647">
        <v>0.23239179999999901</v>
      </c>
      <c r="AA5647">
        <v>0.94234039999999997</v>
      </c>
      <c r="AB5647">
        <v>31</v>
      </c>
      <c r="AC5647">
        <v>-0.184799999999995</v>
      </c>
      <c r="AD5647">
        <v>-0.19517119999999999</v>
      </c>
      <c r="AE5647">
        <v>-0.29296</v>
      </c>
      <c r="AF5647">
        <v>0.150176045727586</v>
      </c>
      <c r="AG5647">
        <v>-0.19517119999999999</v>
      </c>
      <c r="AH5647">
        <v>0.21579270534650499</v>
      </c>
      <c r="AI5647">
        <v>126.588803024412</v>
      </c>
      <c r="AJ5647">
        <v>55.164887422251702</v>
      </c>
      <c r="AK5647">
        <v>0.32743111290861998</v>
      </c>
      <c r="AL5647">
        <v>91.879568816284205</v>
      </c>
      <c r="AM5647">
        <v>105.263031576773</v>
      </c>
      <c r="AN5647">
        <v>0.99999997224052295</v>
      </c>
    </row>
    <row r="5648" spans="1:40" x14ac:dyDescent="0.25">
      <c r="A5648" t="str">
        <f>"20190305135346915"</f>
        <v>20190305135346915</v>
      </c>
      <c r="B5648" t="str">
        <f>"1551765226905632"</f>
        <v>1551765226905632</v>
      </c>
      <c r="C5648" t="s">
        <v>40</v>
      </c>
      <c r="D5648">
        <v>4.5549670000000004</v>
      </c>
      <c r="E5648">
        <v>0.69909100000000002</v>
      </c>
      <c r="F5648" t="s">
        <v>41</v>
      </c>
      <c r="G5648">
        <v>-302.21409999999997</v>
      </c>
      <c r="H5648">
        <v>0.89802959999999998</v>
      </c>
      <c r="I5648">
        <v>-37.97101</v>
      </c>
      <c r="J5648">
        <v>-302.03120000000001</v>
      </c>
      <c r="K5648">
        <v>1.1181490000000001</v>
      </c>
      <c r="L5648">
        <v>-37.439419999999998</v>
      </c>
      <c r="M5648">
        <v>5.612433E-2</v>
      </c>
      <c r="N5648">
        <v>-1.4852199999999999E-2</v>
      </c>
      <c r="O5648">
        <v>-0.99831329999999996</v>
      </c>
      <c r="P5648">
        <v>0.31345650000000003</v>
      </c>
      <c r="Q5648">
        <v>-4.4689060000000003E-2</v>
      </c>
      <c r="R5648">
        <v>-0.94855029999999996</v>
      </c>
      <c r="S5648">
        <v>-0.63610840000000002</v>
      </c>
      <c r="T5648">
        <v>-0.88226870000000002</v>
      </c>
      <c r="U5648">
        <v>-3.3221440000000002</v>
      </c>
      <c r="V5648">
        <v>-0.25900600000000001</v>
      </c>
      <c r="W5648">
        <v>-3.5942839999999997E-2</v>
      </c>
      <c r="X5648">
        <v>0.96520669999999997</v>
      </c>
      <c r="Y5648">
        <v>0.23706769999999999</v>
      </c>
      <c r="Z5648">
        <v>0.23580789999999999</v>
      </c>
      <c r="AA5648">
        <v>0.94244019999999995</v>
      </c>
      <c r="AB5648">
        <v>31</v>
      </c>
      <c r="AC5648">
        <v>-0.18289999999996001</v>
      </c>
      <c r="AD5648">
        <v>-0.22011939999999999</v>
      </c>
      <c r="AE5648">
        <v>-0.53159000000000101</v>
      </c>
      <c r="AF5648">
        <v>0.18420878565837401</v>
      </c>
      <c r="AG5648">
        <v>-0.22011939999999999</v>
      </c>
      <c r="AH5648">
        <v>0.45129675797582203</v>
      </c>
      <c r="AI5648">
        <v>114.30292914258099</v>
      </c>
      <c r="AJ5648">
        <v>67.795865533684804</v>
      </c>
      <c r="AK5648">
        <v>0.53484034134457403</v>
      </c>
      <c r="AL5648">
        <v>92.059816738239704</v>
      </c>
      <c r="AM5648">
        <v>105.02102441469501</v>
      </c>
      <c r="AN5648">
        <v>0.99999998475407703</v>
      </c>
    </row>
    <row r="5649" spans="1:40" x14ac:dyDescent="0.25">
      <c r="A5649" t="str">
        <f>"20190305135346938"</f>
        <v>20190305135346938</v>
      </c>
      <c r="B5649" t="str">
        <f>"1551765226926129"</f>
        <v>1551765226926129</v>
      </c>
      <c r="C5649" t="s">
        <v>40</v>
      </c>
      <c r="D5649">
        <v>4.5353770000000004</v>
      </c>
      <c r="E5649">
        <v>0.69931140000000003</v>
      </c>
      <c r="F5649" t="s">
        <v>41</v>
      </c>
      <c r="G5649">
        <v>-302.17899999999997</v>
      </c>
      <c r="H5649">
        <v>0.90255929999999995</v>
      </c>
      <c r="I5649">
        <v>-38.243679999999998</v>
      </c>
      <c r="J5649">
        <v>-302.00220000000002</v>
      </c>
      <c r="K5649">
        <v>1.118385</v>
      </c>
      <c r="L5649">
        <v>-37.74774</v>
      </c>
      <c r="M5649">
        <v>6.7766759999999995E-2</v>
      </c>
      <c r="N5649">
        <v>-1.494473E-2</v>
      </c>
      <c r="O5649">
        <v>-0.99758930000000001</v>
      </c>
      <c r="P5649">
        <v>0.32067220000000002</v>
      </c>
      <c r="Q5649">
        <v>-4.3928710000000003E-2</v>
      </c>
      <c r="R5649">
        <v>-0.94617119999999999</v>
      </c>
      <c r="S5649">
        <v>-0.61065669999999905</v>
      </c>
      <c r="T5649">
        <v>-0.89121890000000004</v>
      </c>
      <c r="U5649">
        <v>-3.32254</v>
      </c>
      <c r="V5649">
        <v>-0.25509399999999999</v>
      </c>
      <c r="W5649">
        <v>-3.514254E-2</v>
      </c>
      <c r="X5649">
        <v>0.96627739999999995</v>
      </c>
      <c r="Y5649">
        <v>0.24127199999999999</v>
      </c>
      <c r="Z5649">
        <v>0.237812</v>
      </c>
      <c r="AA5649">
        <v>0.94086840000000005</v>
      </c>
      <c r="AB5649">
        <v>31</v>
      </c>
      <c r="AC5649">
        <v>-0.176800000000014</v>
      </c>
      <c r="AD5649">
        <v>-0.21582569999999901</v>
      </c>
      <c r="AE5649">
        <v>-0.49593999999999699</v>
      </c>
      <c r="AF5649">
        <v>0.17979440301222899</v>
      </c>
      <c r="AG5649">
        <v>-0.21582569999999901</v>
      </c>
      <c r="AH5649">
        <v>0.41335981249043102</v>
      </c>
      <c r="AI5649">
        <v>115.584859395701</v>
      </c>
      <c r="AJ5649">
        <v>66.492954691363906</v>
      </c>
      <c r="AK5649">
        <v>0.49977304320775301</v>
      </c>
      <c r="AL5649">
        <v>92.013933942196104</v>
      </c>
      <c r="AM5649">
        <v>104.78849836914701</v>
      </c>
      <c r="AN5649">
        <v>0.99999998035220505</v>
      </c>
    </row>
    <row r="5650" spans="1:40" x14ac:dyDescent="0.25">
      <c r="A5650" t="str">
        <f>"20190305135346963"</f>
        <v>20190305135346963</v>
      </c>
      <c r="B5650" t="str">
        <f>"1551765226955408"</f>
        <v>1551765226955408</v>
      </c>
      <c r="C5650" t="s">
        <v>40</v>
      </c>
      <c r="D5650">
        <v>4.5379519999999998</v>
      </c>
      <c r="E5650">
        <v>0.69866219999999901</v>
      </c>
      <c r="F5650" t="s">
        <v>41</v>
      </c>
      <c r="G5650">
        <v>-302.13799999999998</v>
      </c>
      <c r="H5650">
        <v>0.91293100000000005</v>
      </c>
      <c r="I5650">
        <v>-38.51784</v>
      </c>
      <c r="J5650">
        <v>-301.96710000000002</v>
      </c>
      <c r="K5650">
        <v>1.1186179999999999</v>
      </c>
      <c r="L5650">
        <v>-38.076749999999997</v>
      </c>
      <c r="M5650">
        <v>8.0496189999999995E-2</v>
      </c>
      <c r="N5650">
        <v>-1.503351E-2</v>
      </c>
      <c r="O5650">
        <v>-0.99664149999999996</v>
      </c>
      <c r="P5650">
        <v>0.3283142</v>
      </c>
      <c r="Q5650">
        <v>-4.0190110000000001E-2</v>
      </c>
      <c r="R5650">
        <v>-0.94371340000000004</v>
      </c>
      <c r="S5650">
        <v>-0.58609009999999995</v>
      </c>
      <c r="T5650">
        <v>-0.8890768</v>
      </c>
      <c r="U5650">
        <v>-3.328033</v>
      </c>
      <c r="V5650">
        <v>-0.25062879999999998</v>
      </c>
      <c r="W5650">
        <v>-3.1336740000000002E-2</v>
      </c>
      <c r="X5650">
        <v>0.96757599999999999</v>
      </c>
      <c r="Y5650">
        <v>0.24667149999999999</v>
      </c>
      <c r="Z5650">
        <v>0.23637540000000001</v>
      </c>
      <c r="AA5650">
        <v>0.93982969999999999</v>
      </c>
      <c r="AB5650">
        <v>31</v>
      </c>
      <c r="AC5650">
        <v>-0.17089999999996</v>
      </c>
      <c r="AD5650">
        <v>-0.20568700000000001</v>
      </c>
      <c r="AE5650">
        <v>-0.44109000000000198</v>
      </c>
      <c r="AF5650">
        <v>0.173123342105095</v>
      </c>
      <c r="AG5650">
        <v>-0.20568700000000001</v>
      </c>
      <c r="AH5650">
        <v>0.35817974002945402</v>
      </c>
      <c r="AI5650">
        <v>117.340290962954</v>
      </c>
      <c r="AJ5650">
        <v>64.203567062521998</v>
      </c>
      <c r="AK5650">
        <v>0.44785216279281798</v>
      </c>
      <c r="AL5650">
        <v>91.795756838444106</v>
      </c>
      <c r="AM5650">
        <v>104.522012304996</v>
      </c>
      <c r="AN5650">
        <v>1.0000000512196301</v>
      </c>
    </row>
    <row r="5651" spans="1:40" x14ac:dyDescent="0.25">
      <c r="A5651" t="str">
        <f>"20190305135346983"</f>
        <v>20190305135346983</v>
      </c>
      <c r="B5651" t="str">
        <f>"1551765226975905"</f>
        <v>1551765226975905</v>
      </c>
      <c r="C5651" t="s">
        <v>40</v>
      </c>
      <c r="D5651">
        <v>4.5395110000000001</v>
      </c>
      <c r="E5651">
        <v>0.69843109999999997</v>
      </c>
      <c r="F5651" t="s">
        <v>41</v>
      </c>
      <c r="G5651">
        <v>-302.08580000000001</v>
      </c>
      <c r="H5651">
        <v>0.93086340000000001</v>
      </c>
      <c r="I5651">
        <v>-38.793599999999998</v>
      </c>
      <c r="J5651">
        <v>-301.9348</v>
      </c>
      <c r="K5651">
        <v>1.118779</v>
      </c>
      <c r="L5651">
        <v>-38.347079999999998</v>
      </c>
      <c r="M5651">
        <v>9.1172660000000003E-2</v>
      </c>
      <c r="N5651">
        <v>-1.5100010000000001E-2</v>
      </c>
      <c r="O5651">
        <v>-0.99572059999999996</v>
      </c>
      <c r="P5651">
        <v>0.333756</v>
      </c>
      <c r="Q5651">
        <v>-3.7007560000000002E-2</v>
      </c>
      <c r="R5651">
        <v>-0.94193289999999996</v>
      </c>
      <c r="S5651">
        <v>-0.55224609999999996</v>
      </c>
      <c r="T5651">
        <v>-0.8733784</v>
      </c>
      <c r="U5651">
        <v>-3.3338930000000002</v>
      </c>
      <c r="V5651">
        <v>-0.24589620000000001</v>
      </c>
      <c r="W5651">
        <v>-2.805672E-2</v>
      </c>
      <c r="X5651">
        <v>0.96889000000000003</v>
      </c>
      <c r="Y5651">
        <v>0.2476777</v>
      </c>
      <c r="Z5651">
        <v>0.2315547</v>
      </c>
      <c r="AA5651">
        <v>0.94076470000000001</v>
      </c>
      <c r="AB5651">
        <v>31</v>
      </c>
      <c r="AC5651">
        <v>-0.15100000000000999</v>
      </c>
      <c r="AD5651">
        <v>-0.18791559999999999</v>
      </c>
      <c r="AE5651">
        <v>-0.44651999999999897</v>
      </c>
      <c r="AF5651">
        <v>0.164880753295604</v>
      </c>
      <c r="AG5651">
        <v>-0.18791559999999999</v>
      </c>
      <c r="AH5651">
        <v>0.37179941880815198</v>
      </c>
      <c r="AI5651">
        <v>114.798254806144</v>
      </c>
      <c r="AJ5651">
        <v>66.084296265930107</v>
      </c>
      <c r="AK5651">
        <v>0.44803207849077697</v>
      </c>
      <c r="AL5651">
        <v>91.607742658335994</v>
      </c>
      <c r="AM5651">
        <v>104.24052719975199</v>
      </c>
      <c r="AN5651">
        <v>0.99999997640579896</v>
      </c>
    </row>
    <row r="5652" spans="1:40" x14ac:dyDescent="0.25">
      <c r="A5652" t="str">
        <f>"20190305135347005"</f>
        <v>20190305135347005</v>
      </c>
      <c r="B5652" t="str">
        <f>"1551765226995425"</f>
        <v>1551765226995425</v>
      </c>
      <c r="C5652" t="s">
        <v>40</v>
      </c>
      <c r="D5652">
        <v>4.4985439999999999</v>
      </c>
      <c r="E5652">
        <v>0.69785169999999996</v>
      </c>
      <c r="F5652" t="s">
        <v>41</v>
      </c>
      <c r="G5652">
        <v>-302.04899999999998</v>
      </c>
      <c r="H5652">
        <v>0.9344943</v>
      </c>
      <c r="I5652">
        <v>-39.064190000000004</v>
      </c>
      <c r="J5652">
        <v>-301.89659999999998</v>
      </c>
      <c r="K5652">
        <v>1.118927</v>
      </c>
      <c r="L5652">
        <v>-38.637790000000003</v>
      </c>
      <c r="M5652">
        <v>0.1028136</v>
      </c>
      <c r="N5652">
        <v>-1.516461E-2</v>
      </c>
      <c r="O5652">
        <v>-0.9945851</v>
      </c>
      <c r="P5652">
        <v>0.3411129</v>
      </c>
      <c r="Q5652">
        <v>-3.6384529999999998E-2</v>
      </c>
      <c r="R5652">
        <v>-0.93931779999999998</v>
      </c>
      <c r="S5652">
        <v>-0.53118900000000002</v>
      </c>
      <c r="T5652">
        <v>-0.85942450000000004</v>
      </c>
      <c r="U5652">
        <v>-3.3394170000000001</v>
      </c>
      <c r="V5652">
        <v>-0.24214569999999999</v>
      </c>
      <c r="W5652">
        <v>-2.7353860000000001E-2</v>
      </c>
      <c r="X5652">
        <v>0.9698542</v>
      </c>
      <c r="Y5652">
        <v>0.2531178</v>
      </c>
      <c r="Z5652">
        <v>0.22692309999999999</v>
      </c>
      <c r="AA5652">
        <v>0.94044530000000004</v>
      </c>
      <c r="AB5652">
        <v>31</v>
      </c>
      <c r="AC5652">
        <v>-0.15240000000005599</v>
      </c>
      <c r="AD5652">
        <v>-0.18443269999999901</v>
      </c>
      <c r="AE5652">
        <v>-0.426400000000001</v>
      </c>
      <c r="AF5652">
        <v>0.16762835835973799</v>
      </c>
      <c r="AG5652">
        <v>-0.18443269999999901</v>
      </c>
      <c r="AH5652">
        <v>0.35034842740329603</v>
      </c>
      <c r="AI5652">
        <v>115.401650577197</v>
      </c>
      <c r="AJ5652">
        <v>64.430663635535595</v>
      </c>
      <c r="AK5652">
        <v>0.42995198329538298</v>
      </c>
      <c r="AL5652">
        <v>91.567456288161793</v>
      </c>
      <c r="AM5652">
        <v>104.018569138891</v>
      </c>
      <c r="AN5652">
        <v>0.99999997147151398</v>
      </c>
    </row>
    <row r="5653" spans="1:40" x14ac:dyDescent="0.25">
      <c r="A5653" t="str">
        <f>"20190305135347028"</f>
        <v>20190305135347028</v>
      </c>
      <c r="B5653" t="str">
        <f>"1551765227015921"</f>
        <v>1551765227015921</v>
      </c>
      <c r="C5653" t="s">
        <v>40</v>
      </c>
      <c r="D5653">
        <v>4.4963129999999998</v>
      </c>
      <c r="E5653">
        <v>0.69716180000000005</v>
      </c>
      <c r="F5653" t="s">
        <v>41</v>
      </c>
      <c r="G5653">
        <v>-302.00119999999998</v>
      </c>
      <c r="H5653">
        <v>0.94141770000000002</v>
      </c>
      <c r="I5653">
        <v>-39.334440000000001</v>
      </c>
      <c r="J5653">
        <v>-301.85359999999997</v>
      </c>
      <c r="K5653">
        <v>1.1190329999999999</v>
      </c>
      <c r="L5653">
        <v>-38.934939999999997</v>
      </c>
      <c r="M5653">
        <v>0.1148623</v>
      </c>
      <c r="N5653">
        <v>-1.522162E-2</v>
      </c>
      <c r="O5653">
        <v>-0.99326490000000001</v>
      </c>
      <c r="P5653">
        <v>0.34957880000000002</v>
      </c>
      <c r="Q5653">
        <v>-3.7692249999999997E-2</v>
      </c>
      <c r="R5653">
        <v>-0.9361486</v>
      </c>
      <c r="S5653">
        <v>-0.50137330000000002</v>
      </c>
      <c r="T5653">
        <v>-0.85242079999999998</v>
      </c>
      <c r="U5653">
        <v>-3.3428650000000002</v>
      </c>
      <c r="V5653">
        <v>-0.2391141</v>
      </c>
      <c r="W5653">
        <v>-2.858981E-2</v>
      </c>
      <c r="X5653">
        <v>0.9705705</v>
      </c>
      <c r="Y5653">
        <v>0.2565596</v>
      </c>
      <c r="Z5653">
        <v>0.22432929999999901</v>
      </c>
      <c r="AA5653">
        <v>0.94013480000000005</v>
      </c>
      <c r="AB5653">
        <v>31</v>
      </c>
      <c r="AC5653">
        <v>-0.147600000000011</v>
      </c>
      <c r="AD5653">
        <v>-0.1776153</v>
      </c>
      <c r="AE5653">
        <v>-0.39949999999999602</v>
      </c>
      <c r="AF5653">
        <v>0.163993444177611</v>
      </c>
      <c r="AG5653">
        <v>-0.1776153</v>
      </c>
      <c r="AH5653">
        <v>0.32361546176413097</v>
      </c>
      <c r="AI5653">
        <v>116.085154728261</v>
      </c>
      <c r="AJ5653">
        <v>63.126203326830897</v>
      </c>
      <c r="AK5653">
        <v>0.40394060407458099</v>
      </c>
      <c r="AL5653">
        <v>91.638298665550906</v>
      </c>
      <c r="AM5653">
        <v>103.84002956839301</v>
      </c>
      <c r="AN5653">
        <v>1.00000001276244</v>
      </c>
    </row>
    <row r="5654" spans="1:40" x14ac:dyDescent="0.25">
      <c r="A5654" t="str">
        <f>"20190305135347051"</f>
        <v>20190305135347051</v>
      </c>
      <c r="B5654" t="str">
        <f>"1551765227046177"</f>
        <v>1551765227046177</v>
      </c>
      <c r="C5654" t="s">
        <v>40</v>
      </c>
      <c r="D5654">
        <v>4.4581080000000002</v>
      </c>
      <c r="E5654">
        <v>0.69623400000000002</v>
      </c>
      <c r="F5654" t="s">
        <v>41</v>
      </c>
      <c r="G5654">
        <v>-301.98360000000002</v>
      </c>
      <c r="H5654">
        <v>0.88266290000000003</v>
      </c>
      <c r="I5654">
        <v>-39.864179999999998</v>
      </c>
      <c r="J5654">
        <v>-301.80610000000001</v>
      </c>
      <c r="K5654">
        <v>1.1191089999999999</v>
      </c>
      <c r="L5654">
        <v>-39.236939999999997</v>
      </c>
      <c r="M5654">
        <v>0.12720590000000001</v>
      </c>
      <c r="N5654">
        <v>-1.527061E-2</v>
      </c>
      <c r="O5654">
        <v>-0.9917589</v>
      </c>
      <c r="P5654">
        <v>0.3581974</v>
      </c>
      <c r="Q5654">
        <v>-3.7509180000000003E-2</v>
      </c>
      <c r="R5654">
        <v>-0.93289250000000001</v>
      </c>
      <c r="S5654">
        <v>-0.46749879999999999</v>
      </c>
      <c r="T5654">
        <v>-0.85089110000000001</v>
      </c>
      <c r="U5654">
        <v>-3.3449399999999998</v>
      </c>
      <c r="V5654">
        <v>-0.23599490000000001</v>
      </c>
      <c r="W5654">
        <v>-2.8321010000000001E-2</v>
      </c>
      <c r="X5654">
        <v>0.97134149999999997</v>
      </c>
      <c r="Y5654">
        <v>0.25917000000000001</v>
      </c>
      <c r="Z5654">
        <v>0.2232596</v>
      </c>
      <c r="AA5654">
        <v>0.93967339999999999</v>
      </c>
      <c r="AB5654">
        <v>30</v>
      </c>
      <c r="AC5654">
        <v>-0.17750000000000901</v>
      </c>
      <c r="AD5654">
        <v>-0.23644609999999899</v>
      </c>
      <c r="AE5654">
        <v>-0.62723999999999303</v>
      </c>
      <c r="AF5654">
        <v>0.226107758250288</v>
      </c>
      <c r="AG5654">
        <v>-0.23644609999999899</v>
      </c>
      <c r="AH5654">
        <v>0.52985168199611798</v>
      </c>
      <c r="AI5654">
        <v>112.315212593646</v>
      </c>
      <c r="AJ5654">
        <v>66.890223703367496</v>
      </c>
      <c r="AK5654">
        <v>0.62271524909889298</v>
      </c>
      <c r="AL5654">
        <v>91.622891356443901</v>
      </c>
      <c r="AM5654">
        <v>103.655859804698</v>
      </c>
      <c r="AN5654">
        <v>0.99999999102783999</v>
      </c>
    </row>
    <row r="5655" spans="1:40" x14ac:dyDescent="0.25">
      <c r="A5655" t="str">
        <f>"20190305135347072"</f>
        <v>20190305135347072</v>
      </c>
      <c r="B5655" t="str">
        <f>"1551765227065697"</f>
        <v>1551765227065697</v>
      </c>
      <c r="C5655" t="s">
        <v>40</v>
      </c>
      <c r="D5655">
        <v>4.4751750000000001</v>
      </c>
      <c r="E5655">
        <v>0.69533469999999997</v>
      </c>
      <c r="F5655" t="s">
        <v>41</v>
      </c>
      <c r="G5655">
        <v>-301.91980000000001</v>
      </c>
      <c r="H5655">
        <v>0.89463749999999997</v>
      </c>
      <c r="I5655">
        <v>-40.122959999999999</v>
      </c>
      <c r="J5655">
        <v>-301.75599999999997</v>
      </c>
      <c r="K5655">
        <v>1.1191420000000001</v>
      </c>
      <c r="L5655">
        <v>-39.531619999999997</v>
      </c>
      <c r="M5655">
        <v>0.13931559999999901</v>
      </c>
      <c r="N5655">
        <v>-1.531062E-2</v>
      </c>
      <c r="O5655">
        <v>-0.99012979999999995</v>
      </c>
      <c r="P5655">
        <v>0.36572519999999997</v>
      </c>
      <c r="Q5655">
        <v>-3.8871700000000002E-2</v>
      </c>
      <c r="R5655">
        <v>-0.92991109999999999</v>
      </c>
      <c r="S5655">
        <v>-0.42858889999999999</v>
      </c>
      <c r="T5655">
        <v>-0.84929869999999996</v>
      </c>
      <c r="U5655">
        <v>-3.346222</v>
      </c>
      <c r="V5655">
        <v>-0.2319484</v>
      </c>
      <c r="W5655">
        <v>-2.9564460000000001E-2</v>
      </c>
      <c r="X5655">
        <v>0.97227870000000005</v>
      </c>
      <c r="Y5655">
        <v>0.26019150000000002</v>
      </c>
      <c r="Z5655">
        <v>0.22225800000000001</v>
      </c>
      <c r="AA5655">
        <v>0.93962849999999998</v>
      </c>
      <c r="AB5655">
        <v>30</v>
      </c>
      <c r="AC5655">
        <v>-0.163800000000037</v>
      </c>
      <c r="AD5655">
        <v>-0.2245045</v>
      </c>
      <c r="AE5655">
        <v>-0.59133999999999498</v>
      </c>
      <c r="AF5655">
        <v>0.21571757951336501</v>
      </c>
      <c r="AG5655">
        <v>-0.2245045</v>
      </c>
      <c r="AH5655">
        <v>0.496310364640346</v>
      </c>
      <c r="AI5655">
        <v>112.531368792544</v>
      </c>
      <c r="AJ5655">
        <v>66.508185873319604</v>
      </c>
      <c r="AK5655">
        <v>0.58588422293213205</v>
      </c>
      <c r="AL5655">
        <v>91.694165652511799</v>
      </c>
      <c r="AM5655">
        <v>103.41778425814999</v>
      </c>
      <c r="AN5655">
        <v>0.99999999401566997</v>
      </c>
    </row>
    <row r="5656" spans="1:40" x14ac:dyDescent="0.25">
      <c r="A5656" t="str">
        <f>"20190305135347094"</f>
        <v>20190305135347094</v>
      </c>
      <c r="B5656" t="str">
        <f>"1551765227086193"</f>
        <v>1551765227086193</v>
      </c>
      <c r="C5656" t="s">
        <v>40</v>
      </c>
      <c r="D5656">
        <v>4.4734319999999999</v>
      </c>
      <c r="E5656">
        <v>0.69580259999999905</v>
      </c>
      <c r="F5656" t="s">
        <v>41</v>
      </c>
      <c r="G5656">
        <v>-301.85640000000001</v>
      </c>
      <c r="H5656">
        <v>0.90009669999999897</v>
      </c>
      <c r="I5656">
        <v>-40.386960000000002</v>
      </c>
      <c r="J5656">
        <v>-301.70400000000001</v>
      </c>
      <c r="K5656">
        <v>1.1191489999999999</v>
      </c>
      <c r="L5656">
        <v>-39.81644</v>
      </c>
      <c r="M5656">
        <v>0.15104670000000001</v>
      </c>
      <c r="N5656">
        <v>-1.534253E-2</v>
      </c>
      <c r="O5656">
        <v>-0.98840779999999995</v>
      </c>
      <c r="P5656">
        <v>0.37242219999999998</v>
      </c>
      <c r="Q5656">
        <v>-4.1054960000000001E-2</v>
      </c>
      <c r="R5656">
        <v>-0.92715510000000001</v>
      </c>
      <c r="S5656">
        <v>-0.39239499999999999</v>
      </c>
      <c r="T5656">
        <v>-0.85708189999999995</v>
      </c>
      <c r="U5656">
        <v>-3.3446039999999999</v>
      </c>
      <c r="V5656">
        <v>-0.2273934</v>
      </c>
      <c r="W5656">
        <v>-3.1607070000000001E-2</v>
      </c>
      <c r="X5656">
        <v>0.97328990000000004</v>
      </c>
      <c r="Y5656">
        <v>0.26160369999999999</v>
      </c>
      <c r="Z5656">
        <v>0.22385279999999999</v>
      </c>
      <c r="AA5656">
        <v>0.93885750000000001</v>
      </c>
      <c r="AB5656">
        <v>30</v>
      </c>
      <c r="AC5656">
        <v>-0.15240000000000001</v>
      </c>
      <c r="AD5656">
        <v>-0.21905230000000001</v>
      </c>
      <c r="AE5656">
        <v>-0.57051999999999403</v>
      </c>
      <c r="AF5656">
        <v>0.20818935744596001</v>
      </c>
      <c r="AG5656">
        <v>-0.21905230000000001</v>
      </c>
      <c r="AH5656">
        <v>0.47551878693966498</v>
      </c>
      <c r="AI5656">
        <v>112.879152581341</v>
      </c>
      <c r="AJ5656">
        <v>66.355465308453404</v>
      </c>
      <c r="AK5656">
        <v>0.56342243070508202</v>
      </c>
      <c r="AL5656">
        <v>91.811253379761993</v>
      </c>
      <c r="AM5656">
        <v>103.150346805007</v>
      </c>
      <c r="AN5656">
        <v>0.99999999733977696</v>
      </c>
    </row>
    <row r="5657" spans="1:40" x14ac:dyDescent="0.25">
      <c r="A5657" t="str">
        <f>"20190305135347117"</f>
        <v>20190305135347117</v>
      </c>
      <c r="B5657" t="str">
        <f>"1551765227105714"</f>
        <v>1551765227105714</v>
      </c>
      <c r="C5657" t="s">
        <v>40</v>
      </c>
      <c r="D5657">
        <v>4.3980220000000001</v>
      </c>
      <c r="E5657">
        <v>0.72774209999999995</v>
      </c>
      <c r="F5657" t="s">
        <v>41</v>
      </c>
      <c r="G5657">
        <v>-301.79660000000001</v>
      </c>
      <c r="H5657">
        <v>0.9024179</v>
      </c>
      <c r="I5657">
        <v>-40.651020000000003</v>
      </c>
      <c r="J5657">
        <v>-301.64670000000001</v>
      </c>
      <c r="K5657">
        <v>1.119122</v>
      </c>
      <c r="L5657">
        <v>-40.110439999999997</v>
      </c>
      <c r="M5657">
        <v>0.16313920000000001</v>
      </c>
      <c r="N5657">
        <v>-1.536792E-2</v>
      </c>
      <c r="O5657">
        <v>-0.98648349999999996</v>
      </c>
      <c r="P5657">
        <v>0.38023810000000002</v>
      </c>
      <c r="Q5657">
        <v>-4.3542289999999997E-2</v>
      </c>
      <c r="R5657">
        <v>-0.9238632</v>
      </c>
      <c r="S5657">
        <v>-0.37091059999999998</v>
      </c>
      <c r="T5657">
        <v>-0.86950269999999996</v>
      </c>
      <c r="U5657">
        <v>-3.3461910000000001</v>
      </c>
      <c r="V5657">
        <v>-0.22365460000000001</v>
      </c>
      <c r="W5657">
        <v>-3.3966440000000001E-2</v>
      </c>
      <c r="X5657">
        <v>0.97407639999999995</v>
      </c>
      <c r="Y5657">
        <v>0.26730690000000001</v>
      </c>
      <c r="Z5657">
        <v>0.22614419999999999</v>
      </c>
      <c r="AA5657">
        <v>0.93669950000000002</v>
      </c>
      <c r="AB5657">
        <v>30</v>
      </c>
      <c r="AC5657">
        <v>-0.149900000000002</v>
      </c>
      <c r="AD5657">
        <v>-0.21670410000000001</v>
      </c>
      <c r="AE5657">
        <v>-0.54057999999999795</v>
      </c>
      <c r="AF5657">
        <v>0.205435389353475</v>
      </c>
      <c r="AG5657">
        <v>-0.21670410000000001</v>
      </c>
      <c r="AH5657">
        <v>0.44280158218691901</v>
      </c>
      <c r="AI5657">
        <v>113.93843951962999</v>
      </c>
      <c r="AJ5657">
        <v>65.111313238247305</v>
      </c>
      <c r="AK5657">
        <v>0.53407640590355898</v>
      </c>
      <c r="AL5657">
        <v>91.946508132772195</v>
      </c>
      <c r="AM5657">
        <v>102.931367813808</v>
      </c>
      <c r="AN5657">
        <v>0.99999996609219599</v>
      </c>
    </row>
    <row r="5658" spans="1:40" x14ac:dyDescent="0.25">
      <c r="A5658" t="str">
        <f>"20190305135347139"</f>
        <v>20190305135347139</v>
      </c>
      <c r="B5658" t="str">
        <f>"1551765227135969"</f>
        <v>1551765227135969</v>
      </c>
      <c r="C5658" t="s">
        <v>40</v>
      </c>
      <c r="D5658">
        <v>4.3870189999999996</v>
      </c>
      <c r="E5658">
        <v>0.72106479999999995</v>
      </c>
      <c r="F5658" t="s">
        <v>81</v>
      </c>
      <c r="G5658">
        <v>-302.30779999999999</v>
      </c>
      <c r="H5658" s="1">
        <v>-2.6236070000000002E-6</v>
      </c>
      <c r="I5658">
        <v>-43.998939999999997</v>
      </c>
      <c r="J5658">
        <v>-301.58519999999999</v>
      </c>
      <c r="K5658">
        <v>1.1190639999999901</v>
      </c>
      <c r="L5658">
        <v>-40.407139999999998</v>
      </c>
      <c r="M5658">
        <v>0.17527229999999999</v>
      </c>
      <c r="N5658">
        <v>-1.538465E-2</v>
      </c>
      <c r="O5658">
        <v>-0.98439980000000005</v>
      </c>
      <c r="P5658">
        <v>0.38894810000000002</v>
      </c>
      <c r="Q5658">
        <v>-4.5913509999999998E-2</v>
      </c>
      <c r="R5658">
        <v>-0.92011500000000002</v>
      </c>
      <c r="S5658">
        <v>-0.58505249999999998</v>
      </c>
      <c r="T5658">
        <v>-0.99043179999999997</v>
      </c>
      <c r="U5658">
        <v>-3.4413450000000001</v>
      </c>
      <c r="V5658">
        <v>-0.22083220000000001</v>
      </c>
      <c r="W5658">
        <v>-3.6223140000000001E-2</v>
      </c>
      <c r="X5658">
        <v>0.97463889999999997</v>
      </c>
      <c r="Y5658">
        <v>0.33165020000000001</v>
      </c>
      <c r="Z5658">
        <v>0.2455454</v>
      </c>
      <c r="AA5658">
        <v>0.91088729999999996</v>
      </c>
      <c r="AB5658">
        <v>30</v>
      </c>
      <c r="AC5658">
        <v>-0.72259999999999902</v>
      </c>
      <c r="AD5658">
        <v>-1.1190666236069999</v>
      </c>
      <c r="AE5658">
        <v>-3.5917999999999899</v>
      </c>
      <c r="AF5658">
        <v>1.22659439141021</v>
      </c>
      <c r="AG5658">
        <v>-1.1190666236069999</v>
      </c>
      <c r="AH5658">
        <v>3.1185728721041501</v>
      </c>
      <c r="AI5658">
        <v>108.466108949027</v>
      </c>
      <c r="AJ5658">
        <v>68.529336078570907</v>
      </c>
      <c r="AK5658">
        <v>3.5330356165391401</v>
      </c>
      <c r="AL5658">
        <v>92.075887218658707</v>
      </c>
      <c r="AM5658">
        <v>102.76643663310099</v>
      </c>
      <c r="AN5658">
        <v>0.99999998091075404</v>
      </c>
    </row>
    <row r="5659" spans="1:40" x14ac:dyDescent="0.25">
      <c r="A5659" t="str">
        <f>"20190305135347165"</f>
        <v>20190305135347165</v>
      </c>
      <c r="B5659" t="str">
        <f>"1551765227155490"</f>
        <v>1551765227155490</v>
      </c>
      <c r="C5659" t="s">
        <v>40</v>
      </c>
      <c r="D5659">
        <v>4.3729559999999896</v>
      </c>
      <c r="E5659">
        <v>0.71779409999999999</v>
      </c>
      <c r="F5659" t="s">
        <v>81</v>
      </c>
      <c r="G5659">
        <v>-302.16109999999998</v>
      </c>
      <c r="H5659" s="1">
        <v>-2.8066899999999999E-6</v>
      </c>
      <c r="I5659">
        <v>-44.319119999999998</v>
      </c>
      <c r="J5659">
        <v>-301.51519999999999</v>
      </c>
      <c r="K5659">
        <v>1.118965</v>
      </c>
      <c r="L5659">
        <v>-40.725679999999997</v>
      </c>
      <c r="M5659">
        <v>0.1881516</v>
      </c>
      <c r="N5659">
        <v>-1.5391760000000001E-2</v>
      </c>
      <c r="O5659">
        <v>-0.98201950000000005</v>
      </c>
      <c r="P5659">
        <v>0.3989047</v>
      </c>
      <c r="Q5659">
        <v>-4.8942409999999999E-2</v>
      </c>
      <c r="R5659">
        <v>-0.91568579999999999</v>
      </c>
      <c r="S5659">
        <v>-0.5041504</v>
      </c>
      <c r="T5659">
        <v>-0.97966869999999995</v>
      </c>
      <c r="U5659">
        <v>-3.4246829999999999</v>
      </c>
      <c r="V5659">
        <v>-0.21860370000000001</v>
      </c>
      <c r="W5659">
        <v>-3.9136480000000001E-2</v>
      </c>
      <c r="X5659">
        <v>0.97502860000000002</v>
      </c>
      <c r="Y5659">
        <v>0.32378430000000002</v>
      </c>
      <c r="Z5659">
        <v>0.24392520000000001</v>
      </c>
      <c r="AA5659">
        <v>0.91414669999999998</v>
      </c>
      <c r="AB5659">
        <v>30</v>
      </c>
      <c r="AC5659">
        <v>-0.64589999999998304</v>
      </c>
      <c r="AD5659">
        <v>-1.11896780669</v>
      </c>
      <c r="AE5659">
        <v>-3.5934400000000002</v>
      </c>
      <c r="AF5659">
        <v>1.1980225206064301</v>
      </c>
      <c r="AG5659">
        <v>-1.11896780669</v>
      </c>
      <c r="AH5659">
        <v>3.1151022398331301</v>
      </c>
      <c r="AI5659">
        <v>108.534656184631</v>
      </c>
      <c r="AJ5659">
        <v>68.9639907236363</v>
      </c>
      <c r="AK5659">
        <v>3.5201148954121102</v>
      </c>
      <c r="AL5659">
        <v>92.242927932293796</v>
      </c>
      <c r="AM5659">
        <v>102.636876074719</v>
      </c>
      <c r="AN5659">
        <v>1.00000000626922</v>
      </c>
    </row>
    <row r="5660" spans="1:40" x14ac:dyDescent="0.25">
      <c r="A5660" t="str">
        <f>"20190305135347185"</f>
        <v>20190305135347185</v>
      </c>
      <c r="B5660" t="str">
        <f>"1551765227175942"</f>
        <v>1551765227175942</v>
      </c>
      <c r="C5660" t="s">
        <v>40</v>
      </c>
      <c r="D5660">
        <v>4.3830929999999997</v>
      </c>
      <c r="E5660">
        <v>0.71463290000000002</v>
      </c>
      <c r="F5660" t="s">
        <v>41</v>
      </c>
      <c r="G5660">
        <v>-301.60820000000001</v>
      </c>
      <c r="H5660">
        <v>0.91408590000000001</v>
      </c>
      <c r="I5660">
        <v>-41.440950000000001</v>
      </c>
      <c r="J5660">
        <v>-301.45100000000002</v>
      </c>
      <c r="K5660">
        <v>1.118825</v>
      </c>
      <c r="L5660">
        <v>-41.00177</v>
      </c>
      <c r="M5660">
        <v>0.19911760000000001</v>
      </c>
      <c r="N5660">
        <v>-1.538728E-2</v>
      </c>
      <c r="O5660">
        <v>-0.97985489999999997</v>
      </c>
      <c r="P5660">
        <v>0.40701159999999997</v>
      </c>
      <c r="Q5660">
        <v>-5.0612169999999998E-2</v>
      </c>
      <c r="R5660">
        <v>-0.91201969999999999</v>
      </c>
      <c r="S5660">
        <v>-0.44400020000000001</v>
      </c>
      <c r="T5660">
        <v>-0.97922370000000003</v>
      </c>
      <c r="U5660">
        <v>-3.417297</v>
      </c>
      <c r="V5660">
        <v>-0.21634610000000001</v>
      </c>
      <c r="W5660">
        <v>-4.0679809999999997E-2</v>
      </c>
      <c r="X5660">
        <v>0.97546889999999997</v>
      </c>
      <c r="Y5660">
        <v>0.31882929999999998</v>
      </c>
      <c r="Z5660">
        <v>0.24399119999999999</v>
      </c>
      <c r="AA5660">
        <v>0.91586909999999999</v>
      </c>
      <c r="AB5660">
        <v>30</v>
      </c>
      <c r="AC5660">
        <v>-0.157200000000045</v>
      </c>
      <c r="AD5660">
        <v>-0.20473909999999901</v>
      </c>
      <c r="AE5660">
        <v>-0.43918000000000001</v>
      </c>
      <c r="AF5660">
        <v>0.202499442687196</v>
      </c>
      <c r="AG5660">
        <v>-0.20473909999999901</v>
      </c>
      <c r="AH5660">
        <v>0.33461603029327402</v>
      </c>
      <c r="AI5660">
        <v>117.63072487705401</v>
      </c>
      <c r="AJ5660">
        <v>58.818949545558901</v>
      </c>
      <c r="AK5660">
        <v>0.44146575301677099</v>
      </c>
      <c r="AL5660">
        <v>92.3314246850926</v>
      </c>
      <c r="AM5660">
        <v>102.505030233227</v>
      </c>
      <c r="AN5660">
        <v>1.0000000283970201</v>
      </c>
    </row>
    <row r="5661" spans="1:40" x14ac:dyDescent="0.25">
      <c r="A5661" t="str">
        <f>"20190305135347207"</f>
        <v>20190305135347207</v>
      </c>
      <c r="B5661" t="str">
        <f>"1551765227195449"</f>
        <v>1551765227195449</v>
      </c>
      <c r="C5661" t="s">
        <v>40</v>
      </c>
      <c r="D5661">
        <v>4.3705179999999997</v>
      </c>
      <c r="E5661">
        <v>0.71286380000000005</v>
      </c>
      <c r="F5661" t="s">
        <v>81</v>
      </c>
      <c r="G5661">
        <v>-301.89940000000001</v>
      </c>
      <c r="H5661" s="1">
        <v>-3.14916E-6</v>
      </c>
      <c r="I5661">
        <v>-44.915239999999997</v>
      </c>
      <c r="J5661">
        <v>-301.3845</v>
      </c>
      <c r="K5661">
        <v>1.1186640000000001</v>
      </c>
      <c r="L5661">
        <v>-41.27411</v>
      </c>
      <c r="M5661">
        <v>0.20969199999999999</v>
      </c>
      <c r="N5661">
        <v>-1.5372790000000001E-2</v>
      </c>
      <c r="O5661">
        <v>-0.97764660000000003</v>
      </c>
      <c r="P5661">
        <v>0.41546850000000002</v>
      </c>
      <c r="Q5661">
        <v>-4.9263649999999999E-2</v>
      </c>
      <c r="R5661">
        <v>-0.90827259999999999</v>
      </c>
      <c r="S5661">
        <v>-0.39065549999999999</v>
      </c>
      <c r="T5661">
        <v>-0.97478710000000002</v>
      </c>
      <c r="U5661">
        <v>-3.409637</v>
      </c>
      <c r="V5661">
        <v>-0.21490580000000001</v>
      </c>
      <c r="W5661">
        <v>-3.9210120000000001E-2</v>
      </c>
      <c r="X5661">
        <v>0.97584740000000003</v>
      </c>
      <c r="Y5661">
        <v>0.31522420000000001</v>
      </c>
      <c r="Z5661">
        <v>0.24296090000000001</v>
      </c>
      <c r="AA5661">
        <v>0.91738960000000003</v>
      </c>
      <c r="AB5661">
        <v>30</v>
      </c>
      <c r="AC5661">
        <v>-0.51490000000001102</v>
      </c>
      <c r="AD5661">
        <v>-1.11866714916</v>
      </c>
      <c r="AE5661">
        <v>-3.64113</v>
      </c>
      <c r="AF5661">
        <v>1.15973385607792</v>
      </c>
      <c r="AG5661">
        <v>-1.11866714916</v>
      </c>
      <c r="AH5661">
        <v>3.1597702986023699</v>
      </c>
      <c r="AI5661">
        <v>108.38449968156</v>
      </c>
      <c r="AJ5661">
        <v>69.845294617335895</v>
      </c>
      <c r="AK5661">
        <v>3.5469067012641902</v>
      </c>
      <c r="AL5661">
        <v>92.247150353667607</v>
      </c>
      <c r="AM5661">
        <v>102.419703506226</v>
      </c>
      <c r="AN5661">
        <v>1.0000000422354001</v>
      </c>
    </row>
    <row r="5662" spans="1:40" x14ac:dyDescent="0.25">
      <c r="A5662" t="str">
        <f>"20190305135347228"</f>
        <v>20190305135347228</v>
      </c>
      <c r="B5662" t="str">
        <f>"1551765227225706"</f>
        <v>1551765227225706</v>
      </c>
      <c r="C5662" t="s">
        <v>40</v>
      </c>
      <c r="D5662">
        <v>4.3935639999999996</v>
      </c>
      <c r="E5662">
        <v>0.70990629999999999</v>
      </c>
      <c r="F5662" t="s">
        <v>81</v>
      </c>
      <c r="G5662">
        <v>-301.7835</v>
      </c>
      <c r="H5662" s="1">
        <v>-3.3244150000000001E-6</v>
      </c>
      <c r="I5662">
        <v>-45.216349999999998</v>
      </c>
      <c r="J5662">
        <v>-301.31319999999999</v>
      </c>
      <c r="K5662">
        <v>1.118485</v>
      </c>
      <c r="L5662">
        <v>-41.553959999999996</v>
      </c>
      <c r="M5662">
        <v>0.22032959999999999</v>
      </c>
      <c r="N5662">
        <v>-1.535079E-2</v>
      </c>
      <c r="O5662">
        <v>-0.97530479999999997</v>
      </c>
      <c r="P5662">
        <v>0.42376150000000001</v>
      </c>
      <c r="Q5662">
        <v>-4.5552450000000001E-2</v>
      </c>
      <c r="R5662">
        <v>-0.90462799999999999</v>
      </c>
      <c r="S5662">
        <v>-0.34490969999999999</v>
      </c>
      <c r="T5662">
        <v>-0.96715300000000004</v>
      </c>
      <c r="U5662">
        <v>-3.4082949999999999</v>
      </c>
      <c r="V5662">
        <v>-0.2132647</v>
      </c>
      <c r="W5662">
        <v>-3.5368429999999999E-2</v>
      </c>
      <c r="X5662">
        <v>0.9763541</v>
      </c>
      <c r="Y5662">
        <v>0.31347789999999998</v>
      </c>
      <c r="Z5662">
        <v>0.24051620000000001</v>
      </c>
      <c r="AA5662">
        <v>0.91863139999999999</v>
      </c>
      <c r="AB5662">
        <v>30</v>
      </c>
      <c r="AC5662">
        <v>-0.47030000000000799</v>
      </c>
      <c r="AD5662">
        <v>-1.1184883244149999</v>
      </c>
      <c r="AE5662">
        <v>-3.6623899999999998</v>
      </c>
      <c r="AF5662">
        <v>1.15938791641891</v>
      </c>
      <c r="AG5662">
        <v>-1.1184883244149999</v>
      </c>
      <c r="AH5662">
        <v>3.1772084988994602</v>
      </c>
      <c r="AI5662">
        <v>108.29930154438399</v>
      </c>
      <c r="AJ5662">
        <v>69.952583549818101</v>
      </c>
      <c r="AK5662">
        <v>3.56228161689525</v>
      </c>
      <c r="AL5662">
        <v>92.026884409345001</v>
      </c>
      <c r="AM5662">
        <v>102.32157047397</v>
      </c>
      <c r="AN5662">
        <v>1.0000000433467799</v>
      </c>
    </row>
    <row r="5663" spans="1:40" x14ac:dyDescent="0.25">
      <c r="A5663" t="str">
        <f>"20190305135347251"</f>
        <v>20190305135347251</v>
      </c>
      <c r="B5663" t="str">
        <f>"1551765227246201"</f>
        <v>1551765227246201</v>
      </c>
      <c r="C5663" t="s">
        <v>40</v>
      </c>
      <c r="D5663">
        <v>4.4155730000000002</v>
      </c>
      <c r="E5663">
        <v>0.70850389999999996</v>
      </c>
      <c r="F5663" t="s">
        <v>81</v>
      </c>
      <c r="G5663">
        <v>-301.65390000000002</v>
      </c>
      <c r="H5663" s="1">
        <v>-3.47464E-6</v>
      </c>
      <c r="I5663">
        <v>-45.562019999999997</v>
      </c>
      <c r="J5663">
        <v>-301.23570000000001</v>
      </c>
      <c r="K5663">
        <v>1.118287</v>
      </c>
      <c r="L5663">
        <v>-41.845579999999998</v>
      </c>
      <c r="M5663">
        <v>0.23113890000000001</v>
      </c>
      <c r="N5663">
        <v>-1.532527E-2</v>
      </c>
      <c r="O5663">
        <v>-0.97280029999999995</v>
      </c>
      <c r="P5663">
        <v>0.43304490000000001</v>
      </c>
      <c r="Q5663">
        <v>-4.2947279999999997E-2</v>
      </c>
      <c r="R5663">
        <v>-0.90034899999999995</v>
      </c>
      <c r="S5663">
        <v>-0.28933720000000002</v>
      </c>
      <c r="T5663">
        <v>-0.94991709999999996</v>
      </c>
      <c r="U5663">
        <v>-3.4039920000000001</v>
      </c>
      <c r="V5663">
        <v>-0.21252070000000001</v>
      </c>
      <c r="W5663">
        <v>-3.2651970000000002E-2</v>
      </c>
      <c r="X5663">
        <v>0.9766108</v>
      </c>
      <c r="Y5663">
        <v>0.3093631</v>
      </c>
      <c r="Z5663">
        <v>0.2359781</v>
      </c>
      <c r="AA5663">
        <v>0.92119969999999995</v>
      </c>
      <c r="AB5663">
        <v>30</v>
      </c>
      <c r="AC5663">
        <v>-0.41820000000001201</v>
      </c>
      <c r="AD5663">
        <v>-1.11829047464</v>
      </c>
      <c r="AE5663">
        <v>-3.71644</v>
      </c>
      <c r="AF5663">
        <v>1.1620843353410399</v>
      </c>
      <c r="AG5663">
        <v>-1.11829047464</v>
      </c>
      <c r="AH5663">
        <v>3.2302817774519399</v>
      </c>
      <c r="AI5663">
        <v>108.043114896806</v>
      </c>
      <c r="AJ5663">
        <v>70.213954931036895</v>
      </c>
      <c r="AK5663">
        <v>3.6105032820721301</v>
      </c>
      <c r="AL5663">
        <v>91.8711527997487</v>
      </c>
      <c r="AM5663">
        <v>102.27676181398201</v>
      </c>
      <c r="AN5663">
        <v>0.99999992687500205</v>
      </c>
    </row>
    <row r="5664" spans="1:40" x14ac:dyDescent="0.25">
      <c r="A5664" t="str">
        <f>"20190305135347273"</f>
        <v>20190305135347273</v>
      </c>
      <c r="B5664" t="str">
        <f>"1551765227265722"</f>
        <v>1551765227265722</v>
      </c>
      <c r="C5664" t="s">
        <v>40</v>
      </c>
      <c r="D5664">
        <v>4.3753390000000003</v>
      </c>
      <c r="E5664">
        <v>0.70716689999999904</v>
      </c>
      <c r="F5664" t="s">
        <v>81</v>
      </c>
      <c r="G5664">
        <v>-301.524</v>
      </c>
      <c r="H5664" s="1">
        <v>-3.5737140000000002E-6</v>
      </c>
      <c r="I5664">
        <v>-45.899529999999999</v>
      </c>
      <c r="J5664">
        <v>-301.15589999999997</v>
      </c>
      <c r="K5664">
        <v>1.118079</v>
      </c>
      <c r="L5664">
        <v>-42.134279999999997</v>
      </c>
      <c r="M5664">
        <v>0.2415387</v>
      </c>
      <c r="N5664">
        <v>-1.5296880000000001E-2</v>
      </c>
      <c r="O5664">
        <v>-0.97027079999999999</v>
      </c>
      <c r="P5664">
        <v>0.44314959999999998</v>
      </c>
      <c r="Q5664">
        <v>-4.191135E-2</v>
      </c>
      <c r="R5664">
        <v>-0.89546759999999903</v>
      </c>
      <c r="S5664">
        <v>-0.24200440000000001</v>
      </c>
      <c r="T5664">
        <v>-0.93890640000000003</v>
      </c>
      <c r="U5664">
        <v>-3.4036559999999998</v>
      </c>
      <c r="V5664">
        <v>-0.21308440000000001</v>
      </c>
      <c r="W5664">
        <v>-3.1538740000000003E-2</v>
      </c>
      <c r="X5664">
        <v>0.97652470000000002</v>
      </c>
      <c r="Y5664">
        <v>0.30687429999999999</v>
      </c>
      <c r="Z5664">
        <v>0.2325728</v>
      </c>
      <c r="AA5664">
        <v>0.92289659999999996</v>
      </c>
      <c r="AB5664">
        <v>30</v>
      </c>
      <c r="AC5664">
        <v>-0.36810000000002602</v>
      </c>
      <c r="AD5664">
        <v>-1.1180825737139899</v>
      </c>
      <c r="AE5664">
        <v>-3.76525</v>
      </c>
      <c r="AF5664">
        <v>1.16500316094414</v>
      </c>
      <c r="AG5664">
        <v>-1.1180825737139899</v>
      </c>
      <c r="AH5664">
        <v>3.2784664550578699</v>
      </c>
      <c r="AI5664">
        <v>107.81491881895801</v>
      </c>
      <c r="AJ5664">
        <v>70.437328864359301</v>
      </c>
      <c r="AK5664">
        <v>3.65454283099713</v>
      </c>
      <c r="AL5664">
        <v>91.807336271938496</v>
      </c>
      <c r="AM5664">
        <v>102.30938604771301</v>
      </c>
      <c r="AN5664">
        <v>1.00000007167711</v>
      </c>
    </row>
    <row r="5665" spans="1:40" x14ac:dyDescent="0.25">
      <c r="A5665" t="str">
        <f>"20190305135347295"</f>
        <v>20190305135347295</v>
      </c>
      <c r="B5665" t="str">
        <f>"1551765227286219"</f>
        <v>1551765227286219</v>
      </c>
      <c r="C5665" t="s">
        <v>40</v>
      </c>
      <c r="D5665">
        <v>4.4321729999999997</v>
      </c>
      <c r="E5665">
        <v>0.70631489999999997</v>
      </c>
      <c r="F5665" t="s">
        <v>81</v>
      </c>
      <c r="G5665">
        <v>-301.38580000000002</v>
      </c>
      <c r="H5665" s="1">
        <v>-3.677288E-6</v>
      </c>
      <c r="I5665">
        <v>-46.203710000000001</v>
      </c>
      <c r="J5665">
        <v>-301.07690000000002</v>
      </c>
      <c r="K5665">
        <v>1.1178619999999999</v>
      </c>
      <c r="L5665">
        <v>-42.409669999999998</v>
      </c>
      <c r="M5665">
        <v>0.25116450000000001</v>
      </c>
      <c r="N5665">
        <v>-1.5265539999999999E-2</v>
      </c>
      <c r="O5665">
        <v>-0.96782400000000002</v>
      </c>
      <c r="P5665">
        <v>0.45325539999999997</v>
      </c>
      <c r="Q5665">
        <v>-4.1464429999999997E-2</v>
      </c>
      <c r="R5665">
        <v>-0.89041599999999999</v>
      </c>
      <c r="S5665">
        <v>-0.1921387</v>
      </c>
      <c r="T5665">
        <v>-0.93457950000000001</v>
      </c>
      <c r="U5665">
        <v>-3.4015499999999999</v>
      </c>
      <c r="V5665">
        <v>-0.21445610000000001</v>
      </c>
      <c r="W5665">
        <v>-3.1037289999999999E-2</v>
      </c>
      <c r="X5665">
        <v>0.97624040000000001</v>
      </c>
      <c r="Y5665">
        <v>0.30291380000000001</v>
      </c>
      <c r="Z5665">
        <v>0.23102539999999999</v>
      </c>
      <c r="AA5665">
        <v>0.92459210000000003</v>
      </c>
      <c r="AB5665">
        <v>30</v>
      </c>
      <c r="AC5665">
        <v>-0.30889999999999401</v>
      </c>
      <c r="AD5665">
        <v>-1.117865677288</v>
      </c>
      <c r="AE5665">
        <v>-3.7940399999999999</v>
      </c>
      <c r="AF5665">
        <v>1.1526325043932499</v>
      </c>
      <c r="AG5665">
        <v>-1.117865677288</v>
      </c>
      <c r="AH5665">
        <v>3.3093966256302898</v>
      </c>
      <c r="AI5665">
        <v>107.69222253449099</v>
      </c>
      <c r="AJ5665">
        <v>70.797241307958501</v>
      </c>
      <c r="AK5665">
        <v>3.6783544402865198</v>
      </c>
      <c r="AL5665">
        <v>91.778591314126103</v>
      </c>
      <c r="AM5665">
        <v>102.38968328511299</v>
      </c>
      <c r="AN5665">
        <v>1.0000000253949499</v>
      </c>
    </row>
    <row r="5666" spans="1:40" x14ac:dyDescent="0.25">
      <c r="A5666" t="str">
        <f>"20190305135347318"</f>
        <v>20190305135347318</v>
      </c>
      <c r="B5666" t="str">
        <f>"1551765227305737"</f>
        <v>1551765227305737</v>
      </c>
      <c r="C5666" t="s">
        <v>40</v>
      </c>
      <c r="D5666">
        <v>4.4587830000000004</v>
      </c>
      <c r="E5666">
        <v>0.70534300000000005</v>
      </c>
      <c r="F5666" t="s">
        <v>81</v>
      </c>
      <c r="G5666">
        <v>-301.25299999999999</v>
      </c>
      <c r="H5666" s="1">
        <v>-3.8154389999999999E-6</v>
      </c>
      <c r="I5666">
        <v>-46.48997</v>
      </c>
      <c r="J5666">
        <v>-300.99259999999998</v>
      </c>
      <c r="K5666">
        <v>1.117623</v>
      </c>
      <c r="L5666">
        <v>-42.693730000000002</v>
      </c>
      <c r="M5666">
        <v>0.26079570000000002</v>
      </c>
      <c r="N5666">
        <v>-1.522947E-2</v>
      </c>
      <c r="O5666">
        <v>-0.96527410000000002</v>
      </c>
      <c r="P5666">
        <v>0.46383839999999998</v>
      </c>
      <c r="Q5666">
        <v>-4.0237580000000002E-2</v>
      </c>
      <c r="R5666">
        <v>-0.88500590000000001</v>
      </c>
      <c r="S5666">
        <v>-0.146698</v>
      </c>
      <c r="T5666">
        <v>-0.93162520000000004</v>
      </c>
      <c r="U5666">
        <v>-3.4005130000000001</v>
      </c>
      <c r="V5666">
        <v>-0.21639259999999999</v>
      </c>
      <c r="W5666">
        <v>-2.9764369999999998E-2</v>
      </c>
      <c r="X5666">
        <v>0.97585259999999996</v>
      </c>
      <c r="Y5666">
        <v>0.30011280000000001</v>
      </c>
      <c r="Z5666">
        <v>0.2296291</v>
      </c>
      <c r="AA5666">
        <v>0.92585240000000002</v>
      </c>
      <c r="AB5666">
        <v>30</v>
      </c>
      <c r="AC5666">
        <v>-0.26040000000000402</v>
      </c>
      <c r="AD5666">
        <v>-1.1176268154389899</v>
      </c>
      <c r="AE5666">
        <v>-3.7962399999999898</v>
      </c>
      <c r="AF5666">
        <v>1.1429450535180501</v>
      </c>
      <c r="AG5666">
        <v>-1.1176268154389899</v>
      </c>
      <c r="AH5666">
        <v>3.3112626874387798</v>
      </c>
      <c r="AI5666">
        <v>107.695355957413</v>
      </c>
      <c r="AJ5666">
        <v>70.956915776687197</v>
      </c>
      <c r="AK5666">
        <v>3.6769380847620998</v>
      </c>
      <c r="AL5666">
        <v>91.705624708531701</v>
      </c>
      <c r="AM5666">
        <v>102.50287014847</v>
      </c>
      <c r="AN5666">
        <v>0.99999998599150797</v>
      </c>
    </row>
    <row r="5667" spans="1:40" x14ac:dyDescent="0.25">
      <c r="A5667" t="str">
        <f>"20190305135347340"</f>
        <v>20190305135347340</v>
      </c>
      <c r="B5667" t="str">
        <f>"1551765227335997"</f>
        <v>1551765227335997</v>
      </c>
      <c r="C5667" t="s">
        <v>40</v>
      </c>
      <c r="D5667">
        <v>4.4565729999999997</v>
      </c>
      <c r="E5667">
        <v>0.70409829999999995</v>
      </c>
      <c r="F5667" t="s">
        <v>41</v>
      </c>
      <c r="G5667">
        <v>-301.01569999999998</v>
      </c>
      <c r="H5667">
        <v>0.90065910000000005</v>
      </c>
      <c r="I5667">
        <v>-43.48997</v>
      </c>
      <c r="J5667">
        <v>-300.90339999999998</v>
      </c>
      <c r="K5667">
        <v>1.1173759999999999</v>
      </c>
      <c r="L5667">
        <v>-42.984650000000002</v>
      </c>
      <c r="M5667">
        <v>0.27037349999999999</v>
      </c>
      <c r="N5667">
        <v>-1.5191029999999999E-2</v>
      </c>
      <c r="O5667">
        <v>-0.96263580000000004</v>
      </c>
      <c r="P5667">
        <v>0.47349869999999999</v>
      </c>
      <c r="Q5667">
        <v>-3.9036330000000001E-2</v>
      </c>
      <c r="R5667">
        <v>-0.87992909999999902</v>
      </c>
      <c r="S5667">
        <v>-9.8297120000000002E-2</v>
      </c>
      <c r="T5667">
        <v>-0.92642190000000002</v>
      </c>
      <c r="U5667">
        <v>-3.3992</v>
      </c>
      <c r="V5667">
        <v>-0.21740470000000001</v>
      </c>
      <c r="W5667">
        <v>-2.849374E-2</v>
      </c>
      <c r="X5667">
        <v>0.97566560000000002</v>
      </c>
      <c r="Y5667">
        <v>0.296458099999999</v>
      </c>
      <c r="Z5667">
        <v>0.22769420000000001</v>
      </c>
      <c r="AA5667">
        <v>0.92750630000000001</v>
      </c>
      <c r="AB5667">
        <v>30</v>
      </c>
      <c r="AC5667">
        <v>-0.11230000000000399</v>
      </c>
      <c r="AD5667">
        <v>-0.21671689999999899</v>
      </c>
      <c r="AE5667">
        <v>-0.50531999999999699</v>
      </c>
      <c r="AF5667">
        <v>0.20825564973937</v>
      </c>
      <c r="AG5667">
        <v>-0.21671689999999899</v>
      </c>
      <c r="AH5667">
        <v>0.38810434216858503</v>
      </c>
      <c r="AI5667">
        <v>116.19885656691</v>
      </c>
      <c r="AJ5667">
        <v>61.782123824185199</v>
      </c>
      <c r="AK5667">
        <v>0.49087840735164401</v>
      </c>
      <c r="AL5667">
        <v>91.632791988665801</v>
      </c>
      <c r="AM5667">
        <v>102.56182747818799</v>
      </c>
      <c r="AN5667">
        <v>1.00000002991231</v>
      </c>
    </row>
    <row r="5668" spans="1:40" x14ac:dyDescent="0.25">
      <c r="A5668" t="str">
        <f>"20190305135347365"</f>
        <v>20190305135347365</v>
      </c>
      <c r="B5668" t="str">
        <f>"1551765227355514"</f>
        <v>1551765227355514</v>
      </c>
      <c r="C5668" t="s">
        <v>40</v>
      </c>
      <c r="D5668">
        <v>4.4871840000000001</v>
      </c>
      <c r="E5668">
        <v>0.7033876</v>
      </c>
      <c r="F5668" t="s">
        <v>41</v>
      </c>
      <c r="G5668">
        <v>-300.91480000000001</v>
      </c>
      <c r="H5668">
        <v>0.9119178</v>
      </c>
      <c r="I5668">
        <v>-43.742010000000001</v>
      </c>
      <c r="J5668">
        <v>-300.81029999999998</v>
      </c>
      <c r="K5668">
        <v>1.117138</v>
      </c>
      <c r="L5668">
        <v>-43.27908</v>
      </c>
      <c r="M5668">
        <v>0.27980739999999998</v>
      </c>
      <c r="N5668">
        <v>-1.515291E-2</v>
      </c>
      <c r="O5668">
        <v>-0.95993669999999998</v>
      </c>
      <c r="P5668">
        <v>0.48216290000000001</v>
      </c>
      <c r="Q5668">
        <v>-3.8525879999999998E-2</v>
      </c>
      <c r="R5668">
        <v>-0.87523419999999896</v>
      </c>
      <c r="S5668">
        <v>-5.0231930000000001E-2</v>
      </c>
      <c r="T5668">
        <v>-0.92225429999999997</v>
      </c>
      <c r="U5668">
        <v>-3.3954770000000001</v>
      </c>
      <c r="V5668">
        <v>-0.21748139999999999</v>
      </c>
      <c r="W5668">
        <v>-2.7898889999999999E-2</v>
      </c>
      <c r="X5668">
        <v>0.97566569999999997</v>
      </c>
      <c r="Y5668">
        <v>0.29274820000000001</v>
      </c>
      <c r="Z5668">
        <v>0.2261349</v>
      </c>
      <c r="AA5668">
        <v>0.92906489999999997</v>
      </c>
      <c r="AB5668">
        <v>30</v>
      </c>
      <c r="AC5668">
        <v>-0.10450000000003</v>
      </c>
      <c r="AD5668">
        <v>-0.20522019999999999</v>
      </c>
      <c r="AE5668">
        <v>-0.46293000000000001</v>
      </c>
      <c r="AF5668">
        <v>0.19365829490362599</v>
      </c>
      <c r="AG5668">
        <v>-0.20522019999999999</v>
      </c>
      <c r="AH5668">
        <v>0.34978414776408501</v>
      </c>
      <c r="AI5668">
        <v>117.17084783512399</v>
      </c>
      <c r="AJ5668">
        <v>61.028855811526498</v>
      </c>
      <c r="AK5668">
        <v>0.44940829509485802</v>
      </c>
      <c r="AL5668">
        <v>91.598696033764497</v>
      </c>
      <c r="AM5668">
        <v>102.566117289872</v>
      </c>
      <c r="AN5668">
        <v>1.00000003278284</v>
      </c>
    </row>
    <row r="5669" spans="1:40" x14ac:dyDescent="0.25">
      <c r="A5669" t="str">
        <f>"20190305135347388"</f>
        <v>20190305135347388</v>
      </c>
      <c r="B5669" t="str">
        <f>"1551765227385770"</f>
        <v>1551765227385770</v>
      </c>
      <c r="C5669" t="s">
        <v>40</v>
      </c>
      <c r="D5669">
        <v>4.5464510000000002</v>
      </c>
      <c r="E5669">
        <v>0.70262720000000001</v>
      </c>
      <c r="F5669" t="s">
        <v>41</v>
      </c>
      <c r="G5669">
        <v>-300.81229999999999</v>
      </c>
      <c r="H5669">
        <v>0.92281420000000003</v>
      </c>
      <c r="I5669">
        <v>-43.993049999999997</v>
      </c>
      <c r="J5669">
        <v>-300.71350000000001</v>
      </c>
      <c r="K5669">
        <v>1.116932</v>
      </c>
      <c r="L5669">
        <v>-43.574710000000003</v>
      </c>
      <c r="M5669">
        <v>0.28904590000000002</v>
      </c>
      <c r="N5669">
        <v>-1.5116930000000001E-2</v>
      </c>
      <c r="O5669">
        <v>-0.95719609999999999</v>
      </c>
      <c r="P5669">
        <v>0.48935699999999999</v>
      </c>
      <c r="Q5669">
        <v>-3.9333739999999999E-2</v>
      </c>
      <c r="R5669">
        <v>-0.87119639999999998</v>
      </c>
      <c r="S5669">
        <v>-9.7351069999999998E-3</v>
      </c>
      <c r="T5669">
        <v>-0.92350770000000004</v>
      </c>
      <c r="U5669">
        <v>-3.392395</v>
      </c>
      <c r="V5669">
        <v>-0.21612490000000001</v>
      </c>
      <c r="W5669">
        <v>-2.8606220000000002E-2</v>
      </c>
      <c r="X5669">
        <v>0.97594650000000005</v>
      </c>
      <c r="Y5669">
        <v>0.29088330000000001</v>
      </c>
      <c r="Z5669">
        <v>0.225739</v>
      </c>
      <c r="AA5669">
        <v>0.92974659999999998</v>
      </c>
      <c r="AB5669">
        <v>30</v>
      </c>
      <c r="AC5669">
        <v>-9.8799999999982901E-2</v>
      </c>
      <c r="AD5669">
        <v>-0.19411779999999901</v>
      </c>
      <c r="AE5669">
        <v>-0.41833999999999999</v>
      </c>
      <c r="AF5669">
        <v>0.179008290546044</v>
      </c>
      <c r="AG5669">
        <v>-0.19411779999999901</v>
      </c>
      <c r="AH5669">
        <v>0.308917792994296</v>
      </c>
      <c r="AI5669">
        <v>118.532644783151</v>
      </c>
      <c r="AJ5669">
        <v>59.909036951427602</v>
      </c>
      <c r="AK5669">
        <v>0.40639376371878999</v>
      </c>
      <c r="AL5669">
        <v>91.639239410450699</v>
      </c>
      <c r="AM5669">
        <v>102.486724475331</v>
      </c>
      <c r="AN5669">
        <v>0.99999992954247097</v>
      </c>
    </row>
    <row r="5670" spans="1:40" x14ac:dyDescent="0.25">
      <c r="A5670" t="str">
        <f>"20190305135347407"</f>
        <v>20190305135347407</v>
      </c>
      <c r="B5670" t="str">
        <f>"1551765227395530"</f>
        <v>1551765227395530</v>
      </c>
      <c r="C5670" t="s">
        <v>40</v>
      </c>
      <c r="D5670">
        <v>4.5304989999999998</v>
      </c>
      <c r="E5670">
        <v>0.70242729999999998</v>
      </c>
      <c r="F5670" t="s">
        <v>81</v>
      </c>
      <c r="G5670">
        <v>-300.6832</v>
      </c>
      <c r="H5670" s="1">
        <v>-4.3714140000000002E-6</v>
      </c>
      <c r="I5670">
        <v>-47.64602</v>
      </c>
      <c r="J5670">
        <v>-300.6336</v>
      </c>
      <c r="K5670">
        <v>1.1167830000000001</v>
      </c>
      <c r="L5670">
        <v>-43.812469999999998</v>
      </c>
      <c r="M5670">
        <v>0.29635460000000002</v>
      </c>
      <c r="N5670">
        <v>-1.509019E-2</v>
      </c>
      <c r="O5670">
        <v>-0.95495909999999995</v>
      </c>
      <c r="P5670">
        <v>0.4943092</v>
      </c>
      <c r="Q5670">
        <v>-4.1267329999999998E-2</v>
      </c>
      <c r="R5670">
        <v>-0.86830629999999998</v>
      </c>
      <c r="S5670">
        <v>2.5177000000000001E-2</v>
      </c>
      <c r="T5670">
        <v>-0.92932320000000002</v>
      </c>
      <c r="U5670">
        <v>-3.387451</v>
      </c>
      <c r="V5670">
        <v>-0.214223</v>
      </c>
      <c r="W5670">
        <v>-3.0453529999999999E-2</v>
      </c>
      <c r="X5670">
        <v>0.97631000000000001</v>
      </c>
      <c r="Y5670">
        <v>0.2886164</v>
      </c>
      <c r="Z5670">
        <v>0.22675870000000001</v>
      </c>
      <c r="AA5670">
        <v>0.93020480000000005</v>
      </c>
      <c r="AB5670">
        <v>30</v>
      </c>
      <c r="AC5670">
        <v>-4.9599999999998E-2</v>
      </c>
      <c r="AD5670">
        <v>-1.116787371414</v>
      </c>
      <c r="AE5670">
        <v>-3.83354999999999</v>
      </c>
      <c r="AF5670">
        <v>1.0910148967515501</v>
      </c>
      <c r="AG5670">
        <v>-1.116787371414</v>
      </c>
      <c r="AH5670">
        <v>3.3613762204606901</v>
      </c>
      <c r="AI5670">
        <v>107.53717048890999</v>
      </c>
      <c r="AJ5670">
        <v>72.017923970695705</v>
      </c>
      <c r="AK5670">
        <v>3.7062619488322999</v>
      </c>
      <c r="AL5670">
        <v>91.745128443851598</v>
      </c>
      <c r="AM5670">
        <v>102.375776612845</v>
      </c>
      <c r="AN5670">
        <v>1.0000000636592199</v>
      </c>
    </row>
    <row r="5671" spans="1:40" x14ac:dyDescent="0.25">
      <c r="A5671" t="str">
        <f>"20190305135347429"</f>
        <v>20190305135347429</v>
      </c>
      <c r="B5671" t="str">
        <f>"1551765227425786"</f>
        <v>1551765227425786</v>
      </c>
      <c r="C5671" t="s">
        <v>40</v>
      </c>
      <c r="D5671">
        <v>4.5800470000000004</v>
      </c>
      <c r="E5671">
        <v>0.70168339999999996</v>
      </c>
      <c r="F5671" t="s">
        <v>81</v>
      </c>
      <c r="G5671">
        <v>-300.5795</v>
      </c>
      <c r="H5671" s="1">
        <v>-4.4717139999999999E-6</v>
      </c>
      <c r="I5671">
        <v>-47.854680000000002</v>
      </c>
      <c r="J5671">
        <v>-300.53719999999998</v>
      </c>
      <c r="K5671">
        <v>1.116635</v>
      </c>
      <c r="L5671">
        <v>-44.091189999999997</v>
      </c>
      <c r="M5671">
        <v>0.30481510000000001</v>
      </c>
      <c r="N5671">
        <v>-1.5061440000000001E-2</v>
      </c>
      <c r="O5671">
        <v>-0.95229269999999999</v>
      </c>
      <c r="P5671">
        <v>0.50088500000000002</v>
      </c>
      <c r="Q5671">
        <v>-4.4252619999999999E-2</v>
      </c>
      <c r="R5671">
        <v>-0.86438189999999904</v>
      </c>
      <c r="S5671">
        <v>4.5288090000000003E-2</v>
      </c>
      <c r="T5671">
        <v>-0.9351566</v>
      </c>
      <c r="U5671">
        <v>-3.3847960000000001</v>
      </c>
      <c r="V5671">
        <v>-0.21297250000000001</v>
      </c>
      <c r="W5671">
        <v>-3.337391E-2</v>
      </c>
      <c r="X5671">
        <v>0.97648809999999997</v>
      </c>
      <c r="Y5671">
        <v>0.2915548</v>
      </c>
      <c r="Z5671">
        <v>0.22722619999999999</v>
      </c>
      <c r="AA5671">
        <v>0.92917380000000005</v>
      </c>
      <c r="AB5671">
        <v>30</v>
      </c>
      <c r="AC5671">
        <v>-4.2300000000011502E-2</v>
      </c>
      <c r="AD5671">
        <v>-1.116639471714</v>
      </c>
      <c r="AE5671">
        <v>-3.7634899999999898</v>
      </c>
      <c r="AF5671">
        <v>1.09150858683902</v>
      </c>
      <c r="AG5671">
        <v>-1.116639471714</v>
      </c>
      <c r="AH5671">
        <v>3.28252162503078</v>
      </c>
      <c r="AI5671">
        <v>107.890032929358</v>
      </c>
      <c r="AJ5671">
        <v>71.606931251308893</v>
      </c>
      <c r="AK5671">
        <v>3.6349997144054602</v>
      </c>
      <c r="AL5671">
        <v>91.912539229542602</v>
      </c>
      <c r="AM5671">
        <v>102.30356586766899</v>
      </c>
      <c r="AN5671">
        <v>1.0000000565332701</v>
      </c>
    </row>
    <row r="5672" spans="1:40" x14ac:dyDescent="0.25">
      <c r="A5672" t="str">
        <f>"20190305135347453"</f>
        <v>20190305135347453</v>
      </c>
      <c r="B5672" t="str">
        <f>"1551765227445306"</f>
        <v>1551765227445306</v>
      </c>
      <c r="C5672" t="s">
        <v>40</v>
      </c>
      <c r="D5672">
        <v>4.6077329999999996</v>
      </c>
      <c r="E5672">
        <v>0.70129049999999904</v>
      </c>
      <c r="F5672" t="s">
        <v>81</v>
      </c>
      <c r="G5672">
        <v>-300.44979999999998</v>
      </c>
      <c r="H5672" s="1">
        <v>-4.5930550000000004E-6</v>
      </c>
      <c r="I5672">
        <v>-48.107599999999998</v>
      </c>
      <c r="J5672">
        <v>-300.43560000000002</v>
      </c>
      <c r="K5672">
        <v>1.11652</v>
      </c>
      <c r="L5672">
        <v>-44.377290000000002</v>
      </c>
      <c r="M5672">
        <v>0.31340679999999999</v>
      </c>
      <c r="N5672">
        <v>-1.503475E-2</v>
      </c>
      <c r="O5672">
        <v>-0.94950020000000002</v>
      </c>
      <c r="P5672">
        <v>0.50807479999999905</v>
      </c>
      <c r="Q5672">
        <v>-4.627233E-2</v>
      </c>
      <c r="R5672">
        <v>-0.86006919999999898</v>
      </c>
      <c r="S5672">
        <v>7.3577879999999998E-2</v>
      </c>
      <c r="T5672">
        <v>-0.9396892</v>
      </c>
      <c r="U5672">
        <v>-3.3799440000000001</v>
      </c>
      <c r="V5672">
        <v>-0.21229819999999999</v>
      </c>
      <c r="W5672">
        <v>-3.534814E-2</v>
      </c>
      <c r="X5672">
        <v>0.97656540000000003</v>
      </c>
      <c r="Y5672">
        <v>0.29239270000000001</v>
      </c>
      <c r="Z5672">
        <v>0.2275479</v>
      </c>
      <c r="AA5672">
        <v>0.92883179999999999</v>
      </c>
      <c r="AB5672">
        <v>30</v>
      </c>
      <c r="AC5672">
        <v>-1.41999999999598E-2</v>
      </c>
      <c r="AD5672">
        <v>-1.1165245930550001</v>
      </c>
      <c r="AE5672">
        <v>-3.73030999999999</v>
      </c>
      <c r="AF5672">
        <v>1.0854771845751501</v>
      </c>
      <c r="AG5672">
        <v>-1.1165245930550001</v>
      </c>
      <c r="AH5672">
        <v>3.24699336935053</v>
      </c>
      <c r="AI5672">
        <v>108.062351505393</v>
      </c>
      <c r="AJ5672">
        <v>71.515102428439107</v>
      </c>
      <c r="AK5672">
        <v>3.6010906439211099</v>
      </c>
      <c r="AL5672">
        <v>92.025721241324206</v>
      </c>
      <c r="AM5672">
        <v>102.26485069875</v>
      </c>
      <c r="AN5672">
        <v>0.99999999860092903</v>
      </c>
    </row>
    <row r="5673" spans="1:40" x14ac:dyDescent="0.25">
      <c r="A5673" t="str">
        <f>"20190305135347474"</f>
        <v>20190305135347474</v>
      </c>
      <c r="B5673" t="str">
        <f>"1551765227465802"</f>
        <v>1551765227465802</v>
      </c>
      <c r="C5673" t="s">
        <v>40</v>
      </c>
      <c r="D5673">
        <v>4.6362389999999998</v>
      </c>
      <c r="E5673">
        <v>0.68527419999999895</v>
      </c>
      <c r="F5673" t="s">
        <v>81</v>
      </c>
      <c r="G5673">
        <v>-300.31470000000002</v>
      </c>
      <c r="H5673" s="1">
        <v>-4.7276939999999999E-6</v>
      </c>
      <c r="I5673">
        <v>-48.387230000000002</v>
      </c>
      <c r="J5673">
        <v>-300.33999999999997</v>
      </c>
      <c r="K5673">
        <v>1.1164480000000001</v>
      </c>
      <c r="L5673">
        <v>-44.639130000000002</v>
      </c>
      <c r="M5673">
        <v>0.3212024</v>
      </c>
      <c r="N5673">
        <v>-1.501185E-2</v>
      </c>
      <c r="O5673">
        <v>-0.94689179999999995</v>
      </c>
      <c r="P5673">
        <v>0.51455209999999996</v>
      </c>
      <c r="Q5673">
        <v>-4.53642E-2</v>
      </c>
      <c r="R5673">
        <v>-0.85625839999999998</v>
      </c>
      <c r="S5673">
        <v>0.1018372</v>
      </c>
      <c r="T5673">
        <v>-0.94037749999999998</v>
      </c>
      <c r="U5673">
        <v>-3.377319</v>
      </c>
      <c r="V5673">
        <v>-0.21164949999999999</v>
      </c>
      <c r="W5673">
        <v>-3.4398209999999999E-2</v>
      </c>
      <c r="X5673">
        <v>0.9767401</v>
      </c>
      <c r="Y5673">
        <v>0.29246349999999999</v>
      </c>
      <c r="Z5673">
        <v>0.22688420000000001</v>
      </c>
      <c r="AA5673">
        <v>0.92897180000000001</v>
      </c>
      <c r="AB5673">
        <v>30</v>
      </c>
      <c r="AC5673">
        <v>2.52999999999588E-2</v>
      </c>
      <c r="AD5673">
        <v>-1.1164527276939999</v>
      </c>
      <c r="AE5673">
        <v>-3.7480999999999902</v>
      </c>
      <c r="AF5673">
        <v>1.08390707747357</v>
      </c>
      <c r="AG5673">
        <v>-1.1164527276939999</v>
      </c>
      <c r="AH5673">
        <v>3.26765408315336</v>
      </c>
      <c r="AI5673">
        <v>107.967488283534</v>
      </c>
      <c r="AJ5673">
        <v>71.648903056202798</v>
      </c>
      <c r="AK5673">
        <v>3.6192381039276098</v>
      </c>
      <c r="AL5673">
        <v>91.971261159953301</v>
      </c>
      <c r="AM5673">
        <v>102.226382128884</v>
      </c>
      <c r="AN5673">
        <v>0.999999985324732</v>
      </c>
    </row>
    <row r="5674" spans="1:40" x14ac:dyDescent="0.25">
      <c r="A5674" t="str">
        <f>"20190305135347497"</f>
        <v>20190305135347497</v>
      </c>
      <c r="B5674" t="str">
        <f>"1551765227486298"</f>
        <v>1551765227486298</v>
      </c>
      <c r="C5674" t="s">
        <v>40</v>
      </c>
      <c r="D5674">
        <v>4.6229820000000004</v>
      </c>
      <c r="E5674">
        <v>0.68474599999999997</v>
      </c>
      <c r="F5674" t="s">
        <v>41</v>
      </c>
      <c r="G5674">
        <v>-300.2808</v>
      </c>
      <c r="H5674">
        <v>0.88297199999999998</v>
      </c>
      <c r="I5674">
        <v>-45.468119999999999</v>
      </c>
      <c r="J5674">
        <v>-300.2371</v>
      </c>
      <c r="K5674">
        <v>1.116379</v>
      </c>
      <c r="L5674">
        <v>-44.914149999999999</v>
      </c>
      <c r="M5674">
        <v>0.32931480000000002</v>
      </c>
      <c r="N5674">
        <v>-1.498814E-2</v>
      </c>
      <c r="O5674">
        <v>-0.94410139999999998</v>
      </c>
      <c r="P5674">
        <v>0.52124139999999997</v>
      </c>
      <c r="Q5674">
        <v>-4.2646900000000001E-2</v>
      </c>
      <c r="R5674">
        <v>-0.85234359999999998</v>
      </c>
      <c r="S5674">
        <v>0.2372437</v>
      </c>
      <c r="T5674">
        <v>-0.93328069999999996</v>
      </c>
      <c r="U5674">
        <v>-3.3115839999999999</v>
      </c>
      <c r="V5674">
        <v>-0.21092730000000001</v>
      </c>
      <c r="W5674">
        <v>-3.1632710000000001E-2</v>
      </c>
      <c r="X5674">
        <v>0.97698980000000002</v>
      </c>
      <c r="Y5674">
        <v>0.26225619999999999</v>
      </c>
      <c r="Z5674">
        <v>0.2296463</v>
      </c>
      <c r="AA5674">
        <v>0.93727490000000002</v>
      </c>
      <c r="AB5674">
        <v>30</v>
      </c>
      <c r="AC5674">
        <v>-4.3700000000001099E-2</v>
      </c>
      <c r="AD5674">
        <v>-0.233407</v>
      </c>
      <c r="AE5674">
        <v>-0.55396999999999896</v>
      </c>
      <c r="AF5674">
        <v>0.190163222607837</v>
      </c>
      <c r="AG5674">
        <v>-0.233407</v>
      </c>
      <c r="AH5674">
        <v>0.43238598405060502</v>
      </c>
      <c r="AI5674">
        <v>116.29555309468699</v>
      </c>
      <c r="AJ5674">
        <v>66.2601215014095</v>
      </c>
      <c r="AK5674">
        <v>0.52687618857280605</v>
      </c>
      <c r="AL5674">
        <v>91.812723152342798</v>
      </c>
      <c r="AM5674">
        <v>102.182890075944</v>
      </c>
      <c r="AN5674">
        <v>1.00000001176563</v>
      </c>
    </row>
    <row r="5675" spans="1:40" x14ac:dyDescent="0.25">
      <c r="A5675" t="str">
        <f>"20190305135347520"</f>
        <v>20190305135347520</v>
      </c>
      <c r="B5675" t="str">
        <f>"1551765227515578"</f>
        <v>1551765227515578</v>
      </c>
      <c r="C5675" t="s">
        <v>40</v>
      </c>
      <c r="D5675">
        <v>4.666499</v>
      </c>
      <c r="E5675">
        <v>0.68302030000000002</v>
      </c>
      <c r="F5675" t="s">
        <v>41</v>
      </c>
      <c r="G5675">
        <v>-300.17259999999999</v>
      </c>
      <c r="H5675">
        <v>0.89401079999999999</v>
      </c>
      <c r="I5675">
        <v>-45.713970000000003</v>
      </c>
      <c r="J5675">
        <v>-300.12790000000001</v>
      </c>
      <c r="K5675">
        <v>1.1162840000000001</v>
      </c>
      <c r="L5675">
        <v>-45.198970000000003</v>
      </c>
      <c r="M5675">
        <v>0.3376229</v>
      </c>
      <c r="N5675">
        <v>-1.4963010000000001E-2</v>
      </c>
      <c r="O5675">
        <v>-0.94116259999999996</v>
      </c>
      <c r="P5675">
        <v>0.52964739999999999</v>
      </c>
      <c r="Q5675">
        <v>-4.0126599999999998E-2</v>
      </c>
      <c r="R5675">
        <v>-0.84726829999999997</v>
      </c>
      <c r="S5675">
        <v>0.26803589999999999</v>
      </c>
      <c r="T5675">
        <v>-0.92101040000000001</v>
      </c>
      <c r="U5675">
        <v>-3.309723</v>
      </c>
      <c r="V5675">
        <v>-0.21199029999999999</v>
      </c>
      <c r="W5675">
        <v>-2.909349E-2</v>
      </c>
      <c r="X5675">
        <v>0.9768386</v>
      </c>
      <c r="Y5675">
        <v>0.26199410000000001</v>
      </c>
      <c r="Z5675">
        <v>0.22561590000000001</v>
      </c>
      <c r="AA5675">
        <v>0.93832649999999995</v>
      </c>
      <c r="AB5675">
        <v>30</v>
      </c>
      <c r="AC5675">
        <v>-4.4699999999977501E-2</v>
      </c>
      <c r="AD5675">
        <v>-0.2222732</v>
      </c>
      <c r="AE5675">
        <v>-0.51500000000000001</v>
      </c>
      <c r="AF5675">
        <v>0.18227088393339499</v>
      </c>
      <c r="AG5675">
        <v>-0.2222732</v>
      </c>
      <c r="AH5675">
        <v>0.39637583745862398</v>
      </c>
      <c r="AI5675">
        <v>116.997876343801</v>
      </c>
      <c r="AJ5675">
        <v>65.304967234580303</v>
      </c>
      <c r="AK5675">
        <v>0.48963440962531102</v>
      </c>
      <c r="AL5675">
        <v>91.667169461355897</v>
      </c>
      <c r="AM5675">
        <v>102.244278038481</v>
      </c>
      <c r="AN5675">
        <v>0.99999998445221405</v>
      </c>
    </row>
    <row r="5676" spans="1:40" x14ac:dyDescent="0.25">
      <c r="A5676" t="str">
        <f>"20190305135347542"</f>
        <v>20190305135347542</v>
      </c>
      <c r="B5676" t="str">
        <f>"1551765227536074"</f>
        <v>1551765227536074</v>
      </c>
      <c r="C5676" t="s">
        <v>40</v>
      </c>
      <c r="D5676">
        <v>4.6933129999999998</v>
      </c>
      <c r="E5676">
        <v>0.68235159999999995</v>
      </c>
      <c r="F5676" t="s">
        <v>41</v>
      </c>
      <c r="G5676">
        <v>-300.05610000000001</v>
      </c>
      <c r="H5676">
        <v>0.90762750000000003</v>
      </c>
      <c r="I5676">
        <v>-45.957239999999999</v>
      </c>
      <c r="J5676">
        <v>-300.02120000000002</v>
      </c>
      <c r="K5676">
        <v>1.1161779999999999</v>
      </c>
      <c r="L5676">
        <v>-45.47043</v>
      </c>
      <c r="M5676">
        <v>0.34543079999999998</v>
      </c>
      <c r="N5676">
        <v>-1.4938079999999999E-2</v>
      </c>
      <c r="O5676">
        <v>-0.93832539999999998</v>
      </c>
      <c r="P5676">
        <v>0.53839209999999904</v>
      </c>
      <c r="Q5676">
        <v>-3.8199869999999997E-2</v>
      </c>
      <c r="R5676">
        <v>-0.84182829999999997</v>
      </c>
      <c r="S5676">
        <v>0.31289670000000003</v>
      </c>
      <c r="T5676">
        <v>-0.90887819999999997</v>
      </c>
      <c r="U5676">
        <v>-3.302155</v>
      </c>
      <c r="V5676">
        <v>-0.21399750000000001</v>
      </c>
      <c r="W5676">
        <v>-2.7161000000000001E-2</v>
      </c>
      <c r="X5676">
        <v>0.97645649999999995</v>
      </c>
      <c r="Y5676">
        <v>0.25714700000000001</v>
      </c>
      <c r="Z5676">
        <v>0.222189</v>
      </c>
      <c r="AA5676">
        <v>0.94048259999999995</v>
      </c>
      <c r="AB5676">
        <v>30</v>
      </c>
      <c r="AC5676">
        <v>-3.48999999999932E-2</v>
      </c>
      <c r="AD5676">
        <v>-0.2085505</v>
      </c>
      <c r="AE5676">
        <v>-0.48681000000000502</v>
      </c>
      <c r="AF5676">
        <v>0.16990598791345701</v>
      </c>
      <c r="AG5676">
        <v>-0.2085505</v>
      </c>
      <c r="AH5676">
        <v>0.37610687875389198</v>
      </c>
      <c r="AI5676">
        <v>116.808716091517</v>
      </c>
      <c r="AJ5676">
        <v>65.688963947826593</v>
      </c>
      <c r="AK5676">
        <v>0.46240430364032398</v>
      </c>
      <c r="AL5676">
        <v>91.556402113955897</v>
      </c>
      <c r="AM5676">
        <v>102.36135233336501</v>
      </c>
      <c r="AN5676">
        <v>0.99999997315974898</v>
      </c>
    </row>
    <row r="5677" spans="1:40" x14ac:dyDescent="0.25">
      <c r="A5677" t="str">
        <f>"20190305135347565"</f>
        <v>20190305135347565</v>
      </c>
      <c r="B5677" t="str">
        <f>"1551765227555594"</f>
        <v>1551765227555594</v>
      </c>
      <c r="C5677" t="s">
        <v>40</v>
      </c>
      <c r="D5677">
        <v>4.678884</v>
      </c>
      <c r="E5677">
        <v>0.68203630000000004</v>
      </c>
      <c r="F5677" t="s">
        <v>41</v>
      </c>
      <c r="G5677">
        <v>-299.94349999999997</v>
      </c>
      <c r="H5677">
        <v>0.91668490000000002</v>
      </c>
      <c r="I5677">
        <v>-46.199280000000002</v>
      </c>
      <c r="J5677">
        <v>-299.9101</v>
      </c>
      <c r="K5677">
        <v>1.1160460000000001</v>
      </c>
      <c r="L5677">
        <v>-45.746639999999999</v>
      </c>
      <c r="M5677">
        <v>0.35324119999999998</v>
      </c>
      <c r="N5677">
        <v>-1.491171E-2</v>
      </c>
      <c r="O5677">
        <v>-0.93541350000000001</v>
      </c>
      <c r="P5677">
        <v>0.5471935</v>
      </c>
      <c r="Q5677">
        <v>-3.590513E-2</v>
      </c>
      <c r="R5677">
        <v>-0.83623609999999904</v>
      </c>
      <c r="S5677">
        <v>0.352356</v>
      </c>
      <c r="T5677">
        <v>-0.9030492</v>
      </c>
      <c r="U5677">
        <v>-3.2973330000000001</v>
      </c>
      <c r="V5677">
        <v>-0.21610940000000001</v>
      </c>
      <c r="W5677">
        <v>-2.4853210000000001E-2</v>
      </c>
      <c r="X5677">
        <v>0.97605280000000005</v>
      </c>
      <c r="Y5677">
        <v>0.25390479999999999</v>
      </c>
      <c r="Z5677">
        <v>0.22002830000000001</v>
      </c>
      <c r="AA5677">
        <v>0.94187050000000005</v>
      </c>
      <c r="AB5677">
        <v>30</v>
      </c>
      <c r="AC5677">
        <v>-3.3399999999971897E-2</v>
      </c>
      <c r="AD5677">
        <v>-0.19936109999999899</v>
      </c>
      <c r="AE5677">
        <v>-0.45264000000000199</v>
      </c>
      <c r="AF5677">
        <v>0.16023902720822999</v>
      </c>
      <c r="AG5677">
        <v>-0.19936109999999899</v>
      </c>
      <c r="AH5677">
        <v>0.34507511430418703</v>
      </c>
      <c r="AI5677">
        <v>117.654255195755</v>
      </c>
      <c r="AJ5677">
        <v>65.091737037038598</v>
      </c>
      <c r="AK5677">
        <v>0.42953256983131999</v>
      </c>
      <c r="AL5677">
        <v>91.424130659484803</v>
      </c>
      <c r="AM5677">
        <v>102.48453986596</v>
      </c>
      <c r="AN5677">
        <v>1.00000001160175</v>
      </c>
    </row>
    <row r="5678" spans="1:40" x14ac:dyDescent="0.25">
      <c r="A5678" t="str">
        <f>"20190305135347587"</f>
        <v>20190305135347587</v>
      </c>
      <c r="B5678" t="str">
        <f>"1551765227576091"</f>
        <v>1551765227576091</v>
      </c>
      <c r="C5678" t="s">
        <v>40</v>
      </c>
      <c r="D5678">
        <v>4.727665</v>
      </c>
      <c r="E5678">
        <v>0.67753289999999999</v>
      </c>
      <c r="F5678" t="s">
        <v>41</v>
      </c>
      <c r="G5678">
        <v>-299.82799999999997</v>
      </c>
      <c r="H5678">
        <v>0.92701639999999996</v>
      </c>
      <c r="I5678">
        <v>-46.44023</v>
      </c>
      <c r="J5678">
        <v>-299.80309999999997</v>
      </c>
      <c r="K5678">
        <v>1.1158980000000001</v>
      </c>
      <c r="L5678">
        <v>-46.006740000000001</v>
      </c>
      <c r="M5678">
        <v>0.36044310000000002</v>
      </c>
      <c r="N5678">
        <v>-1.488565E-2</v>
      </c>
      <c r="O5678">
        <v>-0.93266260000000001</v>
      </c>
      <c r="P5678">
        <v>0.55587500000000001</v>
      </c>
      <c r="Q5678">
        <v>-3.5124879999999997E-2</v>
      </c>
      <c r="R5678">
        <v>-0.83052380000000003</v>
      </c>
      <c r="S5678">
        <v>0.39050289999999999</v>
      </c>
      <c r="T5678">
        <v>-0.89794149999999995</v>
      </c>
      <c r="U5678">
        <v>-3.293396</v>
      </c>
      <c r="V5678">
        <v>-0.21875820000000001</v>
      </c>
      <c r="W5678">
        <v>-2.4069179999999999E-2</v>
      </c>
      <c r="X5678">
        <v>0.97548219999999997</v>
      </c>
      <c r="Y5678">
        <v>0.25044369999999999</v>
      </c>
      <c r="Z5678">
        <v>0.2180493</v>
      </c>
      <c r="AA5678">
        <v>0.94325630000000005</v>
      </c>
      <c r="AB5678">
        <v>30</v>
      </c>
      <c r="AC5678">
        <v>-2.4900000000002299E-2</v>
      </c>
      <c r="AD5678">
        <v>-0.18888160000000001</v>
      </c>
      <c r="AE5678">
        <v>-0.43348999999999899</v>
      </c>
      <c r="AF5678">
        <v>0.15093093607057501</v>
      </c>
      <c r="AG5678">
        <v>-0.18888160000000001</v>
      </c>
      <c r="AH5678">
        <v>0.33245758409769499</v>
      </c>
      <c r="AI5678">
        <v>117.353535240094</v>
      </c>
      <c r="AJ5678">
        <v>65.582638257329705</v>
      </c>
      <c r="AK5678">
        <v>0.41107718436538898</v>
      </c>
      <c r="AL5678">
        <v>91.379195620759702</v>
      </c>
      <c r="AM5678">
        <v>102.63982896648299</v>
      </c>
      <c r="AN5678">
        <v>0.99999999900497605</v>
      </c>
    </row>
    <row r="5679" spans="1:40" x14ac:dyDescent="0.25">
      <c r="A5679" t="str">
        <f>"20190305135347608"</f>
        <v>20190305135347608</v>
      </c>
      <c r="B5679" t="str">
        <f>"1551765227596179"</f>
        <v>1551765227596179</v>
      </c>
      <c r="C5679" t="s">
        <v>40</v>
      </c>
      <c r="D5679">
        <v>4.7042970000000004</v>
      </c>
      <c r="E5679">
        <v>0.67921619999999905</v>
      </c>
      <c r="F5679" t="s">
        <v>41</v>
      </c>
      <c r="G5679">
        <v>-299.67700000000002</v>
      </c>
      <c r="H5679">
        <v>0.86463120000000004</v>
      </c>
      <c r="I5679">
        <v>-46.914790000000004</v>
      </c>
      <c r="J5679">
        <v>-299.69229999999999</v>
      </c>
      <c r="K5679">
        <v>1.1157429999999999</v>
      </c>
      <c r="L5679">
        <v>-46.270690000000002</v>
      </c>
      <c r="M5679">
        <v>0.36760140000000002</v>
      </c>
      <c r="N5679">
        <v>-1.485874E-2</v>
      </c>
      <c r="O5679">
        <v>-0.92986489999999999</v>
      </c>
      <c r="P5679">
        <v>0.56473499999999999</v>
      </c>
      <c r="Q5679">
        <v>-3.6652829999999997E-2</v>
      </c>
      <c r="R5679">
        <v>-0.82445820000000003</v>
      </c>
      <c r="S5679">
        <v>0.45468140000000001</v>
      </c>
      <c r="T5679">
        <v>-0.90499779999999996</v>
      </c>
      <c r="U5679">
        <v>-3.2695919999999998</v>
      </c>
      <c r="V5679">
        <v>-0.22171080000000001</v>
      </c>
      <c r="W5679">
        <v>-2.5598470000000002E-2</v>
      </c>
      <c r="X5679">
        <v>0.97477639999999999</v>
      </c>
      <c r="Y5679">
        <v>0.23898530000000001</v>
      </c>
      <c r="Z5679">
        <v>0.22049450000000001</v>
      </c>
      <c r="AA5679">
        <v>0.94565759999999999</v>
      </c>
      <c r="AB5679">
        <v>29</v>
      </c>
      <c r="AC5679">
        <v>1.5299999999967799E-2</v>
      </c>
      <c r="AD5679">
        <v>-0.251111799999999</v>
      </c>
      <c r="AE5679">
        <v>-0.64410000000000101</v>
      </c>
      <c r="AF5679">
        <v>0.19321814756725</v>
      </c>
      <c r="AG5679">
        <v>-0.251111799999999</v>
      </c>
      <c r="AH5679">
        <v>0.52488269025094403</v>
      </c>
      <c r="AI5679">
        <v>114.178258731257</v>
      </c>
      <c r="AJ5679">
        <v>69.790490009675395</v>
      </c>
      <c r="AK5679">
        <v>0.61310050332194999</v>
      </c>
      <c r="AL5679">
        <v>91.466844529101493</v>
      </c>
      <c r="AM5679">
        <v>102.81380687897099</v>
      </c>
      <c r="AN5679">
        <v>0.99999999524996996</v>
      </c>
    </row>
    <row r="5680" spans="1:40" x14ac:dyDescent="0.25">
      <c r="A5680" t="str">
        <f>"20190305135347631"</f>
        <v>20190305135347631</v>
      </c>
      <c r="B5680" t="str">
        <f>"1551765227625462"</f>
        <v>1551765227625462</v>
      </c>
      <c r="C5680" t="s">
        <v>40</v>
      </c>
      <c r="D5680">
        <v>4.7803870000000002</v>
      </c>
      <c r="E5680">
        <v>0.68135469999999998</v>
      </c>
      <c r="F5680" t="s">
        <v>41</v>
      </c>
      <c r="G5680">
        <v>-299.56349999999998</v>
      </c>
      <c r="H5680">
        <v>0.86941919999999995</v>
      </c>
      <c r="I5680">
        <v>-47.152850000000001</v>
      </c>
      <c r="J5680">
        <v>-299.5761</v>
      </c>
      <c r="K5680">
        <v>1.115591</v>
      </c>
      <c r="L5680">
        <v>-46.541870000000003</v>
      </c>
      <c r="M5680">
        <v>0.37482510000000002</v>
      </c>
      <c r="N5680">
        <v>-1.4832150000000001E-2</v>
      </c>
      <c r="O5680">
        <v>-0.92697700000000005</v>
      </c>
      <c r="P5680">
        <v>0.57355330000000004</v>
      </c>
      <c r="Q5680">
        <v>-3.845142E-2</v>
      </c>
      <c r="R5680">
        <v>-0.81826549999999998</v>
      </c>
      <c r="S5680">
        <v>0.47793580000000002</v>
      </c>
      <c r="T5680">
        <v>-0.91367909999999997</v>
      </c>
      <c r="U5680">
        <v>-3.2707519999999999</v>
      </c>
      <c r="V5680">
        <v>-0.22460089999999999</v>
      </c>
      <c r="W5680">
        <v>-2.740188E-2</v>
      </c>
      <c r="X5680">
        <v>0.97406550000000003</v>
      </c>
      <c r="Y5680">
        <v>0.24002999999999999</v>
      </c>
      <c r="Z5680">
        <v>0.22131490000000001</v>
      </c>
      <c r="AA5680">
        <v>0.94520119999999996</v>
      </c>
      <c r="AB5680">
        <v>29</v>
      </c>
      <c r="AC5680">
        <v>1.26000000000203E-2</v>
      </c>
      <c r="AD5680">
        <v>-0.2461718</v>
      </c>
      <c r="AE5680">
        <v>-0.61097999999999697</v>
      </c>
      <c r="AF5680">
        <v>0.18700872976281299</v>
      </c>
      <c r="AG5680">
        <v>-0.2461718</v>
      </c>
      <c r="AH5680">
        <v>0.49140907430492398</v>
      </c>
      <c r="AI5680">
        <v>115.088717699471</v>
      </c>
      <c r="AJ5680">
        <v>69.165371395410304</v>
      </c>
      <c r="AK5680">
        <v>0.58056498209241303</v>
      </c>
      <c r="AL5680">
        <v>91.570208598375004</v>
      </c>
      <c r="AM5680">
        <v>102.984371420665</v>
      </c>
      <c r="AN5680">
        <v>1.0000000127992901</v>
      </c>
    </row>
    <row r="5681" spans="1:40" x14ac:dyDescent="0.25">
      <c r="A5681" t="str">
        <f>"20190305135347653"</f>
        <v>20190305135347653</v>
      </c>
      <c r="B5681" t="str">
        <f>"1551765227645958"</f>
        <v>1551765227645958</v>
      </c>
      <c r="C5681" t="s">
        <v>40</v>
      </c>
      <c r="D5681">
        <v>4.7429589999999999</v>
      </c>
      <c r="E5681">
        <v>0.68225029999999998</v>
      </c>
      <c r="F5681" t="s">
        <v>41</v>
      </c>
      <c r="G5681">
        <v>-299.44709999999998</v>
      </c>
      <c r="H5681">
        <v>0.87587579999999998</v>
      </c>
      <c r="I5681">
        <v>-47.389890000000001</v>
      </c>
      <c r="J5681">
        <v>-299.46019999999999</v>
      </c>
      <c r="K5681">
        <v>1.115469</v>
      </c>
      <c r="L5681">
        <v>-46.807220000000001</v>
      </c>
      <c r="M5681">
        <v>0.38177480000000003</v>
      </c>
      <c r="N5681">
        <v>-1.4808119999999999E-2</v>
      </c>
      <c r="O5681">
        <v>-0.92413690000000004</v>
      </c>
      <c r="P5681">
        <v>0.5815669</v>
      </c>
      <c r="Q5681">
        <v>-4.0197360000000001E-2</v>
      </c>
      <c r="R5681">
        <v>-0.81250519999999904</v>
      </c>
      <c r="S5681">
        <v>0.49853520000000001</v>
      </c>
      <c r="T5681">
        <v>-0.92571020000000004</v>
      </c>
      <c r="U5681">
        <v>-3.2733460000000001</v>
      </c>
      <c r="V5681">
        <v>-0.2268715</v>
      </c>
      <c r="W5681">
        <v>-2.9149359999999999E-2</v>
      </c>
      <c r="X5681">
        <v>0.97348840000000003</v>
      </c>
      <c r="Y5681">
        <v>0.2416625</v>
      </c>
      <c r="Z5681">
        <v>0.22281819999999999</v>
      </c>
      <c r="AA5681">
        <v>0.94443169999999999</v>
      </c>
      <c r="AB5681">
        <v>29</v>
      </c>
      <c r="AC5681">
        <v>1.3100000000008501E-2</v>
      </c>
      <c r="AD5681">
        <v>-0.23959320000000001</v>
      </c>
      <c r="AE5681">
        <v>-0.58267000000000002</v>
      </c>
      <c r="AF5681">
        <v>0.17995358492447899</v>
      </c>
      <c r="AG5681">
        <v>-0.23959320000000001</v>
      </c>
      <c r="AH5681">
        <v>0.46495129983050798</v>
      </c>
      <c r="AI5681">
        <v>115.66752174469499</v>
      </c>
      <c r="AJ5681">
        <v>68.841694232094298</v>
      </c>
      <c r="AK5681">
        <v>0.55314365713392299</v>
      </c>
      <c r="AL5681">
        <v>91.670371885771203</v>
      </c>
      <c r="AM5681">
        <v>103.11862732638799</v>
      </c>
      <c r="AN5681">
        <v>1.0000000138176</v>
      </c>
    </row>
    <row r="5682" spans="1:40" x14ac:dyDescent="0.25">
      <c r="A5682" t="str">
        <f>"20190305135347676"</f>
        <v>20190305135347676</v>
      </c>
      <c r="B5682" t="str">
        <f>"1551765227665475"</f>
        <v>1551765227665475</v>
      </c>
      <c r="C5682" t="s">
        <v>40</v>
      </c>
      <c r="D5682">
        <v>4.7524100000000002</v>
      </c>
      <c r="E5682">
        <v>0.68257309999999904</v>
      </c>
      <c r="F5682" t="s">
        <v>41</v>
      </c>
      <c r="G5682">
        <v>-299.32909999999998</v>
      </c>
      <c r="H5682">
        <v>0.88170780000000004</v>
      </c>
      <c r="I5682">
        <v>-47.625520000000002</v>
      </c>
      <c r="J5682">
        <v>-299.34370000000001</v>
      </c>
      <c r="K5682">
        <v>1.115367</v>
      </c>
      <c r="L5682">
        <v>-47.068939999999998</v>
      </c>
      <c r="M5682">
        <v>0.38852910000000002</v>
      </c>
      <c r="N5682">
        <v>-1.478603E-2</v>
      </c>
      <c r="O5682">
        <v>-0.92131799999999997</v>
      </c>
      <c r="P5682">
        <v>0.58869959999999999</v>
      </c>
      <c r="Q5682">
        <v>-4.1058230000000001E-2</v>
      </c>
      <c r="R5682">
        <v>-0.80730880000000005</v>
      </c>
      <c r="S5682">
        <v>0.52456669999999905</v>
      </c>
      <c r="T5682">
        <v>-0.93483570000000005</v>
      </c>
      <c r="U5682">
        <v>-3.2705380000000002</v>
      </c>
      <c r="V5682">
        <v>-0.22832859999999999</v>
      </c>
      <c r="W5682">
        <v>-3.000338E-2</v>
      </c>
      <c r="X5682">
        <v>0.97312169999999998</v>
      </c>
      <c r="Y5682">
        <v>0.24136450000000001</v>
      </c>
      <c r="Z5682">
        <v>0.2240084</v>
      </c>
      <c r="AA5682">
        <v>0.94422629999999996</v>
      </c>
      <c r="AB5682">
        <v>29</v>
      </c>
      <c r="AC5682">
        <v>1.46000000000299E-2</v>
      </c>
      <c r="AD5682">
        <v>-0.23365919999999901</v>
      </c>
      <c r="AE5682">
        <v>-0.55657999999999597</v>
      </c>
      <c r="AF5682">
        <v>0.17244685846118299</v>
      </c>
      <c r="AG5682">
        <v>-0.23365919999999901</v>
      </c>
      <c r="AH5682">
        <v>0.44086974581888999</v>
      </c>
      <c r="AI5682">
        <v>116.270050028612</v>
      </c>
      <c r="AJ5682">
        <v>68.6369732159542</v>
      </c>
      <c r="AK5682">
        <v>0.52792108644776004</v>
      </c>
      <c r="AL5682">
        <v>91.719325071783501</v>
      </c>
      <c r="AM5682">
        <v>103.204741696855</v>
      </c>
      <c r="AN5682">
        <v>0.99999999770013703</v>
      </c>
    </row>
    <row r="5683" spans="1:40" x14ac:dyDescent="0.25">
      <c r="A5683" t="str">
        <f>"20190305135347698"</f>
        <v>20190305135347698</v>
      </c>
      <c r="B5683" t="str">
        <f>"1551765227685971"</f>
        <v>1551765227685971</v>
      </c>
      <c r="C5683" t="s">
        <v>40</v>
      </c>
      <c r="D5683">
        <v>4.7257419999999897</v>
      </c>
      <c r="E5683">
        <v>0.68348260000000005</v>
      </c>
      <c r="F5683" t="s">
        <v>41</v>
      </c>
      <c r="G5683">
        <v>-299.21030000000002</v>
      </c>
      <c r="H5683">
        <v>0.887858499999999</v>
      </c>
      <c r="I5683">
        <v>-47.86054</v>
      </c>
      <c r="J5683">
        <v>-299.22640000000001</v>
      </c>
      <c r="K5683">
        <v>1.1152899999999999</v>
      </c>
      <c r="L5683">
        <v>-47.327419999999996</v>
      </c>
      <c r="M5683">
        <v>0.39512249999999999</v>
      </c>
      <c r="N5683">
        <v>-1.476538E-2</v>
      </c>
      <c r="O5683">
        <v>-0.91851000000000005</v>
      </c>
      <c r="P5683">
        <v>0.59608779999999995</v>
      </c>
      <c r="Q5683">
        <v>-4.1481469999999999E-2</v>
      </c>
      <c r="R5683">
        <v>-0.80184750000000005</v>
      </c>
      <c r="S5683">
        <v>0.55090329999999998</v>
      </c>
      <c r="T5683">
        <v>-0.93934759999999995</v>
      </c>
      <c r="U5683">
        <v>-3.2665099999999998</v>
      </c>
      <c r="V5683">
        <v>-0.23029630000000001</v>
      </c>
      <c r="W5683">
        <v>-3.0435319999999998E-2</v>
      </c>
      <c r="X5683">
        <v>0.97264450000000002</v>
      </c>
      <c r="Y5683">
        <v>0.24074980000000001</v>
      </c>
      <c r="Z5683">
        <v>0.2241765</v>
      </c>
      <c r="AA5683">
        <v>0.94434340000000005</v>
      </c>
      <c r="AB5683">
        <v>29</v>
      </c>
      <c r="AC5683">
        <v>1.60999999999944E-2</v>
      </c>
      <c r="AD5683">
        <v>-0.22743150000000001</v>
      </c>
      <c r="AE5683">
        <v>-0.53311999999999604</v>
      </c>
      <c r="AF5683">
        <v>0.165744407647271</v>
      </c>
      <c r="AG5683">
        <v>-0.22743150000000001</v>
      </c>
      <c r="AH5683">
        <v>0.41976704288912903</v>
      </c>
      <c r="AI5683">
        <v>116.745484880791</v>
      </c>
      <c r="AJ5683">
        <v>68.453486814547503</v>
      </c>
      <c r="AK5683">
        <v>0.50537180981380303</v>
      </c>
      <c r="AL5683">
        <v>91.7440846993793</v>
      </c>
      <c r="AM5683">
        <v>103.32080124583</v>
      </c>
      <c r="AN5683">
        <v>1.00000000893872</v>
      </c>
    </row>
    <row r="5684" spans="1:40" x14ac:dyDescent="0.25">
      <c r="A5684" t="str">
        <f>"20190305135347721"</f>
        <v>20190305135347721</v>
      </c>
      <c r="B5684" t="str">
        <f>"1551765227716228"</f>
        <v>1551765227716228</v>
      </c>
      <c r="C5684" t="s">
        <v>40</v>
      </c>
      <c r="D5684">
        <v>4.7675919999999996</v>
      </c>
      <c r="E5684">
        <v>0.68389560000000005</v>
      </c>
      <c r="F5684" t="s">
        <v>41</v>
      </c>
      <c r="G5684">
        <v>-299.09140000000002</v>
      </c>
      <c r="H5684">
        <v>0.89370099999999997</v>
      </c>
      <c r="I5684">
        <v>-48.094949999999997</v>
      </c>
      <c r="J5684">
        <v>-299.10169999999999</v>
      </c>
      <c r="K5684">
        <v>1.1152260000000001</v>
      </c>
      <c r="L5684">
        <v>-47.597050000000003</v>
      </c>
      <c r="M5684">
        <v>0.40194760000000002</v>
      </c>
      <c r="N5684">
        <v>-1.474553E-2</v>
      </c>
      <c r="O5684">
        <v>-0.91554389999999997</v>
      </c>
      <c r="P5684">
        <v>0.60356650000000001</v>
      </c>
      <c r="Q5684">
        <v>-4.0420289999999998E-2</v>
      </c>
      <c r="R5684">
        <v>-0.79628750000000004</v>
      </c>
      <c r="S5684">
        <v>0.57461549999999995</v>
      </c>
      <c r="T5684">
        <v>-0.94321560000000004</v>
      </c>
      <c r="U5684">
        <v>-3.2654109999999998</v>
      </c>
      <c r="V5684">
        <v>-0.23215740000000001</v>
      </c>
      <c r="W5684">
        <v>-2.9385120000000001E-2</v>
      </c>
      <c r="X5684">
        <v>0.97223419999999905</v>
      </c>
      <c r="Y5684">
        <v>0.24126449999999999</v>
      </c>
      <c r="Z5684">
        <v>0.2238899</v>
      </c>
      <c r="AA5684">
        <v>0.94428000000000001</v>
      </c>
      <c r="AB5684">
        <v>29</v>
      </c>
      <c r="AC5684">
        <v>1.0299999999972401E-2</v>
      </c>
      <c r="AD5684">
        <v>-0.221525</v>
      </c>
      <c r="AE5684">
        <v>-0.49789999999999401</v>
      </c>
      <c r="AF5684">
        <v>0.15921650760417699</v>
      </c>
      <c r="AG5684">
        <v>-0.221525</v>
      </c>
      <c r="AH5684">
        <v>0.38404851242409099</v>
      </c>
      <c r="AI5684">
        <v>118.050466867417</v>
      </c>
      <c r="AJ5684">
        <v>67.482377637199505</v>
      </c>
      <c r="AK5684">
        <v>0.47108012249916498</v>
      </c>
      <c r="AL5684">
        <v>91.683885849174004</v>
      </c>
      <c r="AM5684">
        <v>103.430029147502</v>
      </c>
      <c r="AN5684">
        <v>0.999999941650905</v>
      </c>
    </row>
    <row r="5685" spans="1:40" x14ac:dyDescent="0.25">
      <c r="A5685" t="str">
        <f>"20190305135347742"</f>
        <v>20190305135347742</v>
      </c>
      <c r="B5685" t="str">
        <f>"1551765227735747"</f>
        <v>1551765227735747</v>
      </c>
      <c r="C5685" t="s">
        <v>40</v>
      </c>
      <c r="D5685">
        <v>4.7743969999999996</v>
      </c>
      <c r="E5685">
        <v>0.68446879999999999</v>
      </c>
      <c r="F5685" t="s">
        <v>41</v>
      </c>
      <c r="G5685">
        <v>-298.96660000000003</v>
      </c>
      <c r="H5685">
        <v>0.90489180000000002</v>
      </c>
      <c r="I5685">
        <v>-48.328719999999997</v>
      </c>
      <c r="J5685">
        <v>-298.9796</v>
      </c>
      <c r="K5685">
        <v>1.115184</v>
      </c>
      <c r="L5685">
        <v>-47.856290000000001</v>
      </c>
      <c r="M5685">
        <v>0.40848190000000001</v>
      </c>
      <c r="N5685">
        <v>-1.4728649999999999E-2</v>
      </c>
      <c r="O5685">
        <v>-0.91264769999999995</v>
      </c>
      <c r="P5685">
        <v>0.61080610000000002</v>
      </c>
      <c r="Q5685">
        <v>-3.888436E-2</v>
      </c>
      <c r="R5685">
        <v>-0.79082489999999905</v>
      </c>
      <c r="S5685">
        <v>0.60275269999999903</v>
      </c>
      <c r="T5685">
        <v>-0.93809019999999999</v>
      </c>
      <c r="U5685">
        <v>-3.2629999999999999</v>
      </c>
      <c r="V5685">
        <v>-0.23406969999999999</v>
      </c>
      <c r="W5685">
        <v>-2.7867329999999999E-2</v>
      </c>
      <c r="X5685">
        <v>0.97182040000000003</v>
      </c>
      <c r="Y5685">
        <v>0.24012530000000001</v>
      </c>
      <c r="Z5685">
        <v>0.22163769999999999</v>
      </c>
      <c r="AA5685">
        <v>0.94510139999999998</v>
      </c>
      <c r="AB5685">
        <v>29</v>
      </c>
      <c r="AC5685">
        <v>1.2999999999976799E-2</v>
      </c>
      <c r="AD5685">
        <v>-0.21029220000000001</v>
      </c>
      <c r="AE5685">
        <v>-0.47243000000000201</v>
      </c>
      <c r="AF5685">
        <v>0.151198551361068</v>
      </c>
      <c r="AG5685">
        <v>-0.21029220000000001</v>
      </c>
      <c r="AH5685">
        <v>0.36437684578949098</v>
      </c>
      <c r="AI5685">
        <v>118.06020167212201</v>
      </c>
      <c r="AJ5685">
        <v>67.463943024380299</v>
      </c>
      <c r="AK5685">
        <v>0.44705066498331503</v>
      </c>
      <c r="AL5685">
        <v>91.596887046268094</v>
      </c>
      <c r="AM5685">
        <v>103.54214989288801</v>
      </c>
      <c r="AN5685">
        <v>1.00000005119778</v>
      </c>
    </row>
    <row r="5686" spans="1:40" x14ac:dyDescent="0.25">
      <c r="A5686" t="str">
        <f>"20190305135347765"</f>
        <v>20190305135347765</v>
      </c>
      <c r="B5686" t="str">
        <f>"1551765227756243"</f>
        <v>1551765227756243</v>
      </c>
      <c r="C5686" t="s">
        <v>40</v>
      </c>
      <c r="D5686">
        <v>4.7082790000000001</v>
      </c>
      <c r="E5686">
        <v>0.68527950000000004</v>
      </c>
      <c r="F5686" t="s">
        <v>41</v>
      </c>
      <c r="G5686">
        <v>-298.84379999999999</v>
      </c>
      <c r="H5686">
        <v>0.91403460000000003</v>
      </c>
      <c r="I5686">
        <v>-48.562049999999999</v>
      </c>
      <c r="J5686">
        <v>-298.85649999999998</v>
      </c>
      <c r="K5686">
        <v>1.1151610000000001</v>
      </c>
      <c r="L5686">
        <v>-48.113160000000001</v>
      </c>
      <c r="M5686">
        <v>0.41494710000000001</v>
      </c>
      <c r="N5686">
        <v>-1.4714049999999999E-2</v>
      </c>
      <c r="O5686">
        <v>-0.9097267</v>
      </c>
      <c r="P5686">
        <v>0.61804119999999996</v>
      </c>
      <c r="Q5686">
        <v>-3.6699750000000003E-2</v>
      </c>
      <c r="R5686">
        <v>-0.78528900000000001</v>
      </c>
      <c r="S5686">
        <v>0.62884519999999899</v>
      </c>
      <c r="T5686">
        <v>-0.93068910000000005</v>
      </c>
      <c r="U5686">
        <v>-3.2619929999999999</v>
      </c>
      <c r="V5686">
        <v>-0.2360843</v>
      </c>
      <c r="W5686">
        <v>-2.570826E-2</v>
      </c>
      <c r="X5686">
        <v>0.97139249999999999</v>
      </c>
      <c r="Y5686">
        <v>0.2395572</v>
      </c>
      <c r="Z5686">
        <v>0.2187441</v>
      </c>
      <c r="AA5686">
        <v>0.94591930000000002</v>
      </c>
      <c r="AB5686">
        <v>29</v>
      </c>
      <c r="AC5686">
        <v>1.26999999999952E-2</v>
      </c>
      <c r="AD5686">
        <v>-0.20112640000000001</v>
      </c>
      <c r="AE5686">
        <v>-0.44888999999999801</v>
      </c>
      <c r="AF5686">
        <v>0.145537497444264</v>
      </c>
      <c r="AG5686">
        <v>-0.20112640000000001</v>
      </c>
      <c r="AH5686">
        <v>0.34456519808651698</v>
      </c>
      <c r="AI5686">
        <v>118.267488894366</v>
      </c>
      <c r="AJ5686">
        <v>67.101769596912305</v>
      </c>
      <c r="AK5686">
        <v>0.42468596359157001</v>
      </c>
      <c r="AL5686">
        <v>91.473137022701394</v>
      </c>
      <c r="AM5686">
        <v>103.66014879171399</v>
      </c>
      <c r="AN5686">
        <v>1.00000005019748</v>
      </c>
    </row>
    <row r="5687" spans="1:40" x14ac:dyDescent="0.25">
      <c r="A5687" t="str">
        <f>"20190305135347788"</f>
        <v>20190305135347788</v>
      </c>
      <c r="B5687" t="str">
        <f>"1551765227775762"</f>
        <v>1551765227775762</v>
      </c>
      <c r="C5687" t="s">
        <v>40</v>
      </c>
      <c r="D5687">
        <v>4.6796740000000003</v>
      </c>
      <c r="E5687">
        <v>0.68605859999999996</v>
      </c>
      <c r="F5687" t="s">
        <v>41</v>
      </c>
      <c r="G5687">
        <v>-298.72000000000003</v>
      </c>
      <c r="H5687">
        <v>0.92237519999999995</v>
      </c>
      <c r="I5687">
        <v>-48.793909999999997</v>
      </c>
      <c r="J5687">
        <v>-298.72399999999999</v>
      </c>
      <c r="K5687">
        <v>1.115156</v>
      </c>
      <c r="L5687">
        <v>-48.383699999999997</v>
      </c>
      <c r="M5687">
        <v>0.42177710000000002</v>
      </c>
      <c r="N5687">
        <v>-1.470105E-2</v>
      </c>
      <c r="O5687">
        <v>-0.90658039999999995</v>
      </c>
      <c r="P5687">
        <v>0.62560209999999905</v>
      </c>
      <c r="Q5687">
        <v>-3.577723E-2</v>
      </c>
      <c r="R5687">
        <v>-0.77932179999999995</v>
      </c>
      <c r="S5687">
        <v>0.65390009999999998</v>
      </c>
      <c r="T5687">
        <v>-0.92387200000000003</v>
      </c>
      <c r="U5687">
        <v>-3.2624209999999998</v>
      </c>
      <c r="V5687">
        <v>-0.23816190000000001</v>
      </c>
      <c r="W5687">
        <v>-2.4821409999999999E-2</v>
      </c>
      <c r="X5687">
        <v>0.9709082</v>
      </c>
      <c r="Y5687">
        <v>0.2397754</v>
      </c>
      <c r="Z5687">
        <v>0.21579409999999999</v>
      </c>
      <c r="AA5687">
        <v>0.94654139999999998</v>
      </c>
      <c r="AB5687">
        <v>29</v>
      </c>
      <c r="AC5687">
        <v>3.9999999999622499E-3</v>
      </c>
      <c r="AD5687">
        <v>-0.1927808</v>
      </c>
      <c r="AE5687">
        <v>-0.41020999999999902</v>
      </c>
      <c r="AF5687">
        <v>0.13876465715738601</v>
      </c>
      <c r="AG5687">
        <v>-0.1927808</v>
      </c>
      <c r="AH5687">
        <v>0.30603226787556198</v>
      </c>
      <c r="AI5687">
        <v>119.843466880728</v>
      </c>
      <c r="AJ5687">
        <v>65.608965421445305</v>
      </c>
      <c r="AK5687">
        <v>0.387396200169422</v>
      </c>
      <c r="AL5687">
        <v>91.422308160726303</v>
      </c>
      <c r="AM5687">
        <v>103.78241023687001</v>
      </c>
      <c r="AN5687">
        <v>0.99999996291661797</v>
      </c>
    </row>
    <row r="5688" spans="1:40" x14ac:dyDescent="0.25">
      <c r="A5688" t="str">
        <f>"20190305135347822"</f>
        <v>20190305135347822</v>
      </c>
      <c r="B5688" t="str">
        <f>"1551765227816286"</f>
        <v>1551765227816286</v>
      </c>
      <c r="C5688" t="s">
        <v>40</v>
      </c>
      <c r="D5688">
        <v>4.714181</v>
      </c>
      <c r="E5688">
        <v>0.6870906</v>
      </c>
      <c r="F5688" t="s">
        <v>41</v>
      </c>
      <c r="G5688">
        <v>-298.5421</v>
      </c>
      <c r="H5688">
        <v>0.86876880000000001</v>
      </c>
      <c r="I5688">
        <v>-49.256889999999999</v>
      </c>
      <c r="J5688">
        <v>-298.53530000000001</v>
      </c>
      <c r="K5688">
        <v>1.1151709999999999</v>
      </c>
      <c r="L5688">
        <v>-48.760930000000002</v>
      </c>
      <c r="M5688">
        <v>0.4313536</v>
      </c>
      <c r="N5688">
        <v>-1.468699E-2</v>
      </c>
      <c r="O5688">
        <v>-0.90206370000000002</v>
      </c>
      <c r="P5688">
        <v>0.6358743</v>
      </c>
      <c r="Q5688">
        <v>-3.4404030000000002E-2</v>
      </c>
      <c r="R5688">
        <v>-0.77102579999999998</v>
      </c>
      <c r="S5688">
        <v>0.67993159999999997</v>
      </c>
      <c r="T5688">
        <v>-0.92052290000000003</v>
      </c>
      <c r="U5688">
        <v>-3.261444</v>
      </c>
      <c r="V5688">
        <v>-0.2407368</v>
      </c>
      <c r="W5688">
        <v>-2.350286E-2</v>
      </c>
      <c r="X5688">
        <v>0.97030590000000005</v>
      </c>
      <c r="Y5688">
        <v>0.2426413</v>
      </c>
      <c r="Z5688">
        <v>0.21312999999999999</v>
      </c>
      <c r="AA5688">
        <v>0.94641470000000005</v>
      </c>
      <c r="AB5688">
        <v>29</v>
      </c>
      <c r="AC5688">
        <v>-6.7999999999983603E-3</v>
      </c>
      <c r="AD5688">
        <v>-0.24640219999999899</v>
      </c>
      <c r="AE5688">
        <v>-0.49596000000000301</v>
      </c>
      <c r="AF5688">
        <v>0.1765278675044</v>
      </c>
      <c r="AG5688">
        <v>-0.24640219999999899</v>
      </c>
      <c r="AH5688">
        <v>0.35651940552896799</v>
      </c>
      <c r="AI5688">
        <v>121.77269119327001</v>
      </c>
      <c r="AJ5688">
        <v>63.658038001427997</v>
      </c>
      <c r="AK5688">
        <v>0.46795535971844499</v>
      </c>
      <c r="AL5688">
        <v>91.346738601999206</v>
      </c>
      <c r="AM5688">
        <v>103.93395670049701</v>
      </c>
      <c r="AN5688">
        <v>1.0000000654386101</v>
      </c>
    </row>
    <row r="5689" spans="1:40" x14ac:dyDescent="0.25">
      <c r="A5689" t="str">
        <f>"20190305135347854"</f>
        <v>20190305135347854</v>
      </c>
      <c r="B5689" t="str">
        <f>"1551765227845570"</f>
        <v>1551765227845570</v>
      </c>
      <c r="C5689" t="s">
        <v>40</v>
      </c>
      <c r="D5689">
        <v>4.6924299999999999</v>
      </c>
      <c r="E5689">
        <v>0.70143840000000002</v>
      </c>
      <c r="F5689" t="s">
        <v>41</v>
      </c>
      <c r="G5689">
        <v>-298.37650000000002</v>
      </c>
      <c r="H5689">
        <v>0.9114757</v>
      </c>
      <c r="I5689">
        <v>-49.483179999999997</v>
      </c>
      <c r="J5689">
        <v>-298.3424</v>
      </c>
      <c r="K5689">
        <v>1.1151990000000001</v>
      </c>
      <c r="L5689">
        <v>-49.136049999999997</v>
      </c>
      <c r="M5689">
        <v>0.44097530000000001</v>
      </c>
      <c r="N5689">
        <v>-1.4676430000000001E-2</v>
      </c>
      <c r="O5689">
        <v>-0.89739959999999996</v>
      </c>
      <c r="P5689">
        <v>0.64662790000000003</v>
      </c>
      <c r="Q5689">
        <v>-3.1266830000000002E-2</v>
      </c>
      <c r="R5689">
        <v>-0.76216499999999998</v>
      </c>
      <c r="S5689">
        <v>0.71707149999999997</v>
      </c>
      <c r="T5689">
        <v>-0.91952290000000003</v>
      </c>
      <c r="U5689">
        <v>-3.2585449999999998</v>
      </c>
      <c r="V5689">
        <v>-0.24395269999999999</v>
      </c>
      <c r="W5689">
        <v>-2.0439269999999999E-2</v>
      </c>
      <c r="X5689">
        <v>0.96957170000000004</v>
      </c>
      <c r="Y5689">
        <v>0.2424692</v>
      </c>
      <c r="Z5689">
        <v>0.21112600000000001</v>
      </c>
      <c r="AA5689">
        <v>0.94690790000000002</v>
      </c>
      <c r="AB5689">
        <v>29</v>
      </c>
      <c r="AC5689">
        <v>-3.41000000000235E-2</v>
      </c>
      <c r="AD5689">
        <v>-0.2037233</v>
      </c>
      <c r="AE5689">
        <v>-0.34712999999999899</v>
      </c>
      <c r="AF5689">
        <v>0.136971152355819</v>
      </c>
      <c r="AG5689">
        <v>-0.2037233</v>
      </c>
      <c r="AH5689">
        <v>0.221088035590189</v>
      </c>
      <c r="AI5689">
        <v>128.07207952994401</v>
      </c>
      <c r="AJ5689">
        <v>58.220452826283598</v>
      </c>
      <c r="AK5689">
        <v>0.33036979132738498</v>
      </c>
      <c r="AL5689">
        <v>91.171165482540403</v>
      </c>
      <c r="AM5689">
        <v>104.122961822112</v>
      </c>
      <c r="AN5689">
        <v>0.99999998251815603</v>
      </c>
    </row>
    <row r="5690" spans="1:40" x14ac:dyDescent="0.25">
      <c r="A5690" t="str">
        <f>"20190305135347876"</f>
        <v>20190305135347876</v>
      </c>
      <c r="B5690" t="str">
        <f>"1551765227866063"</f>
        <v>1551765227866063</v>
      </c>
      <c r="C5690" t="s">
        <v>40</v>
      </c>
      <c r="D5690">
        <v>4.6382879999999904</v>
      </c>
      <c r="E5690">
        <v>0.70157819999999904</v>
      </c>
      <c r="F5690" t="s">
        <v>41</v>
      </c>
      <c r="G5690">
        <v>-298.17739999999998</v>
      </c>
      <c r="H5690">
        <v>0.88431369999999898</v>
      </c>
      <c r="I5690">
        <v>-49.947409999999998</v>
      </c>
      <c r="J5690">
        <v>-298.21080000000001</v>
      </c>
      <c r="K5690">
        <v>1.115229</v>
      </c>
      <c r="L5690">
        <v>-49.386229999999998</v>
      </c>
      <c r="M5690">
        <v>0.44746449999999999</v>
      </c>
      <c r="N5690">
        <v>-1.467123E-2</v>
      </c>
      <c r="O5690">
        <v>-0.89418149999999996</v>
      </c>
      <c r="P5690">
        <v>0.65434919999999996</v>
      </c>
      <c r="Q5690">
        <v>-3.0838339999999999E-2</v>
      </c>
      <c r="R5690">
        <v>-0.7555636</v>
      </c>
      <c r="S5690">
        <v>0.67642209999999903</v>
      </c>
      <c r="T5690">
        <v>-0.94642170000000003</v>
      </c>
      <c r="U5690">
        <v>-3.3234560000000002</v>
      </c>
      <c r="V5690">
        <v>-0.24678890000000001</v>
      </c>
      <c r="W5690">
        <v>-2.0078579999999999E-2</v>
      </c>
      <c r="X5690">
        <v>0.96886119999999998</v>
      </c>
      <c r="Y5690">
        <v>0.26432139999999998</v>
      </c>
      <c r="Z5690">
        <v>0.2112735</v>
      </c>
      <c r="AA5690">
        <v>0.94100890000000004</v>
      </c>
      <c r="AB5690">
        <v>29</v>
      </c>
      <c r="AC5690">
        <v>3.3400000000028698E-2</v>
      </c>
      <c r="AD5690">
        <v>-0.23091529999999999</v>
      </c>
      <c r="AE5690">
        <v>-0.56118000000000001</v>
      </c>
      <c r="AF5690">
        <v>0.18932365221144001</v>
      </c>
      <c r="AG5690">
        <v>-0.23091529999999999</v>
      </c>
      <c r="AH5690">
        <v>0.44219132612678202</v>
      </c>
      <c r="AI5690">
        <v>115.643668914814</v>
      </c>
      <c r="AJ5690">
        <v>66.821873637339806</v>
      </c>
      <c r="AK5690">
        <v>0.53357144785167299</v>
      </c>
      <c r="AL5690">
        <v>91.150495242182103</v>
      </c>
      <c r="AM5690">
        <v>104.290519451159</v>
      </c>
      <c r="AN5690">
        <v>0.99999996770173205</v>
      </c>
    </row>
    <row r="5691" spans="1:40" x14ac:dyDescent="0.25">
      <c r="A5691" t="str">
        <f>"20190305135347899"</f>
        <v>20190305135347899</v>
      </c>
      <c r="B5691" t="str">
        <f>"1551765227885583"</f>
        <v>1551765227885583</v>
      </c>
      <c r="C5691" t="s">
        <v>40</v>
      </c>
      <c r="D5691">
        <v>4.7181040000000003</v>
      </c>
      <c r="E5691">
        <v>0.70042769999999899</v>
      </c>
      <c r="F5691" t="s">
        <v>41</v>
      </c>
      <c r="G5691">
        <v>-298.04289999999997</v>
      </c>
      <c r="H5691">
        <v>0.89148700000000003</v>
      </c>
      <c r="I5691">
        <v>-50.17071</v>
      </c>
      <c r="J5691">
        <v>-298.07650000000001</v>
      </c>
      <c r="K5691">
        <v>1.1152580000000001</v>
      </c>
      <c r="L5691">
        <v>-49.637210000000003</v>
      </c>
      <c r="M5691">
        <v>0.45404349999999999</v>
      </c>
      <c r="N5691">
        <v>-1.4667700000000001E-2</v>
      </c>
      <c r="O5691">
        <v>-0.89085890000000001</v>
      </c>
      <c r="P5691">
        <v>0.66236509999999904</v>
      </c>
      <c r="Q5691">
        <v>-3.0954659999999998E-2</v>
      </c>
      <c r="R5691">
        <v>-0.74854160000000003</v>
      </c>
      <c r="S5691">
        <v>0.71032709999999999</v>
      </c>
      <c r="T5691">
        <v>-0.94620380000000004</v>
      </c>
      <c r="U5691">
        <v>-3.3167719999999998</v>
      </c>
      <c r="V5691">
        <v>-0.24996969999999999</v>
      </c>
      <c r="W5691">
        <v>-2.027354E-2</v>
      </c>
      <c r="X5691">
        <v>0.96804140000000005</v>
      </c>
      <c r="Y5691">
        <v>0.26183050000000002</v>
      </c>
      <c r="Z5691">
        <v>0.21029690000000001</v>
      </c>
      <c r="AA5691">
        <v>0.94192359999999997</v>
      </c>
      <c r="AB5691">
        <v>29</v>
      </c>
      <c r="AC5691">
        <v>3.3600000000035303E-2</v>
      </c>
      <c r="AD5691">
        <v>-0.223771</v>
      </c>
      <c r="AE5691">
        <v>-0.53350000000000297</v>
      </c>
      <c r="AF5691">
        <v>0.18066366492837199</v>
      </c>
      <c r="AG5691">
        <v>-0.223771</v>
      </c>
      <c r="AH5691">
        <v>0.41743313369596402</v>
      </c>
      <c r="AI5691">
        <v>116.19557547872</v>
      </c>
      <c r="AJ5691">
        <v>66.597200324899603</v>
      </c>
      <c r="AK5691">
        <v>0.50691541836245602</v>
      </c>
      <c r="AL5691">
        <v>91.161667853184994</v>
      </c>
      <c r="AM5691">
        <v>104.47875984532899</v>
      </c>
      <c r="AN5691">
        <v>1.0000000097280899</v>
      </c>
    </row>
    <row r="5692" spans="1:40" x14ac:dyDescent="0.25">
      <c r="A5692" t="str">
        <f>"20190305135347922"</f>
        <v>20190305135347922</v>
      </c>
      <c r="B5692" t="str">
        <f>"1551765227915838"</f>
        <v>1551765227915838</v>
      </c>
      <c r="C5692" t="s">
        <v>40</v>
      </c>
      <c r="D5692">
        <v>4.4574439999999997</v>
      </c>
      <c r="E5692">
        <v>0.48832579999999998</v>
      </c>
      <c r="F5692" t="s">
        <v>41</v>
      </c>
      <c r="G5692">
        <v>-297.90469999999999</v>
      </c>
      <c r="H5692">
        <v>0.89885059999999894</v>
      </c>
      <c r="I5692">
        <v>-50.391489999999997</v>
      </c>
      <c r="J5692">
        <v>-297.92899999999997</v>
      </c>
      <c r="K5692">
        <v>1.115308</v>
      </c>
      <c r="L5692">
        <v>-49.907809999999998</v>
      </c>
      <c r="M5692">
        <v>0.46123259999999999</v>
      </c>
      <c r="N5692">
        <v>-1.4665859999999999E-2</v>
      </c>
      <c r="O5692">
        <v>-0.887158</v>
      </c>
      <c r="P5692">
        <v>0.67076619999999998</v>
      </c>
      <c r="Q5692">
        <v>-3.1139170000000001E-2</v>
      </c>
      <c r="R5692">
        <v>-0.74101479999999997</v>
      </c>
      <c r="S5692">
        <v>0.7527161</v>
      </c>
      <c r="T5692">
        <v>-0.94790960000000002</v>
      </c>
      <c r="U5692">
        <v>-3.3025509999999998</v>
      </c>
      <c r="V5692">
        <v>-0.25305650000000002</v>
      </c>
      <c r="W5692">
        <v>-2.05452E-2</v>
      </c>
      <c r="X5692">
        <v>0.96723329999999996</v>
      </c>
      <c r="Y5692">
        <v>0.25731470000000001</v>
      </c>
      <c r="Z5692">
        <v>0.2100891</v>
      </c>
      <c r="AA5692">
        <v>0.94321350000000004</v>
      </c>
      <c r="AB5692">
        <v>29</v>
      </c>
      <c r="AC5692">
        <v>2.43000000000392E-2</v>
      </c>
      <c r="AD5692">
        <v>-0.21645739999999999</v>
      </c>
      <c r="AE5692">
        <v>-0.48368000000000599</v>
      </c>
      <c r="AF5692">
        <v>0.167992578262814</v>
      </c>
      <c r="AG5692">
        <v>-0.21645739999999999</v>
      </c>
      <c r="AH5692">
        <v>0.367033108732785</v>
      </c>
      <c r="AI5692">
        <v>118.202335146186</v>
      </c>
      <c r="AJ5692">
        <v>65.406233462904495</v>
      </c>
      <c r="AK5692">
        <v>0.458026871779593</v>
      </c>
      <c r="AL5692">
        <v>91.177236105788495</v>
      </c>
      <c r="AM5692">
        <v>104.66161850138199</v>
      </c>
      <c r="AN5692">
        <v>0.99999997703208898</v>
      </c>
    </row>
    <row r="5693" spans="1:40" x14ac:dyDescent="0.25">
      <c r="A5693" t="str">
        <f>"20190305135347944"</f>
        <v>20190305135347944</v>
      </c>
      <c r="B5693" t="str">
        <f>"1551765227935359"</f>
        <v>1551765227935359</v>
      </c>
      <c r="C5693" t="s">
        <v>40</v>
      </c>
      <c r="D5693">
        <v>4.3046629999999997</v>
      </c>
      <c r="E5693">
        <v>0.4755433</v>
      </c>
      <c r="F5693" t="s">
        <v>81</v>
      </c>
      <c r="G5693">
        <v>-292.34550000000002</v>
      </c>
      <c r="H5693" s="1">
        <v>-9.3939589999999997E-6</v>
      </c>
      <c r="I5693">
        <v>-55.738100000000003</v>
      </c>
      <c r="J5693">
        <v>-297.80040000000002</v>
      </c>
      <c r="K5693">
        <v>1.1153519999999999</v>
      </c>
      <c r="L5693">
        <v>-50.139009999999999</v>
      </c>
      <c r="M5693">
        <v>0.467478</v>
      </c>
      <c r="N5693">
        <v>-1.4666719999999999E-2</v>
      </c>
      <c r="O5693">
        <v>-0.88388330000000004</v>
      </c>
      <c r="P5693">
        <v>0.67861400000000005</v>
      </c>
      <c r="Q5693">
        <v>-3.132004E-2</v>
      </c>
      <c r="R5693">
        <v>-0.73382740000000002</v>
      </c>
      <c r="S5693">
        <v>2.0678709999999998</v>
      </c>
      <c r="T5693">
        <v>-0.41306779999999998</v>
      </c>
      <c r="U5693">
        <v>-2.1593019999999998</v>
      </c>
      <c r="V5693">
        <v>-0.2565231</v>
      </c>
      <c r="W5693">
        <v>-2.0824039999999999E-2</v>
      </c>
      <c r="X5693">
        <v>0.96631369999999905</v>
      </c>
      <c r="Y5693">
        <v>-0.26808729999999997</v>
      </c>
      <c r="Z5693">
        <v>0.11795659999999999</v>
      </c>
      <c r="AA5693">
        <v>0.9561461</v>
      </c>
      <c r="AB5693">
        <v>29</v>
      </c>
      <c r="AC5693">
        <v>5.4549000000000003</v>
      </c>
      <c r="AD5693">
        <v>-1.1153613939589999</v>
      </c>
      <c r="AE5693">
        <v>-5.5990900000000003</v>
      </c>
      <c r="AF5693">
        <v>-2.1602993842782601</v>
      </c>
      <c r="AG5693">
        <v>-1.1153613939589999</v>
      </c>
      <c r="AH5693">
        <v>7.35015350177685</v>
      </c>
      <c r="AI5693">
        <v>98.283415795634795</v>
      </c>
      <c r="AJ5693">
        <v>106.378702800784</v>
      </c>
      <c r="AK5693">
        <v>7.74181380353013</v>
      </c>
      <c r="AL5693">
        <v>91.193215907551107</v>
      </c>
      <c r="AM5693">
        <v>104.867153619867</v>
      </c>
      <c r="AN5693">
        <v>0.99999995414160903</v>
      </c>
    </row>
    <row r="5694" spans="1:40" x14ac:dyDescent="0.25">
      <c r="A5694" t="str">
        <f>"20190305135347966"</f>
        <v>20190305135347966</v>
      </c>
      <c r="B5694" t="str">
        <f>"1551765227955854"</f>
        <v>1551765227955854</v>
      </c>
      <c r="C5694" t="s">
        <v>40</v>
      </c>
      <c r="D5694">
        <v>4.2142999999999997</v>
      </c>
      <c r="E5694">
        <v>0.41011039999999999</v>
      </c>
      <c r="F5694" t="s">
        <v>81</v>
      </c>
      <c r="G5694">
        <v>-290.87810000000002</v>
      </c>
      <c r="H5694" s="1">
        <v>-9.8274119999999996E-6</v>
      </c>
      <c r="I5694">
        <v>-56.740290000000002</v>
      </c>
      <c r="J5694">
        <v>-297.65870000000001</v>
      </c>
      <c r="K5694">
        <v>1.1154269999999999</v>
      </c>
      <c r="L5694">
        <v>-50.389220000000002</v>
      </c>
      <c r="M5694">
        <v>0.47436010000000001</v>
      </c>
      <c r="N5694">
        <v>-1.467043E-2</v>
      </c>
      <c r="O5694">
        <v>-0.88020880000000001</v>
      </c>
      <c r="P5694">
        <v>0.68719049999999904</v>
      </c>
      <c r="Q5694">
        <v>-3.0813480000000001E-2</v>
      </c>
      <c r="R5694">
        <v>-0.72582360000000001</v>
      </c>
      <c r="S5694">
        <v>2.168488</v>
      </c>
      <c r="T5694">
        <v>-0.34939550000000003</v>
      </c>
      <c r="U5694">
        <v>-2.0679020000000001</v>
      </c>
      <c r="V5694">
        <v>-0.26032830000000001</v>
      </c>
      <c r="W5694">
        <v>-2.043356E-2</v>
      </c>
      <c r="X5694">
        <v>0.96530389999999999</v>
      </c>
      <c r="Y5694">
        <v>-0.30545309999999998</v>
      </c>
      <c r="Z5694">
        <v>9.8905099999999996E-2</v>
      </c>
      <c r="AA5694">
        <v>0.94705660000000003</v>
      </c>
      <c r="AB5694">
        <v>29</v>
      </c>
      <c r="AC5694">
        <v>6.78059999999999</v>
      </c>
      <c r="AD5694">
        <v>-1.1154368274119999</v>
      </c>
      <c r="AE5694">
        <v>-6.35107</v>
      </c>
      <c r="AF5694">
        <v>-2.91396245573215</v>
      </c>
      <c r="AG5694">
        <v>-1.1154368274119999</v>
      </c>
      <c r="AH5694">
        <v>8.68250196503854</v>
      </c>
      <c r="AI5694">
        <v>96.944043216630405</v>
      </c>
      <c r="AJ5694">
        <v>108.55243347868701</v>
      </c>
      <c r="AK5694">
        <v>9.2261160236722404</v>
      </c>
      <c r="AL5694">
        <v>91.170838250332196</v>
      </c>
      <c r="AM5694">
        <v>105.092769512289</v>
      </c>
      <c r="AN5694">
        <v>0.99999998675518598</v>
      </c>
    </row>
    <row r="5695" spans="1:40" x14ac:dyDescent="0.25">
      <c r="A5695" t="str">
        <f>"20190305135347989"</f>
        <v>20190305135347989</v>
      </c>
      <c r="B5695" t="str">
        <f>"1551765227986111"</f>
        <v>1551765227986111</v>
      </c>
      <c r="C5695" t="s">
        <v>40</v>
      </c>
      <c r="D5695">
        <v>4.1637969999999997</v>
      </c>
      <c r="E5695">
        <v>0.40752179999999999</v>
      </c>
      <c r="F5695" t="s">
        <v>41</v>
      </c>
      <c r="G5695">
        <v>-296.69130000000001</v>
      </c>
      <c r="H5695">
        <v>1.076616</v>
      </c>
      <c r="I5695">
        <v>-51.020479999999999</v>
      </c>
      <c r="J5695">
        <v>-297.51510000000002</v>
      </c>
      <c r="K5695">
        <v>1.1155120000000001</v>
      </c>
      <c r="L5695">
        <v>-50.637630000000001</v>
      </c>
      <c r="M5695">
        <v>0.48133819999999999</v>
      </c>
      <c r="N5695">
        <v>-1.4676710000000001E-2</v>
      </c>
      <c r="O5695">
        <v>-0.87641219999999997</v>
      </c>
      <c r="P5695">
        <v>0.69530919999999996</v>
      </c>
      <c r="Q5695">
        <v>-3.082089E-2</v>
      </c>
      <c r="R5695">
        <v>-0.71804979999999996</v>
      </c>
      <c r="S5695">
        <v>2.581909</v>
      </c>
      <c r="T5695">
        <v>-0.10357089999999899</v>
      </c>
      <c r="U5695">
        <v>-1.6843870000000001</v>
      </c>
      <c r="V5695">
        <v>-0.26350689999999999</v>
      </c>
      <c r="W5695">
        <v>-2.0553510000000001E-2</v>
      </c>
      <c r="X5695">
        <v>0.96443860000000003</v>
      </c>
      <c r="Y5695">
        <v>-0.47071499999999999</v>
      </c>
      <c r="Z5695">
        <v>2.2383170000000001E-2</v>
      </c>
      <c r="AA5695">
        <v>0.88200129999999999</v>
      </c>
      <c r="AB5695">
        <v>29</v>
      </c>
      <c r="AC5695">
        <v>0.82380000000000497</v>
      </c>
      <c r="AD5695">
        <v>-3.8896E-2</v>
      </c>
      <c r="AE5695">
        <v>-0.38284999999999703</v>
      </c>
      <c r="AF5695">
        <v>-0.53678180893488903</v>
      </c>
      <c r="AG5695">
        <v>-3.8896E-2</v>
      </c>
      <c r="AH5695">
        <v>0.73079980506575204</v>
      </c>
      <c r="AI5695">
        <v>92.456246025600905</v>
      </c>
      <c r="AJ5695">
        <v>126.29775844858599</v>
      </c>
      <c r="AK5695">
        <v>0.90758799259551304</v>
      </c>
      <c r="AL5695">
        <v>91.177712221077996</v>
      </c>
      <c r="AM5695">
        <v>105.281557195839</v>
      </c>
      <c r="AN5695">
        <v>1.0000000731454399</v>
      </c>
    </row>
    <row r="5696" spans="1:40" x14ac:dyDescent="0.25">
      <c r="A5696" t="str">
        <f>"20190305135348012"</f>
        <v>20190305135348012</v>
      </c>
      <c r="B5696" t="str">
        <f>"1551765228005634"</f>
        <v>1551765228005634</v>
      </c>
      <c r="C5696" t="s">
        <v>40</v>
      </c>
      <c r="D5696">
        <v>4.1649209999999997</v>
      </c>
      <c r="E5696">
        <v>0.40690589999999999</v>
      </c>
      <c r="F5696" t="s">
        <v>41</v>
      </c>
      <c r="G5696">
        <v>-296.62099999999998</v>
      </c>
      <c r="H5696">
        <v>1.0615709999999901</v>
      </c>
      <c r="I5696">
        <v>-51.199010000000001</v>
      </c>
      <c r="J5696">
        <v>-297.36739999999998</v>
      </c>
      <c r="K5696">
        <v>1.1155889999999999</v>
      </c>
      <c r="L5696">
        <v>-50.888339999999999</v>
      </c>
      <c r="M5696">
        <v>0.48850440000000001</v>
      </c>
      <c r="N5696">
        <v>-1.4684300000000001E-2</v>
      </c>
      <c r="O5696">
        <v>-0.87243769999999998</v>
      </c>
      <c r="P5696">
        <v>0.70269230000000005</v>
      </c>
      <c r="Q5696">
        <v>-3.2580820000000003E-2</v>
      </c>
      <c r="R5696">
        <v>-0.71074740000000003</v>
      </c>
      <c r="S5696">
        <v>2.6133419999999998</v>
      </c>
      <c r="T5696">
        <v>-0.15765770000000001</v>
      </c>
      <c r="U5696">
        <v>-1.6406860000000001</v>
      </c>
      <c r="V5696">
        <v>-0.26557530000000001</v>
      </c>
      <c r="W5696">
        <v>-2.2404790000000001E-2</v>
      </c>
      <c r="X5696">
        <v>0.96382979999999996</v>
      </c>
      <c r="Y5696">
        <v>-0.47827910000000001</v>
      </c>
      <c r="Z5696">
        <v>3.9908159999999998E-2</v>
      </c>
      <c r="AA5696">
        <v>0.87730069999999905</v>
      </c>
      <c r="AB5696">
        <v>29</v>
      </c>
      <c r="AC5696">
        <v>0.74639999999999396</v>
      </c>
      <c r="AD5696">
        <v>-5.4018000000000101E-2</v>
      </c>
      <c r="AE5696">
        <v>-0.31066999999999401</v>
      </c>
      <c r="AF5696">
        <v>-0.497257891780155</v>
      </c>
      <c r="AG5696">
        <v>-5.4018000000000101E-2</v>
      </c>
      <c r="AH5696">
        <v>0.63290311821948597</v>
      </c>
      <c r="AI5696">
        <v>93.839540352773398</v>
      </c>
      <c r="AJ5696">
        <v>128.15593191612001</v>
      </c>
      <c r="AK5696">
        <v>0.80669059267701504</v>
      </c>
      <c r="AL5696">
        <v>91.283807266718199</v>
      </c>
      <c r="AM5696">
        <v>105.405102129046</v>
      </c>
      <c r="AN5696">
        <v>1.0000000489765299</v>
      </c>
    </row>
    <row r="5697" spans="1:40" x14ac:dyDescent="0.25">
      <c r="A5697" t="str">
        <f>"20190305135348033"</f>
        <v>20190305135348033</v>
      </c>
      <c r="B5697" t="str">
        <f>"1551765228026126"</f>
        <v>1551765228026126</v>
      </c>
      <c r="C5697" t="s">
        <v>40</v>
      </c>
      <c r="D5697">
        <v>4.1804439999999996</v>
      </c>
      <c r="E5697">
        <v>0.40695550000000003</v>
      </c>
      <c r="F5697" t="s">
        <v>41</v>
      </c>
      <c r="G5697">
        <v>-296.49849999999998</v>
      </c>
      <c r="H5697">
        <v>1.0614429999999999</v>
      </c>
      <c r="I5697">
        <v>-51.419609999999999</v>
      </c>
      <c r="J5697">
        <v>-297.22359999999998</v>
      </c>
      <c r="K5697">
        <v>1.1156459999999999</v>
      </c>
      <c r="L5697">
        <v>-51.12762</v>
      </c>
      <c r="M5697">
        <v>0.49546750000000001</v>
      </c>
      <c r="N5697">
        <v>-1.469145E-2</v>
      </c>
      <c r="O5697">
        <v>-0.86850239999999901</v>
      </c>
      <c r="P5697">
        <v>0.71048279999999997</v>
      </c>
      <c r="Q5697">
        <v>-3.6249499999999997E-2</v>
      </c>
      <c r="R5697">
        <v>-0.70278030000000002</v>
      </c>
      <c r="S5697">
        <v>2.6334230000000001</v>
      </c>
      <c r="T5697">
        <v>-0.16409089999999901</v>
      </c>
      <c r="U5697">
        <v>-1.609772</v>
      </c>
      <c r="V5697">
        <v>-0.26851459999999999</v>
      </c>
      <c r="W5697">
        <v>-2.6178659999999999E-2</v>
      </c>
      <c r="X5697">
        <v>0.96291979999999999</v>
      </c>
      <c r="Y5697">
        <v>-0.4816416</v>
      </c>
      <c r="Z5697">
        <v>4.1999950000000001E-2</v>
      </c>
      <c r="AA5697">
        <v>0.87536130000000001</v>
      </c>
      <c r="AB5697">
        <v>29</v>
      </c>
      <c r="AC5697">
        <v>0.72509999999999697</v>
      </c>
      <c r="AD5697">
        <v>-5.4202999999999703E-2</v>
      </c>
      <c r="AE5697">
        <v>-0.29198999999999797</v>
      </c>
      <c r="AF5697">
        <v>-0.48281035560719299</v>
      </c>
      <c r="AG5697">
        <v>-5.4202999999999703E-2</v>
      </c>
      <c r="AH5697">
        <v>0.60999058139184803</v>
      </c>
      <c r="AI5697">
        <v>93.985632265963801</v>
      </c>
      <c r="AJ5697">
        <v>128.361776992714</v>
      </c>
      <c r="AK5697">
        <v>0.77982838758108197</v>
      </c>
      <c r="AL5697">
        <v>91.500098140952204</v>
      </c>
      <c r="AM5697">
        <v>105.581371998311</v>
      </c>
      <c r="AN5697">
        <v>0.99999997694229703</v>
      </c>
    </row>
    <row r="5698" spans="1:40" x14ac:dyDescent="0.25">
      <c r="A5698" t="str">
        <f>"20190305135348055"</f>
        <v>20190305135348055</v>
      </c>
      <c r="B5698" t="str">
        <f>"1551765228045647"</f>
        <v>1551765228045647</v>
      </c>
      <c r="C5698" t="s">
        <v>40</v>
      </c>
      <c r="D5698">
        <v>4.12148</v>
      </c>
      <c r="E5698">
        <v>0.40731810000000002</v>
      </c>
      <c r="F5698" t="s">
        <v>41</v>
      </c>
      <c r="G5698">
        <v>-296.37119999999999</v>
      </c>
      <c r="H5698">
        <v>1.0573699999999999</v>
      </c>
      <c r="I5698">
        <v>-51.635869999999997</v>
      </c>
      <c r="J5698">
        <v>-297.08269999999999</v>
      </c>
      <c r="K5698">
        <v>1.1157060000000001</v>
      </c>
      <c r="L5698">
        <v>-51.357819999999997</v>
      </c>
      <c r="M5698">
        <v>0.50228119999999998</v>
      </c>
      <c r="N5698">
        <v>-1.469873E-2</v>
      </c>
      <c r="O5698">
        <v>-0.8645796</v>
      </c>
      <c r="P5698">
        <v>0.71840660000000001</v>
      </c>
      <c r="Q5698">
        <v>-3.8362609999999998E-2</v>
      </c>
      <c r="R5698">
        <v>-0.69456490000000004</v>
      </c>
      <c r="S5698">
        <v>2.6501459999999999</v>
      </c>
      <c r="T5698">
        <v>-0.1811875</v>
      </c>
      <c r="U5698">
        <v>-1.5802</v>
      </c>
      <c r="V5698">
        <v>-0.27187820000000001</v>
      </c>
      <c r="W5698">
        <v>-2.8402070000000001E-2</v>
      </c>
      <c r="X5698">
        <v>0.96191249999999995</v>
      </c>
      <c r="Y5698">
        <v>-0.48413060000000002</v>
      </c>
      <c r="Z5698">
        <v>4.7523240000000001E-2</v>
      </c>
      <c r="AA5698">
        <v>0.87370429999999999</v>
      </c>
      <c r="AB5698">
        <v>29</v>
      </c>
      <c r="AC5698">
        <v>0.71150000000000002</v>
      </c>
      <c r="AD5698">
        <v>-5.8335999999999701E-2</v>
      </c>
      <c r="AE5698">
        <v>-0.27805000000000002</v>
      </c>
      <c r="AF5698">
        <v>-0.47278323187904198</v>
      </c>
      <c r="AG5698">
        <v>-5.8335999999999701E-2</v>
      </c>
      <c r="AH5698">
        <v>0.59436770500977099</v>
      </c>
      <c r="AI5698">
        <v>94.392339158726401</v>
      </c>
      <c r="AJ5698">
        <v>128.50010695952699</v>
      </c>
      <c r="AK5698">
        <v>0.76170863327165605</v>
      </c>
      <c r="AL5698">
        <v>91.627537532849402</v>
      </c>
      <c r="AM5698">
        <v>105.78259356551401</v>
      </c>
      <c r="AN5698">
        <v>1.0000000454358799</v>
      </c>
    </row>
    <row r="5699" spans="1:40" x14ac:dyDescent="0.25">
      <c r="A5699" t="str">
        <f>"20190305135348077"</f>
        <v>20190305135348077</v>
      </c>
      <c r="B5699" t="str">
        <f>"1551765228066143"</f>
        <v>1551765228066143</v>
      </c>
      <c r="C5699" t="s">
        <v>40</v>
      </c>
      <c r="D5699">
        <v>4.1372999999999998</v>
      </c>
      <c r="E5699">
        <v>0.40787630000000002</v>
      </c>
      <c r="F5699" t="s">
        <v>41</v>
      </c>
      <c r="G5699">
        <v>-296.23989999999998</v>
      </c>
      <c r="H5699">
        <v>1.054503</v>
      </c>
      <c r="I5699">
        <v>-51.848700000000001</v>
      </c>
      <c r="J5699">
        <v>-296.93329999999997</v>
      </c>
      <c r="K5699">
        <v>1.11578</v>
      </c>
      <c r="L5699">
        <v>-51.597290000000001</v>
      </c>
      <c r="M5699">
        <v>0.50948660000000001</v>
      </c>
      <c r="N5699">
        <v>-1.4707380000000001E-2</v>
      </c>
      <c r="O5699">
        <v>-0.86035309999999898</v>
      </c>
      <c r="P5699">
        <v>0.7264178</v>
      </c>
      <c r="Q5699">
        <v>-3.8338289999999997E-2</v>
      </c>
      <c r="R5699">
        <v>-0.68618369999999995</v>
      </c>
      <c r="S5699">
        <v>2.6653440000000002</v>
      </c>
      <c r="T5699">
        <v>-0.19351579999999999</v>
      </c>
      <c r="U5699">
        <v>-1.5517270000000001</v>
      </c>
      <c r="V5699">
        <v>-0.27499459999999998</v>
      </c>
      <c r="W5699">
        <v>-2.8482750000000001E-2</v>
      </c>
      <c r="X5699">
        <v>0.96102379999999998</v>
      </c>
      <c r="Y5699">
        <v>-0.48575360000000001</v>
      </c>
      <c r="Z5699">
        <v>5.1483210000000001E-2</v>
      </c>
      <c r="AA5699">
        <v>0.87257839999999998</v>
      </c>
      <c r="AB5699">
        <v>29</v>
      </c>
      <c r="AC5699">
        <v>0.69339999999999602</v>
      </c>
      <c r="AD5699">
        <v>-6.1276999999999998E-2</v>
      </c>
      <c r="AE5699">
        <v>-0.25140999999999902</v>
      </c>
      <c r="AF5699">
        <v>-0.46531768838858201</v>
      </c>
      <c r="AG5699">
        <v>-6.1276999999999998E-2</v>
      </c>
      <c r="AH5699">
        <v>0.56573606631791096</v>
      </c>
      <c r="AI5699">
        <v>94.781826115482403</v>
      </c>
      <c r="AJ5699">
        <v>129.43728307862301</v>
      </c>
      <c r="AK5699">
        <v>0.73507327429934299</v>
      </c>
      <c r="AL5699">
        <v>91.632162067562106</v>
      </c>
      <c r="AM5699">
        <v>105.968343639658</v>
      </c>
      <c r="AN5699">
        <v>1.00000002062158</v>
      </c>
    </row>
    <row r="5700" spans="1:40" x14ac:dyDescent="0.25">
      <c r="A5700" t="str">
        <f>"20190305135348100"</f>
        <v>20190305135348100</v>
      </c>
      <c r="B5700" t="str">
        <f>"1551765228095426"</f>
        <v>1551765228095426</v>
      </c>
      <c r="C5700" t="s">
        <v>40</v>
      </c>
      <c r="D5700">
        <v>4.1393680000000002</v>
      </c>
      <c r="E5700">
        <v>0.40884569999999998</v>
      </c>
      <c r="F5700" t="s">
        <v>41</v>
      </c>
      <c r="G5700">
        <v>-296.11180000000002</v>
      </c>
      <c r="H5700">
        <v>1.055653</v>
      </c>
      <c r="I5700">
        <v>-52.064540000000001</v>
      </c>
      <c r="J5700">
        <v>-296.78199999999998</v>
      </c>
      <c r="K5700">
        <v>1.1158619999999999</v>
      </c>
      <c r="L5700">
        <v>-51.835169999999998</v>
      </c>
      <c r="M5700">
        <v>0.51674770000000003</v>
      </c>
      <c r="N5700">
        <v>-1.471653E-2</v>
      </c>
      <c r="O5700">
        <v>-0.85601130000000003</v>
      </c>
      <c r="P5700">
        <v>0.73419959999999995</v>
      </c>
      <c r="Q5700">
        <v>-3.7111440000000002E-2</v>
      </c>
      <c r="R5700">
        <v>-0.67791889999999999</v>
      </c>
      <c r="S5700">
        <v>2.6798099999999998</v>
      </c>
      <c r="T5700">
        <v>-0.1961416</v>
      </c>
      <c r="U5700">
        <v>-1.5241389999999999</v>
      </c>
      <c r="V5700">
        <v>-0.27780490000000002</v>
      </c>
      <c r="W5700">
        <v>-2.7351070000000002E-2</v>
      </c>
      <c r="X5700">
        <v>0.96024810000000005</v>
      </c>
      <c r="Y5700">
        <v>-0.48712220000000001</v>
      </c>
      <c r="Z5700">
        <v>5.2312749999999998E-2</v>
      </c>
      <c r="AA5700">
        <v>0.87176569999999998</v>
      </c>
      <c r="AB5700">
        <v>29</v>
      </c>
      <c r="AC5700">
        <v>0.67019999999996505</v>
      </c>
      <c r="AD5700">
        <v>-6.0208999999999901E-2</v>
      </c>
      <c r="AE5700">
        <v>-0.22937000000000199</v>
      </c>
      <c r="AF5700">
        <v>-0.45195644573513299</v>
      </c>
      <c r="AG5700">
        <v>-6.0208999999999901E-2</v>
      </c>
      <c r="AH5700">
        <v>0.53883353669648304</v>
      </c>
      <c r="AI5700">
        <v>94.893240849361305</v>
      </c>
      <c r="AJ5700">
        <v>129.98885524999901</v>
      </c>
      <c r="AK5700">
        <v>0.70585503666926797</v>
      </c>
      <c r="AL5700">
        <v>91.567296283660099</v>
      </c>
      <c r="AM5700">
        <v>106.135438546778</v>
      </c>
      <c r="AN5700">
        <v>1.0000000285238799</v>
      </c>
    </row>
    <row r="5701" spans="1:40" x14ac:dyDescent="0.25">
      <c r="A5701" t="str">
        <f>"20190305135348122"</f>
        <v>20190305135348122</v>
      </c>
      <c r="B5701" t="str">
        <f>"1551765228115918"</f>
        <v>1551765228115918</v>
      </c>
      <c r="C5701" t="s">
        <v>40</v>
      </c>
      <c r="D5701">
        <v>4.1477639999999996</v>
      </c>
      <c r="E5701">
        <v>0.40974169999999999</v>
      </c>
      <c r="F5701" t="s">
        <v>41</v>
      </c>
      <c r="G5701">
        <v>-295.98340000000002</v>
      </c>
      <c r="H5701">
        <v>1.057849</v>
      </c>
      <c r="I5701">
        <v>-52.280230000000003</v>
      </c>
      <c r="J5701">
        <v>-296.62599999999998</v>
      </c>
      <c r="K5701">
        <v>1.115937</v>
      </c>
      <c r="L5701">
        <v>-52.075710000000001</v>
      </c>
      <c r="M5701">
        <v>0.5241751</v>
      </c>
      <c r="N5701">
        <v>-1.472511E-2</v>
      </c>
      <c r="O5701">
        <v>-0.8514832</v>
      </c>
      <c r="P5701">
        <v>0.74227949999999998</v>
      </c>
      <c r="Q5701">
        <v>-3.6435339999999997E-2</v>
      </c>
      <c r="R5701">
        <v>-0.66909919999999901</v>
      </c>
      <c r="S5701">
        <v>2.6916199999999999</v>
      </c>
      <c r="T5701">
        <v>-0.19549469999999999</v>
      </c>
      <c r="U5701">
        <v>-1.499512</v>
      </c>
      <c r="V5701">
        <v>-0.28095490000000001</v>
      </c>
      <c r="W5701">
        <v>-2.677175E-2</v>
      </c>
      <c r="X5701">
        <v>0.95934750000000002</v>
      </c>
      <c r="Y5701">
        <v>-0.48724800000000001</v>
      </c>
      <c r="Z5701">
        <v>5.2070129999999999E-2</v>
      </c>
      <c r="AA5701">
        <v>0.87170990000000004</v>
      </c>
      <c r="AB5701">
        <v>29</v>
      </c>
      <c r="AC5701">
        <v>0.64259999999995898</v>
      </c>
      <c r="AD5701">
        <v>-5.8088000000000098E-2</v>
      </c>
      <c r="AE5701">
        <v>-0.20451999999999501</v>
      </c>
      <c r="AF5701">
        <v>-0.43676583717109801</v>
      </c>
      <c r="AG5701">
        <v>-5.8088000000000098E-2</v>
      </c>
      <c r="AH5701">
        <v>0.507271853548664</v>
      </c>
      <c r="AI5701">
        <v>94.959527237524895</v>
      </c>
      <c r="AJ5701">
        <v>130.728760423263</v>
      </c>
      <c r="AK5701">
        <v>0.67191022143324097</v>
      </c>
      <c r="AL5701">
        <v>91.534091570163994</v>
      </c>
      <c r="AM5701">
        <v>106.323218515815</v>
      </c>
      <c r="AN5701">
        <v>1.0000000040941599</v>
      </c>
    </row>
    <row r="5702" spans="1:40" x14ac:dyDescent="0.25">
      <c r="A5702" t="str">
        <f>"20190305135348144"</f>
        <v>20190305135348144</v>
      </c>
      <c r="B5702" t="str">
        <f>"1551765228135439"</f>
        <v>1551765228135439</v>
      </c>
      <c r="C5702" t="s">
        <v>40</v>
      </c>
      <c r="D5702">
        <v>4.1788589999999903</v>
      </c>
      <c r="E5702">
        <v>0.41047810000000001</v>
      </c>
      <c r="F5702" t="s">
        <v>41</v>
      </c>
      <c r="G5702">
        <v>-295.8546</v>
      </c>
      <c r="H5702">
        <v>1.060524</v>
      </c>
      <c r="I5702">
        <v>-52.495820000000002</v>
      </c>
      <c r="J5702">
        <v>-296.47480000000002</v>
      </c>
      <c r="K5702">
        <v>1.115988</v>
      </c>
      <c r="L5702">
        <v>-52.304569999999998</v>
      </c>
      <c r="M5702">
        <v>0.53130350000000004</v>
      </c>
      <c r="N5702">
        <v>-1.47315E-2</v>
      </c>
      <c r="O5702">
        <v>-0.84705359999999996</v>
      </c>
      <c r="P5702">
        <v>0.74995889999999998</v>
      </c>
      <c r="Q5702">
        <v>-3.6715320000000003E-2</v>
      </c>
      <c r="R5702">
        <v>-0.66046490000000002</v>
      </c>
      <c r="S5702">
        <v>2.7047119999999998</v>
      </c>
      <c r="T5702">
        <v>-0.19424820000000001</v>
      </c>
      <c r="U5702">
        <v>-1.4725649999999999</v>
      </c>
      <c r="V5702">
        <v>-0.2839817</v>
      </c>
      <c r="W5702">
        <v>-2.7136790000000001E-2</v>
      </c>
      <c r="X5702">
        <v>0.95844560000000001</v>
      </c>
      <c r="Y5702">
        <v>-0.48840830000000002</v>
      </c>
      <c r="Z5702">
        <v>5.1658549999999998E-2</v>
      </c>
      <c r="AA5702">
        <v>0.87108479999999999</v>
      </c>
      <c r="AB5702">
        <v>28</v>
      </c>
      <c r="AC5702">
        <v>0.62020000000001096</v>
      </c>
      <c r="AD5702">
        <v>-5.5463999999999902E-2</v>
      </c>
      <c r="AE5702">
        <v>-0.19124999999999601</v>
      </c>
      <c r="AF5702">
        <v>-0.42070433035369198</v>
      </c>
      <c r="AG5702">
        <v>-5.5463999999999902E-2</v>
      </c>
      <c r="AH5702">
        <v>0.48800277334263997</v>
      </c>
      <c r="AI5702">
        <v>94.920030904113403</v>
      </c>
      <c r="AJ5702">
        <v>130.76443259005501</v>
      </c>
      <c r="AK5702">
        <v>0.64669552005905895</v>
      </c>
      <c r="AL5702">
        <v>91.555014445834999</v>
      </c>
      <c r="AM5702">
        <v>106.504241497732</v>
      </c>
      <c r="AN5702">
        <v>0.99999998973287696</v>
      </c>
    </row>
    <row r="5703" spans="1:40" x14ac:dyDescent="0.25">
      <c r="A5703" t="str">
        <f>"20190305135348168"</f>
        <v>20190305135348168</v>
      </c>
      <c r="B5703" t="str">
        <f>"1551765228155935"</f>
        <v>1551765228155935</v>
      </c>
      <c r="C5703" t="s">
        <v>40</v>
      </c>
      <c r="D5703">
        <v>4.1957649999999997</v>
      </c>
      <c r="E5703">
        <v>0.41134850000000001</v>
      </c>
      <c r="F5703" t="s">
        <v>41</v>
      </c>
      <c r="G5703">
        <v>-295.7192</v>
      </c>
      <c r="H5703">
        <v>1.0613889999999999</v>
      </c>
      <c r="I5703">
        <v>-52.706690000000002</v>
      </c>
      <c r="J5703">
        <v>-296.31369999999998</v>
      </c>
      <c r="K5703">
        <v>1.1160219999999901</v>
      </c>
      <c r="L5703">
        <v>-52.543300000000002</v>
      </c>
      <c r="M5703">
        <v>0.53879030000000006</v>
      </c>
      <c r="N5703">
        <v>-1.473617E-2</v>
      </c>
      <c r="O5703">
        <v>-0.84231109999999898</v>
      </c>
      <c r="P5703">
        <v>0.75775090000000001</v>
      </c>
      <c r="Q5703">
        <v>-3.7027049999999999E-2</v>
      </c>
      <c r="R5703">
        <v>-0.65149279999999998</v>
      </c>
      <c r="S5703">
        <v>2.7174680000000002</v>
      </c>
      <c r="T5703">
        <v>-0.1963326</v>
      </c>
      <c r="U5703">
        <v>-1.4456789999999999</v>
      </c>
      <c r="V5703">
        <v>-0.28687079999999998</v>
      </c>
      <c r="W5703">
        <v>-2.7520510000000001E-2</v>
      </c>
      <c r="X5703">
        <v>0.95757389999999998</v>
      </c>
      <c r="Y5703">
        <v>-0.48904890000000001</v>
      </c>
      <c r="Z5703">
        <v>5.2288540000000001E-2</v>
      </c>
      <c r="AA5703">
        <v>0.87068769999999995</v>
      </c>
      <c r="AB5703">
        <v>28</v>
      </c>
      <c r="AC5703">
        <v>0.59449999999998204</v>
      </c>
      <c r="AD5703">
        <v>-5.4632999999999897E-2</v>
      </c>
      <c r="AE5703">
        <v>-0.16338999999999901</v>
      </c>
      <c r="AF5703">
        <v>-0.409549995685975</v>
      </c>
      <c r="AG5703">
        <v>-5.4632999999999897E-2</v>
      </c>
      <c r="AH5703">
        <v>0.45441764291884201</v>
      </c>
      <c r="AI5703">
        <v>95.103401197768903</v>
      </c>
      <c r="AJ5703">
        <v>132.02718087240299</v>
      </c>
      <c r="AK5703">
        <v>0.614175347804924</v>
      </c>
      <c r="AL5703">
        <v>91.577008174556894</v>
      </c>
      <c r="AM5703">
        <v>106.67720894119</v>
      </c>
      <c r="AN5703">
        <v>1.0000000041622501</v>
      </c>
    </row>
    <row r="5704" spans="1:40" x14ac:dyDescent="0.25">
      <c r="A5704" t="str">
        <f>"20190305135348190"</f>
        <v>20190305135348190</v>
      </c>
      <c r="B5704" t="str">
        <f>"1551765228186192"</f>
        <v>1551765228186192</v>
      </c>
      <c r="C5704" t="s">
        <v>40</v>
      </c>
      <c r="D5704">
        <v>4.146255</v>
      </c>
      <c r="E5704">
        <v>0.41267910000000002</v>
      </c>
      <c r="F5704" t="s">
        <v>41</v>
      </c>
      <c r="G5704">
        <v>-295.36189999999999</v>
      </c>
      <c r="H5704">
        <v>1.04749</v>
      </c>
      <c r="I5704">
        <v>-53.038020000000003</v>
      </c>
      <c r="J5704">
        <v>-296.15640000000002</v>
      </c>
      <c r="K5704">
        <v>1.1160300000000001</v>
      </c>
      <c r="L5704">
        <v>-52.772089999999999</v>
      </c>
      <c r="M5704">
        <v>0.54599359999999997</v>
      </c>
      <c r="N5704">
        <v>-1.473898E-2</v>
      </c>
      <c r="O5704">
        <v>-0.83765979999999995</v>
      </c>
      <c r="P5704">
        <v>0.76524040000000004</v>
      </c>
      <c r="Q5704">
        <v>-3.6418399999999997E-2</v>
      </c>
      <c r="R5704">
        <v>-0.64271400000000001</v>
      </c>
      <c r="S5704">
        <v>2.7298580000000001</v>
      </c>
      <c r="T5704">
        <v>-0.19653580000000001</v>
      </c>
      <c r="U5704">
        <v>-1.4185490000000001</v>
      </c>
      <c r="V5704">
        <v>-0.28972900000000001</v>
      </c>
      <c r="W5704">
        <v>-2.697335E-2</v>
      </c>
      <c r="X5704">
        <v>0.95672860000000004</v>
      </c>
      <c r="Y5704">
        <v>-0.48999340000000002</v>
      </c>
      <c r="Z5704">
        <v>5.232991E-2</v>
      </c>
      <c r="AA5704">
        <v>0.87015399999999998</v>
      </c>
      <c r="AB5704">
        <v>28</v>
      </c>
      <c r="AC5704">
        <v>0.79450000000002696</v>
      </c>
      <c r="AD5704">
        <v>-6.8539999999999796E-2</v>
      </c>
      <c r="AE5704">
        <v>-0.26592999999999001</v>
      </c>
      <c r="AF5704">
        <v>-0.51692165761233899</v>
      </c>
      <c r="AG5704">
        <v>-6.8539999999999796E-2</v>
      </c>
      <c r="AH5704">
        <v>0.65225687763224505</v>
      </c>
      <c r="AI5704">
        <v>94.707949327890404</v>
      </c>
      <c r="AJ5704">
        <v>128.397260646169</v>
      </c>
      <c r="AK5704">
        <v>0.83507171316435702</v>
      </c>
      <c r="AL5704">
        <v>91.545646525076705</v>
      </c>
      <c r="AM5704">
        <v>106.848044769927</v>
      </c>
      <c r="AN5704">
        <v>1.0000000345545901</v>
      </c>
    </row>
    <row r="5705" spans="1:40" x14ac:dyDescent="0.25">
      <c r="A5705" t="str">
        <f>"20190305135348212"</f>
        <v>20190305135348212</v>
      </c>
      <c r="B5705" t="str">
        <f>"1551765228205714"</f>
        <v>1551765228205714</v>
      </c>
      <c r="C5705" t="s">
        <v>40</v>
      </c>
      <c r="D5705">
        <v>4.1563610000000004</v>
      </c>
      <c r="E5705">
        <v>0.4135644</v>
      </c>
      <c r="F5705" t="s">
        <v>41</v>
      </c>
      <c r="G5705">
        <v>-295.22570000000002</v>
      </c>
      <c r="H5705">
        <v>1.0500640000000001</v>
      </c>
      <c r="I5705">
        <v>-53.246009999999998</v>
      </c>
      <c r="J5705">
        <v>-295.99509999999998</v>
      </c>
      <c r="K5705">
        <v>1.116028</v>
      </c>
      <c r="L5705">
        <v>-53.002319999999997</v>
      </c>
      <c r="M5705">
        <v>0.55325749999999996</v>
      </c>
      <c r="N5705">
        <v>-1.474059E-2</v>
      </c>
      <c r="O5705">
        <v>-0.83287990000000001</v>
      </c>
      <c r="P5705">
        <v>0.77271650000000003</v>
      </c>
      <c r="Q5705">
        <v>-3.643822E-2</v>
      </c>
      <c r="R5705">
        <v>-0.63370470000000001</v>
      </c>
      <c r="S5705">
        <v>2.7394099999999999</v>
      </c>
      <c r="T5705">
        <v>-0.1941746</v>
      </c>
      <c r="U5705">
        <v>-1.395111</v>
      </c>
      <c r="V5705">
        <v>-0.29261350000000003</v>
      </c>
      <c r="W5705">
        <v>-2.7049489999999999E-2</v>
      </c>
      <c r="X5705">
        <v>0.95584820000000004</v>
      </c>
      <c r="Y5705">
        <v>-0.48959150000000001</v>
      </c>
      <c r="Z5705">
        <v>5.1530590000000001E-2</v>
      </c>
      <c r="AA5705">
        <v>0.87042790000000003</v>
      </c>
      <c r="AB5705">
        <v>28</v>
      </c>
      <c r="AC5705">
        <v>0.769399999999961</v>
      </c>
      <c r="AD5705">
        <v>-6.5964000000000106E-2</v>
      </c>
      <c r="AE5705">
        <v>-0.24368999999999999</v>
      </c>
      <c r="AF5705">
        <v>-0.50269133855995096</v>
      </c>
      <c r="AG5705">
        <v>-6.5964000000000106E-2</v>
      </c>
      <c r="AH5705">
        <v>0.62453705057850994</v>
      </c>
      <c r="AI5705">
        <v>94.7036290145804</v>
      </c>
      <c r="AJ5705">
        <v>128.830669797844</v>
      </c>
      <c r="AK5705">
        <v>0.80442299737420497</v>
      </c>
      <c r="AL5705">
        <v>91.550010581008294</v>
      </c>
      <c r="AM5705">
        <v>107.020904222198</v>
      </c>
      <c r="AN5705">
        <v>1.00000005836737</v>
      </c>
    </row>
    <row r="5706" spans="1:40" x14ac:dyDescent="0.25">
      <c r="A5706" t="str">
        <f>"20190305135348234"</f>
        <v>20190305135348234</v>
      </c>
      <c r="B5706" t="str">
        <f>"1551765228226207"</f>
        <v>1551765228226207</v>
      </c>
      <c r="C5706" t="s">
        <v>40</v>
      </c>
      <c r="D5706">
        <v>4.1310659999999997</v>
      </c>
      <c r="E5706">
        <v>0.41455950000000003</v>
      </c>
      <c r="F5706" t="s">
        <v>41</v>
      </c>
      <c r="G5706">
        <v>-295.08870000000002</v>
      </c>
      <c r="H5706">
        <v>1.0525249999999999</v>
      </c>
      <c r="I5706">
        <v>-53.453420000000001</v>
      </c>
      <c r="J5706">
        <v>-295.834</v>
      </c>
      <c r="K5706">
        <v>1.1160129999999999</v>
      </c>
      <c r="L5706">
        <v>-53.228180000000002</v>
      </c>
      <c r="M5706">
        <v>0.56038969999999999</v>
      </c>
      <c r="N5706">
        <v>-1.4741239999999999E-2</v>
      </c>
      <c r="O5706">
        <v>-0.82809809999999995</v>
      </c>
      <c r="P5706">
        <v>0.78007269999999995</v>
      </c>
      <c r="Q5706">
        <v>-3.7024420000000002E-2</v>
      </c>
      <c r="R5706">
        <v>-0.62459299999999995</v>
      </c>
      <c r="S5706">
        <v>2.7510379999999999</v>
      </c>
      <c r="T5706">
        <v>-0.19268540000000001</v>
      </c>
      <c r="U5706">
        <v>-1.368439</v>
      </c>
      <c r="V5706">
        <v>-0.29558759999999901</v>
      </c>
      <c r="W5706">
        <v>-2.7690849999999999E-2</v>
      </c>
      <c r="X5706">
        <v>0.95491420000000005</v>
      </c>
      <c r="Y5706">
        <v>-0.49036010000000002</v>
      </c>
      <c r="Z5706">
        <v>5.1026519999999999E-2</v>
      </c>
      <c r="AA5706">
        <v>0.87002489999999999</v>
      </c>
      <c r="AB5706">
        <v>28</v>
      </c>
      <c r="AC5706">
        <v>0.74529999999998597</v>
      </c>
      <c r="AD5706">
        <v>-6.3487999999999906E-2</v>
      </c>
      <c r="AE5706">
        <v>-0.225239999999992</v>
      </c>
      <c r="AF5706">
        <v>-0.48776936293656398</v>
      </c>
      <c r="AG5706">
        <v>-6.3487999999999906E-2</v>
      </c>
      <c r="AH5706">
        <v>0.60025364573508799</v>
      </c>
      <c r="AI5706">
        <v>94.692561998544804</v>
      </c>
      <c r="AJ5706">
        <v>129.0974968129</v>
      </c>
      <c r="AK5706">
        <v>0.77605033134572299</v>
      </c>
      <c r="AL5706">
        <v>91.586771711351801</v>
      </c>
      <c r="AM5706">
        <v>107.199577129641</v>
      </c>
      <c r="AN5706">
        <v>0.99999997090456005</v>
      </c>
    </row>
    <row r="5707" spans="1:40" x14ac:dyDescent="0.25">
      <c r="A5707" t="str">
        <f>"20190305135348256"</f>
        <v>20190305135348256</v>
      </c>
      <c r="B5707" t="str">
        <f>"1551765228245727"</f>
        <v>1551765228245727</v>
      </c>
      <c r="C5707" t="s">
        <v>40</v>
      </c>
      <c r="D5707">
        <v>4.4599070000000003</v>
      </c>
      <c r="E5707">
        <v>0.4146108</v>
      </c>
      <c r="F5707" t="s">
        <v>41</v>
      </c>
      <c r="G5707">
        <v>-294.94889999999998</v>
      </c>
      <c r="H5707">
        <v>1.053974</v>
      </c>
      <c r="I5707">
        <v>-53.658360000000002</v>
      </c>
      <c r="J5707">
        <v>-295.67489999999998</v>
      </c>
      <c r="K5707">
        <v>1.1160000000000001</v>
      </c>
      <c r="L5707">
        <v>-53.447420000000001</v>
      </c>
      <c r="M5707">
        <v>0.56731330000000002</v>
      </c>
      <c r="N5707">
        <v>-1.474115E-2</v>
      </c>
      <c r="O5707">
        <v>-0.8233703</v>
      </c>
      <c r="P5707">
        <v>0.78750600000000004</v>
      </c>
      <c r="Q5707">
        <v>-3.8309669999999997E-2</v>
      </c>
      <c r="R5707">
        <v>-0.61511559999999998</v>
      </c>
      <c r="S5707">
        <v>2.7619630000000002</v>
      </c>
      <c r="T5707">
        <v>-0.19358059999999999</v>
      </c>
      <c r="U5707">
        <v>-1.342163</v>
      </c>
      <c r="V5707">
        <v>-0.29905169999999998</v>
      </c>
      <c r="W5707">
        <v>-2.9040900000000001E-2</v>
      </c>
      <c r="X5707">
        <v>0.9537949</v>
      </c>
      <c r="Y5707">
        <v>-0.4910832</v>
      </c>
      <c r="Z5707">
        <v>5.1278320000000002E-2</v>
      </c>
      <c r="AA5707">
        <v>0.86960210000000004</v>
      </c>
      <c r="AB5707">
        <v>28</v>
      </c>
      <c r="AC5707">
        <v>0.72599999999999898</v>
      </c>
      <c r="AD5707">
        <v>-6.2025999999999901E-2</v>
      </c>
      <c r="AE5707">
        <v>-0.21093999999999999</v>
      </c>
      <c r="AF5707">
        <v>-0.47495275806999598</v>
      </c>
      <c r="AG5707">
        <v>-6.2025999999999901E-2</v>
      </c>
      <c r="AH5707">
        <v>0.58169932695444304</v>
      </c>
      <c r="AI5707">
        <v>94.721606804779697</v>
      </c>
      <c r="AJ5707">
        <v>129.23135775495899</v>
      </c>
      <c r="AK5707">
        <v>0.75352601418501097</v>
      </c>
      <c r="AL5707">
        <v>91.664154972980995</v>
      </c>
      <c r="AM5707">
        <v>107.40823171343099</v>
      </c>
      <c r="AN5707">
        <v>1.0000000022058499</v>
      </c>
    </row>
    <row r="5708" spans="1:40" x14ac:dyDescent="0.25">
      <c r="A5708" t="str">
        <f>"20190305135348278"</f>
        <v>20190305135348278</v>
      </c>
      <c r="B5708" t="str">
        <f>"1551765228275983"</f>
        <v>1551765228275983</v>
      </c>
      <c r="C5708" t="s">
        <v>40</v>
      </c>
      <c r="D5708">
        <v>4.0988889999999998</v>
      </c>
      <c r="E5708">
        <v>0.3410086</v>
      </c>
      <c r="F5708" t="s">
        <v>41</v>
      </c>
      <c r="G5708">
        <v>-294.80410000000001</v>
      </c>
      <c r="H5708">
        <v>1.0528010000000001</v>
      </c>
      <c r="I5708">
        <v>-53.8581</v>
      </c>
      <c r="J5708">
        <v>-295.50819999999999</v>
      </c>
      <c r="K5708">
        <v>1.115988</v>
      </c>
      <c r="L5708">
        <v>-53.673000000000002</v>
      </c>
      <c r="M5708">
        <v>0.57444300000000004</v>
      </c>
      <c r="N5708">
        <v>-1.474057E-2</v>
      </c>
      <c r="O5708">
        <v>-0.81841200000000003</v>
      </c>
      <c r="P5708">
        <v>0.79570390000000002</v>
      </c>
      <c r="Q5708">
        <v>-4.0617170000000001E-2</v>
      </c>
      <c r="R5708">
        <v>-0.60432280000000005</v>
      </c>
      <c r="S5708">
        <v>2.777161</v>
      </c>
      <c r="T5708">
        <v>-0.20151469999999999</v>
      </c>
      <c r="U5708">
        <v>-1.309113</v>
      </c>
      <c r="V5708">
        <v>-0.30363420000000002</v>
      </c>
      <c r="W5708">
        <v>-3.1438220000000003E-2</v>
      </c>
      <c r="X5708">
        <v>0.9522699</v>
      </c>
      <c r="Y5708">
        <v>-0.4936721</v>
      </c>
      <c r="Z5708">
        <v>5.3765050000000002E-2</v>
      </c>
      <c r="AA5708">
        <v>0.86798449999999905</v>
      </c>
      <c r="AB5708">
        <v>28</v>
      </c>
      <c r="AC5708">
        <v>0.70409999999998196</v>
      </c>
      <c r="AD5708">
        <v>-6.3186999999999799E-2</v>
      </c>
      <c r="AE5708">
        <v>-0.18509999999999799</v>
      </c>
      <c r="AF5708">
        <v>-0.46645174250631799</v>
      </c>
      <c r="AG5708">
        <v>-6.3186999999999799E-2</v>
      </c>
      <c r="AH5708">
        <v>0.55185661915285</v>
      </c>
      <c r="AI5708">
        <v>94.997590075761806</v>
      </c>
      <c r="AJ5708">
        <v>130.205859067522</v>
      </c>
      <c r="AK5708">
        <v>0.72533823362552297</v>
      </c>
      <c r="AL5708">
        <v>91.801574125928198</v>
      </c>
      <c r="AM5708">
        <v>107.68504266005399</v>
      </c>
      <c r="AN5708">
        <v>1.0000000257662001</v>
      </c>
    </row>
    <row r="5709" spans="1:40" x14ac:dyDescent="0.25">
      <c r="A5709" t="str">
        <f>"20190305135348302"</f>
        <v>20190305135348302</v>
      </c>
      <c r="B5709" t="str">
        <f>"1551765228295503"</f>
        <v>1551765228295503</v>
      </c>
      <c r="C5709" t="s">
        <v>40</v>
      </c>
      <c r="D5709">
        <v>4.0313600000000003</v>
      </c>
      <c r="E5709">
        <v>0.33790949999999997</v>
      </c>
      <c r="F5709" t="s">
        <v>81</v>
      </c>
      <c r="G5709">
        <v>-281.60090000000002</v>
      </c>
      <c r="H5709" s="1">
        <v>-5.9588560000000003E-6</v>
      </c>
      <c r="I5709">
        <v>-57.224519999999998</v>
      </c>
      <c r="J5709">
        <v>-295.33120000000002</v>
      </c>
      <c r="K5709">
        <v>1.116001</v>
      </c>
      <c r="L5709">
        <v>-53.908169999999998</v>
      </c>
      <c r="M5709">
        <v>0.58189089999999999</v>
      </c>
      <c r="N5709">
        <v>-1.4740079999999999E-2</v>
      </c>
      <c r="O5709">
        <v>-0.81313340000000001</v>
      </c>
      <c r="P5709">
        <v>0.80446130000000005</v>
      </c>
      <c r="Q5709">
        <v>-4.2128279999999997E-2</v>
      </c>
      <c r="R5709">
        <v>-0.59250959999999997</v>
      </c>
      <c r="S5709">
        <v>3.1470030000000002</v>
      </c>
      <c r="T5709">
        <v>-0.25253130000000001</v>
      </c>
      <c r="U5709">
        <v>-0.80364990000000003</v>
      </c>
      <c r="V5709">
        <v>-0.30890339999999999</v>
      </c>
      <c r="W5709">
        <v>-3.3057450000000002E-2</v>
      </c>
      <c r="X5709">
        <v>0.95051870000000005</v>
      </c>
      <c r="Y5709">
        <v>-0.64089600000000002</v>
      </c>
      <c r="Z5709">
        <v>7.0628490000000002E-2</v>
      </c>
      <c r="AA5709">
        <v>0.76437159999999904</v>
      </c>
      <c r="AB5709">
        <v>28</v>
      </c>
      <c r="AC5709">
        <v>13.7303</v>
      </c>
      <c r="AD5709">
        <v>-1.116006958856</v>
      </c>
      <c r="AE5709">
        <v>-3.3163499999999999</v>
      </c>
      <c r="AF5709">
        <v>-9.1785184042675407</v>
      </c>
      <c r="AG5709">
        <v>-1.116006958856</v>
      </c>
      <c r="AH5709">
        <v>10.6210311962743</v>
      </c>
      <c r="AI5709">
        <v>94.545557576314494</v>
      </c>
      <c r="AJ5709">
        <v>130.833030244105</v>
      </c>
      <c r="AK5709">
        <v>14.0817958834065</v>
      </c>
      <c r="AL5709">
        <v>91.894397595121902</v>
      </c>
      <c r="AM5709">
        <v>108.003334128026</v>
      </c>
      <c r="AN5709">
        <v>0.99999995229087502</v>
      </c>
    </row>
    <row r="5710" spans="1:40" x14ac:dyDescent="0.25">
      <c r="A5710" t="str">
        <f>"20190305135348323"</f>
        <v>20190305135348323</v>
      </c>
      <c r="B5710" t="str">
        <f>"1551765228315999"</f>
        <v>1551765228315999</v>
      </c>
      <c r="C5710" t="s">
        <v>40</v>
      </c>
      <c r="D5710">
        <v>4.0487449999999896</v>
      </c>
      <c r="E5710">
        <v>0.33888390000000002</v>
      </c>
      <c r="F5710" t="s">
        <v>42</v>
      </c>
      <c r="G5710">
        <v>-279.40350000000001</v>
      </c>
      <c r="H5710" s="1">
        <v>-3.8028790000000001E-6</v>
      </c>
      <c r="I5710">
        <v>-57.604120000000002</v>
      </c>
      <c r="J5710">
        <v>-295.17009999999999</v>
      </c>
      <c r="K5710">
        <v>1.1160369999999999</v>
      </c>
      <c r="L5710">
        <v>-54.11835</v>
      </c>
      <c r="M5710">
        <v>0.58858409999999906</v>
      </c>
      <c r="N5710">
        <v>-1.474059E-2</v>
      </c>
      <c r="O5710">
        <v>-0.80830170000000001</v>
      </c>
      <c r="P5710">
        <v>0.81269029999999998</v>
      </c>
      <c r="Q5710">
        <v>-3.9783539999999999E-2</v>
      </c>
      <c r="R5710">
        <v>-0.58133639999999998</v>
      </c>
      <c r="S5710">
        <v>3.1749269999999998</v>
      </c>
      <c r="T5710">
        <v>-0.22245680000000001</v>
      </c>
      <c r="U5710">
        <v>-0.73672490000000002</v>
      </c>
      <c r="V5710">
        <v>-0.31431530000000002</v>
      </c>
      <c r="W5710">
        <v>-3.0831649999999999E-2</v>
      </c>
      <c r="X5710">
        <v>0.94881780000000004</v>
      </c>
      <c r="Y5710">
        <v>-0.652061</v>
      </c>
      <c r="Z5710">
        <v>6.1295139999999998E-2</v>
      </c>
      <c r="AA5710">
        <v>0.75568469999999999</v>
      </c>
      <c r="AB5710">
        <v>28</v>
      </c>
      <c r="AC5710">
        <v>15.766599999999899</v>
      </c>
      <c r="AD5710">
        <v>-1.1160408028790001</v>
      </c>
      <c r="AE5710">
        <v>-3.4857699999999898</v>
      </c>
      <c r="AF5710">
        <v>-10.6428205876642</v>
      </c>
      <c r="AG5710">
        <v>-1.1160408028790001</v>
      </c>
      <c r="AH5710">
        <v>12.0413155802277</v>
      </c>
      <c r="AI5710">
        <v>93.972601197737703</v>
      </c>
      <c r="AJ5710">
        <v>131.47213480673699</v>
      </c>
      <c r="AK5710">
        <v>16.109266216607601</v>
      </c>
      <c r="AL5710">
        <v>91.766803487833897</v>
      </c>
      <c r="AM5710">
        <v>108.32850803821999</v>
      </c>
      <c r="AN5710">
        <v>0.99999995802632502</v>
      </c>
    </row>
    <row r="5711" spans="1:40" x14ac:dyDescent="0.25">
      <c r="A5711" t="str">
        <f>"20190305135348346"</f>
        <v>20190305135348346</v>
      </c>
      <c r="B5711" t="str">
        <f>"1551765228335519"</f>
        <v>1551765228335519</v>
      </c>
      <c r="C5711" t="s">
        <v>40</v>
      </c>
      <c r="D5711">
        <v>4.0352169999999896</v>
      </c>
      <c r="E5711">
        <v>0.34106019999999998</v>
      </c>
      <c r="F5711" t="s">
        <v>42</v>
      </c>
      <c r="G5711">
        <v>-278.15910000000002</v>
      </c>
      <c r="H5711" s="1">
        <v>-3.2131159999999998E-6</v>
      </c>
      <c r="I5711">
        <v>-57.857089999999999</v>
      </c>
      <c r="J5711">
        <v>-295.00240000000002</v>
      </c>
      <c r="K5711">
        <v>1.1161049999999999</v>
      </c>
      <c r="L5711">
        <v>-54.333190000000002</v>
      </c>
      <c r="M5711">
        <v>0.59550789999999998</v>
      </c>
      <c r="N5711">
        <v>-1.474379E-2</v>
      </c>
      <c r="O5711">
        <v>-0.80321399999999998</v>
      </c>
      <c r="P5711">
        <v>0.82049340000000004</v>
      </c>
      <c r="Q5711">
        <v>-3.4624009999999997E-2</v>
      </c>
      <c r="R5711">
        <v>-0.57060639999999996</v>
      </c>
      <c r="S5711">
        <v>3.1811219999999998</v>
      </c>
      <c r="T5711">
        <v>-0.20870359999999999</v>
      </c>
      <c r="U5711">
        <v>-0.69915769999999899</v>
      </c>
      <c r="V5711">
        <v>-0.31889230000000002</v>
      </c>
      <c r="W5711">
        <v>-2.5793279999999998E-2</v>
      </c>
      <c r="X5711">
        <v>0.9474399</v>
      </c>
      <c r="Y5711">
        <v>-0.65466269999999904</v>
      </c>
      <c r="Z5711">
        <v>5.7065360000000002E-2</v>
      </c>
      <c r="AA5711">
        <v>0.75376399999999999</v>
      </c>
      <c r="AB5711">
        <v>28</v>
      </c>
      <c r="AC5711">
        <v>16.843299999999999</v>
      </c>
      <c r="AD5711">
        <v>-1.1161082131159901</v>
      </c>
      <c r="AE5711">
        <v>-3.52389999999999</v>
      </c>
      <c r="AF5711">
        <v>-11.383619250494</v>
      </c>
      <c r="AG5711">
        <v>-1.1161082131159901</v>
      </c>
      <c r="AH5711">
        <v>12.808281589894101</v>
      </c>
      <c r="AI5711">
        <v>93.726568956784604</v>
      </c>
      <c r="AJ5711">
        <v>131.62974093421201</v>
      </c>
      <c r="AK5711">
        <v>17.172203180419899</v>
      </c>
      <c r="AL5711">
        <v>91.478010031949793</v>
      </c>
      <c r="AM5711">
        <v>108.602365500182</v>
      </c>
      <c r="AN5711">
        <v>0.99999997820222897</v>
      </c>
    </row>
    <row r="5712" spans="1:40" x14ac:dyDescent="0.25">
      <c r="A5712" t="str">
        <f>"20190305135348369"</f>
        <v>20190305135348369</v>
      </c>
      <c r="B5712" t="str">
        <f>"1551765228365775"</f>
        <v>1551765228365775</v>
      </c>
      <c r="C5712" t="s">
        <v>40</v>
      </c>
      <c r="D5712">
        <v>4.0583920000000004</v>
      </c>
      <c r="E5712">
        <v>0.34315590000000001</v>
      </c>
      <c r="F5712" t="s">
        <v>42</v>
      </c>
      <c r="G5712">
        <v>-277.3064</v>
      </c>
      <c r="H5712" s="1">
        <v>-2.799921E-6</v>
      </c>
      <c r="I5712">
        <v>-58.071480000000001</v>
      </c>
      <c r="J5712">
        <v>-294.82420000000002</v>
      </c>
      <c r="K5712">
        <v>1.116215</v>
      </c>
      <c r="L5712">
        <v>-54.556849999999997</v>
      </c>
      <c r="M5712">
        <v>0.60287139999999995</v>
      </c>
      <c r="N5712">
        <v>-1.4753219999999999E-2</v>
      </c>
      <c r="O5712">
        <v>-0.79770209999999997</v>
      </c>
      <c r="P5712">
        <v>0.82809330000000003</v>
      </c>
      <c r="Q5712">
        <v>-3.0563779999999999E-2</v>
      </c>
      <c r="R5712">
        <v>-0.55975649999999999</v>
      </c>
      <c r="S5712">
        <v>3.1806030000000001</v>
      </c>
      <c r="T5712">
        <v>-0.2006048</v>
      </c>
      <c r="U5712">
        <v>-0.67190550000000004</v>
      </c>
      <c r="V5712">
        <v>-0.3228316</v>
      </c>
      <c r="W5712">
        <v>-2.1877170000000001E-2</v>
      </c>
      <c r="X5712">
        <v>0.94620349999999998</v>
      </c>
      <c r="Y5712">
        <v>-0.65402749999999998</v>
      </c>
      <c r="Z5712">
        <v>5.4569069999999997E-2</v>
      </c>
      <c r="AA5712">
        <v>0.75449999999999995</v>
      </c>
      <c r="AB5712">
        <v>28</v>
      </c>
      <c r="AC5712">
        <v>17.517800000000001</v>
      </c>
      <c r="AD5712">
        <v>-1.1162177999209999</v>
      </c>
      <c r="AE5712">
        <v>-3.5146300000000101</v>
      </c>
      <c r="AF5712">
        <v>-11.810309245739999</v>
      </c>
      <c r="AG5712">
        <v>-1.1162177999209999</v>
      </c>
      <c r="AH5712">
        <v>13.3140964870913</v>
      </c>
      <c r="AI5712">
        <v>93.588771236298399</v>
      </c>
      <c r="AJ5712">
        <v>131.574725200752</v>
      </c>
      <c r="AK5712">
        <v>17.832400621465698</v>
      </c>
      <c r="AL5712">
        <v>91.253569570220293</v>
      </c>
      <c r="AM5712">
        <v>108.838934157517</v>
      </c>
      <c r="AN5712">
        <v>0.99999995796900798</v>
      </c>
    </row>
    <row r="5713" spans="1:40" x14ac:dyDescent="0.25">
      <c r="A5713" t="str">
        <f>"20190305135348392"</f>
        <v>20190305135348392</v>
      </c>
      <c r="B5713" t="str">
        <f>"1551765228386272"</f>
        <v>1551765228386272</v>
      </c>
      <c r="C5713" t="s">
        <v>40</v>
      </c>
      <c r="D5713">
        <v>4.0715190000000003</v>
      </c>
      <c r="E5713">
        <v>0.34460990000000002</v>
      </c>
      <c r="F5713" t="s">
        <v>42</v>
      </c>
      <c r="G5713">
        <v>-276.00599999999997</v>
      </c>
      <c r="H5713" s="1">
        <v>-2.1766859999999999E-6</v>
      </c>
      <c r="I5713">
        <v>-58.3671199999999</v>
      </c>
      <c r="J5713">
        <v>-294.65050000000002</v>
      </c>
      <c r="K5713">
        <v>1.1163419999999999</v>
      </c>
      <c r="L5713">
        <v>-54.770600000000002</v>
      </c>
      <c r="M5713">
        <v>0.61005379999999998</v>
      </c>
      <c r="N5713">
        <v>-1.476774E-2</v>
      </c>
      <c r="O5713">
        <v>-0.79222230000000005</v>
      </c>
      <c r="P5713">
        <v>0.83497379999999999</v>
      </c>
      <c r="Q5713">
        <v>-2.9226060000000002E-2</v>
      </c>
      <c r="R5713">
        <v>-0.54951340000000004</v>
      </c>
      <c r="S5713">
        <v>3.1805110000000001</v>
      </c>
      <c r="T5713">
        <v>-0.18865480000000001</v>
      </c>
      <c r="U5713">
        <v>-0.6439819</v>
      </c>
      <c r="V5713">
        <v>-0.32598919999999998</v>
      </c>
      <c r="W5713">
        <v>-2.0683340000000001E-2</v>
      </c>
      <c r="X5713">
        <v>0.94514719999999997</v>
      </c>
      <c r="Y5713">
        <v>-0.65378139999999996</v>
      </c>
      <c r="Z5713">
        <v>5.0867679999999998E-2</v>
      </c>
      <c r="AA5713">
        <v>0.75497169999999902</v>
      </c>
      <c r="AB5713">
        <v>28</v>
      </c>
      <c r="AC5713">
        <v>18.644500000000001</v>
      </c>
      <c r="AD5713">
        <v>-1.1163441766859901</v>
      </c>
      <c r="AE5713">
        <v>-3.5965199999999902</v>
      </c>
      <c r="AF5713">
        <v>-12.5345653678696</v>
      </c>
      <c r="AG5713">
        <v>-1.1163441766859901</v>
      </c>
      <c r="AH5713">
        <v>14.175945186303499</v>
      </c>
      <c r="AI5713">
        <v>93.376230049644704</v>
      </c>
      <c r="AJ5713">
        <v>131.48355551632901</v>
      </c>
      <c r="AK5713">
        <v>18.955710886360901</v>
      </c>
      <c r="AL5713">
        <v>91.185152606643001</v>
      </c>
      <c r="AM5713">
        <v>109.029743701884</v>
      </c>
      <c r="AN5713">
        <v>0.99999999436901699</v>
      </c>
    </row>
    <row r="5714" spans="1:40" x14ac:dyDescent="0.25">
      <c r="A5714" t="str">
        <f>"20190305135348413"</f>
        <v>20190305135348413</v>
      </c>
      <c r="B5714" t="str">
        <f>"1551765228405794"</f>
        <v>1551765228405794</v>
      </c>
      <c r="C5714" t="s">
        <v>40</v>
      </c>
      <c r="D5714">
        <v>4.0841089999999998</v>
      </c>
      <c r="E5714">
        <v>0.34603689999999998</v>
      </c>
      <c r="F5714" t="s">
        <v>42</v>
      </c>
      <c r="G5714">
        <v>-275.42529999999999</v>
      </c>
      <c r="H5714" s="1">
        <v>-1.901918E-6</v>
      </c>
      <c r="I5714">
        <v>-58.4831</v>
      </c>
      <c r="J5714">
        <v>-294.47770000000003</v>
      </c>
      <c r="K5714">
        <v>1.1164799999999999</v>
      </c>
      <c r="L5714">
        <v>-54.979129999999998</v>
      </c>
      <c r="M5714">
        <v>0.61725379999999996</v>
      </c>
      <c r="N5714">
        <v>-1.4785619999999999E-2</v>
      </c>
      <c r="O5714">
        <v>-0.78662519999999903</v>
      </c>
      <c r="P5714">
        <v>0.84159110000000004</v>
      </c>
      <c r="Q5714">
        <v>-2.9774129999999999E-2</v>
      </c>
      <c r="R5714">
        <v>-0.5392941</v>
      </c>
      <c r="S5714">
        <v>3.1820369999999998</v>
      </c>
      <c r="T5714">
        <v>-0.1847705</v>
      </c>
      <c r="U5714">
        <v>-0.6144714</v>
      </c>
      <c r="V5714">
        <v>-0.32885589999999998</v>
      </c>
      <c r="W5714">
        <v>-2.1393269999999999E-2</v>
      </c>
      <c r="X5714">
        <v>0.94413780000000003</v>
      </c>
      <c r="Y5714">
        <v>-0.65376659999999998</v>
      </c>
      <c r="Z5714">
        <v>4.9672269999999998E-2</v>
      </c>
      <c r="AA5714">
        <v>0.75506410000000002</v>
      </c>
      <c r="AB5714">
        <v>28</v>
      </c>
      <c r="AC5714">
        <v>19.052399999999999</v>
      </c>
      <c r="AD5714">
        <v>-1.1164819019179999</v>
      </c>
      <c r="AE5714">
        <v>-3.50396999999999</v>
      </c>
      <c r="AF5714">
        <v>-12.7831990383759</v>
      </c>
      <c r="AG5714">
        <v>-1.1164819019179999</v>
      </c>
      <c r="AH5714">
        <v>14.4699992099418</v>
      </c>
      <c r="AI5714">
        <v>93.3094682319892</v>
      </c>
      <c r="AJ5714">
        <v>131.458272503046</v>
      </c>
      <c r="AK5714">
        <v>19.3400513605255</v>
      </c>
      <c r="AL5714">
        <v>91.225837561371307</v>
      </c>
      <c r="AM5714">
        <v>109.203914703362</v>
      </c>
      <c r="AN5714">
        <v>1.0000000301774701</v>
      </c>
    </row>
    <row r="5715" spans="1:40" x14ac:dyDescent="0.25">
      <c r="A5715" t="str">
        <f>"20190305135348435"</f>
        <v>20190305135348435</v>
      </c>
      <c r="B5715" t="str">
        <f>"1551765228425311"</f>
        <v>1551765228425311</v>
      </c>
      <c r="C5715" t="s">
        <v>40</v>
      </c>
      <c r="D5715">
        <v>4.105944</v>
      </c>
      <c r="E5715">
        <v>0.34734589999999999</v>
      </c>
      <c r="F5715" t="s">
        <v>42</v>
      </c>
      <c r="G5715">
        <v>-275.42599999999999</v>
      </c>
      <c r="H5715" s="1">
        <v>-1.9027260000000001E-6</v>
      </c>
      <c r="I5715">
        <v>-58.480890000000002</v>
      </c>
      <c r="J5715">
        <v>-294.30410000000001</v>
      </c>
      <c r="K5715">
        <v>1.116668</v>
      </c>
      <c r="L5715">
        <v>-55.184269999999998</v>
      </c>
      <c r="M5715">
        <v>0.62460609999999905</v>
      </c>
      <c r="N5715">
        <v>-1.4809599999999999E-2</v>
      </c>
      <c r="O5715">
        <v>-0.78079989999999999</v>
      </c>
      <c r="P5715">
        <v>0.84759030000000002</v>
      </c>
      <c r="Q5715">
        <v>-3.0688380000000001E-2</v>
      </c>
      <c r="R5715">
        <v>-0.52976369999999995</v>
      </c>
      <c r="S5715">
        <v>3.1831969999999998</v>
      </c>
      <c r="T5715">
        <v>-0.1865445</v>
      </c>
      <c r="U5715">
        <v>-0.58508300000000002</v>
      </c>
      <c r="V5715">
        <v>-0.33059959999999899</v>
      </c>
      <c r="W5715">
        <v>-2.2479599999999999E-2</v>
      </c>
      <c r="X5715">
        <v>0.94350330000000004</v>
      </c>
      <c r="Y5715">
        <v>-0.65342159999999905</v>
      </c>
      <c r="Z5715">
        <v>5.0229360000000001E-2</v>
      </c>
      <c r="AA5715">
        <v>0.75532589999999999</v>
      </c>
      <c r="AB5715">
        <v>28</v>
      </c>
      <c r="AC5715">
        <v>18.8781</v>
      </c>
      <c r="AD5715">
        <v>-1.1166699027259901</v>
      </c>
      <c r="AE5715">
        <v>-3.2966199999999999</v>
      </c>
      <c r="AF5715">
        <v>-12.6394012746374</v>
      </c>
      <c r="AG5715">
        <v>-1.1166699027259901</v>
      </c>
      <c r="AH5715">
        <v>14.3183322857713</v>
      </c>
      <c r="AI5715">
        <v>93.346141310282604</v>
      </c>
      <c r="AJ5715">
        <v>131.43621469700301</v>
      </c>
      <c r="AK5715">
        <v>19.1315460875153</v>
      </c>
      <c r="AL5715">
        <v>91.288094767845195</v>
      </c>
      <c r="AM5715">
        <v>109.310246894842</v>
      </c>
      <c r="AN5715">
        <v>0.99999995252360396</v>
      </c>
    </row>
    <row r="5716" spans="1:40" x14ac:dyDescent="0.25">
      <c r="A5716" t="str">
        <f>"20190305135348457"</f>
        <v>20190305135348457</v>
      </c>
      <c r="B5716" t="str">
        <f>"1551765228445807"</f>
        <v>1551765228445807</v>
      </c>
      <c r="C5716" t="s">
        <v>40</v>
      </c>
      <c r="D5716">
        <v>4.1253229999999999</v>
      </c>
      <c r="E5716">
        <v>0.34879139999999997</v>
      </c>
      <c r="F5716" t="s">
        <v>42</v>
      </c>
      <c r="G5716">
        <v>-275.45929999999998</v>
      </c>
      <c r="H5716" s="1">
        <v>-1.9157799999999998E-6</v>
      </c>
      <c r="I5716">
        <v>-58.486310000000003</v>
      </c>
      <c r="J5716">
        <v>-294.12450000000001</v>
      </c>
      <c r="K5716">
        <v>1.116949</v>
      </c>
      <c r="L5716">
        <v>-55.39188</v>
      </c>
      <c r="M5716">
        <v>0.6324052</v>
      </c>
      <c r="N5716">
        <v>-1.484595E-2</v>
      </c>
      <c r="O5716">
        <v>-0.7744955</v>
      </c>
      <c r="P5716">
        <v>0.85297610000000001</v>
      </c>
      <c r="Q5716">
        <v>-3.072093E-2</v>
      </c>
      <c r="R5716">
        <v>-0.52104529999999905</v>
      </c>
      <c r="S5716">
        <v>3.1838989999999998</v>
      </c>
      <c r="T5716">
        <v>-0.18866530000000001</v>
      </c>
      <c r="U5716">
        <v>-0.55789180000000005</v>
      </c>
      <c r="V5716">
        <v>-0.33079500000000001</v>
      </c>
      <c r="W5716">
        <v>-2.2696290000000001E-2</v>
      </c>
      <c r="X5716">
        <v>0.94342959999999998</v>
      </c>
      <c r="Y5716">
        <v>-0.65207389999999998</v>
      </c>
      <c r="Z5716">
        <v>5.0838599999999998E-2</v>
      </c>
      <c r="AA5716">
        <v>0.75644899999999904</v>
      </c>
      <c r="AB5716">
        <v>28</v>
      </c>
      <c r="AC5716">
        <v>18.665199999999999</v>
      </c>
      <c r="AD5716">
        <v>-1.1169509157799999</v>
      </c>
      <c r="AE5716">
        <v>-3.09442999999998</v>
      </c>
      <c r="AF5716">
        <v>-12.457141719580999</v>
      </c>
      <c r="AG5716">
        <v>-1.1169509157799999</v>
      </c>
      <c r="AH5716">
        <v>14.1528312847708</v>
      </c>
      <c r="AI5716">
        <v>93.390314668319206</v>
      </c>
      <c r="AJ5716">
        <v>131.35382316600999</v>
      </c>
      <c r="AK5716">
        <v>18.8873130049029</v>
      </c>
      <c r="AL5716">
        <v>91.300513386254906</v>
      </c>
      <c r="AM5716">
        <v>109.32221210499701</v>
      </c>
      <c r="AN5716">
        <v>0.99999993188045899</v>
      </c>
    </row>
    <row r="5717" spans="1:40" x14ac:dyDescent="0.25">
      <c r="A5717" t="str">
        <f>"20190305135348480"</f>
        <v>20190305135348480</v>
      </c>
      <c r="B5717" t="str">
        <f>"1551765228476063"</f>
        <v>1551765228476063</v>
      </c>
      <c r="C5717" t="s">
        <v>40</v>
      </c>
      <c r="D5717">
        <v>4.1929109999999996</v>
      </c>
      <c r="E5717">
        <v>0.35014279999999998</v>
      </c>
      <c r="F5717" t="s">
        <v>42</v>
      </c>
      <c r="G5717">
        <v>-275.32569999999998</v>
      </c>
      <c r="H5717" s="1">
        <v>-1.8442399999999999E-6</v>
      </c>
      <c r="I5717">
        <v>-58.550739999999998</v>
      </c>
      <c r="J5717">
        <v>-293.93880000000001</v>
      </c>
      <c r="K5717">
        <v>1.1173200000000001</v>
      </c>
      <c r="L5717">
        <v>-55.601439999999997</v>
      </c>
      <c r="M5717">
        <v>0.6407214</v>
      </c>
      <c r="N5717">
        <v>-1.4899300000000001E-2</v>
      </c>
      <c r="O5717">
        <v>-0.76762909999999995</v>
      </c>
      <c r="P5717">
        <v>0.85862309999999997</v>
      </c>
      <c r="Q5717">
        <v>-2.744222E-2</v>
      </c>
      <c r="R5717">
        <v>-0.51187269999999996</v>
      </c>
      <c r="S5717">
        <v>3.1835019999999998</v>
      </c>
      <c r="T5717">
        <v>-0.1891516</v>
      </c>
      <c r="U5717">
        <v>-0.53494259999999905</v>
      </c>
      <c r="V5717">
        <v>-0.33086100000000002</v>
      </c>
      <c r="W5717">
        <v>-1.9645039999999999E-2</v>
      </c>
      <c r="X5717">
        <v>0.94347499999999995</v>
      </c>
      <c r="Y5717">
        <v>-0.64917539999999996</v>
      </c>
      <c r="Z5717">
        <v>5.08645E-2</v>
      </c>
      <c r="AA5717">
        <v>0.75893619999999995</v>
      </c>
      <c r="AB5717">
        <v>28</v>
      </c>
      <c r="AC5717">
        <v>18.613099999999999</v>
      </c>
      <c r="AD5717">
        <v>-1.1173218442399999</v>
      </c>
      <c r="AE5717">
        <v>-2.9493</v>
      </c>
      <c r="AF5717">
        <v>-12.3562173056141</v>
      </c>
      <c r="AG5717">
        <v>-1.1173218442399999</v>
      </c>
      <c r="AH5717">
        <v>14.1416421804765</v>
      </c>
      <c r="AI5717">
        <v>93.404942797028994</v>
      </c>
      <c r="AJ5717">
        <v>131.14523888610501</v>
      </c>
      <c r="AK5717">
        <v>18.812510671566599</v>
      </c>
      <c r="AL5717">
        <v>91.125650288979102</v>
      </c>
      <c r="AM5717">
        <v>109.32492045127999</v>
      </c>
      <c r="AN5717">
        <v>1.0000000022713</v>
      </c>
    </row>
    <row r="5718" spans="1:40" x14ac:dyDescent="0.25">
      <c r="A5718" t="str">
        <f>"20190305135348502"</f>
        <v>20190305135348502</v>
      </c>
      <c r="B5718" t="str">
        <f>"1551765228495586"</f>
        <v>1551765228495586</v>
      </c>
      <c r="C5718" t="s">
        <v>40</v>
      </c>
      <c r="D5718">
        <v>4.1714079999999996</v>
      </c>
      <c r="E5718">
        <v>0.36785770000000001</v>
      </c>
      <c r="F5718" t="s">
        <v>42</v>
      </c>
      <c r="G5718">
        <v>-274.2047</v>
      </c>
      <c r="H5718" s="1">
        <v>-1.3164579999999999E-6</v>
      </c>
      <c r="I5718">
        <v>-58.7628699999999</v>
      </c>
      <c r="J5718">
        <v>-293.75560000000002</v>
      </c>
      <c r="K5718">
        <v>1.1177269999999999</v>
      </c>
      <c r="L5718">
        <v>-55.802889999999998</v>
      </c>
      <c r="M5718">
        <v>0.64920009999999995</v>
      </c>
      <c r="N5718">
        <v>-1.496751E-2</v>
      </c>
      <c r="O5718">
        <v>-0.7604706</v>
      </c>
      <c r="P5718">
        <v>0.86360789999999998</v>
      </c>
      <c r="Q5718">
        <v>-2.6329180000000001E-2</v>
      </c>
      <c r="R5718">
        <v>-0.50347659999999905</v>
      </c>
      <c r="S5718">
        <v>3.184113</v>
      </c>
      <c r="T5718">
        <v>-0.18028159999999999</v>
      </c>
      <c r="U5718">
        <v>-0.51010129999999998</v>
      </c>
      <c r="V5718">
        <v>-0.32962059999999999</v>
      </c>
      <c r="W5718">
        <v>-1.8755290000000001E-2</v>
      </c>
      <c r="X5718">
        <v>0.94392719999999997</v>
      </c>
      <c r="Y5718">
        <v>-0.64670240000000001</v>
      </c>
      <c r="Z5718">
        <v>4.7979790000000001E-2</v>
      </c>
      <c r="AA5718">
        <v>0.76123189999999996</v>
      </c>
      <c r="AB5718">
        <v>28</v>
      </c>
      <c r="AC5718">
        <v>19.550899999999999</v>
      </c>
      <c r="AD5718">
        <v>-1.1177283164579901</v>
      </c>
      <c r="AE5718">
        <v>-2.9599799999999798</v>
      </c>
      <c r="AF5718">
        <v>-12.906474965028099</v>
      </c>
      <c r="AG5718">
        <v>-1.1177283164579901</v>
      </c>
      <c r="AH5718">
        <v>14.8974953533962</v>
      </c>
      <c r="AI5718">
        <v>93.245574209070995</v>
      </c>
      <c r="AJ5718">
        <v>130.90408598179701</v>
      </c>
      <c r="AK5718">
        <v>19.7423853780837</v>
      </c>
      <c r="AL5718">
        <v>91.074661938727402</v>
      </c>
      <c r="AM5718">
        <v>109.249267728913</v>
      </c>
      <c r="AN5718">
        <v>1.00000002987359</v>
      </c>
    </row>
    <row r="5719" spans="1:40" x14ac:dyDescent="0.25">
      <c r="A5719" t="str">
        <f>"20190305135348523"</f>
        <v>20190305135348523</v>
      </c>
      <c r="B5719" t="str">
        <f>"1551765228516079"</f>
        <v>1551765228516079</v>
      </c>
      <c r="C5719" t="s">
        <v>40</v>
      </c>
      <c r="D5719">
        <v>4.2118640000000003</v>
      </c>
      <c r="E5719">
        <v>0.36944539999999998</v>
      </c>
      <c r="F5719" t="s">
        <v>41</v>
      </c>
      <c r="G5719">
        <v>-292.83879999999999</v>
      </c>
      <c r="H5719">
        <v>1.052052</v>
      </c>
      <c r="I5719">
        <v>-55.980080000000001</v>
      </c>
      <c r="J5719">
        <v>-293.57569999999998</v>
      </c>
      <c r="K5719">
        <v>1.11815</v>
      </c>
      <c r="L5719">
        <v>-55.995570000000001</v>
      </c>
      <c r="M5719">
        <v>0.65780369999999899</v>
      </c>
      <c r="N5719">
        <v>-1.504746E-2</v>
      </c>
      <c r="O5719">
        <v>-0.75303900000000001</v>
      </c>
      <c r="P5719">
        <v>0.8685659</v>
      </c>
      <c r="Q5719">
        <v>-2.794058E-2</v>
      </c>
      <c r="R5719">
        <v>-0.49478499999999997</v>
      </c>
      <c r="S5719">
        <v>3.116028</v>
      </c>
      <c r="T5719">
        <v>-0.22319900000000001</v>
      </c>
      <c r="U5719">
        <v>-0.60202029999999995</v>
      </c>
      <c r="V5719">
        <v>-0.32827109999999998</v>
      </c>
      <c r="W5719">
        <v>-2.0593529999999999E-2</v>
      </c>
      <c r="X5719">
        <v>0.94435910000000001</v>
      </c>
      <c r="Y5719">
        <v>-0.61219299999999999</v>
      </c>
      <c r="Z5719">
        <v>6.0753689999999999E-2</v>
      </c>
      <c r="AA5719">
        <v>0.78837089999999999</v>
      </c>
      <c r="AB5719">
        <v>28</v>
      </c>
      <c r="AC5719">
        <v>0.73689999999999101</v>
      </c>
      <c r="AD5719">
        <v>-6.6097999999999907E-2</v>
      </c>
      <c r="AE5719">
        <v>1.54899999999855E-2</v>
      </c>
      <c r="AF5719">
        <v>-0.56065898638661105</v>
      </c>
      <c r="AG5719">
        <v>-6.6097999999999907E-2</v>
      </c>
      <c r="AH5719">
        <v>0.46935002603733</v>
      </c>
      <c r="AI5719">
        <v>95.165427643462905</v>
      </c>
      <c r="AJ5719">
        <v>140.06595366690499</v>
      </c>
      <c r="AK5719">
        <v>0.73416407673033401</v>
      </c>
      <c r="AL5719">
        <v>91.180005699936203</v>
      </c>
      <c r="AM5719">
        <v>109.168094343804</v>
      </c>
      <c r="AN5719">
        <v>1.0000000591629301</v>
      </c>
    </row>
    <row r="5720" spans="1:40" x14ac:dyDescent="0.25">
      <c r="A5720" t="str">
        <f>"20190305135348547"</f>
        <v>20190305135348547</v>
      </c>
      <c r="B5720" t="str">
        <f>"1551765228535599"</f>
        <v>1551765228535599</v>
      </c>
      <c r="C5720" t="s">
        <v>40</v>
      </c>
      <c r="D5720">
        <v>4.2386879999999998</v>
      </c>
      <c r="E5720">
        <v>0.37093130000000002</v>
      </c>
      <c r="F5720" t="s">
        <v>41</v>
      </c>
      <c r="G5720">
        <v>-292.68189999999998</v>
      </c>
      <c r="H5720">
        <v>1.049714</v>
      </c>
      <c r="I5720">
        <v>-56.162649999999999</v>
      </c>
      <c r="J5720">
        <v>-293.38560000000001</v>
      </c>
      <c r="K5720">
        <v>1.118595</v>
      </c>
      <c r="L5720">
        <v>-56.193210000000001</v>
      </c>
      <c r="M5720">
        <v>0.66717919999999997</v>
      </c>
      <c r="N5720">
        <v>-1.514298E-2</v>
      </c>
      <c r="O5720">
        <v>-0.7447433</v>
      </c>
      <c r="P5720">
        <v>0.87410270000000001</v>
      </c>
      <c r="Q5720">
        <v>-2.9838219999999999E-2</v>
      </c>
      <c r="R5720">
        <v>-0.48482380000000003</v>
      </c>
      <c r="S5720">
        <v>3.1147770000000001</v>
      </c>
      <c r="T5720">
        <v>-0.2384771</v>
      </c>
      <c r="U5720">
        <v>-0.58190920000000002</v>
      </c>
      <c r="V5720">
        <v>-0.32713490000000001</v>
      </c>
      <c r="W5720">
        <v>-2.2728789999999999E-2</v>
      </c>
      <c r="X5720">
        <v>0.94470430000000005</v>
      </c>
      <c r="Y5720">
        <v>-0.60678969999999999</v>
      </c>
      <c r="Z5720">
        <v>6.5071229999999994E-2</v>
      </c>
      <c r="AA5720">
        <v>0.79219439999999997</v>
      </c>
      <c r="AB5720">
        <v>28</v>
      </c>
      <c r="AC5720">
        <v>0.70370000000002597</v>
      </c>
      <c r="AD5720">
        <v>-6.8880999999999901E-2</v>
      </c>
      <c r="AE5720">
        <v>3.0560000000001201E-2</v>
      </c>
      <c r="AF5720">
        <v>-0.53936917683819596</v>
      </c>
      <c r="AG5720">
        <v>-6.8880999999999901E-2</v>
      </c>
      <c r="AH5720">
        <v>0.44255363103905598</v>
      </c>
      <c r="AI5720">
        <v>95.638373091396105</v>
      </c>
      <c r="AJ5720">
        <v>140.63104421995101</v>
      </c>
      <c r="AK5720">
        <v>0.70108303176582898</v>
      </c>
      <c r="AL5720">
        <v>91.302375855056695</v>
      </c>
      <c r="AM5720">
        <v>109.100092366391</v>
      </c>
      <c r="AN5720">
        <v>1.00000002756568</v>
      </c>
    </row>
    <row r="5721" spans="1:40" x14ac:dyDescent="0.25">
      <c r="A5721" t="str">
        <f>"20190305135348570"</f>
        <v>20190305135348570</v>
      </c>
      <c r="B5721" t="str">
        <f>"1551765228565855"</f>
        <v>1551765228565855</v>
      </c>
      <c r="C5721" t="s">
        <v>40</v>
      </c>
      <c r="D5721">
        <v>4.2894329999999998</v>
      </c>
      <c r="E5721">
        <v>0.37238520000000003</v>
      </c>
      <c r="F5721" t="s">
        <v>81</v>
      </c>
      <c r="G5721">
        <v>-280.02890000000002</v>
      </c>
      <c r="H5721" s="1">
        <v>-6.3405310000000003E-6</v>
      </c>
      <c r="I5721">
        <v>-58.583449999999999</v>
      </c>
      <c r="J5721">
        <v>-293.19139999999999</v>
      </c>
      <c r="K5721">
        <v>1.1190329999999999</v>
      </c>
      <c r="L5721">
        <v>-56.388979999999997</v>
      </c>
      <c r="M5721">
        <v>0.6770062</v>
      </c>
      <c r="N5721">
        <v>-1.524783E-2</v>
      </c>
      <c r="O5721">
        <v>-0.73581929999999995</v>
      </c>
      <c r="P5721">
        <v>0.87959399999999999</v>
      </c>
      <c r="Q5721">
        <v>-3.0607450000000001E-2</v>
      </c>
      <c r="R5721">
        <v>-0.47473939999999998</v>
      </c>
      <c r="S5721">
        <v>3.1140750000000001</v>
      </c>
      <c r="T5721">
        <v>-0.26079960000000002</v>
      </c>
      <c r="U5721">
        <v>-0.55728149999999999</v>
      </c>
      <c r="V5721">
        <v>-0.3253991</v>
      </c>
      <c r="W5721">
        <v>-2.36969E-2</v>
      </c>
      <c r="X5721">
        <v>0.9452798</v>
      </c>
      <c r="Y5721">
        <v>-0.60169839999999997</v>
      </c>
      <c r="Z5721">
        <v>7.1441950000000004E-2</v>
      </c>
      <c r="AA5721">
        <v>0.7955219</v>
      </c>
      <c r="AB5721">
        <v>28</v>
      </c>
      <c r="AC5721">
        <v>13.1624999999999</v>
      </c>
      <c r="AD5721">
        <v>-1.119039340531</v>
      </c>
      <c r="AE5721">
        <v>-2.1944699999999902</v>
      </c>
      <c r="AF5721">
        <v>-8.1432383985001202</v>
      </c>
      <c r="AG5721">
        <v>-1.119039340531</v>
      </c>
      <c r="AH5721">
        <v>10.4535376174915</v>
      </c>
      <c r="AI5721">
        <v>94.827145186477196</v>
      </c>
      <c r="AJ5721">
        <v>127.91836083016599</v>
      </c>
      <c r="AK5721">
        <v>13.298158871842899</v>
      </c>
      <c r="AL5721">
        <v>91.357859448552801</v>
      </c>
      <c r="AM5721">
        <v>108.995294328536</v>
      </c>
      <c r="AN5721">
        <v>1.00000000881923</v>
      </c>
    </row>
    <row r="5722" spans="1:40" x14ac:dyDescent="0.25">
      <c r="A5722" t="str">
        <f>"20190305135348592"</f>
        <v>20190305135348592</v>
      </c>
      <c r="B5722" t="str">
        <f>"1551765228585375"</f>
        <v>1551765228585375</v>
      </c>
      <c r="C5722" t="s">
        <v>40</v>
      </c>
      <c r="D5722">
        <v>4.3001480000000001</v>
      </c>
      <c r="E5722">
        <v>0.37290469999999998</v>
      </c>
      <c r="F5722" t="s">
        <v>81</v>
      </c>
      <c r="G5722">
        <v>-280.58839999999998</v>
      </c>
      <c r="H5722" s="1">
        <v>-6.1578020000000002E-6</v>
      </c>
      <c r="I5722">
        <v>-58.543030000000002</v>
      </c>
      <c r="J5722">
        <v>-292.99770000000001</v>
      </c>
      <c r="K5722">
        <v>1.11941</v>
      </c>
      <c r="L5722">
        <v>-56.5783699999999</v>
      </c>
      <c r="M5722">
        <v>0.68696029999999997</v>
      </c>
      <c r="N5722">
        <v>-1.5352670000000001E-2</v>
      </c>
      <c r="O5722">
        <v>-0.72653290000000004</v>
      </c>
      <c r="P5722">
        <v>0.88481969999999999</v>
      </c>
      <c r="Q5722">
        <v>-3.1662889999999999E-2</v>
      </c>
      <c r="R5722">
        <v>-0.46485710000000002</v>
      </c>
      <c r="S5722">
        <v>3.1137999999999999</v>
      </c>
      <c r="T5722">
        <v>-0.27647880000000002</v>
      </c>
      <c r="U5722">
        <v>-0.532196</v>
      </c>
      <c r="V5722">
        <v>-0.32304670000000002</v>
      </c>
      <c r="W5722">
        <v>-2.4890300000000001E-2</v>
      </c>
      <c r="X5722">
        <v>0.94605569999999894</v>
      </c>
      <c r="Y5722">
        <v>-0.5966129</v>
      </c>
      <c r="Z5722">
        <v>7.5680259999999999E-2</v>
      </c>
      <c r="AA5722">
        <v>0.79895280000000002</v>
      </c>
      <c r="AB5722">
        <v>28</v>
      </c>
      <c r="AC5722">
        <v>12.4093</v>
      </c>
      <c r="AD5722">
        <v>-1.1194161578020001</v>
      </c>
      <c r="AE5722">
        <v>-1.9646600000000001</v>
      </c>
      <c r="AF5722">
        <v>-7.6066390220436197</v>
      </c>
      <c r="AG5722">
        <v>-1.1194161578020001</v>
      </c>
      <c r="AH5722">
        <v>9.8748672532957595</v>
      </c>
      <c r="AI5722">
        <v>95.131704214217706</v>
      </c>
      <c r="AJ5722">
        <v>127.60716521531501</v>
      </c>
      <c r="AK5722">
        <v>12.515073032796799</v>
      </c>
      <c r="AL5722">
        <v>91.426256373506405</v>
      </c>
      <c r="AM5722">
        <v>108.85333722282</v>
      </c>
      <c r="AN5722">
        <v>1.0000000424587301</v>
      </c>
    </row>
    <row r="5723" spans="1:40" x14ac:dyDescent="0.25">
      <c r="A5723" t="str">
        <f>"20190305135348613"</f>
        <v>20190305135348613</v>
      </c>
      <c r="B5723" t="str">
        <f>"1551765228605871"</f>
        <v>1551765228605871</v>
      </c>
      <c r="C5723" t="s">
        <v>40</v>
      </c>
      <c r="D5723">
        <v>4.3408300000000004</v>
      </c>
      <c r="E5723">
        <v>0.37349840000000001</v>
      </c>
      <c r="F5723" t="s">
        <v>81</v>
      </c>
      <c r="G5723">
        <v>-280.64769999999999</v>
      </c>
      <c r="H5723" s="1">
        <v>-6.13555399999999E-6</v>
      </c>
      <c r="I5723">
        <v>-58.564210000000003</v>
      </c>
      <c r="J5723">
        <v>-292.80869999999999</v>
      </c>
      <c r="K5723">
        <v>1.1197239999999999</v>
      </c>
      <c r="L5723">
        <v>-56.7577199999999</v>
      </c>
      <c r="M5723">
        <v>0.69677100000000003</v>
      </c>
      <c r="N5723">
        <v>-1.5449579999999999E-2</v>
      </c>
      <c r="O5723">
        <v>-0.71712749999999903</v>
      </c>
      <c r="P5723">
        <v>0.89019329999999997</v>
      </c>
      <c r="Q5723">
        <v>-3.3391369999999997E-2</v>
      </c>
      <c r="R5723">
        <v>-0.4543584</v>
      </c>
      <c r="S5723">
        <v>3.1170960000000001</v>
      </c>
      <c r="T5723">
        <v>-0.28253729999999999</v>
      </c>
      <c r="U5723">
        <v>-0.50122069999999996</v>
      </c>
      <c r="V5723">
        <v>-0.32127319999999998</v>
      </c>
      <c r="W5723">
        <v>-2.673623E-2</v>
      </c>
      <c r="X5723">
        <v>0.94660900000000003</v>
      </c>
      <c r="Y5723">
        <v>-0.59343419999999902</v>
      </c>
      <c r="Z5723">
        <v>7.6987420000000001E-2</v>
      </c>
      <c r="AA5723">
        <v>0.80119209999999996</v>
      </c>
      <c r="AB5723">
        <v>27</v>
      </c>
      <c r="AC5723">
        <v>12.161</v>
      </c>
      <c r="AD5723">
        <v>-1.1197301355539999</v>
      </c>
      <c r="AE5723">
        <v>-1.8064899999999999</v>
      </c>
      <c r="AF5723">
        <v>-7.4017704123714303</v>
      </c>
      <c r="AG5723">
        <v>-1.1197301355539999</v>
      </c>
      <c r="AH5723">
        <v>9.6897053297718791</v>
      </c>
      <c r="AI5723">
        <v>95.246846118842399</v>
      </c>
      <c r="AJ5723">
        <v>127.375479543713</v>
      </c>
      <c r="AK5723">
        <v>12.244606575620701</v>
      </c>
      <c r="AL5723">
        <v>91.532055782896705</v>
      </c>
      <c r="AM5723">
        <v>108.74689243028</v>
      </c>
      <c r="AN5723">
        <v>0.99999994695692496</v>
      </c>
    </row>
    <row r="5724" spans="1:40" x14ac:dyDescent="0.25">
      <c r="A5724" t="str">
        <f>"20190305135348636"</f>
        <v>20190305135348636</v>
      </c>
      <c r="B5724" t="str">
        <f>"1551765228626367"</f>
        <v>1551765228626367</v>
      </c>
      <c r="C5724" t="s">
        <v>40</v>
      </c>
      <c r="D5724">
        <v>4.3418950000000001</v>
      </c>
      <c r="E5724">
        <v>0.37404349999999997</v>
      </c>
      <c r="F5724" t="s">
        <v>81</v>
      </c>
      <c r="G5724">
        <v>-280.65629999999999</v>
      </c>
      <c r="H5724" s="1">
        <v>-6.1306009999999996E-6</v>
      </c>
      <c r="I5724">
        <v>-58.582709999999999</v>
      </c>
      <c r="J5724">
        <v>-292.61</v>
      </c>
      <c r="K5724">
        <v>1.120007</v>
      </c>
      <c r="L5724">
        <v>-56.940489999999997</v>
      </c>
      <c r="M5724">
        <v>0.70713930000000003</v>
      </c>
      <c r="N5724">
        <v>-1.5545939999999999E-2</v>
      </c>
      <c r="O5724">
        <v>-0.70690359999999997</v>
      </c>
      <c r="P5724">
        <v>0.89620080000000002</v>
      </c>
      <c r="Q5724">
        <v>-3.4957380000000003E-2</v>
      </c>
      <c r="R5724">
        <v>-0.44226939999999998</v>
      </c>
      <c r="S5724">
        <v>3.120117</v>
      </c>
      <c r="T5724">
        <v>-0.28749049999999998</v>
      </c>
      <c r="U5724">
        <v>-0.46856690000000001</v>
      </c>
      <c r="V5724">
        <v>-0.32019920000000002</v>
      </c>
      <c r="W5724">
        <v>-2.8420999999999998E-2</v>
      </c>
      <c r="X5724">
        <v>0.94692379999999998</v>
      </c>
      <c r="Y5724">
        <v>-0.58991939999999998</v>
      </c>
      <c r="Z5724">
        <v>7.7884229999999999E-2</v>
      </c>
      <c r="AA5724">
        <v>0.8036972</v>
      </c>
      <c r="AB5724">
        <v>27</v>
      </c>
      <c r="AC5724">
        <v>11.9537</v>
      </c>
      <c r="AD5724">
        <v>-1.1200131306009999</v>
      </c>
      <c r="AE5724">
        <v>-1.64221999999999</v>
      </c>
      <c r="AF5724">
        <v>-7.2274410090749397</v>
      </c>
      <c r="AG5724">
        <v>-1.1200131306009999</v>
      </c>
      <c r="AH5724">
        <v>9.5328445362015994</v>
      </c>
      <c r="AI5724">
        <v>95.348660883883397</v>
      </c>
      <c r="AJ5724">
        <v>127.168023805616</v>
      </c>
      <c r="AK5724">
        <v>12.015217763476601</v>
      </c>
      <c r="AL5724">
        <v>91.628622683327606</v>
      </c>
      <c r="AM5724">
        <v>108.68279869002301</v>
      </c>
      <c r="AN5724">
        <v>0.99999998196403905</v>
      </c>
    </row>
    <row r="5725" spans="1:40" x14ac:dyDescent="0.25">
      <c r="A5725" t="str">
        <f>"20190305135348658"</f>
        <v>20190305135348658</v>
      </c>
      <c r="B5725" t="str">
        <f>"1551765228655648"</f>
        <v>1551765228655648</v>
      </c>
      <c r="C5725" t="s">
        <v>40</v>
      </c>
      <c r="D5725">
        <v>4.402819</v>
      </c>
      <c r="E5725">
        <v>0.38207190000000002</v>
      </c>
      <c r="F5725" t="s">
        <v>41</v>
      </c>
      <c r="G5725">
        <v>-291.6182</v>
      </c>
      <c r="H5725">
        <v>1.0269200000000001</v>
      </c>
      <c r="I5725">
        <v>-57.077129999999997</v>
      </c>
      <c r="J5725">
        <v>-292.41210000000001</v>
      </c>
      <c r="K5725">
        <v>1.120255</v>
      </c>
      <c r="L5725">
        <v>-57.116729999999997</v>
      </c>
      <c r="M5725">
        <v>0.71747359999999905</v>
      </c>
      <c r="N5725">
        <v>-1.5638349999999999E-2</v>
      </c>
      <c r="O5725">
        <v>-0.69641030000000004</v>
      </c>
      <c r="P5725">
        <v>0.90263510000000002</v>
      </c>
      <c r="Q5725">
        <v>-3.6076799999999999E-2</v>
      </c>
      <c r="R5725">
        <v>-0.4288923</v>
      </c>
      <c r="S5725">
        <v>3.1237490000000001</v>
      </c>
      <c r="T5725">
        <v>-0.29317219999999999</v>
      </c>
      <c r="U5725">
        <v>-0.43014530000000001</v>
      </c>
      <c r="V5725">
        <v>-0.32025710000000002</v>
      </c>
      <c r="W5725">
        <v>-2.9670149999999999E-2</v>
      </c>
      <c r="X5725">
        <v>0.94686590000000004</v>
      </c>
      <c r="Y5725">
        <v>-0.5877213</v>
      </c>
      <c r="Z5725">
        <v>7.9012529999999997E-2</v>
      </c>
      <c r="AA5725">
        <v>0.80519600000000002</v>
      </c>
      <c r="AB5725">
        <v>27</v>
      </c>
      <c r="AC5725">
        <v>0.79390000000000704</v>
      </c>
      <c r="AD5725">
        <v>-9.3334999999999904E-2</v>
      </c>
      <c r="AE5725">
        <v>3.9600000000000003E-2</v>
      </c>
      <c r="AF5725">
        <v>-0.57345671540128296</v>
      </c>
      <c r="AG5725">
        <v>-9.3334999999999904E-2</v>
      </c>
      <c r="AH5725">
        <v>0.53471836493883895</v>
      </c>
      <c r="AI5725">
        <v>96.788436406079896</v>
      </c>
      <c r="AJ5725">
        <v>137.00206682689</v>
      </c>
      <c r="AK5725">
        <v>0.78961240901260799</v>
      </c>
      <c r="AL5725">
        <v>91.700223924597296</v>
      </c>
      <c r="AM5725">
        <v>108.68700582748301</v>
      </c>
      <c r="AN5725">
        <v>0.999999980242121</v>
      </c>
    </row>
    <row r="5726" spans="1:40" x14ac:dyDescent="0.25">
      <c r="A5726" t="str">
        <f>"20190305135348682"</f>
        <v>20190305135348682</v>
      </c>
      <c r="B5726" t="str">
        <f>"1551765228676143"</f>
        <v>1551765228676143</v>
      </c>
      <c r="C5726" t="s">
        <v>40</v>
      </c>
      <c r="D5726">
        <v>4.3949369999999996</v>
      </c>
      <c r="E5726">
        <v>0.38283279999999997</v>
      </c>
      <c r="F5726" t="s">
        <v>41</v>
      </c>
      <c r="G5726">
        <v>-291.45679999999999</v>
      </c>
      <c r="H5726">
        <v>1.025026</v>
      </c>
      <c r="I5726">
        <v>-57.25291</v>
      </c>
      <c r="J5726">
        <v>-292.20089999999999</v>
      </c>
      <c r="K5726">
        <v>1.1205069999999999</v>
      </c>
      <c r="L5726">
        <v>-57.2988</v>
      </c>
      <c r="M5726">
        <v>0.72846769999999905</v>
      </c>
      <c r="N5726">
        <v>-1.5733690000000002E-2</v>
      </c>
      <c r="O5726">
        <v>-0.68489929999999999</v>
      </c>
      <c r="P5726">
        <v>0.9095143</v>
      </c>
      <c r="Q5726">
        <v>-3.563674E-2</v>
      </c>
      <c r="R5726">
        <v>-0.41414240000000002</v>
      </c>
      <c r="S5726">
        <v>3.1014400000000002</v>
      </c>
      <c r="T5726">
        <v>-0.3091238</v>
      </c>
      <c r="U5726">
        <v>-0.44155879999999997</v>
      </c>
      <c r="V5726">
        <v>-0.320604099999999</v>
      </c>
      <c r="W5726">
        <v>-2.9357189999999998E-2</v>
      </c>
      <c r="X5726">
        <v>0.94675830000000005</v>
      </c>
      <c r="Y5726">
        <v>-0.57059479999999996</v>
      </c>
      <c r="Z5726">
        <v>8.2724000000000006E-2</v>
      </c>
      <c r="AA5726">
        <v>0.81705459999999996</v>
      </c>
      <c r="AB5726">
        <v>27</v>
      </c>
      <c r="AC5726">
        <v>0.74410000000000298</v>
      </c>
      <c r="AD5726">
        <v>-9.5480999999999899E-2</v>
      </c>
      <c r="AE5726">
        <v>4.5889999999999903E-2</v>
      </c>
      <c r="AF5726">
        <v>-0.53436506162888597</v>
      </c>
      <c r="AG5726">
        <v>-9.5480999999999899E-2</v>
      </c>
      <c r="AH5726">
        <v>0.50244446971426704</v>
      </c>
      <c r="AI5726">
        <v>97.416766321323195</v>
      </c>
      <c r="AJ5726">
        <v>136.76342676058999</v>
      </c>
      <c r="AK5726">
        <v>0.73967093061515898</v>
      </c>
      <c r="AL5726">
        <v>91.682284694705004</v>
      </c>
      <c r="AM5726">
        <v>108.707823597144</v>
      </c>
      <c r="AN5726">
        <v>1.00000005608019</v>
      </c>
    </row>
    <row r="5727" spans="1:40" x14ac:dyDescent="0.25">
      <c r="A5727" t="str">
        <f>"20190305135348704"</f>
        <v>20190305135348704</v>
      </c>
      <c r="B5727" t="str">
        <f>"1551765228695663"</f>
        <v>1551765228695663</v>
      </c>
      <c r="C5727" t="s">
        <v>40</v>
      </c>
      <c r="D5727">
        <v>4.7043220000000003</v>
      </c>
      <c r="E5727">
        <v>0.40072229999999998</v>
      </c>
      <c r="F5727" t="s">
        <v>41</v>
      </c>
      <c r="G5727">
        <v>-291.28629999999998</v>
      </c>
      <c r="H5727">
        <v>1.0281579999999999</v>
      </c>
      <c r="I5727">
        <v>-57.415480000000002</v>
      </c>
      <c r="J5727">
        <v>-291.99799999999999</v>
      </c>
      <c r="K5727">
        <v>1.1207210000000001</v>
      </c>
      <c r="L5727">
        <v>-57.467799999999997</v>
      </c>
      <c r="M5727">
        <v>0.73896039999999996</v>
      </c>
      <c r="N5727">
        <v>-1.5821709999999999E-2</v>
      </c>
      <c r="O5727">
        <v>-0.67356329999999998</v>
      </c>
      <c r="P5727">
        <v>0.91585899999999998</v>
      </c>
      <c r="Q5727">
        <v>-3.5900460000000002E-2</v>
      </c>
      <c r="R5727">
        <v>-0.39989239999999998</v>
      </c>
      <c r="S5727">
        <v>3.1056520000000001</v>
      </c>
      <c r="T5727">
        <v>-0.3136159</v>
      </c>
      <c r="U5727">
        <v>-0.39639279999999999</v>
      </c>
      <c r="V5727">
        <v>-0.32073069999999998</v>
      </c>
      <c r="W5727">
        <v>-2.9722370000000001E-2</v>
      </c>
      <c r="X5727">
        <v>0.94670399999999999</v>
      </c>
      <c r="Y5727">
        <v>-0.56964079999999995</v>
      </c>
      <c r="Z5727">
        <v>8.3414909999999995E-2</v>
      </c>
      <c r="AA5727">
        <v>0.81764989999999904</v>
      </c>
      <c r="AB5727">
        <v>27</v>
      </c>
      <c r="AC5727">
        <v>0.71170000000000699</v>
      </c>
      <c r="AD5727">
        <v>-9.2562999999999895E-2</v>
      </c>
      <c r="AE5727">
        <v>5.2319999999994503E-2</v>
      </c>
      <c r="AF5727">
        <v>-0.50952963586321998</v>
      </c>
      <c r="AG5727">
        <v>-9.2562999999999895E-2</v>
      </c>
      <c r="AH5727">
        <v>0.48261884961511797</v>
      </c>
      <c r="AI5727">
        <v>97.513447152481604</v>
      </c>
      <c r="AJ5727">
        <v>136.55369538624299</v>
      </c>
      <c r="AK5727">
        <v>0.70789074919490602</v>
      </c>
      <c r="AL5727">
        <v>91.703217141527404</v>
      </c>
      <c r="AM5727">
        <v>108.715695365806</v>
      </c>
      <c r="AN5727">
        <v>1.0000000324084499</v>
      </c>
    </row>
    <row r="5728" spans="1:40" x14ac:dyDescent="0.25">
      <c r="A5728" t="str">
        <f>"20190305135348725"</f>
        <v>20190305135348725</v>
      </c>
      <c r="B5728" t="str">
        <f>"1551765228716160"</f>
        <v>1551765228716160</v>
      </c>
      <c r="C5728" t="s">
        <v>40</v>
      </c>
      <c r="D5728">
        <v>4.5842479999999997</v>
      </c>
      <c r="E5728">
        <v>0.4642501</v>
      </c>
      <c r="F5728" t="s">
        <v>41</v>
      </c>
      <c r="G5728">
        <v>-291.12990000000002</v>
      </c>
      <c r="H5728">
        <v>1.0508390000000001</v>
      </c>
      <c r="I5728">
        <v>-57.60324</v>
      </c>
      <c r="J5728">
        <v>-291.79930000000002</v>
      </c>
      <c r="K5728">
        <v>1.1209209999999901</v>
      </c>
      <c r="L5728">
        <v>-57.627719999999997</v>
      </c>
      <c r="M5728">
        <v>0.74914440000000004</v>
      </c>
      <c r="N5728">
        <v>-1.5904129999999999E-2</v>
      </c>
      <c r="O5728">
        <v>-0.66221600000000003</v>
      </c>
      <c r="P5728">
        <v>0.92179469999999997</v>
      </c>
      <c r="Q5728">
        <v>-3.6763219999999999E-2</v>
      </c>
      <c r="R5728">
        <v>-0.38593159999999999</v>
      </c>
      <c r="S5728">
        <v>3.0577999999999999</v>
      </c>
      <c r="T5728">
        <v>-0.246138</v>
      </c>
      <c r="U5728">
        <v>-0.47680660000000002</v>
      </c>
      <c r="V5728">
        <v>-0.32061820000000002</v>
      </c>
      <c r="W5728">
        <v>-3.0666180000000001E-2</v>
      </c>
      <c r="X5728">
        <v>0.946712</v>
      </c>
      <c r="Y5728">
        <v>-0.53600319999999901</v>
      </c>
      <c r="Z5728">
        <v>6.2821569999999993E-2</v>
      </c>
      <c r="AA5728">
        <v>0.84187529999999999</v>
      </c>
      <c r="AB5728">
        <v>27</v>
      </c>
      <c r="AC5728">
        <v>0.669399999999996</v>
      </c>
      <c r="AD5728">
        <v>-7.0081999999999894E-2</v>
      </c>
      <c r="AE5728">
        <v>2.44799999999969E-2</v>
      </c>
      <c r="AF5728">
        <v>-0.45668581990652102</v>
      </c>
      <c r="AG5728">
        <v>-7.0081999999999894E-2</v>
      </c>
      <c r="AH5728">
        <v>0.480072580152126</v>
      </c>
      <c r="AI5728">
        <v>96.037672049209704</v>
      </c>
      <c r="AJ5728">
        <v>133.569872049422</v>
      </c>
      <c r="AK5728">
        <v>0.66629055752097399</v>
      </c>
      <c r="AL5728">
        <v>91.757318146860797</v>
      </c>
      <c r="AM5728">
        <v>108.709440408882</v>
      </c>
      <c r="AN5728">
        <v>1.0000000278555099</v>
      </c>
    </row>
    <row r="5729" spans="1:40" x14ac:dyDescent="0.25">
      <c r="A5729" t="str">
        <f>"20190305135348748"</f>
        <v>20190305135348748</v>
      </c>
      <c r="B5729" t="str">
        <f>"1551765228735683"</f>
        <v>1551765228735683</v>
      </c>
      <c r="C5729" t="s">
        <v>40</v>
      </c>
      <c r="D5729">
        <v>4.4999180000000001</v>
      </c>
      <c r="E5729">
        <v>0.4636226</v>
      </c>
      <c r="F5729" t="s">
        <v>81</v>
      </c>
      <c r="G5729">
        <v>-281.57069999999999</v>
      </c>
      <c r="H5729" s="1">
        <v>-7.1325739999999998E-6</v>
      </c>
      <c r="I5729">
        <v>-60.839550000000003</v>
      </c>
      <c r="J5729">
        <v>-291.59100000000001</v>
      </c>
      <c r="K5729">
        <v>1.121113</v>
      </c>
      <c r="L5729">
        <v>-57.789369999999998</v>
      </c>
      <c r="M5729">
        <v>0.75970099999999996</v>
      </c>
      <c r="N5729">
        <v>-1.5987319999999999E-2</v>
      </c>
      <c r="O5729">
        <v>-0.65007599999999999</v>
      </c>
      <c r="P5729">
        <v>0.92759369999999997</v>
      </c>
      <c r="Q5729">
        <v>-3.6754559999999999E-2</v>
      </c>
      <c r="R5729">
        <v>-0.37177840000000001</v>
      </c>
      <c r="S5729">
        <v>2.8652950000000001</v>
      </c>
      <c r="T5729">
        <v>-0.3140019</v>
      </c>
      <c r="U5729">
        <v>-0.89971919999999905</v>
      </c>
      <c r="V5729">
        <v>-0.3198646</v>
      </c>
      <c r="W5729">
        <v>-3.070813E-2</v>
      </c>
      <c r="X5729">
        <v>0.94696550000000002</v>
      </c>
      <c r="Y5729">
        <v>-0.38840249999999998</v>
      </c>
      <c r="Z5729">
        <v>7.5843670000000002E-2</v>
      </c>
      <c r="AA5729">
        <v>0.91836329999999999</v>
      </c>
      <c r="AB5729">
        <v>27</v>
      </c>
      <c r="AC5729">
        <v>10.020300000000001</v>
      </c>
      <c r="AD5729">
        <v>-1.1211201325739999</v>
      </c>
      <c r="AE5729">
        <v>-3.0501800000000001</v>
      </c>
      <c r="AF5729">
        <v>-4.1497261557198497</v>
      </c>
      <c r="AG5729">
        <v>-1.1211201325739999</v>
      </c>
      <c r="AH5729">
        <v>9.4878085802929206</v>
      </c>
      <c r="AI5729">
        <v>96.178894070732497</v>
      </c>
      <c r="AJ5729">
        <v>113.62334519871099</v>
      </c>
      <c r="AK5729">
        <v>10.4161244796425</v>
      </c>
      <c r="AL5729">
        <v>91.7597228776946</v>
      </c>
      <c r="AM5729">
        <v>108.66386344811499</v>
      </c>
      <c r="AN5729">
        <v>1.00000000488575</v>
      </c>
    </row>
    <row r="5730" spans="1:40" x14ac:dyDescent="0.25">
      <c r="A5730" t="str">
        <f>"20190305135348771"</f>
        <v>20190305135348771</v>
      </c>
      <c r="B5730" t="str">
        <f>"1551765228765935"</f>
        <v>1551765228765935</v>
      </c>
      <c r="C5730" t="s">
        <v>40</v>
      </c>
      <c r="D5730">
        <v>4.5116120000000004</v>
      </c>
      <c r="E5730">
        <v>0.46316109999999999</v>
      </c>
      <c r="F5730" t="s">
        <v>81</v>
      </c>
      <c r="G5730">
        <v>-280.8639</v>
      </c>
      <c r="H5730" s="1">
        <v>-7.3559269999999999E-6</v>
      </c>
      <c r="I5730">
        <v>-60.957320000000003</v>
      </c>
      <c r="J5730">
        <v>-291.37119999999999</v>
      </c>
      <c r="K5730">
        <v>1.121297</v>
      </c>
      <c r="L5730">
        <v>-57.953890000000001</v>
      </c>
      <c r="M5730">
        <v>0.77066590000000001</v>
      </c>
      <c r="N5730">
        <v>-1.6069730000000001E-2</v>
      </c>
      <c r="O5730">
        <v>-0.63703690000000002</v>
      </c>
      <c r="P5730">
        <v>0.93318089999999998</v>
      </c>
      <c r="Q5730">
        <v>-3.5515909999999998E-2</v>
      </c>
      <c r="R5730">
        <v>-0.35764829999999997</v>
      </c>
      <c r="S5730">
        <v>2.8812259999999998</v>
      </c>
      <c r="T5730">
        <v>-0.30112529999999998</v>
      </c>
      <c r="U5730">
        <v>-0.85089110000000001</v>
      </c>
      <c r="V5730">
        <v>-0.31816729999999999</v>
      </c>
      <c r="W5730">
        <v>-2.9473039999999999E-2</v>
      </c>
      <c r="X5730">
        <v>0.94757630000000004</v>
      </c>
      <c r="Y5730">
        <v>-0.3888239</v>
      </c>
      <c r="Z5730">
        <v>7.1548310000000004E-2</v>
      </c>
      <c r="AA5730">
        <v>0.9185297</v>
      </c>
      <c r="AB5730">
        <v>27</v>
      </c>
      <c r="AC5730">
        <v>10.507299999999899</v>
      </c>
      <c r="AD5730">
        <v>-1.121304355927</v>
      </c>
      <c r="AE5730">
        <v>-3.0034299999999901</v>
      </c>
      <c r="AF5730">
        <v>-4.3338342219395498</v>
      </c>
      <c r="AG5730">
        <v>-1.121304355927</v>
      </c>
      <c r="AH5730">
        <v>9.9078928661532295</v>
      </c>
      <c r="AI5730">
        <v>95.919700184330907</v>
      </c>
      <c r="AJ5730">
        <v>113.625160098118</v>
      </c>
      <c r="AK5730">
        <v>10.8722483217154</v>
      </c>
      <c r="AL5730">
        <v>91.688925433377605</v>
      </c>
      <c r="AM5730">
        <v>108.56048506028</v>
      </c>
      <c r="AN5730">
        <v>0.99999996759890997</v>
      </c>
    </row>
    <row r="5731" spans="1:40" x14ac:dyDescent="0.25">
      <c r="A5731" t="str">
        <f>"20190305135348794"</f>
        <v>20190305135348794</v>
      </c>
      <c r="B5731" t="str">
        <f>"1551765228785455"</f>
        <v>1551765228785455</v>
      </c>
      <c r="C5731" t="s">
        <v>40</v>
      </c>
      <c r="D5731">
        <v>4.5092759999999998</v>
      </c>
      <c r="E5731">
        <v>0.46336169999999999</v>
      </c>
      <c r="F5731" t="s">
        <v>81</v>
      </c>
      <c r="G5731">
        <v>-280.08089999999999</v>
      </c>
      <c r="H5731" s="1">
        <v>-7.6035869999999998E-6</v>
      </c>
      <c r="I5731">
        <v>-61.085850000000001</v>
      </c>
      <c r="J5731">
        <v>-291.1515</v>
      </c>
      <c r="K5731">
        <v>1.1214550000000001</v>
      </c>
      <c r="L5731">
        <v>-58.112340000000003</v>
      </c>
      <c r="M5731">
        <v>0.78142819999999902</v>
      </c>
      <c r="N5731">
        <v>-1.6145050000000001E-2</v>
      </c>
      <c r="O5731">
        <v>-0.62378639999999996</v>
      </c>
      <c r="P5731">
        <v>0.93836189999999997</v>
      </c>
      <c r="Q5731">
        <v>-3.4025159999999999E-2</v>
      </c>
      <c r="R5731">
        <v>-0.34397610000000001</v>
      </c>
      <c r="S5731">
        <v>2.895966</v>
      </c>
      <c r="T5731">
        <v>-0.28761389999999998</v>
      </c>
      <c r="U5731">
        <v>-0.80334469999999902</v>
      </c>
      <c r="V5731">
        <v>-0.31590469999999998</v>
      </c>
      <c r="W5731">
        <v>-2.795286E-2</v>
      </c>
      <c r="X5731">
        <v>0.94837910000000003</v>
      </c>
      <c r="Y5731">
        <v>-0.38872709999999999</v>
      </c>
      <c r="Z5731">
        <v>6.7136440000000006E-2</v>
      </c>
      <c r="AA5731">
        <v>0.91890360000000004</v>
      </c>
      <c r="AB5731">
        <v>27</v>
      </c>
      <c r="AC5731">
        <v>11.070600000000001</v>
      </c>
      <c r="AD5731">
        <v>-1.1214626035869999</v>
      </c>
      <c r="AE5731">
        <v>-2.9735099999999899</v>
      </c>
      <c r="AF5731">
        <v>-4.5392551575170996</v>
      </c>
      <c r="AG5731">
        <v>-1.1214626035869999</v>
      </c>
      <c r="AH5731">
        <v>10.4074689369697</v>
      </c>
      <c r="AI5731">
        <v>95.640798015035699</v>
      </c>
      <c r="AJ5731">
        <v>113.56459668951599</v>
      </c>
      <c r="AK5731">
        <v>11.409554129337399</v>
      </c>
      <c r="AL5731">
        <v>91.601789498457904</v>
      </c>
      <c r="AM5731">
        <v>108.422895299807</v>
      </c>
      <c r="AN5731">
        <v>1.00000002959053</v>
      </c>
    </row>
    <row r="5732" spans="1:40" x14ac:dyDescent="0.25">
      <c r="A5732" t="str">
        <f>"20190305135348815"</f>
        <v>20190305135348815</v>
      </c>
      <c r="B5732" t="str">
        <f>"1551765228805951"</f>
        <v>1551765228805951</v>
      </c>
      <c r="C5732" t="s">
        <v>40</v>
      </c>
      <c r="D5732">
        <v>4.4974990000000004</v>
      </c>
      <c r="E5732">
        <v>0.46386189999999999</v>
      </c>
      <c r="F5732" t="s">
        <v>42</v>
      </c>
      <c r="G5732">
        <v>-279.26249999999999</v>
      </c>
      <c r="H5732" s="1">
        <v>-3.302471E-6</v>
      </c>
      <c r="I5732">
        <v>-61.228760000000001</v>
      </c>
      <c r="J5732">
        <v>-290.94889999999998</v>
      </c>
      <c r="K5732">
        <v>1.1215869999999999</v>
      </c>
      <c r="L5732">
        <v>-58.253329999999998</v>
      </c>
      <c r="M5732">
        <v>0.79117579999999998</v>
      </c>
      <c r="N5732">
        <v>-1.6209560000000001E-2</v>
      </c>
      <c r="O5732">
        <v>-0.61137410000000003</v>
      </c>
      <c r="P5732">
        <v>0.94335449999999998</v>
      </c>
      <c r="Q5732">
        <v>-3.3677060000000002E-2</v>
      </c>
      <c r="R5732">
        <v>-0.33007379999999997</v>
      </c>
      <c r="S5732">
        <v>2.9076840000000002</v>
      </c>
      <c r="T5732">
        <v>-0.27427240000000003</v>
      </c>
      <c r="U5732">
        <v>-0.76217650000000003</v>
      </c>
      <c r="V5732">
        <v>-0.31495970000000001</v>
      </c>
      <c r="W5732">
        <v>-2.7610050000000001E-2</v>
      </c>
      <c r="X5732">
        <v>0.94870330000000003</v>
      </c>
      <c r="Y5732">
        <v>-0.38765840000000001</v>
      </c>
      <c r="Z5732">
        <v>6.287914E-2</v>
      </c>
      <c r="AA5732">
        <v>0.91965600000000003</v>
      </c>
      <c r="AB5732">
        <v>27</v>
      </c>
      <c r="AC5732">
        <v>11.6863999999999</v>
      </c>
      <c r="AD5732">
        <v>-1.1215903024709999</v>
      </c>
      <c r="AE5732">
        <v>-2.97542999999999</v>
      </c>
      <c r="AF5732">
        <v>-4.7502125614904998</v>
      </c>
      <c r="AG5732">
        <v>-1.1215903024709999</v>
      </c>
      <c r="AH5732">
        <v>10.971643100351001</v>
      </c>
      <c r="AI5732">
        <v>95.359306245952197</v>
      </c>
      <c r="AJ5732">
        <v>113.410373579161</v>
      </c>
      <c r="AK5732">
        <v>12.008306979229801</v>
      </c>
      <c r="AL5732">
        <v>91.582140491245497</v>
      </c>
      <c r="AM5732">
        <v>108.36563354649699</v>
      </c>
      <c r="AN5732">
        <v>0.99999993945798904</v>
      </c>
    </row>
    <row r="5733" spans="1:40" x14ac:dyDescent="0.25">
      <c r="A5733" t="str">
        <f>"20190305135348838"</f>
        <v>20190305135348838</v>
      </c>
      <c r="B5733" t="str">
        <f>"1551765228825474"</f>
        <v>1551765228825474</v>
      </c>
      <c r="C5733" t="s">
        <v>40</v>
      </c>
      <c r="D5733">
        <v>4.5245610000000003</v>
      </c>
      <c r="E5733">
        <v>0.46460889999999999</v>
      </c>
      <c r="F5733" t="s">
        <v>42</v>
      </c>
      <c r="G5733">
        <v>-278.80919999999998</v>
      </c>
      <c r="H5733" s="1">
        <v>-3.128692E-6</v>
      </c>
      <c r="I5733">
        <v>-61.261890000000001</v>
      </c>
      <c r="J5733">
        <v>-290.73149999999998</v>
      </c>
      <c r="K5733">
        <v>1.1217189999999999</v>
      </c>
      <c r="L5733">
        <v>-58.399079999999998</v>
      </c>
      <c r="M5733">
        <v>0.80143030000000004</v>
      </c>
      <c r="N5733">
        <v>-1.627543E-2</v>
      </c>
      <c r="O5733">
        <v>-0.59786669999999997</v>
      </c>
      <c r="P5733">
        <v>0.94898329999999997</v>
      </c>
      <c r="Q5733">
        <v>-3.4298820000000001E-2</v>
      </c>
      <c r="R5733">
        <v>-0.3134555</v>
      </c>
      <c r="S5733">
        <v>2.9175420000000001</v>
      </c>
      <c r="T5733">
        <v>-0.26955390000000001</v>
      </c>
      <c r="U5733">
        <v>-0.72305299999999995</v>
      </c>
      <c r="V5733">
        <v>-0.31549159999999998</v>
      </c>
      <c r="W5733">
        <v>-2.828804E-2</v>
      </c>
      <c r="X5733">
        <v>0.94850670000000004</v>
      </c>
      <c r="Y5733">
        <v>-0.38453599999999999</v>
      </c>
      <c r="Z5733">
        <v>6.0731920000000002E-2</v>
      </c>
      <c r="AA5733">
        <v>0.92110999999999998</v>
      </c>
      <c r="AB5733">
        <v>27</v>
      </c>
      <c r="AC5733">
        <v>11.9223</v>
      </c>
      <c r="AD5733">
        <v>-1.1217221286920001</v>
      </c>
      <c r="AE5733">
        <v>-2.8628099999999899</v>
      </c>
      <c r="AF5733">
        <v>-4.7941188991828803</v>
      </c>
      <c r="AG5733">
        <v>-1.1217221286920001</v>
      </c>
      <c r="AH5733">
        <v>11.174438053574599</v>
      </c>
      <c r="AI5733">
        <v>95.270688779746905</v>
      </c>
      <c r="AJ5733">
        <v>113.22056636488099</v>
      </c>
      <c r="AK5733">
        <v>12.2110565622585</v>
      </c>
      <c r="AL5733">
        <v>91.621001443300003</v>
      </c>
      <c r="AM5733">
        <v>108.398119070486</v>
      </c>
      <c r="AN5733">
        <v>1.0000000614112401</v>
      </c>
    </row>
    <row r="5734" spans="1:40" x14ac:dyDescent="0.25">
      <c r="A5734" t="str">
        <f>"20190305135348850"</f>
        <v>20190305135348850</v>
      </c>
      <c r="B5734" t="str">
        <f>"1551765228845967"</f>
        <v>1551765228845967</v>
      </c>
      <c r="C5734" t="s">
        <v>40</v>
      </c>
      <c r="D5734">
        <v>4.5194739999999998</v>
      </c>
      <c r="E5734">
        <v>0.46539380000000002</v>
      </c>
      <c r="F5734" t="s">
        <v>42</v>
      </c>
      <c r="G5734">
        <v>-278.48140000000001</v>
      </c>
      <c r="H5734" s="1">
        <v>-2.9821159999999998E-6</v>
      </c>
      <c r="I5734">
        <v>-61.235250000000001</v>
      </c>
      <c r="J5734">
        <v>-290.60890000000001</v>
      </c>
      <c r="K5734">
        <v>1.1217900000000001</v>
      </c>
      <c r="L5734">
        <v>-58.478940000000001</v>
      </c>
      <c r="M5734">
        <v>0.80711940000000004</v>
      </c>
      <c r="N5734">
        <v>-1.6311659999999999E-2</v>
      </c>
      <c r="O5734">
        <v>-0.59016299999999999</v>
      </c>
      <c r="P5734">
        <v>0.95204800000000001</v>
      </c>
      <c r="Q5734">
        <v>-3.396594E-2</v>
      </c>
      <c r="R5734">
        <v>-0.30405739999999998</v>
      </c>
      <c r="S5734">
        <v>2.9277039999999999</v>
      </c>
      <c r="T5734">
        <v>-0.26808389999999999</v>
      </c>
      <c r="U5734">
        <v>-0.67782589999999998</v>
      </c>
      <c r="V5734">
        <v>-0.31579770000000001</v>
      </c>
      <c r="W5734">
        <v>-2.7985579999999999E-2</v>
      </c>
      <c r="X5734">
        <v>0.94841370000000003</v>
      </c>
      <c r="Y5734">
        <v>-0.38992890000000002</v>
      </c>
      <c r="Z5734">
        <v>6.0182600000000003E-2</v>
      </c>
      <c r="AA5734">
        <v>0.91887620000000003</v>
      </c>
      <c r="AB5734">
        <v>27</v>
      </c>
      <c r="AC5734">
        <v>12.1274999999999</v>
      </c>
      <c r="AD5734">
        <v>-1.121792982116</v>
      </c>
      <c r="AE5734">
        <v>-2.7563099999999898</v>
      </c>
      <c r="AF5734">
        <v>-4.8933740770483602</v>
      </c>
      <c r="AG5734">
        <v>-1.121792982116</v>
      </c>
      <c r="AH5734">
        <v>11.324395691501101</v>
      </c>
      <c r="AI5734">
        <v>95.195815568692396</v>
      </c>
      <c r="AJ5734">
        <v>113.369610621131</v>
      </c>
      <c r="AK5734">
        <v>12.387310730353899</v>
      </c>
      <c r="AL5734">
        <v>91.603665056540606</v>
      </c>
      <c r="AM5734">
        <v>108.416449818563</v>
      </c>
      <c r="AN5734">
        <v>0.99999996318045703</v>
      </c>
    </row>
    <row r="5735" spans="1:40" x14ac:dyDescent="0.25">
      <c r="A5735" t="str">
        <f>"20190305135348862"</f>
        <v>20190305135348862</v>
      </c>
      <c r="B5735" t="str">
        <f>"1551765228855728"</f>
        <v>1551765228855728</v>
      </c>
      <c r="C5735" t="s">
        <v>40</v>
      </c>
      <c r="D5735">
        <v>4.5296500000000002</v>
      </c>
      <c r="E5735">
        <v>0.465781</v>
      </c>
      <c r="F5735" t="s">
        <v>42</v>
      </c>
      <c r="G5735">
        <v>-278.28750000000002</v>
      </c>
      <c r="H5735" s="1">
        <v>-2.8981849999999998E-6</v>
      </c>
      <c r="I5735">
        <v>-61.2318</v>
      </c>
      <c r="J5735">
        <v>-290.48500000000001</v>
      </c>
      <c r="K5735">
        <v>1.121861</v>
      </c>
      <c r="L5735">
        <v>-58.557949999999998</v>
      </c>
      <c r="M5735">
        <v>0.81280580000000002</v>
      </c>
      <c r="N5735">
        <v>-1.6347939999999998E-2</v>
      </c>
      <c r="O5735">
        <v>-0.58230539999999997</v>
      </c>
      <c r="P5735">
        <v>0.95499889999999998</v>
      </c>
      <c r="Q5735">
        <v>-3.3217829999999997E-2</v>
      </c>
      <c r="R5735">
        <v>-0.2947437</v>
      </c>
      <c r="S5735">
        <v>2.9323730000000001</v>
      </c>
      <c r="T5735">
        <v>-0.26697459999999901</v>
      </c>
      <c r="U5735">
        <v>-0.65515140000000005</v>
      </c>
      <c r="V5735">
        <v>-0.31589539999999999</v>
      </c>
      <c r="W5735">
        <v>-2.7259789999999999E-2</v>
      </c>
      <c r="X5735">
        <v>0.94840230000000003</v>
      </c>
      <c r="Y5735">
        <v>-0.38812990000000003</v>
      </c>
      <c r="Z5735">
        <v>5.9368129999999998E-2</v>
      </c>
      <c r="AA5735">
        <v>0.91969049999999997</v>
      </c>
      <c r="AB5735">
        <v>27</v>
      </c>
      <c r="AC5735">
        <v>12.1974999999999</v>
      </c>
      <c r="AD5735">
        <v>-1.121863898185</v>
      </c>
      <c r="AE5735">
        <v>-2.6738499999999998</v>
      </c>
      <c r="AF5735">
        <v>-4.8905339010951296</v>
      </c>
      <c r="AG5735">
        <v>-1.121863898185</v>
      </c>
      <c r="AH5735">
        <v>11.3808678146742</v>
      </c>
      <c r="AI5735">
        <v>95.174974493010197</v>
      </c>
      <c r="AJ5735">
        <v>113.253940447334</v>
      </c>
      <c r="AK5735">
        <v>12.4378475894706</v>
      </c>
      <c r="AL5735">
        <v>91.5620644793525</v>
      </c>
      <c r="AM5735">
        <v>108.42196932934201</v>
      </c>
      <c r="AN5735">
        <v>0.99999996126864599</v>
      </c>
    </row>
    <row r="5736" spans="1:40" x14ac:dyDescent="0.25">
      <c r="A5736" t="str">
        <f>"20190305135348874"</f>
        <v>20190305135348874</v>
      </c>
      <c r="B5736" t="str">
        <f>"1551765228865488"</f>
        <v>1551765228865488</v>
      </c>
      <c r="C5736" t="s">
        <v>40</v>
      </c>
      <c r="D5736">
        <v>4.5038169999999997</v>
      </c>
      <c r="E5736">
        <v>0.465781</v>
      </c>
      <c r="F5736" t="s">
        <v>42</v>
      </c>
      <c r="G5736">
        <v>-278.02780000000001</v>
      </c>
      <c r="H5736" s="1">
        <v>-2.7857350000000002E-6</v>
      </c>
      <c r="I5736">
        <v>-61.227069999999998</v>
      </c>
      <c r="J5736">
        <v>-290.36790000000002</v>
      </c>
      <c r="K5736">
        <v>1.121926</v>
      </c>
      <c r="L5736">
        <v>-58.630619999999901</v>
      </c>
      <c r="M5736">
        <v>0.81811579999999995</v>
      </c>
      <c r="N5736">
        <v>-1.6382330000000001E-2</v>
      </c>
      <c r="O5736">
        <v>-0.574820199999999</v>
      </c>
      <c r="P5736">
        <v>0.95764990000000005</v>
      </c>
      <c r="Q5736">
        <v>-3.1756109999999997E-2</v>
      </c>
      <c r="R5736">
        <v>-0.28617880000000001</v>
      </c>
      <c r="S5736">
        <v>2.937897</v>
      </c>
      <c r="T5736">
        <v>-0.26458039999999999</v>
      </c>
      <c r="U5736">
        <v>-0.62948609999999905</v>
      </c>
      <c r="V5736">
        <v>-0.31575419999999998</v>
      </c>
      <c r="W5736">
        <v>-2.580928E-2</v>
      </c>
      <c r="X5736">
        <v>0.9484899</v>
      </c>
      <c r="Y5736">
        <v>-0.38778699999999999</v>
      </c>
      <c r="Z5736">
        <v>5.832553E-2</v>
      </c>
      <c r="AA5736">
        <v>0.91990179999999999</v>
      </c>
      <c r="AB5736">
        <v>27</v>
      </c>
      <c r="AC5736">
        <v>12.3401</v>
      </c>
      <c r="AD5736">
        <v>-1.121928785735</v>
      </c>
      <c r="AE5736">
        <v>-2.5964499999999999</v>
      </c>
      <c r="AF5736">
        <v>-4.9307789477000403</v>
      </c>
      <c r="AG5736">
        <v>-1.121928785735</v>
      </c>
      <c r="AH5736">
        <v>11.4986594526072</v>
      </c>
      <c r="AI5736">
        <v>95.124206663481701</v>
      </c>
      <c r="AJ5736">
        <v>113.210300833045</v>
      </c>
      <c r="AK5736">
        <v>12.5614678456928</v>
      </c>
      <c r="AL5736">
        <v>91.478927093585199</v>
      </c>
      <c r="AM5736">
        <v>108.412704556496</v>
      </c>
      <c r="AN5736">
        <v>0.99999996207688302</v>
      </c>
    </row>
    <row r="5737" spans="1:40" x14ac:dyDescent="0.25">
      <c r="A5737" t="str">
        <f>"20190305135348886"</f>
        <v>20190305135348886</v>
      </c>
      <c r="B5737" t="str">
        <f>"1551765228876224"</f>
        <v>1551765228876224</v>
      </c>
      <c r="C5737" t="s">
        <v>40</v>
      </c>
      <c r="D5737">
        <v>4.5873720000000002</v>
      </c>
      <c r="E5737">
        <v>0.47642760000000001</v>
      </c>
      <c r="F5737" t="s">
        <v>42</v>
      </c>
      <c r="G5737">
        <v>-277.66969999999998</v>
      </c>
      <c r="H5737" s="1">
        <v>-2.6332130000000002E-6</v>
      </c>
      <c r="I5737">
        <v>-61.232030000000002</v>
      </c>
      <c r="J5737">
        <v>-290.2457</v>
      </c>
      <c r="K5737">
        <v>1.1219950000000001</v>
      </c>
      <c r="L5737">
        <v>-58.705469999999998</v>
      </c>
      <c r="M5737">
        <v>0.82358619999999905</v>
      </c>
      <c r="N5737">
        <v>-1.641741E-2</v>
      </c>
      <c r="O5737">
        <v>-0.56695369999999901</v>
      </c>
      <c r="P5737">
        <v>0.96026400000000001</v>
      </c>
      <c r="Q5737">
        <v>-3.0595600000000001E-2</v>
      </c>
      <c r="R5737">
        <v>-0.27741179999999999</v>
      </c>
      <c r="S5737">
        <v>2.9438170000000001</v>
      </c>
      <c r="T5737">
        <v>-0.26009749999999998</v>
      </c>
      <c r="U5737">
        <v>-0.60308839999999997</v>
      </c>
      <c r="V5737">
        <v>-0.31539030000000001</v>
      </c>
      <c r="W5737">
        <v>-2.465359E-2</v>
      </c>
      <c r="X5737">
        <v>0.94864179999999998</v>
      </c>
      <c r="Y5737">
        <v>-0.38736549999999997</v>
      </c>
      <c r="Z5737">
        <v>5.6749279999999999E-2</v>
      </c>
      <c r="AA5737">
        <v>0.92017800000000005</v>
      </c>
      <c r="AB5737">
        <v>27</v>
      </c>
      <c r="AC5737">
        <v>12.576000000000001</v>
      </c>
      <c r="AD5737">
        <v>-1.1219976332129999</v>
      </c>
      <c r="AE5737">
        <v>-2.5265599999999999</v>
      </c>
      <c r="AF5737">
        <v>-5.0115070276941696</v>
      </c>
      <c r="AG5737">
        <v>-1.1219976332129999</v>
      </c>
      <c r="AH5737">
        <v>11.7019196792565</v>
      </c>
      <c r="AI5737">
        <v>95.036966410156694</v>
      </c>
      <c r="AJ5737">
        <v>113.18369161693001</v>
      </c>
      <c r="AK5737">
        <v>12.7792411964613</v>
      </c>
      <c r="AL5737">
        <v>91.412689712291794</v>
      </c>
      <c r="AM5737">
        <v>108.390166167153</v>
      </c>
      <c r="AN5737">
        <v>1.0000000527705999</v>
      </c>
    </row>
    <row r="5738" spans="1:40" x14ac:dyDescent="0.25">
      <c r="A5738" t="str">
        <f>"20190305135348899"</f>
        <v>20190305135348899</v>
      </c>
      <c r="B5738" t="str">
        <f>"1551765228895744"</f>
        <v>1551765228895744</v>
      </c>
      <c r="C5738" t="s">
        <v>40</v>
      </c>
      <c r="D5738">
        <v>4.5455459999999999</v>
      </c>
      <c r="E5738">
        <v>0.4761591</v>
      </c>
      <c r="F5738" t="s">
        <v>42</v>
      </c>
      <c r="G5738">
        <v>-275.64479999999998</v>
      </c>
      <c r="H5738" s="1">
        <v>-1.9309410000000001E-6</v>
      </c>
      <c r="I5738">
        <v>-61.980440000000002</v>
      </c>
      <c r="J5738">
        <v>-290.10939999999999</v>
      </c>
      <c r="K5738">
        <v>1.1220699999999999</v>
      </c>
      <c r="L5738">
        <v>-58.786160000000002</v>
      </c>
      <c r="M5738">
        <v>0.82960739999999999</v>
      </c>
      <c r="N5738">
        <v>-1.645684E-2</v>
      </c>
      <c r="O5738">
        <v>-0.55810459999999995</v>
      </c>
      <c r="P5738">
        <v>0.96315850000000003</v>
      </c>
      <c r="Q5738">
        <v>-3.0177929999999999E-2</v>
      </c>
      <c r="R5738">
        <v>-0.26723590000000003</v>
      </c>
      <c r="S5738">
        <v>2.9272770000000001</v>
      </c>
      <c r="T5738">
        <v>-0.2249449</v>
      </c>
      <c r="U5738">
        <v>-0.65658570000000005</v>
      </c>
      <c r="V5738">
        <v>-0.3152894</v>
      </c>
      <c r="W5738">
        <v>-2.425252E-2</v>
      </c>
      <c r="X5738">
        <v>0.94868560000000002</v>
      </c>
      <c r="Y5738">
        <v>-0.3610796</v>
      </c>
      <c r="Z5738">
        <v>4.6768589999999999E-2</v>
      </c>
      <c r="AA5738">
        <v>0.93136149999999995</v>
      </c>
      <c r="AB5738">
        <v>27</v>
      </c>
      <c r="AC5738">
        <v>14.464600000000001</v>
      </c>
      <c r="AD5738">
        <v>-1.1220719309409899</v>
      </c>
      <c r="AE5738">
        <v>-3.19428</v>
      </c>
      <c r="AF5738">
        <v>-5.3925542416555796</v>
      </c>
      <c r="AG5738">
        <v>-1.1220719309409899</v>
      </c>
      <c r="AH5738">
        <v>13.7059058004085</v>
      </c>
      <c r="AI5738">
        <v>94.3565623450407</v>
      </c>
      <c r="AJ5738">
        <v>111.477032482819</v>
      </c>
      <c r="AK5738">
        <v>14.7712741656593</v>
      </c>
      <c r="AL5738">
        <v>91.389703324077701</v>
      </c>
      <c r="AM5738">
        <v>108.383886687916</v>
      </c>
      <c r="AN5738">
        <v>0.99999997906303495</v>
      </c>
    </row>
    <row r="5739" spans="1:40" x14ac:dyDescent="0.25">
      <c r="A5739" t="str">
        <f>"20190305135348916"</f>
        <v>20190305135348916</v>
      </c>
      <c r="B5739" t="str">
        <f>"1551765228905504"</f>
        <v>1551765228905504</v>
      </c>
      <c r="C5739" t="s">
        <v>40</v>
      </c>
      <c r="D5739">
        <v>4.53817</v>
      </c>
      <c r="E5739">
        <v>0.47594409999999998</v>
      </c>
      <c r="F5739" t="s">
        <v>42</v>
      </c>
      <c r="G5739">
        <v>-275.29719999999998</v>
      </c>
      <c r="H5739" s="1">
        <v>-1.771265E-6</v>
      </c>
      <c r="I5739">
        <v>-61.93291</v>
      </c>
      <c r="J5739">
        <v>-289.95269999999999</v>
      </c>
      <c r="K5739">
        <v>1.1221449999999999</v>
      </c>
      <c r="L5739">
        <v>-58.876649999999998</v>
      </c>
      <c r="M5739">
        <v>0.83642119999999998</v>
      </c>
      <c r="N5739">
        <v>-1.6501499999999999E-2</v>
      </c>
      <c r="O5739">
        <v>-0.54783890000000002</v>
      </c>
      <c r="P5739">
        <v>0.96628499999999995</v>
      </c>
      <c r="Q5739">
        <v>-3.0283709999999998E-2</v>
      </c>
      <c r="R5739">
        <v>-0.25568859999999999</v>
      </c>
      <c r="S5739">
        <v>2.9347840000000001</v>
      </c>
      <c r="T5739">
        <v>-0.2223194</v>
      </c>
      <c r="U5739">
        <v>-0.62347410000000003</v>
      </c>
      <c r="V5739">
        <v>-0.3149459</v>
      </c>
      <c r="W5739">
        <v>-2.4368399999999998E-2</v>
      </c>
      <c r="X5739">
        <v>0.94879669999999905</v>
      </c>
      <c r="Y5739">
        <v>-0.36019950000000001</v>
      </c>
      <c r="Z5739">
        <v>4.5612979999999997E-2</v>
      </c>
      <c r="AA5739">
        <v>0.93175949999999996</v>
      </c>
      <c r="AB5739">
        <v>27</v>
      </c>
      <c r="AC5739">
        <v>14.6555</v>
      </c>
      <c r="AD5739">
        <v>-1.122146771265</v>
      </c>
      <c r="AE5739">
        <v>-3.05626</v>
      </c>
      <c r="AF5739">
        <v>-5.4426979956135701</v>
      </c>
      <c r="AG5739">
        <v>-1.122146771265</v>
      </c>
      <c r="AH5739">
        <v>13.8565538104307</v>
      </c>
      <c r="AI5739">
        <v>94.310626849386196</v>
      </c>
      <c r="AJ5739">
        <v>111.444339922754</v>
      </c>
      <c r="AK5739">
        <v>14.929375685174501</v>
      </c>
      <c r="AL5739">
        <v>91.396344750843497</v>
      </c>
      <c r="AM5739">
        <v>108.363196287756</v>
      </c>
      <c r="AN5739">
        <v>0.99999995838812905</v>
      </c>
    </row>
    <row r="5740" spans="1:40" x14ac:dyDescent="0.25">
      <c r="A5740" t="str">
        <f>"20190305135348927"</f>
        <v>20190305135348927</v>
      </c>
      <c r="B5740" t="str">
        <f>"1551765228916241"</f>
        <v>1551765228916241</v>
      </c>
      <c r="C5740" t="s">
        <v>40</v>
      </c>
      <c r="D5740">
        <v>4.5531119999999996</v>
      </c>
      <c r="E5740">
        <v>0.4760453</v>
      </c>
      <c r="F5740" t="s">
        <v>42</v>
      </c>
      <c r="G5740">
        <v>-275.4597</v>
      </c>
      <c r="H5740" s="1">
        <v>-1.804176E-6</v>
      </c>
      <c r="I5740">
        <v>-61.767359999999996</v>
      </c>
      <c r="J5740">
        <v>-289.82870000000003</v>
      </c>
      <c r="K5740">
        <v>1.1222049999999999</v>
      </c>
      <c r="L5740">
        <v>-58.946840000000002</v>
      </c>
      <c r="M5740">
        <v>0.84173120000000001</v>
      </c>
      <c r="N5740">
        <v>-1.6536149999999999E-2</v>
      </c>
      <c r="O5740">
        <v>-0.53964380000000001</v>
      </c>
      <c r="P5740">
        <v>0.96871470000000004</v>
      </c>
      <c r="Q5740">
        <v>-3.1533070000000003E-2</v>
      </c>
      <c r="R5740">
        <v>-0.24616640000000001</v>
      </c>
      <c r="S5740">
        <v>2.9422609999999998</v>
      </c>
      <c r="T5740">
        <v>-0.22780990000000001</v>
      </c>
      <c r="U5740">
        <v>-0.58685299999999996</v>
      </c>
      <c r="V5740">
        <v>-0.31495410000000001</v>
      </c>
      <c r="W5740">
        <v>-2.5636659999999999E-2</v>
      </c>
      <c r="X5740">
        <v>0.94876059999999995</v>
      </c>
      <c r="Y5740">
        <v>-0.36259980000000003</v>
      </c>
      <c r="Z5740">
        <v>4.6592960000000003E-2</v>
      </c>
      <c r="AA5740">
        <v>0.93077949999999998</v>
      </c>
      <c r="AB5740">
        <v>27</v>
      </c>
      <c r="AC5740">
        <v>14.369</v>
      </c>
      <c r="AD5740">
        <v>-1.1222068041759901</v>
      </c>
      <c r="AE5740">
        <v>-2.8205199999999899</v>
      </c>
      <c r="AF5740">
        <v>-5.3493393799807096</v>
      </c>
      <c r="AG5740">
        <v>-1.1222068041759901</v>
      </c>
      <c r="AH5740">
        <v>13.5392534022901</v>
      </c>
      <c r="AI5740">
        <v>94.408029938113003</v>
      </c>
      <c r="AJ5740">
        <v>111.558904138241</v>
      </c>
      <c r="AK5740">
        <v>14.600895952131699</v>
      </c>
      <c r="AL5740">
        <v>91.469033366622</v>
      </c>
      <c r="AM5740">
        <v>108.364294170398</v>
      </c>
      <c r="AN5740">
        <v>0.99999999977756204</v>
      </c>
    </row>
    <row r="5741" spans="1:40" x14ac:dyDescent="0.25">
      <c r="A5741" t="str">
        <f>"20190305135348941"</f>
        <v>20190305135348941</v>
      </c>
      <c r="B5741" t="str">
        <f>"1551765228935760"</f>
        <v>1551765228935760</v>
      </c>
      <c r="C5741" t="s">
        <v>40</v>
      </c>
      <c r="D5741">
        <v>4.5534800000000004</v>
      </c>
      <c r="E5741">
        <v>0.47696379999999999</v>
      </c>
      <c r="F5741" t="s">
        <v>42</v>
      </c>
      <c r="G5741">
        <v>-275.76440000000002</v>
      </c>
      <c r="H5741" s="1">
        <v>-1.900627E-6</v>
      </c>
      <c r="I5741">
        <v>-61.613300000000002</v>
      </c>
      <c r="J5741">
        <v>-289.6927</v>
      </c>
      <c r="K5741">
        <v>1.122266</v>
      </c>
      <c r="L5741">
        <v>-59.021360000000001</v>
      </c>
      <c r="M5741">
        <v>0.84746749999999904</v>
      </c>
      <c r="N5741">
        <v>-1.6573859999999999E-2</v>
      </c>
      <c r="O5741">
        <v>-0.53058879999999997</v>
      </c>
      <c r="P5741">
        <v>0.97122730000000002</v>
      </c>
      <c r="Q5741">
        <v>-3.2675200000000001E-2</v>
      </c>
      <c r="R5741">
        <v>-0.2359031</v>
      </c>
      <c r="S5741">
        <v>2.9472659999999999</v>
      </c>
      <c r="T5741">
        <v>-0.2351665</v>
      </c>
      <c r="U5741">
        <v>-0.55877690000000002</v>
      </c>
      <c r="V5741">
        <v>-0.31476270000000001</v>
      </c>
      <c r="W5741">
        <v>-2.679051E-2</v>
      </c>
      <c r="X5741">
        <v>0.94879219999999997</v>
      </c>
      <c r="Y5741">
        <v>-0.36133549999999998</v>
      </c>
      <c r="Z5741">
        <v>4.7777600000000003E-2</v>
      </c>
      <c r="AA5741">
        <v>0.93121109999999896</v>
      </c>
      <c r="AB5741">
        <v>27</v>
      </c>
      <c r="AC5741">
        <v>13.928299999999901</v>
      </c>
      <c r="AD5741">
        <v>-1.122267900627</v>
      </c>
      <c r="AE5741">
        <v>-2.5919400000000001</v>
      </c>
      <c r="AF5741">
        <v>-5.1619366773313402</v>
      </c>
      <c r="AG5741">
        <v>-1.122267900627</v>
      </c>
      <c r="AH5741">
        <v>13.098650540684099</v>
      </c>
      <c r="AI5741">
        <v>94.557512522338399</v>
      </c>
      <c r="AJ5741">
        <v>111.508485372357</v>
      </c>
      <c r="AK5741">
        <v>14.123729022057899</v>
      </c>
      <c r="AL5741">
        <v>91.535166886590204</v>
      </c>
      <c r="AM5741">
        <v>108.35331188086499</v>
      </c>
      <c r="AN5741">
        <v>0.99999996375909395</v>
      </c>
    </row>
    <row r="5742" spans="1:40" x14ac:dyDescent="0.25">
      <c r="A5742" t="str">
        <f>"20190305135348953"</f>
        <v>20190305135348953</v>
      </c>
      <c r="B5742" t="str">
        <f>"1551765228945519"</f>
        <v>1551765228945519</v>
      </c>
      <c r="C5742" t="s">
        <v>40</v>
      </c>
      <c r="D5742">
        <v>4.5404039999999997</v>
      </c>
      <c r="E5742">
        <v>0.47740310000000002</v>
      </c>
      <c r="F5742" t="s">
        <v>42</v>
      </c>
      <c r="G5742">
        <v>-276.09379999999999</v>
      </c>
      <c r="H5742" s="1">
        <v>-2.013672E-6</v>
      </c>
      <c r="I5742">
        <v>-61.486240000000002</v>
      </c>
      <c r="J5742">
        <v>-289.57530000000003</v>
      </c>
      <c r="K5742">
        <v>1.1223160000000001</v>
      </c>
      <c r="L5742">
        <v>-59.084110000000003</v>
      </c>
      <c r="M5742">
        <v>0.85234900000000002</v>
      </c>
      <c r="N5742">
        <v>-1.6605869999999998E-2</v>
      </c>
      <c r="O5742">
        <v>-0.52270969999999894</v>
      </c>
      <c r="P5742">
        <v>0.97326749999999995</v>
      </c>
      <c r="Q5742">
        <v>-3.3670749999999999E-2</v>
      </c>
      <c r="R5742">
        <v>-0.22719300000000001</v>
      </c>
      <c r="S5742">
        <v>2.950806</v>
      </c>
      <c r="T5742">
        <v>-0.24351929999999999</v>
      </c>
      <c r="U5742">
        <v>-0.53485109999999902</v>
      </c>
      <c r="V5742">
        <v>-0.31441520000000001</v>
      </c>
      <c r="W5742">
        <v>-2.7788299999999998E-2</v>
      </c>
      <c r="X5742">
        <v>0.94887880000000002</v>
      </c>
      <c r="Y5742">
        <v>-0.36004960000000003</v>
      </c>
      <c r="Z5742">
        <v>4.9214349999999997E-2</v>
      </c>
      <c r="AA5742">
        <v>0.93163419999999997</v>
      </c>
      <c r="AB5742">
        <v>27</v>
      </c>
      <c r="AC5742">
        <v>13.4815</v>
      </c>
      <c r="AD5742">
        <v>-1.1223180136719999</v>
      </c>
      <c r="AE5742">
        <v>-2.4021300000000001</v>
      </c>
      <c r="AF5742">
        <v>-4.9667847759063699</v>
      </c>
      <c r="AG5742">
        <v>-1.1223180136719999</v>
      </c>
      <c r="AH5742">
        <v>12.663257141180001</v>
      </c>
      <c r="AI5742">
        <v>94.716701173152899</v>
      </c>
      <c r="AJ5742">
        <v>111.416112811351</v>
      </c>
      <c r="AK5742">
        <v>13.6486860231172</v>
      </c>
      <c r="AL5742">
        <v>91.592357220873794</v>
      </c>
      <c r="AM5742">
        <v>108.332844117169</v>
      </c>
      <c r="AN5742">
        <v>1.0000000423486799</v>
      </c>
    </row>
    <row r="5743" spans="1:40" x14ac:dyDescent="0.25">
      <c r="A5743" t="str">
        <f>"20190305135348964"</f>
        <v>20190305135348964</v>
      </c>
      <c r="B5743" t="str">
        <f>"1551765228956255"</f>
        <v>1551765228956255</v>
      </c>
      <c r="C5743" t="s">
        <v>40</v>
      </c>
      <c r="D5743">
        <v>4.5702619999999996</v>
      </c>
      <c r="E5743">
        <v>0.47740310000000002</v>
      </c>
      <c r="F5743" t="s">
        <v>42</v>
      </c>
      <c r="G5743">
        <v>-276.13749999999999</v>
      </c>
      <c r="H5743" s="1">
        <v>-2.0160019999999999E-6</v>
      </c>
      <c r="I5743">
        <v>-61.412480000000002</v>
      </c>
      <c r="J5743">
        <v>-289.45179999999999</v>
      </c>
      <c r="K5743">
        <v>1.122369</v>
      </c>
      <c r="L5743">
        <v>-59.149140000000003</v>
      </c>
      <c r="M5743">
        <v>0.85740810000000001</v>
      </c>
      <c r="N5743">
        <v>-1.663866E-2</v>
      </c>
      <c r="O5743">
        <v>-0.51436839999999995</v>
      </c>
      <c r="P5743">
        <v>0.97525099999999998</v>
      </c>
      <c r="Q5743">
        <v>-3.4391030000000003E-2</v>
      </c>
      <c r="R5743">
        <v>-0.2184102</v>
      </c>
      <c r="S5743">
        <v>2.9543460000000001</v>
      </c>
      <c r="T5743">
        <v>-0.2467452</v>
      </c>
      <c r="U5743">
        <v>-0.51190190000000002</v>
      </c>
      <c r="V5743">
        <v>-0.31367319999999999</v>
      </c>
      <c r="W5743">
        <v>-2.8496480000000001E-2</v>
      </c>
      <c r="X5743">
        <v>0.94910329999999998</v>
      </c>
      <c r="Y5743">
        <v>-0.35811929999999997</v>
      </c>
      <c r="Z5743">
        <v>4.9398200000000003E-2</v>
      </c>
      <c r="AA5743">
        <v>0.93236819999999998</v>
      </c>
      <c r="AB5743">
        <v>27</v>
      </c>
      <c r="AC5743">
        <v>13.314299999999999</v>
      </c>
      <c r="AD5743">
        <v>-1.122371016002</v>
      </c>
      <c r="AE5743">
        <v>-2.2633399999999901</v>
      </c>
      <c r="AF5743">
        <v>-4.8748591077235996</v>
      </c>
      <c r="AG5743">
        <v>-1.122371016002</v>
      </c>
      <c r="AH5743">
        <v>12.4954179798103</v>
      </c>
      <c r="AI5743">
        <v>94.783361476851795</v>
      </c>
      <c r="AJ5743">
        <v>111.312334764949</v>
      </c>
      <c r="AK5743">
        <v>13.459548228223801</v>
      </c>
      <c r="AL5743">
        <v>91.632949091859601</v>
      </c>
      <c r="AM5743">
        <v>108.28842450801299</v>
      </c>
      <c r="AN5743">
        <v>0.99999999992076005</v>
      </c>
    </row>
    <row r="5744" spans="1:40" x14ac:dyDescent="0.25">
      <c r="A5744" t="str">
        <f>"20190305135348977"</f>
        <v>20190305135348977</v>
      </c>
      <c r="B5744" t="str">
        <f>"1551765228966016"</f>
        <v>1551765228966016</v>
      </c>
      <c r="C5744" t="s">
        <v>40</v>
      </c>
      <c r="D5744">
        <v>4.5697400000000004</v>
      </c>
      <c r="E5744">
        <v>0.48861909999999997</v>
      </c>
      <c r="F5744" t="s">
        <v>42</v>
      </c>
      <c r="G5744">
        <v>-276.1096</v>
      </c>
      <c r="H5744" s="1">
        <v>-1.9872880000000001E-6</v>
      </c>
      <c r="I5744">
        <v>-61.336970000000001</v>
      </c>
      <c r="J5744">
        <v>-289.32499999999999</v>
      </c>
      <c r="K5744">
        <v>1.122422</v>
      </c>
      <c r="L5744">
        <v>-59.213259999999998</v>
      </c>
      <c r="M5744">
        <v>0.86252280000000003</v>
      </c>
      <c r="N5744">
        <v>-1.6672220000000001E-2</v>
      </c>
      <c r="O5744">
        <v>-0.50574359999999996</v>
      </c>
      <c r="P5744">
        <v>0.97716289999999995</v>
      </c>
      <c r="Q5744">
        <v>-3.4785379999999998E-2</v>
      </c>
      <c r="R5744">
        <v>-0.20962600000000001</v>
      </c>
      <c r="S5744">
        <v>2.95871</v>
      </c>
      <c r="T5744">
        <v>-0.24889420000000001</v>
      </c>
      <c r="U5744">
        <v>-0.4851685</v>
      </c>
      <c r="V5744">
        <v>-0.31267309999999998</v>
      </c>
      <c r="W5744">
        <v>-2.886623E-2</v>
      </c>
      <c r="X5744">
        <v>0.94942210000000005</v>
      </c>
      <c r="Y5744">
        <v>-0.35715930000000001</v>
      </c>
      <c r="Z5744">
        <v>4.9347380000000003E-2</v>
      </c>
      <c r="AA5744">
        <v>0.93273899999999998</v>
      </c>
      <c r="AB5744">
        <v>27</v>
      </c>
      <c r="AC5744">
        <v>13.215399999999899</v>
      </c>
      <c r="AD5744">
        <v>-1.122423987288</v>
      </c>
      <c r="AE5744">
        <v>-2.1237099999999902</v>
      </c>
      <c r="AF5744">
        <v>-4.8186449940947602</v>
      </c>
      <c r="AG5744">
        <v>-1.122423987288</v>
      </c>
      <c r="AH5744">
        <v>12.387262049649999</v>
      </c>
      <c r="AI5744">
        <v>94.826995038171802</v>
      </c>
      <c r="AJ5744">
        <v>111.256035415249</v>
      </c>
      <c r="AK5744">
        <v>13.3387944085308</v>
      </c>
      <c r="AL5744">
        <v>91.654142883440301</v>
      </c>
      <c r="AM5744">
        <v>108.22826043129</v>
      </c>
      <c r="AN5744">
        <v>1.00000002533321</v>
      </c>
    </row>
    <row r="5745" spans="1:40" x14ac:dyDescent="0.25">
      <c r="A5745" t="str">
        <f>"20190305135348992"</f>
        <v>20190305135348992</v>
      </c>
      <c r="B5745" t="str">
        <f>"1551765228985535"</f>
        <v>1551765228985535</v>
      </c>
      <c r="C5745" t="s">
        <v>40</v>
      </c>
      <c r="D5745">
        <v>4.5530109999999997</v>
      </c>
      <c r="E5745">
        <v>0.48827549999999997</v>
      </c>
      <c r="F5745" t="s">
        <v>42</v>
      </c>
      <c r="G5745">
        <v>-275.21089999999998</v>
      </c>
      <c r="H5745" s="1">
        <v>-1.710777E-6</v>
      </c>
      <c r="I5745">
        <v>-61.827379999999998</v>
      </c>
      <c r="J5745">
        <v>-289.17</v>
      </c>
      <c r="K5745">
        <v>1.122485</v>
      </c>
      <c r="L5745">
        <v>-59.290039999999998</v>
      </c>
      <c r="M5745">
        <v>0.86866580000000004</v>
      </c>
      <c r="N5745">
        <v>-1.6712109999999999E-2</v>
      </c>
      <c r="O5745">
        <v>-0.49511670000000002</v>
      </c>
      <c r="P5745">
        <v>0.97950139999999997</v>
      </c>
      <c r="Q5745">
        <v>-3.4812849999999999E-2</v>
      </c>
      <c r="R5745">
        <v>-0.19840749999999999</v>
      </c>
      <c r="S5745">
        <v>2.944763</v>
      </c>
      <c r="T5745">
        <v>-0.23418159999999999</v>
      </c>
      <c r="U5745">
        <v>-0.54541019999999996</v>
      </c>
      <c r="V5745">
        <v>-0.31190109999999999</v>
      </c>
      <c r="W5745">
        <v>-2.887847E-2</v>
      </c>
      <c r="X5745">
        <v>0.94967559999999995</v>
      </c>
      <c r="Y5745">
        <v>-0.32669880000000001</v>
      </c>
      <c r="Z5745">
        <v>4.422119E-2</v>
      </c>
      <c r="AA5745">
        <v>0.94409339999999997</v>
      </c>
      <c r="AB5745">
        <v>27</v>
      </c>
      <c r="AC5745">
        <v>13.959099999999999</v>
      </c>
      <c r="AD5745">
        <v>-1.122486710777</v>
      </c>
      <c r="AE5745">
        <v>-2.5373399999999999</v>
      </c>
      <c r="AF5745">
        <v>-4.6786548620420998</v>
      </c>
      <c r="AG5745">
        <v>-1.122486710777</v>
      </c>
      <c r="AH5745">
        <v>13.3006867104252</v>
      </c>
      <c r="AI5745">
        <v>94.551795524038198</v>
      </c>
      <c r="AJ5745">
        <v>109.379852907352</v>
      </c>
      <c r="AK5745">
        <v>14.144188018506499</v>
      </c>
      <c r="AL5745">
        <v>91.654844512024496</v>
      </c>
      <c r="AM5745">
        <v>108.18168502462601</v>
      </c>
      <c r="AN5745">
        <v>1.0000000037230501</v>
      </c>
    </row>
    <row r="5746" spans="1:40" x14ac:dyDescent="0.25">
      <c r="A5746" t="str">
        <f>"20190305135349006"</f>
        <v>20190305135349006</v>
      </c>
      <c r="B5746" t="str">
        <f>"1551765228996271"</f>
        <v>1551765228996271</v>
      </c>
      <c r="C5746" t="s">
        <v>40</v>
      </c>
      <c r="D5746">
        <v>4.5601799999999999</v>
      </c>
      <c r="E5746">
        <v>0.48890790000000001</v>
      </c>
      <c r="F5746" t="s">
        <v>42</v>
      </c>
      <c r="G5746">
        <v>-274.87790000000001</v>
      </c>
      <c r="H5746" s="1">
        <v>-1.551541E-6</v>
      </c>
      <c r="I5746">
        <v>-61.753810000000001</v>
      </c>
      <c r="J5746">
        <v>-289.02730000000003</v>
      </c>
      <c r="K5746">
        <v>1.1225369999999999</v>
      </c>
      <c r="L5746">
        <v>-59.35904</v>
      </c>
      <c r="M5746">
        <v>0.87421170000000004</v>
      </c>
      <c r="N5746">
        <v>-1.674786E-2</v>
      </c>
      <c r="O5746">
        <v>-0.48525629999999997</v>
      </c>
      <c r="P5746">
        <v>0.98137370000000002</v>
      </c>
      <c r="Q5746">
        <v>-3.4458419999999997E-2</v>
      </c>
      <c r="R5746">
        <v>-0.18899350000000001</v>
      </c>
      <c r="S5746">
        <v>2.9514469999999999</v>
      </c>
      <c r="T5746">
        <v>-0.23180210000000001</v>
      </c>
      <c r="U5746">
        <v>-0.50878909999999999</v>
      </c>
      <c r="V5746">
        <v>-0.31028979999999901</v>
      </c>
      <c r="W5746">
        <v>-2.8474059999999999E-2</v>
      </c>
      <c r="X5746">
        <v>0.95021549999999999</v>
      </c>
      <c r="Y5746">
        <v>-0.32779950000000002</v>
      </c>
      <c r="Z5746">
        <v>4.3239949999999999E-2</v>
      </c>
      <c r="AA5746">
        <v>0.94375730000000002</v>
      </c>
      <c r="AB5746">
        <v>27</v>
      </c>
      <c r="AC5746">
        <v>14.1494</v>
      </c>
      <c r="AD5746">
        <v>-1.122538551541</v>
      </c>
      <c r="AE5746">
        <v>-2.3947699999999901</v>
      </c>
      <c r="AF5746">
        <v>-4.7441899867388102</v>
      </c>
      <c r="AG5746">
        <v>-1.122538551541</v>
      </c>
      <c r="AH5746">
        <v>13.451240191594501</v>
      </c>
      <c r="AI5746">
        <v>94.499953804713797</v>
      </c>
      <c r="AJ5746">
        <v>109.427509659775</v>
      </c>
      <c r="AK5746">
        <v>14.3074558927133</v>
      </c>
      <c r="AL5746">
        <v>91.631663975607196</v>
      </c>
      <c r="AM5746">
        <v>108.08428182596199</v>
      </c>
      <c r="AN5746">
        <v>1.0000000142585801</v>
      </c>
    </row>
    <row r="5747" spans="1:40" x14ac:dyDescent="0.25">
      <c r="A5747" t="str">
        <f>"20190305135349020"</f>
        <v>20190305135349020</v>
      </c>
      <c r="B5747" t="str">
        <f>"1551765229015792"</f>
        <v>1551765229015792</v>
      </c>
      <c r="C5747" t="s">
        <v>40</v>
      </c>
      <c r="D5747">
        <v>4.5339910000000003</v>
      </c>
      <c r="E5747">
        <v>0.4899792</v>
      </c>
      <c r="F5747" t="s">
        <v>42</v>
      </c>
      <c r="G5747">
        <v>-274.31720000000001</v>
      </c>
      <c r="H5747" s="1">
        <v>-1.3154219999999999E-6</v>
      </c>
      <c r="I5747">
        <v>-61.773609999999998</v>
      </c>
      <c r="J5747">
        <v>-288.87569999999999</v>
      </c>
      <c r="K5747">
        <v>1.1225860000000001</v>
      </c>
      <c r="L5747">
        <v>-59.4291699999999</v>
      </c>
      <c r="M5747">
        <v>0.87997819999999904</v>
      </c>
      <c r="N5747">
        <v>-1.678468E-2</v>
      </c>
      <c r="O5747">
        <v>-0.47471760000000002</v>
      </c>
      <c r="P5747">
        <v>0.9833826</v>
      </c>
      <c r="Q5747">
        <v>-3.4626480000000001E-2</v>
      </c>
      <c r="R5747">
        <v>-0.17821219999999999</v>
      </c>
      <c r="S5747">
        <v>2.9555660000000001</v>
      </c>
      <c r="T5747">
        <v>-0.22554160000000001</v>
      </c>
      <c r="U5747">
        <v>-0.48513790000000001</v>
      </c>
      <c r="V5747">
        <v>-0.30929119999999999</v>
      </c>
      <c r="W5747">
        <v>-2.8610819999999999E-2</v>
      </c>
      <c r="X5747">
        <v>0.95053690000000002</v>
      </c>
      <c r="Y5747">
        <v>-0.32415329999999998</v>
      </c>
      <c r="Z5747">
        <v>4.1222000000000002E-2</v>
      </c>
      <c r="AA5747">
        <v>0.945106</v>
      </c>
      <c r="AB5747">
        <v>26</v>
      </c>
      <c r="AC5747">
        <v>14.558499999999899</v>
      </c>
      <c r="AD5747">
        <v>-1.1225873154220001</v>
      </c>
      <c r="AE5747">
        <v>-2.3444400000000001</v>
      </c>
      <c r="AF5747">
        <v>-4.82086362915115</v>
      </c>
      <c r="AG5747">
        <v>-1.1225873154220001</v>
      </c>
      <c r="AH5747">
        <v>13.8458272685913</v>
      </c>
      <c r="AI5747">
        <v>94.378545024198999</v>
      </c>
      <c r="AJ5747">
        <v>109.197181970557</v>
      </c>
      <c r="AK5747">
        <v>14.7040083366164</v>
      </c>
      <c r="AL5747">
        <v>91.639502944012605</v>
      </c>
      <c r="AM5747">
        <v>108.02415176858599</v>
      </c>
      <c r="AN5747">
        <v>1.00000001184006</v>
      </c>
    </row>
    <row r="5748" spans="1:40" x14ac:dyDescent="0.25">
      <c r="A5748" t="str">
        <f>"20190305135349033"</f>
        <v>20190305135349033</v>
      </c>
      <c r="B5748" t="str">
        <f>"1551765229025553"</f>
        <v>1551765229025553</v>
      </c>
      <c r="C5748" t="s">
        <v>40</v>
      </c>
      <c r="D5748">
        <v>4.5586200000000003</v>
      </c>
      <c r="E5748">
        <v>0.49071910000000002</v>
      </c>
      <c r="F5748" t="s">
        <v>42</v>
      </c>
      <c r="G5748">
        <v>-274.03219999999999</v>
      </c>
      <c r="H5748" s="1">
        <v>-1.1860749999999999E-6</v>
      </c>
      <c r="I5748">
        <v>-61.741689999999998</v>
      </c>
      <c r="J5748">
        <v>-288.7414</v>
      </c>
      <c r="K5748">
        <v>1.122625</v>
      </c>
      <c r="L5748">
        <v>-59.489649999999997</v>
      </c>
      <c r="M5748">
        <v>0.88498559999999904</v>
      </c>
      <c r="N5748">
        <v>-1.6815569999999998E-2</v>
      </c>
      <c r="O5748">
        <v>-0.46531489999999998</v>
      </c>
      <c r="P5748">
        <v>0.98501839999999996</v>
      </c>
      <c r="Q5748">
        <v>-3.5030690000000003E-2</v>
      </c>
      <c r="R5748">
        <v>-0.168854</v>
      </c>
      <c r="S5748">
        <v>2.9592290000000001</v>
      </c>
      <c r="T5748">
        <v>-0.22380130000000001</v>
      </c>
      <c r="U5748">
        <v>-0.46102910000000002</v>
      </c>
      <c r="V5748">
        <v>-0.30818139999999999</v>
      </c>
      <c r="W5748">
        <v>-2.897607E-2</v>
      </c>
      <c r="X5748">
        <v>0.95088620000000001</v>
      </c>
      <c r="Y5748">
        <v>-0.32182240000000001</v>
      </c>
      <c r="Z5748">
        <v>4.028586E-2</v>
      </c>
      <c r="AA5748">
        <v>0.94594259999999997</v>
      </c>
      <c r="AB5748">
        <v>26</v>
      </c>
      <c r="AC5748">
        <v>14.709199999999999</v>
      </c>
      <c r="AD5748">
        <v>-1.122626186075</v>
      </c>
      <c r="AE5748">
        <v>-2.25204</v>
      </c>
      <c r="AF5748">
        <v>-4.8246129797352797</v>
      </c>
      <c r="AG5748">
        <v>-1.122626186075</v>
      </c>
      <c r="AH5748">
        <v>13.987713755000801</v>
      </c>
      <c r="AI5748">
        <v>94.3388125927152</v>
      </c>
      <c r="AJ5748">
        <v>109.030231063377</v>
      </c>
      <c r="AK5748">
        <v>14.838912225959501</v>
      </c>
      <c r="AL5748">
        <v>91.660438966215295</v>
      </c>
      <c r="AM5748">
        <v>107.957464836448</v>
      </c>
      <c r="AN5748">
        <v>0.999999976644522</v>
      </c>
    </row>
    <row r="5749" spans="1:40" x14ac:dyDescent="0.25">
      <c r="A5749" t="str">
        <f>"20190305135349052"</f>
        <v>20190305135349052</v>
      </c>
      <c r="B5749" t="str">
        <f>"1551765229046048"</f>
        <v>1551765229046048</v>
      </c>
      <c r="C5749" t="s">
        <v>40</v>
      </c>
      <c r="D5749">
        <v>4.8231080000000004</v>
      </c>
      <c r="E5749">
        <v>0.49146459999999997</v>
      </c>
      <c r="F5749" t="s">
        <v>42</v>
      </c>
      <c r="G5749">
        <v>-273.87909999999999</v>
      </c>
      <c r="H5749" s="1">
        <v>-1.10902E-6</v>
      </c>
      <c r="I5749">
        <v>-61.690660000000001</v>
      </c>
      <c r="J5749">
        <v>-288.536</v>
      </c>
      <c r="K5749">
        <v>1.1226700000000001</v>
      </c>
      <c r="L5749">
        <v>-59.578890000000001</v>
      </c>
      <c r="M5749">
        <v>0.89243980000000001</v>
      </c>
      <c r="N5749">
        <v>-1.685909E-2</v>
      </c>
      <c r="O5749">
        <v>-0.45085160000000002</v>
      </c>
      <c r="P5749">
        <v>0.98718220000000001</v>
      </c>
      <c r="Q5749">
        <v>-3.6875489999999997E-2</v>
      </c>
      <c r="R5749">
        <v>-0.15527939999999901</v>
      </c>
      <c r="S5749">
        <v>2.9624630000000001</v>
      </c>
      <c r="T5749">
        <v>-0.2237701</v>
      </c>
      <c r="U5749">
        <v>-0.43872070000000002</v>
      </c>
      <c r="V5749">
        <v>-0.30570540000000002</v>
      </c>
      <c r="W5749">
        <v>-3.0727930000000001E-2</v>
      </c>
      <c r="X5749">
        <v>0.95163019999999998</v>
      </c>
      <c r="Y5749">
        <v>-0.31357560000000001</v>
      </c>
      <c r="Z5749">
        <v>3.9181000000000001E-2</v>
      </c>
      <c r="AA5749">
        <v>0.94875449999999995</v>
      </c>
      <c r="AB5749">
        <v>26</v>
      </c>
      <c r="AC5749">
        <v>14.6569</v>
      </c>
      <c r="AD5749">
        <v>-1.1226711090199999</v>
      </c>
      <c r="AE5749">
        <v>-2.1117699999999999</v>
      </c>
      <c r="AF5749">
        <v>-4.6971322603137002</v>
      </c>
      <c r="AG5749">
        <v>-1.1226711090199999</v>
      </c>
      <c r="AH5749">
        <v>13.9542834168833</v>
      </c>
      <c r="AI5749">
        <v>94.360345836523607</v>
      </c>
      <c r="AJ5749">
        <v>108.60367728762201</v>
      </c>
      <c r="AK5749">
        <v>14.766362706117301</v>
      </c>
      <c r="AL5749">
        <v>91.760857847674401</v>
      </c>
      <c r="AM5749">
        <v>107.809298491497</v>
      </c>
      <c r="AN5749">
        <v>1.0000000174116399</v>
      </c>
    </row>
    <row r="5750" spans="1:40" x14ac:dyDescent="0.25">
      <c r="A5750" t="str">
        <f>"20190305135349062"</f>
        <v>20190305135349062</v>
      </c>
      <c r="B5750" t="str">
        <f>"1551765229055808"</f>
        <v>1551765229055808</v>
      </c>
      <c r="C5750" t="s">
        <v>40</v>
      </c>
      <c r="D5750">
        <v>4.560441</v>
      </c>
      <c r="E5750">
        <v>0.50168559999999995</v>
      </c>
      <c r="F5750" t="s">
        <v>42</v>
      </c>
      <c r="G5750">
        <v>-273.79469999999998</v>
      </c>
      <c r="H5750" s="1">
        <v>-1.0491459999999901E-6</v>
      </c>
      <c r="I5750">
        <v>-61.584110000000003</v>
      </c>
      <c r="J5750">
        <v>-288.42250000000001</v>
      </c>
      <c r="K5750">
        <v>1.12269</v>
      </c>
      <c r="L5750">
        <v>-59.626800000000003</v>
      </c>
      <c r="M5750">
        <v>0.89645520000000001</v>
      </c>
      <c r="N5750">
        <v>-1.6881179999999999E-2</v>
      </c>
      <c r="O5750">
        <v>-0.44281280000000001</v>
      </c>
      <c r="P5750">
        <v>0.9882843</v>
      </c>
      <c r="Q5750">
        <v>-3.75483E-2</v>
      </c>
      <c r="R5750">
        <v>-0.14793210000000001</v>
      </c>
      <c r="S5750">
        <v>2.9670100000000001</v>
      </c>
      <c r="T5750">
        <v>-0.22596250000000001</v>
      </c>
      <c r="U5750">
        <v>-0.40359499999999998</v>
      </c>
      <c r="V5750">
        <v>-0.304199</v>
      </c>
      <c r="W5750">
        <v>-3.1341519999999998E-2</v>
      </c>
      <c r="X5750">
        <v>0.95209279999999996</v>
      </c>
      <c r="Y5750">
        <v>-0.31623069999999998</v>
      </c>
      <c r="Z5750">
        <v>3.9322900000000001E-2</v>
      </c>
      <c r="AA5750">
        <v>0.94786700000000002</v>
      </c>
      <c r="AB5750">
        <v>26</v>
      </c>
      <c r="AC5750">
        <v>14.627800000000001</v>
      </c>
      <c r="AD5750">
        <v>-1.122691049146</v>
      </c>
      <c r="AE5750">
        <v>-1.9573099999999899</v>
      </c>
      <c r="AF5750">
        <v>-4.6962320230052104</v>
      </c>
      <c r="AG5750">
        <v>-1.122691049146</v>
      </c>
      <c r="AH5750">
        <v>13.9014331837065</v>
      </c>
      <c r="AI5750">
        <v>94.375332473563802</v>
      </c>
      <c r="AJ5750">
        <v>108.666181405228</v>
      </c>
      <c r="AK5750">
        <v>14.7161433455504</v>
      </c>
      <c r="AL5750">
        <v>91.796030918846597</v>
      </c>
      <c r="AM5750">
        <v>107.718973173612</v>
      </c>
      <c r="AN5750">
        <v>1.0000000111443701</v>
      </c>
    </row>
    <row r="5751" spans="1:40" x14ac:dyDescent="0.25">
      <c r="A5751" t="str">
        <f>"20190305135349074"</f>
        <v>20190305135349074</v>
      </c>
      <c r="B5751" t="str">
        <f>"1551765229065568"</f>
        <v>1551765229065568</v>
      </c>
      <c r="C5751" t="s">
        <v>40</v>
      </c>
      <c r="D5751">
        <v>4.5314170000000003</v>
      </c>
      <c r="E5751">
        <v>0.50262989999999996</v>
      </c>
      <c r="F5751" t="s">
        <v>42</v>
      </c>
      <c r="G5751">
        <v>-269.92910000000001</v>
      </c>
      <c r="H5751" s="1">
        <v>-3.6430039999999998E-6</v>
      </c>
      <c r="I5751">
        <v>-62.501359999999998</v>
      </c>
      <c r="J5751">
        <v>-288.31279999999998</v>
      </c>
      <c r="K5751">
        <v>1.1227020000000001</v>
      </c>
      <c r="L5751">
        <v>-59.671259999999997</v>
      </c>
      <c r="M5751">
        <v>0.90026249999999997</v>
      </c>
      <c r="N5751">
        <v>-1.6900209999999999E-2</v>
      </c>
      <c r="O5751">
        <v>-0.43501980000000001</v>
      </c>
      <c r="P5751">
        <v>0.98924319999999999</v>
      </c>
      <c r="Q5751">
        <v>-3.8171419999999998E-2</v>
      </c>
      <c r="R5751">
        <v>-0.1412129</v>
      </c>
      <c r="S5751">
        <v>2.9598689999999999</v>
      </c>
      <c r="T5751">
        <v>-0.17968689999999901</v>
      </c>
      <c r="U5751">
        <v>-0.46008300000000002</v>
      </c>
      <c r="V5751">
        <v>-0.30237999999999998</v>
      </c>
      <c r="W5751">
        <v>-3.1890790000000002E-2</v>
      </c>
      <c r="X5751">
        <v>0.9526538</v>
      </c>
      <c r="Y5751">
        <v>-0.29061130000000002</v>
      </c>
      <c r="Z5751">
        <v>2.899966E-2</v>
      </c>
      <c r="AA5751">
        <v>0.95640159999999996</v>
      </c>
      <c r="AB5751">
        <v>26</v>
      </c>
      <c r="AC5751">
        <v>18.383699999999902</v>
      </c>
      <c r="AD5751">
        <v>-1.1227056430040001</v>
      </c>
      <c r="AE5751">
        <v>-2.8300999999999998</v>
      </c>
      <c r="AF5751">
        <v>-5.4304332329870499</v>
      </c>
      <c r="AG5751">
        <v>-1.1227056430040001</v>
      </c>
      <c r="AH5751">
        <v>17.719284996968099</v>
      </c>
      <c r="AI5751">
        <v>93.466716620403105</v>
      </c>
      <c r="AJ5751">
        <v>107.038742555536</v>
      </c>
      <c r="AK5751">
        <v>18.5667211392465</v>
      </c>
      <c r="AL5751">
        <v>91.827517578840897</v>
      </c>
      <c r="AM5751">
        <v>107.609858095142</v>
      </c>
      <c r="AN5751">
        <v>0.99999997477063096</v>
      </c>
    </row>
    <row r="5752" spans="1:40" x14ac:dyDescent="0.25">
      <c r="A5752" t="str">
        <f>"20190305135349085"</f>
        <v>20190305135349085</v>
      </c>
      <c r="B5752" t="str">
        <f>"1551765229076303"</f>
        <v>1551765229076303</v>
      </c>
      <c r="C5752" t="s">
        <v>40</v>
      </c>
      <c r="D5752">
        <v>4.5221010000000001</v>
      </c>
      <c r="E5752">
        <v>0.50316570000000005</v>
      </c>
      <c r="F5752" t="s">
        <v>42</v>
      </c>
      <c r="G5752">
        <v>-270.96910000000003</v>
      </c>
      <c r="H5752" s="1">
        <v>5.1503549999999996E-9</v>
      </c>
      <c r="I5752">
        <v>-62.294029999999999</v>
      </c>
      <c r="J5752">
        <v>-288.19159999999999</v>
      </c>
      <c r="K5752">
        <v>1.1227180000000001</v>
      </c>
      <c r="L5752">
        <v>-59.719970000000004</v>
      </c>
      <c r="M5752">
        <v>0.90438629999999998</v>
      </c>
      <c r="N5752">
        <v>-1.6920399999999999E-2</v>
      </c>
      <c r="O5752">
        <v>-0.42637910000000001</v>
      </c>
      <c r="P5752">
        <v>0.99031290000000005</v>
      </c>
      <c r="Q5752">
        <v>-3.818034E-2</v>
      </c>
      <c r="R5752">
        <v>-0.13350209999999901</v>
      </c>
      <c r="S5752">
        <v>2.9612729999999998</v>
      </c>
      <c r="T5752">
        <v>-0.1916918</v>
      </c>
      <c r="U5752">
        <v>-0.44781490000000002</v>
      </c>
      <c r="V5752">
        <v>-0.3006798</v>
      </c>
      <c r="W5752">
        <v>-3.1828530000000001E-2</v>
      </c>
      <c r="X5752">
        <v>0.95319390000000004</v>
      </c>
      <c r="Y5752">
        <v>-0.28525529999999999</v>
      </c>
      <c r="Z5752">
        <v>3.0707080000000001E-2</v>
      </c>
      <c r="AA5752">
        <v>0.95795949999999996</v>
      </c>
      <c r="AB5752">
        <v>26</v>
      </c>
      <c r="AC5752">
        <v>17.222499999999901</v>
      </c>
      <c r="AD5752">
        <v>-1.12271799484964</v>
      </c>
      <c r="AE5752">
        <v>-2.57406000000001</v>
      </c>
      <c r="AF5752">
        <v>-4.9953231769682001</v>
      </c>
      <c r="AG5752">
        <v>-1.12271799484964</v>
      </c>
      <c r="AH5752">
        <v>16.606675710323898</v>
      </c>
      <c r="AI5752">
        <v>93.704210956168197</v>
      </c>
      <c r="AJ5752">
        <v>106.74139804396</v>
      </c>
      <c r="AK5752">
        <v>17.378015637183001</v>
      </c>
      <c r="AL5752">
        <v>91.823948477959902</v>
      </c>
      <c r="AM5752">
        <v>107.507594864129</v>
      </c>
      <c r="AN5752">
        <v>1.0000000042235999</v>
      </c>
    </row>
    <row r="5753" spans="1:40" x14ac:dyDescent="0.25">
      <c r="A5753" t="str">
        <f>"20190305135349096"</f>
        <v>20190305135349096</v>
      </c>
      <c r="B5753" t="str">
        <f>"1551765229086064"</f>
        <v>1551765229086064</v>
      </c>
      <c r="C5753" t="s">
        <v>40</v>
      </c>
      <c r="D5753">
        <v>4.5170690000000002</v>
      </c>
      <c r="E5753">
        <v>0.50367410000000001</v>
      </c>
      <c r="F5753" t="s">
        <v>42</v>
      </c>
      <c r="G5753">
        <v>-271.48050000000001</v>
      </c>
      <c r="H5753" s="1">
        <v>-1.8006869999999999E-7</v>
      </c>
      <c r="I5753">
        <v>-62.140509999999999</v>
      </c>
      <c r="J5753">
        <v>-288.07119999999998</v>
      </c>
      <c r="K5753">
        <v>1.12273</v>
      </c>
      <c r="L5753">
        <v>-59.765990000000002</v>
      </c>
      <c r="M5753">
        <v>0.90839250000000005</v>
      </c>
      <c r="N5753">
        <v>-1.6937569999999999E-2</v>
      </c>
      <c r="O5753">
        <v>-0.41777579999999997</v>
      </c>
      <c r="P5753">
        <v>0.99126729999999996</v>
      </c>
      <c r="Q5753">
        <v>-3.7861880000000001E-2</v>
      </c>
      <c r="R5753">
        <v>-0.12631729999999999</v>
      </c>
      <c r="S5753">
        <v>2.9637760000000002</v>
      </c>
      <c r="T5753">
        <v>-0.19911780000000001</v>
      </c>
      <c r="U5753">
        <v>-0.42929079999999997</v>
      </c>
      <c r="V5753">
        <v>-0.29856169999999999</v>
      </c>
      <c r="W5753">
        <v>-3.1419610000000001E-2</v>
      </c>
      <c r="X5753">
        <v>0.95387299999999997</v>
      </c>
      <c r="Y5753">
        <v>-0.28205639999999998</v>
      </c>
      <c r="Z5753">
        <v>3.1578950000000001E-2</v>
      </c>
      <c r="AA5753">
        <v>0.95887800000000001</v>
      </c>
      <c r="AB5753">
        <v>26</v>
      </c>
      <c r="AC5753">
        <v>16.590699999999899</v>
      </c>
      <c r="AD5753">
        <v>-1.1227301800687</v>
      </c>
      <c r="AE5753">
        <v>-2.3745199999999902</v>
      </c>
      <c r="AF5753">
        <v>-4.7535486613747802</v>
      </c>
      <c r="AG5753">
        <v>-1.1227301800687</v>
      </c>
      <c r="AH5753">
        <v>15.993413330490601</v>
      </c>
      <c r="AI5753">
        <v>93.849643551290896</v>
      </c>
      <c r="AJ5753">
        <v>106.552957208629</v>
      </c>
      <c r="AK5753">
        <v>16.722619947042102</v>
      </c>
      <c r="AL5753">
        <v>91.800507388250495</v>
      </c>
      <c r="AM5753">
        <v>107.38009003083501</v>
      </c>
      <c r="AN5753">
        <v>0.99999999036422105</v>
      </c>
    </row>
    <row r="5754" spans="1:40" x14ac:dyDescent="0.25">
      <c r="A5754" t="str">
        <f>"20190305135349109"</f>
        <v>20190305135349109</v>
      </c>
      <c r="B5754" t="str">
        <f>"1551765229095525"</f>
        <v>1551765229095525</v>
      </c>
      <c r="C5754" t="s">
        <v>40</v>
      </c>
      <c r="D5754">
        <v>4.6723929999999996</v>
      </c>
      <c r="E5754">
        <v>0.50367410000000001</v>
      </c>
      <c r="F5754" t="s">
        <v>42</v>
      </c>
      <c r="G5754">
        <v>-271.50459999999998</v>
      </c>
      <c r="H5754" s="1">
        <v>-1.7402739999999899E-7</v>
      </c>
      <c r="I5754">
        <v>-62.066780000000001</v>
      </c>
      <c r="J5754">
        <v>-287.94029999999998</v>
      </c>
      <c r="K5754">
        <v>1.122744</v>
      </c>
      <c r="L5754">
        <v>-59.815280000000001</v>
      </c>
      <c r="M5754">
        <v>0.91264900000000004</v>
      </c>
      <c r="N5754">
        <v>-1.695514E-2</v>
      </c>
      <c r="O5754">
        <v>-0.40839229999999999</v>
      </c>
      <c r="P5754">
        <v>0.99231959999999997</v>
      </c>
      <c r="Q5754">
        <v>-3.658405E-2</v>
      </c>
      <c r="R5754">
        <v>-0.118168</v>
      </c>
      <c r="S5754">
        <v>2.9662480000000002</v>
      </c>
      <c r="T5754">
        <v>-0.20102500000000001</v>
      </c>
      <c r="U5754">
        <v>-0.41195680000000001</v>
      </c>
      <c r="V5754">
        <v>-0.29663270000000003</v>
      </c>
      <c r="W5754">
        <v>-3.0055769999999999E-2</v>
      </c>
      <c r="X5754">
        <v>0.95451859999999999</v>
      </c>
      <c r="Y5754">
        <v>-0.27777170000000001</v>
      </c>
      <c r="Z5754">
        <v>3.1328910000000001E-2</v>
      </c>
      <c r="AA5754">
        <v>0.96013610000000005</v>
      </c>
      <c r="AB5754">
        <v>26</v>
      </c>
      <c r="AC5754">
        <v>16.435699999999901</v>
      </c>
      <c r="AD5754">
        <v>-1.12274417402739</v>
      </c>
      <c r="AE5754">
        <v>-2.2515000000000001</v>
      </c>
      <c r="AF5754">
        <v>-4.6368149886055203</v>
      </c>
      <c r="AG5754">
        <v>-1.12274417402739</v>
      </c>
      <c r="AH5754">
        <v>15.849212636009501</v>
      </c>
      <c r="AI5754">
        <v>93.889510472369807</v>
      </c>
      <c r="AJ5754">
        <v>106.307262659811</v>
      </c>
      <c r="AK5754">
        <v>16.5516811502733</v>
      </c>
      <c r="AL5754">
        <v>91.722328091422497</v>
      </c>
      <c r="AM5754">
        <v>107.263510471724</v>
      </c>
      <c r="AN5754">
        <v>1.0000000328827701</v>
      </c>
    </row>
    <row r="5755" spans="1:40" x14ac:dyDescent="0.25">
      <c r="A5755" t="str">
        <f>"20190305135349120"</f>
        <v>20190305135349120</v>
      </c>
      <c r="B5755" t="str">
        <f>"1551765229106261"</f>
        <v>1551765229106261</v>
      </c>
      <c r="C5755" t="s">
        <v>40</v>
      </c>
      <c r="D5755">
        <v>4.7002459999999999</v>
      </c>
      <c r="E5755">
        <v>0.50317639999999997</v>
      </c>
      <c r="F5755" t="s">
        <v>42</v>
      </c>
      <c r="G5755">
        <v>-271.0333</v>
      </c>
      <c r="H5755" s="1">
        <v>3.8161889999999999E-8</v>
      </c>
      <c r="I5755">
        <v>-62.021909999999998</v>
      </c>
      <c r="J5755">
        <v>-287.8125</v>
      </c>
      <c r="K5755">
        <v>1.1227510000000001</v>
      </c>
      <c r="L5755">
        <v>-59.861600000000003</v>
      </c>
      <c r="M5755">
        <v>0.91670390000000002</v>
      </c>
      <c r="N5755">
        <v>-1.6970180000000001E-2</v>
      </c>
      <c r="O5755">
        <v>-0.39920650000000002</v>
      </c>
      <c r="P5755">
        <v>0.99325490000000005</v>
      </c>
      <c r="Q5755">
        <v>-3.5160610000000002E-2</v>
      </c>
      <c r="R5755">
        <v>-0.11049299999999999</v>
      </c>
      <c r="S5755">
        <v>2.9697879999999999</v>
      </c>
      <c r="T5755">
        <v>-0.19721440000000001</v>
      </c>
      <c r="U5755">
        <v>-0.3876038</v>
      </c>
      <c r="V5755">
        <v>-0.29449540000000002</v>
      </c>
      <c r="W5755">
        <v>-2.8536579999999999E-2</v>
      </c>
      <c r="X5755">
        <v>0.95522669999999998</v>
      </c>
      <c r="Y5755">
        <v>-0.27607930000000003</v>
      </c>
      <c r="Z5755">
        <v>3.0170659999999998E-2</v>
      </c>
      <c r="AA5755">
        <v>0.96066119999999999</v>
      </c>
      <c r="AB5755">
        <v>26</v>
      </c>
      <c r="AC5755">
        <v>16.779199999999999</v>
      </c>
      <c r="AD5755">
        <v>-1.12275096183811</v>
      </c>
      <c r="AE5755">
        <v>-2.1603099999999902</v>
      </c>
      <c r="AF5755">
        <v>-4.6979892389654596</v>
      </c>
      <c r="AG5755">
        <v>-1.12275096183811</v>
      </c>
      <c r="AH5755">
        <v>16.1750674926828</v>
      </c>
      <c r="AI5755">
        <v>93.813567292789898</v>
      </c>
      <c r="AJ5755">
        <v>106.195746000333</v>
      </c>
      <c r="AK5755">
        <v>16.880891001501901</v>
      </c>
      <c r="AL5755">
        <v>91.635247648239897</v>
      </c>
      <c r="AM5755">
        <v>107.134476118565</v>
      </c>
      <c r="AN5755">
        <v>0.99999996270607205</v>
      </c>
    </row>
    <row r="5756" spans="1:40" x14ac:dyDescent="0.25">
      <c r="A5756" t="str">
        <f>"20190305135349132"</f>
        <v>20190305135349132</v>
      </c>
      <c r="B5756" t="str">
        <f>"1551765229125781"</f>
        <v>1551765229125781</v>
      </c>
      <c r="C5756" t="s">
        <v>40</v>
      </c>
      <c r="D5756">
        <v>4.6900659999999998</v>
      </c>
      <c r="E5756">
        <v>0.50488529999999998</v>
      </c>
      <c r="F5756" t="s">
        <v>42</v>
      </c>
      <c r="G5756">
        <v>-277.89460000000003</v>
      </c>
      <c r="H5756" s="1">
        <v>-2.6978959999999999E-6</v>
      </c>
      <c r="I5756">
        <v>-61.0890699999999</v>
      </c>
      <c r="J5756">
        <v>-287.69099999999997</v>
      </c>
      <c r="K5756">
        <v>1.1227510000000001</v>
      </c>
      <c r="L5756">
        <v>-59.904299999999999</v>
      </c>
      <c r="M5756">
        <v>0.92046689999999998</v>
      </c>
      <c r="N5756">
        <v>-1.698264E-2</v>
      </c>
      <c r="O5756">
        <v>-0.39045180000000002</v>
      </c>
      <c r="P5756">
        <v>0.99404479999999995</v>
      </c>
      <c r="Q5756">
        <v>-3.4297510000000003E-2</v>
      </c>
      <c r="R5756">
        <v>-0.1034354</v>
      </c>
      <c r="S5756">
        <v>2.9676209999999998</v>
      </c>
      <c r="T5756">
        <v>-0.33594800000000002</v>
      </c>
      <c r="U5756">
        <v>-0.36727910000000002</v>
      </c>
      <c r="V5756">
        <v>-0.29221819999999998</v>
      </c>
      <c r="W5756">
        <v>-2.7572860000000001E-2</v>
      </c>
      <c r="X5756">
        <v>0.95595410000000003</v>
      </c>
      <c r="Y5756">
        <v>-0.27089869999999999</v>
      </c>
      <c r="Z5756">
        <v>5.350415E-2</v>
      </c>
      <c r="AA5756">
        <v>0.96111979999999997</v>
      </c>
      <c r="AB5756">
        <v>26</v>
      </c>
      <c r="AC5756">
        <v>9.7963999999999398</v>
      </c>
      <c r="AD5756">
        <v>-1.122753697896</v>
      </c>
      <c r="AE5756">
        <v>-1.1847699999999901</v>
      </c>
      <c r="AF5756">
        <v>-2.6999216785411999</v>
      </c>
      <c r="AG5756">
        <v>-1.122753697896</v>
      </c>
      <c r="AH5756">
        <v>9.3600496852500701</v>
      </c>
      <c r="AI5756">
        <v>96.574486168778705</v>
      </c>
      <c r="AJ5756">
        <v>106.090292753352</v>
      </c>
      <c r="AK5756">
        <v>9.8061553652155595</v>
      </c>
      <c r="AL5756">
        <v>91.580008769389394</v>
      </c>
      <c r="AM5756">
        <v>106.997462240708</v>
      </c>
      <c r="AN5756">
        <v>0.99999999016331398</v>
      </c>
    </row>
    <row r="5757" spans="1:40" x14ac:dyDescent="0.25">
      <c r="A5757" t="str">
        <f>"20190305135349142"</f>
        <v>20190305135349142</v>
      </c>
      <c r="B5757" t="str">
        <f>"1551765229135541"</f>
        <v>1551765229135541</v>
      </c>
      <c r="C5757" t="s">
        <v>40</v>
      </c>
      <c r="D5757">
        <v>4.6559189999999999</v>
      </c>
      <c r="E5757">
        <v>0.50575179999999997</v>
      </c>
      <c r="F5757" t="s">
        <v>42</v>
      </c>
      <c r="G5757">
        <v>-277.88490000000002</v>
      </c>
      <c r="H5757" s="1">
        <v>-2.6948079999999998E-6</v>
      </c>
      <c r="I5757">
        <v>-61.093960000000003</v>
      </c>
      <c r="J5757">
        <v>-287.57380000000001</v>
      </c>
      <c r="K5757">
        <v>1.1227480000000001</v>
      </c>
      <c r="L5757">
        <v>-59.94455</v>
      </c>
      <c r="M5757">
        <v>0.9240083</v>
      </c>
      <c r="N5757">
        <v>-1.6993540000000001E-2</v>
      </c>
      <c r="O5757">
        <v>-0.38199519999999998</v>
      </c>
      <c r="P5757">
        <v>0.99471229999999999</v>
      </c>
      <c r="Q5757">
        <v>-3.351229E-2</v>
      </c>
      <c r="R5757">
        <v>-9.7082000000000002E-2</v>
      </c>
      <c r="S5757">
        <v>2.9687809999999999</v>
      </c>
      <c r="T5757">
        <v>-0.33991149999999998</v>
      </c>
      <c r="U5757">
        <v>-0.3601685</v>
      </c>
      <c r="V5757">
        <v>-0.28959950000000001</v>
      </c>
      <c r="W5757">
        <v>-2.6674130000000001E-2</v>
      </c>
      <c r="X5757">
        <v>0.95677610000000002</v>
      </c>
      <c r="Y5757">
        <v>-0.26437919999999998</v>
      </c>
      <c r="Z5757">
        <v>5.3009819999999999E-2</v>
      </c>
      <c r="AA5757">
        <v>0.96296079999999995</v>
      </c>
      <c r="AB5757">
        <v>26</v>
      </c>
      <c r="AC5757">
        <v>9.6888999999999896</v>
      </c>
      <c r="AD5757">
        <v>-1.1227506948079999</v>
      </c>
      <c r="AE5757">
        <v>-1.1494099999999901</v>
      </c>
      <c r="AF5757">
        <v>-2.6049353184392601</v>
      </c>
      <c r="AG5757">
        <v>-1.1227506948079999</v>
      </c>
      <c r="AH5757">
        <v>9.2702916523846906</v>
      </c>
      <c r="AI5757">
        <v>96.6504853086917</v>
      </c>
      <c r="AJ5757">
        <v>105.695267715075</v>
      </c>
      <c r="AK5757">
        <v>9.6945636547612306</v>
      </c>
      <c r="AL5757">
        <v>91.528496452077604</v>
      </c>
      <c r="AM5757">
        <v>106.840151840492</v>
      </c>
      <c r="AN5757">
        <v>0.99999994257135605</v>
      </c>
    </row>
    <row r="5758" spans="1:40" x14ac:dyDescent="0.25">
      <c r="A5758" t="str">
        <f>"20190305135349153"</f>
        <v>20190305135349153</v>
      </c>
      <c r="B5758" t="str">
        <f>"1551765229146277"</f>
        <v>1551765229146277</v>
      </c>
      <c r="C5758" t="s">
        <v>40</v>
      </c>
      <c r="D5758">
        <v>4.6501229999999998</v>
      </c>
      <c r="E5758">
        <v>0.50664390000000004</v>
      </c>
      <c r="F5758" t="s">
        <v>42</v>
      </c>
      <c r="G5758">
        <v>-277.57810000000001</v>
      </c>
      <c r="H5758" s="1">
        <v>-2.5679279999999999E-6</v>
      </c>
      <c r="I5758">
        <v>-61.115250000000003</v>
      </c>
      <c r="J5758">
        <v>-287.46409999999997</v>
      </c>
      <c r="K5758">
        <v>1.122738</v>
      </c>
      <c r="L5758">
        <v>-59.980649999999997</v>
      </c>
      <c r="M5758">
        <v>0.92724269999999998</v>
      </c>
      <c r="N5758">
        <v>-1.700161E-2</v>
      </c>
      <c r="O5758">
        <v>-0.37407469999999998</v>
      </c>
      <c r="P5758">
        <v>0.99522849999999996</v>
      </c>
      <c r="Q5758">
        <v>-3.343235E-2</v>
      </c>
      <c r="R5758">
        <v>-9.166618E-2</v>
      </c>
      <c r="S5758">
        <v>2.9707340000000002</v>
      </c>
      <c r="T5758">
        <v>-0.33368109999999901</v>
      </c>
      <c r="U5758">
        <v>-0.34793089999999999</v>
      </c>
      <c r="V5758">
        <v>-0.28662650000000001</v>
      </c>
      <c r="W5758">
        <v>-2.6467549999999999E-2</v>
      </c>
      <c r="X5758">
        <v>0.95767679999999999</v>
      </c>
      <c r="Y5758">
        <v>-0.26031490000000002</v>
      </c>
      <c r="Z5758">
        <v>5.1007940000000002E-2</v>
      </c>
      <c r="AA5758">
        <v>0.96417549999999996</v>
      </c>
      <c r="AB5758">
        <v>26</v>
      </c>
      <c r="AC5758">
        <v>9.8859999999999602</v>
      </c>
      <c r="AD5758">
        <v>-1.122740567928</v>
      </c>
      <c r="AE5758">
        <v>-1.1346000000000001</v>
      </c>
      <c r="AF5758">
        <v>-2.6131693632506701</v>
      </c>
      <c r="AG5758">
        <v>-1.122740567928</v>
      </c>
      <c r="AH5758">
        <v>9.4719534892397999</v>
      </c>
      <c r="AI5758">
        <v>96.518597410869603</v>
      </c>
      <c r="AJ5758">
        <v>105.423379297975</v>
      </c>
      <c r="AK5758">
        <v>9.8897473883929496</v>
      </c>
      <c r="AL5758">
        <v>91.516655919318495</v>
      </c>
      <c r="AM5758">
        <v>106.66210311061801</v>
      </c>
      <c r="AN5758">
        <v>1.00000006748174</v>
      </c>
    </row>
    <row r="5759" spans="1:40" x14ac:dyDescent="0.25">
      <c r="A5759" t="str">
        <f>"20190305135349163"</f>
        <v>20190305135349163</v>
      </c>
      <c r="B5759" t="str">
        <f>"1551765229156037"</f>
        <v>1551765229156037</v>
      </c>
      <c r="C5759" t="s">
        <v>40</v>
      </c>
      <c r="D5759">
        <v>4.64581</v>
      </c>
      <c r="E5759">
        <v>0.50734020000000002</v>
      </c>
      <c r="F5759" t="s">
        <v>42</v>
      </c>
      <c r="G5759">
        <v>-277.32729999999998</v>
      </c>
      <c r="H5759" s="1">
        <v>-2.4649190000000002E-6</v>
      </c>
      <c r="I5759">
        <v>-61.135770000000001</v>
      </c>
      <c r="J5759">
        <v>-287.34320000000002</v>
      </c>
      <c r="K5759">
        <v>1.1227240000000001</v>
      </c>
      <c r="L5759">
        <v>-60.019930000000002</v>
      </c>
      <c r="M5759">
        <v>0.93072489999999997</v>
      </c>
      <c r="N5759">
        <v>-1.7010029999999999E-2</v>
      </c>
      <c r="O5759">
        <v>-0.3653247</v>
      </c>
      <c r="P5759">
        <v>0.99575559999999996</v>
      </c>
      <c r="Q5759">
        <v>-3.3997159999999998E-2</v>
      </c>
      <c r="R5759">
        <v>-8.5530369999999994E-2</v>
      </c>
      <c r="S5759">
        <v>2.972137</v>
      </c>
      <c r="T5759">
        <v>-0.32919090000000001</v>
      </c>
      <c r="U5759">
        <v>-0.33868409999999999</v>
      </c>
      <c r="V5759">
        <v>-0.28348669999999998</v>
      </c>
      <c r="W5759">
        <v>-2.6898229999999999E-2</v>
      </c>
      <c r="X5759">
        <v>0.95859890000000003</v>
      </c>
      <c r="Y5759">
        <v>-0.25440459999999998</v>
      </c>
      <c r="Z5759">
        <v>4.9140540000000003E-2</v>
      </c>
      <c r="AA5759">
        <v>0.96584859999999995</v>
      </c>
      <c r="AB5759">
        <v>26</v>
      </c>
      <c r="AC5759">
        <v>10.0159</v>
      </c>
      <c r="AD5759">
        <v>-1.1227264649190001</v>
      </c>
      <c r="AE5759">
        <v>-1.11583999999999</v>
      </c>
      <c r="AF5759">
        <v>-2.5887649025136401</v>
      </c>
      <c r="AG5759">
        <v>-1.1227264649190001</v>
      </c>
      <c r="AH5759">
        <v>9.6118045636055296</v>
      </c>
      <c r="AI5759">
        <v>96.435073191299395</v>
      </c>
      <c r="AJ5759">
        <v>105.073886973176</v>
      </c>
      <c r="AK5759">
        <v>10.0174350711379</v>
      </c>
      <c r="AL5759">
        <v>91.541340899549894</v>
      </c>
      <c r="AM5759">
        <v>106.474542611687</v>
      </c>
      <c r="AN5759">
        <v>1.0000000374676099</v>
      </c>
    </row>
    <row r="5760" spans="1:40" x14ac:dyDescent="0.25">
      <c r="A5760" t="str">
        <f>"20190305135349177"</f>
        <v>20190305135349177</v>
      </c>
      <c r="B5760" t="str">
        <f>"1551765229165797"</f>
        <v>1551765229165797</v>
      </c>
      <c r="C5760" t="s">
        <v>40</v>
      </c>
      <c r="D5760">
        <v>4.6136839999999903</v>
      </c>
      <c r="E5760">
        <v>0.50803609999999999</v>
      </c>
      <c r="F5760" t="s">
        <v>42</v>
      </c>
      <c r="G5760">
        <v>-277.16030000000001</v>
      </c>
      <c r="H5760" s="1">
        <v>-2.3932210000000002E-6</v>
      </c>
      <c r="I5760">
        <v>-61.1355</v>
      </c>
      <c r="J5760">
        <v>-287.2097</v>
      </c>
      <c r="K5760">
        <v>1.1227020000000001</v>
      </c>
      <c r="L5760">
        <v>-60.060969999999998</v>
      </c>
      <c r="M5760">
        <v>0.93445100000000003</v>
      </c>
      <c r="N5760">
        <v>-1.7015260000000001E-2</v>
      </c>
      <c r="O5760">
        <v>-0.35568549999999999</v>
      </c>
      <c r="P5760">
        <v>0.99630830000000004</v>
      </c>
      <c r="Q5760">
        <v>-3.4426329999999998E-2</v>
      </c>
      <c r="R5760">
        <v>-7.8645770000000004E-2</v>
      </c>
      <c r="S5760">
        <v>2.9736630000000002</v>
      </c>
      <c r="T5760">
        <v>-0.32786539999999997</v>
      </c>
      <c r="U5760">
        <v>-0.32577509999999998</v>
      </c>
      <c r="V5760">
        <v>-0.28018989999999999</v>
      </c>
      <c r="W5760">
        <v>-2.7182830000000002E-2</v>
      </c>
      <c r="X5760">
        <v>0.95955959999999996</v>
      </c>
      <c r="Y5760">
        <v>-0.24871019999999999</v>
      </c>
      <c r="Z5760">
        <v>4.774312E-2</v>
      </c>
      <c r="AA5760">
        <v>0.96740060000000005</v>
      </c>
      <c r="AB5760">
        <v>26</v>
      </c>
      <c r="AC5760">
        <v>10.049399999999901</v>
      </c>
      <c r="AD5760">
        <v>-1.1227043932209999</v>
      </c>
      <c r="AE5760">
        <v>-1.07453</v>
      </c>
      <c r="AF5760">
        <v>-2.53936626179684</v>
      </c>
      <c r="AG5760">
        <v>-1.1227043932209999</v>
      </c>
      <c r="AH5760">
        <v>9.6551359350723995</v>
      </c>
      <c r="AI5760">
        <v>96.416304445000506</v>
      </c>
      <c r="AJ5760">
        <v>104.735465337584</v>
      </c>
      <c r="AK5760">
        <v>10.0464170772886</v>
      </c>
      <c r="AL5760">
        <v>91.557653369373099</v>
      </c>
      <c r="AM5760">
        <v>106.277721689204</v>
      </c>
      <c r="AN5760">
        <v>0.99999995613048798</v>
      </c>
    </row>
    <row r="5761" spans="1:40" x14ac:dyDescent="0.25">
      <c r="A5761" t="str">
        <f>"20190305135349191"</f>
        <v>20190305135349191</v>
      </c>
      <c r="B5761" t="str">
        <f>"1551765229175557"</f>
        <v>1551765229175557</v>
      </c>
      <c r="C5761" t="s">
        <v>40</v>
      </c>
      <c r="D5761">
        <v>4.6143850000000004</v>
      </c>
      <c r="E5761">
        <v>0.50803609999999999</v>
      </c>
      <c r="F5761" t="s">
        <v>42</v>
      </c>
      <c r="G5761">
        <v>-276.94459999999998</v>
      </c>
      <c r="H5761" s="1">
        <v>-2.3000879999999999E-6</v>
      </c>
      <c r="I5761">
        <v>-61.13279</v>
      </c>
      <c r="J5761">
        <v>-287.05840000000001</v>
      </c>
      <c r="K5761">
        <v>1.122665</v>
      </c>
      <c r="L5761">
        <v>-60.106229999999996</v>
      </c>
      <c r="M5761">
        <v>0.93853880000000001</v>
      </c>
      <c r="N5761">
        <v>-1.7018740000000001E-2</v>
      </c>
      <c r="O5761">
        <v>-0.34475440000000002</v>
      </c>
      <c r="P5761">
        <v>0.99688619999999994</v>
      </c>
      <c r="Q5761">
        <v>-3.4849140000000001E-2</v>
      </c>
      <c r="R5761">
        <v>-7.0735709999999993E-2</v>
      </c>
      <c r="S5761">
        <v>2.9753419999999999</v>
      </c>
      <c r="T5761">
        <v>-0.32541779999999998</v>
      </c>
      <c r="U5761">
        <v>-0.31066890000000003</v>
      </c>
      <c r="V5761">
        <v>-0.27659149999999999</v>
      </c>
      <c r="W5761">
        <v>-2.7444909999999999E-2</v>
      </c>
      <c r="X5761">
        <v>0.96059559999999999</v>
      </c>
      <c r="Y5761">
        <v>-0.24245340000000001</v>
      </c>
      <c r="Z5761">
        <v>4.6036029999999999E-2</v>
      </c>
      <c r="AA5761">
        <v>0.96907019999999999</v>
      </c>
      <c r="AB5761">
        <v>26</v>
      </c>
      <c r="AC5761">
        <v>10.113799999999999</v>
      </c>
      <c r="AD5761">
        <v>-1.1226673000880001</v>
      </c>
      <c r="AE5761">
        <v>-1.0265599999999899</v>
      </c>
      <c r="AF5761">
        <v>-2.4932675536097499</v>
      </c>
      <c r="AG5761">
        <v>-1.1226673000880001</v>
      </c>
      <c r="AH5761">
        <v>9.7288748450121592</v>
      </c>
      <c r="AI5761">
        <v>96.378214744751403</v>
      </c>
      <c r="AJ5761">
        <v>104.374123653509</v>
      </c>
      <c r="AK5761">
        <v>10.105828551409299</v>
      </c>
      <c r="AL5761">
        <v>91.572674993127507</v>
      </c>
      <c r="AM5761">
        <v>106.063094009841</v>
      </c>
      <c r="AN5761">
        <v>0.99999999384825899</v>
      </c>
    </row>
    <row r="5762" spans="1:40" x14ac:dyDescent="0.25">
      <c r="A5762" t="str">
        <f>"20190305135349207"</f>
        <v>20190305135349207</v>
      </c>
      <c r="B5762" t="str">
        <f>"1551765229195654"</f>
        <v>1551765229195654</v>
      </c>
      <c r="C5762" t="s">
        <v>40</v>
      </c>
      <c r="D5762">
        <v>4.7638759999999998</v>
      </c>
      <c r="E5762">
        <v>0.51351950000000002</v>
      </c>
      <c r="F5762" t="s">
        <v>42</v>
      </c>
      <c r="G5762">
        <v>-276.82549999999998</v>
      </c>
      <c r="H5762" s="1">
        <v>-2.2400900000000001E-6</v>
      </c>
      <c r="I5762">
        <v>-61.092820000000003</v>
      </c>
      <c r="J5762">
        <v>-286.88010000000003</v>
      </c>
      <c r="K5762">
        <v>1.122598</v>
      </c>
      <c r="L5762">
        <v>-60.157319999999999</v>
      </c>
      <c r="M5762">
        <v>0.94316239999999996</v>
      </c>
      <c r="N5762">
        <v>-1.7017830000000001E-2</v>
      </c>
      <c r="O5762">
        <v>-0.33189610000000003</v>
      </c>
      <c r="P5762">
        <v>0.99722029999999995</v>
      </c>
      <c r="Q5762">
        <v>-3.3412869999999997E-2</v>
      </c>
      <c r="R5762">
        <v>-6.6599279999999997E-2</v>
      </c>
      <c r="S5762">
        <v>2.9775700000000001</v>
      </c>
      <c r="T5762">
        <v>-0.32667420000000003</v>
      </c>
      <c r="U5762">
        <v>-0.28707890000000003</v>
      </c>
      <c r="V5762">
        <v>-0.26751269999999999</v>
      </c>
      <c r="W5762">
        <v>-2.5634480000000001E-2</v>
      </c>
      <c r="X5762">
        <v>0.96321330000000005</v>
      </c>
      <c r="Y5762">
        <v>-0.2369359</v>
      </c>
      <c r="Z5762">
        <v>4.4778400000000003E-2</v>
      </c>
      <c r="AA5762">
        <v>0.97049280000000004</v>
      </c>
      <c r="AB5762">
        <v>26</v>
      </c>
      <c r="AC5762">
        <v>10.054600000000001</v>
      </c>
      <c r="AD5762">
        <v>-1.1226002400899999</v>
      </c>
      <c r="AE5762">
        <v>-0.935499999999997</v>
      </c>
      <c r="AF5762">
        <v>-2.4251378503120602</v>
      </c>
      <c r="AG5762">
        <v>-1.1226002400899999</v>
      </c>
      <c r="AH5762">
        <v>9.6754509934236506</v>
      </c>
      <c r="AI5762">
        <v>96.4212871787892</v>
      </c>
      <c r="AJ5762">
        <v>104.071211962787</v>
      </c>
      <c r="AK5762">
        <v>10.0377226908402</v>
      </c>
      <c r="AL5762">
        <v>91.468908396540996</v>
      </c>
      <c r="AM5762">
        <v>105.52154033555399</v>
      </c>
      <c r="AN5762">
        <v>1.0000000162615199</v>
      </c>
    </row>
    <row r="5763" spans="1:40" x14ac:dyDescent="0.25">
      <c r="A5763" t="str">
        <f>"20190305135349219"</f>
        <v>20190305135349219</v>
      </c>
      <c r="B5763" t="str">
        <f>"1551765229206393"</f>
        <v>1551765229206393</v>
      </c>
      <c r="C5763" t="s">
        <v>40</v>
      </c>
      <c r="D5763">
        <v>4.6307260000000001</v>
      </c>
      <c r="E5763">
        <v>0.51449489999999998</v>
      </c>
      <c r="F5763" t="s">
        <v>42</v>
      </c>
      <c r="G5763">
        <v>-275.22620000000001</v>
      </c>
      <c r="H5763" s="1">
        <v>-1.621191E-6</v>
      </c>
      <c r="I5763">
        <v>-61.39508</v>
      </c>
      <c r="J5763">
        <v>-286.74990000000003</v>
      </c>
      <c r="K5763">
        <v>1.12253799999999</v>
      </c>
      <c r="L5763">
        <v>-60.192469999999901</v>
      </c>
      <c r="M5763">
        <v>0.9463992</v>
      </c>
      <c r="N5763">
        <v>-1.7011200000000001E-2</v>
      </c>
      <c r="O5763">
        <v>-0.32255129999999999</v>
      </c>
      <c r="P5763">
        <v>0.99752439999999998</v>
      </c>
      <c r="Q5763">
        <v>-3.268952E-2</v>
      </c>
      <c r="R5763">
        <v>-6.2265439999999998E-2</v>
      </c>
      <c r="S5763">
        <v>2.9776310000000001</v>
      </c>
      <c r="T5763">
        <v>-0.286829099999999</v>
      </c>
      <c r="U5763">
        <v>-0.31625370000000003</v>
      </c>
      <c r="V5763">
        <v>-0.26220729999999998</v>
      </c>
      <c r="W5763">
        <v>-2.4686509999999998E-2</v>
      </c>
      <c r="X5763">
        <v>0.96469579999999999</v>
      </c>
      <c r="Y5763">
        <v>-0.2187085</v>
      </c>
      <c r="Z5763">
        <v>3.7147239999999998E-2</v>
      </c>
      <c r="AA5763">
        <v>0.97508289999999997</v>
      </c>
      <c r="AB5763">
        <v>26</v>
      </c>
      <c r="AC5763">
        <v>11.5237</v>
      </c>
      <c r="AD5763">
        <v>-1.1225396211909899</v>
      </c>
      <c r="AE5763">
        <v>-1.2026100000000099</v>
      </c>
      <c r="AF5763">
        <v>-2.5552230363774502</v>
      </c>
      <c r="AG5763">
        <v>-1.1225396211909899</v>
      </c>
      <c r="AH5763">
        <v>11.1905148658361</v>
      </c>
      <c r="AI5763">
        <v>95.585460889469999</v>
      </c>
      <c r="AJ5763">
        <v>102.86230632762199</v>
      </c>
      <c r="AK5763">
        <v>11.533294539258</v>
      </c>
      <c r="AL5763">
        <v>91.4145764826294</v>
      </c>
      <c r="AM5763">
        <v>105.205821307961</v>
      </c>
      <c r="AN5763">
        <v>1.00000003924345</v>
      </c>
    </row>
    <row r="5764" spans="1:40" x14ac:dyDescent="0.25">
      <c r="A5764" t="str">
        <f>"20190305135349230"</f>
        <v>20190305135349230</v>
      </c>
      <c r="B5764" t="str">
        <f>"1551765229225911"</f>
        <v>1551765229225911</v>
      </c>
      <c r="C5764" t="s">
        <v>40</v>
      </c>
      <c r="D5764">
        <v>4.5499219999999996</v>
      </c>
      <c r="E5764">
        <v>0.5160766</v>
      </c>
      <c r="F5764" t="s">
        <v>42</v>
      </c>
      <c r="G5764">
        <v>-274.70979999999997</v>
      </c>
      <c r="H5764" s="1">
        <v>-1.4111949999999901E-6</v>
      </c>
      <c r="I5764">
        <v>-61.44688</v>
      </c>
      <c r="J5764">
        <v>-286.62939999999998</v>
      </c>
      <c r="K5764">
        <v>1.1224749999999999</v>
      </c>
      <c r="L5764">
        <v>-60.224150000000002</v>
      </c>
      <c r="M5764">
        <v>0.94929770000000002</v>
      </c>
      <c r="N5764">
        <v>-1.7002940000000001E-2</v>
      </c>
      <c r="O5764">
        <v>-0.31391859999999999</v>
      </c>
      <c r="P5764">
        <v>0.99774629999999997</v>
      </c>
      <c r="Q5764">
        <v>-3.227729E-2</v>
      </c>
      <c r="R5764">
        <v>-5.8825339999999997E-2</v>
      </c>
      <c r="S5764">
        <v>2.9789430000000001</v>
      </c>
      <c r="T5764">
        <v>-0.27773680000000001</v>
      </c>
      <c r="U5764">
        <v>-0.31036380000000002</v>
      </c>
      <c r="V5764">
        <v>-0.25676949999999998</v>
      </c>
      <c r="W5764">
        <v>-2.4047269999999999E-2</v>
      </c>
      <c r="X5764">
        <v>0.96617350000000002</v>
      </c>
      <c r="Y5764">
        <v>-0.21196719999999999</v>
      </c>
      <c r="Z5764">
        <v>3.4869980000000002E-2</v>
      </c>
      <c r="AA5764">
        <v>0.97665449999999998</v>
      </c>
      <c r="AB5764">
        <v>26</v>
      </c>
      <c r="AC5764">
        <v>11.919600000000001</v>
      </c>
      <c r="AD5764">
        <v>-1.1224764111950001</v>
      </c>
      <c r="AE5764">
        <v>-1.2227300000000001</v>
      </c>
      <c r="AF5764">
        <v>-2.5589655209676998</v>
      </c>
      <c r="AG5764">
        <v>-1.1224764111950001</v>
      </c>
      <c r="AH5764">
        <v>11.5989874092778</v>
      </c>
      <c r="AI5764">
        <v>95.398484759365999</v>
      </c>
      <c r="AJ5764">
        <v>102.441283027038</v>
      </c>
      <c r="AK5764">
        <v>11.930832609326799</v>
      </c>
      <c r="AL5764">
        <v>91.377939850669506</v>
      </c>
      <c r="AM5764">
        <v>104.88286429305001</v>
      </c>
      <c r="AN5764">
        <v>1.0000000397134701</v>
      </c>
    </row>
    <row r="5765" spans="1:40" x14ac:dyDescent="0.25">
      <c r="A5765" t="str">
        <f>"20190305135349240"</f>
        <v>20190305135349240</v>
      </c>
      <c r="B5765" t="str">
        <f>"1551765229235671"</f>
        <v>1551765229235671</v>
      </c>
      <c r="C5765" t="s">
        <v>40</v>
      </c>
      <c r="D5765">
        <v>4.5654309999999896</v>
      </c>
      <c r="E5765">
        <v>0.51648249999999996</v>
      </c>
      <c r="F5765" t="s">
        <v>42</v>
      </c>
      <c r="G5765">
        <v>-274.54590000000002</v>
      </c>
      <c r="H5765" s="1">
        <v>-1.350667E-6</v>
      </c>
      <c r="I5765">
        <v>-61.490810000000003</v>
      </c>
      <c r="J5765">
        <v>-286.51010000000002</v>
      </c>
      <c r="K5765">
        <v>1.1223989999999999</v>
      </c>
      <c r="L5765">
        <v>-60.254330000000003</v>
      </c>
      <c r="M5765">
        <v>0.95207070000000005</v>
      </c>
      <c r="N5765">
        <v>-1.6991510000000001E-2</v>
      </c>
      <c r="O5765">
        <v>-0.30540610000000001</v>
      </c>
      <c r="P5765">
        <v>0.99791479999999999</v>
      </c>
      <c r="Q5765">
        <v>-3.271715E-2</v>
      </c>
      <c r="R5765">
        <v>-5.5639000000000001E-2</v>
      </c>
      <c r="S5765">
        <v>2.9794010000000002</v>
      </c>
      <c r="T5765">
        <v>-0.2767676</v>
      </c>
      <c r="U5765">
        <v>-0.31231690000000001</v>
      </c>
      <c r="V5765">
        <v>-0.25119029999999998</v>
      </c>
      <c r="W5765">
        <v>-2.4255949999999998E-2</v>
      </c>
      <c r="X5765">
        <v>0.96763370000000004</v>
      </c>
      <c r="Y5765">
        <v>-0.20267450000000001</v>
      </c>
      <c r="Z5765">
        <v>3.3623029999999998E-2</v>
      </c>
      <c r="AA5765">
        <v>0.97866869999999995</v>
      </c>
      <c r="AB5765">
        <v>26</v>
      </c>
      <c r="AC5765">
        <v>11.9642</v>
      </c>
      <c r="AD5765">
        <v>-1.1224003506669999</v>
      </c>
      <c r="AE5765">
        <v>-1.23647999999999</v>
      </c>
      <c r="AF5765">
        <v>-2.45569662361329</v>
      </c>
      <c r="AG5765">
        <v>-1.1224003506669999</v>
      </c>
      <c r="AH5765">
        <v>11.668482578258301</v>
      </c>
      <c r="AI5765">
        <v>95.377338982292301</v>
      </c>
      <c r="AJ5765">
        <v>101.88477409350401</v>
      </c>
      <c r="AK5765">
        <v>11.976798993617599</v>
      </c>
      <c r="AL5765">
        <v>91.389899950105004</v>
      </c>
      <c r="AM5765">
        <v>104.552335994789</v>
      </c>
      <c r="AN5765">
        <v>0.99999994765008904</v>
      </c>
    </row>
    <row r="5766" spans="1:40" x14ac:dyDescent="0.25">
      <c r="A5766" t="str">
        <f>"20190305135349252"</f>
        <v>20190305135349252</v>
      </c>
      <c r="B5766" t="str">
        <f>"1551765229245431"</f>
        <v>1551765229245431</v>
      </c>
      <c r="C5766" t="s">
        <v>40</v>
      </c>
      <c r="D5766">
        <v>4.5723989999999999</v>
      </c>
      <c r="E5766">
        <v>0.51671250000000002</v>
      </c>
      <c r="F5766" t="s">
        <v>42</v>
      </c>
      <c r="G5766">
        <v>-274.56889999999999</v>
      </c>
      <c r="H5766" s="1">
        <v>-1.3579369999999999E-6</v>
      </c>
      <c r="I5766">
        <v>-61.4792699999999</v>
      </c>
      <c r="J5766">
        <v>-286.39139999999998</v>
      </c>
      <c r="K5766">
        <v>1.122306</v>
      </c>
      <c r="L5766">
        <v>-60.283169999999998</v>
      </c>
      <c r="M5766">
        <v>0.95472699999999999</v>
      </c>
      <c r="N5766">
        <v>-1.6975670000000002E-2</v>
      </c>
      <c r="O5766">
        <v>-0.29699920000000002</v>
      </c>
      <c r="P5766">
        <v>0.99805270000000001</v>
      </c>
      <c r="Q5766">
        <v>-3.4387620000000001E-2</v>
      </c>
      <c r="R5766">
        <v>-5.2042409999999997E-2</v>
      </c>
      <c r="S5766">
        <v>2.9800420000000001</v>
      </c>
      <c r="T5766">
        <v>-0.28010580000000002</v>
      </c>
      <c r="U5766">
        <v>-0.30569459999999998</v>
      </c>
      <c r="V5766">
        <v>-0.2460822</v>
      </c>
      <c r="W5766">
        <v>-2.571054E-2</v>
      </c>
      <c r="X5766">
        <v>0.96890790000000004</v>
      </c>
      <c r="Y5766">
        <v>-0.1962187</v>
      </c>
      <c r="Z5766">
        <v>3.3110979999999998E-2</v>
      </c>
      <c r="AA5766">
        <v>0.98000100000000001</v>
      </c>
      <c r="AB5766">
        <v>26</v>
      </c>
      <c r="AC5766">
        <v>11.8224999999999</v>
      </c>
      <c r="AD5766">
        <v>-1.122307357937</v>
      </c>
      <c r="AE5766">
        <v>-1.1960999999999899</v>
      </c>
      <c r="AF5766">
        <v>-2.3487137657794102</v>
      </c>
      <c r="AG5766">
        <v>-1.122307357937</v>
      </c>
      <c r="AH5766">
        <v>11.541224742376199</v>
      </c>
      <c r="AI5766">
        <v>95.443287880896307</v>
      </c>
      <c r="AJ5766">
        <v>101.502979675267</v>
      </c>
      <c r="AK5766">
        <v>11.8311410571119</v>
      </c>
      <c r="AL5766">
        <v>91.473267774453504</v>
      </c>
      <c r="AM5766">
        <v>104.25060778494699</v>
      </c>
      <c r="AN5766">
        <v>0.99999999985317001</v>
      </c>
    </row>
    <row r="5767" spans="1:40" x14ac:dyDescent="0.25">
      <c r="A5767" t="str">
        <f>"20190305135349262"</f>
        <v>20190305135349262</v>
      </c>
      <c r="B5767" t="str">
        <f>"1551765229256166"</f>
        <v>1551765229256166</v>
      </c>
      <c r="C5767" t="s">
        <v>40</v>
      </c>
      <c r="D5767">
        <v>4.5866870000000004</v>
      </c>
      <c r="E5767">
        <v>0.51694379999999995</v>
      </c>
      <c r="F5767" t="s">
        <v>42</v>
      </c>
      <c r="G5767">
        <v>-274.83519999999999</v>
      </c>
      <c r="H5767" s="1">
        <v>-1.461987E-6</v>
      </c>
      <c r="I5767">
        <v>-61.433430000000001</v>
      </c>
      <c r="J5767">
        <v>-286.25810000000001</v>
      </c>
      <c r="K5767">
        <v>1.12219</v>
      </c>
      <c r="L5767">
        <v>-60.314639999999997</v>
      </c>
      <c r="M5767">
        <v>0.95759839999999996</v>
      </c>
      <c r="N5767">
        <v>-1.6955370000000001E-2</v>
      </c>
      <c r="O5767">
        <v>-0.28760730000000001</v>
      </c>
      <c r="P5767">
        <v>0.99818839999999998</v>
      </c>
      <c r="Q5767">
        <v>-3.724272E-2</v>
      </c>
      <c r="R5767">
        <v>-4.7258910000000001E-2</v>
      </c>
      <c r="S5767">
        <v>2.9804379999999999</v>
      </c>
      <c r="T5767">
        <v>-0.28945279999999901</v>
      </c>
      <c r="U5767">
        <v>-0.29666140000000002</v>
      </c>
      <c r="V5767">
        <v>-0.2410979</v>
      </c>
      <c r="W5767">
        <v>-2.8348809999999999E-2</v>
      </c>
      <c r="X5767">
        <v>0.97008669999999997</v>
      </c>
      <c r="Y5767">
        <v>-0.1894692</v>
      </c>
      <c r="Z5767">
        <v>3.3244610000000001E-2</v>
      </c>
      <c r="AA5767">
        <v>0.98132370000000002</v>
      </c>
      <c r="AB5767">
        <v>26</v>
      </c>
      <c r="AC5767">
        <v>11.4229</v>
      </c>
      <c r="AD5767">
        <v>-1.1221914619869999</v>
      </c>
      <c r="AE5767">
        <v>-1.11878999999999</v>
      </c>
      <c r="AF5767">
        <v>-2.1933091399800499</v>
      </c>
      <c r="AG5767">
        <v>-1.1221914619869999</v>
      </c>
      <c r="AH5767">
        <v>11.155302033428701</v>
      </c>
      <c r="AI5767">
        <v>95.637252318217506</v>
      </c>
      <c r="AJ5767">
        <v>101.123371550145</v>
      </c>
      <c r="AK5767">
        <v>11.424127192827299</v>
      </c>
      <c r="AL5767">
        <v>91.624484757281905</v>
      </c>
      <c r="AM5767">
        <v>103.957070990804</v>
      </c>
      <c r="AN5767">
        <v>1.0000000289648501</v>
      </c>
    </row>
    <row r="5768" spans="1:40" x14ac:dyDescent="0.25">
      <c r="A5768" t="str">
        <f>"20190305135349274"</f>
        <v>20190305135349274</v>
      </c>
      <c r="B5768" t="str">
        <f>"1551765229265926"</f>
        <v>1551765229265926</v>
      </c>
      <c r="C5768" t="s">
        <v>40</v>
      </c>
      <c r="D5768">
        <v>4.5583019999999896</v>
      </c>
      <c r="E5768">
        <v>0.51726399999999995</v>
      </c>
      <c r="F5768" t="s">
        <v>42</v>
      </c>
      <c r="G5768">
        <v>-275.154</v>
      </c>
      <c r="H5768" s="1">
        <v>-1.5853389999999999E-6</v>
      </c>
      <c r="I5768">
        <v>-61.373080000000002</v>
      </c>
      <c r="J5768">
        <v>-286.14019999999999</v>
      </c>
      <c r="K5768">
        <v>1.1220429999999999</v>
      </c>
      <c r="L5768">
        <v>-60.340850000000003</v>
      </c>
      <c r="M5768">
        <v>0.96001210000000003</v>
      </c>
      <c r="N5768">
        <v>-1.6927439999999998E-2</v>
      </c>
      <c r="O5768">
        <v>-0.27944649999999999</v>
      </c>
      <c r="P5768">
        <v>0.99828329999999998</v>
      </c>
      <c r="Q5768">
        <v>-4.0056899999999999E-2</v>
      </c>
      <c r="R5768">
        <v>-4.2733060000000003E-2</v>
      </c>
      <c r="S5768">
        <v>2.9806819999999998</v>
      </c>
      <c r="T5768">
        <v>-0.3012302</v>
      </c>
      <c r="U5768">
        <v>-0.2841187</v>
      </c>
      <c r="V5768">
        <v>-0.23713119999999999</v>
      </c>
      <c r="W5768">
        <v>-3.0980259999999999E-2</v>
      </c>
      <c r="X5768">
        <v>0.9709835</v>
      </c>
      <c r="Y5768">
        <v>-0.18509310000000001</v>
      </c>
      <c r="Z5768">
        <v>3.383647E-2</v>
      </c>
      <c r="AA5768">
        <v>0.98213830000000002</v>
      </c>
      <c r="AB5768">
        <v>26</v>
      </c>
      <c r="AC5768">
        <v>10.986199999999901</v>
      </c>
      <c r="AD5768">
        <v>-1.122044585339</v>
      </c>
      <c r="AE5768">
        <v>-1.03222999999999</v>
      </c>
      <c r="AF5768">
        <v>-2.0581193159644799</v>
      </c>
      <c r="AG5768">
        <v>-1.122044585339</v>
      </c>
      <c r="AH5768">
        <v>10.725986530155099</v>
      </c>
      <c r="AI5768">
        <v>95.865744281391002</v>
      </c>
      <c r="AJ5768">
        <v>100.861981837519</v>
      </c>
      <c r="AK5768">
        <v>10.9791450584871</v>
      </c>
      <c r="AL5768">
        <v>91.775322262366103</v>
      </c>
      <c r="AM5768">
        <v>103.723999928428</v>
      </c>
      <c r="AN5768">
        <v>0.99999996989767803</v>
      </c>
    </row>
    <row r="5769" spans="1:40" x14ac:dyDescent="0.25">
      <c r="A5769" t="str">
        <f>"20190305135349284"</f>
        <v>20190305135349284</v>
      </c>
      <c r="B5769" t="str">
        <f>"1551765229275686"</f>
        <v>1551765229275686</v>
      </c>
      <c r="C5769" t="s">
        <v>40</v>
      </c>
      <c r="D5769">
        <v>4.5630420000000003</v>
      </c>
      <c r="E5769">
        <v>0.51754639999999996</v>
      </c>
      <c r="F5769" t="s">
        <v>42</v>
      </c>
      <c r="G5769">
        <v>-275.39150000000001</v>
      </c>
      <c r="H5769" s="1">
        <v>-1.6767509999999999E-6</v>
      </c>
      <c r="I5769">
        <v>-61.325920000000004</v>
      </c>
      <c r="J5769">
        <v>-286.02140000000003</v>
      </c>
      <c r="K5769">
        <v>1.1218980000000001</v>
      </c>
      <c r="L5769">
        <v>-60.36703</v>
      </c>
      <c r="M5769">
        <v>0.96236619999999995</v>
      </c>
      <c r="N5769">
        <v>-1.6899890000000001E-2</v>
      </c>
      <c r="O5769">
        <v>-0.27122980000000002</v>
      </c>
      <c r="P5769">
        <v>0.99833660000000002</v>
      </c>
      <c r="Q5769">
        <v>-4.368756E-2</v>
      </c>
      <c r="R5769">
        <v>-3.7623330000000003E-2</v>
      </c>
      <c r="S5769">
        <v>2.980988</v>
      </c>
      <c r="T5769">
        <v>-0.31118179999999901</v>
      </c>
      <c r="U5769">
        <v>-0.27319339999999998</v>
      </c>
      <c r="V5769">
        <v>-0.23365939999999999</v>
      </c>
      <c r="W5769">
        <v>-3.4444959999999997E-2</v>
      </c>
      <c r="X5769">
        <v>0.97170820000000002</v>
      </c>
      <c r="Y5769">
        <v>-0.18018439999999999</v>
      </c>
      <c r="Z5769">
        <v>3.4089809999999998E-2</v>
      </c>
      <c r="AA5769">
        <v>0.98304190000000002</v>
      </c>
      <c r="AB5769">
        <v>26</v>
      </c>
      <c r="AC5769">
        <v>10.629899999999999</v>
      </c>
      <c r="AD5769">
        <v>-1.1218996767509899</v>
      </c>
      <c r="AE5769">
        <v>-0.95888999999998903</v>
      </c>
      <c r="AF5769">
        <v>-1.9391958905448199</v>
      </c>
      <c r="AG5769">
        <v>-1.1218996767509899</v>
      </c>
      <c r="AH5769">
        <v>10.3767798830364</v>
      </c>
      <c r="AI5769">
        <v>96.066424443052</v>
      </c>
      <c r="AJ5769">
        <v>100.585245217787</v>
      </c>
      <c r="AK5769">
        <v>10.6158702105663</v>
      </c>
      <c r="AL5769">
        <v>91.973941300497302</v>
      </c>
      <c r="AM5769">
        <v>103.52078766343099</v>
      </c>
      <c r="AN5769">
        <v>0.99999999821249996</v>
      </c>
    </row>
    <row r="5770" spans="1:40" x14ac:dyDescent="0.25">
      <c r="A5770" t="str">
        <f>"20190305135349295"</f>
        <v>20190305135349295</v>
      </c>
      <c r="B5770" t="str">
        <f>"1551765229286423"</f>
        <v>1551765229286423</v>
      </c>
      <c r="C5770" t="s">
        <v>40</v>
      </c>
      <c r="D5770">
        <v>4.5614030000000003</v>
      </c>
      <c r="E5770">
        <v>0.51778199999999996</v>
      </c>
      <c r="F5770" t="s">
        <v>42</v>
      </c>
      <c r="G5770">
        <v>-275.61930000000001</v>
      </c>
      <c r="H5770" s="1">
        <v>-1.763387E-6</v>
      </c>
      <c r="I5770">
        <v>-61.276110000000003</v>
      </c>
      <c r="J5770">
        <v>-285.9083</v>
      </c>
      <c r="K5770">
        <v>1.1217079999999999</v>
      </c>
      <c r="L5770">
        <v>-60.390230000000003</v>
      </c>
      <c r="M5770">
        <v>0.96447479999999997</v>
      </c>
      <c r="N5770">
        <v>-1.685818E-2</v>
      </c>
      <c r="O5770">
        <v>-0.2636368</v>
      </c>
      <c r="P5770">
        <v>0.99836199999999997</v>
      </c>
      <c r="Q5770">
        <v>-4.6764569999999998E-2</v>
      </c>
      <c r="R5770">
        <v>-3.296731E-2</v>
      </c>
      <c r="S5770">
        <v>2.9811100000000001</v>
      </c>
      <c r="T5770">
        <v>-0.32152120000000001</v>
      </c>
      <c r="U5770">
        <v>-0.2605286</v>
      </c>
      <c r="V5770">
        <v>-0.2304184</v>
      </c>
      <c r="W5770">
        <v>-3.7356399999999998E-2</v>
      </c>
      <c r="X5770">
        <v>0.97237439999999997</v>
      </c>
      <c r="Y5770">
        <v>-0.17648050000000001</v>
      </c>
      <c r="Z5770">
        <v>3.4450840000000003E-2</v>
      </c>
      <c r="AA5770">
        <v>0.98370109999999999</v>
      </c>
      <c r="AB5770">
        <v>26</v>
      </c>
      <c r="AC5770">
        <v>10.2889999999999</v>
      </c>
      <c r="AD5770">
        <v>-1.1217097633869999</v>
      </c>
      <c r="AE5770">
        <v>-0.88587999999999301</v>
      </c>
      <c r="AF5770">
        <v>-1.8367441703825</v>
      </c>
      <c r="AG5770">
        <v>-1.1217097633869999</v>
      </c>
      <c r="AH5770">
        <v>10.040022561592901</v>
      </c>
      <c r="AI5770">
        <v>96.2716320634798</v>
      </c>
      <c r="AJ5770">
        <v>100.36717672374</v>
      </c>
      <c r="AK5770">
        <v>10.2681018196162</v>
      </c>
      <c r="AL5770">
        <v>92.140862062403201</v>
      </c>
      <c r="AM5770">
        <v>103.331181708016</v>
      </c>
      <c r="AN5770">
        <v>1.0000000567274301</v>
      </c>
    </row>
    <row r="5771" spans="1:40" x14ac:dyDescent="0.25">
      <c r="A5771" t="str">
        <f>"20190305135349306"</f>
        <v>20190305135349306</v>
      </c>
      <c r="B5771" t="str">
        <f>"1551765229295879"</f>
        <v>1551765229295879</v>
      </c>
      <c r="C5771" t="s">
        <v>40</v>
      </c>
      <c r="D5771">
        <v>4.552816</v>
      </c>
      <c r="E5771">
        <v>0.51811579999999902</v>
      </c>
      <c r="F5771" t="s">
        <v>42</v>
      </c>
      <c r="G5771">
        <v>-275.786</v>
      </c>
      <c r="H5771" s="1">
        <v>-1.8257820000000001E-6</v>
      </c>
      <c r="I5771">
        <v>-61.235019999999999</v>
      </c>
      <c r="J5771">
        <v>-285.78379999999999</v>
      </c>
      <c r="K5771">
        <v>1.1214980000000001</v>
      </c>
      <c r="L5771">
        <v>-60.415590000000002</v>
      </c>
      <c r="M5771">
        <v>0.96671229999999997</v>
      </c>
      <c r="N5771">
        <v>-1.6813069999999999E-2</v>
      </c>
      <c r="O5771">
        <v>-0.2553126</v>
      </c>
      <c r="P5771">
        <v>0.9984111</v>
      </c>
      <c r="Q5771">
        <v>-4.9108819999999997E-2</v>
      </c>
      <c r="R5771">
        <v>-2.763345E-2</v>
      </c>
      <c r="S5771">
        <v>2.9812319999999999</v>
      </c>
      <c r="T5771">
        <v>-0.33036969999999999</v>
      </c>
      <c r="U5771">
        <v>-0.2488098</v>
      </c>
      <c r="V5771">
        <v>-0.22715060000000001</v>
      </c>
      <c r="W5771">
        <v>-3.9525669999999999E-2</v>
      </c>
      <c r="X5771">
        <v>0.97305719999999996</v>
      </c>
      <c r="Y5771">
        <v>-0.17177239999999999</v>
      </c>
      <c r="Z5771">
        <v>3.4447789999999999E-2</v>
      </c>
      <c r="AA5771">
        <v>0.98453420000000003</v>
      </c>
      <c r="AB5771">
        <v>26</v>
      </c>
      <c r="AC5771">
        <v>9.9977999999999803</v>
      </c>
      <c r="AD5771">
        <v>-1.1214998257819999</v>
      </c>
      <c r="AE5771">
        <v>-0.81942999999999699</v>
      </c>
      <c r="AF5771">
        <v>-1.7389250771998199</v>
      </c>
      <c r="AG5771">
        <v>-1.1214998257819999</v>
      </c>
      <c r="AH5771">
        <v>9.7536903444213596</v>
      </c>
      <c r="AI5771">
        <v>96.458230039321805</v>
      </c>
      <c r="AJ5771">
        <v>100.108700786542</v>
      </c>
      <c r="AK5771">
        <v>9.9707621382822005</v>
      </c>
      <c r="AL5771">
        <v>92.265244171899397</v>
      </c>
      <c r="AM5771">
        <v>103.13982526446</v>
      </c>
      <c r="AN5771">
        <v>0.99999999407057405</v>
      </c>
    </row>
    <row r="5772" spans="1:40" x14ac:dyDescent="0.25">
      <c r="A5772" t="str">
        <f>"20190305135349317"</f>
        <v>20190305135349317</v>
      </c>
      <c r="B5772" t="str">
        <f>"1551765229305639"</f>
        <v>1551765229305639</v>
      </c>
      <c r="C5772" t="s">
        <v>40</v>
      </c>
      <c r="D5772">
        <v>4.544028</v>
      </c>
      <c r="E5772">
        <v>0.51839570000000001</v>
      </c>
      <c r="F5772" t="s">
        <v>42</v>
      </c>
      <c r="G5772">
        <v>-275.82830000000001</v>
      </c>
      <c r="H5772" s="1">
        <v>-1.836719E-6</v>
      </c>
      <c r="I5772">
        <v>-61.20261</v>
      </c>
      <c r="J5772">
        <v>-285.661</v>
      </c>
      <c r="K5772">
        <v>1.121256</v>
      </c>
      <c r="L5772">
        <v>-60.43909</v>
      </c>
      <c r="M5772">
        <v>0.96877610000000003</v>
      </c>
      <c r="N5772">
        <v>-1.6753649999999998E-2</v>
      </c>
      <c r="O5772">
        <v>-0.2473707</v>
      </c>
      <c r="P5772">
        <v>0.99858809999999998</v>
      </c>
      <c r="Q5772">
        <v>-4.9693149999999998E-2</v>
      </c>
      <c r="R5772">
        <v>-1.877771E-2</v>
      </c>
      <c r="S5772">
        <v>2.9817200000000001</v>
      </c>
      <c r="T5772">
        <v>-0.335897</v>
      </c>
      <c r="U5772">
        <v>-0.23571780000000001</v>
      </c>
      <c r="V5772">
        <v>-0.22779170000000001</v>
      </c>
      <c r="W5772">
        <v>-4.005425E-2</v>
      </c>
      <c r="X5772">
        <v>0.97288569999999996</v>
      </c>
      <c r="Y5772">
        <v>-0.16797529999999999</v>
      </c>
      <c r="Z5772">
        <v>3.41109E-2</v>
      </c>
      <c r="AA5772">
        <v>0.98520090000000005</v>
      </c>
      <c r="AB5772">
        <v>26</v>
      </c>
      <c r="AC5772">
        <v>9.8326999999999796</v>
      </c>
      <c r="AD5772">
        <v>-1.121257836719</v>
      </c>
      <c r="AE5772">
        <v>-0.76351999999999898</v>
      </c>
      <c r="AF5772">
        <v>-1.67127703367306</v>
      </c>
      <c r="AG5772">
        <v>-1.121257836719</v>
      </c>
      <c r="AH5772">
        <v>9.5919378349188502</v>
      </c>
      <c r="AI5772">
        <v>96.569292541504296</v>
      </c>
      <c r="AJ5772">
        <v>99.8838604156428</v>
      </c>
      <c r="AK5772">
        <v>9.8007988189042301</v>
      </c>
      <c r="AL5772">
        <v>92.295553580164196</v>
      </c>
      <c r="AM5772">
        <v>103.17786017457099</v>
      </c>
      <c r="AN5772">
        <v>0.99999999339822099</v>
      </c>
    </row>
    <row r="5773" spans="1:40" x14ac:dyDescent="0.25">
      <c r="A5773" t="str">
        <f>"20190305135349337"</f>
        <v>20190305135349337</v>
      </c>
      <c r="B5773" t="str">
        <f>"1551765229326135"</f>
        <v>1551765229326135</v>
      </c>
      <c r="C5773" t="s">
        <v>40</v>
      </c>
      <c r="D5773">
        <v>4.7062559999999998</v>
      </c>
      <c r="E5773">
        <v>0.5191192</v>
      </c>
      <c r="F5773" t="s">
        <v>42</v>
      </c>
      <c r="G5773">
        <v>-275.72480000000002</v>
      </c>
      <c r="H5773" s="1">
        <v>-1.7793109999999999E-6</v>
      </c>
      <c r="I5773">
        <v>-61.144219999999997</v>
      </c>
      <c r="J5773">
        <v>-285.44200000000001</v>
      </c>
      <c r="K5773">
        <v>1.1207769999999999</v>
      </c>
      <c r="L5773">
        <v>-60.479370000000003</v>
      </c>
      <c r="M5773">
        <v>0.97220499999999999</v>
      </c>
      <c r="N5773">
        <v>-1.6638590000000002E-2</v>
      </c>
      <c r="O5773">
        <v>-0.23353960000000001</v>
      </c>
      <c r="P5773">
        <v>0.99864489999999995</v>
      </c>
      <c r="Q5773">
        <v>-5.1390419999999999E-2</v>
      </c>
      <c r="R5773">
        <v>-8.2186780000000001E-3</v>
      </c>
      <c r="S5773">
        <v>2.9835509999999998</v>
      </c>
      <c r="T5773">
        <v>-0.3366808</v>
      </c>
      <c r="U5773">
        <v>-0.211731</v>
      </c>
      <c r="V5773">
        <v>-0.22419049999999999</v>
      </c>
      <c r="W5773">
        <v>-4.1486929999999998E-2</v>
      </c>
      <c r="X5773">
        <v>0.97366189999999997</v>
      </c>
      <c r="Y5773">
        <v>-0.16194169999999999</v>
      </c>
      <c r="Z5773">
        <v>3.2544360000000001E-2</v>
      </c>
      <c r="AA5773">
        <v>0.98626349999999996</v>
      </c>
      <c r="AB5773">
        <v>26</v>
      </c>
      <c r="AC5773">
        <v>9.7171999999999894</v>
      </c>
      <c r="AD5773">
        <v>-1.120778779311</v>
      </c>
      <c r="AE5773">
        <v>-0.66485000000000105</v>
      </c>
      <c r="AF5773">
        <v>-1.6019926909317399</v>
      </c>
      <c r="AG5773">
        <v>-1.120778779311</v>
      </c>
      <c r="AH5773">
        <v>9.4782046213085707</v>
      </c>
      <c r="AI5773">
        <v>96.650336620934894</v>
      </c>
      <c r="AJ5773">
        <v>99.5933847106309</v>
      </c>
      <c r="AK5773">
        <v>9.67775224405686</v>
      </c>
      <c r="AL5773">
        <v>92.377708349461699</v>
      </c>
      <c r="AM5773">
        <v>102.966638942804</v>
      </c>
      <c r="AN5773">
        <v>1.00000002058134</v>
      </c>
    </row>
    <row r="5774" spans="1:40" x14ac:dyDescent="0.25">
      <c r="A5774" t="str">
        <f>"20190305135349353"</f>
        <v>20190305135349353</v>
      </c>
      <c r="B5774" t="str">
        <f>"1551765229345658"</f>
        <v>1551765229345658</v>
      </c>
      <c r="C5774" t="s">
        <v>40</v>
      </c>
      <c r="D5774">
        <v>4.6902749999999997</v>
      </c>
      <c r="E5774">
        <v>0.51976</v>
      </c>
      <c r="F5774" t="s">
        <v>42</v>
      </c>
      <c r="G5774">
        <v>-275.64229999999998</v>
      </c>
      <c r="H5774" s="1">
        <v>-1.7319329999999999E-6</v>
      </c>
      <c r="I5774">
        <v>-61.090330000000002</v>
      </c>
      <c r="J5774">
        <v>-285.26760000000002</v>
      </c>
      <c r="K5774">
        <v>1.120363</v>
      </c>
      <c r="L5774">
        <v>-60.509610000000002</v>
      </c>
      <c r="M5774">
        <v>0.97469249999999996</v>
      </c>
      <c r="N5774">
        <v>-1.6538210000000001E-2</v>
      </c>
      <c r="O5774">
        <v>-0.22293779999999999</v>
      </c>
      <c r="P5774">
        <v>0.99856679999999998</v>
      </c>
      <c r="Q5774">
        <v>-5.3324610000000001E-2</v>
      </c>
      <c r="R5774">
        <v>-4.5706829999999999E-3</v>
      </c>
      <c r="S5774">
        <v>2.9849549999999998</v>
      </c>
      <c r="T5774">
        <v>-0.34138449999999998</v>
      </c>
      <c r="U5774">
        <v>-0.18609619999999999</v>
      </c>
      <c r="V5774">
        <v>-0.21710930000000001</v>
      </c>
      <c r="W5774">
        <v>-4.3076570000000002E-2</v>
      </c>
      <c r="X5774">
        <v>0.97519639999999996</v>
      </c>
      <c r="Y5774">
        <v>-0.1596601</v>
      </c>
      <c r="Z5774">
        <v>3.189852E-2</v>
      </c>
      <c r="AA5774">
        <v>0.98665650000000005</v>
      </c>
      <c r="AB5774">
        <v>26</v>
      </c>
      <c r="AC5774">
        <v>9.6253000000000295</v>
      </c>
      <c r="AD5774">
        <v>-1.1203647319329999</v>
      </c>
      <c r="AE5774">
        <v>-0.58072000000000601</v>
      </c>
      <c r="AF5774">
        <v>-1.5589903478970399</v>
      </c>
      <c r="AG5774">
        <v>-1.1203647319329999</v>
      </c>
      <c r="AH5774">
        <v>9.3857703281867408</v>
      </c>
      <c r="AI5774">
        <v>96.715941134172098</v>
      </c>
      <c r="AJ5774">
        <v>99.430811756015501</v>
      </c>
      <c r="AK5774">
        <v>9.5801019144300401</v>
      </c>
      <c r="AL5774">
        <v>92.468869522880297</v>
      </c>
      <c r="AM5774">
        <v>102.551144449188</v>
      </c>
      <c r="AN5774">
        <v>1.0000000288012001</v>
      </c>
    </row>
    <row r="5775" spans="1:40" x14ac:dyDescent="0.25">
      <c r="A5775" t="str">
        <f>"20190305135349363"</f>
        <v>20190305135349363</v>
      </c>
      <c r="B5775" t="str">
        <f>"1551765229356391"</f>
        <v>1551765229356391</v>
      </c>
      <c r="C5775" t="s">
        <v>40</v>
      </c>
      <c r="D5775">
        <v>4.6454440000000004</v>
      </c>
      <c r="E5775">
        <v>0.51976</v>
      </c>
      <c r="F5775" t="s">
        <v>42</v>
      </c>
      <c r="G5775">
        <v>-275.59129999999999</v>
      </c>
      <c r="H5775" s="1">
        <v>-1.7108739999999999E-6</v>
      </c>
      <c r="I5775">
        <v>-61.093870000000003</v>
      </c>
      <c r="J5775">
        <v>-285.15159999999997</v>
      </c>
      <c r="K5775">
        <v>1.120085</v>
      </c>
      <c r="L5775">
        <v>-60.529049999999998</v>
      </c>
      <c r="M5775">
        <v>0.97624460000000002</v>
      </c>
      <c r="N5775">
        <v>-1.647092E-2</v>
      </c>
      <c r="O5775">
        <v>-0.21604470000000001</v>
      </c>
      <c r="P5775">
        <v>0.99858119999999995</v>
      </c>
      <c r="Q5775">
        <v>-5.323903E-2</v>
      </c>
      <c r="R5775">
        <v>-1.1172459999999999E-3</v>
      </c>
      <c r="S5775">
        <v>2.9850159999999999</v>
      </c>
      <c r="T5775">
        <v>-0.34562039999999999</v>
      </c>
      <c r="U5775">
        <v>-0.1802368</v>
      </c>
      <c r="V5775">
        <v>-0.21362519999999999</v>
      </c>
      <c r="W5775">
        <v>-4.279993E-2</v>
      </c>
      <c r="X5775">
        <v>0.97597769999999995</v>
      </c>
      <c r="Y5775">
        <v>-0.15462590000000001</v>
      </c>
      <c r="Z5775">
        <v>3.1340359999999998E-2</v>
      </c>
      <c r="AA5775">
        <v>0.98747589999999996</v>
      </c>
      <c r="AB5775">
        <v>26</v>
      </c>
      <c r="AC5775">
        <v>9.5602999999999803</v>
      </c>
      <c r="AD5775">
        <v>-1.120086710874</v>
      </c>
      <c r="AE5775">
        <v>-0.56481999999999699</v>
      </c>
      <c r="AF5775">
        <v>-1.49382135609579</v>
      </c>
      <c r="AG5775">
        <v>-1.120086710874</v>
      </c>
      <c r="AH5775">
        <v>9.3288920953787091</v>
      </c>
      <c r="AI5775">
        <v>96.761203870539305</v>
      </c>
      <c r="AJ5775">
        <v>99.097454659879304</v>
      </c>
      <c r="AK5775">
        <v>9.5139016292488403</v>
      </c>
      <c r="AL5775">
        <v>92.453004619728901</v>
      </c>
      <c r="AM5775">
        <v>102.346374721057</v>
      </c>
      <c r="AN5775">
        <v>1.00000001549016</v>
      </c>
    </row>
    <row r="5776" spans="1:40" x14ac:dyDescent="0.25">
      <c r="A5776" t="str">
        <f>"20190305135349374"</f>
        <v>20190305135349374</v>
      </c>
      <c r="B5776" t="str">
        <f>"1551765229366151"</f>
        <v>1551765229366151</v>
      </c>
      <c r="C5776" t="s">
        <v>40</v>
      </c>
      <c r="D5776">
        <v>4.657241</v>
      </c>
      <c r="E5776">
        <v>0.52581690000000003</v>
      </c>
      <c r="F5776" t="s">
        <v>42</v>
      </c>
      <c r="G5776">
        <v>-275.47019999999998</v>
      </c>
      <c r="H5776" s="1">
        <v>-1.655729E-6</v>
      </c>
      <c r="I5776">
        <v>-61.079639999999998</v>
      </c>
      <c r="J5776">
        <v>-285.03190000000001</v>
      </c>
      <c r="K5776">
        <v>1.1197969999999999</v>
      </c>
      <c r="L5776">
        <v>-60.548070000000003</v>
      </c>
      <c r="M5776">
        <v>0.97772329999999996</v>
      </c>
      <c r="N5776">
        <v>-1.639618E-2</v>
      </c>
      <c r="O5776">
        <v>-0.20925659999999999</v>
      </c>
      <c r="P5776">
        <v>0.99863190000000002</v>
      </c>
      <c r="Q5776">
        <v>-5.2240189999999999E-2</v>
      </c>
      <c r="R5776">
        <v>2.3054009999999999E-3</v>
      </c>
      <c r="S5776">
        <v>2.985687</v>
      </c>
      <c r="T5776">
        <v>-0.3454276</v>
      </c>
      <c r="U5776">
        <v>-0.169799799999999</v>
      </c>
      <c r="V5776">
        <v>-0.21025859999999999</v>
      </c>
      <c r="W5776">
        <v>-4.1614129999999999E-2</v>
      </c>
      <c r="X5776">
        <v>0.97675970000000001</v>
      </c>
      <c r="Y5776">
        <v>-0.15127460000000001</v>
      </c>
      <c r="Z5776">
        <v>3.0456790000000001E-2</v>
      </c>
      <c r="AA5776">
        <v>0.98802239999999997</v>
      </c>
      <c r="AB5776">
        <v>26</v>
      </c>
      <c r="AC5776">
        <v>9.5617000000000303</v>
      </c>
      <c r="AD5776">
        <v>-1.1197986557289901</v>
      </c>
      <c r="AE5776">
        <v>-0.53157000000000898</v>
      </c>
      <c r="AF5776">
        <v>-1.4613384373850999</v>
      </c>
      <c r="AG5776">
        <v>-1.1197986557289901</v>
      </c>
      <c r="AH5776">
        <v>9.3335834441605297</v>
      </c>
      <c r="AI5776">
        <v>96.759797807646805</v>
      </c>
      <c r="AJ5776">
        <v>98.898431805828807</v>
      </c>
      <c r="AK5776">
        <v>9.51342414523074</v>
      </c>
      <c r="AL5776">
        <v>92.385002808951498</v>
      </c>
      <c r="AM5776">
        <v>102.14819139844001</v>
      </c>
      <c r="AN5776">
        <v>0.99999996311685202</v>
      </c>
    </row>
    <row r="5777" spans="1:40" x14ac:dyDescent="0.25">
      <c r="A5777" t="str">
        <f>"20190305135349387"</f>
        <v>20190305135349387</v>
      </c>
      <c r="B5777" t="str">
        <f>"1551765229375911"</f>
        <v>1551765229375911</v>
      </c>
      <c r="C5777" t="s">
        <v>40</v>
      </c>
      <c r="D5777">
        <v>4.7231239999999897</v>
      </c>
      <c r="E5777">
        <v>0.52581690000000003</v>
      </c>
      <c r="F5777" t="s">
        <v>42</v>
      </c>
      <c r="G5777">
        <v>-274.91430000000003</v>
      </c>
      <c r="H5777" s="1">
        <v>-1.4551789999999999E-6</v>
      </c>
      <c r="I5777">
        <v>-61.25018</v>
      </c>
      <c r="J5777">
        <v>-284.9008</v>
      </c>
      <c r="K5777">
        <v>1.11947</v>
      </c>
      <c r="L5777">
        <v>-60.568570000000001</v>
      </c>
      <c r="M5777">
        <v>0.97926899999999995</v>
      </c>
      <c r="N5777">
        <v>-1.6317089999999999E-2</v>
      </c>
      <c r="O5777">
        <v>-0.2019058</v>
      </c>
      <c r="P5777">
        <v>0.99867229999999996</v>
      </c>
      <c r="Q5777">
        <v>-5.1110540000000003E-2</v>
      </c>
      <c r="R5777">
        <v>6.4444359999999996E-3</v>
      </c>
      <c r="S5777">
        <v>2.9873050000000001</v>
      </c>
      <c r="T5777">
        <v>-0.33062839999999999</v>
      </c>
      <c r="U5777">
        <v>-0.20730589999999999</v>
      </c>
      <c r="V5777">
        <v>-0.2070438</v>
      </c>
      <c r="W5777">
        <v>-4.0294690000000001E-2</v>
      </c>
      <c r="X5777">
        <v>0.97750150000000002</v>
      </c>
      <c r="Y5777">
        <v>-0.13185369999999999</v>
      </c>
      <c r="Z5777">
        <v>2.7138639999999999E-2</v>
      </c>
      <c r="AA5777">
        <v>0.99089760000000005</v>
      </c>
      <c r="AB5777">
        <v>26</v>
      </c>
      <c r="AC5777">
        <v>9.9864999999999693</v>
      </c>
      <c r="AD5777">
        <v>-1.1194714551789999</v>
      </c>
      <c r="AE5777">
        <v>-0.68161000000001304</v>
      </c>
      <c r="AF5777">
        <v>-1.3323673600766399</v>
      </c>
      <c r="AG5777">
        <v>-1.1194714551789999</v>
      </c>
      <c r="AH5777">
        <v>9.7958864717267495</v>
      </c>
      <c r="AI5777">
        <v>96.460490085038998</v>
      </c>
      <c r="AJ5777">
        <v>97.745438724829896</v>
      </c>
      <c r="AK5777">
        <v>9.9492618262923092</v>
      </c>
      <c r="AL5777">
        <v>92.309340916540606</v>
      </c>
      <c r="AM5777">
        <v>101.959023529283</v>
      </c>
      <c r="AN5777">
        <v>0.999999989831443</v>
      </c>
    </row>
    <row r="5778" spans="1:40" x14ac:dyDescent="0.25">
      <c r="A5778" t="str">
        <f>"20190305135349398"</f>
        <v>20190305135349398</v>
      </c>
      <c r="B5778" t="str">
        <f>"1551765229385671"</f>
        <v>1551765229385671</v>
      </c>
      <c r="C5778" t="s">
        <v>40</v>
      </c>
      <c r="D5778">
        <v>4.8090109999999999</v>
      </c>
      <c r="E5778">
        <v>0.51764889999999997</v>
      </c>
      <c r="F5778" t="s">
        <v>42</v>
      </c>
      <c r="G5778">
        <v>-274.67829999999998</v>
      </c>
      <c r="H5778" s="1">
        <v>-1.3506489999999999E-6</v>
      </c>
      <c r="I5778">
        <v>-61.235300000000002</v>
      </c>
      <c r="J5778">
        <v>-284.7704</v>
      </c>
      <c r="K5778">
        <v>1.1191390000000001</v>
      </c>
      <c r="L5778">
        <v>-60.587829999999997</v>
      </c>
      <c r="M5778">
        <v>0.98066660000000005</v>
      </c>
      <c r="N5778">
        <v>-1.6231289999999999E-2</v>
      </c>
      <c r="O5778">
        <v>-0.19501180000000001</v>
      </c>
      <c r="P5778">
        <v>0.99875000000000003</v>
      </c>
      <c r="Q5778">
        <v>-4.9024230000000002E-2</v>
      </c>
      <c r="R5778">
        <v>9.7608999999999994E-3</v>
      </c>
      <c r="S5778">
        <v>2.9884949999999999</v>
      </c>
      <c r="T5778">
        <v>-0.32727430000000002</v>
      </c>
      <c r="U5778">
        <v>-0.1949158</v>
      </c>
      <c r="V5778">
        <v>-0.20351820000000001</v>
      </c>
      <c r="W5778">
        <v>-3.8016559999999998E-2</v>
      </c>
      <c r="X5778">
        <v>0.9783328</v>
      </c>
      <c r="Y5778">
        <v>-0.12908269999999999</v>
      </c>
      <c r="Z5778">
        <v>2.6050400000000001E-2</v>
      </c>
      <c r="AA5778">
        <v>0.99129160000000005</v>
      </c>
      <c r="AB5778">
        <v>26</v>
      </c>
      <c r="AC5778">
        <v>10.0921</v>
      </c>
      <c r="AD5778">
        <v>-1.1191403506490001</v>
      </c>
      <c r="AE5778">
        <v>-0.64746999999999799</v>
      </c>
      <c r="AF5778">
        <v>-1.3171708923871399</v>
      </c>
      <c r="AG5778">
        <v>-1.1191403506490001</v>
      </c>
      <c r="AH5778">
        <v>9.9032866624680995</v>
      </c>
      <c r="AI5778">
        <v>96.391654793514903</v>
      </c>
      <c r="AJ5778">
        <v>97.576069516712096</v>
      </c>
      <c r="AK5778">
        <v>10.0529846813382</v>
      </c>
      <c r="AL5778">
        <v>92.178713472783699</v>
      </c>
      <c r="AM5778">
        <v>101.751385708269</v>
      </c>
      <c r="AN5778">
        <v>0.99999999206065604</v>
      </c>
    </row>
    <row r="5779" spans="1:40" x14ac:dyDescent="0.25">
      <c r="A5779" t="str">
        <f>"20190305135349411"</f>
        <v>20190305135349411</v>
      </c>
      <c r="B5779" t="str">
        <f>"1551765229405808"</f>
        <v>1551765229405808</v>
      </c>
      <c r="C5779" t="s">
        <v>40</v>
      </c>
      <c r="D5779">
        <v>4.5477369999999997</v>
      </c>
      <c r="E5779">
        <v>0.4938786</v>
      </c>
      <c r="F5779" t="s">
        <v>42</v>
      </c>
      <c r="G5779">
        <v>-274.32979999999998</v>
      </c>
      <c r="H5779" s="1">
        <v>-1.1500499999999999E-6</v>
      </c>
      <c r="I5779">
        <v>-61.005659999999999</v>
      </c>
      <c r="J5779">
        <v>-284.62349999999998</v>
      </c>
      <c r="K5779">
        <v>1.1187739999999999</v>
      </c>
      <c r="L5779">
        <v>-60.60895</v>
      </c>
      <c r="M5779">
        <v>0.98213930000000005</v>
      </c>
      <c r="N5779">
        <v>-1.6135859999999998E-2</v>
      </c>
      <c r="O5779">
        <v>-0.18746199999999999</v>
      </c>
      <c r="P5779">
        <v>0.99880190000000002</v>
      </c>
      <c r="Q5779">
        <v>-4.6946960000000003E-2</v>
      </c>
      <c r="R5779">
        <v>1.382384E-2</v>
      </c>
      <c r="S5779">
        <v>2.9891969999999999</v>
      </c>
      <c r="T5779">
        <v>-0.32041589999999998</v>
      </c>
      <c r="U5779">
        <v>-0.1196289</v>
      </c>
      <c r="V5779">
        <v>-0.2000741</v>
      </c>
      <c r="W5779">
        <v>-3.5747649999999999E-2</v>
      </c>
      <c r="X5779">
        <v>0.97912840000000001</v>
      </c>
      <c r="Y5779">
        <v>-0.14633389999999999</v>
      </c>
      <c r="Z5779">
        <v>2.5889970000000002E-2</v>
      </c>
      <c r="AA5779">
        <v>0.98889640000000001</v>
      </c>
      <c r="AB5779">
        <v>26</v>
      </c>
      <c r="AC5779">
        <v>10.293699999999999</v>
      </c>
      <c r="AD5779">
        <v>-1.1187751500499901</v>
      </c>
      <c r="AE5779">
        <v>-0.39670999999999801</v>
      </c>
      <c r="AF5779">
        <v>-1.52229814632394</v>
      </c>
      <c r="AG5779">
        <v>-1.1187751500499901</v>
      </c>
      <c r="AH5779">
        <v>10.0668035995037</v>
      </c>
      <c r="AI5779">
        <v>96.270833152412493</v>
      </c>
      <c r="AJ5779">
        <v>98.599094367698896</v>
      </c>
      <c r="AK5779">
        <v>10.242537976187901</v>
      </c>
      <c r="AL5779">
        <v>92.048625989134493</v>
      </c>
      <c r="AM5779">
        <v>101.548775377407</v>
      </c>
      <c r="AN5779">
        <v>0.99999998182894601</v>
      </c>
    </row>
    <row r="5780" spans="1:40" x14ac:dyDescent="0.25">
      <c r="A5780" t="str">
        <f>"20190305135349424"</f>
        <v>20190305135349424</v>
      </c>
      <c r="B5780" t="str">
        <f>"1551765229415568"</f>
        <v>1551765229415568</v>
      </c>
      <c r="C5780" t="s">
        <v>40</v>
      </c>
      <c r="D5780">
        <v>4.4792870000000002</v>
      </c>
      <c r="E5780">
        <v>0.49451329999999999</v>
      </c>
      <c r="F5780" t="s">
        <v>42</v>
      </c>
      <c r="G5780">
        <v>-263.10849999999999</v>
      </c>
      <c r="H5780" s="1">
        <v>-4.1311080000000001E-7</v>
      </c>
      <c r="I5780">
        <v>-59.964790000000001</v>
      </c>
      <c r="J5780">
        <v>-284.47239999999999</v>
      </c>
      <c r="K5780">
        <v>1.1184050000000001</v>
      </c>
      <c r="L5780">
        <v>-60.629910000000002</v>
      </c>
      <c r="M5780">
        <v>0.98354319999999895</v>
      </c>
      <c r="N5780">
        <v>-1.6037180000000002E-2</v>
      </c>
      <c r="O5780">
        <v>-0.17995990000000001</v>
      </c>
      <c r="P5780">
        <v>0.99881350000000002</v>
      </c>
      <c r="Q5780">
        <v>-4.5397600000000003E-2</v>
      </c>
      <c r="R5780">
        <v>1.7630719999999999E-2</v>
      </c>
      <c r="S5780">
        <v>2.9949949999999999</v>
      </c>
      <c r="T5780">
        <v>-0.15573870000000001</v>
      </c>
      <c r="U5780">
        <v>8.966064E-2</v>
      </c>
      <c r="V5780">
        <v>-0.19641259999999999</v>
      </c>
      <c r="W5780">
        <v>-3.4010850000000002E-2</v>
      </c>
      <c r="X5780">
        <v>0.97993129999999995</v>
      </c>
      <c r="Y5780">
        <v>-0.20885409999999999</v>
      </c>
      <c r="Z5780">
        <v>1.352503E-2</v>
      </c>
      <c r="AA5780">
        <v>0.97785330000000004</v>
      </c>
      <c r="AB5780">
        <v>26</v>
      </c>
      <c r="AC5780">
        <v>21.363900000000001</v>
      </c>
      <c r="AD5780">
        <v>-1.1184054131108001</v>
      </c>
      <c r="AE5780">
        <v>0.66511999999999405</v>
      </c>
      <c r="AF5780">
        <v>-4.4871129969207999</v>
      </c>
      <c r="AG5780">
        <v>-1.1184054131108001</v>
      </c>
      <c r="AH5780">
        <v>20.8382580843749</v>
      </c>
      <c r="AI5780">
        <v>93.003449713397401</v>
      </c>
      <c r="AJ5780">
        <v>102.151979762422</v>
      </c>
      <c r="AK5780">
        <v>21.345210556615001</v>
      </c>
      <c r="AL5780">
        <v>91.949054043255799</v>
      </c>
      <c r="AM5780">
        <v>101.33389945791799</v>
      </c>
      <c r="AN5780">
        <v>1.00000000003808</v>
      </c>
    </row>
    <row r="5781" spans="1:40" x14ac:dyDescent="0.25">
      <c r="A5781" t="str">
        <f>"20190305135349435"</f>
        <v>20190305135349435</v>
      </c>
      <c r="B5781" t="str">
        <f>"1551765229426304"</f>
        <v>1551765229426304</v>
      </c>
      <c r="C5781" t="s">
        <v>40</v>
      </c>
      <c r="D5781">
        <v>4.5975359999999998</v>
      </c>
      <c r="E5781">
        <v>0.49404160000000003</v>
      </c>
      <c r="F5781" t="s">
        <v>42</v>
      </c>
      <c r="G5781">
        <v>-262.8254</v>
      </c>
      <c r="H5781" s="1">
        <v>-2.9663399999999998E-7</v>
      </c>
      <c r="I5781">
        <v>-59.936779999999999</v>
      </c>
      <c r="J5781">
        <v>-284.3571</v>
      </c>
      <c r="K5781">
        <v>1.118134</v>
      </c>
      <c r="L5781">
        <v>-60.64499</v>
      </c>
      <c r="M5781">
        <v>0.98451319999999998</v>
      </c>
      <c r="N5781">
        <v>-1.5959899999999999E-2</v>
      </c>
      <c r="O5781">
        <v>-0.17458290000000001</v>
      </c>
      <c r="P5781">
        <v>0.9988494</v>
      </c>
      <c r="Q5781">
        <v>-4.3802340000000002E-2</v>
      </c>
      <c r="R5781">
        <v>1.9521839999999999E-2</v>
      </c>
      <c r="S5781">
        <v>2.9948730000000001</v>
      </c>
      <c r="T5781">
        <v>-0.1547316</v>
      </c>
      <c r="U5781">
        <v>9.5886230000000003E-2</v>
      </c>
      <c r="V5781">
        <v>-0.19298290000000001</v>
      </c>
      <c r="W5781">
        <v>-3.2270229999999997E-2</v>
      </c>
      <c r="X5781">
        <v>0.98067130000000002</v>
      </c>
      <c r="Y5781">
        <v>-0.2055565</v>
      </c>
      <c r="Z5781">
        <v>1.313714E-2</v>
      </c>
      <c r="AA5781">
        <v>0.97855709999999996</v>
      </c>
      <c r="AB5781">
        <v>26</v>
      </c>
      <c r="AC5781">
        <v>21.531700000000001</v>
      </c>
      <c r="AD5781">
        <v>-1.118134296634</v>
      </c>
      <c r="AE5781">
        <v>0.70820999999999401</v>
      </c>
      <c r="AF5781">
        <v>-4.4449024730511697</v>
      </c>
      <c r="AG5781">
        <v>-1.118134296634</v>
      </c>
      <c r="AH5781">
        <v>21.020659528180399</v>
      </c>
      <c r="AI5781">
        <v>92.979066502614899</v>
      </c>
      <c r="AJ5781">
        <v>101.939544920988</v>
      </c>
      <c r="AK5781">
        <v>21.514541810132201</v>
      </c>
      <c r="AL5781">
        <v>91.849269070563693</v>
      </c>
      <c r="AM5781">
        <v>101.132786646176</v>
      </c>
      <c r="AN5781">
        <v>0.99999998304017601</v>
      </c>
    </row>
    <row r="5782" spans="1:40" x14ac:dyDescent="0.25">
      <c r="A5782" t="str">
        <f>"20190305135349445"</f>
        <v>20190305135349445</v>
      </c>
      <c r="B5782" t="str">
        <f>"1551765229436064"</f>
        <v>1551765229436064</v>
      </c>
      <c r="C5782" t="s">
        <v>40</v>
      </c>
      <c r="D5782">
        <v>4.5839119999999998</v>
      </c>
      <c r="E5782">
        <v>0.49419109999999999</v>
      </c>
      <c r="F5782" t="s">
        <v>42</v>
      </c>
      <c r="G5782">
        <v>-263.779</v>
      </c>
      <c r="H5782" s="1">
        <v>-7.0779279999999995E-7</v>
      </c>
      <c r="I5782">
        <v>-59.9251199999999</v>
      </c>
      <c r="J5782">
        <v>-284.238</v>
      </c>
      <c r="K5782">
        <v>1.1178589999999999</v>
      </c>
      <c r="L5782">
        <v>-60.660519999999998</v>
      </c>
      <c r="M5782">
        <v>0.98547790000000002</v>
      </c>
      <c r="N5782">
        <v>-1.5883390000000001E-2</v>
      </c>
      <c r="O5782">
        <v>-0.16905909999999999</v>
      </c>
      <c r="P5782">
        <v>0.99886019999999998</v>
      </c>
      <c r="Q5782">
        <v>-4.2474390000000001E-2</v>
      </c>
      <c r="R5782">
        <v>2.177333E-2</v>
      </c>
      <c r="S5782">
        <v>2.9942630000000001</v>
      </c>
      <c r="T5782">
        <v>-0.16269639999999999</v>
      </c>
      <c r="U5782">
        <v>0.1047363</v>
      </c>
      <c r="V5782">
        <v>-0.1897538</v>
      </c>
      <c r="W5782">
        <v>-3.080252E-2</v>
      </c>
      <c r="X5782">
        <v>0.98134840000000001</v>
      </c>
      <c r="Y5782">
        <v>-0.20292189999999999</v>
      </c>
      <c r="Z5782">
        <v>1.3579910000000001E-2</v>
      </c>
      <c r="AA5782">
        <v>0.97910079999999999</v>
      </c>
      <c r="AB5782">
        <v>26</v>
      </c>
      <c r="AC5782">
        <v>20.459</v>
      </c>
      <c r="AD5782">
        <v>-1.1178597077928001</v>
      </c>
      <c r="AE5782">
        <v>0.73540000000000505</v>
      </c>
      <c r="AF5782">
        <v>-4.1715905943406897</v>
      </c>
      <c r="AG5782">
        <v>-1.1178597077928001</v>
      </c>
      <c r="AH5782">
        <v>19.980521478511498</v>
      </c>
      <c r="AI5782">
        <v>93.134761190314293</v>
      </c>
      <c r="AJ5782">
        <v>101.792971798624</v>
      </c>
      <c r="AK5782">
        <v>20.441942592776201</v>
      </c>
      <c r="AL5782">
        <v>91.765133610358006</v>
      </c>
      <c r="AM5782">
        <v>100.943673623546</v>
      </c>
      <c r="AN5782">
        <v>0.99999999101767501</v>
      </c>
    </row>
    <row r="5783" spans="1:40" x14ac:dyDescent="0.25">
      <c r="A5783" t="str">
        <f>"20190305135349455"</f>
        <v>20190305135349455</v>
      </c>
      <c r="B5783" t="str">
        <f>"1551765229445824"</f>
        <v>1551765229445824</v>
      </c>
      <c r="C5783" t="s">
        <v>40</v>
      </c>
      <c r="D5783">
        <v>4.6007490000000004</v>
      </c>
      <c r="E5783">
        <v>0.49390679999999998</v>
      </c>
      <c r="F5783" t="s">
        <v>42</v>
      </c>
      <c r="G5783">
        <v>-264.20979999999997</v>
      </c>
      <c r="H5783" s="1">
        <v>-8.9271299999999998E-7</v>
      </c>
      <c r="I5783">
        <v>-59.924489999999999</v>
      </c>
      <c r="J5783">
        <v>-284.12270000000001</v>
      </c>
      <c r="K5783">
        <v>1.117597</v>
      </c>
      <c r="L5783">
        <v>-60.674680000000002</v>
      </c>
      <c r="M5783">
        <v>0.98632089999999994</v>
      </c>
      <c r="N5783">
        <v>-1.5807829999999998E-2</v>
      </c>
      <c r="O5783">
        <v>-0.16407749999999999</v>
      </c>
      <c r="P5783">
        <v>0.99888860000000002</v>
      </c>
      <c r="Q5783">
        <v>-4.0849789999999997E-2</v>
      </c>
      <c r="R5783">
        <v>2.3515299999999999E-2</v>
      </c>
      <c r="S5783">
        <v>2.9939269999999998</v>
      </c>
      <c r="T5783">
        <v>-0.167103799999999</v>
      </c>
      <c r="U5783">
        <v>0.1100159</v>
      </c>
      <c r="V5783">
        <v>-0.18657029999999999</v>
      </c>
      <c r="W5783">
        <v>-2.905158E-2</v>
      </c>
      <c r="X5783">
        <v>0.982012</v>
      </c>
      <c r="Y5783">
        <v>-0.19968320000000001</v>
      </c>
      <c r="Z5783">
        <v>1.367173E-2</v>
      </c>
      <c r="AA5783">
        <v>0.97976510000000006</v>
      </c>
      <c r="AB5783">
        <v>26</v>
      </c>
      <c r="AC5783">
        <v>19.9129</v>
      </c>
      <c r="AD5783">
        <v>-1.1175978927129999</v>
      </c>
      <c r="AE5783">
        <v>0.75018999999999603</v>
      </c>
      <c r="AF5783">
        <v>-3.9951206788046401</v>
      </c>
      <c r="AG5783">
        <v>-1.1175978927129999</v>
      </c>
      <c r="AH5783">
        <v>19.458650240952799</v>
      </c>
      <c r="AI5783">
        <v>93.220119865376702</v>
      </c>
      <c r="AJ5783">
        <v>101.60235475459299</v>
      </c>
      <c r="AK5783">
        <v>19.895956460741999</v>
      </c>
      <c r="AL5783">
        <v>91.664767121164004</v>
      </c>
      <c r="AM5783">
        <v>100.757292464131</v>
      </c>
      <c r="AN5783">
        <v>1.0000000196432901</v>
      </c>
    </row>
    <row r="5784" spans="1:40" x14ac:dyDescent="0.25">
      <c r="A5784" t="str">
        <f>"20190305135349466"</f>
        <v>20190305135349466</v>
      </c>
      <c r="B5784" t="str">
        <f>"1551765229456414"</f>
        <v>1551765229456414</v>
      </c>
      <c r="C5784" t="s">
        <v>40</v>
      </c>
      <c r="D5784">
        <v>4.6173960000000003</v>
      </c>
      <c r="E5784">
        <v>0.49412210000000001</v>
      </c>
      <c r="F5784" t="s">
        <v>42</v>
      </c>
      <c r="G5784">
        <v>-264.70319999999998</v>
      </c>
      <c r="H5784" s="1">
        <v>-1.106075E-6</v>
      </c>
      <c r="I5784">
        <v>-59.914790000000004</v>
      </c>
      <c r="J5784">
        <v>-284.00369999999998</v>
      </c>
      <c r="K5784">
        <v>1.1173280000000001</v>
      </c>
      <c r="L5784">
        <v>-60.689210000000003</v>
      </c>
      <c r="M5784">
        <v>0.98715810000000004</v>
      </c>
      <c r="N5784">
        <v>-1.5732880000000001E-2</v>
      </c>
      <c r="O5784">
        <v>-0.15897049999999999</v>
      </c>
      <c r="P5784">
        <v>0.99886379999999997</v>
      </c>
      <c r="Q5784">
        <v>-4.0024820000000003E-2</v>
      </c>
      <c r="R5784">
        <v>2.5871269999999998E-2</v>
      </c>
      <c r="S5784">
        <v>2.9935299999999998</v>
      </c>
      <c r="T5784">
        <v>-0.17227770000000001</v>
      </c>
      <c r="U5784">
        <v>0.11712649999999999</v>
      </c>
      <c r="V5784">
        <v>-0.1838446</v>
      </c>
      <c r="W5784">
        <v>-2.811224E-2</v>
      </c>
      <c r="X5784">
        <v>0.98255320000000002</v>
      </c>
      <c r="Y5784">
        <v>-0.19691610000000001</v>
      </c>
      <c r="Z5784">
        <v>1.3821490000000001E-2</v>
      </c>
      <c r="AA5784">
        <v>0.9803229</v>
      </c>
      <c r="AB5784">
        <v>26</v>
      </c>
      <c r="AC5784">
        <v>19.3005</v>
      </c>
      <c r="AD5784">
        <v>-1.1173291060749999</v>
      </c>
      <c r="AE5784">
        <v>0.774419999999992</v>
      </c>
      <c r="AF5784">
        <v>-3.8203760508781199</v>
      </c>
      <c r="AG5784">
        <v>-1.1173291060749999</v>
      </c>
      <c r="AH5784">
        <v>18.868740837089199</v>
      </c>
      <c r="AI5784">
        <v>93.321617895467398</v>
      </c>
      <c r="AJ5784">
        <v>101.446009535017</v>
      </c>
      <c r="AK5784">
        <v>19.284010948934899</v>
      </c>
      <c r="AL5784">
        <v>91.610924997093505</v>
      </c>
      <c r="AM5784">
        <v>100.598014942292</v>
      </c>
      <c r="AN5784">
        <v>0.99999996290860804</v>
      </c>
    </row>
    <row r="5785" spans="1:40" x14ac:dyDescent="0.25">
      <c r="A5785" t="str">
        <f>"20190305135349477"</f>
        <v>20190305135349477</v>
      </c>
      <c r="B5785" t="str">
        <f>"1551765229466019"</f>
        <v>1551765229466019</v>
      </c>
      <c r="C5785" t="s">
        <v>40</v>
      </c>
      <c r="D5785">
        <v>4.6112469999999997</v>
      </c>
      <c r="E5785">
        <v>0.4946238</v>
      </c>
      <c r="F5785" t="s">
        <v>91</v>
      </c>
      <c r="G5785">
        <v>-265.24209999999999</v>
      </c>
      <c r="H5785" s="1">
        <v>-1.3358129999999999E-6</v>
      </c>
      <c r="I5785">
        <v>-59.923000000000002</v>
      </c>
      <c r="J5785">
        <v>-283.87970000000001</v>
      </c>
      <c r="K5785">
        <v>1.117057</v>
      </c>
      <c r="L5785">
        <v>-60.703490000000002</v>
      </c>
      <c r="M5785">
        <v>0.98795310000000003</v>
      </c>
      <c r="N5785">
        <v>-1.5654580000000001E-2</v>
      </c>
      <c r="O5785">
        <v>-0.15396009999999999</v>
      </c>
      <c r="P5785">
        <v>0.99882289999999996</v>
      </c>
      <c r="Q5785">
        <v>-3.9677990000000003E-2</v>
      </c>
      <c r="R5785">
        <v>2.7904680000000001E-2</v>
      </c>
      <c r="S5785">
        <v>2.9930729999999999</v>
      </c>
      <c r="T5785">
        <v>-0.17824909999999999</v>
      </c>
      <c r="U5785">
        <v>0.1222229</v>
      </c>
      <c r="V5785">
        <v>-0.18088689999999999</v>
      </c>
      <c r="W5785">
        <v>-2.7657669999999999E-2</v>
      </c>
      <c r="X5785">
        <v>0.98311499999999996</v>
      </c>
      <c r="Y5785">
        <v>-0.19358610000000001</v>
      </c>
      <c r="Z5785">
        <v>1.3998200000000001E-2</v>
      </c>
      <c r="AA5785">
        <v>0.98098339999999995</v>
      </c>
      <c r="AB5785">
        <v>26</v>
      </c>
      <c r="AC5785">
        <v>18.637599999999999</v>
      </c>
      <c r="AD5785">
        <v>-1.117058335813</v>
      </c>
      <c r="AE5785">
        <v>0.78049000000000002</v>
      </c>
      <c r="AF5785">
        <v>-3.6279703325703498</v>
      </c>
      <c r="AG5785">
        <v>-1.117058335813</v>
      </c>
      <c r="AH5785">
        <v>18.229779240900999</v>
      </c>
      <c r="AI5785">
        <v>93.439224911381999</v>
      </c>
      <c r="AJ5785">
        <v>101.255568267583</v>
      </c>
      <c r="AK5785">
        <v>18.620817362071001</v>
      </c>
      <c r="AL5785">
        <v>91.584869767273005</v>
      </c>
      <c r="AM5785">
        <v>100.425455640978</v>
      </c>
      <c r="AN5785">
        <v>1.00000006026321</v>
      </c>
    </row>
    <row r="5786" spans="1:40" x14ac:dyDescent="0.25">
      <c r="A5786" t="str">
        <f>"20190305135349486"</f>
        <v>20190305135349486</v>
      </c>
      <c r="B5786" t="str">
        <f>"1551765229476203"</f>
        <v>1551765229476203</v>
      </c>
      <c r="C5786" t="s">
        <v>40</v>
      </c>
      <c r="D5786">
        <v>4.6181070000000002</v>
      </c>
      <c r="E5786">
        <v>0.49491420000000003</v>
      </c>
      <c r="F5786" t="s">
        <v>42</v>
      </c>
      <c r="G5786">
        <v>-265.48099999999999</v>
      </c>
      <c r="H5786" s="1">
        <v>-1.435343E-6</v>
      </c>
      <c r="I5786">
        <v>-59.939660000000003</v>
      </c>
      <c r="J5786">
        <v>-283.7731</v>
      </c>
      <c r="K5786">
        <v>1.1168309999999999</v>
      </c>
      <c r="L5786">
        <v>-60.715670000000003</v>
      </c>
      <c r="M5786">
        <v>0.98860809999999999</v>
      </c>
      <c r="N5786">
        <v>-1.558962E-2</v>
      </c>
      <c r="O5786">
        <v>-0.14970359999999999</v>
      </c>
      <c r="P5786">
        <v>0.99878529999999999</v>
      </c>
      <c r="Q5786">
        <v>-3.9839010000000001E-2</v>
      </c>
      <c r="R5786">
        <v>2.9003230000000001E-2</v>
      </c>
      <c r="S5786">
        <v>2.9928279999999998</v>
      </c>
      <c r="T5786">
        <v>-0.18170620000000001</v>
      </c>
      <c r="U5786">
        <v>0.1242371</v>
      </c>
      <c r="V5786">
        <v>-0.17774529999999999</v>
      </c>
      <c r="W5786">
        <v>-2.7716370000000001E-2</v>
      </c>
      <c r="X5786">
        <v>0.98368610000000001</v>
      </c>
      <c r="Y5786">
        <v>-0.19001119999999999</v>
      </c>
      <c r="Z5786">
        <v>1.396588E-2</v>
      </c>
      <c r="AA5786">
        <v>0.98168259999999996</v>
      </c>
      <c r="AB5786">
        <v>26</v>
      </c>
      <c r="AC5786">
        <v>18.292100000000001</v>
      </c>
      <c r="AD5786">
        <v>-1.1168324353429999</v>
      </c>
      <c r="AE5786">
        <v>0.77600999999999898</v>
      </c>
      <c r="AF5786">
        <v>-3.4929910767631598</v>
      </c>
      <c r="AG5786">
        <v>-1.1168324353429999</v>
      </c>
      <c r="AH5786">
        <v>17.903110153488502</v>
      </c>
      <c r="AI5786">
        <v>93.503707581968101</v>
      </c>
      <c r="AJ5786">
        <v>101.040019271757</v>
      </c>
      <c r="AK5786">
        <v>18.274836648214499</v>
      </c>
      <c r="AL5786">
        <v>91.588234468773805</v>
      </c>
      <c r="AM5786">
        <v>100.24243501015501</v>
      </c>
      <c r="AN5786">
        <v>0.99999996608563702</v>
      </c>
    </row>
    <row r="5787" spans="1:40" x14ac:dyDescent="0.25">
      <c r="A5787" t="str">
        <f>"20190305135349496"</f>
        <v>20190305135349496</v>
      </c>
      <c r="B5787" t="str">
        <f>"1551765229486015"</f>
        <v>1551765229486015</v>
      </c>
      <c r="C5787" t="s">
        <v>40</v>
      </c>
      <c r="D5787">
        <v>4.5919400000000001</v>
      </c>
      <c r="E5787">
        <v>0.49512420000000001</v>
      </c>
      <c r="F5787" t="s">
        <v>42</v>
      </c>
      <c r="G5787">
        <v>-266.00400000000002</v>
      </c>
      <c r="H5787" s="1">
        <v>-1.65384E-6</v>
      </c>
      <c r="I5787">
        <v>-59.972830000000002</v>
      </c>
      <c r="J5787">
        <v>-283.66500000000002</v>
      </c>
      <c r="K5787">
        <v>1.116614</v>
      </c>
      <c r="L5787">
        <v>-60.727420000000002</v>
      </c>
      <c r="M5787">
        <v>0.98922060000000001</v>
      </c>
      <c r="N5787">
        <v>-1.5524609999999999E-2</v>
      </c>
      <c r="O5787">
        <v>-0.14560819999999999</v>
      </c>
      <c r="P5787">
        <v>0.99872289999999997</v>
      </c>
      <c r="Q5787">
        <v>-4.0711549999999999E-2</v>
      </c>
      <c r="R5787">
        <v>2.9929009999999999E-2</v>
      </c>
      <c r="S5787">
        <v>2.9925540000000002</v>
      </c>
      <c r="T5787">
        <v>-0.18808910000000001</v>
      </c>
      <c r="U5787">
        <v>0.1250916</v>
      </c>
      <c r="V5787">
        <v>-0.17457810000000001</v>
      </c>
      <c r="W5787">
        <v>-2.8495329999999999E-2</v>
      </c>
      <c r="X5787">
        <v>0.98423090000000002</v>
      </c>
      <c r="Y5787">
        <v>-0.1861988</v>
      </c>
      <c r="Z5787">
        <v>1.414998E-2</v>
      </c>
      <c r="AA5787">
        <v>0.98241020000000001</v>
      </c>
      <c r="AB5787">
        <v>26</v>
      </c>
      <c r="AC5787">
        <v>17.660999999999898</v>
      </c>
      <c r="AD5787">
        <v>-1.1166156538400001</v>
      </c>
      <c r="AE5787">
        <v>0.75458999999999299</v>
      </c>
      <c r="AF5787">
        <v>-3.30525372904766</v>
      </c>
      <c r="AG5787">
        <v>-1.1166156538400001</v>
      </c>
      <c r="AH5787">
        <v>17.293837335233601</v>
      </c>
      <c r="AI5787">
        <v>93.628801433143806</v>
      </c>
      <c r="AJ5787">
        <v>100.82006726701201</v>
      </c>
      <c r="AK5787">
        <v>17.642231789354302</v>
      </c>
      <c r="AL5787">
        <v>91.632883206382601</v>
      </c>
      <c r="AM5787">
        <v>100.058234119193</v>
      </c>
      <c r="AN5787">
        <v>0.99999998067311402</v>
      </c>
    </row>
    <row r="5788" spans="1:40" x14ac:dyDescent="0.25">
      <c r="A5788" t="str">
        <f>"20190305135349507"</f>
        <v>20190305135349507</v>
      </c>
      <c r="B5788" t="str">
        <f>"1551765229495774"</f>
        <v>1551765229495774</v>
      </c>
      <c r="C5788" t="s">
        <v>40</v>
      </c>
      <c r="D5788">
        <v>4.6022660000000002</v>
      </c>
      <c r="E5788">
        <v>0.49545790000000001</v>
      </c>
      <c r="F5788" t="s">
        <v>42</v>
      </c>
      <c r="G5788">
        <v>-266.56180000000001</v>
      </c>
      <c r="H5788" s="1">
        <v>-1.887135E-6</v>
      </c>
      <c r="I5788">
        <v>-60.006549999999997</v>
      </c>
      <c r="J5788">
        <v>-283.54309999999998</v>
      </c>
      <c r="K5788">
        <v>1.1163780000000001</v>
      </c>
      <c r="L5788">
        <v>-60.740479999999998</v>
      </c>
      <c r="M5788">
        <v>0.98988180000000003</v>
      </c>
      <c r="N5788">
        <v>-1.545381E-2</v>
      </c>
      <c r="O5788">
        <v>-0.14105100000000001</v>
      </c>
      <c r="P5788">
        <v>0.99863159999999895</v>
      </c>
      <c r="Q5788">
        <v>-4.194519E-2</v>
      </c>
      <c r="R5788">
        <v>3.1236509999999999E-2</v>
      </c>
      <c r="S5788">
        <v>2.9920960000000001</v>
      </c>
      <c r="T5788">
        <v>-0.19534409999999999</v>
      </c>
      <c r="U5788">
        <v>0.12609860000000001</v>
      </c>
      <c r="V5788">
        <v>-0.17132249999999999</v>
      </c>
      <c r="W5788">
        <v>-2.9632849999999999E-2</v>
      </c>
      <c r="X5788">
        <v>0.98476929999999996</v>
      </c>
      <c r="Y5788">
        <v>-0.181976</v>
      </c>
      <c r="Z5788">
        <v>1.4337600000000001E-2</v>
      </c>
      <c r="AA5788">
        <v>0.98319849999999998</v>
      </c>
      <c r="AB5788">
        <v>26</v>
      </c>
      <c r="AC5788">
        <v>16.981299999999901</v>
      </c>
      <c r="AD5788">
        <v>-1.1163798871349999</v>
      </c>
      <c r="AE5788">
        <v>0.73393000000000697</v>
      </c>
      <c r="AF5788">
        <v>-3.1086951947611801</v>
      </c>
      <c r="AG5788">
        <v>-1.1163798871349999</v>
      </c>
      <c r="AH5788">
        <v>16.636184841824999</v>
      </c>
      <c r="AI5788">
        <v>93.773976742564699</v>
      </c>
      <c r="AJ5788">
        <v>100.58441924802899</v>
      </c>
      <c r="AK5788">
        <v>16.960923794348499</v>
      </c>
      <c r="AL5788">
        <v>91.698085751185204</v>
      </c>
      <c r="AM5788">
        <v>99.869097861712206</v>
      </c>
      <c r="AN5788">
        <v>1.0000000395139299</v>
      </c>
    </row>
    <row r="5789" spans="1:40" x14ac:dyDescent="0.25">
      <c r="A5789" t="str">
        <f>"20190305135349519"</f>
        <v>20190305135349519</v>
      </c>
      <c r="B5789" t="str">
        <f>"1551765229505534"</f>
        <v>1551765229505534</v>
      </c>
      <c r="C5789" t="s">
        <v>40</v>
      </c>
      <c r="D5789">
        <v>4.5430609999999998</v>
      </c>
      <c r="E5789">
        <v>0.49565890000000001</v>
      </c>
      <c r="F5789" t="s">
        <v>42</v>
      </c>
      <c r="G5789">
        <v>-267.0222</v>
      </c>
      <c r="H5789" s="1">
        <v>-2.0791079999999999E-6</v>
      </c>
      <c r="I5789">
        <v>-60.037799999999997</v>
      </c>
      <c r="J5789">
        <v>-283.416</v>
      </c>
      <c r="K5789">
        <v>1.1161369999999999</v>
      </c>
      <c r="L5789">
        <v>-60.753480000000003</v>
      </c>
      <c r="M5789">
        <v>0.99051480000000003</v>
      </c>
      <c r="N5789">
        <v>-1.538225E-2</v>
      </c>
      <c r="O5789">
        <v>-0.1365421</v>
      </c>
      <c r="P5789">
        <v>0.99855830000000001</v>
      </c>
      <c r="Q5789">
        <v>-4.2894179999999997E-2</v>
      </c>
      <c r="R5789">
        <v>3.2271279999999999E-2</v>
      </c>
      <c r="S5789">
        <v>2.9916079999999998</v>
      </c>
      <c r="T5789">
        <v>-0.202154</v>
      </c>
      <c r="U5789">
        <v>0.1272278</v>
      </c>
      <c r="V5789">
        <v>-0.1678549</v>
      </c>
      <c r="W5789">
        <v>-3.048673E-2</v>
      </c>
      <c r="X5789">
        <v>0.9853402</v>
      </c>
      <c r="Y5789">
        <v>-0.177844899999999</v>
      </c>
      <c r="Z5789">
        <v>1.446563E-2</v>
      </c>
      <c r="AA5789">
        <v>0.98395220000000005</v>
      </c>
      <c r="AB5789">
        <v>26</v>
      </c>
      <c r="AC5789">
        <v>16.393799999999999</v>
      </c>
      <c r="AD5789">
        <v>-1.1161390791079999</v>
      </c>
      <c r="AE5789">
        <v>0.71568000000000598</v>
      </c>
      <c r="AF5789">
        <v>-2.93410977599908</v>
      </c>
      <c r="AG5789">
        <v>-1.1161390791079999</v>
      </c>
      <c r="AH5789">
        <v>16.068152592108198</v>
      </c>
      <c r="AI5789">
        <v>93.909109977438007</v>
      </c>
      <c r="AJ5789">
        <v>100.34842662750501</v>
      </c>
      <c r="AK5789">
        <v>16.371936181917999</v>
      </c>
      <c r="AL5789">
        <v>91.7470316428752</v>
      </c>
      <c r="AM5789">
        <v>99.667658587736</v>
      </c>
      <c r="AN5789">
        <v>1.0000000089480701</v>
      </c>
    </row>
    <row r="5790" spans="1:40" x14ac:dyDescent="0.25">
      <c r="A5790" t="str">
        <f>"20190305135349530"</f>
        <v>20190305135349530</v>
      </c>
      <c r="B5790" t="str">
        <f>"1551765229526030"</f>
        <v>1551765229526030</v>
      </c>
      <c r="C5790" t="s">
        <v>40</v>
      </c>
      <c r="D5790">
        <v>4.5916350000000001</v>
      </c>
      <c r="E5790">
        <v>0.49618859999999898</v>
      </c>
      <c r="F5790" t="s">
        <v>42</v>
      </c>
      <c r="G5790">
        <v>-267.37729999999999</v>
      </c>
      <c r="H5790" s="1">
        <v>-2.2268789999999999E-6</v>
      </c>
      <c r="I5790">
        <v>-60.06371</v>
      </c>
      <c r="J5790">
        <v>-283.28449999999998</v>
      </c>
      <c r="K5790">
        <v>1.115896</v>
      </c>
      <c r="L5790">
        <v>-60.766570000000002</v>
      </c>
      <c r="M5790">
        <v>0.99113059999999997</v>
      </c>
      <c r="N5790">
        <v>-1.53107E-2</v>
      </c>
      <c r="O5790">
        <v>-0.13200709999999999</v>
      </c>
      <c r="P5790">
        <v>0.99847969999999997</v>
      </c>
      <c r="Q5790">
        <v>-4.3816550000000003E-2</v>
      </c>
      <c r="R5790">
        <v>3.3443000000000001E-2</v>
      </c>
      <c r="S5790">
        <v>2.9912719999999999</v>
      </c>
      <c r="T5790">
        <v>-0.20816399999999999</v>
      </c>
      <c r="U5790">
        <v>0.12863160000000001</v>
      </c>
      <c r="V5790">
        <v>-0.16449920000000001</v>
      </c>
      <c r="W5790">
        <v>-3.1318869999999999E-2</v>
      </c>
      <c r="X5790">
        <v>0.98587990000000003</v>
      </c>
      <c r="Y5790">
        <v>-0.17378199999999999</v>
      </c>
      <c r="Z5790">
        <v>1.450574E-2</v>
      </c>
      <c r="AA5790">
        <v>0.98467729999999998</v>
      </c>
      <c r="AB5790">
        <v>26</v>
      </c>
      <c r="AC5790">
        <v>15.9071999999999</v>
      </c>
      <c r="AD5790">
        <v>-1.1158982268790001</v>
      </c>
      <c r="AE5790">
        <v>0.70285999999999405</v>
      </c>
      <c r="AF5790">
        <v>-2.7831475593467001</v>
      </c>
      <c r="AG5790">
        <v>-1.1158982268790001</v>
      </c>
      <c r="AH5790">
        <v>15.598553920204401</v>
      </c>
      <c r="AI5790">
        <v>94.028480763054503</v>
      </c>
      <c r="AJ5790">
        <v>100.116454028373</v>
      </c>
      <c r="AK5790">
        <v>15.884143778982001</v>
      </c>
      <c r="AL5790">
        <v>91.7947325200753</v>
      </c>
      <c r="AM5790">
        <v>99.472832785199301</v>
      </c>
      <c r="AN5790">
        <v>1.0000000178213599</v>
      </c>
    </row>
    <row r="5791" spans="1:40" x14ac:dyDescent="0.25">
      <c r="A5791" t="str">
        <f>"20190305135349541"</f>
        <v>20190305135349541</v>
      </c>
      <c r="B5791" t="str">
        <f>"1551765229535790"</f>
        <v>1551765229535790</v>
      </c>
      <c r="C5791" t="s">
        <v>40</v>
      </c>
      <c r="D5791">
        <v>4.6065399999999999</v>
      </c>
      <c r="E5791">
        <v>0.4964961</v>
      </c>
      <c r="F5791" t="s">
        <v>91</v>
      </c>
      <c r="G5791">
        <v>-267.7833</v>
      </c>
      <c r="H5791" s="1">
        <v>-2.3938510000000002E-6</v>
      </c>
      <c r="I5791">
        <v>-60.104089999999999</v>
      </c>
      <c r="J5791">
        <v>-283.1567</v>
      </c>
      <c r="K5791">
        <v>1.1156619999999999</v>
      </c>
      <c r="L5791">
        <v>-60.778840000000002</v>
      </c>
      <c r="M5791">
        <v>0.99168959999999995</v>
      </c>
      <c r="N5791">
        <v>-1.524327E-2</v>
      </c>
      <c r="O5791">
        <v>-0.12774769999999999</v>
      </c>
      <c r="P5791">
        <v>0.99840700000000004</v>
      </c>
      <c r="Q5791">
        <v>-4.501579E-2</v>
      </c>
      <c r="R5791">
        <v>3.4017180000000001E-2</v>
      </c>
      <c r="S5791">
        <v>2.9908450000000002</v>
      </c>
      <c r="T5791">
        <v>-0.21530340000000001</v>
      </c>
      <c r="U5791">
        <v>0.12780759999999999</v>
      </c>
      <c r="V5791">
        <v>-0.1608242</v>
      </c>
      <c r="W5791">
        <v>-3.2427369999999997E-2</v>
      </c>
      <c r="X5791">
        <v>0.9864503</v>
      </c>
      <c r="Y5791">
        <v>-0.16925580000000001</v>
      </c>
      <c r="Z5791">
        <v>1.459452E-2</v>
      </c>
      <c r="AA5791">
        <v>0.98546409999999995</v>
      </c>
      <c r="AB5791">
        <v>26</v>
      </c>
      <c r="AC5791">
        <v>15.3734</v>
      </c>
      <c r="AD5791">
        <v>-1.115664393851</v>
      </c>
      <c r="AE5791">
        <v>0.67475000000000296</v>
      </c>
      <c r="AF5791">
        <v>-2.6195951452372799</v>
      </c>
      <c r="AG5791">
        <v>-1.115664393851</v>
      </c>
      <c r="AH5791">
        <v>15.0819267278249</v>
      </c>
      <c r="AI5791">
        <v>94.168482932131695</v>
      </c>
      <c r="AJ5791">
        <v>99.853458594913505</v>
      </c>
      <c r="AK5791">
        <v>15.3483386588952</v>
      </c>
      <c r="AL5791">
        <v>91.858277071224094</v>
      </c>
      <c r="AM5791">
        <v>99.259650761443396</v>
      </c>
      <c r="AN5791">
        <v>1.00000007600042</v>
      </c>
    </row>
    <row r="5792" spans="1:40" x14ac:dyDescent="0.25">
      <c r="A5792" t="str">
        <f>"20190305135349553"</f>
        <v>20190305135349553</v>
      </c>
      <c r="B5792" t="str">
        <f>"1551765229545550"</f>
        <v>1551765229545550</v>
      </c>
      <c r="C5792" t="s">
        <v>40</v>
      </c>
      <c r="D5792">
        <v>4.5727960000000003</v>
      </c>
      <c r="E5792">
        <v>0.49687219999999999</v>
      </c>
      <c r="F5792" t="s">
        <v>42</v>
      </c>
      <c r="G5792">
        <v>-267.9871</v>
      </c>
      <c r="H5792" s="1">
        <v>-2.4759100000000002E-6</v>
      </c>
      <c r="I5792">
        <v>-60.134340000000002</v>
      </c>
      <c r="J5792">
        <v>-283.02719999999999</v>
      </c>
      <c r="K5792">
        <v>1.1154269999999999</v>
      </c>
      <c r="L5792">
        <v>-60.790770000000002</v>
      </c>
      <c r="M5792">
        <v>0.99221280000000001</v>
      </c>
      <c r="N5792">
        <v>-1.5177070000000001E-2</v>
      </c>
      <c r="O5792">
        <v>-0.1236266</v>
      </c>
      <c r="P5792">
        <v>0.99832390000000004</v>
      </c>
      <c r="Q5792">
        <v>-4.6331740000000003E-2</v>
      </c>
      <c r="R5792">
        <v>3.4680120000000002E-2</v>
      </c>
      <c r="S5792">
        <v>2.9906009999999998</v>
      </c>
      <c r="T5792">
        <v>-0.2199459</v>
      </c>
      <c r="U5792">
        <v>0.12704469999999901</v>
      </c>
      <c r="V5792">
        <v>-0.1573727</v>
      </c>
      <c r="W5792">
        <v>-3.365961E-2</v>
      </c>
      <c r="X5792">
        <v>0.98696550000000005</v>
      </c>
      <c r="Y5792">
        <v>-0.16490089999999999</v>
      </c>
      <c r="Z5792">
        <v>1.449541E-2</v>
      </c>
      <c r="AA5792">
        <v>0.98620359999999996</v>
      </c>
      <c r="AB5792">
        <v>26</v>
      </c>
      <c r="AC5792">
        <v>15.040099999999899</v>
      </c>
      <c r="AD5792">
        <v>-1.1154294759100001</v>
      </c>
      <c r="AE5792">
        <v>0.65642999999999296</v>
      </c>
      <c r="AF5792">
        <v>-2.4972543137260201</v>
      </c>
      <c r="AG5792">
        <v>-1.1154294759100001</v>
      </c>
      <c r="AH5792">
        <v>14.762493196782801</v>
      </c>
      <c r="AI5792">
        <v>94.260660075650406</v>
      </c>
      <c r="AJ5792">
        <v>99.601379058258502</v>
      </c>
      <c r="AK5792">
        <v>15.0137159760071</v>
      </c>
      <c r="AL5792">
        <v>91.928917911160198</v>
      </c>
      <c r="AM5792">
        <v>99.059607698120402</v>
      </c>
      <c r="AN5792">
        <v>1.00000001712044</v>
      </c>
    </row>
    <row r="5793" spans="1:40" x14ac:dyDescent="0.25">
      <c r="A5793" t="str">
        <f>"20190305135349564"</f>
        <v>20190305135349564</v>
      </c>
      <c r="B5793" t="str">
        <f>"1551765229556286"</f>
        <v>1551765229556286</v>
      </c>
      <c r="C5793" t="s">
        <v>40</v>
      </c>
      <c r="D5793">
        <v>4.5747010000000001</v>
      </c>
      <c r="E5793">
        <v>0.49716169999999998</v>
      </c>
      <c r="F5793" t="s">
        <v>42</v>
      </c>
      <c r="G5793">
        <v>-268.24950000000001</v>
      </c>
      <c r="H5793" s="1">
        <v>-2.5825670000000002E-6</v>
      </c>
      <c r="I5793">
        <v>-60.1678</v>
      </c>
      <c r="J5793">
        <v>-282.90609999999998</v>
      </c>
      <c r="K5793">
        <v>1.115211</v>
      </c>
      <c r="L5793">
        <v>-60.801760000000002</v>
      </c>
      <c r="M5793">
        <v>0.99267780000000005</v>
      </c>
      <c r="N5793">
        <v>-1.511712E-2</v>
      </c>
      <c r="O5793">
        <v>-0.11984300000000001</v>
      </c>
      <c r="P5793">
        <v>0.99823079999999997</v>
      </c>
      <c r="Q5793">
        <v>-4.8023660000000003E-2</v>
      </c>
      <c r="R5793">
        <v>3.5056049999999998E-2</v>
      </c>
      <c r="S5793">
        <v>2.9901430000000002</v>
      </c>
      <c r="T5793">
        <v>-0.22569790000000001</v>
      </c>
      <c r="U5793">
        <v>0.1260376</v>
      </c>
      <c r="V5793">
        <v>-0.153966299999999</v>
      </c>
      <c r="W5793">
        <v>-3.5272810000000002E-2</v>
      </c>
      <c r="X5793">
        <v>0.9874463</v>
      </c>
      <c r="Y5793">
        <v>-0.16079489999999999</v>
      </c>
      <c r="Z5793">
        <v>1.4482480000000001E-2</v>
      </c>
      <c r="AA5793">
        <v>0.98688160000000003</v>
      </c>
      <c r="AB5793">
        <v>26</v>
      </c>
      <c r="AC5793">
        <v>14.6565999999999</v>
      </c>
      <c r="AD5793">
        <v>-1.115213582567</v>
      </c>
      <c r="AE5793">
        <v>0.63395999999999397</v>
      </c>
      <c r="AF5793">
        <v>-2.3723720171375802</v>
      </c>
      <c r="AG5793">
        <v>-1.115213582567</v>
      </c>
      <c r="AH5793">
        <v>14.3917918814179</v>
      </c>
      <c r="AI5793">
        <v>94.372198894635403</v>
      </c>
      <c r="AJ5793">
        <v>99.360573075351994</v>
      </c>
      <c r="AK5793">
        <v>14.628585846912401</v>
      </c>
      <c r="AL5793">
        <v>92.021402466271496</v>
      </c>
      <c r="AM5793">
        <v>98.862409284196502</v>
      </c>
      <c r="AN5793">
        <v>0.99999999402233797</v>
      </c>
    </row>
    <row r="5794" spans="1:40" x14ac:dyDescent="0.25">
      <c r="A5794" t="str">
        <f>"20190305135349574"</f>
        <v>20190305135349574</v>
      </c>
      <c r="B5794" t="str">
        <f>"1551765229566047"</f>
        <v>1551765229566047</v>
      </c>
      <c r="C5794" t="s">
        <v>40</v>
      </c>
      <c r="D5794">
        <v>4.6044559999999999</v>
      </c>
      <c r="E5794">
        <v>0.49751079999999998</v>
      </c>
      <c r="F5794" t="s">
        <v>42</v>
      </c>
      <c r="G5794">
        <v>-268.52699999999999</v>
      </c>
      <c r="H5794" s="1">
        <v>-2.6955970000000002E-6</v>
      </c>
      <c r="I5794">
        <v>-60.201839999999997</v>
      </c>
      <c r="J5794">
        <v>-282.78699999999998</v>
      </c>
      <c r="K5794">
        <v>1.114989</v>
      </c>
      <c r="L5794">
        <v>-60.812010000000001</v>
      </c>
      <c r="M5794">
        <v>0.99309460000000005</v>
      </c>
      <c r="N5794">
        <v>-1.505973E-2</v>
      </c>
      <c r="O5794">
        <v>-0.1163453</v>
      </c>
      <c r="P5794">
        <v>0.99813149999999995</v>
      </c>
      <c r="Q5794">
        <v>-4.9646299999999997E-2</v>
      </c>
      <c r="R5794">
        <v>3.5619060000000001E-2</v>
      </c>
      <c r="S5794">
        <v>2.9898069999999999</v>
      </c>
      <c r="T5794">
        <v>-0.23188420000000001</v>
      </c>
      <c r="U5794">
        <v>0.1247253</v>
      </c>
      <c r="V5794">
        <v>-0.15103269999999999</v>
      </c>
      <c r="W5794">
        <v>-3.6826079999999997E-2</v>
      </c>
      <c r="X5794">
        <v>0.98784260000000002</v>
      </c>
      <c r="Y5794">
        <v>-0.156866899999999</v>
      </c>
      <c r="Z5794">
        <v>1.4500219999999999E-2</v>
      </c>
      <c r="AA5794">
        <v>0.98751330000000004</v>
      </c>
      <c r="AB5794">
        <v>26</v>
      </c>
      <c r="AC5794">
        <v>14.26</v>
      </c>
      <c r="AD5794">
        <v>-1.1149916955970001</v>
      </c>
      <c r="AE5794">
        <v>0.61016999999999599</v>
      </c>
      <c r="AF5794">
        <v>-2.2515573154805102</v>
      </c>
      <c r="AG5794">
        <v>-1.1149916955970001</v>
      </c>
      <c r="AH5794">
        <v>14.006661288097799</v>
      </c>
      <c r="AI5794">
        <v>94.493946609639096</v>
      </c>
      <c r="AJ5794">
        <v>99.132117447590701</v>
      </c>
      <c r="AK5794">
        <v>14.2302240764382</v>
      </c>
      <c r="AL5794">
        <v>92.110456121676805</v>
      </c>
      <c r="AM5794">
        <v>98.6927195695704</v>
      </c>
      <c r="AN5794">
        <v>1.0000000195061001</v>
      </c>
    </row>
    <row r="5795" spans="1:40" x14ac:dyDescent="0.25">
      <c r="A5795" t="str">
        <f>"20190305135349586"</f>
        <v>20190305135349586</v>
      </c>
      <c r="B5795" t="str">
        <f>"1551765229575807"</f>
        <v>1551765229575807</v>
      </c>
      <c r="C5795" t="s">
        <v>40</v>
      </c>
      <c r="D5795">
        <v>4.589156</v>
      </c>
      <c r="E5795">
        <v>0.49782769999999998</v>
      </c>
      <c r="F5795" t="s">
        <v>42</v>
      </c>
      <c r="G5795">
        <v>-268.74700000000001</v>
      </c>
      <c r="H5795" s="1">
        <v>-2.7846419999999999E-6</v>
      </c>
      <c r="I5795">
        <v>-60.231749999999998</v>
      </c>
      <c r="J5795">
        <v>-282.66140000000001</v>
      </c>
      <c r="K5795">
        <v>1.114762</v>
      </c>
      <c r="L5795">
        <v>-60.822719999999997</v>
      </c>
      <c r="M5795">
        <v>0.99351639999999997</v>
      </c>
      <c r="N5795">
        <v>-1.50011E-2</v>
      </c>
      <c r="O5795">
        <v>-0.112695</v>
      </c>
      <c r="P5795">
        <v>0.99802290000000005</v>
      </c>
      <c r="Q5795">
        <v>-5.0942330000000001E-2</v>
      </c>
      <c r="R5795">
        <v>3.6813529999999997E-2</v>
      </c>
      <c r="S5795">
        <v>2.9894099999999999</v>
      </c>
      <c r="T5795">
        <v>-0.2374039</v>
      </c>
      <c r="U5795">
        <v>0.123535199999999</v>
      </c>
      <c r="V5795">
        <v>-0.14858160000000001</v>
      </c>
      <c r="W5795">
        <v>-3.8059839999999998E-2</v>
      </c>
      <c r="X5795">
        <v>0.98816749999999998</v>
      </c>
      <c r="Y5795">
        <v>-0.15283350000000001</v>
      </c>
      <c r="Z5795">
        <v>1.443877E-2</v>
      </c>
      <c r="AA5795">
        <v>0.98814650000000004</v>
      </c>
      <c r="AB5795">
        <v>26</v>
      </c>
      <c r="AC5795">
        <v>13.914400000000001</v>
      </c>
      <c r="AD5795">
        <v>-1.1147647846419999</v>
      </c>
      <c r="AE5795">
        <v>0.590969999999998</v>
      </c>
      <c r="AF5795">
        <v>-2.1417420539587799</v>
      </c>
      <c r="AG5795">
        <v>-1.1147647846419999</v>
      </c>
      <c r="AH5795">
        <v>13.671539648071301</v>
      </c>
      <c r="AI5795">
        <v>94.605607131401797</v>
      </c>
      <c r="AJ5795">
        <v>98.903420005009707</v>
      </c>
      <c r="AK5795">
        <v>13.8831104547777</v>
      </c>
      <c r="AL5795">
        <v>92.181194956740001</v>
      </c>
      <c r="AM5795">
        <v>98.550978798472102</v>
      </c>
      <c r="AN5795">
        <v>1.0000000256678101</v>
      </c>
    </row>
    <row r="5796" spans="1:40" x14ac:dyDescent="0.25">
      <c r="A5796" t="str">
        <f>"20190305135349598"</f>
        <v>20190305135349598</v>
      </c>
      <c r="B5796" t="str">
        <f>"1551765229585566"</f>
        <v>1551765229585566</v>
      </c>
      <c r="C5796" t="s">
        <v>40</v>
      </c>
      <c r="D5796">
        <v>4.5474870000000003</v>
      </c>
      <c r="E5796">
        <v>0.49808210000000003</v>
      </c>
      <c r="F5796" t="s">
        <v>42</v>
      </c>
      <c r="G5796">
        <v>-268.85789999999997</v>
      </c>
      <c r="H5796" s="1">
        <v>-2.8292820000000001E-6</v>
      </c>
      <c r="I5796">
        <v>-60.248359999999998</v>
      </c>
      <c r="J5796">
        <v>-282.52609999999999</v>
      </c>
      <c r="K5796">
        <v>1.1145179999999999</v>
      </c>
      <c r="L5796">
        <v>-60.833710000000004</v>
      </c>
      <c r="M5796">
        <v>0.99392789999999998</v>
      </c>
      <c r="N5796">
        <v>-1.4939849999999999E-2</v>
      </c>
      <c r="O5796">
        <v>-0.109015</v>
      </c>
      <c r="P5796">
        <v>0.99791149999999995</v>
      </c>
      <c r="Q5796">
        <v>-5.195114E-2</v>
      </c>
      <c r="R5796">
        <v>3.8392089999999997E-2</v>
      </c>
      <c r="S5796">
        <v>2.9890439999999998</v>
      </c>
      <c r="T5796">
        <v>-0.24139330000000001</v>
      </c>
      <c r="U5796">
        <v>0.1243591</v>
      </c>
      <c r="V5796">
        <v>-0.14648989999999901</v>
      </c>
      <c r="W5796">
        <v>-3.9009540000000002E-2</v>
      </c>
      <c r="X5796">
        <v>0.98844270000000001</v>
      </c>
      <c r="Y5796">
        <v>-0.1494433</v>
      </c>
      <c r="Z5796">
        <v>1.4291399999999999E-2</v>
      </c>
      <c r="AA5796">
        <v>0.98866699999999996</v>
      </c>
      <c r="AB5796">
        <v>26</v>
      </c>
      <c r="AC5796">
        <v>13.668200000000001</v>
      </c>
      <c r="AD5796">
        <v>-1.1145208292819999</v>
      </c>
      <c r="AE5796">
        <v>0.58534999999999804</v>
      </c>
      <c r="AF5796">
        <v>-2.05840443512681</v>
      </c>
      <c r="AG5796">
        <v>-1.1145208292819999</v>
      </c>
      <c r="AH5796">
        <v>13.4337447655577</v>
      </c>
      <c r="AI5796">
        <v>94.688173328521998</v>
      </c>
      <c r="AJ5796">
        <v>98.711471138778094</v>
      </c>
      <c r="AK5796">
        <v>13.636153560429101</v>
      </c>
      <c r="AL5796">
        <v>92.2356492548696</v>
      </c>
      <c r="AM5796">
        <v>98.430028769611098</v>
      </c>
      <c r="AN5796">
        <v>1.00000000309815</v>
      </c>
    </row>
    <row r="5797" spans="1:40" x14ac:dyDescent="0.25">
      <c r="A5797" t="str">
        <f>"20190305135349608"</f>
        <v>20190305135349608</v>
      </c>
      <c r="B5797" t="str">
        <f>"1551765229596302"</f>
        <v>1551765229596302</v>
      </c>
      <c r="C5797" t="s">
        <v>40</v>
      </c>
      <c r="D5797">
        <v>4.5343939999999998</v>
      </c>
      <c r="E5797">
        <v>0.49830479999999999</v>
      </c>
      <c r="F5797" t="s">
        <v>91</v>
      </c>
      <c r="G5797">
        <v>-268.88470000000001</v>
      </c>
      <c r="H5797" s="1">
        <v>-2.8396509999999998E-6</v>
      </c>
      <c r="I5797">
        <v>-60.25459</v>
      </c>
      <c r="J5797">
        <v>-282.40710000000001</v>
      </c>
      <c r="K5797">
        <v>1.1143099999999999</v>
      </c>
      <c r="L5797">
        <v>-60.843260000000001</v>
      </c>
      <c r="M5797">
        <v>0.99427089999999996</v>
      </c>
      <c r="N5797">
        <v>-1.488808E-2</v>
      </c>
      <c r="O5797">
        <v>-0.1058489</v>
      </c>
      <c r="P5797">
        <v>0.99781160000000002</v>
      </c>
      <c r="Q5797">
        <v>-5.2803549999999998E-2</v>
      </c>
      <c r="R5797">
        <v>3.9801379999999997E-2</v>
      </c>
      <c r="S5797">
        <v>2.9886469999999998</v>
      </c>
      <c r="T5797">
        <v>-0.2441769</v>
      </c>
      <c r="U5797">
        <v>0.12686159999999999</v>
      </c>
      <c r="V5797">
        <v>-0.1447435</v>
      </c>
      <c r="W5797">
        <v>-3.9812680000000003E-2</v>
      </c>
      <c r="X5797">
        <v>0.98866790000000004</v>
      </c>
      <c r="Y5797">
        <v>-0.1471227</v>
      </c>
      <c r="Z5797">
        <v>1.414324E-2</v>
      </c>
      <c r="AA5797">
        <v>0.98901709999999998</v>
      </c>
      <c r="AB5797">
        <v>26</v>
      </c>
      <c r="AC5797">
        <v>13.522399999999999</v>
      </c>
      <c r="AD5797">
        <v>-1.114312839651</v>
      </c>
      <c r="AE5797">
        <v>0.58867000000000003</v>
      </c>
      <c r="AF5797">
        <v>-2.0032742239212298</v>
      </c>
      <c r="AG5797">
        <v>-1.114312839651</v>
      </c>
      <c r="AH5797">
        <v>13.293997203689299</v>
      </c>
      <c r="AI5797">
        <v>94.738129054354005</v>
      </c>
      <c r="AJ5797">
        <v>98.569433359014099</v>
      </c>
      <c r="AK5797">
        <v>13.4901876329626</v>
      </c>
      <c r="AL5797">
        <v>92.281701635104298</v>
      </c>
      <c r="AM5797">
        <v>98.329076825715504</v>
      </c>
      <c r="AN5797">
        <v>0.99999997338572</v>
      </c>
    </row>
    <row r="5798" spans="1:40" x14ac:dyDescent="0.25">
      <c r="A5798" t="str">
        <f>"20190305135349619"</f>
        <v>20190305135349619</v>
      </c>
      <c r="B5798" t="str">
        <f>"1551765229615822"</f>
        <v>1551765229615822</v>
      </c>
      <c r="C5798" t="s">
        <v>40</v>
      </c>
      <c r="D5798">
        <v>4.5244150000000003</v>
      </c>
      <c r="E5798">
        <v>0.49880409999999997</v>
      </c>
      <c r="F5798" t="s">
        <v>91</v>
      </c>
      <c r="G5798">
        <v>-268.90339999999998</v>
      </c>
      <c r="H5798" s="1">
        <v>-2.8467760000000002E-6</v>
      </c>
      <c r="I5798">
        <v>-60.259860000000003</v>
      </c>
      <c r="J5798">
        <v>-282.27629999999999</v>
      </c>
      <c r="K5798">
        <v>1.11409</v>
      </c>
      <c r="L5798">
        <v>-60.853389999999997</v>
      </c>
      <c r="M5798">
        <v>0.9946197</v>
      </c>
      <c r="N5798">
        <v>-1.4833499999999999E-2</v>
      </c>
      <c r="O5798">
        <v>-0.1025257</v>
      </c>
      <c r="P5798">
        <v>0.99772000000000005</v>
      </c>
      <c r="Q5798">
        <v>-5.3254610000000001E-2</v>
      </c>
      <c r="R5798">
        <v>4.1457029999999999E-2</v>
      </c>
      <c r="S5798">
        <v>2.9883419999999998</v>
      </c>
      <c r="T5798">
        <v>-0.24659629999999999</v>
      </c>
      <c r="U5798">
        <v>0.12908939999999999</v>
      </c>
      <c r="V5798">
        <v>-0.14309469999999999</v>
      </c>
      <c r="W5798">
        <v>-4.021566E-2</v>
      </c>
      <c r="X5798">
        <v>0.98889159999999998</v>
      </c>
      <c r="Y5798">
        <v>-0.14455860000000001</v>
      </c>
      <c r="Z5798">
        <v>1.394277E-2</v>
      </c>
      <c r="AA5798">
        <v>0.989398</v>
      </c>
      <c r="AB5798">
        <v>25</v>
      </c>
      <c r="AC5798">
        <v>13.3729</v>
      </c>
      <c r="AD5798">
        <v>-1.1140928467760001</v>
      </c>
      <c r="AE5798">
        <v>0.593530000000008</v>
      </c>
      <c r="AF5798">
        <v>-1.9481240859317801</v>
      </c>
      <c r="AG5798">
        <v>-1.1140928467760001</v>
      </c>
      <c r="AH5798">
        <v>13.150463712231501</v>
      </c>
      <c r="AI5798">
        <v>94.7904399087938</v>
      </c>
      <c r="AJ5798">
        <v>98.426573549676405</v>
      </c>
      <c r="AK5798">
        <v>13.340580428607399</v>
      </c>
      <c r="AL5798">
        <v>92.304809146941295</v>
      </c>
      <c r="AM5798">
        <v>98.233670082893198</v>
      </c>
      <c r="AN5798">
        <v>0.99999999451394195</v>
      </c>
    </row>
    <row r="5799" spans="1:40" x14ac:dyDescent="0.25">
      <c r="A5799" t="str">
        <f>"20190305135349631"</f>
        <v>20190305135349631</v>
      </c>
      <c r="B5799" t="str">
        <f>"1551765229625581"</f>
        <v>1551765229625581</v>
      </c>
      <c r="C5799" t="s">
        <v>40</v>
      </c>
      <c r="D5799">
        <v>4.5306179999999996</v>
      </c>
      <c r="E5799">
        <v>0.49903209999999998</v>
      </c>
      <c r="F5799" t="s">
        <v>91</v>
      </c>
      <c r="G5799">
        <v>-268.84739999999999</v>
      </c>
      <c r="H5799" s="1">
        <v>-2.820969E-6</v>
      </c>
      <c r="I5799">
        <v>-60.269779999999997</v>
      </c>
      <c r="J5799">
        <v>-282.15120000000002</v>
      </c>
      <c r="K5799">
        <v>1.1138859999999999</v>
      </c>
      <c r="L5799">
        <v>-60.862789999999997</v>
      </c>
      <c r="M5799">
        <v>0.99492999999999998</v>
      </c>
      <c r="N5799">
        <v>-1.4783569999999999E-2</v>
      </c>
      <c r="O5799">
        <v>-9.9478720000000007E-2</v>
      </c>
      <c r="P5799">
        <v>0.99764600000000003</v>
      </c>
      <c r="Q5799">
        <v>-5.3442499999999997E-2</v>
      </c>
      <c r="R5799">
        <v>4.2973299999999999E-2</v>
      </c>
      <c r="S5799">
        <v>2.9882200000000001</v>
      </c>
      <c r="T5799">
        <v>-0.2479103</v>
      </c>
      <c r="U5799">
        <v>0.1298523</v>
      </c>
      <c r="V5799">
        <v>-0.14158670000000001</v>
      </c>
      <c r="W5799">
        <v>-4.035975E-2</v>
      </c>
      <c r="X5799">
        <v>0.98910279999999995</v>
      </c>
      <c r="Y5799">
        <v>-0.14179069999999999</v>
      </c>
      <c r="Z5799">
        <v>1.3679739999999999E-2</v>
      </c>
      <c r="AA5799">
        <v>0.98980210000000002</v>
      </c>
      <c r="AB5799">
        <v>25</v>
      </c>
      <c r="AC5799">
        <v>13.303800000000001</v>
      </c>
      <c r="AD5799">
        <v>-1.1138888209690001</v>
      </c>
      <c r="AE5799">
        <v>0.59300999999999904</v>
      </c>
      <c r="AF5799">
        <v>-1.9003617453299699</v>
      </c>
      <c r="AG5799">
        <v>-1.1138888209690001</v>
      </c>
      <c r="AH5799">
        <v>13.087233670725</v>
      </c>
      <c r="AI5799">
        <v>94.814616935625907</v>
      </c>
      <c r="AJ5799">
        <v>98.262019204528698</v>
      </c>
      <c r="AK5799">
        <v>13.2713152408023</v>
      </c>
      <c r="AL5799">
        <v>92.313071531106004</v>
      </c>
      <c r="AM5799">
        <v>98.146354511354403</v>
      </c>
      <c r="AN5799">
        <v>1.00000002600239</v>
      </c>
    </row>
    <row r="5800" spans="1:40" x14ac:dyDescent="0.25">
      <c r="A5800" t="str">
        <f>"20190305135349642"</f>
        <v>20190305135349642</v>
      </c>
      <c r="B5800" t="str">
        <f>"1551765229636318"</f>
        <v>1551765229636318</v>
      </c>
      <c r="C5800" t="s">
        <v>40</v>
      </c>
      <c r="D5800">
        <v>4.5065839999999904</v>
      </c>
      <c r="E5800">
        <v>0.49926730000000002</v>
      </c>
      <c r="F5800" t="s">
        <v>42</v>
      </c>
      <c r="G5800">
        <v>-268.78269999999998</v>
      </c>
      <c r="H5800" s="1">
        <v>-2.793093E-6</v>
      </c>
      <c r="I5800">
        <v>-60.270429999999998</v>
      </c>
      <c r="J5800">
        <v>-282.02679999999998</v>
      </c>
      <c r="K5800">
        <v>1.113688</v>
      </c>
      <c r="L5800">
        <v>-60.871949999999998</v>
      </c>
      <c r="M5800">
        <v>0.99521919999999997</v>
      </c>
      <c r="N5800">
        <v>-1.473581E-2</v>
      </c>
      <c r="O5800">
        <v>-9.6547889999999997E-2</v>
      </c>
      <c r="P5800">
        <v>0.99758469999999999</v>
      </c>
      <c r="Q5800">
        <v>-5.3711509999999997E-2</v>
      </c>
      <c r="R5800">
        <v>4.404251E-2</v>
      </c>
      <c r="S5800">
        <v>2.9880369999999998</v>
      </c>
      <c r="T5800">
        <v>-0.24896750000000001</v>
      </c>
      <c r="U5800">
        <v>0.13238529999999901</v>
      </c>
      <c r="V5800">
        <v>-0.1397506</v>
      </c>
      <c r="W5800">
        <v>-4.0582300000000002E-2</v>
      </c>
      <c r="X5800">
        <v>0.98935479999999998</v>
      </c>
      <c r="Y5800">
        <v>-0.1397234</v>
      </c>
      <c r="Z5800">
        <v>1.3440769999999999E-2</v>
      </c>
      <c r="AA5800">
        <v>0.99009939999999996</v>
      </c>
      <c r="AB5800">
        <v>25</v>
      </c>
      <c r="AC5800">
        <v>13.2441</v>
      </c>
      <c r="AD5800">
        <v>-1.113690793093</v>
      </c>
      <c r="AE5800">
        <v>0.60151999999999295</v>
      </c>
      <c r="AF5800">
        <v>-1.86438210616293</v>
      </c>
      <c r="AG5800">
        <v>-1.113690793093</v>
      </c>
      <c r="AH5800">
        <v>13.032171266717601</v>
      </c>
      <c r="AI5800">
        <v>94.835466487663794</v>
      </c>
      <c r="AJ5800">
        <v>98.141491073283305</v>
      </c>
      <c r="AK5800">
        <v>13.211877828131099</v>
      </c>
      <c r="AL5800">
        <v>92.325833136899405</v>
      </c>
      <c r="AM5800">
        <v>98.040081699678694</v>
      </c>
      <c r="AN5800">
        <v>1.0000000367783399</v>
      </c>
    </row>
    <row r="5801" spans="1:40" x14ac:dyDescent="0.25">
      <c r="A5801" t="str">
        <f>"20190305135349654"</f>
        <v>20190305135349654</v>
      </c>
      <c r="B5801" t="str">
        <f>"1551765229646078"</f>
        <v>1551765229646078</v>
      </c>
      <c r="C5801" t="s">
        <v>40</v>
      </c>
      <c r="D5801">
        <v>4.3823970000000001</v>
      </c>
      <c r="E5801">
        <v>0.49926730000000002</v>
      </c>
      <c r="F5801" t="s">
        <v>91</v>
      </c>
      <c r="G5801">
        <v>-268.6866</v>
      </c>
      <c r="H5801" s="1">
        <v>-2.7509729999999999E-6</v>
      </c>
      <c r="I5801">
        <v>-60.275370000000002</v>
      </c>
      <c r="J5801">
        <v>-281.89530000000002</v>
      </c>
      <c r="K5801">
        <v>1.1134850000000001</v>
      </c>
      <c r="L5801">
        <v>-60.881349999999998</v>
      </c>
      <c r="M5801">
        <v>0.99549690000000002</v>
      </c>
      <c r="N5801">
        <v>-1.468731E-2</v>
      </c>
      <c r="O5801">
        <v>-9.3650590000000006E-2</v>
      </c>
      <c r="P5801">
        <v>0.99755000000000005</v>
      </c>
      <c r="Q5801">
        <v>-5.3210590000000002E-2</v>
      </c>
      <c r="R5801">
        <v>4.5419460000000002E-2</v>
      </c>
      <c r="S5801">
        <v>2.987946</v>
      </c>
      <c r="T5801">
        <v>-0.24944440000000001</v>
      </c>
      <c r="U5801">
        <v>0.133606</v>
      </c>
      <c r="V5801">
        <v>-0.138265</v>
      </c>
      <c r="W5801">
        <v>-4.0038459999999998E-2</v>
      </c>
      <c r="X5801">
        <v>0.98958559999999995</v>
      </c>
      <c r="Y5801">
        <v>-0.13725970000000001</v>
      </c>
      <c r="Z5801">
        <v>1.3149889999999999E-2</v>
      </c>
      <c r="AA5801">
        <v>0.99044779999999999</v>
      </c>
      <c r="AB5801">
        <v>25</v>
      </c>
      <c r="AC5801">
        <v>13.2087</v>
      </c>
      <c r="AD5801">
        <v>-1.1134877509729999</v>
      </c>
      <c r="AE5801">
        <v>0.60598000000000196</v>
      </c>
      <c r="AF5801">
        <v>-1.8274924208975201</v>
      </c>
      <c r="AG5801">
        <v>-1.1134877509729999</v>
      </c>
      <c r="AH5801">
        <v>13.0016790842799</v>
      </c>
      <c r="AI5801">
        <v>94.847551049117996</v>
      </c>
      <c r="AJ5801">
        <v>98.000974871283006</v>
      </c>
      <c r="AK5801">
        <v>13.1766172643287</v>
      </c>
      <c r="AL5801">
        <v>92.294648197757397</v>
      </c>
      <c r="AM5801">
        <v>97.953881043393906</v>
      </c>
      <c r="AN5801">
        <v>0.99999997411576502</v>
      </c>
    </row>
    <row r="5802" spans="1:40" x14ac:dyDescent="0.25">
      <c r="A5802" t="str">
        <f>"20190305135349665"</f>
        <v>20190305135349665</v>
      </c>
      <c r="B5802" t="str">
        <f>"1551765229655839"</f>
        <v>1551765229655839</v>
      </c>
      <c r="C5802" t="s">
        <v>40</v>
      </c>
      <c r="D5802">
        <v>4.50495</v>
      </c>
      <c r="E5802">
        <v>0.49954979999999899</v>
      </c>
      <c r="F5802" t="s">
        <v>42</v>
      </c>
      <c r="G5802">
        <v>-268.47710000000001</v>
      </c>
      <c r="H5802" s="1">
        <v>-2.6633180000000001E-6</v>
      </c>
      <c r="I5802">
        <v>-60.262909999999998</v>
      </c>
      <c r="J5802">
        <v>-281.7713</v>
      </c>
      <c r="K5802">
        <v>1.113297</v>
      </c>
      <c r="L5802">
        <v>-60.89011</v>
      </c>
      <c r="M5802">
        <v>0.99574549999999995</v>
      </c>
      <c r="N5802">
        <v>-1.4643059999999999E-2</v>
      </c>
      <c r="O5802">
        <v>-9.0976409999999994E-2</v>
      </c>
      <c r="P5802">
        <v>0.99749580000000004</v>
      </c>
      <c r="Q5802">
        <v>-5.2986409999999998E-2</v>
      </c>
      <c r="R5802">
        <v>4.6848559999999997E-2</v>
      </c>
      <c r="S5802">
        <v>2.9879150000000001</v>
      </c>
      <c r="T5802">
        <v>-0.24794649999999999</v>
      </c>
      <c r="U5802">
        <v>0.13769529999999999</v>
      </c>
      <c r="V5802">
        <v>-0.137048</v>
      </c>
      <c r="W5802">
        <v>-3.9776430000000002E-2</v>
      </c>
      <c r="X5802">
        <v>0.98976549999999996</v>
      </c>
      <c r="Y5802">
        <v>-0.13597329999999999</v>
      </c>
      <c r="Z5802">
        <v>1.282555E-2</v>
      </c>
      <c r="AA5802">
        <v>0.99062950000000005</v>
      </c>
      <c r="AB5802">
        <v>25</v>
      </c>
      <c r="AC5802">
        <v>13.294199999999901</v>
      </c>
      <c r="AD5802">
        <v>-1.1132996633179999</v>
      </c>
      <c r="AE5802">
        <v>0.62720000000000198</v>
      </c>
      <c r="AF5802">
        <v>-1.8214413330935399</v>
      </c>
      <c r="AG5802">
        <v>-1.1132996633179999</v>
      </c>
      <c r="AH5802">
        <v>13.090393056272999</v>
      </c>
      <c r="AI5802">
        <v>94.814974484837407</v>
      </c>
      <c r="AJ5802">
        <v>97.921466653333397</v>
      </c>
      <c r="AK5802">
        <v>13.2633131244786</v>
      </c>
      <c r="AL5802">
        <v>92.279622883210706</v>
      </c>
      <c r="AM5802">
        <v>97.883340735699406</v>
      </c>
      <c r="AN5802">
        <v>1.00000003183889</v>
      </c>
    </row>
    <row r="5803" spans="1:40" x14ac:dyDescent="0.25">
      <c r="A5803" t="str">
        <f>"20190305135349677"</f>
        <v>20190305135349677</v>
      </c>
      <c r="B5803" t="str">
        <f>"1551765229665599"</f>
        <v>1551765229665599</v>
      </c>
      <c r="C5803" t="s">
        <v>40</v>
      </c>
      <c r="D5803">
        <v>4.4938960000000003</v>
      </c>
      <c r="E5803">
        <v>0.49982579999999999</v>
      </c>
      <c r="F5803" t="s">
        <v>91</v>
      </c>
      <c r="G5803">
        <v>-268.27690000000001</v>
      </c>
      <c r="H5803" s="1">
        <v>-2.5781470000000002E-6</v>
      </c>
      <c r="I5803">
        <v>-60.259059999999998</v>
      </c>
      <c r="J5803">
        <v>-281.63529999999997</v>
      </c>
      <c r="K5803">
        <v>1.1130910000000001</v>
      </c>
      <c r="L5803">
        <v>-60.899349999999998</v>
      </c>
      <c r="M5803">
        <v>0.99598509999999996</v>
      </c>
      <c r="N5803">
        <v>-1.4596049999999999E-2</v>
      </c>
      <c r="O5803">
        <v>-8.832131E-2</v>
      </c>
      <c r="P5803">
        <v>0.99746849999999998</v>
      </c>
      <c r="Q5803">
        <v>-5.2337799999999997E-2</v>
      </c>
      <c r="R5803">
        <v>4.8140879999999997E-2</v>
      </c>
      <c r="S5803">
        <v>2.9878849999999999</v>
      </c>
      <c r="T5803">
        <v>-0.24650349999999999</v>
      </c>
      <c r="U5803">
        <v>0.13970949999999999</v>
      </c>
      <c r="V5803">
        <v>-0.13572210000000001</v>
      </c>
      <c r="W5803">
        <v>-3.9085679999999998E-2</v>
      </c>
      <c r="X5803">
        <v>0.98997570000000001</v>
      </c>
      <c r="Y5803">
        <v>-0.13402139999999901</v>
      </c>
      <c r="Z5803">
        <v>1.2476299999999999E-2</v>
      </c>
      <c r="AA5803">
        <v>0.99089989999999994</v>
      </c>
      <c r="AB5803">
        <v>25</v>
      </c>
      <c r="AC5803">
        <v>13.3583999999999</v>
      </c>
      <c r="AD5803">
        <v>-1.1130935781469999</v>
      </c>
      <c r="AE5803">
        <v>0.64029000000000003</v>
      </c>
      <c r="AF5803">
        <v>-1.8052390562062499</v>
      </c>
      <c r="AG5803">
        <v>-1.1130935781469999</v>
      </c>
      <c r="AH5803">
        <v>13.158476026195</v>
      </c>
      <c r="AI5803">
        <v>94.790556347465099</v>
      </c>
      <c r="AJ5803">
        <v>97.811762180118293</v>
      </c>
      <c r="AK5803">
        <v>13.3282915895367</v>
      </c>
      <c r="AL5803">
        <v>92.240015018761895</v>
      </c>
      <c r="AM5803">
        <v>97.806379526157599</v>
      </c>
      <c r="AN5803">
        <v>1.0000000326999801</v>
      </c>
    </row>
    <row r="5804" spans="1:40" x14ac:dyDescent="0.25">
      <c r="A5804" t="str">
        <f>"20190305135349689"</f>
        <v>20190305135349689</v>
      </c>
      <c r="B5804" t="str">
        <f>"1551765229686094"</f>
        <v>1551765229686094</v>
      </c>
      <c r="C5804" t="s">
        <v>40</v>
      </c>
      <c r="D5804">
        <v>4.4707689999999998</v>
      </c>
      <c r="E5804">
        <v>0.50050569999999905</v>
      </c>
      <c r="F5804" t="s">
        <v>91</v>
      </c>
      <c r="G5804">
        <v>-268.05509999999998</v>
      </c>
      <c r="H5804" s="1">
        <v>-2.4833340000000001E-6</v>
      </c>
      <c r="I5804">
        <v>-60.257100000000001</v>
      </c>
      <c r="J5804">
        <v>-281.50639999999999</v>
      </c>
      <c r="K5804">
        <v>1.1128979999999999</v>
      </c>
      <c r="L5804">
        <v>-60.907989999999998</v>
      </c>
      <c r="M5804">
        <v>0.99619899999999995</v>
      </c>
      <c r="N5804">
        <v>-1.4553139999999999E-2</v>
      </c>
      <c r="O5804">
        <v>-8.5882500000000001E-2</v>
      </c>
      <c r="P5804">
        <v>0.99740519999999999</v>
      </c>
      <c r="Q5804">
        <v>-5.2128960000000002E-2</v>
      </c>
      <c r="R5804">
        <v>4.965601E-2</v>
      </c>
      <c r="S5804">
        <v>2.9879760000000002</v>
      </c>
      <c r="T5804">
        <v>-0.24490899999999999</v>
      </c>
      <c r="U5804">
        <v>0.14129639999999999</v>
      </c>
      <c r="V5804">
        <v>-0.13482450000000001</v>
      </c>
      <c r="W5804">
        <v>-3.8841380000000002E-2</v>
      </c>
      <c r="X5804">
        <v>0.99010799999999999</v>
      </c>
      <c r="Y5804">
        <v>-0.13214119999999999</v>
      </c>
      <c r="Z5804">
        <v>1.2140089999999999E-2</v>
      </c>
      <c r="AA5804">
        <v>0.99115660000000005</v>
      </c>
      <c r="AB5804">
        <v>25</v>
      </c>
      <c r="AC5804">
        <v>13.4513</v>
      </c>
      <c r="AD5804">
        <v>-1.1129004833339999</v>
      </c>
      <c r="AE5804">
        <v>0.65089000000000397</v>
      </c>
      <c r="AF5804">
        <v>-1.7916030529237801</v>
      </c>
      <c r="AG5804">
        <v>-1.1129004833339999</v>
      </c>
      <c r="AH5804">
        <v>13.2551627187457</v>
      </c>
      <c r="AI5804">
        <v>94.756236817075902</v>
      </c>
      <c r="AJ5804">
        <v>97.697600496750596</v>
      </c>
      <c r="AK5804">
        <v>13.421912221642501</v>
      </c>
      <c r="AL5804">
        <v>92.226006928543299</v>
      </c>
      <c r="AM5804">
        <v>97.754358587905799</v>
      </c>
      <c r="AN5804">
        <v>1.00000007513227</v>
      </c>
    </row>
    <row r="5805" spans="1:40" x14ac:dyDescent="0.25">
      <c r="A5805" t="str">
        <f>"20190305135349701"</f>
        <v>20190305135349701</v>
      </c>
      <c r="B5805" t="str">
        <f>"1551765229695856"</f>
        <v>1551765229695856</v>
      </c>
      <c r="C5805" t="s">
        <v>40</v>
      </c>
      <c r="D5805">
        <v>4.4733409999999996</v>
      </c>
      <c r="E5805">
        <v>0.5008224</v>
      </c>
      <c r="F5805" t="s">
        <v>91</v>
      </c>
      <c r="G5805">
        <v>-267.87689999999998</v>
      </c>
      <c r="H5805" s="1">
        <v>-2.4050010000000001E-6</v>
      </c>
      <c r="I5805">
        <v>-60.26773</v>
      </c>
      <c r="J5805">
        <v>-281.36009999999999</v>
      </c>
      <c r="K5805">
        <v>1.112681</v>
      </c>
      <c r="L5805">
        <v>-60.917630000000003</v>
      </c>
      <c r="M5805">
        <v>0.9964191</v>
      </c>
      <c r="N5805">
        <v>-1.450651E-2</v>
      </c>
      <c r="O5805">
        <v>-8.329831E-2</v>
      </c>
      <c r="P5805">
        <v>0.99732860000000001</v>
      </c>
      <c r="Q5805">
        <v>-5.1715509999999999E-2</v>
      </c>
      <c r="R5805">
        <v>5.158658E-2</v>
      </c>
      <c r="S5805">
        <v>2.9880680000000002</v>
      </c>
      <c r="T5805">
        <v>-0.24398619999999999</v>
      </c>
      <c r="U5805">
        <v>0.14035029999999901</v>
      </c>
      <c r="V5805">
        <v>-0.1341994</v>
      </c>
      <c r="W5805">
        <v>-3.839219E-2</v>
      </c>
      <c r="X5805">
        <v>0.99021040000000005</v>
      </c>
      <c r="Y5805">
        <v>-0.1292777</v>
      </c>
      <c r="Z5805">
        <v>1.178381E-2</v>
      </c>
      <c r="AA5805">
        <v>0.99153840000000004</v>
      </c>
      <c r="AB5805">
        <v>25</v>
      </c>
      <c r="AC5805">
        <v>13.4832</v>
      </c>
      <c r="AD5805">
        <v>-1.1126834050009999</v>
      </c>
      <c r="AE5805">
        <v>0.64989999999999504</v>
      </c>
      <c r="AF5805">
        <v>-1.7589359574285</v>
      </c>
      <c r="AG5805">
        <v>-1.1126834050009999</v>
      </c>
      <c r="AH5805">
        <v>13.291880106165401</v>
      </c>
      <c r="AI5805">
        <v>94.743993627009004</v>
      </c>
      <c r="AJ5805">
        <v>97.538244257737404</v>
      </c>
      <c r="AK5805">
        <v>13.4538469152424</v>
      </c>
      <c r="AL5805">
        <v>92.200251109886906</v>
      </c>
      <c r="AM5805">
        <v>97.718052114369399</v>
      </c>
      <c r="AN5805">
        <v>1.0000000377407501</v>
      </c>
    </row>
    <row r="5806" spans="1:40" x14ac:dyDescent="0.25">
      <c r="A5806" t="str">
        <f>"20190305135349712"</f>
        <v>20190305135349712</v>
      </c>
      <c r="B5806" t="str">
        <f>"1551765229705614"</f>
        <v>1551765229705614</v>
      </c>
      <c r="C5806" t="s">
        <v>40</v>
      </c>
      <c r="D5806">
        <v>4.5066699999999997</v>
      </c>
      <c r="E5806">
        <v>0.5008224</v>
      </c>
      <c r="F5806" t="s">
        <v>42</v>
      </c>
      <c r="G5806">
        <v>-267.6576</v>
      </c>
      <c r="H5806" s="1">
        <v>-2.312426E-6</v>
      </c>
      <c r="I5806">
        <v>-60.25911</v>
      </c>
      <c r="J5806">
        <v>-281.23939999999999</v>
      </c>
      <c r="K5806">
        <v>1.112503</v>
      </c>
      <c r="L5806">
        <v>-60.925379999999997</v>
      </c>
      <c r="M5806">
        <v>0.99658270000000004</v>
      </c>
      <c r="N5806">
        <v>-1.446997E-2</v>
      </c>
      <c r="O5806">
        <v>-8.1323220000000002E-2</v>
      </c>
      <c r="P5806">
        <v>0.99726800000000004</v>
      </c>
      <c r="Q5806">
        <v>-5.1344649999999999E-2</v>
      </c>
      <c r="R5806">
        <v>5.3107149999999999E-2</v>
      </c>
      <c r="S5806">
        <v>2.9880369999999998</v>
      </c>
      <c r="T5806">
        <v>-0.2426362</v>
      </c>
      <c r="U5806">
        <v>0.1435852</v>
      </c>
      <c r="V5806">
        <v>-0.13376840000000001</v>
      </c>
      <c r="W5806">
        <v>-3.7991959999999998E-2</v>
      </c>
      <c r="X5806">
        <v>0.9902841</v>
      </c>
      <c r="Y5806">
        <v>-0.12839929999999999</v>
      </c>
      <c r="Z5806">
        <v>1.1544789999999999E-2</v>
      </c>
      <c r="AA5806">
        <v>0.99165530000000002</v>
      </c>
      <c r="AB5806">
        <v>25</v>
      </c>
      <c r="AC5806">
        <v>13.5817999999999</v>
      </c>
      <c r="AD5806">
        <v>-1.112505312426</v>
      </c>
      <c r="AE5806">
        <v>0.66627000000000403</v>
      </c>
      <c r="AF5806">
        <v>-1.75693427306765</v>
      </c>
      <c r="AG5806">
        <v>-1.112505312426</v>
      </c>
      <c r="AH5806">
        <v>13.3929714915884</v>
      </c>
      <c r="AI5806">
        <v>94.708293907652205</v>
      </c>
      <c r="AJ5806">
        <v>97.473573684093097</v>
      </c>
      <c r="AK5806">
        <v>13.553456071591301</v>
      </c>
      <c r="AL5806">
        <v>92.177302990197305</v>
      </c>
      <c r="AM5806">
        <v>97.692996150126802</v>
      </c>
      <c r="AN5806">
        <v>0.99999998628800502</v>
      </c>
    </row>
    <row r="5807" spans="1:40" x14ac:dyDescent="0.25">
      <c r="A5807" t="str">
        <f>"20190305135349723"</f>
        <v>20190305135349723</v>
      </c>
      <c r="B5807" t="str">
        <f>"1551765229716351"</f>
        <v>1551765229716351</v>
      </c>
      <c r="C5807" t="s">
        <v>40</v>
      </c>
      <c r="D5807">
        <v>4.481026</v>
      </c>
      <c r="E5807">
        <v>0.51256570000000001</v>
      </c>
      <c r="F5807" t="s">
        <v>42</v>
      </c>
      <c r="G5807">
        <v>-267.47680000000003</v>
      </c>
      <c r="H5807" s="1">
        <v>-2.2377120000000001E-6</v>
      </c>
      <c r="I5807">
        <v>-60.243279999999999</v>
      </c>
      <c r="J5807">
        <v>-281.1157</v>
      </c>
      <c r="K5807">
        <v>1.112322</v>
      </c>
      <c r="L5807">
        <v>-60.93329</v>
      </c>
      <c r="M5807">
        <v>0.99674079999999998</v>
      </c>
      <c r="N5807">
        <v>-1.44338E-2</v>
      </c>
      <c r="O5807">
        <v>-7.9370330000000003E-2</v>
      </c>
      <c r="P5807">
        <v>0.99716539999999998</v>
      </c>
      <c r="Q5807">
        <v>-5.1221040000000002E-2</v>
      </c>
      <c r="R5807">
        <v>5.5118180000000003E-2</v>
      </c>
      <c r="S5807">
        <v>2.9878849999999999</v>
      </c>
      <c r="T5807">
        <v>-0.2415273</v>
      </c>
      <c r="U5807">
        <v>0.14807129999999999</v>
      </c>
      <c r="V5807">
        <v>-0.1338442</v>
      </c>
      <c r="W5807">
        <v>-3.7842399999999998E-2</v>
      </c>
      <c r="X5807">
        <v>0.99027960000000004</v>
      </c>
      <c r="Y5807">
        <v>-0.12795609999999999</v>
      </c>
      <c r="Z5807">
        <v>1.1341840000000001E-2</v>
      </c>
      <c r="AA5807">
        <v>0.99171500000000001</v>
      </c>
      <c r="AB5807">
        <v>25</v>
      </c>
      <c r="AC5807">
        <v>13.6388999999999</v>
      </c>
      <c r="AD5807">
        <v>-1.112324237712</v>
      </c>
      <c r="AE5807">
        <v>0.69000999999999302</v>
      </c>
      <c r="AF5807">
        <v>-1.7588009826275</v>
      </c>
      <c r="AG5807">
        <v>-1.112324237712</v>
      </c>
      <c r="AH5807">
        <v>13.451847633708599</v>
      </c>
      <c r="AI5807">
        <v>94.687280649197305</v>
      </c>
      <c r="AJ5807">
        <v>97.449048093032104</v>
      </c>
      <c r="AK5807">
        <v>13.6118643420659</v>
      </c>
      <c r="AL5807">
        <v>92.168727633326895</v>
      </c>
      <c r="AM5807">
        <v>97.697337705495897</v>
      </c>
      <c r="AN5807">
        <v>1.00000000164378</v>
      </c>
    </row>
    <row r="5808" spans="1:40" x14ac:dyDescent="0.25">
      <c r="A5808" t="str">
        <f>"20190305135349734"</f>
        <v>20190305135349734</v>
      </c>
      <c r="B5808" t="str">
        <f>"1551765229726111"</f>
        <v>1551765229726111</v>
      </c>
      <c r="C5808" t="s">
        <v>40</v>
      </c>
      <c r="D5808">
        <v>4.4714369999999999</v>
      </c>
      <c r="E5808">
        <v>0.51195440000000003</v>
      </c>
      <c r="F5808" t="s">
        <v>42</v>
      </c>
      <c r="G5808">
        <v>-267.00920000000002</v>
      </c>
      <c r="H5808" s="1">
        <v>-2.082256E-6</v>
      </c>
      <c r="I5808">
        <v>-60.646999999999998</v>
      </c>
      <c r="J5808">
        <v>-280.99990000000003</v>
      </c>
      <c r="K5808">
        <v>1.1121509999999999</v>
      </c>
      <c r="L5808">
        <v>-60.940550000000002</v>
      </c>
      <c r="M5808">
        <v>0.99686989999999998</v>
      </c>
      <c r="N5808">
        <v>-1.4401809999999999E-2</v>
      </c>
      <c r="O5808">
        <v>-7.7737749999999994E-2</v>
      </c>
      <c r="P5808">
        <v>0.99711170000000005</v>
      </c>
      <c r="Q5808">
        <v>-5.0761939999999998E-2</v>
      </c>
      <c r="R5808">
        <v>5.6497279999999997E-2</v>
      </c>
      <c r="S5808">
        <v>2.993042</v>
      </c>
      <c r="T5808">
        <v>-0.23600750000000001</v>
      </c>
      <c r="U5808">
        <v>6.0729980000000003E-2</v>
      </c>
      <c r="V5808">
        <v>-0.13361300000000001</v>
      </c>
      <c r="W5808">
        <v>-3.735401E-2</v>
      </c>
      <c r="X5808">
        <v>0.99032940000000003</v>
      </c>
      <c r="Y5808">
        <v>-9.7436010000000003E-2</v>
      </c>
      <c r="Z5808">
        <v>9.5356859999999998E-3</v>
      </c>
      <c r="AA5808">
        <v>0.99519610000000003</v>
      </c>
      <c r="AB5808">
        <v>25</v>
      </c>
      <c r="AC5808">
        <v>13.9907</v>
      </c>
      <c r="AD5808">
        <v>-1.112153082256</v>
      </c>
      <c r="AE5808">
        <v>0.29355000000000298</v>
      </c>
      <c r="AF5808">
        <v>-1.3717156488941</v>
      </c>
      <c r="AG5808">
        <v>-1.112153082256</v>
      </c>
      <c r="AH5808">
        <v>13.8381258442944</v>
      </c>
      <c r="AI5808">
        <v>94.572600571898604</v>
      </c>
      <c r="AJ5808">
        <v>95.6609982589206</v>
      </c>
      <c r="AK5808">
        <v>13.9503482100742</v>
      </c>
      <c r="AL5808">
        <v>92.140725069604898</v>
      </c>
      <c r="AM5808">
        <v>97.683818672427904</v>
      </c>
      <c r="AN5808">
        <v>1.0000000381682099</v>
      </c>
    </row>
    <row r="5809" spans="1:40" x14ac:dyDescent="0.25">
      <c r="A5809" t="str">
        <f>"20190305135349743"</f>
        <v>20190305135349743</v>
      </c>
      <c r="B5809" t="str">
        <f>"1551765229735870"</f>
        <v>1551765229735870</v>
      </c>
      <c r="C5809" t="s">
        <v>40</v>
      </c>
      <c r="D5809">
        <v>4.4857139999999998</v>
      </c>
      <c r="E5809">
        <v>0.51215949999999999</v>
      </c>
      <c r="F5809" t="s">
        <v>91</v>
      </c>
      <c r="G5809">
        <v>-266.90559999999999</v>
      </c>
      <c r="H5809" s="1">
        <v>-2.0285120000000001E-6</v>
      </c>
      <c r="I5809">
        <v>-60.612070000000003</v>
      </c>
      <c r="J5809">
        <v>-280.88350000000003</v>
      </c>
      <c r="K5809">
        <v>1.1119790000000001</v>
      </c>
      <c r="L5809">
        <v>-60.947809999999997</v>
      </c>
      <c r="M5809">
        <v>0.99699439999999995</v>
      </c>
      <c r="N5809">
        <v>-1.4370539999999999E-2</v>
      </c>
      <c r="O5809">
        <v>-7.6131149999999995E-2</v>
      </c>
      <c r="P5809">
        <v>0.99702970000000002</v>
      </c>
      <c r="Q5809">
        <v>-5.0230669999999998E-2</v>
      </c>
      <c r="R5809">
        <v>5.838608E-2</v>
      </c>
      <c r="S5809">
        <v>2.9927060000000001</v>
      </c>
      <c r="T5809">
        <v>-0.23614779999999999</v>
      </c>
      <c r="U5809">
        <v>6.9732669999999997E-2</v>
      </c>
      <c r="V5809">
        <v>-0.1339137</v>
      </c>
      <c r="W5809">
        <v>-3.6796700000000002E-2</v>
      </c>
      <c r="X5809">
        <v>0.99030960000000001</v>
      </c>
      <c r="Y5809">
        <v>-9.8824129999999996E-2</v>
      </c>
      <c r="Z5809">
        <v>9.5049829999999998E-3</v>
      </c>
      <c r="AA5809">
        <v>0.99505949999999999</v>
      </c>
      <c r="AB5809">
        <v>25</v>
      </c>
      <c r="AC5809">
        <v>13.9779</v>
      </c>
      <c r="AD5809">
        <v>-1.111981028512</v>
      </c>
      <c r="AE5809">
        <v>0.33574000000000098</v>
      </c>
      <c r="AF5809">
        <v>-1.3902355214955999</v>
      </c>
      <c r="AG5809">
        <v>-1.111981028512</v>
      </c>
      <c r="AH5809">
        <v>13.8243234061165</v>
      </c>
      <c r="AI5809">
        <v>94.575793392246098</v>
      </c>
      <c r="AJ5809">
        <v>95.742611913959394</v>
      </c>
      <c r="AK5809">
        <v>13.938478189884901</v>
      </c>
      <c r="AL5809">
        <v>92.108771692228899</v>
      </c>
      <c r="AM5809">
        <v>97.701056173700294</v>
      </c>
      <c r="AN5809">
        <v>0.99999999001536999</v>
      </c>
    </row>
    <row r="5810" spans="1:40" x14ac:dyDescent="0.25">
      <c r="A5810" t="str">
        <f>"20190305135349753"</f>
        <v>20190305135349753</v>
      </c>
      <c r="B5810" t="str">
        <f>"1551765229745630"</f>
        <v>1551765229745630</v>
      </c>
      <c r="C5810" t="s">
        <v>40</v>
      </c>
      <c r="D5810">
        <v>4.4642850000000003</v>
      </c>
      <c r="E5810">
        <v>0.51243289999999997</v>
      </c>
      <c r="F5810" t="s">
        <v>42</v>
      </c>
      <c r="G5810">
        <v>-266.45760000000001</v>
      </c>
      <c r="H5810" s="1">
        <v>-1.830797E-6</v>
      </c>
      <c r="I5810">
        <v>-60.591200000000001</v>
      </c>
      <c r="J5810">
        <v>-280.7765</v>
      </c>
      <c r="K5810">
        <v>1.11182</v>
      </c>
      <c r="L5810">
        <v>-60.954410000000003</v>
      </c>
      <c r="M5810">
        <v>0.99709179999999997</v>
      </c>
      <c r="N5810">
        <v>-1.434332E-2</v>
      </c>
      <c r="O5810">
        <v>-7.4850310000000003E-2</v>
      </c>
      <c r="P5810">
        <v>0.99696010000000002</v>
      </c>
      <c r="Q5810">
        <v>-4.958481E-2</v>
      </c>
      <c r="R5810">
        <v>6.0102269999999999E-2</v>
      </c>
      <c r="S5810">
        <v>2.9929809999999999</v>
      </c>
      <c r="T5810">
        <v>-0.23070669999999999</v>
      </c>
      <c r="U5810">
        <v>7.3974609999999996E-2</v>
      </c>
      <c r="V5810">
        <v>-0.13436699999999999</v>
      </c>
      <c r="W5810">
        <v>-3.6125879999999999E-2</v>
      </c>
      <c r="X5810">
        <v>0.99027290000000001</v>
      </c>
      <c r="Y5810">
        <v>-9.8979259999999999E-2</v>
      </c>
      <c r="Z5810">
        <v>9.2046039999999999E-3</v>
      </c>
      <c r="AA5810">
        <v>0.99504689999999996</v>
      </c>
      <c r="AB5810">
        <v>25</v>
      </c>
      <c r="AC5810">
        <v>14.3188999999999</v>
      </c>
      <c r="AD5810">
        <v>-1.111821830797</v>
      </c>
      <c r="AE5810">
        <v>0.36320999999999498</v>
      </c>
      <c r="AF5810">
        <v>-1.4254862395561501</v>
      </c>
      <c r="AG5810">
        <v>-1.111821830797</v>
      </c>
      <c r="AH5810">
        <v>14.1661807871126</v>
      </c>
      <c r="AI5810">
        <v>94.465158772527502</v>
      </c>
      <c r="AJ5810">
        <v>95.746103496861394</v>
      </c>
      <c r="AK5810">
        <v>14.281065677874301</v>
      </c>
      <c r="AL5810">
        <v>92.070310955899799</v>
      </c>
      <c r="AM5810">
        <v>97.727092875616904</v>
      </c>
      <c r="AN5810">
        <v>0.99999999318459198</v>
      </c>
    </row>
    <row r="5811" spans="1:40" x14ac:dyDescent="0.25">
      <c r="A5811" t="str">
        <f>"20190305135349764"</f>
        <v>20190305135349764</v>
      </c>
      <c r="B5811" t="str">
        <f>"1551765229756366"</f>
        <v>1551765229756366</v>
      </c>
      <c r="C5811" t="s">
        <v>40</v>
      </c>
      <c r="D5811">
        <v>4.5170560000000002</v>
      </c>
      <c r="E5811">
        <v>0.51252169999999997</v>
      </c>
      <c r="F5811" t="s">
        <v>42</v>
      </c>
      <c r="G5811">
        <v>-266.27719999999999</v>
      </c>
      <c r="H5811" s="1">
        <v>-1.750723E-6</v>
      </c>
      <c r="I5811">
        <v>-60.581209999999999</v>
      </c>
      <c r="J5811">
        <v>-280.65410000000003</v>
      </c>
      <c r="K5811">
        <v>1.111639</v>
      </c>
      <c r="L5811">
        <v>-60.961939999999998</v>
      </c>
      <c r="M5811">
        <v>0.99719939999999996</v>
      </c>
      <c r="N5811">
        <v>-1.431292E-2</v>
      </c>
      <c r="O5811">
        <v>-7.3406979999999997E-2</v>
      </c>
      <c r="P5811">
        <v>0.99689070000000002</v>
      </c>
      <c r="Q5811">
        <v>-4.9144939999999998E-2</v>
      </c>
      <c r="R5811">
        <v>6.1592139999999997E-2</v>
      </c>
      <c r="S5811">
        <v>2.993134</v>
      </c>
      <c r="T5811">
        <v>-0.2295161</v>
      </c>
      <c r="U5811">
        <v>7.7026369999999997E-2</v>
      </c>
      <c r="V5811">
        <v>-0.134434</v>
      </c>
      <c r="W5811">
        <v>-3.5653259999999999E-2</v>
      </c>
      <c r="X5811">
        <v>0.99028090000000002</v>
      </c>
      <c r="Y5811">
        <v>-9.8560980000000006E-2</v>
      </c>
      <c r="Z5811">
        <v>9.0469379999999992E-3</v>
      </c>
      <c r="AA5811">
        <v>0.99508989999999997</v>
      </c>
      <c r="AB5811">
        <v>25</v>
      </c>
      <c r="AC5811">
        <v>14.376899999999999</v>
      </c>
      <c r="AD5811">
        <v>-1.1116407507229999</v>
      </c>
      <c r="AE5811">
        <v>0.38073000000000601</v>
      </c>
      <c r="AF5811">
        <v>-1.4266521041395499</v>
      </c>
      <c r="AG5811">
        <v>-1.1116407507229999</v>
      </c>
      <c r="AH5811">
        <v>14.225166282532999</v>
      </c>
      <c r="AI5811">
        <v>94.446144481674594</v>
      </c>
      <c r="AJ5811">
        <v>95.727084513260294</v>
      </c>
      <c r="AK5811">
        <v>14.3396805107585</v>
      </c>
      <c r="AL5811">
        <v>92.043214439198593</v>
      </c>
      <c r="AM5811">
        <v>97.730837586801201</v>
      </c>
      <c r="AN5811">
        <v>0.99999995810471798</v>
      </c>
    </row>
    <row r="5812" spans="1:40" x14ac:dyDescent="0.25">
      <c r="A5812" t="str">
        <f>"20190305135349776"</f>
        <v>20190305135349776</v>
      </c>
      <c r="B5812" t="str">
        <f>"1551765229766127"</f>
        <v>1551765229766127</v>
      </c>
      <c r="C5812" t="s">
        <v>40</v>
      </c>
      <c r="D5812">
        <v>4.4800360000000001</v>
      </c>
      <c r="E5812">
        <v>0.51269330000000002</v>
      </c>
      <c r="F5812" t="s">
        <v>91</v>
      </c>
      <c r="G5812">
        <v>-266.1277</v>
      </c>
      <c r="H5812" s="1">
        <v>-1.6834780000000001E-6</v>
      </c>
      <c r="I5812">
        <v>-60.569519999999997</v>
      </c>
      <c r="J5812">
        <v>-280.52690000000001</v>
      </c>
      <c r="K5812">
        <v>1.111448</v>
      </c>
      <c r="L5812">
        <v>-60.969700000000003</v>
      </c>
      <c r="M5812">
        <v>0.99729230000000002</v>
      </c>
      <c r="N5812">
        <v>-1.428342E-2</v>
      </c>
      <c r="O5812">
        <v>-7.2139990000000001E-2</v>
      </c>
      <c r="P5812">
        <v>0.99679379999999995</v>
      </c>
      <c r="Q5812">
        <v>-4.891061E-2</v>
      </c>
      <c r="R5812">
        <v>6.3324430000000001E-2</v>
      </c>
      <c r="S5812">
        <v>2.9930729999999999</v>
      </c>
      <c r="T5812">
        <v>-0.22904569999999999</v>
      </c>
      <c r="U5812">
        <v>8.0841060000000006E-2</v>
      </c>
      <c r="V5812">
        <v>-0.13491549999999999</v>
      </c>
      <c r="W5812">
        <v>-3.5386670000000002E-2</v>
      </c>
      <c r="X5812">
        <v>0.99022500000000002</v>
      </c>
      <c r="Y5812">
        <v>-9.856898E-2</v>
      </c>
      <c r="Z5812">
        <v>8.9503999999999903E-3</v>
      </c>
      <c r="AA5812">
        <v>0.99508989999999997</v>
      </c>
      <c r="AB5812">
        <v>25</v>
      </c>
      <c r="AC5812">
        <v>14.3992</v>
      </c>
      <c r="AD5812">
        <v>-1.1114496834780001</v>
      </c>
      <c r="AE5812">
        <v>0.40018000000000598</v>
      </c>
      <c r="AF5812">
        <v>-1.42949080157284</v>
      </c>
      <c r="AG5812">
        <v>-1.1114496834780001</v>
      </c>
      <c r="AH5812">
        <v>14.247979129616899</v>
      </c>
      <c r="AI5812">
        <v>94.438277208255201</v>
      </c>
      <c r="AJ5812">
        <v>95.729277318095399</v>
      </c>
      <c r="AK5812">
        <v>14.362578933766899</v>
      </c>
      <c r="AL5812">
        <v>92.027930268274702</v>
      </c>
      <c r="AM5812">
        <v>97.758623003983601</v>
      </c>
      <c r="AN5812">
        <v>0.99999997958946896</v>
      </c>
    </row>
    <row r="5813" spans="1:40" x14ac:dyDescent="0.25">
      <c r="A5813" t="str">
        <f>"20190305135349787"</f>
        <v>20190305135349787</v>
      </c>
      <c r="B5813" t="str">
        <f>"1551765229775887"</f>
        <v>1551765229775887</v>
      </c>
      <c r="C5813" t="s">
        <v>40</v>
      </c>
      <c r="D5813">
        <v>4.510675</v>
      </c>
      <c r="E5813">
        <v>0.51303429999999905</v>
      </c>
      <c r="F5813" t="s">
        <v>91</v>
      </c>
      <c r="G5813">
        <v>-265.93079999999998</v>
      </c>
      <c r="H5813" s="1">
        <v>-1.5954880000000001E-6</v>
      </c>
      <c r="I5813">
        <v>-60.556190000000001</v>
      </c>
      <c r="J5813">
        <v>-280.40589999999997</v>
      </c>
      <c r="K5813">
        <v>1.111267</v>
      </c>
      <c r="L5813">
        <v>-60.977080000000001</v>
      </c>
      <c r="M5813">
        <v>0.99737609999999999</v>
      </c>
      <c r="N5813">
        <v>-1.425624E-2</v>
      </c>
      <c r="O5813">
        <v>-7.0976449999999996E-2</v>
      </c>
      <c r="P5813">
        <v>0.99669260000000004</v>
      </c>
      <c r="Q5813">
        <v>-4.8591839999999997E-2</v>
      </c>
      <c r="R5813">
        <v>6.5137029999999999E-2</v>
      </c>
      <c r="S5813">
        <v>2.9930729999999999</v>
      </c>
      <c r="T5813">
        <v>-0.22791339999999999</v>
      </c>
      <c r="U5813">
        <v>8.4777829999999998E-2</v>
      </c>
      <c r="V5813">
        <v>-0.13557859999999999</v>
      </c>
      <c r="W5813">
        <v>-3.503767E-2</v>
      </c>
      <c r="X5813">
        <v>0.99014690000000005</v>
      </c>
      <c r="Y5813">
        <v>-9.872235E-2</v>
      </c>
      <c r="Z5813">
        <v>8.8404019999999903E-3</v>
      </c>
      <c r="AA5813">
        <v>0.99507579999999995</v>
      </c>
      <c r="AB5813">
        <v>25</v>
      </c>
      <c r="AC5813">
        <v>14.4750999999999</v>
      </c>
      <c r="AD5813">
        <v>-1.1112685954879999</v>
      </c>
      <c r="AE5813">
        <v>0.42089000000000698</v>
      </c>
      <c r="AF5813">
        <v>-1.43885080991486</v>
      </c>
      <c r="AG5813">
        <v>-1.1112685954879999</v>
      </c>
      <c r="AH5813">
        <v>14.3243564437927</v>
      </c>
      <c r="AI5813">
        <v>94.413937950581897</v>
      </c>
      <c r="AJ5813">
        <v>95.735997875549501</v>
      </c>
      <c r="AK5813">
        <v>14.4392658079743</v>
      </c>
      <c r="AL5813">
        <v>92.007921512523595</v>
      </c>
      <c r="AM5813">
        <v>97.796895632783603</v>
      </c>
      <c r="AN5813">
        <v>1.00000003933829</v>
      </c>
    </row>
    <row r="5814" spans="1:40" x14ac:dyDescent="0.25">
      <c r="A5814" t="str">
        <f>"20190305135349798"</f>
        <v>20190305135349798</v>
      </c>
      <c r="B5814" t="str">
        <f>"1551765229796382"</f>
        <v>1551765229796382</v>
      </c>
      <c r="C5814" t="s">
        <v>40</v>
      </c>
      <c r="D5814">
        <v>4.5360569999999996</v>
      </c>
      <c r="E5814">
        <v>0.51349820000000002</v>
      </c>
      <c r="F5814" t="s">
        <v>91</v>
      </c>
      <c r="G5814">
        <v>-265.7851</v>
      </c>
      <c r="H5814" s="1">
        <v>-1.5310959999999999E-6</v>
      </c>
      <c r="I5814">
        <v>-60.549169999999997</v>
      </c>
      <c r="J5814">
        <v>-280.27409999999998</v>
      </c>
      <c r="K5814">
        <v>1.1110819999999999</v>
      </c>
      <c r="L5814">
        <v>-60.985109999999999</v>
      </c>
      <c r="M5814">
        <v>0.99745220000000001</v>
      </c>
      <c r="N5814">
        <v>-1.4228940000000001E-2</v>
      </c>
      <c r="O5814">
        <v>-6.9904519999999998E-2</v>
      </c>
      <c r="P5814">
        <v>0.99655360000000004</v>
      </c>
      <c r="Q5814">
        <v>-4.9049290000000002E-2</v>
      </c>
      <c r="R5814">
        <v>6.6896919999999999E-2</v>
      </c>
      <c r="S5814">
        <v>2.9931030000000001</v>
      </c>
      <c r="T5814">
        <v>-0.2274939</v>
      </c>
      <c r="U5814">
        <v>8.7585449999999995E-2</v>
      </c>
      <c r="V5814">
        <v>-0.13627529999999999</v>
      </c>
      <c r="W5814">
        <v>-3.5462920000000002E-2</v>
      </c>
      <c r="X5814">
        <v>0.99003609999999997</v>
      </c>
      <c r="Y5814">
        <v>-9.858952E-2</v>
      </c>
      <c r="Z5814">
        <v>8.752091E-3</v>
      </c>
      <c r="AA5814">
        <v>0.99508969999999997</v>
      </c>
      <c r="AB5814">
        <v>25</v>
      </c>
      <c r="AC5814">
        <v>14.4889999999999</v>
      </c>
      <c r="AD5814">
        <v>-1.1110835310960001</v>
      </c>
      <c r="AE5814">
        <v>0.43594000000000199</v>
      </c>
      <c r="AF5814">
        <v>-1.43936589643114</v>
      </c>
      <c r="AG5814">
        <v>-1.1110835310960001</v>
      </c>
      <c r="AH5814">
        <v>14.3388272544657</v>
      </c>
      <c r="AI5814">
        <v>94.408798096246599</v>
      </c>
      <c r="AJ5814">
        <v>95.732285305109002</v>
      </c>
      <c r="AK5814">
        <v>14.453658631304799</v>
      </c>
      <c r="AL5814">
        <v>92.032301717572196</v>
      </c>
      <c r="AM5814">
        <v>97.837331237143601</v>
      </c>
      <c r="AN5814">
        <v>1.0000000276941099</v>
      </c>
    </row>
    <row r="5815" spans="1:40" x14ac:dyDescent="0.25">
      <c r="A5815" t="str">
        <f>"20190305135349812"</f>
        <v>20190305135349812</v>
      </c>
      <c r="B5815" t="str">
        <f>"1551765229806143"</f>
        <v>1551765229806143</v>
      </c>
      <c r="C5815" t="s">
        <v>40</v>
      </c>
      <c r="D5815">
        <v>4.5726180000000003</v>
      </c>
      <c r="E5815">
        <v>0.51355699999999904</v>
      </c>
      <c r="F5815" t="s">
        <v>91</v>
      </c>
      <c r="G5815">
        <v>-265.76870000000002</v>
      </c>
      <c r="H5815" s="1">
        <v>-1.525054E-6</v>
      </c>
      <c r="I5815">
        <v>-60.552889999999998</v>
      </c>
      <c r="J5815">
        <v>-280.12569999999999</v>
      </c>
      <c r="K5815">
        <v>1.110886</v>
      </c>
      <c r="L5815">
        <v>-60.994109999999999</v>
      </c>
      <c r="M5815">
        <v>0.99752870000000005</v>
      </c>
      <c r="N5815">
        <v>-1.41999E-2</v>
      </c>
      <c r="O5815">
        <v>-6.8810300000000005E-2</v>
      </c>
      <c r="P5815">
        <v>0.99642120000000001</v>
      </c>
      <c r="Q5815">
        <v>-4.9239289999999998E-2</v>
      </c>
      <c r="R5815">
        <v>6.8706039999999996E-2</v>
      </c>
      <c r="S5815">
        <v>2.993134</v>
      </c>
      <c r="T5815">
        <v>-0.22926769999999999</v>
      </c>
      <c r="U5815">
        <v>8.9172360000000006E-2</v>
      </c>
      <c r="V5815">
        <v>-0.1370025</v>
      </c>
      <c r="W5815">
        <v>-3.5618360000000002E-2</v>
      </c>
      <c r="X5815">
        <v>0.98993019999999998</v>
      </c>
      <c r="Y5815">
        <v>-9.802139E-2</v>
      </c>
      <c r="Z5815">
        <v>8.7291150000000008E-3</v>
      </c>
      <c r="AA5815">
        <v>0.99514599999999998</v>
      </c>
      <c r="AB5815">
        <v>25</v>
      </c>
      <c r="AC5815">
        <v>14.3569999999999</v>
      </c>
      <c r="AD5815">
        <v>-1.110887525054</v>
      </c>
      <c r="AE5815">
        <v>0.44121999999999401</v>
      </c>
      <c r="AF5815">
        <v>-1.4196913425545501</v>
      </c>
      <c r="AG5815">
        <v>-1.110887525054</v>
      </c>
      <c r="AH5815">
        <v>14.207618643342</v>
      </c>
      <c r="AI5815">
        <v>94.448770343191995</v>
      </c>
      <c r="AJ5815">
        <v>95.706318702534205</v>
      </c>
      <c r="AK5815">
        <v>14.3215230375852</v>
      </c>
      <c r="AL5815">
        <v>92.041213303298505</v>
      </c>
      <c r="AM5815">
        <v>97.879461660520704</v>
      </c>
      <c r="AN5815">
        <v>1.0000000767236801</v>
      </c>
    </row>
    <row r="5816" spans="1:40" x14ac:dyDescent="0.25">
      <c r="A5816" t="str">
        <f>"20190305135349823"</f>
        <v>20190305135349823</v>
      </c>
      <c r="B5816" t="str">
        <f>"1551765229815903"</f>
        <v>1551765229815903</v>
      </c>
      <c r="C5816" t="s">
        <v>40</v>
      </c>
      <c r="D5816">
        <v>4.5354519999999896</v>
      </c>
      <c r="E5816">
        <v>0.51364209999999999</v>
      </c>
      <c r="F5816" t="s">
        <v>42</v>
      </c>
      <c r="G5816">
        <v>-265.7484</v>
      </c>
      <c r="H5816" s="1">
        <v>-1.513423E-6</v>
      </c>
      <c r="I5816">
        <v>-60.541919999999998</v>
      </c>
      <c r="J5816">
        <v>-279.99079999999998</v>
      </c>
      <c r="K5816">
        <v>1.110716</v>
      </c>
      <c r="L5816">
        <v>-61.00235</v>
      </c>
      <c r="M5816">
        <v>0.99759039999999999</v>
      </c>
      <c r="N5816">
        <v>-1.4174930000000001E-2</v>
      </c>
      <c r="O5816">
        <v>-6.7916180000000007E-2</v>
      </c>
      <c r="P5816">
        <v>0.99632670000000001</v>
      </c>
      <c r="Q5816">
        <v>-4.8915840000000002E-2</v>
      </c>
      <c r="R5816">
        <v>7.0290649999999996E-2</v>
      </c>
      <c r="S5816">
        <v>2.9928889999999999</v>
      </c>
      <c r="T5816">
        <v>-0.2312506</v>
      </c>
      <c r="U5816">
        <v>9.4116210000000006E-2</v>
      </c>
      <c r="V5816">
        <v>-0.1377061</v>
      </c>
      <c r="W5816">
        <v>-3.526547E-2</v>
      </c>
      <c r="X5816">
        <v>0.98984519999999998</v>
      </c>
      <c r="Y5816">
        <v>-9.8764879999999999E-2</v>
      </c>
      <c r="Z5816">
        <v>8.7857119999999993E-3</v>
      </c>
      <c r="AA5816">
        <v>0.99507199999999996</v>
      </c>
      <c r="AB5816">
        <v>25</v>
      </c>
      <c r="AC5816">
        <v>14.2423999999999</v>
      </c>
      <c r="AD5816">
        <v>-1.1107175134230001</v>
      </c>
      <c r="AE5816">
        <v>0.460430000000002</v>
      </c>
      <c r="AF5816">
        <v>-1.4181371974677099</v>
      </c>
      <c r="AG5816">
        <v>-1.1107175134230001</v>
      </c>
      <c r="AH5816">
        <v>14.092613634286799</v>
      </c>
      <c r="AI5816">
        <v>94.483931493584194</v>
      </c>
      <c r="AJ5816">
        <v>95.746319742549204</v>
      </c>
      <c r="AK5816">
        <v>14.207271573062499</v>
      </c>
      <c r="AL5816">
        <v>92.020981496474903</v>
      </c>
      <c r="AM5816">
        <v>97.920087275206498</v>
      </c>
      <c r="AN5816">
        <v>1.0000000716572801</v>
      </c>
    </row>
    <row r="5817" spans="1:40" x14ac:dyDescent="0.25">
      <c r="A5817" t="str">
        <f>"20190305135349835"</f>
        <v>20190305135349835</v>
      </c>
      <c r="B5817" t="str">
        <f>"1551765229825662"</f>
        <v>1551765229825662</v>
      </c>
      <c r="C5817" t="s">
        <v>40</v>
      </c>
      <c r="D5817">
        <v>4.5503049999999998</v>
      </c>
      <c r="E5817">
        <v>0.51370509999999903</v>
      </c>
      <c r="F5817" t="s">
        <v>42</v>
      </c>
      <c r="G5817">
        <v>-265.59269999999998</v>
      </c>
      <c r="H5817" s="1">
        <v>-1.443469E-6</v>
      </c>
      <c r="I5817">
        <v>-60.529980000000002</v>
      </c>
      <c r="J5817">
        <v>-279.86660000000001</v>
      </c>
      <c r="K5817">
        <v>1.110582</v>
      </c>
      <c r="L5817">
        <v>-61.009920000000001</v>
      </c>
      <c r="M5817">
        <v>0.99763650000000004</v>
      </c>
      <c r="N5817">
        <v>-1.415377E-2</v>
      </c>
      <c r="O5817">
        <v>-6.7241209999999996E-2</v>
      </c>
      <c r="P5817">
        <v>0.9962799</v>
      </c>
      <c r="Q5817">
        <v>-4.8533119999999999E-2</v>
      </c>
      <c r="R5817">
        <v>7.1213979999999996E-2</v>
      </c>
      <c r="S5817">
        <v>2.9927980000000001</v>
      </c>
      <c r="T5817">
        <v>-0.23087579999999999</v>
      </c>
      <c r="U5817">
        <v>9.817505E-2</v>
      </c>
      <c r="V5817">
        <v>-0.13796720000000001</v>
      </c>
      <c r="W5817">
        <v>-3.4859399999999999E-2</v>
      </c>
      <c r="X5817">
        <v>0.98982320000000001</v>
      </c>
      <c r="Y5817">
        <v>-9.9441180000000004E-2</v>
      </c>
      <c r="Z5817">
        <v>8.7601299999999997E-3</v>
      </c>
      <c r="AA5817">
        <v>0.99500489999999997</v>
      </c>
      <c r="AB5817">
        <v>25</v>
      </c>
      <c r="AC5817">
        <v>14.273899999999999</v>
      </c>
      <c r="AD5817">
        <v>-1.1105834434690001</v>
      </c>
      <c r="AE5817">
        <v>0.47993999999999198</v>
      </c>
      <c r="AF5817">
        <v>-1.4300963529380699</v>
      </c>
      <c r="AG5817">
        <v>-1.1105834434690001</v>
      </c>
      <c r="AH5817">
        <v>14.123908529748901</v>
      </c>
      <c r="AI5817">
        <v>94.473221117941705</v>
      </c>
      <c r="AJ5817">
        <v>95.7816981855227</v>
      </c>
      <c r="AK5817">
        <v>14.2395001078095</v>
      </c>
      <c r="AL5817">
        <v>91.997701136201101</v>
      </c>
      <c r="AM5817">
        <v>97.935087307354806</v>
      </c>
      <c r="AN5817">
        <v>1.00000004665121</v>
      </c>
    </row>
    <row r="5818" spans="1:40" x14ac:dyDescent="0.25">
      <c r="A5818" t="str">
        <f>"20190305135349844"</f>
        <v>20190305135349844</v>
      </c>
      <c r="B5818" t="str">
        <f>"1551765229835423"</f>
        <v>1551765229835423</v>
      </c>
      <c r="C5818" t="s">
        <v>40</v>
      </c>
      <c r="D5818">
        <v>4.5382740000000004</v>
      </c>
      <c r="E5818">
        <v>0.51382090000000002</v>
      </c>
      <c r="F5818" t="s">
        <v>42</v>
      </c>
      <c r="G5818">
        <v>-265.46199999999999</v>
      </c>
      <c r="H5818" s="1">
        <v>-1.386433E-6</v>
      </c>
      <c r="I5818">
        <v>-60.526449999999997</v>
      </c>
      <c r="J5818">
        <v>-279.76310000000001</v>
      </c>
      <c r="K5818">
        <v>1.110468</v>
      </c>
      <c r="L5818">
        <v>-61.016199999999998</v>
      </c>
      <c r="M5818">
        <v>0.99767340000000004</v>
      </c>
      <c r="N5818">
        <v>-1.413643E-2</v>
      </c>
      <c r="O5818">
        <v>-6.6693749999999996E-2</v>
      </c>
      <c r="P5818">
        <v>0.99625439999999998</v>
      </c>
      <c r="Q5818">
        <v>-4.804539E-2</v>
      </c>
      <c r="R5818">
        <v>7.1895290000000001E-2</v>
      </c>
      <c r="S5818">
        <v>2.9927980000000001</v>
      </c>
      <c r="T5818">
        <v>-0.23074140000000001</v>
      </c>
      <c r="U5818">
        <v>0.1004333</v>
      </c>
      <c r="V5818">
        <v>-0.1381126</v>
      </c>
      <c r="W5818">
        <v>-3.4352189999999998E-2</v>
      </c>
      <c r="X5818">
        <v>0.98982060000000005</v>
      </c>
      <c r="Y5818">
        <v>-9.9646070000000003E-2</v>
      </c>
      <c r="Z5818">
        <v>8.7301340000000005E-3</v>
      </c>
      <c r="AA5818">
        <v>0.9949846</v>
      </c>
      <c r="AB5818">
        <v>25</v>
      </c>
      <c r="AC5818">
        <v>14.3011</v>
      </c>
      <c r="AD5818">
        <v>-1.110469386433</v>
      </c>
      <c r="AE5818">
        <v>0.48975000000000002</v>
      </c>
      <c r="AF5818">
        <v>-1.4339130914330001</v>
      </c>
      <c r="AG5818">
        <v>-1.110469386433</v>
      </c>
      <c r="AH5818">
        <v>14.1513613001651</v>
      </c>
      <c r="AI5818">
        <v>94.464089135414596</v>
      </c>
      <c r="AJ5818">
        <v>95.785854322627202</v>
      </c>
      <c r="AK5818">
        <v>14.267104669827001</v>
      </c>
      <c r="AL5818">
        <v>91.968622836318403</v>
      </c>
      <c r="AM5818">
        <v>97.943363797432497</v>
      </c>
      <c r="AN5818">
        <v>0.99999999171045795</v>
      </c>
    </row>
    <row r="5819" spans="1:40" x14ac:dyDescent="0.25">
      <c r="A5819" t="str">
        <f>"20190305135349854"</f>
        <v>20190305135349854</v>
      </c>
      <c r="B5819" t="str">
        <f>"1551765229846159"</f>
        <v>1551765229846159</v>
      </c>
      <c r="C5819" t="s">
        <v>40</v>
      </c>
      <c r="D5819">
        <v>4.5660910000000001</v>
      </c>
      <c r="E5819">
        <v>0.51382090000000002</v>
      </c>
      <c r="F5819" t="s">
        <v>42</v>
      </c>
      <c r="G5819">
        <v>-265.28320000000002</v>
      </c>
      <c r="H5819" s="1">
        <v>-1.3091789999999999E-6</v>
      </c>
      <c r="I5819">
        <v>-60.524329999999999</v>
      </c>
      <c r="J5819">
        <v>-279.64870000000002</v>
      </c>
      <c r="K5819">
        <v>1.110366</v>
      </c>
      <c r="L5819">
        <v>-61.023220000000002</v>
      </c>
      <c r="M5819">
        <v>0.99770579999999998</v>
      </c>
      <c r="N5819">
        <v>-1.41187E-2</v>
      </c>
      <c r="O5819">
        <v>-6.6211510000000001E-2</v>
      </c>
      <c r="P5819">
        <v>0.99627209999999999</v>
      </c>
      <c r="Q5819">
        <v>-4.7481719999999998E-2</v>
      </c>
      <c r="R5819">
        <v>7.202443E-2</v>
      </c>
      <c r="S5819">
        <v>2.9929199999999998</v>
      </c>
      <c r="T5819">
        <v>-0.22952839999999999</v>
      </c>
      <c r="U5819">
        <v>0.1016541</v>
      </c>
      <c r="V5819">
        <v>-0.13777410000000001</v>
      </c>
      <c r="W5819">
        <v>-3.3770179999999997E-2</v>
      </c>
      <c r="X5819">
        <v>0.98988779999999998</v>
      </c>
      <c r="Y5819">
        <v>-9.9575410000000003E-2</v>
      </c>
      <c r="Z5819">
        <v>8.6497399999999995E-3</v>
      </c>
      <c r="AA5819">
        <v>0.9949924</v>
      </c>
      <c r="AB5819">
        <v>25</v>
      </c>
      <c r="AC5819">
        <v>14.3654999999999</v>
      </c>
      <c r="AD5819">
        <v>-1.1103673091790001</v>
      </c>
      <c r="AE5819">
        <v>0.49888999999998801</v>
      </c>
      <c r="AF5819">
        <v>-1.44045576263732</v>
      </c>
      <c r="AG5819">
        <v>-1.1103673091790001</v>
      </c>
      <c r="AH5819">
        <v>14.216104751371001</v>
      </c>
      <c r="AI5819">
        <v>94.443433948613503</v>
      </c>
      <c r="AJ5819">
        <v>95.785784190029105</v>
      </c>
      <c r="AK5819">
        <v>14.3319734393893</v>
      </c>
      <c r="AL5819">
        <v>91.935256757422195</v>
      </c>
      <c r="AM5819">
        <v>97.923611912175105</v>
      </c>
      <c r="AN5819">
        <v>0.99999999213844104</v>
      </c>
    </row>
    <row r="5820" spans="1:40" x14ac:dyDescent="0.25">
      <c r="A5820" t="str">
        <f>"20190305135349865"</f>
        <v>20190305135349865</v>
      </c>
      <c r="B5820" t="str">
        <f>"1551765229855919"</f>
        <v>1551765229855919</v>
      </c>
      <c r="C5820" t="s">
        <v>40</v>
      </c>
      <c r="D5820">
        <v>4.5568850000000003</v>
      </c>
      <c r="E5820">
        <v>0.51437100000000002</v>
      </c>
      <c r="F5820" t="s">
        <v>42</v>
      </c>
      <c r="G5820">
        <v>-265.06810000000002</v>
      </c>
      <c r="H5820" s="1">
        <v>-1.2173040000000001E-6</v>
      </c>
      <c r="I5820">
        <v>-60.525860000000002</v>
      </c>
      <c r="J5820">
        <v>-279.52850000000001</v>
      </c>
      <c r="K5820">
        <v>1.1102609999999999</v>
      </c>
      <c r="L5820">
        <v>-61.030549999999998</v>
      </c>
      <c r="M5820">
        <v>0.99773869999999998</v>
      </c>
      <c r="N5820">
        <v>-1.4100329999999999E-2</v>
      </c>
      <c r="O5820">
        <v>-6.5717789999999998E-2</v>
      </c>
      <c r="P5820">
        <v>0.99631479999999994</v>
      </c>
      <c r="Q5820">
        <v>-4.6856870000000002E-2</v>
      </c>
      <c r="R5820">
        <v>7.1842249999999996E-2</v>
      </c>
      <c r="S5820">
        <v>2.9929809999999999</v>
      </c>
      <c r="T5820">
        <v>-0.22792589999999999</v>
      </c>
      <c r="U5820">
        <v>0.1020813</v>
      </c>
      <c r="V5820">
        <v>-0.13711479999999901</v>
      </c>
      <c r="W5820">
        <v>-3.3125620000000001E-2</v>
      </c>
      <c r="X5820">
        <v>0.99000109999999997</v>
      </c>
      <c r="Y5820">
        <v>-9.9232970000000004E-2</v>
      </c>
      <c r="Z5820">
        <v>8.5420349999999999E-3</v>
      </c>
      <c r="AA5820">
        <v>0.99502749999999995</v>
      </c>
      <c r="AB5820">
        <v>25</v>
      </c>
      <c r="AC5820">
        <v>14.4603999999999</v>
      </c>
      <c r="AD5820">
        <v>-1.110262217304</v>
      </c>
      <c r="AE5820">
        <v>0.50469000000000297</v>
      </c>
      <c r="AF5820">
        <v>-1.44548779217003</v>
      </c>
      <c r="AG5820">
        <v>-1.110262217304</v>
      </c>
      <c r="AH5820">
        <v>14.3116974858691</v>
      </c>
      <c r="AI5820">
        <v>94.413599453273704</v>
      </c>
      <c r="AJ5820">
        <v>95.767341146969301</v>
      </c>
      <c r="AK5820">
        <v>14.4272936504223</v>
      </c>
      <c r="AL5820">
        <v>91.898305542858694</v>
      </c>
      <c r="AM5820">
        <v>97.885281527582805</v>
      </c>
      <c r="AN5820">
        <v>0.99999997654031603</v>
      </c>
    </row>
    <row r="5821" spans="1:40" x14ac:dyDescent="0.25">
      <c r="A5821" t="str">
        <f>"20190305135349875"</f>
        <v>20190305135349875</v>
      </c>
      <c r="B5821" t="str">
        <f>"1551765229865678"</f>
        <v>1551765229865678</v>
      </c>
      <c r="C5821" t="s">
        <v>40</v>
      </c>
      <c r="D5821">
        <v>4.5658960000000004</v>
      </c>
      <c r="E5821">
        <v>0.51460509999999904</v>
      </c>
      <c r="F5821" t="s">
        <v>42</v>
      </c>
      <c r="G5821">
        <v>-264.80149999999998</v>
      </c>
      <c r="H5821" s="1">
        <v>-1.10981E-6</v>
      </c>
      <c r="I5821">
        <v>-60.551699999999997</v>
      </c>
      <c r="J5821">
        <v>-279.40809999999999</v>
      </c>
      <c r="K5821">
        <v>1.110179</v>
      </c>
      <c r="L5821">
        <v>-61.037930000000003</v>
      </c>
      <c r="M5821">
        <v>0.99776430000000005</v>
      </c>
      <c r="N5821">
        <v>-1.4083790000000001E-2</v>
      </c>
      <c r="O5821">
        <v>-6.5332860000000006E-2</v>
      </c>
      <c r="P5821">
        <v>0.99636130000000001</v>
      </c>
      <c r="Q5821">
        <v>-4.6481960000000003E-2</v>
      </c>
      <c r="R5821">
        <v>7.1440909999999996E-2</v>
      </c>
      <c r="S5821">
        <v>2.9935</v>
      </c>
      <c r="T5821">
        <v>-0.22567809999999999</v>
      </c>
      <c r="U5821">
        <v>9.732056E-2</v>
      </c>
      <c r="V5821">
        <v>-0.1363433</v>
      </c>
      <c r="W5821">
        <v>-3.2736380000000002E-2</v>
      </c>
      <c r="X5821">
        <v>0.99012060000000002</v>
      </c>
      <c r="Y5821">
        <v>-9.7278939999999994E-2</v>
      </c>
      <c r="Z5821">
        <v>8.3438109999999996E-3</v>
      </c>
      <c r="AA5821">
        <v>0.99522219999999995</v>
      </c>
      <c r="AB5821">
        <v>25</v>
      </c>
      <c r="AC5821">
        <v>14.6066</v>
      </c>
      <c r="AD5821">
        <v>-1.1101801098099999</v>
      </c>
      <c r="AE5821">
        <v>0.48623000000000599</v>
      </c>
      <c r="AF5821">
        <v>-1.43131712245089</v>
      </c>
      <c r="AG5821">
        <v>-1.1101801098099999</v>
      </c>
      <c r="AH5821">
        <v>14.4601759280177</v>
      </c>
      <c r="AI5821">
        <v>94.369003716406098</v>
      </c>
      <c r="AJ5821">
        <v>95.652916161556604</v>
      </c>
      <c r="AK5821">
        <v>14.5731896457317</v>
      </c>
      <c r="AL5821">
        <v>91.875991615985598</v>
      </c>
      <c r="AM5821">
        <v>97.840532481998594</v>
      </c>
      <c r="AN5821">
        <v>0.99999998428737702</v>
      </c>
    </row>
    <row r="5822" spans="1:40" x14ac:dyDescent="0.25">
      <c r="A5822" t="str">
        <f>"20190305135349888"</f>
        <v>20190305135349888</v>
      </c>
      <c r="B5822" t="str">
        <f>"1551765229875439"</f>
        <v>1551765229875439</v>
      </c>
      <c r="C5822" t="s">
        <v>40</v>
      </c>
      <c r="D5822">
        <v>4.5860279999999998</v>
      </c>
      <c r="E5822">
        <v>0.51478199999999996</v>
      </c>
      <c r="F5822" t="s">
        <v>91</v>
      </c>
      <c r="G5822">
        <v>-264.65260000000001</v>
      </c>
      <c r="H5822" s="1">
        <v>-1.051716E-6</v>
      </c>
      <c r="I5822">
        <v>-60.573369999999997</v>
      </c>
      <c r="J5822">
        <v>-279.2774</v>
      </c>
      <c r="K5822">
        <v>1.110093</v>
      </c>
      <c r="L5822">
        <v>-61.045929999999998</v>
      </c>
      <c r="M5822">
        <v>0.99779079999999998</v>
      </c>
      <c r="N5822">
        <v>-1.406635E-2</v>
      </c>
      <c r="O5822">
        <v>-6.4931639999999999E-2</v>
      </c>
      <c r="P5822">
        <v>0.99637949999999997</v>
      </c>
      <c r="Q5822">
        <v>-4.6769730000000002E-2</v>
      </c>
      <c r="R5822">
        <v>7.0997889999999994E-2</v>
      </c>
      <c r="S5822">
        <v>2.9936829999999999</v>
      </c>
      <c r="T5822">
        <v>-0.22523979999999999</v>
      </c>
      <c r="U5822">
        <v>9.4238279999999994E-2</v>
      </c>
      <c r="V5822">
        <v>-0.13551060000000001</v>
      </c>
      <c r="W5822">
        <v>-3.3010570000000003E-2</v>
      </c>
      <c r="X5822">
        <v>0.99022589999999999</v>
      </c>
      <c r="Y5822">
        <v>-9.5860319999999999E-2</v>
      </c>
      <c r="Z5822">
        <v>8.2392850000000007E-3</v>
      </c>
      <c r="AA5822">
        <v>0.99536069999999999</v>
      </c>
      <c r="AB5822">
        <v>25</v>
      </c>
      <c r="AC5822">
        <v>14.624799999999899</v>
      </c>
      <c r="AD5822">
        <v>-1.1100940517160001</v>
      </c>
      <c r="AE5822">
        <v>0.47256000000000797</v>
      </c>
      <c r="AF5822">
        <v>-1.4131351927164499</v>
      </c>
      <c r="AG5822">
        <v>-1.1100940517160001</v>
      </c>
      <c r="AH5822">
        <v>14.4799045238655</v>
      </c>
      <c r="AI5822">
        <v>94.363325445363103</v>
      </c>
      <c r="AJ5822">
        <v>95.574007014235093</v>
      </c>
      <c r="AK5822">
        <v>14.590986769125999</v>
      </c>
      <c r="AL5822">
        <v>91.891709866589295</v>
      </c>
      <c r="AM5822">
        <v>97.792419043747401</v>
      </c>
      <c r="AN5822">
        <v>1.00000007673744</v>
      </c>
    </row>
    <row r="5823" spans="1:40" x14ac:dyDescent="0.25">
      <c r="A5823" t="str">
        <f>"20190305135349898"</f>
        <v>20190305135349898</v>
      </c>
      <c r="B5823" t="str">
        <f>"1551765229895935"</f>
        <v>1551765229895935</v>
      </c>
      <c r="C5823" t="s">
        <v>40</v>
      </c>
      <c r="D5823">
        <v>4.5642310000000004</v>
      </c>
      <c r="E5823">
        <v>0.51562559999999902</v>
      </c>
      <c r="F5823" t="s">
        <v>42</v>
      </c>
      <c r="G5823">
        <v>-264.63580000000002</v>
      </c>
      <c r="H5823" s="1">
        <v>-1.0511260000000001E-6</v>
      </c>
      <c r="I5823">
        <v>-60.59825</v>
      </c>
      <c r="J5823">
        <v>-279.15789999999998</v>
      </c>
      <c r="K5823">
        <v>1.110028</v>
      </c>
      <c r="L5823">
        <v>-61.053280000000001</v>
      </c>
      <c r="M5823">
        <v>0.99781109999999995</v>
      </c>
      <c r="N5823">
        <v>-1.4051839999999999E-2</v>
      </c>
      <c r="O5823">
        <v>-6.4619830000000003E-2</v>
      </c>
      <c r="P5823">
        <v>0.9963978</v>
      </c>
      <c r="Q5823">
        <v>-4.6990410000000003E-2</v>
      </c>
      <c r="R5823">
        <v>7.0592820000000001E-2</v>
      </c>
      <c r="S5823">
        <v>2.993744</v>
      </c>
      <c r="T5823">
        <v>-0.22697909999999999</v>
      </c>
      <c r="U5823">
        <v>9.1522220000000001E-2</v>
      </c>
      <c r="V5823">
        <v>-0.1348027</v>
      </c>
      <c r="W5823">
        <v>-3.3223500000000003E-2</v>
      </c>
      <c r="X5823">
        <v>0.99031530000000001</v>
      </c>
      <c r="Y5823">
        <v>-9.4644249999999999E-2</v>
      </c>
      <c r="Z5823">
        <v>8.2309340000000005E-3</v>
      </c>
      <c r="AA5823">
        <v>0.9954771</v>
      </c>
      <c r="AB5823">
        <v>25</v>
      </c>
      <c r="AC5823">
        <v>14.522099999999901</v>
      </c>
      <c r="AD5823">
        <v>-1.110029051126</v>
      </c>
      <c r="AE5823">
        <v>0.45503000000000698</v>
      </c>
      <c r="AF5823">
        <v>-1.3845057461492301</v>
      </c>
      <c r="AG5823">
        <v>-1.110029051126</v>
      </c>
      <c r="AH5823">
        <v>14.3784096823381</v>
      </c>
      <c r="AI5823">
        <v>94.394296359517</v>
      </c>
      <c r="AJ5823">
        <v>95.500088295474498</v>
      </c>
      <c r="AK5823">
        <v>14.487501014619999</v>
      </c>
      <c r="AL5823">
        <v>91.903916733674606</v>
      </c>
      <c r="AM5823">
        <v>97.751516817047005</v>
      </c>
      <c r="AN5823">
        <v>0.99999998114681399</v>
      </c>
    </row>
    <row r="5824" spans="1:40" x14ac:dyDescent="0.25">
      <c r="A5824" t="str">
        <f>"20190305135349911"</f>
        <v>20190305135349911</v>
      </c>
      <c r="B5824" t="str">
        <f>"1551765229905693"</f>
        <v>1551765229905693</v>
      </c>
      <c r="C5824" t="s">
        <v>40</v>
      </c>
      <c r="D5824">
        <v>4.5891199999999897</v>
      </c>
      <c r="E5824">
        <v>0.51590320000000001</v>
      </c>
      <c r="F5824" t="s">
        <v>42</v>
      </c>
      <c r="G5824">
        <v>-264.37329999999997</v>
      </c>
      <c r="H5824" s="1">
        <v>-9.4952500000000003E-7</v>
      </c>
      <c r="I5824">
        <v>-60.639740000000003</v>
      </c>
      <c r="J5824">
        <v>-279.02199999999999</v>
      </c>
      <c r="K5824">
        <v>1.1099619999999999</v>
      </c>
      <c r="L5824">
        <v>-61.061610000000002</v>
      </c>
      <c r="M5824">
        <v>0.99783279999999996</v>
      </c>
      <c r="N5824">
        <v>-1.4036150000000001E-2</v>
      </c>
      <c r="O5824">
        <v>-6.4284620000000001E-2</v>
      </c>
      <c r="P5824">
        <v>0.99639820000000001</v>
      </c>
      <c r="Q5824">
        <v>-4.7681199999999903E-2</v>
      </c>
      <c r="R5824">
        <v>7.0122760000000006E-2</v>
      </c>
      <c r="S5824">
        <v>2.9943240000000002</v>
      </c>
      <c r="T5824">
        <v>-0.22481390000000001</v>
      </c>
      <c r="U5824">
        <v>8.3740229999999999E-2</v>
      </c>
      <c r="V5824">
        <v>-0.13400529999999999</v>
      </c>
      <c r="W5824">
        <v>-3.3908760000000003E-2</v>
      </c>
      <c r="X5824">
        <v>0.99040030000000001</v>
      </c>
      <c r="Y5824">
        <v>-9.1737550000000001E-2</v>
      </c>
      <c r="Z5824">
        <v>7.9993180000000001E-3</v>
      </c>
      <c r="AA5824">
        <v>0.9957511</v>
      </c>
      <c r="AB5824">
        <v>25</v>
      </c>
      <c r="AC5824">
        <v>14.6487</v>
      </c>
      <c r="AD5824">
        <v>-1.1099629495250001</v>
      </c>
      <c r="AE5824">
        <v>0.42186999999999097</v>
      </c>
      <c r="AF5824">
        <v>-1.35500302139934</v>
      </c>
      <c r="AG5824">
        <v>-1.1099629495250001</v>
      </c>
      <c r="AH5824">
        <v>14.508044639415001</v>
      </c>
      <c r="AI5824">
        <v>94.356105272479198</v>
      </c>
      <c r="AJ5824">
        <v>95.335756303834401</v>
      </c>
      <c r="AK5824">
        <v>14.6133983110219</v>
      </c>
      <c r="AL5824">
        <v>91.943201362084693</v>
      </c>
      <c r="AM5824">
        <v>97.705563338717496</v>
      </c>
      <c r="AN5824">
        <v>0.99999998933645795</v>
      </c>
    </row>
    <row r="5825" spans="1:40" x14ac:dyDescent="0.25">
      <c r="A5825" t="str">
        <f>"20190305135349921"</f>
        <v>20190305135349921</v>
      </c>
      <c r="B5825" t="str">
        <f>"1551765229915454"</f>
        <v>1551765229915454</v>
      </c>
      <c r="C5825" t="s">
        <v>40</v>
      </c>
      <c r="D5825">
        <v>4.624682</v>
      </c>
      <c r="E5825">
        <v>0.51614680000000002</v>
      </c>
      <c r="F5825" t="s">
        <v>91</v>
      </c>
      <c r="G5825">
        <v>-264.31479999999999</v>
      </c>
      <c r="H5825" s="1">
        <v>-9.3187960000000004E-7</v>
      </c>
      <c r="I5825">
        <v>-60.66778</v>
      </c>
      <c r="J5825">
        <v>-278.89789999999999</v>
      </c>
      <c r="K5825">
        <v>1.109915</v>
      </c>
      <c r="L5825">
        <v>-61.069180000000003</v>
      </c>
      <c r="M5825">
        <v>0.99785140000000006</v>
      </c>
      <c r="N5825">
        <v>-1.4022730000000001E-2</v>
      </c>
      <c r="O5825">
        <v>-6.4001130000000003E-2</v>
      </c>
      <c r="P5825">
        <v>0.99641329999999995</v>
      </c>
      <c r="Q5825">
        <v>-4.82683E-2</v>
      </c>
      <c r="R5825">
        <v>6.9504399999999994E-2</v>
      </c>
      <c r="S5825">
        <v>2.994354</v>
      </c>
      <c r="T5825">
        <v>-0.22598550000000001</v>
      </c>
      <c r="U5825">
        <v>8.0169679999999993E-2</v>
      </c>
      <c r="V5825">
        <v>-0.13311099999999901</v>
      </c>
      <c r="W5825">
        <v>-3.4493709999999997E-2</v>
      </c>
      <c r="X5825">
        <v>0.99050070000000001</v>
      </c>
      <c r="Y5825">
        <v>-9.0268769999999998E-2</v>
      </c>
      <c r="Z5825">
        <v>7.9594379999999992E-3</v>
      </c>
      <c r="AA5825">
        <v>0.99588560000000004</v>
      </c>
      <c r="AB5825">
        <v>25</v>
      </c>
      <c r="AC5825">
        <v>14.5831</v>
      </c>
      <c r="AD5825">
        <v>-1.1099159318795999</v>
      </c>
      <c r="AE5825">
        <v>0.40139999999999498</v>
      </c>
      <c r="AF5825">
        <v>-1.3263262787299399</v>
      </c>
      <c r="AG5825">
        <v>-1.1099159318795999</v>
      </c>
      <c r="AH5825">
        <v>14.443897936040299</v>
      </c>
      <c r="AI5825">
        <v>94.375820145407602</v>
      </c>
      <c r="AJ5825">
        <v>95.246532559544605</v>
      </c>
      <c r="AK5825">
        <v>14.5470698891646</v>
      </c>
      <c r="AL5825">
        <v>91.976736135878696</v>
      </c>
      <c r="AM5825">
        <v>97.6539843977381</v>
      </c>
      <c r="AN5825">
        <v>0.99999999552552699</v>
      </c>
    </row>
    <row r="5826" spans="1:40" x14ac:dyDescent="0.25">
      <c r="A5826" t="str">
        <f>"20190305135349933"</f>
        <v>20190305135349933</v>
      </c>
      <c r="B5826" t="str">
        <f>"1551765229926190"</f>
        <v>1551765229926190</v>
      </c>
      <c r="C5826" t="s">
        <v>40</v>
      </c>
      <c r="D5826">
        <v>4.6241459999999996</v>
      </c>
      <c r="E5826">
        <v>0.51641349999999997</v>
      </c>
      <c r="F5826" t="s">
        <v>91</v>
      </c>
      <c r="G5826">
        <v>-264.25279999999998</v>
      </c>
      <c r="H5826" s="1">
        <v>-9.1263090000000002E-7</v>
      </c>
      <c r="I5826">
        <v>-60.695230000000002</v>
      </c>
      <c r="J5826">
        <v>-278.77109999999999</v>
      </c>
      <c r="K5826">
        <v>1.1098790000000001</v>
      </c>
      <c r="L5826">
        <v>-61.076970000000003</v>
      </c>
      <c r="M5826">
        <v>0.99786929999999996</v>
      </c>
      <c r="N5826">
        <v>-1.4010079999999999E-2</v>
      </c>
      <c r="O5826">
        <v>-6.3721959999999994E-2</v>
      </c>
      <c r="P5826">
        <v>0.99640949999999995</v>
      </c>
      <c r="Q5826">
        <v>-4.9081119999999999E-2</v>
      </c>
      <c r="R5826">
        <v>6.8986240000000004E-2</v>
      </c>
      <c r="S5826">
        <v>2.9944760000000001</v>
      </c>
      <c r="T5826">
        <v>-0.2269439</v>
      </c>
      <c r="U5826">
        <v>7.6446529999999999E-2</v>
      </c>
      <c r="V5826">
        <v>-0.13231789999999999</v>
      </c>
      <c r="W5826">
        <v>-3.53085E-2</v>
      </c>
      <c r="X5826">
        <v>0.99057819999999996</v>
      </c>
      <c r="Y5826">
        <v>-8.8753659999999998E-2</v>
      </c>
      <c r="Z5826">
        <v>7.9090340000000005E-3</v>
      </c>
      <c r="AA5826">
        <v>0.99602219999999997</v>
      </c>
      <c r="AB5826">
        <v>25</v>
      </c>
      <c r="AC5826">
        <v>14.5183</v>
      </c>
      <c r="AD5826">
        <v>-1.10987991263089</v>
      </c>
      <c r="AE5826">
        <v>0.38173999999999297</v>
      </c>
      <c r="AF5826">
        <v>-1.2986054283608901</v>
      </c>
      <c r="AG5826">
        <v>-1.10987991263089</v>
      </c>
      <c r="AH5826">
        <v>14.380477484175</v>
      </c>
      <c r="AI5826">
        <v>94.395502846515299</v>
      </c>
      <c r="AJ5826">
        <v>95.160005654081004</v>
      </c>
      <c r="AK5826">
        <v>14.4815863133806</v>
      </c>
      <c r="AL5826">
        <v>92.023448729349298</v>
      </c>
      <c r="AM5826">
        <v>97.608328077670706</v>
      </c>
      <c r="AN5826">
        <v>0.99999994357394795</v>
      </c>
    </row>
    <row r="5827" spans="1:40" x14ac:dyDescent="0.25">
      <c r="A5827" t="str">
        <f>"20190305135349943"</f>
        <v>20190305135349943</v>
      </c>
      <c r="B5827" t="str">
        <f>"1551765229935951"</f>
        <v>1551765229935951</v>
      </c>
      <c r="C5827" t="s">
        <v>40</v>
      </c>
      <c r="D5827">
        <v>4.622325</v>
      </c>
      <c r="E5827">
        <v>0.51664929999999998</v>
      </c>
      <c r="F5827" t="s">
        <v>42</v>
      </c>
      <c r="G5827">
        <v>-264.2303</v>
      </c>
      <c r="H5827" s="1">
        <v>-9.1044029999999997E-7</v>
      </c>
      <c r="I5827">
        <v>-60.723320000000001</v>
      </c>
      <c r="J5827">
        <v>-278.65159999999997</v>
      </c>
      <c r="K5827">
        <v>1.1098539999999999</v>
      </c>
      <c r="L5827">
        <v>-61.084290000000003</v>
      </c>
      <c r="M5827">
        <v>0.99788600000000005</v>
      </c>
      <c r="N5827">
        <v>-1.399863E-2</v>
      </c>
      <c r="O5827">
        <v>-6.3463539999999999E-2</v>
      </c>
      <c r="P5827">
        <v>0.99638369999999998</v>
      </c>
      <c r="Q5827">
        <v>-5.0341419999999998E-2</v>
      </c>
      <c r="R5827">
        <v>6.8451559999999995E-2</v>
      </c>
      <c r="S5827">
        <v>2.9944760000000001</v>
      </c>
      <c r="T5827">
        <v>-0.22856389999999999</v>
      </c>
      <c r="U5827">
        <v>7.2814939999999995E-2</v>
      </c>
      <c r="V5827">
        <v>-0.13152739999999999</v>
      </c>
      <c r="W5827">
        <v>-3.657241E-2</v>
      </c>
      <c r="X5827">
        <v>0.99063769999999995</v>
      </c>
      <c r="Y5827">
        <v>-8.7287840000000005E-2</v>
      </c>
      <c r="Z5827">
        <v>7.8853529999999995E-3</v>
      </c>
      <c r="AA5827">
        <v>0.99615189999999998</v>
      </c>
      <c r="AB5827">
        <v>25</v>
      </c>
      <c r="AC5827">
        <v>14.421299999999899</v>
      </c>
      <c r="AD5827">
        <v>-1.1098549104402999</v>
      </c>
      <c r="AE5827">
        <v>0.36097000000000801</v>
      </c>
      <c r="AF5827">
        <v>-1.2680529508491001</v>
      </c>
      <c r="AG5827">
        <v>-1.1098549104402999</v>
      </c>
      <c r="AH5827">
        <v>14.2847604246865</v>
      </c>
      <c r="AI5827">
        <v>94.4253401113574</v>
      </c>
      <c r="AJ5827">
        <v>95.072828536037704</v>
      </c>
      <c r="AK5827">
        <v>14.3838143967126</v>
      </c>
      <c r="AL5827">
        <v>92.095912091696405</v>
      </c>
      <c r="AM5827">
        <v>97.562952777954294</v>
      </c>
      <c r="AN5827">
        <v>1.00000002539262</v>
      </c>
    </row>
    <row r="5828" spans="1:40" x14ac:dyDescent="0.25">
      <c r="A5828" t="str">
        <f>"20190305135349954"</f>
        <v>20190305135349954</v>
      </c>
      <c r="B5828" t="str">
        <f>"1551765229945710"</f>
        <v>1551765229945710</v>
      </c>
      <c r="C5828" t="s">
        <v>40</v>
      </c>
      <c r="D5828">
        <v>4.636571</v>
      </c>
      <c r="E5828">
        <v>0.51687159999999999</v>
      </c>
      <c r="F5828" t="s">
        <v>91</v>
      </c>
      <c r="G5828">
        <v>-264.27179999999998</v>
      </c>
      <c r="H5828" s="1">
        <v>-9.3558259999999997E-7</v>
      </c>
      <c r="I5828">
        <v>-60.750959999999999</v>
      </c>
      <c r="J5828">
        <v>-278.53140000000002</v>
      </c>
      <c r="K5828">
        <v>1.109839</v>
      </c>
      <c r="L5828">
        <v>-61.09158</v>
      </c>
      <c r="M5828">
        <v>0.99790290000000004</v>
      </c>
      <c r="N5828">
        <v>-1.3988270000000001E-2</v>
      </c>
      <c r="O5828">
        <v>-6.3201569999999999E-2</v>
      </c>
      <c r="P5828">
        <v>0.99637140000000002</v>
      </c>
      <c r="Q5828">
        <v>-5.1256929999999999E-2</v>
      </c>
      <c r="R5828">
        <v>6.7949620000000002E-2</v>
      </c>
      <c r="S5828">
        <v>2.9944459999999999</v>
      </c>
      <c r="T5828">
        <v>-0.23111490000000001</v>
      </c>
      <c r="U5828">
        <v>6.9396970000000002E-2</v>
      </c>
      <c r="V5828">
        <v>-0.1307661</v>
      </c>
      <c r="W5828">
        <v>-3.7494769999999997E-2</v>
      </c>
      <c r="X5828">
        <v>0.99070400000000003</v>
      </c>
      <c r="Y5828">
        <v>-8.5885890000000006E-2</v>
      </c>
      <c r="Z5828">
        <v>7.8962010000000003E-3</v>
      </c>
      <c r="AA5828">
        <v>0.99627370000000004</v>
      </c>
      <c r="AB5828">
        <v>25</v>
      </c>
      <c r="AC5828">
        <v>14.259600000000001</v>
      </c>
      <c r="AD5828">
        <v>-1.1098399355826001</v>
      </c>
      <c r="AE5828">
        <v>0.34062000000000803</v>
      </c>
      <c r="AF5828">
        <v>-1.2337864316760001</v>
      </c>
      <c r="AG5828">
        <v>-1.1098399355826001</v>
      </c>
      <c r="AH5828">
        <v>14.124046458057901</v>
      </c>
      <c r="AI5828">
        <v>94.475982931618205</v>
      </c>
      <c r="AJ5828">
        <v>94.992320634395398</v>
      </c>
      <c r="AK5828">
        <v>14.221204660329599</v>
      </c>
      <c r="AL5828">
        <v>92.148795709277096</v>
      </c>
      <c r="AM5828">
        <v>97.519182201064197</v>
      </c>
      <c r="AN5828">
        <v>1.00000002315128</v>
      </c>
    </row>
    <row r="5829" spans="1:40" x14ac:dyDescent="0.25">
      <c r="A5829" t="str">
        <f>"20190305135349966"</f>
        <v>20190305135349966</v>
      </c>
      <c r="B5829" t="str">
        <f>"1551765229955471"</f>
        <v>1551765229955471</v>
      </c>
      <c r="C5829" t="s">
        <v>40</v>
      </c>
      <c r="D5829">
        <v>4.6543619999999999</v>
      </c>
      <c r="E5829">
        <v>0.51704870000000003</v>
      </c>
      <c r="F5829" t="s">
        <v>42</v>
      </c>
      <c r="G5829">
        <v>-264.27030000000002</v>
      </c>
      <c r="H5829" s="1">
        <v>-9.4172560000000003E-7</v>
      </c>
      <c r="I5829">
        <v>-60.776420000000002</v>
      </c>
      <c r="J5829">
        <v>-278.40839999999997</v>
      </c>
      <c r="K5829">
        <v>1.1098269999999999</v>
      </c>
      <c r="L5829">
        <v>-61.099060000000001</v>
      </c>
      <c r="M5829">
        <v>0.99791989999999997</v>
      </c>
      <c r="N5829">
        <v>-1.397792E-2</v>
      </c>
      <c r="O5829">
        <v>-6.2932639999999998E-2</v>
      </c>
      <c r="P5829">
        <v>0.99634529999999999</v>
      </c>
      <c r="Q5829">
        <v>-5.2188999999999999E-2</v>
      </c>
      <c r="R5829">
        <v>6.7620689999999997E-2</v>
      </c>
      <c r="S5829">
        <v>2.994415</v>
      </c>
      <c r="T5829">
        <v>-0.23303470000000001</v>
      </c>
      <c r="U5829">
        <v>6.6162109999999996E-2</v>
      </c>
      <c r="V5829">
        <v>-0.13016849999999999</v>
      </c>
      <c r="W5829">
        <v>-3.8434940000000001E-2</v>
      </c>
      <c r="X5829">
        <v>0.99074660000000003</v>
      </c>
      <c r="Y5829">
        <v>-8.4539959999999997E-2</v>
      </c>
      <c r="Z5829">
        <v>7.8854649999999995E-3</v>
      </c>
      <c r="AA5829">
        <v>0.99638890000000002</v>
      </c>
      <c r="AB5829">
        <v>25</v>
      </c>
      <c r="AC5829">
        <v>14.1380999999999</v>
      </c>
      <c r="AD5829">
        <v>-1.1098279417256001</v>
      </c>
      <c r="AE5829">
        <v>0.32263999999999898</v>
      </c>
      <c r="AF5829">
        <v>-1.2044173246168199</v>
      </c>
      <c r="AG5829">
        <v>-1.1098279417256001</v>
      </c>
      <c r="AH5829">
        <v>14.003516829404299</v>
      </c>
      <c r="AI5829">
        <v>94.514821404963399</v>
      </c>
      <c r="AJ5829">
        <v>94.915809459685093</v>
      </c>
      <c r="AK5829">
        <v>14.098965307549401</v>
      </c>
      <c r="AL5829">
        <v>92.2027024976246</v>
      </c>
      <c r="AM5829">
        <v>97.484891929927599</v>
      </c>
      <c r="AN5829">
        <v>0.99999995420830501</v>
      </c>
    </row>
    <row r="5830" spans="1:40" x14ac:dyDescent="0.25">
      <c r="A5830" t="str">
        <f>"20190305135349976"</f>
        <v>20190305135349976</v>
      </c>
      <c r="B5830" t="str">
        <f>"1551765229966207"</f>
        <v>1551765229966207</v>
      </c>
      <c r="C5830" t="s">
        <v>40</v>
      </c>
      <c r="D5830">
        <v>4.6685720000000002</v>
      </c>
      <c r="E5830">
        <v>0.51704870000000003</v>
      </c>
      <c r="F5830" t="s">
        <v>42</v>
      </c>
      <c r="G5830">
        <v>-264.27440000000001</v>
      </c>
      <c r="H5830" s="1">
        <v>-9.4918140000000003E-7</v>
      </c>
      <c r="I5830">
        <v>-60.797789999999999</v>
      </c>
      <c r="J5830">
        <v>-278.28269999999998</v>
      </c>
      <c r="K5830">
        <v>1.109831</v>
      </c>
      <c r="L5830">
        <v>-61.106630000000003</v>
      </c>
      <c r="M5830">
        <v>0.99793829999999994</v>
      </c>
      <c r="N5830">
        <v>-1.3968660000000001E-2</v>
      </c>
      <c r="O5830">
        <v>-6.264314E-2</v>
      </c>
      <c r="P5830">
        <v>0.99631539999999996</v>
      </c>
      <c r="Q5830">
        <v>-5.3177299999999997E-2</v>
      </c>
      <c r="R5830">
        <v>6.7288180000000003E-2</v>
      </c>
      <c r="S5830">
        <v>2.9943849999999999</v>
      </c>
      <c r="T5830">
        <v>-0.23512459999999999</v>
      </c>
      <c r="U5830">
        <v>6.3812259999999996E-2</v>
      </c>
      <c r="V5830">
        <v>-0.12954599999999999</v>
      </c>
      <c r="W5830">
        <v>-3.9434160000000003E-2</v>
      </c>
      <c r="X5830">
        <v>0.99078900000000003</v>
      </c>
      <c r="Y5830">
        <v>-8.3466170000000006E-2</v>
      </c>
      <c r="Z5830">
        <v>7.8906359999999995E-3</v>
      </c>
      <c r="AA5830">
        <v>0.99647940000000002</v>
      </c>
      <c r="AB5830">
        <v>25</v>
      </c>
      <c r="AC5830">
        <v>14.008299999999901</v>
      </c>
      <c r="AD5830">
        <v>-1.1098319491813999</v>
      </c>
      <c r="AE5830">
        <v>0.308840000000003</v>
      </c>
      <c r="AF5830">
        <v>-1.1784493923675301</v>
      </c>
      <c r="AG5830">
        <v>-1.1098319491813999</v>
      </c>
      <c r="AH5830">
        <v>13.8743880824152</v>
      </c>
      <c r="AI5830">
        <v>94.557093467887</v>
      </c>
      <c r="AJ5830">
        <v>94.854881174850206</v>
      </c>
      <c r="AK5830">
        <v>13.968504379040001</v>
      </c>
      <c r="AL5830">
        <v>92.259996861091906</v>
      </c>
      <c r="AM5830">
        <v>97.449184981109696</v>
      </c>
      <c r="AN5830">
        <v>1.00000003080595</v>
      </c>
    </row>
    <row r="5831" spans="1:40" x14ac:dyDescent="0.25">
      <c r="A5831" t="str">
        <f>"20190305135349988"</f>
        <v>20190305135349988</v>
      </c>
      <c r="B5831" t="str">
        <f>"1551765229975967"</f>
        <v>1551765229975967</v>
      </c>
      <c r="C5831" t="s">
        <v>40</v>
      </c>
      <c r="D5831">
        <v>4.6283130000000003</v>
      </c>
      <c r="E5831">
        <v>0.52120580000000005</v>
      </c>
      <c r="F5831" t="s">
        <v>42</v>
      </c>
      <c r="G5831">
        <v>-264.3261</v>
      </c>
      <c r="H5831" s="1">
        <v>-9.7559809999999991E-7</v>
      </c>
      <c r="I5831">
        <v>-60.813800000000001</v>
      </c>
      <c r="J5831">
        <v>-278.1628</v>
      </c>
      <c r="K5831">
        <v>1.109837</v>
      </c>
      <c r="L5831">
        <v>-61.113860000000003</v>
      </c>
      <c r="M5831">
        <v>0.99795610000000001</v>
      </c>
      <c r="N5831">
        <v>-1.396006E-2</v>
      </c>
      <c r="O5831">
        <v>-6.2361970000000003E-2</v>
      </c>
      <c r="P5831">
        <v>0.99629259999999997</v>
      </c>
      <c r="Q5831">
        <v>-5.3929829999999998E-2</v>
      </c>
      <c r="R5831">
        <v>6.7030210000000007E-2</v>
      </c>
      <c r="S5831">
        <v>2.9941409999999999</v>
      </c>
      <c r="T5831">
        <v>-0.23809359999999999</v>
      </c>
      <c r="U5831">
        <v>6.2805180000000002E-2</v>
      </c>
      <c r="V5831">
        <v>-0.12900729999999999</v>
      </c>
      <c r="W5831">
        <v>-4.0197440000000001E-2</v>
      </c>
      <c r="X5831">
        <v>0.99082859999999995</v>
      </c>
      <c r="Y5831">
        <v>-8.2843799999999995E-2</v>
      </c>
      <c r="Z5831">
        <v>7.9471030000000005E-3</v>
      </c>
      <c r="AA5831">
        <v>0.99653080000000005</v>
      </c>
      <c r="AB5831">
        <v>25</v>
      </c>
      <c r="AC5831">
        <v>13.8367</v>
      </c>
      <c r="AD5831">
        <v>-1.1098379755981</v>
      </c>
      <c r="AE5831">
        <v>0.300059999999994</v>
      </c>
      <c r="AF5831">
        <v>-1.15501627237301</v>
      </c>
      <c r="AG5831">
        <v>-1.1098379755981</v>
      </c>
      <c r="AH5831">
        <v>13.7029310706125</v>
      </c>
      <c r="AI5831">
        <v>94.614143903565704</v>
      </c>
      <c r="AJ5831">
        <v>94.818056581758697</v>
      </c>
      <c r="AK5831">
        <v>13.796235821682799</v>
      </c>
      <c r="AL5831">
        <v>92.303764323246</v>
      </c>
      <c r="AM5831">
        <v>97.418261087641298</v>
      </c>
      <c r="AN5831">
        <v>1.0000000161069</v>
      </c>
    </row>
    <row r="5832" spans="1:40" x14ac:dyDescent="0.25">
      <c r="A5832" t="str">
        <f>"20190305135349999"</f>
        <v>20190305135349999</v>
      </c>
      <c r="B5832" t="str">
        <f>"1551765229995487"</f>
        <v>1551765229995487</v>
      </c>
      <c r="C5832" t="s">
        <v>40</v>
      </c>
      <c r="D5832">
        <v>4.6661049999999999</v>
      </c>
      <c r="E5832">
        <v>0.51860229999999996</v>
      </c>
      <c r="F5832" t="s">
        <v>91</v>
      </c>
      <c r="G5832">
        <v>-262.6979</v>
      </c>
      <c r="H5832" s="1">
        <v>-3.1570439999999997E-7</v>
      </c>
      <c r="I5832">
        <v>-60.958860000000001</v>
      </c>
      <c r="J5832">
        <v>-278.03149999999999</v>
      </c>
      <c r="K5832">
        <v>1.109853</v>
      </c>
      <c r="L5832">
        <v>-61.121699999999997</v>
      </c>
      <c r="M5832">
        <v>0.99797630000000004</v>
      </c>
      <c r="N5832">
        <v>-1.3951440000000001E-2</v>
      </c>
      <c r="O5832">
        <v>-6.2035849999999997E-2</v>
      </c>
      <c r="P5832">
        <v>0.99626400000000004</v>
      </c>
      <c r="Q5832">
        <v>-5.418336E-2</v>
      </c>
      <c r="R5832">
        <v>6.7247489999999993E-2</v>
      </c>
      <c r="S5832">
        <v>2.9974370000000001</v>
      </c>
      <c r="T5832">
        <v>-0.21511040000000001</v>
      </c>
      <c r="U5832">
        <v>3.0029299999999998E-2</v>
      </c>
      <c r="V5832">
        <v>-0.12889619999999999</v>
      </c>
      <c r="W5832">
        <v>-4.0464840000000002E-2</v>
      </c>
      <c r="X5832">
        <v>0.99083209999999999</v>
      </c>
      <c r="Y5832">
        <v>-7.1713570000000004E-2</v>
      </c>
      <c r="Z5832">
        <v>6.6503419999999897E-3</v>
      </c>
      <c r="AA5832">
        <v>0.99740309999999999</v>
      </c>
      <c r="AB5832">
        <v>25</v>
      </c>
      <c r="AC5832">
        <v>15.333599999999899</v>
      </c>
      <c r="AD5832">
        <v>-1.1098533157043999</v>
      </c>
      <c r="AE5832">
        <v>0.16284000000000201</v>
      </c>
      <c r="AF5832">
        <v>-1.1080475638066001</v>
      </c>
      <c r="AG5832">
        <v>-1.1098533157043999</v>
      </c>
      <c r="AH5832">
        <v>15.214260110379801</v>
      </c>
      <c r="AI5832">
        <v>94.161252816127799</v>
      </c>
      <c r="AJ5832">
        <v>94.165470898918699</v>
      </c>
      <c r="AK5832">
        <v>15.2948767400176</v>
      </c>
      <c r="AL5832">
        <v>92.319097862103206</v>
      </c>
      <c r="AM5832">
        <v>97.411917718614404</v>
      </c>
      <c r="AN5832">
        <v>0.99999994202053599</v>
      </c>
    </row>
    <row r="5833" spans="1:40" x14ac:dyDescent="0.25">
      <c r="A5833" t="str">
        <f>"20190305135350012"</f>
        <v>20190305135350012</v>
      </c>
      <c r="B5833" t="str">
        <f>"1551765230006224"</f>
        <v>1551765230006224</v>
      </c>
      <c r="C5833" t="s">
        <v>40</v>
      </c>
      <c r="D5833">
        <v>4.6564519999999998</v>
      </c>
      <c r="E5833">
        <v>0.51775959999999999</v>
      </c>
      <c r="F5833" t="s">
        <v>42</v>
      </c>
      <c r="G5833">
        <v>-264.04849999999999</v>
      </c>
      <c r="H5833" s="1">
        <v>-8.757431E-7</v>
      </c>
      <c r="I5833">
        <v>-60.886110000000002</v>
      </c>
      <c r="J5833">
        <v>-277.90120000000002</v>
      </c>
      <c r="K5833">
        <v>1.1098699999999999</v>
      </c>
      <c r="L5833">
        <v>-61.129429999999999</v>
      </c>
      <c r="M5833">
        <v>0.99799749999999998</v>
      </c>
      <c r="N5833">
        <v>-1.3943530000000001E-2</v>
      </c>
      <c r="O5833">
        <v>-6.1698990000000002E-2</v>
      </c>
      <c r="P5833">
        <v>0.99623470000000003</v>
      </c>
      <c r="Q5833">
        <v>-5.4410890000000003E-2</v>
      </c>
      <c r="R5833">
        <v>6.7498779999999994E-2</v>
      </c>
      <c r="S5833">
        <v>2.994904</v>
      </c>
      <c r="T5833">
        <v>-0.23771059999999999</v>
      </c>
      <c r="U5833">
        <v>5.044556E-2</v>
      </c>
      <c r="V5833">
        <v>-0.12880899999999901</v>
      </c>
      <c r="W5833">
        <v>-4.0706180000000002E-2</v>
      </c>
      <c r="X5833">
        <v>0.99083359999999998</v>
      </c>
      <c r="Y5833">
        <v>-7.8085070000000006E-2</v>
      </c>
      <c r="Z5833">
        <v>7.667203E-3</v>
      </c>
      <c r="AA5833">
        <v>0.99691719999999895</v>
      </c>
      <c r="AB5833">
        <v>25</v>
      </c>
      <c r="AC5833">
        <v>13.8527</v>
      </c>
      <c r="AD5833">
        <v>-1.1098708757430999</v>
      </c>
      <c r="AE5833">
        <v>0.243320000000011</v>
      </c>
      <c r="AF5833">
        <v>-1.09063816276189</v>
      </c>
      <c r="AG5833">
        <v>-1.1098708757430999</v>
      </c>
      <c r="AH5833">
        <v>13.7232247117061</v>
      </c>
      <c r="AI5833">
        <v>94.609283316399399</v>
      </c>
      <c r="AJ5833">
        <v>94.543968284316506</v>
      </c>
      <c r="AK5833">
        <v>13.8111622049296</v>
      </c>
      <c r="AL5833">
        <v>92.332936923360293</v>
      </c>
      <c r="AM5833">
        <v>97.406948067057698</v>
      </c>
      <c r="AN5833">
        <v>0.99999998723007599</v>
      </c>
    </row>
    <row r="5834" spans="1:40" x14ac:dyDescent="0.25">
      <c r="A5834" t="str">
        <f>"20190305135350023"</f>
        <v>20190305135350023</v>
      </c>
      <c r="B5834" t="str">
        <f>"1551765230015982"</f>
        <v>1551765230015982</v>
      </c>
      <c r="C5834" t="s">
        <v>40</v>
      </c>
      <c r="D5834">
        <v>4.6628540000000003</v>
      </c>
      <c r="E5834">
        <v>0.51738390000000001</v>
      </c>
      <c r="F5834" t="s">
        <v>91</v>
      </c>
      <c r="G5834">
        <v>-264.46179999999998</v>
      </c>
      <c r="H5834" s="1">
        <v>-1.0490569999999999E-6</v>
      </c>
      <c r="I5834">
        <v>-60.871130000000001</v>
      </c>
      <c r="J5834">
        <v>-277.76420000000002</v>
      </c>
      <c r="K5834">
        <v>1.1098939999999999</v>
      </c>
      <c r="L5834">
        <v>-61.137509999999999</v>
      </c>
      <c r="M5834">
        <v>0.99802020000000002</v>
      </c>
      <c r="N5834">
        <v>-1.393581E-2</v>
      </c>
      <c r="O5834">
        <v>-6.1330959999999997E-2</v>
      </c>
      <c r="P5834">
        <v>0.99622010000000005</v>
      </c>
      <c r="Q5834">
        <v>-5.4071920000000002E-2</v>
      </c>
      <c r="R5834">
        <v>6.7983520000000006E-2</v>
      </c>
      <c r="S5834">
        <v>2.9939269999999998</v>
      </c>
      <c r="T5834">
        <v>-0.24724699999999999</v>
      </c>
      <c r="U5834">
        <v>5.7525630000000001E-2</v>
      </c>
      <c r="V5834">
        <v>-0.12892500000000001</v>
      </c>
      <c r="W5834">
        <v>-4.0382050000000003E-2</v>
      </c>
      <c r="X5834">
        <v>0.99083180000000004</v>
      </c>
      <c r="Y5834">
        <v>-8.003739E-2</v>
      </c>
      <c r="Z5834">
        <v>8.0582589999999999E-3</v>
      </c>
      <c r="AA5834">
        <v>0.99675930000000001</v>
      </c>
      <c r="AB5834">
        <v>25</v>
      </c>
      <c r="AC5834">
        <v>13.3024</v>
      </c>
      <c r="AD5834">
        <v>-1.1098950490569901</v>
      </c>
      <c r="AE5834">
        <v>0.26637999999999001</v>
      </c>
      <c r="AF5834">
        <v>-1.0743306561730399</v>
      </c>
      <c r="AG5834">
        <v>-1.1098950490569901</v>
      </c>
      <c r="AH5834">
        <v>13.169372186646299</v>
      </c>
      <c r="AI5834">
        <v>94.801542938284797</v>
      </c>
      <c r="AJ5834">
        <v>94.663746019805799</v>
      </c>
      <c r="AK5834">
        <v>13.259653734887999</v>
      </c>
      <c r="AL5834">
        <v>92.314350304774294</v>
      </c>
      <c r="AM5834">
        <v>97.413557604249505</v>
      </c>
      <c r="AN5834">
        <v>1.00000001073922</v>
      </c>
    </row>
    <row r="5835" spans="1:40" x14ac:dyDescent="0.25">
      <c r="A5835" t="str">
        <f>"20190305135350036"</f>
        <v>20190305135350036</v>
      </c>
      <c r="B5835" t="str">
        <f>"1551765230025743"</f>
        <v>1551765230025743</v>
      </c>
      <c r="C5835" t="s">
        <v>40</v>
      </c>
      <c r="D5835">
        <v>4.6625769999999997</v>
      </c>
      <c r="E5835">
        <v>0.51693080000000002</v>
      </c>
      <c r="F5835" t="s">
        <v>91</v>
      </c>
      <c r="G5835">
        <v>-264.46460000000002</v>
      </c>
      <c r="H5835" s="1">
        <v>-1.0480029999999901E-6</v>
      </c>
      <c r="I5835">
        <v>-60.8626199999999</v>
      </c>
      <c r="J5835">
        <v>-277.63159999999999</v>
      </c>
      <c r="K5835">
        <v>1.109918</v>
      </c>
      <c r="L5835">
        <v>-61.14526</v>
      </c>
      <c r="M5835">
        <v>0.99804369999999998</v>
      </c>
      <c r="N5835">
        <v>-1.392906E-2</v>
      </c>
      <c r="O5835">
        <v>-6.0950409999999997E-2</v>
      </c>
      <c r="P5835">
        <v>0.9962202</v>
      </c>
      <c r="Q5835">
        <v>-5.3434469999999998E-2</v>
      </c>
      <c r="R5835">
        <v>6.8487759999999995E-2</v>
      </c>
      <c r="S5835">
        <v>2.9935909999999999</v>
      </c>
      <c r="T5835">
        <v>-0.24982399999999999</v>
      </c>
      <c r="U5835">
        <v>6.1859129999999998E-2</v>
      </c>
      <c r="V5835">
        <v>-0.12904879999999999</v>
      </c>
      <c r="W5835">
        <v>-3.9758479999999999E-2</v>
      </c>
      <c r="X5835">
        <v>0.99084090000000002</v>
      </c>
      <c r="Y5835">
        <v>-8.1088480000000004E-2</v>
      </c>
      <c r="Z5835">
        <v>8.1708739999999998E-3</v>
      </c>
      <c r="AA5835">
        <v>0.99667340000000004</v>
      </c>
      <c r="AB5835">
        <v>25</v>
      </c>
      <c r="AC5835">
        <v>13.1669999999999</v>
      </c>
      <c r="AD5835">
        <v>-1.1099190480029999</v>
      </c>
      <c r="AE5835">
        <v>0.282640000000007</v>
      </c>
      <c r="AF5835">
        <v>-1.0770763529660801</v>
      </c>
      <c r="AG5835">
        <v>-1.1099190480029999</v>
      </c>
      <c r="AH5835">
        <v>13.0327220074347</v>
      </c>
      <c r="AI5835">
        <v>94.851333402594307</v>
      </c>
      <c r="AJ5835">
        <v>94.724416283029896</v>
      </c>
      <c r="AK5835">
        <v>13.124170704707799</v>
      </c>
      <c r="AL5835">
        <v>92.278593661160997</v>
      </c>
      <c r="AM5835">
        <v>97.420529764545407</v>
      </c>
      <c r="AN5835">
        <v>1.0000000093130801</v>
      </c>
    </row>
    <row r="5836" spans="1:40" x14ac:dyDescent="0.25">
      <c r="A5836" t="str">
        <f>"20190305135350048"</f>
        <v>20190305135350048</v>
      </c>
      <c r="B5836" t="str">
        <f>"1551765230035502"</f>
        <v>1551765230035502</v>
      </c>
      <c r="C5836" t="s">
        <v>40</v>
      </c>
      <c r="D5836">
        <v>4.7014959999999997</v>
      </c>
      <c r="E5836">
        <v>0.5165805</v>
      </c>
      <c r="F5836" t="s">
        <v>91</v>
      </c>
      <c r="G5836">
        <v>-264.41070000000002</v>
      </c>
      <c r="H5836" s="1">
        <v>-1.0214639999999999E-6</v>
      </c>
      <c r="I5836">
        <v>-60.849739999999997</v>
      </c>
      <c r="J5836">
        <v>-277.5016</v>
      </c>
      <c r="K5836">
        <v>1.1099399999999999</v>
      </c>
      <c r="L5836">
        <v>-61.152799999999999</v>
      </c>
      <c r="M5836">
        <v>0.99806709999999998</v>
      </c>
      <c r="N5836">
        <v>-1.392266E-2</v>
      </c>
      <c r="O5836">
        <v>-6.0569280000000003E-2</v>
      </c>
      <c r="P5836">
        <v>0.99621749999999998</v>
      </c>
      <c r="Q5836">
        <v>-5.2801920000000002E-2</v>
      </c>
      <c r="R5836">
        <v>6.9013580000000005E-2</v>
      </c>
      <c r="S5836">
        <v>2.9933169999999998</v>
      </c>
      <c r="T5836">
        <v>-0.2512952</v>
      </c>
      <c r="U5836">
        <v>6.6894529999999994E-2</v>
      </c>
      <c r="V5836">
        <v>-0.12919410000000001</v>
      </c>
      <c r="W5836">
        <v>-3.9139430000000003E-2</v>
      </c>
      <c r="X5836">
        <v>0.99084660000000002</v>
      </c>
      <c r="Y5836">
        <v>-8.2375429999999999E-2</v>
      </c>
      <c r="Z5836">
        <v>8.2576619999999903E-3</v>
      </c>
      <c r="AA5836">
        <v>0.99656710000000004</v>
      </c>
      <c r="AB5836">
        <v>25</v>
      </c>
      <c r="AC5836">
        <v>13.0908999999999</v>
      </c>
      <c r="AD5836">
        <v>-1.109941021464</v>
      </c>
      <c r="AE5836">
        <v>0.303059999999995</v>
      </c>
      <c r="AF5836">
        <v>-1.0876716115012499</v>
      </c>
      <c r="AG5836">
        <v>-1.109941021464</v>
      </c>
      <c r="AH5836">
        <v>12.955417536200899</v>
      </c>
      <c r="AI5836">
        <v>94.879711201379905</v>
      </c>
      <c r="AJ5836">
        <v>94.799011041111996</v>
      </c>
      <c r="AK5836">
        <v>13.0482888588081</v>
      </c>
      <c r="AL5836">
        <v>92.243097103914195</v>
      </c>
      <c r="AM5836">
        <v>97.428749237644197</v>
      </c>
      <c r="AN5836">
        <v>0.99999999759354696</v>
      </c>
    </row>
    <row r="5837" spans="1:40" x14ac:dyDescent="0.25">
      <c r="A5837" t="str">
        <f>"20190305135350058"</f>
        <v>20190305135350058</v>
      </c>
      <c r="B5837" t="str">
        <f>"1551765230046239"</f>
        <v>1551765230046239</v>
      </c>
      <c r="C5837" t="s">
        <v>40</v>
      </c>
      <c r="D5837">
        <v>4.7081010000000001</v>
      </c>
      <c r="E5837">
        <v>0.51636689999999996</v>
      </c>
      <c r="F5837" t="s">
        <v>42</v>
      </c>
      <c r="G5837">
        <v>-264.27370000000002</v>
      </c>
      <c r="H5837" s="1">
        <v>-9.5949370000000011E-7</v>
      </c>
      <c r="I5837">
        <v>-60.837809999999998</v>
      </c>
      <c r="J5837">
        <v>-277.3759</v>
      </c>
      <c r="K5837">
        <v>1.10996299999999</v>
      </c>
      <c r="L5837">
        <v>-61.16</v>
      </c>
      <c r="M5837">
        <v>0.99809049999999999</v>
      </c>
      <c r="N5837">
        <v>-1.391704E-2</v>
      </c>
      <c r="O5837">
        <v>-6.0180900000000002E-2</v>
      </c>
      <c r="P5837">
        <v>0.99619029999999997</v>
      </c>
      <c r="Q5837">
        <v>-5.2448740000000001E-2</v>
      </c>
      <c r="R5837">
        <v>6.9671469999999999E-2</v>
      </c>
      <c r="S5837">
        <v>2.9930729999999999</v>
      </c>
      <c r="T5837">
        <v>-0.2511448</v>
      </c>
      <c r="U5837">
        <v>7.1258539999999995E-2</v>
      </c>
      <c r="V5837">
        <v>-0.12946179999999999</v>
      </c>
      <c r="W5837">
        <v>-3.8799140000000003E-2</v>
      </c>
      <c r="X5837">
        <v>0.99082510000000001</v>
      </c>
      <c r="Y5837">
        <v>-8.3438760000000001E-2</v>
      </c>
      <c r="Z5837">
        <v>8.2781709999999904E-3</v>
      </c>
      <c r="AA5837">
        <v>0.99647850000000004</v>
      </c>
      <c r="AB5837">
        <v>25</v>
      </c>
      <c r="AC5837">
        <v>13.1021999999999</v>
      </c>
      <c r="AD5837">
        <v>-1.1099639594937001</v>
      </c>
      <c r="AE5837">
        <v>0.32218999999999898</v>
      </c>
      <c r="AF5837">
        <v>-1.1022784214539301</v>
      </c>
      <c r="AG5837">
        <v>-1.1099639594937001</v>
      </c>
      <c r="AH5837">
        <v>12.9660576902945</v>
      </c>
      <c r="AI5837">
        <v>94.875395937374506</v>
      </c>
      <c r="AJ5837">
        <v>94.859180304714101</v>
      </c>
      <c r="AK5837">
        <v>13.0600800050315</v>
      </c>
      <c r="AL5837">
        <v>92.223584974425293</v>
      </c>
      <c r="AM5837">
        <v>97.444129427445304</v>
      </c>
      <c r="AN5837">
        <v>1.0000000548569901</v>
      </c>
    </row>
    <row r="5838" spans="1:40" x14ac:dyDescent="0.25">
      <c r="A5838" t="str">
        <f>"20190305135350067"</f>
        <v>20190305135350067</v>
      </c>
      <c r="B5838" t="str">
        <f>"1551765230055999"</f>
        <v>1551765230055999</v>
      </c>
      <c r="C5838" t="s">
        <v>40</v>
      </c>
      <c r="D5838">
        <v>4.712904</v>
      </c>
      <c r="E5838">
        <v>0.51621320000000004</v>
      </c>
      <c r="F5838" t="s">
        <v>91</v>
      </c>
      <c r="G5838">
        <v>-264.1327</v>
      </c>
      <c r="H5838" s="1">
        <v>-8.9645569999999898E-7</v>
      </c>
      <c r="I5838">
        <v>-60.828159999999997</v>
      </c>
      <c r="J5838">
        <v>-277.28160000000003</v>
      </c>
      <c r="K5838">
        <v>1.1099810000000001</v>
      </c>
      <c r="L5838">
        <v>-61.165439999999997</v>
      </c>
      <c r="M5838">
        <v>0.99810829999999995</v>
      </c>
      <c r="N5838">
        <v>-1.391293E-2</v>
      </c>
      <c r="O5838">
        <v>-5.9886080000000001E-2</v>
      </c>
      <c r="P5838">
        <v>0.99616519999999997</v>
      </c>
      <c r="Q5838">
        <v>-5.1792060000000001E-2</v>
      </c>
      <c r="R5838">
        <v>7.0518899999999995E-2</v>
      </c>
      <c r="S5838">
        <v>2.9930110000000001</v>
      </c>
      <c r="T5838">
        <v>-0.25085649999999998</v>
      </c>
      <c r="U5838">
        <v>7.4981690000000004E-2</v>
      </c>
      <c r="V5838">
        <v>-0.13001309999999999</v>
      </c>
      <c r="W5838">
        <v>-3.8152659999999998E-2</v>
      </c>
      <c r="X5838">
        <v>0.99077800000000005</v>
      </c>
      <c r="Y5838">
        <v>-8.4381659999999997E-2</v>
      </c>
      <c r="Z5838">
        <v>8.2940749999999997E-3</v>
      </c>
      <c r="AA5838">
        <v>0.99639900000000003</v>
      </c>
      <c r="AB5838">
        <v>25</v>
      </c>
      <c r="AC5838">
        <v>13.148899999999999</v>
      </c>
      <c r="AD5838">
        <v>-1.10998189645569</v>
      </c>
      <c r="AE5838">
        <v>0.33728000000000602</v>
      </c>
      <c r="AF5838">
        <v>-1.11623759385077</v>
      </c>
      <c r="AG5838">
        <v>-1.10998189645569</v>
      </c>
      <c r="AH5838">
        <v>13.0124285735186</v>
      </c>
      <c r="AI5838">
        <v>94.857867948815993</v>
      </c>
      <c r="AJ5838">
        <v>94.9029676822786</v>
      </c>
      <c r="AK5838">
        <v>13.1073011545973</v>
      </c>
      <c r="AL5838">
        <v>92.186516988323504</v>
      </c>
      <c r="AM5838">
        <v>97.475823072368698</v>
      </c>
      <c r="AN5838">
        <v>1.00000003846034</v>
      </c>
    </row>
    <row r="5839" spans="1:40" x14ac:dyDescent="0.25">
      <c r="A5839" t="str">
        <f>"20190305135350077"</f>
        <v>20190305135350077</v>
      </c>
      <c r="B5839" t="str">
        <f>"1551765230065759"</f>
        <v>1551765230065759</v>
      </c>
      <c r="C5839" t="s">
        <v>40</v>
      </c>
      <c r="D5839">
        <v>4.6768159999999996</v>
      </c>
      <c r="E5839">
        <v>0.51612190000000002</v>
      </c>
      <c r="F5839" t="s">
        <v>91</v>
      </c>
      <c r="G5839">
        <v>-263.96129999999999</v>
      </c>
      <c r="H5839" s="1">
        <v>-8.192612E-7</v>
      </c>
      <c r="I5839">
        <v>-60.814410000000002</v>
      </c>
      <c r="J5839">
        <v>-277.17309999999998</v>
      </c>
      <c r="K5839">
        <v>1.109999</v>
      </c>
      <c r="L5839">
        <v>-61.171570000000003</v>
      </c>
      <c r="M5839">
        <v>0.99812940000000006</v>
      </c>
      <c r="N5839">
        <v>-1.390856E-2</v>
      </c>
      <c r="O5839">
        <v>-5.9534990000000003E-2</v>
      </c>
      <c r="P5839">
        <v>0.99615039999999999</v>
      </c>
      <c r="Q5839">
        <v>-5.1061759999999998E-2</v>
      </c>
      <c r="R5839">
        <v>7.1254940000000003E-2</v>
      </c>
      <c r="S5839">
        <v>2.993042</v>
      </c>
      <c r="T5839">
        <v>-0.24941070000000001</v>
      </c>
      <c r="U5839">
        <v>7.8857419999999998E-2</v>
      </c>
      <c r="V5839">
        <v>-0.13039790000000001</v>
      </c>
      <c r="W5839">
        <v>-3.7432630000000001E-2</v>
      </c>
      <c r="X5839">
        <v>0.99075480000000005</v>
      </c>
      <c r="Y5839">
        <v>-8.5323010000000005E-2</v>
      </c>
      <c r="Z5839">
        <v>8.2663540000000001E-3</v>
      </c>
      <c r="AA5839">
        <v>0.99631910000000001</v>
      </c>
      <c r="AB5839">
        <v>25</v>
      </c>
      <c r="AC5839">
        <v>13.211799999999901</v>
      </c>
      <c r="AD5839">
        <v>-1.1099998192611999</v>
      </c>
      <c r="AE5839">
        <v>0.35715999999999998</v>
      </c>
      <c r="AF5839">
        <v>-1.1351599131719501</v>
      </c>
      <c r="AG5839">
        <v>-1.1099998192611999</v>
      </c>
      <c r="AH5839">
        <v>13.0748714740803</v>
      </c>
      <c r="AI5839">
        <v>94.834428037022093</v>
      </c>
      <c r="AJ5839">
        <v>94.961975357383295</v>
      </c>
      <c r="AK5839">
        <v>13.170913092528901</v>
      </c>
      <c r="AL5839">
        <v>92.145233018506403</v>
      </c>
      <c r="AM5839">
        <v>97.497871483731004</v>
      </c>
      <c r="AN5839">
        <v>0.999999943918082</v>
      </c>
    </row>
    <row r="5840" spans="1:40" x14ac:dyDescent="0.25">
      <c r="A5840" t="str">
        <f>"20190305135350089"</f>
        <v>20190305135350089</v>
      </c>
      <c r="B5840" t="str">
        <f>"1551765230086255"</f>
        <v>1551765230086255</v>
      </c>
      <c r="C5840" t="s">
        <v>40</v>
      </c>
      <c r="D5840">
        <v>4.6923050000000002</v>
      </c>
      <c r="E5840">
        <v>0.5161154</v>
      </c>
      <c r="F5840" t="s">
        <v>91</v>
      </c>
      <c r="G5840">
        <v>-263.80529999999999</v>
      </c>
      <c r="H5840" s="1">
        <v>-7.5008150000000005E-7</v>
      </c>
      <c r="I5840">
        <v>-60.805929999999996</v>
      </c>
      <c r="J5840">
        <v>-277.04610000000002</v>
      </c>
      <c r="K5840">
        <v>1.1100179999999999</v>
      </c>
      <c r="L5840">
        <v>-61.178739999999998</v>
      </c>
      <c r="M5840">
        <v>0.99815410000000004</v>
      </c>
      <c r="N5840">
        <v>-1.390358E-2</v>
      </c>
      <c r="O5840">
        <v>-5.9119610000000003E-2</v>
      </c>
      <c r="P5840">
        <v>0.99612049999999996</v>
      </c>
      <c r="Q5840">
        <v>-5.0464580000000002E-2</v>
      </c>
      <c r="R5840">
        <v>7.2093180000000007E-2</v>
      </c>
      <c r="S5840">
        <v>2.9929809999999999</v>
      </c>
      <c r="T5840">
        <v>-0.24852279999999999</v>
      </c>
      <c r="U5840">
        <v>8.184814E-2</v>
      </c>
      <c r="V5840">
        <v>-0.1308203</v>
      </c>
      <c r="W5840">
        <v>-3.6847049999999999E-2</v>
      </c>
      <c r="X5840">
        <v>0.99072110000000002</v>
      </c>
      <c r="Y5840">
        <v>-8.5905889999999999E-2</v>
      </c>
      <c r="Z5840">
        <v>8.2359819999999993E-3</v>
      </c>
      <c r="AA5840">
        <v>0.99626919999999997</v>
      </c>
      <c r="AB5840">
        <v>25</v>
      </c>
      <c r="AC5840">
        <v>13.2408</v>
      </c>
      <c r="AD5840">
        <v>-1.1100187500815</v>
      </c>
      <c r="AE5840">
        <v>0.37281000000000097</v>
      </c>
      <c r="AF5840">
        <v>-1.1469698533822601</v>
      </c>
      <c r="AG5840">
        <v>-1.1100187500815</v>
      </c>
      <c r="AH5840">
        <v>13.103574543856899</v>
      </c>
      <c r="AI5840">
        <v>94.823674870375996</v>
      </c>
      <c r="AJ5840">
        <v>95.002411041614906</v>
      </c>
      <c r="AK5840">
        <v>13.2004298148399</v>
      </c>
      <c r="AL5840">
        <v>92.1116585199821</v>
      </c>
      <c r="AM5840">
        <v>97.522134724858901</v>
      </c>
      <c r="AN5840">
        <v>0.99999997698550003</v>
      </c>
    </row>
    <row r="5841" spans="1:40" x14ac:dyDescent="0.25">
      <c r="A5841" t="str">
        <f>"20190305135350099"</f>
        <v>20190305135350099</v>
      </c>
      <c r="B5841" t="str">
        <f>"1551765230096015"</f>
        <v>1551765230096015</v>
      </c>
      <c r="C5841" t="s">
        <v>40</v>
      </c>
      <c r="D5841">
        <v>4.6849530000000001</v>
      </c>
      <c r="E5841">
        <v>0.51606879999999999</v>
      </c>
      <c r="F5841" t="s">
        <v>42</v>
      </c>
      <c r="G5841">
        <v>-263.64710000000002</v>
      </c>
      <c r="H5841" s="1">
        <v>-6.8078690000000003E-7</v>
      </c>
      <c r="I5841">
        <v>-60.800510000000003</v>
      </c>
      <c r="J5841">
        <v>-276.9248</v>
      </c>
      <c r="K5841">
        <v>1.1100369999999999</v>
      </c>
      <c r="L5841">
        <v>-61.185490000000001</v>
      </c>
      <c r="M5841">
        <v>0.99817809999999996</v>
      </c>
      <c r="N5841">
        <v>-1.3899150000000001E-2</v>
      </c>
      <c r="O5841">
        <v>-5.871502E-2</v>
      </c>
      <c r="P5841">
        <v>0.99608189999999996</v>
      </c>
      <c r="Q5841">
        <v>-5.0056829999999997E-2</v>
      </c>
      <c r="R5841">
        <v>7.2905869999999998E-2</v>
      </c>
      <c r="S5841">
        <v>2.9930110000000001</v>
      </c>
      <c r="T5841">
        <v>-0.24795200000000001</v>
      </c>
      <c r="U5841">
        <v>8.4472660000000005E-2</v>
      </c>
      <c r="V5841">
        <v>-0.13122700000000001</v>
      </c>
      <c r="W5841">
        <v>-3.6449389999999998E-2</v>
      </c>
      <c r="X5841">
        <v>0.99068210000000001</v>
      </c>
      <c r="Y5841">
        <v>-8.6376060000000005E-2</v>
      </c>
      <c r="Z5841">
        <v>8.2114559999999902E-3</v>
      </c>
      <c r="AA5841">
        <v>0.99622880000000003</v>
      </c>
      <c r="AB5841">
        <v>25</v>
      </c>
      <c r="AC5841">
        <v>13.2776999999999</v>
      </c>
      <c r="AD5841">
        <v>-1.1100376807868999</v>
      </c>
      <c r="AE5841">
        <v>0.38498000000000498</v>
      </c>
      <c r="AF5841">
        <v>-1.1559191660202599</v>
      </c>
      <c r="AG5841">
        <v>-1.1100376807868999</v>
      </c>
      <c r="AH5841">
        <v>13.140418050925399</v>
      </c>
      <c r="AI5841">
        <v>94.810113689276704</v>
      </c>
      <c r="AJ5841">
        <v>95.027180087074697</v>
      </c>
      <c r="AK5841">
        <v>13.2377837769102</v>
      </c>
      <c r="AL5841">
        <v>92.088858803817601</v>
      </c>
      <c r="AM5841">
        <v>97.5455444645565</v>
      </c>
      <c r="AN5841">
        <v>1.0000000534103799</v>
      </c>
    </row>
    <row r="5842" spans="1:40" x14ac:dyDescent="0.25">
      <c r="A5842" t="str">
        <f>"20190305135350111"</f>
        <v>20190305135350111</v>
      </c>
      <c r="B5842" t="str">
        <f>"1551765230105778"</f>
        <v>1551765230105778</v>
      </c>
      <c r="C5842" t="s">
        <v>40</v>
      </c>
      <c r="D5842">
        <v>4.7400989999999998</v>
      </c>
      <c r="E5842">
        <v>0.51616739999999905</v>
      </c>
      <c r="F5842" t="s">
        <v>91</v>
      </c>
      <c r="G5842">
        <v>-263.49169999999998</v>
      </c>
      <c r="H5842" s="1">
        <v>-6.1223890000000002E-7</v>
      </c>
      <c r="I5842">
        <v>-60.793410000000002</v>
      </c>
      <c r="J5842">
        <v>-276.79770000000002</v>
      </c>
      <c r="K5842">
        <v>1.1100540000000001</v>
      </c>
      <c r="L5842">
        <v>-61.192500000000003</v>
      </c>
      <c r="M5842">
        <v>0.99820330000000002</v>
      </c>
      <c r="N5842">
        <v>-1.3894729999999999E-2</v>
      </c>
      <c r="O5842">
        <v>-5.8286490000000003E-2</v>
      </c>
      <c r="P5842">
        <v>0.99603660000000005</v>
      </c>
      <c r="Q5842">
        <v>-4.9647650000000002E-2</v>
      </c>
      <c r="R5842">
        <v>7.3799459999999997E-2</v>
      </c>
      <c r="S5842">
        <v>2.9929809999999999</v>
      </c>
      <c r="T5842">
        <v>-0.2473233</v>
      </c>
      <c r="U5842">
        <v>8.7341310000000005E-2</v>
      </c>
      <c r="V5842">
        <v>-0.13169040000000001</v>
      </c>
      <c r="W5842">
        <v>-3.6049999999999999E-2</v>
      </c>
      <c r="X5842">
        <v>0.99063520000000005</v>
      </c>
      <c r="Y5842">
        <v>-8.6904060000000005E-2</v>
      </c>
      <c r="Z5842">
        <v>8.1863379999999996E-3</v>
      </c>
      <c r="AA5842">
        <v>0.99618300000000004</v>
      </c>
      <c r="AB5842">
        <v>25</v>
      </c>
      <c r="AC5842">
        <v>13.305999999999999</v>
      </c>
      <c r="AD5842">
        <v>-1.1100546122388999</v>
      </c>
      <c r="AE5842">
        <v>0.39909000000000799</v>
      </c>
      <c r="AF5842">
        <v>-1.1659388579907599</v>
      </c>
      <c r="AG5842">
        <v>-1.1100546122388999</v>
      </c>
      <c r="AH5842">
        <v>13.168542872803499</v>
      </c>
      <c r="AI5842">
        <v>94.799721645311706</v>
      </c>
      <c r="AJ5842">
        <v>95.0597571386038</v>
      </c>
      <c r="AK5842">
        <v>13.266580420575201</v>
      </c>
      <c r="AL5842">
        <v>92.065960438685494</v>
      </c>
      <c r="AM5842">
        <v>97.572235633045494</v>
      </c>
      <c r="AN5842">
        <v>1.0000000317155899</v>
      </c>
    </row>
    <row r="5843" spans="1:40" x14ac:dyDescent="0.25">
      <c r="A5843" t="str">
        <f>"20190305135350122"</f>
        <v>20190305135350122</v>
      </c>
      <c r="B5843" t="str">
        <f>"1551765230115535"</f>
        <v>1551765230115535</v>
      </c>
      <c r="C5843" t="s">
        <v>40</v>
      </c>
      <c r="D5843">
        <v>4.7024800000000004</v>
      </c>
      <c r="E5843">
        <v>0.51617539999999995</v>
      </c>
      <c r="F5843" t="s">
        <v>91</v>
      </c>
      <c r="G5843">
        <v>-263.3098</v>
      </c>
      <c r="H5843" s="1">
        <v>-5.3323050000000003E-7</v>
      </c>
      <c r="I5843">
        <v>-60.789760000000001</v>
      </c>
      <c r="J5843">
        <v>-276.67039999999997</v>
      </c>
      <c r="K5843">
        <v>1.1100680000000001</v>
      </c>
      <c r="L5843">
        <v>-61.1995199999999</v>
      </c>
      <c r="M5843">
        <v>0.99822849999999996</v>
      </c>
      <c r="N5843">
        <v>-1.389051E-2</v>
      </c>
      <c r="O5843">
        <v>-5.785382E-2</v>
      </c>
      <c r="P5843">
        <v>0.99599769999999999</v>
      </c>
      <c r="Q5843">
        <v>-4.9123020000000003E-2</v>
      </c>
      <c r="R5843">
        <v>7.4670449999999999E-2</v>
      </c>
      <c r="S5843">
        <v>2.993042</v>
      </c>
      <c r="T5843">
        <v>-0.2463272</v>
      </c>
      <c r="U5843">
        <v>8.9355470000000006E-2</v>
      </c>
      <c r="V5843">
        <v>-0.13212839999999901</v>
      </c>
      <c r="W5843">
        <v>-3.5534160000000002E-2</v>
      </c>
      <c r="X5843">
        <v>0.99059549999999996</v>
      </c>
      <c r="Y5843">
        <v>-8.7145459999999994E-2</v>
      </c>
      <c r="Z5843">
        <v>8.1345819999999996E-3</v>
      </c>
      <c r="AA5843">
        <v>0.9961624</v>
      </c>
      <c r="AB5843">
        <v>25</v>
      </c>
      <c r="AC5843">
        <v>13.3605999999999</v>
      </c>
      <c r="AD5843">
        <v>-1.1100685332305</v>
      </c>
      <c r="AE5843">
        <v>0.40975999999999102</v>
      </c>
      <c r="AF5843">
        <v>-1.17401303817247</v>
      </c>
      <c r="AG5843">
        <v>-1.1100685332305</v>
      </c>
      <c r="AH5843">
        <v>13.2233122768702</v>
      </c>
      <c r="AI5843">
        <v>94.779891656704393</v>
      </c>
      <c r="AJ5843">
        <v>95.073621499434907</v>
      </c>
      <c r="AK5843">
        <v>13.3216570415956</v>
      </c>
      <c r="AL5843">
        <v>92.036386063557401</v>
      </c>
      <c r="AM5843">
        <v>97.5974279927255</v>
      </c>
      <c r="AN5843">
        <v>1.00000001761685</v>
      </c>
    </row>
    <row r="5844" spans="1:40" x14ac:dyDescent="0.25">
      <c r="A5844" t="str">
        <f>"20190305135350134"</f>
        <v>20190305135350134</v>
      </c>
      <c r="B5844" t="str">
        <f>"1551765230126270"</f>
        <v>1551765230126270</v>
      </c>
      <c r="C5844" t="s">
        <v>40</v>
      </c>
      <c r="D5844">
        <v>4.7049000000000003</v>
      </c>
      <c r="E5844">
        <v>0.51613549999999997</v>
      </c>
      <c r="F5844" t="s">
        <v>42</v>
      </c>
      <c r="G5844">
        <v>-263.1576</v>
      </c>
      <c r="H5844" s="1">
        <v>-4.664763E-7</v>
      </c>
      <c r="I5844">
        <v>-60.784329999999997</v>
      </c>
      <c r="J5844">
        <v>-276.54289999999997</v>
      </c>
      <c r="K5844">
        <v>1.110077</v>
      </c>
      <c r="L5844">
        <v>-61.206420000000001</v>
      </c>
      <c r="M5844">
        <v>0.99825370000000002</v>
      </c>
      <c r="N5844">
        <v>-1.38865E-2</v>
      </c>
      <c r="O5844">
        <v>-5.7418110000000001E-2</v>
      </c>
      <c r="P5844">
        <v>0.99594559999999999</v>
      </c>
      <c r="Q5844">
        <v>-4.8863240000000002E-2</v>
      </c>
      <c r="R5844">
        <v>7.5532829999999995E-2</v>
      </c>
      <c r="S5844">
        <v>2.993042</v>
      </c>
      <c r="T5844">
        <v>-0.24587680000000001</v>
      </c>
      <c r="U5844">
        <v>9.1949459999999997E-2</v>
      </c>
      <c r="V5844">
        <v>-0.13255420000000001</v>
      </c>
      <c r="W5844">
        <v>-3.5282000000000001E-2</v>
      </c>
      <c r="X5844">
        <v>0.99054759999999997</v>
      </c>
      <c r="Y5844">
        <v>-8.7574299999999994E-2</v>
      </c>
      <c r="Z5844">
        <v>8.1103110000000003E-3</v>
      </c>
      <c r="AA5844">
        <v>0.99612500000000004</v>
      </c>
      <c r="AB5844">
        <v>25</v>
      </c>
      <c r="AC5844">
        <v>13.3852999999999</v>
      </c>
      <c r="AD5844">
        <v>-1.1100774664763</v>
      </c>
      <c r="AE5844">
        <v>0.42208999999998997</v>
      </c>
      <c r="AF5844">
        <v>-1.18190535454055</v>
      </c>
      <c r="AG5844">
        <v>-1.1100774664763</v>
      </c>
      <c r="AH5844">
        <v>13.2479485904891</v>
      </c>
      <c r="AI5844">
        <v>94.770901525769105</v>
      </c>
      <c r="AJ5844">
        <v>95.098101107660895</v>
      </c>
      <c r="AK5844">
        <v>13.346809135704</v>
      </c>
      <c r="AL5844">
        <v>92.021929347208896</v>
      </c>
      <c r="AM5844">
        <v>97.621988513727601</v>
      </c>
      <c r="AN5844">
        <v>0.99999999166369902</v>
      </c>
    </row>
    <row r="5845" spans="1:40" x14ac:dyDescent="0.25">
      <c r="A5845" t="str">
        <f>"20190305135350143"</f>
        <v>20190305135350143</v>
      </c>
      <c r="B5845" t="str">
        <f>"1551765230136031"</f>
        <v>1551765230136031</v>
      </c>
      <c r="C5845" t="s">
        <v>40</v>
      </c>
      <c r="D5845">
        <v>4.6818730000000004</v>
      </c>
      <c r="E5845">
        <v>0.51648439999999995</v>
      </c>
      <c r="F5845" t="s">
        <v>91</v>
      </c>
      <c r="G5845">
        <v>-263.01429999999999</v>
      </c>
      <c r="H5845" s="1">
        <v>-4.0304640000000002E-7</v>
      </c>
      <c r="I5845">
        <v>-60.777070000000002</v>
      </c>
      <c r="J5845">
        <v>-276.4298</v>
      </c>
      <c r="K5845">
        <v>1.110085</v>
      </c>
      <c r="L5845">
        <v>-61.21255</v>
      </c>
      <c r="M5845">
        <v>0.99827589999999999</v>
      </c>
      <c r="N5845">
        <v>-1.388299E-2</v>
      </c>
      <c r="O5845">
        <v>-5.7030709999999998E-2</v>
      </c>
      <c r="P5845">
        <v>0.99590369999999995</v>
      </c>
      <c r="Q5845">
        <v>-4.8437620000000001E-2</v>
      </c>
      <c r="R5845">
        <v>7.6353539999999998E-2</v>
      </c>
      <c r="S5845">
        <v>2.99295</v>
      </c>
      <c r="T5845">
        <v>-0.24558250000000001</v>
      </c>
      <c r="U5845">
        <v>9.4970700000000005E-2</v>
      </c>
      <c r="V5845">
        <v>-0.13298650000000001</v>
      </c>
      <c r="W5845">
        <v>-3.4862909999999997E-2</v>
      </c>
      <c r="X5845">
        <v>0.99050450000000001</v>
      </c>
      <c r="Y5845">
        <v>-8.8192809999999996E-2</v>
      </c>
      <c r="Z5845">
        <v>8.1039389999999992E-3</v>
      </c>
      <c r="AA5845">
        <v>0.99607040000000002</v>
      </c>
      <c r="AB5845">
        <v>25</v>
      </c>
      <c r="AC5845">
        <v>13.4155</v>
      </c>
      <c r="AD5845">
        <v>-1.1100854030464</v>
      </c>
      <c r="AE5845">
        <v>0.43548000000000497</v>
      </c>
      <c r="AF5845">
        <v>-1.1917887498447199</v>
      </c>
      <c r="AG5845">
        <v>-1.1100854030464</v>
      </c>
      <c r="AH5845">
        <v>13.2780043889097</v>
      </c>
      <c r="AI5845">
        <v>94.759957625199903</v>
      </c>
      <c r="AJ5845">
        <v>95.128931464584696</v>
      </c>
      <c r="AK5845">
        <v>13.3775203449001</v>
      </c>
      <c r="AL5845">
        <v>91.997902463736494</v>
      </c>
      <c r="AM5845">
        <v>97.646881310951301</v>
      </c>
      <c r="AN5845">
        <v>0.99999999809808404</v>
      </c>
    </row>
    <row r="5846" spans="1:40" x14ac:dyDescent="0.25">
      <c r="A5846" t="str">
        <f>"20190305135350155"</f>
        <v>20190305135350155</v>
      </c>
      <c r="B5846" t="str">
        <f>"1551765230145790"</f>
        <v>1551765230145790</v>
      </c>
      <c r="C5846" t="s">
        <v>40</v>
      </c>
      <c r="D5846">
        <v>4.678998</v>
      </c>
      <c r="E5846">
        <v>0.51691929999999997</v>
      </c>
      <c r="F5846" t="s">
        <v>42</v>
      </c>
      <c r="G5846">
        <v>-262.74329999999998</v>
      </c>
      <c r="H5846" s="1">
        <v>-2.8740570000000002E-7</v>
      </c>
      <c r="I5846">
        <v>-60.779220000000002</v>
      </c>
      <c r="J5846">
        <v>-276.31259999999997</v>
      </c>
      <c r="K5846">
        <v>1.1100890000000001</v>
      </c>
      <c r="L5846">
        <v>-61.218780000000002</v>
      </c>
      <c r="M5846">
        <v>0.99829889999999999</v>
      </c>
      <c r="N5846">
        <v>-1.38797E-2</v>
      </c>
      <c r="O5846">
        <v>-5.6628919999999999E-2</v>
      </c>
      <c r="P5846">
        <v>0.99586149999999996</v>
      </c>
      <c r="Q5846">
        <v>-4.8064490000000001E-2</v>
      </c>
      <c r="R5846">
        <v>7.7134969999999997E-2</v>
      </c>
      <c r="S5846">
        <v>2.9932560000000001</v>
      </c>
      <c r="T5846">
        <v>-0.2427771</v>
      </c>
      <c r="U5846">
        <v>9.4757079999999994E-2</v>
      </c>
      <c r="V5846">
        <v>-0.13336600000000001</v>
      </c>
      <c r="W5846">
        <v>-3.4495070000000003E-2</v>
      </c>
      <c r="X5846">
        <v>0.99046639999999997</v>
      </c>
      <c r="Y5846">
        <v>-8.7731340000000005E-2</v>
      </c>
      <c r="Z5846">
        <v>7.9599990000000006E-3</v>
      </c>
      <c r="AA5846">
        <v>0.99611229999999995</v>
      </c>
      <c r="AB5846">
        <v>25</v>
      </c>
      <c r="AC5846">
        <v>13.569299999999901</v>
      </c>
      <c r="AD5846">
        <v>-1.11008928740569</v>
      </c>
      <c r="AE5846">
        <v>0.439560000000007</v>
      </c>
      <c r="AF5846">
        <v>-1.19932496359065</v>
      </c>
      <c r="AG5846">
        <v>-1.11008928740569</v>
      </c>
      <c r="AH5846">
        <v>13.4328193768195</v>
      </c>
      <c r="AI5846">
        <v>94.705559586356699</v>
      </c>
      <c r="AJ5846">
        <v>95.102021760769105</v>
      </c>
      <c r="AK5846">
        <v>13.5318629539528</v>
      </c>
      <c r="AL5846">
        <v>91.976814007351607</v>
      </c>
      <c r="AM5846">
        <v>97.668735179452597</v>
      </c>
      <c r="AN5846">
        <v>1.00000004466963</v>
      </c>
    </row>
    <row r="5847" spans="1:40" x14ac:dyDescent="0.25">
      <c r="A5847" t="str">
        <f>"20190305135350167"</f>
        <v>20190305135350167</v>
      </c>
      <c r="B5847" t="str">
        <f>"1551765230155551"</f>
        <v>1551765230155551</v>
      </c>
      <c r="C5847" t="s">
        <v>40</v>
      </c>
      <c r="D5847">
        <v>4.6493609999999999</v>
      </c>
      <c r="E5847">
        <v>0.51728830000000003</v>
      </c>
      <c r="F5847" t="s">
        <v>42</v>
      </c>
      <c r="G5847">
        <v>-262.4307</v>
      </c>
      <c r="H5847" s="1">
        <v>-1.5444619999999999E-7</v>
      </c>
      <c r="I5847">
        <v>-60.783560000000001</v>
      </c>
      <c r="J5847">
        <v>-276.18810000000002</v>
      </c>
      <c r="K5847">
        <v>1.1100939999999999</v>
      </c>
      <c r="L5847">
        <v>-61.2254</v>
      </c>
      <c r="M5847">
        <v>0.99832290000000001</v>
      </c>
      <c r="N5847">
        <v>-1.387627E-2</v>
      </c>
      <c r="O5847">
        <v>-5.6202469999999997E-2</v>
      </c>
      <c r="P5847">
        <v>0.99581929999999996</v>
      </c>
      <c r="Q5847">
        <v>-4.7807599999999999E-2</v>
      </c>
      <c r="R5847">
        <v>7.783648E-2</v>
      </c>
      <c r="S5847">
        <v>2.9936829999999999</v>
      </c>
      <c r="T5847">
        <v>-0.23939530000000001</v>
      </c>
      <c r="U5847">
        <v>9.3841549999999996E-2</v>
      </c>
      <c r="V5847">
        <v>-0.1336416</v>
      </c>
      <c r="W5847">
        <v>-3.424323E-2</v>
      </c>
      <c r="X5847">
        <v>0.99043789999999998</v>
      </c>
      <c r="Y5847">
        <v>-8.7013599999999997E-2</v>
      </c>
      <c r="Z5847">
        <v>7.7841709999999899E-3</v>
      </c>
      <c r="AA5847">
        <v>0.99617670000000003</v>
      </c>
      <c r="AB5847">
        <v>25</v>
      </c>
      <c r="AC5847">
        <v>13.757400000000001</v>
      </c>
      <c r="AD5847">
        <v>-1.1100941544462</v>
      </c>
      <c r="AE5847">
        <v>0.44184000000000601</v>
      </c>
      <c r="AF5847">
        <v>-1.2065679921118799</v>
      </c>
      <c r="AG5847">
        <v>-1.1100941544462</v>
      </c>
      <c r="AH5847">
        <v>13.622213181274301</v>
      </c>
      <c r="AI5847">
        <v>94.640734005483196</v>
      </c>
      <c r="AJ5847">
        <v>95.061682295611206</v>
      </c>
      <c r="AK5847">
        <v>13.7205250375999</v>
      </c>
      <c r="AL5847">
        <v>91.962376285248993</v>
      </c>
      <c r="AM5847">
        <v>97.684611885851297</v>
      </c>
      <c r="AN5847">
        <v>0.99999995490390003</v>
      </c>
    </row>
    <row r="5848" spans="1:40" x14ac:dyDescent="0.25">
      <c r="A5848" t="str">
        <f>"20190305135350177"</f>
        <v>20190305135350177</v>
      </c>
      <c r="B5848" t="str">
        <f>"1551765230166287"</f>
        <v>1551765230166287</v>
      </c>
      <c r="C5848" t="s">
        <v>40</v>
      </c>
      <c r="D5848">
        <v>4.7080699999999904</v>
      </c>
      <c r="E5848">
        <v>0.51761099999999904</v>
      </c>
      <c r="F5848" t="s">
        <v>91</v>
      </c>
      <c r="G5848">
        <v>-262.16199999999998</v>
      </c>
      <c r="H5848" s="1">
        <v>-4.0715349999999997E-8</v>
      </c>
      <c r="I5848">
        <v>-60.789279999999998</v>
      </c>
      <c r="J5848">
        <v>-276.0668</v>
      </c>
      <c r="K5848">
        <v>1.1100939999999999</v>
      </c>
      <c r="L5848">
        <v>-61.231780000000001</v>
      </c>
      <c r="M5848">
        <v>0.99834639999999997</v>
      </c>
      <c r="N5848">
        <v>-1.387324E-2</v>
      </c>
      <c r="O5848">
        <v>-5.578785E-2</v>
      </c>
      <c r="P5848">
        <v>0.99576569999999998</v>
      </c>
      <c r="Q5848">
        <v>-4.7917969999999997E-2</v>
      </c>
      <c r="R5848">
        <v>7.8451129999999994E-2</v>
      </c>
      <c r="S5848">
        <v>2.9939879999999999</v>
      </c>
      <c r="T5848">
        <v>-0.236959</v>
      </c>
      <c r="U5848">
        <v>9.3078610000000006E-2</v>
      </c>
      <c r="V5848">
        <v>-0.13384079999999901</v>
      </c>
      <c r="W5848">
        <v>-3.4357550000000001E-2</v>
      </c>
      <c r="X5848">
        <v>0.99040709999999998</v>
      </c>
      <c r="Y5848">
        <v>-8.6355559999999998E-2</v>
      </c>
      <c r="Z5848">
        <v>7.6450939999999998E-3</v>
      </c>
      <c r="AA5848">
        <v>0.99623510000000004</v>
      </c>
      <c r="AB5848">
        <v>25</v>
      </c>
      <c r="AC5848">
        <v>13.9047999999999</v>
      </c>
      <c r="AD5848">
        <v>-1.1100940407153499</v>
      </c>
      <c r="AE5848">
        <v>0.442500000000002</v>
      </c>
      <c r="AF5848">
        <v>-1.20990047179908</v>
      </c>
      <c r="AG5848">
        <v>-1.1100940407153499</v>
      </c>
      <c r="AH5848">
        <v>13.770770984027401</v>
      </c>
      <c r="AI5848">
        <v>94.591170416520001</v>
      </c>
      <c r="AJ5848">
        <v>95.0211159170847</v>
      </c>
      <c r="AK5848">
        <v>13.868320065004999</v>
      </c>
      <c r="AL5848">
        <v>91.968930082420798</v>
      </c>
      <c r="AM5848">
        <v>97.696165502016498</v>
      </c>
      <c r="AN5848">
        <v>1.00000001235852</v>
      </c>
    </row>
    <row r="5849" spans="1:40" x14ac:dyDescent="0.25">
      <c r="A5849" t="str">
        <f>"20190305135350189"</f>
        <v>20190305135350189</v>
      </c>
      <c r="B5849" t="str">
        <f>"1551765230185808"</f>
        <v>1551765230185808</v>
      </c>
      <c r="C5849" t="s">
        <v>40</v>
      </c>
      <c r="D5849">
        <v>4.642112</v>
      </c>
      <c r="E5849">
        <v>0.5182447</v>
      </c>
      <c r="F5849" t="s">
        <v>42</v>
      </c>
      <c r="G5849">
        <v>-261.9468</v>
      </c>
      <c r="H5849" s="1">
        <v>4.9895789999999998E-8</v>
      </c>
      <c r="I5849">
        <v>-60.795789999999997</v>
      </c>
      <c r="J5849">
        <v>-275.93990000000002</v>
      </c>
      <c r="K5849">
        <v>1.110093</v>
      </c>
      <c r="L5849">
        <v>-61.238399999999999</v>
      </c>
      <c r="M5849">
        <v>0.99837050000000005</v>
      </c>
      <c r="N5849">
        <v>-1.387011E-2</v>
      </c>
      <c r="O5849">
        <v>-5.535487E-2</v>
      </c>
      <c r="P5849">
        <v>0.99570550000000002</v>
      </c>
      <c r="Q5849">
        <v>-4.7604069999999998E-2</v>
      </c>
      <c r="R5849">
        <v>7.9403950000000001E-2</v>
      </c>
      <c r="S5849">
        <v>2.9941409999999999</v>
      </c>
      <c r="T5849">
        <v>-0.23539499999999999</v>
      </c>
      <c r="U5849">
        <v>9.2437740000000004E-2</v>
      </c>
      <c r="V5849">
        <v>-0.1343598</v>
      </c>
      <c r="W5849">
        <v>-3.4048370000000001E-2</v>
      </c>
      <c r="X5849">
        <v>0.99034750000000005</v>
      </c>
      <c r="Y5849">
        <v>-8.5717890000000005E-2</v>
      </c>
      <c r="Z5849">
        <v>7.5358780000000002E-3</v>
      </c>
      <c r="AA5849">
        <v>0.99629089999999998</v>
      </c>
      <c r="AB5849">
        <v>25</v>
      </c>
      <c r="AC5849">
        <v>13.9931</v>
      </c>
      <c r="AD5849">
        <v>-1.1100929501042001</v>
      </c>
      <c r="AE5849">
        <v>0.44260999999999401</v>
      </c>
      <c r="AF5849">
        <v>-1.2089907547440599</v>
      </c>
      <c r="AG5849">
        <v>-1.1100929501042001</v>
      </c>
      <c r="AH5849">
        <v>13.859997466243099</v>
      </c>
      <c r="AI5849">
        <v>94.561983658420004</v>
      </c>
      <c r="AJ5849">
        <v>94.985222894272297</v>
      </c>
      <c r="AK5849">
        <v>13.956844011709499</v>
      </c>
      <c r="AL5849">
        <v>91.951205009096199</v>
      </c>
      <c r="AM5849">
        <v>97.726108826003596</v>
      </c>
      <c r="AN5849">
        <v>1.00000000905597</v>
      </c>
    </row>
    <row r="5850" spans="1:40" x14ac:dyDescent="0.25">
      <c r="A5850" t="str">
        <f>"20190305135350201"</f>
        <v>20190305135350201</v>
      </c>
      <c r="B5850" t="str">
        <f>"1551765230195570"</f>
        <v>1551765230195570</v>
      </c>
      <c r="C5850" t="s">
        <v>40</v>
      </c>
      <c r="D5850">
        <v>4.5447860000000002</v>
      </c>
      <c r="E5850">
        <v>0.5182447</v>
      </c>
      <c r="F5850" t="s">
        <v>42</v>
      </c>
      <c r="G5850">
        <v>-261.57029999999997</v>
      </c>
      <c r="H5850" s="1">
        <v>2.0897179999999999E-7</v>
      </c>
      <c r="I5850">
        <v>-60.805039999999998</v>
      </c>
      <c r="J5850">
        <v>-275.80720000000002</v>
      </c>
      <c r="K5850">
        <v>1.110096</v>
      </c>
      <c r="L5850">
        <v>-61.245269999999998</v>
      </c>
      <c r="M5850">
        <v>0.99839560000000005</v>
      </c>
      <c r="N5850">
        <v>-1.386686E-2</v>
      </c>
      <c r="O5850">
        <v>-5.4903439999999998E-2</v>
      </c>
      <c r="P5850">
        <v>0.99563290000000004</v>
      </c>
      <c r="Q5850">
        <v>-4.7563550000000003E-2</v>
      </c>
      <c r="R5850">
        <v>8.0333130000000003E-2</v>
      </c>
      <c r="S5850">
        <v>2.99472</v>
      </c>
      <c r="T5850">
        <v>-0.23135040000000001</v>
      </c>
      <c r="U5850">
        <v>9.0301510000000001E-2</v>
      </c>
      <c r="V5850">
        <v>-0.1348365</v>
      </c>
      <c r="W5850">
        <v>-3.4012479999999998E-2</v>
      </c>
      <c r="X5850">
        <v>0.99028400000000005</v>
      </c>
      <c r="Y5850">
        <v>-8.4571019999999997E-2</v>
      </c>
      <c r="Z5850">
        <v>7.3216779999999999E-3</v>
      </c>
      <c r="AA5850">
        <v>0.99639060000000002</v>
      </c>
      <c r="AB5850">
        <v>25</v>
      </c>
      <c r="AC5850">
        <v>14.2369</v>
      </c>
      <c r="AD5850">
        <v>-1.1100957910282001</v>
      </c>
      <c r="AE5850">
        <v>0.44022999999999202</v>
      </c>
      <c r="AF5850">
        <v>-1.21392226386693</v>
      </c>
      <c r="AG5850">
        <v>-1.1100957910282001</v>
      </c>
      <c r="AH5850">
        <v>14.105572168290101</v>
      </c>
      <c r="AI5850">
        <v>94.4833474751686</v>
      </c>
      <c r="AJ5850">
        <v>94.918742164725998</v>
      </c>
      <c r="AK5850">
        <v>14.2011649565382</v>
      </c>
      <c r="AL5850">
        <v>91.949147361617406</v>
      </c>
      <c r="AM5850">
        <v>97.753678852219394</v>
      </c>
      <c r="AN5850">
        <v>1.0000000655919901</v>
      </c>
    </row>
    <row r="5851" spans="1:40" x14ac:dyDescent="0.25">
      <c r="A5851" t="str">
        <f>"20190305135350214"</f>
        <v>20190305135350214</v>
      </c>
      <c r="B5851" t="str">
        <f>"1551765230206302"</f>
        <v>1551765230206302</v>
      </c>
      <c r="C5851" t="s">
        <v>40</v>
      </c>
      <c r="D5851">
        <v>4.6283339999999997</v>
      </c>
      <c r="E5851">
        <v>0.51873009999999997</v>
      </c>
      <c r="F5851" t="s">
        <v>42</v>
      </c>
      <c r="G5851">
        <v>-261.42529999999999</v>
      </c>
      <c r="H5851" s="1">
        <v>2.7297549999999998E-7</v>
      </c>
      <c r="I5851">
        <v>-60.798180000000002</v>
      </c>
      <c r="J5851">
        <v>-275.66919999999999</v>
      </c>
      <c r="K5851">
        <v>1.110096</v>
      </c>
      <c r="L5851">
        <v>-61.252319999999997</v>
      </c>
      <c r="M5851">
        <v>0.99842129999999996</v>
      </c>
      <c r="N5851">
        <v>-1.3863729999999999E-2</v>
      </c>
      <c r="O5851">
        <v>-5.4434469999999999E-2</v>
      </c>
      <c r="P5851">
        <v>0.99561310000000003</v>
      </c>
      <c r="Q5851">
        <v>-4.7486929999999997E-2</v>
      </c>
      <c r="R5851">
        <v>8.0621010000000007E-2</v>
      </c>
      <c r="S5851">
        <v>2.9945979999999999</v>
      </c>
      <c r="T5851">
        <v>-0.23114489999999999</v>
      </c>
      <c r="U5851">
        <v>9.3078610000000006E-2</v>
      </c>
      <c r="V5851">
        <v>-0.13465779999999999</v>
      </c>
      <c r="W5851">
        <v>-3.3938360000000001E-2</v>
      </c>
      <c r="X5851">
        <v>0.99031080000000005</v>
      </c>
      <c r="Y5851">
        <v>-8.5027399999999906E-2</v>
      </c>
      <c r="Z5851">
        <v>7.3064640000000004E-3</v>
      </c>
      <c r="AA5851">
        <v>0.99635180000000001</v>
      </c>
      <c r="AB5851">
        <v>25</v>
      </c>
      <c r="AC5851">
        <v>14.243899999999901</v>
      </c>
      <c r="AD5851">
        <v>-1.1100957270245</v>
      </c>
      <c r="AE5851">
        <v>0.45413999999999499</v>
      </c>
      <c r="AF5851">
        <v>-1.2214884652835001</v>
      </c>
      <c r="AG5851">
        <v>-1.1100957270245</v>
      </c>
      <c r="AH5851">
        <v>14.112424416413299</v>
      </c>
      <c r="AI5851">
        <v>94.480990206401998</v>
      </c>
      <c r="AJ5851">
        <v>94.946856995919504</v>
      </c>
      <c r="AK5851">
        <v>14.208619549518399</v>
      </c>
      <c r="AL5851">
        <v>91.944898257588605</v>
      </c>
      <c r="AM5851">
        <v>97.743320574930095</v>
      </c>
      <c r="AN5851">
        <v>1.0000000079884801</v>
      </c>
    </row>
    <row r="5852" spans="1:40" x14ac:dyDescent="0.25">
      <c r="A5852" t="str">
        <f>"20190305135350225"</f>
        <v>20190305135350225</v>
      </c>
      <c r="B5852" t="str">
        <f>"1551765230216063"</f>
        <v>1551765230216063</v>
      </c>
      <c r="C5852" t="s">
        <v>40</v>
      </c>
      <c r="D5852">
        <v>4.6315119999999999</v>
      </c>
      <c r="E5852">
        <v>0.51905349999999995</v>
      </c>
      <c r="F5852" t="s">
        <v>91</v>
      </c>
      <c r="G5852">
        <v>-261.33980000000003</v>
      </c>
      <c r="H5852" s="1">
        <v>3.0338919999999998E-7</v>
      </c>
      <c r="I5852">
        <v>-60.821800000000003</v>
      </c>
      <c r="J5852">
        <v>-275.54390000000001</v>
      </c>
      <c r="K5852">
        <v>1.1100989999999999</v>
      </c>
      <c r="L5852">
        <v>-61.25873</v>
      </c>
      <c r="M5852">
        <v>0.99844429999999995</v>
      </c>
      <c r="N5852">
        <v>-1.386098E-2</v>
      </c>
      <c r="O5852">
        <v>-5.4008779999999999E-2</v>
      </c>
      <c r="P5852">
        <v>0.99558789999999997</v>
      </c>
      <c r="Q5852">
        <v>-4.7286639999999998E-2</v>
      </c>
      <c r="R5852">
        <v>8.1049129999999997E-2</v>
      </c>
      <c r="S5852">
        <v>2.9948730000000001</v>
      </c>
      <c r="T5852">
        <v>-0.23201240000000001</v>
      </c>
      <c r="U5852">
        <v>8.9965820000000002E-2</v>
      </c>
      <c r="V5852">
        <v>-0.13466249999999999</v>
      </c>
      <c r="W5852">
        <v>-3.3740699999999998E-2</v>
      </c>
      <c r="X5852">
        <v>0.99031690000000006</v>
      </c>
      <c r="Y5852">
        <v>-8.3568089999999998E-2</v>
      </c>
      <c r="Z5852">
        <v>7.2402730000000002E-3</v>
      </c>
      <c r="AA5852">
        <v>0.99647580000000002</v>
      </c>
      <c r="AB5852">
        <v>25</v>
      </c>
      <c r="AC5852">
        <v>14.204099999999899</v>
      </c>
      <c r="AD5852">
        <v>-1.1100986966108</v>
      </c>
      <c r="AE5852">
        <v>0.43693000000000298</v>
      </c>
      <c r="AF5852">
        <v>-1.1962124383338899</v>
      </c>
      <c r="AG5852">
        <v>-1.1100986966108</v>
      </c>
      <c r="AH5852">
        <v>14.0738828879403</v>
      </c>
      <c r="AI5852">
        <v>94.493817275280506</v>
      </c>
      <c r="AJ5852">
        <v>94.858189659735302</v>
      </c>
      <c r="AK5852">
        <v>14.1681834706253</v>
      </c>
      <c r="AL5852">
        <v>91.933566712882595</v>
      </c>
      <c r="AM5852">
        <v>97.7435404441907</v>
      </c>
      <c r="AN5852">
        <v>0.99999999308417498</v>
      </c>
    </row>
    <row r="5853" spans="1:40" x14ac:dyDescent="0.25">
      <c r="A5853" t="str">
        <f>"20190305135350237"</f>
        <v>20190305135350237</v>
      </c>
      <c r="B5853" t="str">
        <f>"1551765230225822"</f>
        <v>1551765230225822</v>
      </c>
      <c r="C5853" t="s">
        <v>40</v>
      </c>
      <c r="D5853">
        <v>4.651008</v>
      </c>
      <c r="E5853">
        <v>0.51937529999999998</v>
      </c>
      <c r="F5853" t="s">
        <v>91</v>
      </c>
      <c r="G5853">
        <v>-261.10289999999998</v>
      </c>
      <c r="H5853" s="1">
        <v>4.0250439999999998E-7</v>
      </c>
      <c r="I5853">
        <v>-60.831209999999999</v>
      </c>
      <c r="J5853">
        <v>-275.41759999999999</v>
      </c>
      <c r="K5853">
        <v>1.110101</v>
      </c>
      <c r="L5853">
        <v>-61.265050000000002</v>
      </c>
      <c r="M5853">
        <v>0.99846760000000001</v>
      </c>
      <c r="N5853">
        <v>-1.3858479999999999E-2</v>
      </c>
      <c r="O5853">
        <v>-5.3576260000000001E-2</v>
      </c>
      <c r="P5853">
        <v>0.99556330000000004</v>
      </c>
      <c r="Q5853">
        <v>-4.6815509999999998E-2</v>
      </c>
      <c r="R5853">
        <v>8.1622249999999993E-2</v>
      </c>
      <c r="S5853">
        <v>2.995117</v>
      </c>
      <c r="T5853">
        <v>-0.23023759999999999</v>
      </c>
      <c r="U5853">
        <v>8.8653560000000006E-2</v>
      </c>
      <c r="V5853">
        <v>-0.134804799999999</v>
      </c>
      <c r="W5853">
        <v>-3.3272900000000001E-2</v>
      </c>
      <c r="X5853">
        <v>0.99031340000000001</v>
      </c>
      <c r="Y5853">
        <v>-8.2707820000000001E-2</v>
      </c>
      <c r="Z5853">
        <v>7.1170410000000002E-3</v>
      </c>
      <c r="AA5853">
        <v>0.9965484</v>
      </c>
      <c r="AB5853">
        <v>25</v>
      </c>
      <c r="AC5853">
        <v>14.3147</v>
      </c>
      <c r="AD5853">
        <v>-1.1101005974956</v>
      </c>
      <c r="AE5853">
        <v>0.433840000000003</v>
      </c>
      <c r="AF5853">
        <v>-1.1930501552685</v>
      </c>
      <c r="AG5853">
        <v>-1.1101005974956</v>
      </c>
      <c r="AH5853">
        <v>14.185657343609201</v>
      </c>
      <c r="AI5853">
        <v>94.458892400498499</v>
      </c>
      <c r="AJ5853">
        <v>94.807408612901796</v>
      </c>
      <c r="AK5853">
        <v>14.2789553637457</v>
      </c>
      <c r="AL5853">
        <v>91.906748627127797</v>
      </c>
      <c r="AM5853">
        <v>97.751650795903998</v>
      </c>
      <c r="AN5853">
        <v>1.0000000250984999</v>
      </c>
    </row>
    <row r="5854" spans="1:40" x14ac:dyDescent="0.25">
      <c r="A5854" t="str">
        <f>"20190305135350251"</f>
        <v>20190305135350251</v>
      </c>
      <c r="B5854" t="str">
        <f>"1551765230246321"</f>
        <v>1551765230246321</v>
      </c>
      <c r="C5854" t="s">
        <v>40</v>
      </c>
      <c r="D5854">
        <v>4.7021709999999999</v>
      </c>
      <c r="E5854">
        <v>0.51900970000000002</v>
      </c>
      <c r="F5854" t="s">
        <v>42</v>
      </c>
      <c r="G5854">
        <v>-260.81319999999999</v>
      </c>
      <c r="H5854" s="1">
        <v>5.2531819999999897E-7</v>
      </c>
      <c r="I5854">
        <v>-60.836759999999998</v>
      </c>
      <c r="J5854">
        <v>-275.28879999999998</v>
      </c>
      <c r="K5854">
        <v>1.1101019999999999</v>
      </c>
      <c r="L5854">
        <v>-61.271479999999997</v>
      </c>
      <c r="M5854">
        <v>0.99849129999999997</v>
      </c>
      <c r="N5854">
        <v>-1.3855940000000001E-2</v>
      </c>
      <c r="O5854">
        <v>-5.3133359999999998E-2</v>
      </c>
      <c r="P5854">
        <v>0.99554830000000005</v>
      </c>
      <c r="Q5854">
        <v>-4.632816E-2</v>
      </c>
      <c r="R5854">
        <v>8.2082260000000004E-2</v>
      </c>
      <c r="S5854">
        <v>2.9954529999999999</v>
      </c>
      <c r="T5854">
        <v>-0.2276881</v>
      </c>
      <c r="U5854">
        <v>8.7829589999999999E-2</v>
      </c>
      <c r="V5854">
        <v>-0.1348249</v>
      </c>
      <c r="W5854">
        <v>-3.2788779999999997E-2</v>
      </c>
      <c r="X5854">
        <v>0.99032679999999995</v>
      </c>
      <c r="Y5854">
        <v>-8.2000610000000002E-2</v>
      </c>
      <c r="Z5854">
        <v>6.9766139999999999E-3</v>
      </c>
      <c r="AA5854">
        <v>0.99660780000000004</v>
      </c>
      <c r="AB5854">
        <v>25</v>
      </c>
      <c r="AC5854">
        <v>14.475599999999901</v>
      </c>
      <c r="AD5854">
        <v>-1.1101014746818001</v>
      </c>
      <c r="AE5854">
        <v>0.43472000000000499</v>
      </c>
      <c r="AF5854">
        <v>-1.19628786347088</v>
      </c>
      <c r="AG5854">
        <v>-1.1101014746818001</v>
      </c>
      <c r="AH5854">
        <v>14.347744598213501</v>
      </c>
      <c r="AI5854">
        <v>94.408987797927196</v>
      </c>
      <c r="AJ5854">
        <v>94.766189645305104</v>
      </c>
      <c r="AK5854">
        <v>14.4402633283449</v>
      </c>
      <c r="AL5854">
        <v>91.878995471122906</v>
      </c>
      <c r="AM5854">
        <v>97.752688919999699</v>
      </c>
      <c r="AN5854">
        <v>1.0000000142760599</v>
      </c>
    </row>
    <row r="5855" spans="1:40" x14ac:dyDescent="0.25">
      <c r="A5855" t="str">
        <f>"20190305135350260"</f>
        <v>20190305135350260</v>
      </c>
      <c r="B5855" t="str">
        <f>"1551765230256078"</f>
        <v>1551765230256078</v>
      </c>
      <c r="C5855" t="s">
        <v>40</v>
      </c>
      <c r="D5855">
        <v>4.5351269999999904</v>
      </c>
      <c r="E5855">
        <v>0.5184453</v>
      </c>
      <c r="F5855" t="s">
        <v>42</v>
      </c>
      <c r="G5855">
        <v>-260.74329999999998</v>
      </c>
      <c r="H5855" s="1">
        <v>5.5855759999999997E-7</v>
      </c>
      <c r="I5855">
        <v>-60.824440000000003</v>
      </c>
      <c r="J5855">
        <v>-275.15350000000001</v>
      </c>
      <c r="K5855">
        <v>1.110104</v>
      </c>
      <c r="L5855">
        <v>-61.278170000000003</v>
      </c>
      <c r="M5855">
        <v>0.99851630000000002</v>
      </c>
      <c r="N5855">
        <v>-1.3853290000000001E-2</v>
      </c>
      <c r="O5855">
        <v>-5.2662540000000001E-2</v>
      </c>
      <c r="P5855">
        <v>0.99554600000000004</v>
      </c>
      <c r="Q5855">
        <v>-4.5871439999999999E-2</v>
      </c>
      <c r="R5855">
        <v>8.2364309999999996E-2</v>
      </c>
      <c r="S5855">
        <v>2.9951780000000001</v>
      </c>
      <c r="T5855">
        <v>-0.2285904</v>
      </c>
      <c r="U5855">
        <v>9.2041020000000001E-2</v>
      </c>
      <c r="V5855">
        <v>-0.1346395</v>
      </c>
      <c r="W5855">
        <v>-3.2335429999999998E-2</v>
      </c>
      <c r="X5855">
        <v>0.99036690000000005</v>
      </c>
      <c r="Y5855">
        <v>-8.2927989999999993E-2</v>
      </c>
      <c r="Z5855">
        <v>7.017896E-3</v>
      </c>
      <c r="AA5855">
        <v>0.99653080000000005</v>
      </c>
      <c r="AB5855">
        <v>25</v>
      </c>
      <c r="AC5855">
        <v>14.4102</v>
      </c>
      <c r="AD5855">
        <v>-1.1101034414424</v>
      </c>
      <c r="AE5855">
        <v>0.45372999999999297</v>
      </c>
      <c r="AF5855">
        <v>-1.20490732400876</v>
      </c>
      <c r="AG5855">
        <v>-1.1101034414424</v>
      </c>
      <c r="AH5855">
        <v>14.281632266517599</v>
      </c>
      <c r="AI5855">
        <v>94.428961038011394</v>
      </c>
      <c r="AJ5855">
        <v>94.822488202221805</v>
      </c>
      <c r="AK5855">
        <v>14.375296571069001</v>
      </c>
      <c r="AL5855">
        <v>91.853006700897296</v>
      </c>
      <c r="AM5855">
        <v>97.741847773587295</v>
      </c>
      <c r="AN5855">
        <v>0.99999998580457194</v>
      </c>
    </row>
    <row r="5856" spans="1:40" x14ac:dyDescent="0.25">
      <c r="A5856" t="str">
        <f>"20190305135350271"</f>
        <v>20190305135350271</v>
      </c>
      <c r="B5856" t="str">
        <f>"1551765230265838"</f>
        <v>1551765230265838</v>
      </c>
      <c r="C5856" t="s">
        <v>40</v>
      </c>
      <c r="D5856">
        <v>4.5565660000000001</v>
      </c>
      <c r="E5856">
        <v>0.5184453</v>
      </c>
      <c r="F5856" t="s">
        <v>91</v>
      </c>
      <c r="G5856">
        <v>-260.41750000000002</v>
      </c>
      <c r="H5856" s="1">
        <v>7.050551E-7</v>
      </c>
      <c r="I5856">
        <v>-60.799109999999999</v>
      </c>
      <c r="J5856">
        <v>-275.04140000000001</v>
      </c>
      <c r="K5856">
        <v>1.110106</v>
      </c>
      <c r="L5856">
        <v>-61.283630000000002</v>
      </c>
      <c r="M5856">
        <v>0.99853709999999996</v>
      </c>
      <c r="N5856">
        <v>-1.385131E-2</v>
      </c>
      <c r="O5856">
        <v>-5.2264999999999999E-2</v>
      </c>
      <c r="P5856">
        <v>0.99551630000000002</v>
      </c>
      <c r="Q5856">
        <v>-4.546654E-2</v>
      </c>
      <c r="R5856">
        <v>8.2946590000000001E-2</v>
      </c>
      <c r="S5856">
        <v>2.9949949999999999</v>
      </c>
      <c r="T5856">
        <v>-0.22562180000000001</v>
      </c>
      <c r="U5856">
        <v>9.7351069999999998E-2</v>
      </c>
      <c r="V5856">
        <v>-0.13482539999999901</v>
      </c>
      <c r="W5856">
        <v>-3.193497E-2</v>
      </c>
      <c r="X5856">
        <v>0.99035459999999997</v>
      </c>
      <c r="Y5856">
        <v>-8.4304240000000003E-2</v>
      </c>
      <c r="Z5856">
        <v>6.9622590000000002E-3</v>
      </c>
      <c r="AA5856">
        <v>0.99641570000000002</v>
      </c>
      <c r="AB5856">
        <v>25</v>
      </c>
      <c r="AC5856">
        <v>14.6238999999999</v>
      </c>
      <c r="AD5856">
        <v>-1.1101052949449</v>
      </c>
      <c r="AE5856">
        <v>0.484520000000003</v>
      </c>
      <c r="AF5856">
        <v>-1.24110530648212</v>
      </c>
      <c r="AG5856">
        <v>-1.1101052949449</v>
      </c>
      <c r="AH5856">
        <v>14.4951481172891</v>
      </c>
      <c r="AI5856">
        <v>94.363522714881896</v>
      </c>
      <c r="AJ5856">
        <v>94.8938502005592</v>
      </c>
      <c r="AK5856">
        <v>14.5904761776232</v>
      </c>
      <c r="AL5856">
        <v>91.830050182697207</v>
      </c>
      <c r="AM5856">
        <v>97.752502343180495</v>
      </c>
      <c r="AN5856">
        <v>0.99999998226761</v>
      </c>
    </row>
    <row r="5857" spans="1:40" x14ac:dyDescent="0.25">
      <c r="A5857" t="str">
        <f>"20190305135350282"</f>
        <v>20190305135350282</v>
      </c>
      <c r="B5857" t="str">
        <f>"1551765230275599"</f>
        <v>1551765230275599</v>
      </c>
      <c r="C5857" t="s">
        <v>40</v>
      </c>
      <c r="D5857">
        <v>4.5469850000000003</v>
      </c>
      <c r="E5857">
        <v>0.49261680000000002</v>
      </c>
      <c r="F5857" t="s">
        <v>91</v>
      </c>
      <c r="G5857">
        <v>-260.22489999999999</v>
      </c>
      <c r="H5857" s="1">
        <v>7.8924859999999895E-7</v>
      </c>
      <c r="I5857">
        <v>-60.793210000000002</v>
      </c>
      <c r="J5857">
        <v>-274.93060000000003</v>
      </c>
      <c r="K5857">
        <v>1.110115</v>
      </c>
      <c r="L5857">
        <v>-61.289029999999997</v>
      </c>
      <c r="M5857">
        <v>0.9985581</v>
      </c>
      <c r="N5857">
        <v>-1.3849500000000001E-2</v>
      </c>
      <c r="O5857">
        <v>-5.1867330000000003E-2</v>
      </c>
      <c r="P5857">
        <v>0.99551060000000002</v>
      </c>
      <c r="Q5857">
        <v>-4.519476E-2</v>
      </c>
      <c r="R5857">
        <v>8.3166030000000002E-2</v>
      </c>
      <c r="S5857">
        <v>2.9950559999999999</v>
      </c>
      <c r="T5857">
        <v>-0.2244012</v>
      </c>
      <c r="U5857">
        <v>9.9121089999999995E-2</v>
      </c>
      <c r="V5857">
        <v>-0.1346504</v>
      </c>
      <c r="W5857">
        <v>-3.166683E-2</v>
      </c>
      <c r="X5857">
        <v>0.99038700000000002</v>
      </c>
      <c r="Y5857">
        <v>-8.4499169999999998E-2</v>
      </c>
      <c r="Z5857">
        <v>6.9081899999999998E-3</v>
      </c>
      <c r="AA5857">
        <v>0.99639960000000005</v>
      </c>
      <c r="AB5857">
        <v>24</v>
      </c>
      <c r="AC5857">
        <v>14.7057</v>
      </c>
      <c r="AD5857">
        <v>-1.1101142107513999</v>
      </c>
      <c r="AE5857">
        <v>0.49582000000000798</v>
      </c>
      <c r="AF5857">
        <v>-1.2508509931848599</v>
      </c>
      <c r="AG5857">
        <v>-1.1101142107513999</v>
      </c>
      <c r="AH5857">
        <v>14.5772082372397</v>
      </c>
      <c r="AI5857">
        <v>94.339019117557797</v>
      </c>
      <c r="AJ5857">
        <v>94.904461344908398</v>
      </c>
      <c r="AK5857">
        <v>14.672831415916701</v>
      </c>
      <c r="AL5857">
        <v>91.814679150795698</v>
      </c>
      <c r="AM5857">
        <v>97.742311699721398</v>
      </c>
      <c r="AN5857">
        <v>0.99999996405570302</v>
      </c>
    </row>
    <row r="5858" spans="1:40" x14ac:dyDescent="0.25">
      <c r="A5858" t="str">
        <f>"20190305135350291"</f>
        <v>20190305135350291</v>
      </c>
      <c r="B5858" t="str">
        <f>"1551765230286335"</f>
        <v>1551765230286335</v>
      </c>
      <c r="C5858" t="s">
        <v>40</v>
      </c>
      <c r="D5858">
        <v>4.5313860000000004</v>
      </c>
      <c r="E5858">
        <v>0.49306909999999998</v>
      </c>
      <c r="F5858" t="s">
        <v>42</v>
      </c>
      <c r="G5858">
        <v>-260.46510000000001</v>
      </c>
      <c r="H5858" s="1">
        <v>6.8694030000000001E-7</v>
      </c>
      <c r="I5858">
        <v>-59.807619999999901</v>
      </c>
      <c r="J5858">
        <v>-274.82679999999999</v>
      </c>
      <c r="K5858">
        <v>1.1101209999999999</v>
      </c>
      <c r="L5858">
        <v>-61.293979999999998</v>
      </c>
      <c r="M5858">
        <v>0.99857779999999996</v>
      </c>
      <c r="N5858">
        <v>-1.384785E-2</v>
      </c>
      <c r="O5858">
        <v>-5.1482380000000001E-2</v>
      </c>
      <c r="P5858">
        <v>0.99547819999999998</v>
      </c>
      <c r="Q5858">
        <v>-4.5317059999999999E-2</v>
      </c>
      <c r="R5858">
        <v>8.3483580000000002E-2</v>
      </c>
      <c r="S5858">
        <v>2.9776919999999998</v>
      </c>
      <c r="T5858">
        <v>-0.22851369999999999</v>
      </c>
      <c r="U5858">
        <v>0.30493160000000002</v>
      </c>
      <c r="V5858">
        <v>-0.1345828</v>
      </c>
      <c r="W5858">
        <v>-3.1794059999999999E-2</v>
      </c>
      <c r="X5858">
        <v>0.9903921</v>
      </c>
      <c r="Y5858">
        <v>-0.15233150000000001</v>
      </c>
      <c r="Z5858">
        <v>1.0106789999999999E-2</v>
      </c>
      <c r="AA5858">
        <v>0.98827779999999998</v>
      </c>
      <c r="AB5858">
        <v>24</v>
      </c>
      <c r="AC5858">
        <v>14.3616999999999</v>
      </c>
      <c r="AD5858">
        <v>-1.1101203130596999</v>
      </c>
      <c r="AE5858">
        <v>1.4863600000000099</v>
      </c>
      <c r="AF5858">
        <v>-2.2107649824809199</v>
      </c>
      <c r="AG5858">
        <v>-1.1101203130596999</v>
      </c>
      <c r="AH5858">
        <v>14.1822833671996</v>
      </c>
      <c r="AI5858">
        <v>94.422515873497503</v>
      </c>
      <c r="AJ5858">
        <v>98.860084666686802</v>
      </c>
      <c r="AK5858">
        <v>14.396423528945601</v>
      </c>
      <c r="AL5858">
        <v>91.821972587524499</v>
      </c>
      <c r="AM5858">
        <v>97.738432486040196</v>
      </c>
      <c r="AN5858">
        <v>0.99999995202476499</v>
      </c>
    </row>
    <row r="5859" spans="1:40" x14ac:dyDescent="0.25">
      <c r="A5859" t="str">
        <f>"20190305135350300"</f>
        <v>20190305135350300</v>
      </c>
      <c r="B5859" t="str">
        <f>"1551765230296095"</f>
        <v>1551765230296095</v>
      </c>
      <c r="C5859" t="s">
        <v>40</v>
      </c>
      <c r="D5859">
        <v>4.4929430000000004</v>
      </c>
      <c r="E5859">
        <v>0.49381029999999998</v>
      </c>
      <c r="F5859" t="s">
        <v>42</v>
      </c>
      <c r="G5859">
        <v>-260.70600000000002</v>
      </c>
      <c r="H5859" s="1">
        <v>5.9927330000000005E-7</v>
      </c>
      <c r="I5859">
        <v>-59.861710000000002</v>
      </c>
      <c r="J5859">
        <v>-274.7183</v>
      </c>
      <c r="K5859">
        <v>1.1101299999999901</v>
      </c>
      <c r="L5859">
        <v>-61.299160000000001</v>
      </c>
      <c r="M5859">
        <v>0.99859909999999996</v>
      </c>
      <c r="N5859">
        <v>-1.384615E-2</v>
      </c>
      <c r="O5859">
        <v>-5.107271E-2</v>
      </c>
      <c r="P5859">
        <v>0.99545910000000004</v>
      </c>
      <c r="Q5859">
        <v>-4.5277100000000001E-2</v>
      </c>
      <c r="R5859">
        <v>8.3733340000000003E-2</v>
      </c>
      <c r="S5859">
        <v>2.9775999999999998</v>
      </c>
      <c r="T5859">
        <v>-0.23408699999999999</v>
      </c>
      <c r="U5859">
        <v>0.30200199999999999</v>
      </c>
      <c r="V5859">
        <v>-0.13442419999999999</v>
      </c>
      <c r="W5859">
        <v>-3.1759469999999998E-2</v>
      </c>
      <c r="X5859">
        <v>0.99041480000000004</v>
      </c>
      <c r="Y5859">
        <v>-0.15094250000000001</v>
      </c>
      <c r="Z5859">
        <v>1.0254350000000001E-2</v>
      </c>
      <c r="AA5859">
        <v>0.98848930000000002</v>
      </c>
      <c r="AB5859">
        <v>24</v>
      </c>
      <c r="AC5859">
        <v>14.0123</v>
      </c>
      <c r="AD5859">
        <v>-1.11012940072669</v>
      </c>
      <c r="AE5859">
        <v>1.4374499999999999</v>
      </c>
      <c r="AF5859">
        <v>-2.1380085228122199</v>
      </c>
      <c r="AG5859">
        <v>-1.11012940072669</v>
      </c>
      <c r="AH5859">
        <v>13.834656996364499</v>
      </c>
      <c r="AI5859">
        <v>94.534139151197706</v>
      </c>
      <c r="AJ5859">
        <v>98.784996036123701</v>
      </c>
      <c r="AK5859">
        <v>14.042834540684201</v>
      </c>
      <c r="AL5859">
        <v>91.819989632666307</v>
      </c>
      <c r="AM5859">
        <v>97.729248368922597</v>
      </c>
      <c r="AN5859">
        <v>1.00000000276968</v>
      </c>
    </row>
    <row r="5860" spans="1:40" x14ac:dyDescent="0.25">
      <c r="A5860" t="str">
        <f>"20190305135350312"</f>
        <v>20190305135350312</v>
      </c>
      <c r="B5860" t="str">
        <f>"1551765230305854"</f>
        <v>1551765230305854</v>
      </c>
      <c r="C5860" t="s">
        <v>40</v>
      </c>
      <c r="D5860">
        <v>4.4866869999999999</v>
      </c>
      <c r="E5860">
        <v>0.49453849999999999</v>
      </c>
      <c r="F5860" t="s">
        <v>91</v>
      </c>
      <c r="G5860">
        <v>-260.49239999999998</v>
      </c>
      <c r="H5860" s="1">
        <v>6.9428299999999896E-7</v>
      </c>
      <c r="I5860">
        <v>-59.880870000000002</v>
      </c>
      <c r="J5860">
        <v>-274.58749999999998</v>
      </c>
      <c r="K5860">
        <v>1.110147</v>
      </c>
      <c r="L5860">
        <v>-61.305269999999901</v>
      </c>
      <c r="M5860">
        <v>0.99862530000000005</v>
      </c>
      <c r="N5860">
        <v>-1.3844209999999999E-2</v>
      </c>
      <c r="O5860">
        <v>-5.0557789999999998E-2</v>
      </c>
      <c r="P5860">
        <v>0.99544350000000004</v>
      </c>
      <c r="Q5860">
        <v>-4.5359539999999997E-2</v>
      </c>
      <c r="R5860">
        <v>8.3873779999999995E-2</v>
      </c>
      <c r="S5860">
        <v>2.97818</v>
      </c>
      <c r="T5860">
        <v>-0.23240569999999999</v>
      </c>
      <c r="U5860">
        <v>0.29690549999999999</v>
      </c>
      <c r="V5860">
        <v>-0.13405120000000001</v>
      </c>
      <c r="W5860">
        <v>-3.184915E-2</v>
      </c>
      <c r="X5860">
        <v>0.99046250000000002</v>
      </c>
      <c r="Y5860">
        <v>-0.14875650000000001</v>
      </c>
      <c r="Z5860">
        <v>1.0048949999999999E-2</v>
      </c>
      <c r="AA5860">
        <v>0.9888228</v>
      </c>
      <c r="AB5860">
        <v>24</v>
      </c>
      <c r="AC5860">
        <v>14.0951</v>
      </c>
      <c r="AD5860">
        <v>-1.110146305717</v>
      </c>
      <c r="AE5860">
        <v>1.4243999999999899</v>
      </c>
      <c r="AF5860">
        <v>-2.1222315655411998</v>
      </c>
      <c r="AG5860">
        <v>-1.110146305717</v>
      </c>
      <c r="AH5860">
        <v>13.919574776529799</v>
      </c>
      <c r="AI5860">
        <v>94.508058470660202</v>
      </c>
      <c r="AJ5860">
        <v>98.668775684835794</v>
      </c>
      <c r="AK5860">
        <v>14.1241231089679</v>
      </c>
      <c r="AL5860">
        <v>91.825130472352399</v>
      </c>
      <c r="AM5860">
        <v>97.707692705348805</v>
      </c>
      <c r="AN5860">
        <v>1.0000000282417001</v>
      </c>
    </row>
    <row r="5861" spans="1:40" x14ac:dyDescent="0.25">
      <c r="A5861" t="str">
        <f>"20190305135350323"</f>
        <v>20190305135350323</v>
      </c>
      <c r="B5861" t="str">
        <f>"1551765230315615"</f>
        <v>1551765230315615</v>
      </c>
      <c r="C5861" t="s">
        <v>40</v>
      </c>
      <c r="D5861">
        <v>4.4665319999999999</v>
      </c>
      <c r="E5861">
        <v>0.49515239999999999</v>
      </c>
      <c r="F5861" t="s">
        <v>91</v>
      </c>
      <c r="G5861">
        <v>-260.34789999999998</v>
      </c>
      <c r="H5861" s="1">
        <v>7.5439230000000005E-7</v>
      </c>
      <c r="I5861">
        <v>-59.91133</v>
      </c>
      <c r="J5861">
        <v>-274.4701</v>
      </c>
      <c r="K5861">
        <v>1.1101669999999999</v>
      </c>
      <c r="L5861">
        <v>-61.31073</v>
      </c>
      <c r="M5861">
        <v>0.99864900000000001</v>
      </c>
      <c r="N5861">
        <v>-1.3842490000000001E-2</v>
      </c>
      <c r="O5861">
        <v>-5.00858E-2</v>
      </c>
      <c r="P5861">
        <v>0.99541860000000004</v>
      </c>
      <c r="Q5861">
        <v>-4.5433059999999997E-2</v>
      </c>
      <c r="R5861">
        <v>8.4130319999999995E-2</v>
      </c>
      <c r="S5861">
        <v>2.9786069999999998</v>
      </c>
      <c r="T5861">
        <v>-0.23221839999999999</v>
      </c>
      <c r="U5861">
        <v>0.29156490000000002</v>
      </c>
      <c r="V5861">
        <v>-0.1338374</v>
      </c>
      <c r="W5861">
        <v>-3.1930189999999997E-2</v>
      </c>
      <c r="X5861">
        <v>0.99048879999999995</v>
      </c>
      <c r="Y5861">
        <v>-0.14652889999999999</v>
      </c>
      <c r="Z5861">
        <v>9.908231E-3</v>
      </c>
      <c r="AA5861">
        <v>0.98915679999999995</v>
      </c>
      <c r="AB5861">
        <v>24</v>
      </c>
      <c r="AC5861">
        <v>14.122199999999999</v>
      </c>
      <c r="AD5861">
        <v>-1.1101662456076999</v>
      </c>
      <c r="AE5861">
        <v>1.3994</v>
      </c>
      <c r="AF5861">
        <v>-2.0922290126653702</v>
      </c>
      <c r="AG5861">
        <v>-1.1101662456076999</v>
      </c>
      <c r="AH5861">
        <v>13.9490120239543</v>
      </c>
      <c r="AI5861">
        <v>94.500302578613102</v>
      </c>
      <c r="AJ5861">
        <v>98.530272342213294</v>
      </c>
      <c r="AK5861">
        <v>14.148668763482499</v>
      </c>
      <c r="AL5861">
        <v>91.829776091277196</v>
      </c>
      <c r="AM5861">
        <v>97.695345145252105</v>
      </c>
      <c r="AN5861">
        <v>1.0000000247988099</v>
      </c>
    </row>
    <row r="5862" spans="1:40" x14ac:dyDescent="0.25">
      <c r="A5862" t="str">
        <f>"20190305135350335"</f>
        <v>20190305135350335</v>
      </c>
      <c r="B5862" t="str">
        <f>"1551765230326351"</f>
        <v>1551765230326351</v>
      </c>
      <c r="C5862" t="s">
        <v>40</v>
      </c>
      <c r="D5862">
        <v>4.4844369999999998</v>
      </c>
      <c r="E5862">
        <v>0.49574319999999999</v>
      </c>
      <c r="F5862" t="s">
        <v>91</v>
      </c>
      <c r="G5862">
        <v>-260.1447</v>
      </c>
      <c r="H5862" s="1">
        <v>8.2808029999999996E-7</v>
      </c>
      <c r="I5862">
        <v>-59.928379999999997</v>
      </c>
      <c r="J5862">
        <v>-274.35419999999999</v>
      </c>
      <c r="K5862">
        <v>1.1101920000000001</v>
      </c>
      <c r="L5862">
        <v>-61.315980000000003</v>
      </c>
      <c r="M5862">
        <v>0.99867379999999994</v>
      </c>
      <c r="N5862">
        <v>-1.384112E-2</v>
      </c>
      <c r="O5862">
        <v>-4.9590620000000002E-2</v>
      </c>
      <c r="P5862">
        <v>0.99539339999999998</v>
      </c>
      <c r="Q5862">
        <v>-4.5598760000000002E-2</v>
      </c>
      <c r="R5862">
        <v>8.4338640000000006E-2</v>
      </c>
      <c r="S5862">
        <v>2.9789729999999999</v>
      </c>
      <c r="T5862">
        <v>-0.2308595</v>
      </c>
      <c r="U5862">
        <v>0.28744509999999901</v>
      </c>
      <c r="V5862">
        <v>-0.1335509</v>
      </c>
      <c r="W5862">
        <v>-3.2104210000000001E-2</v>
      </c>
      <c r="X5862">
        <v>0.99052180000000001</v>
      </c>
      <c r="Y5862">
        <v>-0.1446858</v>
      </c>
      <c r="Z5862">
        <v>9.7362249999999994E-3</v>
      </c>
      <c r="AA5862">
        <v>0.98942980000000003</v>
      </c>
      <c r="AB5862">
        <v>24</v>
      </c>
      <c r="AC5862">
        <v>14.209499999999901</v>
      </c>
      <c r="AD5862">
        <v>-1.1101911719197</v>
      </c>
      <c r="AE5862">
        <v>1.38759999999999</v>
      </c>
      <c r="AF5862">
        <v>-2.07805248109949</v>
      </c>
      <c r="AG5862">
        <v>-1.1101911719197</v>
      </c>
      <c r="AH5862">
        <v>14.0383101587543</v>
      </c>
      <c r="AI5862">
        <v>94.4731677277112</v>
      </c>
      <c r="AJ5862">
        <v>98.420190850266195</v>
      </c>
      <c r="AK5862">
        <v>14.2346400961105</v>
      </c>
      <c r="AL5862">
        <v>91.839751899906503</v>
      </c>
      <c r="AM5862">
        <v>97.678816034271605</v>
      </c>
      <c r="AN5862">
        <v>0.99999997973288601</v>
      </c>
    </row>
    <row r="5863" spans="1:40" x14ac:dyDescent="0.25">
      <c r="A5863" t="str">
        <f>"20190305135350344"</f>
        <v>20190305135350344</v>
      </c>
      <c r="B5863" t="str">
        <f>"1551765230336111"</f>
        <v>1551765230336111</v>
      </c>
      <c r="C5863" t="s">
        <v>40</v>
      </c>
      <c r="D5863">
        <v>4.4832769999999904</v>
      </c>
      <c r="E5863">
        <v>0.49605369999999999</v>
      </c>
      <c r="F5863" t="s">
        <v>42</v>
      </c>
      <c r="G5863">
        <v>-260.05630000000002</v>
      </c>
      <c r="H5863" s="1">
        <v>8.6556629999999996E-7</v>
      </c>
      <c r="I5863">
        <v>-59.956200000000003</v>
      </c>
      <c r="J5863">
        <v>-274.23840000000001</v>
      </c>
      <c r="K5863">
        <v>1.11022</v>
      </c>
      <c r="L5863">
        <v>-61.32123</v>
      </c>
      <c r="M5863">
        <v>0.99869839999999999</v>
      </c>
      <c r="N5863">
        <v>-1.383977E-2</v>
      </c>
      <c r="O5863">
        <v>-4.9091019999999999E-2</v>
      </c>
      <c r="P5863">
        <v>0.99538199999999999</v>
      </c>
      <c r="Q5863">
        <v>-4.5648300000000003E-2</v>
      </c>
      <c r="R5863">
        <v>8.444451E-2</v>
      </c>
      <c r="S5863">
        <v>2.979279</v>
      </c>
      <c r="T5863">
        <v>-0.23133190000000001</v>
      </c>
      <c r="U5863">
        <v>0.2833252</v>
      </c>
      <c r="V5863">
        <v>-0.1331591</v>
      </c>
      <c r="W5863">
        <v>-3.2161809999999999E-2</v>
      </c>
      <c r="X5863">
        <v>0.99057269999999997</v>
      </c>
      <c r="Y5863">
        <v>-0.14283029999999999</v>
      </c>
      <c r="Z5863">
        <v>9.6384959999999999E-3</v>
      </c>
      <c r="AA5863">
        <v>0.98970029999999998</v>
      </c>
      <c r="AB5863">
        <v>24</v>
      </c>
      <c r="AC5863">
        <v>14.182099999999901</v>
      </c>
      <c r="AD5863">
        <v>-1.1102191344337</v>
      </c>
      <c r="AE5863">
        <v>1.36503</v>
      </c>
      <c r="AF5863">
        <v>-2.0472335392902901</v>
      </c>
      <c r="AG5863">
        <v>-1.1102191344337</v>
      </c>
      <c r="AH5863">
        <v>14.0128941146508</v>
      </c>
      <c r="AI5863">
        <v>94.482601032789205</v>
      </c>
      <c r="AJ5863">
        <v>98.311903768354099</v>
      </c>
      <c r="AK5863">
        <v>14.205103067534299</v>
      </c>
      <c r="AL5863">
        <v>91.843053802855096</v>
      </c>
      <c r="AM5863">
        <v>97.656167450848997</v>
      </c>
      <c r="AN5863">
        <v>1.0000000009602801</v>
      </c>
    </row>
    <row r="5864" spans="1:40" x14ac:dyDescent="0.25">
      <c r="A5864" t="str">
        <f>"20190305135350356"</f>
        <v>20190305135350356</v>
      </c>
      <c r="B5864" t="str">
        <f>"1551765230345872"</f>
        <v>1551765230345872</v>
      </c>
      <c r="C5864" t="s">
        <v>40</v>
      </c>
      <c r="D5864">
        <v>4.9944989999999896</v>
      </c>
      <c r="E5864">
        <v>0.49706620000000001</v>
      </c>
      <c r="F5864" t="s">
        <v>42</v>
      </c>
      <c r="G5864">
        <v>-259.97390000000001</v>
      </c>
      <c r="H5864" s="1">
        <v>8.9862609999999998E-7</v>
      </c>
      <c r="I5864">
        <v>-59.975090000000002</v>
      </c>
      <c r="J5864">
        <v>-274.11419999999998</v>
      </c>
      <c r="K5864">
        <v>1.110252</v>
      </c>
      <c r="L5864">
        <v>-61.326689999999999</v>
      </c>
      <c r="M5864">
        <v>0.99872669999999997</v>
      </c>
      <c r="N5864">
        <v>-1.383846E-2</v>
      </c>
      <c r="O5864">
        <v>-4.8516129999999998E-2</v>
      </c>
      <c r="P5864">
        <v>0.99535459999999998</v>
      </c>
      <c r="Q5864">
        <v>-4.5584149999999997E-2</v>
      </c>
      <c r="R5864">
        <v>8.4801940000000006E-2</v>
      </c>
      <c r="S5864">
        <v>2.9794619999999998</v>
      </c>
      <c r="T5864">
        <v>-0.2318954</v>
      </c>
      <c r="U5864">
        <v>0.28115839999999998</v>
      </c>
      <c r="V5864">
        <v>-0.13294249999999999</v>
      </c>
      <c r="W5864">
        <v>-3.2107900000000002E-2</v>
      </c>
      <c r="X5864">
        <v>0.99060360000000003</v>
      </c>
      <c r="Y5864">
        <v>-0.14154430000000001</v>
      </c>
      <c r="Z5864">
        <v>9.5653330000000005E-3</v>
      </c>
      <c r="AA5864">
        <v>0.98988569999999998</v>
      </c>
      <c r="AB5864">
        <v>24</v>
      </c>
      <c r="AC5864">
        <v>14.1402999999999</v>
      </c>
      <c r="AD5864">
        <v>-1.11025110137389</v>
      </c>
      <c r="AE5864">
        <v>1.3515999999999899</v>
      </c>
      <c r="AF5864">
        <v>-2.0237430721086298</v>
      </c>
      <c r="AG5864">
        <v>-1.11025110137389</v>
      </c>
      <c r="AH5864">
        <v>13.972704254143601</v>
      </c>
      <c r="AI5864">
        <v>94.496374801786402</v>
      </c>
      <c r="AJ5864">
        <v>98.241153792610206</v>
      </c>
      <c r="AK5864">
        <v>14.1620852173602</v>
      </c>
      <c r="AL5864">
        <v>91.839963284598198</v>
      </c>
      <c r="AM5864">
        <v>97.643625479352593</v>
      </c>
      <c r="AN5864">
        <v>1.0000000589408</v>
      </c>
    </row>
    <row r="5865" spans="1:40" x14ac:dyDescent="0.25">
      <c r="A5865" t="str">
        <f>"20190305135350369"</f>
        <v>20190305135350369</v>
      </c>
      <c r="B5865" t="str">
        <f>"1551765230355631"</f>
        <v>1551765230355631</v>
      </c>
      <c r="C5865" t="s">
        <v>40</v>
      </c>
      <c r="D5865">
        <v>4.5177769999999997</v>
      </c>
      <c r="E5865">
        <v>0.49782700000000002</v>
      </c>
      <c r="F5865" t="s">
        <v>42</v>
      </c>
      <c r="G5865">
        <v>-260.01960000000003</v>
      </c>
      <c r="H5865" s="1">
        <v>8.9772420000000001E-7</v>
      </c>
      <c r="I5865">
        <v>-60.03013</v>
      </c>
      <c r="J5865">
        <v>-273.988</v>
      </c>
      <c r="K5865">
        <v>1.110285</v>
      </c>
      <c r="L5865">
        <v>-61.332180000000001</v>
      </c>
      <c r="M5865">
        <v>0.99875539999999996</v>
      </c>
      <c r="N5865">
        <v>-1.383714E-2</v>
      </c>
      <c r="O5865">
        <v>-4.7921329999999998E-2</v>
      </c>
      <c r="P5865">
        <v>0.99531230000000004</v>
      </c>
      <c r="Q5865">
        <v>-4.5525580000000003E-2</v>
      </c>
      <c r="R5865">
        <v>8.5329639999999998E-2</v>
      </c>
      <c r="S5865">
        <v>2.9799190000000002</v>
      </c>
      <c r="T5865">
        <v>-0.23473289999999999</v>
      </c>
      <c r="U5865">
        <v>0.27410889999999999</v>
      </c>
      <c r="V5865">
        <v>-0.13287570000000001</v>
      </c>
      <c r="W5865">
        <v>-3.2060230000000002E-2</v>
      </c>
      <c r="X5865">
        <v>0.99061410000000005</v>
      </c>
      <c r="Y5865">
        <v>-0.13861599999999999</v>
      </c>
      <c r="Z5865">
        <v>9.5038129999999998E-3</v>
      </c>
      <c r="AA5865">
        <v>0.99030059999999998</v>
      </c>
      <c r="AB5865">
        <v>24</v>
      </c>
      <c r="AC5865">
        <v>13.9683999999999</v>
      </c>
      <c r="AD5865">
        <v>-1.1102841022758001</v>
      </c>
      <c r="AE5865">
        <v>1.3020499999999999</v>
      </c>
      <c r="AF5865">
        <v>-1.9577397922725901</v>
      </c>
      <c r="AG5865">
        <v>-1.1102841022758001</v>
      </c>
      <c r="AH5865">
        <v>13.8034886100964</v>
      </c>
      <c r="AI5865">
        <v>94.553313879998797</v>
      </c>
      <c r="AJ5865">
        <v>98.072383537559404</v>
      </c>
      <c r="AK5865">
        <v>13.9857704003417</v>
      </c>
      <c r="AL5865">
        <v>91.837230599815996</v>
      </c>
      <c r="AM5865">
        <v>97.639750116882993</v>
      </c>
      <c r="AN5865">
        <v>1.00000005255847</v>
      </c>
    </row>
    <row r="5866" spans="1:40" x14ac:dyDescent="0.25">
      <c r="A5866" t="str">
        <f>"20190305135350379"</f>
        <v>20190305135350379</v>
      </c>
      <c r="B5866" t="str">
        <f>"1551765230366369"</f>
        <v>1551765230366369</v>
      </c>
      <c r="C5866" t="s">
        <v>40</v>
      </c>
      <c r="D5866">
        <v>4.5829890000000004</v>
      </c>
      <c r="E5866">
        <v>0.49782149999999997</v>
      </c>
      <c r="F5866" t="s">
        <v>42</v>
      </c>
      <c r="G5866">
        <v>-260.04340000000002</v>
      </c>
      <c r="H5866" s="1">
        <v>9.0056560000000005E-7</v>
      </c>
      <c r="I5866">
        <v>-60.07123</v>
      </c>
      <c r="J5866">
        <v>-273.87430000000001</v>
      </c>
      <c r="K5866">
        <v>1.1103179999999999</v>
      </c>
      <c r="L5866">
        <v>-61.337040000000002</v>
      </c>
      <c r="M5866">
        <v>0.99878230000000001</v>
      </c>
      <c r="N5866">
        <v>-1.3836070000000001E-2</v>
      </c>
      <c r="O5866">
        <v>-4.7359949999999998E-2</v>
      </c>
      <c r="P5866">
        <v>0.99530240000000003</v>
      </c>
      <c r="Q5866">
        <v>-4.5163710000000003E-2</v>
      </c>
      <c r="R5866">
        <v>8.5636840000000006E-2</v>
      </c>
      <c r="S5866">
        <v>2.9801639999999998</v>
      </c>
      <c r="T5866">
        <v>-0.23728450000000001</v>
      </c>
      <c r="U5866">
        <v>0.26947019999999999</v>
      </c>
      <c r="V5866">
        <v>-0.13262399999999999</v>
      </c>
      <c r="W5866">
        <v>-3.170713E-2</v>
      </c>
      <c r="X5866">
        <v>0.99065910000000001</v>
      </c>
      <c r="Y5866">
        <v>-0.13651920000000001</v>
      </c>
      <c r="Z5866">
        <v>9.468756E-3</v>
      </c>
      <c r="AA5866">
        <v>0.99059219999999903</v>
      </c>
      <c r="AB5866">
        <v>24</v>
      </c>
      <c r="AC5866">
        <v>13.8308999999999</v>
      </c>
      <c r="AD5866">
        <v>-1.1103170994343901</v>
      </c>
      <c r="AE5866">
        <v>1.2658099999999901</v>
      </c>
      <c r="AF5866">
        <v>-1.9072930670274</v>
      </c>
      <c r="AG5866">
        <v>-1.1103170994343901</v>
      </c>
      <c r="AH5866">
        <v>13.668069784487599</v>
      </c>
      <c r="AI5866">
        <v>94.599814157256304</v>
      </c>
      <c r="AJ5866">
        <v>97.943967452378502</v>
      </c>
      <c r="AK5866">
        <v>13.8450966966089</v>
      </c>
      <c r="AL5866">
        <v>91.816989338348904</v>
      </c>
      <c r="AM5866">
        <v>97.625106645216903</v>
      </c>
      <c r="AN5866">
        <v>0.99999995994082203</v>
      </c>
    </row>
    <row r="5867" spans="1:40" x14ac:dyDescent="0.25">
      <c r="A5867" t="str">
        <f>"20190305135350391"</f>
        <v>20190305135350391</v>
      </c>
      <c r="B5867" t="str">
        <f>"1551765230385887"</f>
        <v>1551765230385887</v>
      </c>
      <c r="C5867" t="s">
        <v>40</v>
      </c>
      <c r="D5867">
        <v>4.4324059999999896</v>
      </c>
      <c r="E5867">
        <v>0.49822610000000001</v>
      </c>
      <c r="F5867" t="s">
        <v>42</v>
      </c>
      <c r="G5867">
        <v>-260.38189999999997</v>
      </c>
      <c r="H5867" s="1">
        <v>7.8297799999999999E-7</v>
      </c>
      <c r="I5867">
        <v>-60.113509999999998</v>
      </c>
      <c r="J5867">
        <v>-273.74090000000001</v>
      </c>
      <c r="K5867">
        <v>1.1103510000000001</v>
      </c>
      <c r="L5867">
        <v>-61.342619999999997</v>
      </c>
      <c r="M5867">
        <v>0.99881390000000003</v>
      </c>
      <c r="N5867">
        <v>-1.3834829999999999E-2</v>
      </c>
      <c r="O5867">
        <v>-4.6682309999999998E-2</v>
      </c>
      <c r="P5867">
        <v>0.99527960000000004</v>
      </c>
      <c r="Q5867">
        <v>-4.4789330000000002E-2</v>
      </c>
      <c r="R5867">
        <v>8.6096350000000002E-2</v>
      </c>
      <c r="S5867">
        <v>2.9798279999999999</v>
      </c>
      <c r="T5867">
        <v>-0.24521580000000001</v>
      </c>
      <c r="U5867">
        <v>0.27020260000000001</v>
      </c>
      <c r="V5867">
        <v>-0.13240859999999999</v>
      </c>
      <c r="W5867">
        <v>-3.1342830000000002E-2</v>
      </c>
      <c r="X5867">
        <v>0.99069949999999996</v>
      </c>
      <c r="Y5867">
        <v>-0.13606190000000001</v>
      </c>
      <c r="Z5867">
        <v>9.7073479999999993E-3</v>
      </c>
      <c r="AA5867">
        <v>0.9906528</v>
      </c>
      <c r="AB5867">
        <v>24</v>
      </c>
      <c r="AC5867">
        <v>13.359</v>
      </c>
      <c r="AD5867">
        <v>-1.1103502170219901</v>
      </c>
      <c r="AE5867">
        <v>1.2291099999999899</v>
      </c>
      <c r="AF5867">
        <v>-1.83886166845629</v>
      </c>
      <c r="AG5867">
        <v>-1.1103502170219901</v>
      </c>
      <c r="AH5867">
        <v>13.196648526392901</v>
      </c>
      <c r="AI5867">
        <v>94.763660793929105</v>
      </c>
      <c r="AJ5867">
        <v>97.932691936772699</v>
      </c>
      <c r="AK5867">
        <v>13.370333659610299</v>
      </c>
      <c r="AL5867">
        <v>91.796106114401496</v>
      </c>
      <c r="AM5867">
        <v>97.612560953992102</v>
      </c>
      <c r="AN5867">
        <v>0.99999995482330795</v>
      </c>
    </row>
    <row r="5868" spans="1:40" x14ac:dyDescent="0.25">
      <c r="A5868" t="str">
        <f>"20190305135350402"</f>
        <v>20190305135350402</v>
      </c>
      <c r="B5868" t="str">
        <f>"1551765230395646"</f>
        <v>1551765230395646</v>
      </c>
      <c r="C5868" t="s">
        <v>40</v>
      </c>
      <c r="D5868">
        <v>4.4403689999999996</v>
      </c>
      <c r="E5868">
        <v>0.49827690000000002</v>
      </c>
      <c r="F5868" t="s">
        <v>91</v>
      </c>
      <c r="G5868">
        <v>-260.37799999999999</v>
      </c>
      <c r="H5868" s="1">
        <v>7.8931860000000003E-7</v>
      </c>
      <c r="I5868">
        <v>-60.139760000000003</v>
      </c>
      <c r="J5868">
        <v>-273.61709999999999</v>
      </c>
      <c r="K5868">
        <v>1.110382</v>
      </c>
      <c r="L5868">
        <v>-61.347720000000002</v>
      </c>
      <c r="M5868">
        <v>0.99884410000000001</v>
      </c>
      <c r="N5868">
        <v>-1.3833700000000001E-2</v>
      </c>
      <c r="O5868">
        <v>-4.6034159999999998E-2</v>
      </c>
      <c r="P5868">
        <v>0.9952453</v>
      </c>
      <c r="Q5868">
        <v>-4.4290620000000003E-2</v>
      </c>
      <c r="R5868">
        <v>8.6749370000000006E-2</v>
      </c>
      <c r="S5868">
        <v>2.979889</v>
      </c>
      <c r="T5868">
        <v>-0.24760389999999999</v>
      </c>
      <c r="U5868">
        <v>0.26821899999999999</v>
      </c>
      <c r="V5868">
        <v>-0.132415899999999</v>
      </c>
      <c r="W5868">
        <v>-3.085369E-2</v>
      </c>
      <c r="X5868">
        <v>0.99071399999999998</v>
      </c>
      <c r="Y5868">
        <v>-0.1347575</v>
      </c>
      <c r="Z5868">
        <v>9.690911E-3</v>
      </c>
      <c r="AA5868">
        <v>0.99083120000000002</v>
      </c>
      <c r="AB5868">
        <v>24</v>
      </c>
      <c r="AC5868">
        <v>13.239100000000001</v>
      </c>
      <c r="AD5868">
        <v>-1.1103812106813999</v>
      </c>
      <c r="AE5868">
        <v>1.2079599999999999</v>
      </c>
      <c r="AF5868">
        <v>-1.8036057712245199</v>
      </c>
      <c r="AG5868">
        <v>-1.1103812106813999</v>
      </c>
      <c r="AH5868">
        <v>13.078211494060801</v>
      </c>
      <c r="AI5868">
        <v>94.807666228267706</v>
      </c>
      <c r="AJ5868">
        <v>97.852086003495401</v>
      </c>
      <c r="AK5868">
        <v>13.2486058170063</v>
      </c>
      <c r="AL5868">
        <v>91.7680666805539</v>
      </c>
      <c r="AM5868">
        <v>97.612865614227204</v>
      </c>
      <c r="AN5868">
        <v>1.0000000752777101</v>
      </c>
    </row>
    <row r="5869" spans="1:40" x14ac:dyDescent="0.25">
      <c r="A5869" t="str">
        <f>"20190305135350413"</f>
        <v>20190305135350413</v>
      </c>
      <c r="B5869" t="str">
        <f>"1551765230405407"</f>
        <v>1551765230405407</v>
      </c>
      <c r="C5869" t="s">
        <v>40</v>
      </c>
      <c r="D5869">
        <v>4.4317630000000001</v>
      </c>
      <c r="E5869">
        <v>0.49828879999999998</v>
      </c>
      <c r="F5869" t="s">
        <v>42</v>
      </c>
      <c r="G5869">
        <v>-260.16849999999999</v>
      </c>
      <c r="H5869" s="1">
        <v>8.7361790000000002E-7</v>
      </c>
      <c r="I5869">
        <v>-60.129969999999901</v>
      </c>
      <c r="J5869">
        <v>-273.50450000000001</v>
      </c>
      <c r="K5869">
        <v>1.110401</v>
      </c>
      <c r="L5869">
        <v>-61.352229999999999</v>
      </c>
      <c r="M5869">
        <v>0.99887210000000004</v>
      </c>
      <c r="N5869">
        <v>-1.383269E-2</v>
      </c>
      <c r="O5869">
        <v>-4.5423650000000003E-2</v>
      </c>
      <c r="P5869">
        <v>0.99521269999999995</v>
      </c>
      <c r="Q5869">
        <v>-4.3852139999999998E-2</v>
      </c>
      <c r="R5869">
        <v>8.7343959999999998E-2</v>
      </c>
      <c r="S5869">
        <v>2.9798580000000001</v>
      </c>
      <c r="T5869">
        <v>-0.24603140000000001</v>
      </c>
      <c r="U5869">
        <v>0.26980589999999999</v>
      </c>
      <c r="V5869">
        <v>-0.13240199999999999</v>
      </c>
      <c r="W5869">
        <v>-3.0422749999999998E-2</v>
      </c>
      <c r="X5869">
        <v>0.99072910000000003</v>
      </c>
      <c r="Y5869">
        <v>-0.1346859</v>
      </c>
      <c r="Z5869">
        <v>9.5860919999999992E-3</v>
      </c>
      <c r="AA5869">
        <v>0.990842</v>
      </c>
      <c r="AB5869">
        <v>24</v>
      </c>
      <c r="AC5869">
        <v>13.336</v>
      </c>
      <c r="AD5869">
        <v>-1.1104001263821</v>
      </c>
      <c r="AE5869">
        <v>1.2222600000000099</v>
      </c>
      <c r="AF5869">
        <v>-1.8143521428026901</v>
      </c>
      <c r="AG5869">
        <v>-1.1104001263821</v>
      </c>
      <c r="AH5869">
        <v>13.176120989241401</v>
      </c>
      <c r="AI5869">
        <v>94.7723221861892</v>
      </c>
      <c r="AJ5869">
        <v>97.840323938586593</v>
      </c>
      <c r="AK5869">
        <v>13.346723435431301</v>
      </c>
      <c r="AL5869">
        <v>91.743364188267194</v>
      </c>
      <c r="AM5869">
        <v>97.611961187629802</v>
      </c>
      <c r="AN5869">
        <v>0.99999999145418605</v>
      </c>
    </row>
    <row r="5870" spans="1:40" x14ac:dyDescent="0.25">
      <c r="A5870" t="str">
        <f>"20190305135350424"</f>
        <v>20190305135350424</v>
      </c>
      <c r="B5870" t="str">
        <f>"1551765230416143"</f>
        <v>1551765230416143</v>
      </c>
      <c r="C5870" t="s">
        <v>40</v>
      </c>
      <c r="D5870">
        <v>4.5034739999999998</v>
      </c>
      <c r="E5870">
        <v>0.49846560000000001</v>
      </c>
      <c r="F5870" t="s">
        <v>91</v>
      </c>
      <c r="G5870">
        <v>-259.98790000000002</v>
      </c>
      <c r="H5870" s="1">
        <v>9.3257760000000003E-7</v>
      </c>
      <c r="I5870">
        <v>-60.120539999999998</v>
      </c>
      <c r="J5870">
        <v>-273.37389999999999</v>
      </c>
      <c r="K5870">
        <v>1.1104290000000001</v>
      </c>
      <c r="L5870">
        <v>-61.357419999999998</v>
      </c>
      <c r="M5870">
        <v>0.99890449999999997</v>
      </c>
      <c r="N5870">
        <v>-1.38315E-2</v>
      </c>
      <c r="O5870">
        <v>-4.4706179999999998E-2</v>
      </c>
      <c r="P5870">
        <v>0.9951776</v>
      </c>
      <c r="Q5870">
        <v>-4.2851630000000002E-2</v>
      </c>
      <c r="R5870">
        <v>8.8235809999999998E-2</v>
      </c>
      <c r="S5870">
        <v>2.979797</v>
      </c>
      <c r="T5870">
        <v>-0.24479200000000001</v>
      </c>
      <c r="U5870">
        <v>0.2715149</v>
      </c>
      <c r="V5870">
        <v>-0.1325808</v>
      </c>
      <c r="W5870">
        <v>-2.9431120000000002E-2</v>
      </c>
      <c r="X5870">
        <v>0.99073520000000004</v>
      </c>
      <c r="Y5870">
        <v>-0.13454820000000001</v>
      </c>
      <c r="Z5870">
        <v>9.4840210000000005E-3</v>
      </c>
      <c r="AA5870">
        <v>0.99086169999999996</v>
      </c>
      <c r="AB5870">
        <v>24</v>
      </c>
      <c r="AC5870">
        <v>13.3859999999999</v>
      </c>
      <c r="AD5870">
        <v>-1.1104280674224001</v>
      </c>
      <c r="AE5870">
        <v>1.23687999999999</v>
      </c>
      <c r="AF5870">
        <v>-1.8217073945412099</v>
      </c>
      <c r="AG5870">
        <v>-1.1104280674224001</v>
      </c>
      <c r="AH5870">
        <v>13.227061715363799</v>
      </c>
      <c r="AI5870">
        <v>94.754129783473005</v>
      </c>
      <c r="AJ5870">
        <v>97.841772337940199</v>
      </c>
      <c r="AK5870">
        <v>13.398015895881301</v>
      </c>
      <c r="AL5870">
        <v>91.6865224163069</v>
      </c>
      <c r="AM5870">
        <v>97.622073481276402</v>
      </c>
      <c r="AN5870">
        <v>1.00000004793606</v>
      </c>
    </row>
    <row r="5871" spans="1:40" x14ac:dyDescent="0.25">
      <c r="A5871" t="str">
        <f>"20190305135350437"</f>
        <v>20190305135350437</v>
      </c>
      <c r="B5871" t="str">
        <f>"1551765230425903"</f>
        <v>1551765230425903</v>
      </c>
      <c r="C5871" t="s">
        <v>40</v>
      </c>
      <c r="D5871">
        <v>4.4765370000000004</v>
      </c>
      <c r="E5871">
        <v>0.4987452</v>
      </c>
      <c r="F5871" t="s">
        <v>92</v>
      </c>
      <c r="G5871">
        <v>-259.85430000000002</v>
      </c>
      <c r="H5871" s="1">
        <v>-3.421876E-6</v>
      </c>
      <c r="I5871">
        <v>-60.120280000000001</v>
      </c>
      <c r="J5871">
        <v>-273.24790000000002</v>
      </c>
      <c r="K5871">
        <v>1.1104499999999999</v>
      </c>
      <c r="L5871">
        <v>-61.36224</v>
      </c>
      <c r="M5871">
        <v>0.99893620000000005</v>
      </c>
      <c r="N5871">
        <v>-1.383033E-2</v>
      </c>
      <c r="O5871">
        <v>-4.3991089999999997E-2</v>
      </c>
      <c r="P5871">
        <v>0.99509049999999999</v>
      </c>
      <c r="Q5871">
        <v>-4.2195629999999998E-2</v>
      </c>
      <c r="R5871">
        <v>8.9525259999999995E-2</v>
      </c>
      <c r="S5871">
        <v>2.979797</v>
      </c>
      <c r="T5871">
        <v>-0.2447472</v>
      </c>
      <c r="U5871">
        <v>0.27267459999999999</v>
      </c>
      <c r="V5871">
        <v>-0.13315629999999901</v>
      </c>
      <c r="W5871">
        <v>-2.8783400000000001E-2</v>
      </c>
      <c r="X5871">
        <v>0.99067700000000003</v>
      </c>
      <c r="Y5871">
        <v>-0.1342245</v>
      </c>
      <c r="Z5871">
        <v>9.4180270000000007E-3</v>
      </c>
      <c r="AA5871">
        <v>0.99090619999999996</v>
      </c>
      <c r="AB5871">
        <v>24</v>
      </c>
      <c r="AC5871">
        <v>13.3935999999999</v>
      </c>
      <c r="AD5871">
        <v>-1.110453421876</v>
      </c>
      <c r="AE5871">
        <v>1.24195999999999</v>
      </c>
      <c r="AF5871">
        <v>-1.81762513197405</v>
      </c>
      <c r="AG5871">
        <v>-1.110453421876</v>
      </c>
      <c r="AH5871">
        <v>13.2357846705816</v>
      </c>
      <c r="AI5871">
        <v>94.751373764142897</v>
      </c>
      <c r="AJ5871">
        <v>97.819324799462294</v>
      </c>
      <c r="AK5871">
        <v>13.4060756289282</v>
      </c>
      <c r="AL5871">
        <v>91.649395140927595</v>
      </c>
      <c r="AM5871">
        <v>97.6552118929323</v>
      </c>
      <c r="AN5871">
        <v>1.00000000133712</v>
      </c>
    </row>
    <row r="5872" spans="1:40" x14ac:dyDescent="0.25">
      <c r="A5872" t="str">
        <f>"20190305135350449"</f>
        <v>20190305135350449</v>
      </c>
      <c r="B5872" t="str">
        <f>"1551765230435663"</f>
        <v>1551765230435663</v>
      </c>
      <c r="C5872" t="s">
        <v>40</v>
      </c>
      <c r="D5872">
        <v>4.4440980000000003</v>
      </c>
      <c r="E5872">
        <v>0.49890329999999999</v>
      </c>
      <c r="F5872" t="s">
        <v>92</v>
      </c>
      <c r="G5872">
        <v>-259.77069999999998</v>
      </c>
      <c r="H5872" s="1">
        <v>-3.3856229999999998E-6</v>
      </c>
      <c r="I5872">
        <v>-60.121899999999997</v>
      </c>
      <c r="J5872">
        <v>-273.1216</v>
      </c>
      <c r="K5872">
        <v>1.110474</v>
      </c>
      <c r="L5872">
        <v>-61.36703</v>
      </c>
      <c r="M5872">
        <v>0.99896770000000001</v>
      </c>
      <c r="N5872">
        <v>-1.382914E-2</v>
      </c>
      <c r="O5872">
        <v>-4.326994E-2</v>
      </c>
      <c r="P5872">
        <v>0.99500520000000003</v>
      </c>
      <c r="Q5872">
        <v>-4.162424E-2</v>
      </c>
      <c r="R5872">
        <v>9.0730889999999995E-2</v>
      </c>
      <c r="S5872">
        <v>2.9797060000000002</v>
      </c>
      <c r="T5872">
        <v>-0.24551249999999999</v>
      </c>
      <c r="U5872">
        <v>0.274231</v>
      </c>
      <c r="V5872">
        <v>-0.13364219999999999</v>
      </c>
      <c r="W5872">
        <v>-2.8219439999999998E-2</v>
      </c>
      <c r="X5872">
        <v>0.99062779999999995</v>
      </c>
      <c r="Y5872">
        <v>-0.134023799999999</v>
      </c>
      <c r="Z5872">
        <v>9.3875620000000003E-3</v>
      </c>
      <c r="AA5872">
        <v>0.99093370000000003</v>
      </c>
      <c r="AB5872">
        <v>24</v>
      </c>
      <c r="AC5872">
        <v>13.350899999999999</v>
      </c>
      <c r="AD5872">
        <v>-1.1104773856229999</v>
      </c>
      <c r="AE5872">
        <v>1.2451300000000101</v>
      </c>
      <c r="AF5872">
        <v>-1.8093021690450199</v>
      </c>
      <c r="AG5872">
        <v>-1.1104773856229999</v>
      </c>
      <c r="AH5872">
        <v>13.1940186614134</v>
      </c>
      <c r="AI5872">
        <v>94.766572879819194</v>
      </c>
      <c r="AJ5872">
        <v>97.808296635247203</v>
      </c>
      <c r="AK5872">
        <v>13.363714408824301</v>
      </c>
      <c r="AL5872">
        <v>91.617069472507396</v>
      </c>
      <c r="AM5872">
        <v>97.683190451938799</v>
      </c>
      <c r="AN5872">
        <v>1.0000000062737899</v>
      </c>
    </row>
    <row r="5873" spans="1:40" x14ac:dyDescent="0.25">
      <c r="A5873" t="str">
        <f>"20190305135350460"</f>
        <v>20190305135350460</v>
      </c>
      <c r="B5873" t="str">
        <f>"1551765230446399"</f>
        <v>1551765230446399</v>
      </c>
      <c r="C5873" t="s">
        <v>40</v>
      </c>
      <c r="D5873">
        <v>4.4465349999999999</v>
      </c>
      <c r="E5873">
        <v>0.49915159999999997</v>
      </c>
      <c r="F5873" t="s">
        <v>92</v>
      </c>
      <c r="G5873">
        <v>-259.66379999999998</v>
      </c>
      <c r="H5873" s="1">
        <v>-3.3406050000000002E-6</v>
      </c>
      <c r="I5873">
        <v>-60.118229999999997</v>
      </c>
      <c r="J5873">
        <v>-273.00009999999997</v>
      </c>
      <c r="K5873">
        <v>1.1104849999999999</v>
      </c>
      <c r="L5873">
        <v>-61.371519999999997</v>
      </c>
      <c r="M5873">
        <v>0.9989981</v>
      </c>
      <c r="N5873">
        <v>-1.382802E-2</v>
      </c>
      <c r="O5873">
        <v>-4.2566029999999998E-2</v>
      </c>
      <c r="P5873">
        <v>0.99489709999999998</v>
      </c>
      <c r="Q5873">
        <v>-4.0898329999999997E-2</v>
      </c>
      <c r="R5873">
        <v>9.2234780000000002E-2</v>
      </c>
      <c r="S5873">
        <v>2.979584</v>
      </c>
      <c r="T5873">
        <v>-0.2458632</v>
      </c>
      <c r="U5873">
        <v>0.27648929999999999</v>
      </c>
      <c r="V5873">
        <v>-0.13444410000000001</v>
      </c>
      <c r="W5873">
        <v>-2.7500440000000001E-2</v>
      </c>
      <c r="X5873">
        <v>0.99053950000000002</v>
      </c>
      <c r="Y5873">
        <v>-0.13407369999999999</v>
      </c>
      <c r="Z5873">
        <v>9.3547679999999994E-3</v>
      </c>
      <c r="AA5873">
        <v>0.99092720000000001</v>
      </c>
      <c r="AB5873">
        <v>24</v>
      </c>
      <c r="AC5873">
        <v>13.3362999999999</v>
      </c>
      <c r="AD5873">
        <v>-1.1104883406049999</v>
      </c>
      <c r="AE5873">
        <v>1.25328999999999</v>
      </c>
      <c r="AF5873">
        <v>-1.80745897105835</v>
      </c>
      <c r="AG5873">
        <v>-1.1104883406049999</v>
      </c>
      <c r="AH5873">
        <v>13.180271333795099</v>
      </c>
      <c r="AI5873">
        <v>94.771566400563799</v>
      </c>
      <c r="AJ5873">
        <v>97.808475756259497</v>
      </c>
      <c r="AK5873">
        <v>13.349893060213599</v>
      </c>
      <c r="AL5873">
        <v>91.575857826301601</v>
      </c>
      <c r="AM5873">
        <v>97.729417343306494</v>
      </c>
      <c r="AN5873">
        <v>0.99999999564262598</v>
      </c>
    </row>
    <row r="5874" spans="1:40" x14ac:dyDescent="0.25">
      <c r="A5874" t="str">
        <f>"20190305135350470"</f>
        <v>20190305135350470</v>
      </c>
      <c r="B5874" t="str">
        <f>"1551765230465919"</f>
        <v>1551765230465919</v>
      </c>
      <c r="C5874" t="s">
        <v>40</v>
      </c>
      <c r="D5874">
        <v>4.4591640000000003</v>
      </c>
      <c r="E5874">
        <v>0.4993821</v>
      </c>
      <c r="F5874" t="s">
        <v>92</v>
      </c>
      <c r="G5874">
        <v>-259.52100000000002</v>
      </c>
      <c r="H5874" s="1">
        <v>-3.2812060000000002E-6</v>
      </c>
      <c r="I5874">
        <v>-60.109630000000003</v>
      </c>
      <c r="J5874">
        <v>-272.89909999999998</v>
      </c>
      <c r="K5874">
        <v>1.110493</v>
      </c>
      <c r="L5874">
        <v>-61.37518</v>
      </c>
      <c r="M5874">
        <v>0.99902299999999999</v>
      </c>
      <c r="N5874">
        <v>-1.3827040000000001E-2</v>
      </c>
      <c r="O5874">
        <v>-4.1979229999999999E-2</v>
      </c>
      <c r="P5874">
        <v>0.99481509999999995</v>
      </c>
      <c r="Q5874">
        <v>-4.0468339999999998E-2</v>
      </c>
      <c r="R5874">
        <v>9.3303800000000006E-2</v>
      </c>
      <c r="S5874">
        <v>2.9794309999999999</v>
      </c>
      <c r="T5874">
        <v>-0.24546309999999999</v>
      </c>
      <c r="U5874">
        <v>0.27893069999999998</v>
      </c>
      <c r="V5874">
        <v>-0.13492789999999999</v>
      </c>
      <c r="W5874">
        <v>-2.707497E-2</v>
      </c>
      <c r="X5874">
        <v>0.99048539999999996</v>
      </c>
      <c r="Y5874">
        <v>-0.134303799999999</v>
      </c>
      <c r="Z5874">
        <v>9.3112630000000002E-3</v>
      </c>
      <c r="AA5874">
        <v>0.99089649999999996</v>
      </c>
      <c r="AB5874">
        <v>24</v>
      </c>
      <c r="AC5874">
        <v>13.3781</v>
      </c>
      <c r="AD5874">
        <v>-1.110496281206</v>
      </c>
      <c r="AE5874">
        <v>1.26555</v>
      </c>
      <c r="AF5874">
        <v>-1.8137037758552601</v>
      </c>
      <c r="AG5874">
        <v>-1.110496281206</v>
      </c>
      <c r="AH5874">
        <v>13.2228699096572</v>
      </c>
      <c r="AI5874">
        <v>94.756279462144605</v>
      </c>
      <c r="AJ5874">
        <v>97.810190198302195</v>
      </c>
      <c r="AK5874">
        <v>13.392797020221</v>
      </c>
      <c r="AL5874">
        <v>91.5514711650641</v>
      </c>
      <c r="AM5874">
        <v>97.757312310556003</v>
      </c>
      <c r="AN5874">
        <v>0.99999995990603396</v>
      </c>
    </row>
    <row r="5875" spans="1:40" x14ac:dyDescent="0.25">
      <c r="A5875" t="str">
        <f>"20190305135350479"</f>
        <v>20190305135350479</v>
      </c>
      <c r="B5875" t="str">
        <f>"1551765230465919"</f>
        <v>1551765230465919</v>
      </c>
      <c r="C5875" t="s">
        <v>40</v>
      </c>
      <c r="D5875">
        <v>4.4591640000000003</v>
      </c>
      <c r="E5875">
        <v>0.4993821</v>
      </c>
      <c r="F5875" t="s">
        <v>92</v>
      </c>
      <c r="G5875">
        <v>-259.5385</v>
      </c>
      <c r="H5875" s="1">
        <v>-3.286777E-6</v>
      </c>
      <c r="I5875">
        <v>-60.118569999999998</v>
      </c>
      <c r="J5875">
        <v>-272.78730000000002</v>
      </c>
      <c r="K5875">
        <v>1.1104940000000001</v>
      </c>
      <c r="L5875">
        <v>-61.379179999999998</v>
      </c>
      <c r="M5875">
        <v>0.9990502</v>
      </c>
      <c r="N5875">
        <v>-1.3825860000000001E-2</v>
      </c>
      <c r="O5875">
        <v>-4.1325460000000001E-2</v>
      </c>
      <c r="P5875">
        <v>0.99468469999999998</v>
      </c>
      <c r="Q5875">
        <v>-4.0413020000000001E-2</v>
      </c>
      <c r="R5875">
        <v>9.4706299999999993E-2</v>
      </c>
      <c r="S5875">
        <v>2.979279</v>
      </c>
      <c r="T5875">
        <v>-0.24762960000000001</v>
      </c>
      <c r="U5875">
        <v>0.28021239999999997</v>
      </c>
      <c r="V5875">
        <v>-0.1356752</v>
      </c>
      <c r="W5875">
        <v>-2.7024880000000001E-2</v>
      </c>
      <c r="X5875">
        <v>0.99038470000000001</v>
      </c>
      <c r="Y5875">
        <v>-0.13407430000000001</v>
      </c>
      <c r="Z5875">
        <v>9.3341559999999997E-3</v>
      </c>
      <c r="AA5875">
        <v>0.99092729999999996</v>
      </c>
      <c r="AB5875">
        <v>24</v>
      </c>
      <c r="AC5875">
        <v>13.248799999999999</v>
      </c>
      <c r="AD5875">
        <v>-1.110497286777</v>
      </c>
      <c r="AE5875">
        <v>1.26061</v>
      </c>
      <c r="AF5875">
        <v>-1.7946029293133601</v>
      </c>
      <c r="AG5875">
        <v>-1.110497286777</v>
      </c>
      <c r="AH5875">
        <v>13.0942106494743</v>
      </c>
      <c r="AI5875">
        <v>94.802871228405294</v>
      </c>
      <c r="AJ5875">
        <v>97.803947930536594</v>
      </c>
      <c r="AK5875">
        <v>13.263188019124399</v>
      </c>
      <c r="AL5875">
        <v>91.548600139211004</v>
      </c>
      <c r="AM5875">
        <v>97.800532180818493</v>
      </c>
      <c r="AN5875">
        <v>0.99999997901407101</v>
      </c>
    </row>
    <row r="5876" spans="1:40" x14ac:dyDescent="0.25">
      <c r="A5876" t="str">
        <f>"20190305135350492"</f>
        <v>20190305135350492</v>
      </c>
      <c r="B5876" t="str">
        <f>"1551765230485442"</f>
        <v>1551765230485442</v>
      </c>
      <c r="C5876" t="s">
        <v>40</v>
      </c>
      <c r="D5876">
        <v>4.4437309999999997</v>
      </c>
      <c r="E5876">
        <v>0.49957639999999998</v>
      </c>
      <c r="F5876" t="s">
        <v>92</v>
      </c>
      <c r="G5876">
        <v>-259.41950000000003</v>
      </c>
      <c r="H5876" s="1">
        <v>-3.2392039999999902E-6</v>
      </c>
      <c r="I5876">
        <v>-60.102679999999999</v>
      </c>
      <c r="J5876">
        <v>-272.65480000000002</v>
      </c>
      <c r="K5876">
        <v>1.110495</v>
      </c>
      <c r="L5876">
        <v>-61.383819999999901</v>
      </c>
      <c r="M5876">
        <v>0.99908189999999997</v>
      </c>
      <c r="N5876">
        <v>-1.382443E-2</v>
      </c>
      <c r="O5876">
        <v>-4.0550259999999998E-2</v>
      </c>
      <c r="P5876">
        <v>0.99457269999999998</v>
      </c>
      <c r="Q5876">
        <v>-4.0168919999999997E-2</v>
      </c>
      <c r="R5876">
        <v>9.5978510000000003E-2</v>
      </c>
      <c r="S5876">
        <v>2.978882</v>
      </c>
      <c r="T5876">
        <v>-0.2474623</v>
      </c>
      <c r="U5876">
        <v>0.28445429999999999</v>
      </c>
      <c r="V5876">
        <v>-0.1361742</v>
      </c>
      <c r="W5876">
        <v>-2.6784559999999999E-2</v>
      </c>
      <c r="X5876">
        <v>0.99032279999999995</v>
      </c>
      <c r="Y5876">
        <v>-0.13471629999999901</v>
      </c>
      <c r="Z5876">
        <v>9.3063160000000002E-3</v>
      </c>
      <c r="AA5876">
        <v>0.99084050000000001</v>
      </c>
      <c r="AB5876">
        <v>24</v>
      </c>
      <c r="AC5876">
        <v>13.235299999999899</v>
      </c>
      <c r="AD5876">
        <v>-1.1104982392039999</v>
      </c>
      <c r="AE5876">
        <v>1.28113999999998</v>
      </c>
      <c r="AF5876">
        <v>-1.80424831797019</v>
      </c>
      <c r="AG5876">
        <v>-1.1104982392039999</v>
      </c>
      <c r="AH5876">
        <v>13.0812203756557</v>
      </c>
      <c r="AI5876">
        <v>94.807058519965906</v>
      </c>
      <c r="AJ5876">
        <v>97.853064259259199</v>
      </c>
      <c r="AK5876">
        <v>13.251673284859001</v>
      </c>
      <c r="AL5876">
        <v>91.534825742178299</v>
      </c>
      <c r="AM5876">
        <v>97.829349915803803</v>
      </c>
      <c r="AN5876">
        <v>1.00000003679993</v>
      </c>
    </row>
    <row r="5877" spans="1:40" x14ac:dyDescent="0.25">
      <c r="A5877" t="str">
        <f>"20190305135350503"</f>
        <v>20190305135350503</v>
      </c>
      <c r="B5877" t="str">
        <f>"1551765230496175"</f>
        <v>1551765230496175</v>
      </c>
      <c r="C5877" t="s">
        <v>40</v>
      </c>
      <c r="D5877">
        <v>4.399648</v>
      </c>
      <c r="E5877">
        <v>0.4995655</v>
      </c>
      <c r="F5877" t="s">
        <v>92</v>
      </c>
      <c r="G5877">
        <v>-259.36020000000002</v>
      </c>
      <c r="H5877" s="1">
        <v>-3.2133560000000001E-6</v>
      </c>
      <c r="I5877">
        <v>-60.104559999999999</v>
      </c>
      <c r="J5877">
        <v>-272.53199999999998</v>
      </c>
      <c r="K5877">
        <v>1.1104940000000001</v>
      </c>
      <c r="L5877">
        <v>-61.388030000000001</v>
      </c>
      <c r="M5877">
        <v>0.99911090000000002</v>
      </c>
      <c r="N5877">
        <v>-1.382309E-2</v>
      </c>
      <c r="O5877">
        <v>-3.9831579999999998E-2</v>
      </c>
      <c r="P5877">
        <v>0.99445240000000001</v>
      </c>
      <c r="Q5877">
        <v>-4.0334269999999998E-2</v>
      </c>
      <c r="R5877">
        <v>9.7148929999999994E-2</v>
      </c>
      <c r="S5877">
        <v>2.9786990000000002</v>
      </c>
      <c r="T5877">
        <v>-0.24880969999999999</v>
      </c>
      <c r="U5877">
        <v>0.28662110000000002</v>
      </c>
      <c r="V5877">
        <v>-0.13662650000000001</v>
      </c>
      <c r="W5877">
        <v>-2.6952960000000002E-2</v>
      </c>
      <c r="X5877">
        <v>0.99025589999999997</v>
      </c>
      <c r="Y5877">
        <v>-0.13471859999999999</v>
      </c>
      <c r="Z5877">
        <v>9.3052570000000008E-3</v>
      </c>
      <c r="AA5877">
        <v>0.99084019999999995</v>
      </c>
      <c r="AB5877">
        <v>24</v>
      </c>
      <c r="AC5877">
        <v>13.1717999999999</v>
      </c>
      <c r="AD5877">
        <v>-1.110497213356</v>
      </c>
      <c r="AE5877">
        <v>1.2834700000000001</v>
      </c>
      <c r="AF5877">
        <v>-1.79451953707641</v>
      </c>
      <c r="AG5877">
        <v>-1.110497213356</v>
      </c>
      <c r="AH5877">
        <v>13.0185524893222</v>
      </c>
      <c r="AI5877">
        <v>94.830139001939202</v>
      </c>
      <c r="AJ5877">
        <v>97.848377257177305</v>
      </c>
      <c r="AK5877">
        <v>13.188487909804399</v>
      </c>
      <c r="AL5877">
        <v>91.5444778848982</v>
      </c>
      <c r="AM5877">
        <v>97.8555548992083</v>
      </c>
      <c r="AN5877">
        <v>1.00000000501991</v>
      </c>
    </row>
    <row r="5878" spans="1:40" x14ac:dyDescent="0.25">
      <c r="A5878" t="str">
        <f>"20190305135350514"</f>
        <v>20190305135350514</v>
      </c>
      <c r="B5878" t="str">
        <f>"1551765230505935"</f>
        <v>1551765230505935</v>
      </c>
      <c r="C5878" t="s">
        <v>40</v>
      </c>
      <c r="D5878">
        <v>4.4301269999999997</v>
      </c>
      <c r="E5878">
        <v>0.49957509999999999</v>
      </c>
      <c r="F5878" t="s">
        <v>92</v>
      </c>
      <c r="G5878">
        <v>-259.31299999999999</v>
      </c>
      <c r="H5878" s="1">
        <v>-3.1940650000000001E-6</v>
      </c>
      <c r="I5878">
        <v>-60.100259999999999</v>
      </c>
      <c r="J5878">
        <v>-272.4153</v>
      </c>
      <c r="K5878">
        <v>1.1104879999999999</v>
      </c>
      <c r="L5878">
        <v>-61.391910000000003</v>
      </c>
      <c r="M5878">
        <v>0.99913779999999996</v>
      </c>
      <c r="N5878">
        <v>-1.382179E-2</v>
      </c>
      <c r="O5878">
        <v>-3.9150829999999998E-2</v>
      </c>
      <c r="P5878">
        <v>0.99433300000000002</v>
      </c>
      <c r="Q5878">
        <v>-4.039127E-2</v>
      </c>
      <c r="R5878">
        <v>9.8338949999999994E-2</v>
      </c>
      <c r="S5878">
        <v>2.9782099999999998</v>
      </c>
      <c r="T5878">
        <v>-0.25019160000000001</v>
      </c>
      <c r="U5878">
        <v>0.29013060000000002</v>
      </c>
      <c r="V5878">
        <v>-0.13713629999999999</v>
      </c>
      <c r="W5878">
        <v>-2.7012560000000001E-2</v>
      </c>
      <c r="X5878">
        <v>0.99018379999999995</v>
      </c>
      <c r="Y5878">
        <v>-0.13520839999999901</v>
      </c>
      <c r="Z5878">
        <v>9.3319579999999996E-3</v>
      </c>
      <c r="AA5878">
        <v>0.99077329999999997</v>
      </c>
      <c r="AB5878">
        <v>24</v>
      </c>
      <c r="AC5878">
        <v>13.1023</v>
      </c>
      <c r="AD5878">
        <v>-1.110491194065</v>
      </c>
      <c r="AE5878">
        <v>1.29164999999999</v>
      </c>
      <c r="AF5878">
        <v>-1.7909330854358201</v>
      </c>
      <c r="AG5878">
        <v>-1.110491194065</v>
      </c>
      <c r="AH5878">
        <v>12.949551145778701</v>
      </c>
      <c r="AI5878">
        <v>94.855427775702196</v>
      </c>
      <c r="AJ5878">
        <v>97.874101867946706</v>
      </c>
      <c r="AK5878">
        <v>13.119889743658099</v>
      </c>
      <c r="AL5878">
        <v>91.547893964166306</v>
      </c>
      <c r="AM5878">
        <v>97.885065562963106</v>
      </c>
      <c r="AN5878">
        <v>1.00000000047894</v>
      </c>
    </row>
    <row r="5879" spans="1:40" x14ac:dyDescent="0.25">
      <c r="A5879" t="str">
        <f>"20190305135350524"</f>
        <v>20190305135350524</v>
      </c>
      <c r="B5879" t="str">
        <f>"1551765230515696"</f>
        <v>1551765230515696</v>
      </c>
      <c r="C5879" t="s">
        <v>40</v>
      </c>
      <c r="D5879">
        <v>4.396954</v>
      </c>
      <c r="E5879">
        <v>0.49959500000000001</v>
      </c>
      <c r="F5879" t="s">
        <v>92</v>
      </c>
      <c r="G5879">
        <v>-259.26159999999999</v>
      </c>
      <c r="H5879" s="1">
        <v>-3.1732520000000001E-6</v>
      </c>
      <c r="I5879">
        <v>-60.094720000000002</v>
      </c>
      <c r="J5879">
        <v>-272.30450000000002</v>
      </c>
      <c r="K5879">
        <v>1.110482</v>
      </c>
      <c r="L5879">
        <v>-61.3955699999999</v>
      </c>
      <c r="M5879">
        <v>0.99916289999999996</v>
      </c>
      <c r="N5879">
        <v>-1.3820560000000001E-2</v>
      </c>
      <c r="O5879">
        <v>-3.8504780000000002E-2</v>
      </c>
      <c r="P5879">
        <v>0.99424420000000002</v>
      </c>
      <c r="Q5879">
        <v>-4.0260379999999998E-2</v>
      </c>
      <c r="R5879">
        <v>9.9286520000000003E-2</v>
      </c>
      <c r="S5879">
        <v>2.977875</v>
      </c>
      <c r="T5879">
        <v>-0.25140509999999999</v>
      </c>
      <c r="U5879">
        <v>0.29367070000000001</v>
      </c>
      <c r="V5879">
        <v>-0.1374407</v>
      </c>
      <c r="W5879">
        <v>-2.688316E-2</v>
      </c>
      <c r="X5879">
        <v>0.9901451</v>
      </c>
      <c r="Y5879">
        <v>-0.13573840000000001</v>
      </c>
      <c r="Z5879">
        <v>9.3562300000000001E-3</v>
      </c>
      <c r="AA5879">
        <v>0.99070049999999998</v>
      </c>
      <c r="AB5879">
        <v>24</v>
      </c>
      <c r="AC5879">
        <v>13.042899999999999</v>
      </c>
      <c r="AD5879">
        <v>-1.110485173252</v>
      </c>
      <c r="AE5879">
        <v>1.3008499999999901</v>
      </c>
      <c r="AF5879">
        <v>-1.7893041729577801</v>
      </c>
      <c r="AG5879">
        <v>-1.110485173252</v>
      </c>
      <c r="AH5879">
        <v>12.890608555099</v>
      </c>
      <c r="AI5879">
        <v>94.877162249666199</v>
      </c>
      <c r="AJ5879">
        <v>97.902548530881106</v>
      </c>
      <c r="AK5879">
        <v>13.0614920918006</v>
      </c>
      <c r="AL5879">
        <v>91.540477221168203</v>
      </c>
      <c r="AM5879">
        <v>97.902652045926004</v>
      </c>
      <c r="AN5879">
        <v>0.99999998468104201</v>
      </c>
    </row>
    <row r="5880" spans="1:40" x14ac:dyDescent="0.25">
      <c r="A5880" t="str">
        <f>"20190305135350535"</f>
        <v>20190305135350535</v>
      </c>
      <c r="B5880" t="str">
        <f>"1551765230525455"</f>
        <v>1551765230525455</v>
      </c>
      <c r="C5880" t="s">
        <v>40</v>
      </c>
      <c r="D5880">
        <v>4.37479</v>
      </c>
      <c r="E5880">
        <v>0.49959920000000002</v>
      </c>
      <c r="F5880" t="s">
        <v>92</v>
      </c>
      <c r="G5880">
        <v>-259.14940000000001</v>
      </c>
      <c r="H5880" s="1">
        <v>-3.126995E-6</v>
      </c>
      <c r="I5880">
        <v>-60.08625</v>
      </c>
      <c r="J5880">
        <v>-272.18680000000001</v>
      </c>
      <c r="K5880">
        <v>1.110474</v>
      </c>
      <c r="L5880">
        <v>-61.399290000000001</v>
      </c>
      <c r="M5880">
        <v>0.99918890000000005</v>
      </c>
      <c r="N5880">
        <v>-1.381577E-2</v>
      </c>
      <c r="O5880">
        <v>-3.782464E-2</v>
      </c>
      <c r="P5880">
        <v>0.9941643</v>
      </c>
      <c r="Q5880">
        <v>-4.0175549999999997E-2</v>
      </c>
      <c r="R5880">
        <v>0.100117</v>
      </c>
      <c r="S5880">
        <v>2.9775700000000001</v>
      </c>
      <c r="T5880">
        <v>-0.25135220000000003</v>
      </c>
      <c r="U5880">
        <v>0.29635620000000001</v>
      </c>
      <c r="V5880">
        <v>-0.13759449999999901</v>
      </c>
      <c r="W5880">
        <v>-2.680217E-2</v>
      </c>
      <c r="X5880">
        <v>0.99012599999999995</v>
      </c>
      <c r="Y5880">
        <v>-0.13595979999999999</v>
      </c>
      <c r="Z5880">
        <v>9.3178099999999993E-3</v>
      </c>
      <c r="AA5880">
        <v>0.99067050000000001</v>
      </c>
      <c r="AB5880">
        <v>24</v>
      </c>
      <c r="AC5880">
        <v>13.0373999999999</v>
      </c>
      <c r="AD5880">
        <v>-1.110477126995</v>
      </c>
      <c r="AE5880">
        <v>1.31304</v>
      </c>
      <c r="AF5880">
        <v>-1.7924088769385</v>
      </c>
      <c r="AG5880">
        <v>-1.110477126995</v>
      </c>
      <c r="AH5880">
        <v>12.8858504702965</v>
      </c>
      <c r="AI5880">
        <v>94.878725868255103</v>
      </c>
      <c r="AJ5880">
        <v>97.918972851504606</v>
      </c>
      <c r="AK5880">
        <v>13.057221426266301</v>
      </c>
      <c r="AL5880">
        <v>91.535835063958302</v>
      </c>
      <c r="AM5880">
        <v>97.911534102210993</v>
      </c>
      <c r="AN5880">
        <v>1.00000004931147</v>
      </c>
    </row>
    <row r="5881" spans="1:40" x14ac:dyDescent="0.25">
      <c r="A5881" t="str">
        <f>"20190305135350545"</f>
        <v>20190305135350545</v>
      </c>
      <c r="B5881" t="str">
        <f>"1551765230536191"</f>
        <v>1551765230536191</v>
      </c>
      <c r="C5881" t="s">
        <v>40</v>
      </c>
      <c r="D5881">
        <v>4.7599669999999996</v>
      </c>
      <c r="E5881">
        <v>0.49968869999999999</v>
      </c>
      <c r="F5881" t="s">
        <v>92</v>
      </c>
      <c r="G5881">
        <v>-259.04640000000001</v>
      </c>
      <c r="H5881" s="1">
        <v>-3.0841179999999999E-6</v>
      </c>
      <c r="I5881">
        <v>-60.080170000000003</v>
      </c>
      <c r="J5881">
        <v>-272.07060000000001</v>
      </c>
      <c r="K5881">
        <v>1.110471</v>
      </c>
      <c r="L5881">
        <v>-61.402979999999999</v>
      </c>
      <c r="M5881">
        <v>0.99921420000000005</v>
      </c>
      <c r="N5881">
        <v>-1.380763E-2</v>
      </c>
      <c r="O5881">
        <v>-3.7154489999999998E-2</v>
      </c>
      <c r="P5881">
        <v>0.99407160000000006</v>
      </c>
      <c r="Q5881">
        <v>-4.0281669999999999E-2</v>
      </c>
      <c r="R5881">
        <v>0.1009924</v>
      </c>
      <c r="S5881">
        <v>2.9773860000000001</v>
      </c>
      <c r="T5881">
        <v>-0.25161480000000003</v>
      </c>
      <c r="U5881">
        <v>0.29888920000000002</v>
      </c>
      <c r="V5881">
        <v>-0.137801799999999</v>
      </c>
      <c r="W5881">
        <v>-2.691578E-2</v>
      </c>
      <c r="X5881">
        <v>0.99009400000000003</v>
      </c>
      <c r="Y5881">
        <v>-0.13613549999999999</v>
      </c>
      <c r="Z5881">
        <v>9.2884830000000002E-3</v>
      </c>
      <c r="AA5881">
        <v>0.99064669999999999</v>
      </c>
      <c r="AB5881">
        <v>24</v>
      </c>
      <c r="AC5881">
        <v>13.0242</v>
      </c>
      <c r="AD5881">
        <v>-1.1104740841179901</v>
      </c>
      <c r="AE5881">
        <v>1.32281000000001</v>
      </c>
      <c r="AF5881">
        <v>-1.79294901651633</v>
      </c>
      <c r="AG5881">
        <v>-1.1104740841179901</v>
      </c>
      <c r="AH5881">
        <v>12.8734224867025</v>
      </c>
      <c r="AI5881">
        <v>94.883282753129606</v>
      </c>
      <c r="AJ5881">
        <v>97.928878960170195</v>
      </c>
      <c r="AK5881">
        <v>13.045030677942499</v>
      </c>
      <c r="AL5881">
        <v>91.542346920962999</v>
      </c>
      <c r="AM5881">
        <v>97.923555186454706</v>
      </c>
      <c r="AN5881">
        <v>0.99999996206612296</v>
      </c>
    </row>
    <row r="5882" spans="1:40" x14ac:dyDescent="0.25">
      <c r="A5882" t="str">
        <f>"20190305135350556"</f>
        <v>20190305135350556</v>
      </c>
      <c r="B5882" t="str">
        <f>"1551765230545951"</f>
        <v>1551765230545951</v>
      </c>
      <c r="C5882" t="s">
        <v>40</v>
      </c>
      <c r="D5882">
        <v>4.3693229999999996</v>
      </c>
      <c r="E5882">
        <v>0.4996989</v>
      </c>
      <c r="F5882" t="s">
        <v>92</v>
      </c>
      <c r="G5882">
        <v>-258.93020000000001</v>
      </c>
      <c r="H5882" s="1">
        <v>-3.0353890000000001E-6</v>
      </c>
      <c r="I5882">
        <v>-60.075130000000001</v>
      </c>
      <c r="J5882">
        <v>-271.9504</v>
      </c>
      <c r="K5882">
        <v>1.110452</v>
      </c>
      <c r="L5882">
        <v>-61.406680000000001</v>
      </c>
      <c r="M5882">
        <v>0.99924020000000002</v>
      </c>
      <c r="N5882">
        <v>-1.3766499999999999E-2</v>
      </c>
      <c r="O5882">
        <v>-3.6464490000000002E-2</v>
      </c>
      <c r="P5882">
        <v>0.99398819999999999</v>
      </c>
      <c r="Q5882">
        <v>-4.034927E-2</v>
      </c>
      <c r="R5882">
        <v>0.1017824</v>
      </c>
      <c r="S5882">
        <v>2.9771420000000002</v>
      </c>
      <c r="T5882">
        <v>-0.25159320000000002</v>
      </c>
      <c r="U5882">
        <v>0.30084229999999901</v>
      </c>
      <c r="V5882">
        <v>-0.13790479999999899</v>
      </c>
      <c r="W5882">
        <v>-2.7023209999999999E-2</v>
      </c>
      <c r="X5882">
        <v>0.99007679999999998</v>
      </c>
      <c r="Y5882">
        <v>-0.1361049</v>
      </c>
      <c r="Z5882">
        <v>9.2367979999999992E-3</v>
      </c>
      <c r="AA5882">
        <v>0.99065139999999996</v>
      </c>
      <c r="AB5882">
        <v>24</v>
      </c>
      <c r="AC5882">
        <v>13.0201999999999</v>
      </c>
      <c r="AD5882">
        <v>-1.1104550353889999</v>
      </c>
      <c r="AE5882">
        <v>1.33155</v>
      </c>
      <c r="AF5882">
        <v>-1.79258012790306</v>
      </c>
      <c r="AG5882">
        <v>-1.1104550353889999</v>
      </c>
      <c r="AH5882">
        <v>12.8703320021037</v>
      </c>
      <c r="AI5882">
        <v>94.884363121189594</v>
      </c>
      <c r="AJ5882">
        <v>97.929147706204603</v>
      </c>
      <c r="AK5882">
        <v>13.041928528593701</v>
      </c>
      <c r="AL5882">
        <v>91.548504343155599</v>
      </c>
      <c r="AM5882">
        <v>97.9295383457235</v>
      </c>
      <c r="AN5882">
        <v>1.00000002881999</v>
      </c>
    </row>
    <row r="5883" spans="1:40" x14ac:dyDescent="0.25">
      <c r="A5883" t="str">
        <f>"20190305135350570"</f>
        <v>20190305135350570</v>
      </c>
      <c r="B5883" t="str">
        <f>"1551765230565471"</f>
        <v>1551765230565471</v>
      </c>
      <c r="C5883" t="s">
        <v>40</v>
      </c>
      <c r="D5883">
        <v>4.3591419999999896</v>
      </c>
      <c r="E5883">
        <v>0.49979950000000001</v>
      </c>
      <c r="F5883" t="s">
        <v>92</v>
      </c>
      <c r="G5883">
        <v>-258.84930000000003</v>
      </c>
      <c r="H5883" s="1">
        <v>-3.001203E-6</v>
      </c>
      <c r="I5883">
        <v>-60.072879999999998</v>
      </c>
      <c r="J5883">
        <v>-271.81119999999999</v>
      </c>
      <c r="K5883">
        <v>1.110428</v>
      </c>
      <c r="L5883">
        <v>-61.41086</v>
      </c>
      <c r="M5883">
        <v>0.99926979999999999</v>
      </c>
      <c r="N5883">
        <v>-1.369804E-2</v>
      </c>
      <c r="O5883">
        <v>-3.5671000000000001E-2</v>
      </c>
      <c r="P5883">
        <v>0.99388920000000003</v>
      </c>
      <c r="Q5883">
        <v>-4.060391E-2</v>
      </c>
      <c r="R5883">
        <v>0.1026454</v>
      </c>
      <c r="S5883">
        <v>2.9768680000000001</v>
      </c>
      <c r="T5883">
        <v>-0.25232149999999998</v>
      </c>
      <c r="U5883">
        <v>0.30307009999999901</v>
      </c>
      <c r="V5883">
        <v>-0.1379773</v>
      </c>
      <c r="W5883">
        <v>-2.7344400000000001E-2</v>
      </c>
      <c r="X5883">
        <v>0.99005790000000005</v>
      </c>
      <c r="Y5883">
        <v>-0.13605999999999999</v>
      </c>
      <c r="Z5883">
        <v>9.2021510000000004E-3</v>
      </c>
      <c r="AA5883">
        <v>0.99065789999999998</v>
      </c>
      <c r="AB5883">
        <v>24</v>
      </c>
      <c r="AC5883">
        <v>12.961899999999901</v>
      </c>
      <c r="AD5883">
        <v>-1.1104310012030001</v>
      </c>
      <c r="AE5883">
        <v>1.33797999999999</v>
      </c>
      <c r="AF5883">
        <v>-1.7865619964683099</v>
      </c>
      <c r="AG5883">
        <v>-1.1104310012030001</v>
      </c>
      <c r="AH5883">
        <v>12.8128735692836</v>
      </c>
      <c r="AI5883">
        <v>94.905950984717094</v>
      </c>
      <c r="AJ5883">
        <v>97.937853598697998</v>
      </c>
      <c r="AK5883">
        <v>12.984397940532499</v>
      </c>
      <c r="AL5883">
        <v>91.566913946618001</v>
      </c>
      <c r="AM5883">
        <v>97.9338035566836</v>
      </c>
      <c r="AN5883">
        <v>1.00000004843952</v>
      </c>
    </row>
    <row r="5884" spans="1:40" x14ac:dyDescent="0.25">
      <c r="A5884" t="str">
        <f>"20190305135350580"</f>
        <v>20190305135350580</v>
      </c>
      <c r="B5884" t="str">
        <f>"1551765230576207"</f>
        <v>1551765230576207</v>
      </c>
      <c r="C5884" t="s">
        <v>40</v>
      </c>
      <c r="D5884">
        <v>4.2477340000000003</v>
      </c>
      <c r="E5884">
        <v>0.49979950000000001</v>
      </c>
      <c r="F5884" t="s">
        <v>92</v>
      </c>
      <c r="G5884">
        <v>-258.7645</v>
      </c>
      <c r="H5884" s="1">
        <v>-2.964356E-6</v>
      </c>
      <c r="I5884">
        <v>-60.074979999999996</v>
      </c>
      <c r="J5884">
        <v>-271.70639999999997</v>
      </c>
      <c r="K5884">
        <v>1.110409</v>
      </c>
      <c r="L5884">
        <v>-61.4139699999999</v>
      </c>
      <c r="M5884">
        <v>0.9992917</v>
      </c>
      <c r="N5884">
        <v>-1.362269E-2</v>
      </c>
      <c r="O5884">
        <v>-3.507938E-2</v>
      </c>
      <c r="P5884">
        <v>0.99379470000000003</v>
      </c>
      <c r="Q5884">
        <v>-4.1007250000000002E-2</v>
      </c>
      <c r="R5884">
        <v>0.10339420000000001</v>
      </c>
      <c r="S5884">
        <v>2.9765929999999998</v>
      </c>
      <c r="T5884">
        <v>-0.25334380000000001</v>
      </c>
      <c r="U5884">
        <v>0.30477910000000002</v>
      </c>
      <c r="V5884">
        <v>-0.13813549999999999</v>
      </c>
      <c r="W5884">
        <v>-2.7821869999999999E-2</v>
      </c>
      <c r="X5884">
        <v>0.99002250000000003</v>
      </c>
      <c r="Y5884">
        <v>-0.1360422</v>
      </c>
      <c r="Z5884">
        <v>9.1926270000000001E-3</v>
      </c>
      <c r="AA5884">
        <v>0.9906604</v>
      </c>
      <c r="AB5884">
        <v>24</v>
      </c>
      <c r="AC5884">
        <v>12.941899999999899</v>
      </c>
      <c r="AD5884">
        <v>-1.110411964356</v>
      </c>
      <c r="AE5884">
        <v>1.3389899999999799</v>
      </c>
      <c r="AF5884">
        <v>-1.7792423389260601</v>
      </c>
      <c r="AG5884">
        <v>-1.110411964356</v>
      </c>
      <c r="AH5884">
        <v>12.793772714054301</v>
      </c>
      <c r="AI5884">
        <v>94.913398908301502</v>
      </c>
      <c r="AJ5884">
        <v>97.917397306673607</v>
      </c>
      <c r="AK5884">
        <v>12.964541576549999</v>
      </c>
      <c r="AL5884">
        <v>91.594281433003204</v>
      </c>
      <c r="AM5884">
        <v>97.943064533231507</v>
      </c>
      <c r="AN5884">
        <v>1.00000001165839</v>
      </c>
    </row>
    <row r="5885" spans="1:40" x14ac:dyDescent="0.25">
      <c r="A5885" t="str">
        <f>"20190305135350591"</f>
        <v>20190305135350591</v>
      </c>
      <c r="B5885" t="str">
        <f>"1551765230585970"</f>
        <v>1551765230585970</v>
      </c>
      <c r="C5885" t="s">
        <v>40</v>
      </c>
      <c r="D5885">
        <v>4.340484</v>
      </c>
      <c r="E5885">
        <v>0.49984149999999999</v>
      </c>
      <c r="F5885" t="s">
        <v>92</v>
      </c>
      <c r="G5885">
        <v>-258.72329999999999</v>
      </c>
      <c r="H5885" s="1">
        <v>-2.9466490000000002E-6</v>
      </c>
      <c r="I5885">
        <v>-60.075130000000001</v>
      </c>
      <c r="J5885">
        <v>-271.58120000000002</v>
      </c>
      <c r="K5885">
        <v>1.1103769999999999</v>
      </c>
      <c r="L5885">
        <v>-61.417569999999998</v>
      </c>
      <c r="M5885">
        <v>0.99931749999999997</v>
      </c>
      <c r="N5885">
        <v>-1.35151E-2</v>
      </c>
      <c r="O5885">
        <v>-3.4379760000000002E-2</v>
      </c>
      <c r="P5885">
        <v>0.99368480000000003</v>
      </c>
      <c r="Q5885">
        <v>-4.1125229999999999E-2</v>
      </c>
      <c r="R5885">
        <v>0.1043987</v>
      </c>
      <c r="S5885">
        <v>2.9762569999999999</v>
      </c>
      <c r="T5885">
        <v>-0.25455159999999999</v>
      </c>
      <c r="U5885">
        <v>0.3069153</v>
      </c>
      <c r="V5885">
        <v>-0.13844289999999901</v>
      </c>
      <c r="W5885">
        <v>-2.8045239999999999E-2</v>
      </c>
      <c r="X5885">
        <v>0.9899732</v>
      </c>
      <c r="Y5885">
        <v>-0.1360595</v>
      </c>
      <c r="Z5885">
        <v>9.1819559999999998E-3</v>
      </c>
      <c r="AA5885">
        <v>0.99065809999999999</v>
      </c>
      <c r="AB5885">
        <v>24</v>
      </c>
      <c r="AC5885">
        <v>12.857900000000001</v>
      </c>
      <c r="AD5885">
        <v>-1.1103799466490001</v>
      </c>
      <c r="AE5885">
        <v>1.3424399999999901</v>
      </c>
      <c r="AF5885">
        <v>-1.7706754127284099</v>
      </c>
      <c r="AG5885">
        <v>-1.1103799466490001</v>
      </c>
      <c r="AH5885">
        <v>12.7103729352598</v>
      </c>
      <c r="AI5885">
        <v>94.9451769131487</v>
      </c>
      <c r="AJ5885">
        <v>97.930803245269502</v>
      </c>
      <c r="AK5885">
        <v>12.881064210559099</v>
      </c>
      <c r="AL5885">
        <v>91.607084679241197</v>
      </c>
      <c r="AM5885">
        <v>97.960905635999396</v>
      </c>
      <c r="AN5885">
        <v>0.99999995438265199</v>
      </c>
    </row>
    <row r="5886" spans="1:40" x14ac:dyDescent="0.25">
      <c r="A5886" t="str">
        <f>"20190305135350603"</f>
        <v>20190305135350603</v>
      </c>
      <c r="B5886" t="str">
        <f>"1551765230595727"</f>
        <v>1551765230595727</v>
      </c>
      <c r="C5886" t="s">
        <v>40</v>
      </c>
      <c r="D5886">
        <v>4.3362470000000002</v>
      </c>
      <c r="E5886">
        <v>0.4998976</v>
      </c>
      <c r="F5886" t="s">
        <v>92</v>
      </c>
      <c r="G5886">
        <v>-258.62529999999998</v>
      </c>
      <c r="H5886" s="1">
        <v>-2.9056889999999999E-6</v>
      </c>
      <c r="I5886">
        <v>-60.070270000000001</v>
      </c>
      <c r="J5886">
        <v>-271.45600000000002</v>
      </c>
      <c r="K5886">
        <v>1.1103400000000001</v>
      </c>
      <c r="L5886">
        <v>-61.421109999999999</v>
      </c>
      <c r="M5886">
        <v>0.99934270000000003</v>
      </c>
      <c r="N5886">
        <v>-1.339394E-2</v>
      </c>
      <c r="O5886">
        <v>-3.3685699999999999E-2</v>
      </c>
      <c r="P5886">
        <v>0.99362629999999996</v>
      </c>
      <c r="Q5886">
        <v>-4.1243450000000001E-2</v>
      </c>
      <c r="R5886">
        <v>0.104909</v>
      </c>
      <c r="S5886">
        <v>2.9759829999999998</v>
      </c>
      <c r="T5886">
        <v>-0.25505640000000002</v>
      </c>
      <c r="U5886">
        <v>0.3094788</v>
      </c>
      <c r="V5886">
        <v>-0.138264</v>
      </c>
      <c r="W5886">
        <v>-2.827967E-2</v>
      </c>
      <c r="X5886">
        <v>0.98999159999999997</v>
      </c>
      <c r="Y5886">
        <v>-0.13622400000000001</v>
      </c>
      <c r="Z5886">
        <v>9.1536829999999993E-3</v>
      </c>
      <c r="AA5886">
        <v>0.99063579999999996</v>
      </c>
      <c r="AB5886">
        <v>24</v>
      </c>
      <c r="AC5886">
        <v>12.830699999999901</v>
      </c>
      <c r="AD5886">
        <v>-1.110342905689</v>
      </c>
      <c r="AE5886">
        <v>1.35084</v>
      </c>
      <c r="AF5886">
        <v>-1.7692190047858101</v>
      </c>
      <c r="AG5886">
        <v>-1.110342905689</v>
      </c>
      <c r="AH5886">
        <v>12.6839622717563</v>
      </c>
      <c r="AI5886">
        <v>94.955139950261298</v>
      </c>
      <c r="AJ5886">
        <v>97.940652862288701</v>
      </c>
      <c r="AK5886">
        <v>12.8548005105659</v>
      </c>
      <c r="AL5886">
        <v>91.620521751627706</v>
      </c>
      <c r="AM5886">
        <v>97.950604074664994</v>
      </c>
      <c r="AN5886">
        <v>1.0000000207509301</v>
      </c>
    </row>
    <row r="5887" spans="1:40" x14ac:dyDescent="0.25">
      <c r="A5887" t="str">
        <f>"20190305135350613"</f>
        <v>20190305135350613</v>
      </c>
      <c r="B5887" t="str">
        <f>"1551765230605487"</f>
        <v>1551765230605487</v>
      </c>
      <c r="C5887" t="s">
        <v>40</v>
      </c>
      <c r="D5887">
        <v>4.3277809999999999</v>
      </c>
      <c r="E5887">
        <v>0.49991360000000001</v>
      </c>
      <c r="F5887" t="s">
        <v>92</v>
      </c>
      <c r="G5887">
        <v>-258.52659999999997</v>
      </c>
      <c r="H5887" s="1">
        <v>-2.8629020000000002E-6</v>
      </c>
      <c r="I5887">
        <v>-60.072150000000001</v>
      </c>
      <c r="J5887">
        <v>-271.34570000000002</v>
      </c>
      <c r="K5887">
        <v>1.110301</v>
      </c>
      <c r="L5887">
        <v>-61.424100000000003</v>
      </c>
      <c r="M5887">
        <v>0.99936449999999999</v>
      </c>
      <c r="N5887">
        <v>-1.328004E-2</v>
      </c>
      <c r="O5887">
        <v>-3.308063E-2</v>
      </c>
      <c r="P5887">
        <v>0.99359180000000002</v>
      </c>
      <c r="Q5887">
        <v>-4.0998560000000003E-2</v>
      </c>
      <c r="R5887">
        <v>0.1053299</v>
      </c>
      <c r="S5887">
        <v>2.9759220000000002</v>
      </c>
      <c r="T5887">
        <v>-0.25556390000000001</v>
      </c>
      <c r="U5887">
        <v>0.31048579999999998</v>
      </c>
      <c r="V5887">
        <v>-0.13808509999999999</v>
      </c>
      <c r="W5887">
        <v>-2.8143020000000001E-2</v>
      </c>
      <c r="X5887">
        <v>0.99002049999999997</v>
      </c>
      <c r="Y5887">
        <v>-0.13595850000000001</v>
      </c>
      <c r="Z5887">
        <v>9.1101150000000002E-3</v>
      </c>
      <c r="AA5887">
        <v>0.99067260000000001</v>
      </c>
      <c r="AB5887">
        <v>24</v>
      </c>
      <c r="AC5887">
        <v>12.819100000000001</v>
      </c>
      <c r="AD5887">
        <v>-1.1103038629019999</v>
      </c>
      <c r="AE5887">
        <v>1.35195</v>
      </c>
      <c r="AF5887">
        <v>-1.7622365934058499</v>
      </c>
      <c r="AG5887">
        <v>-1.1103038629019999</v>
      </c>
      <c r="AH5887">
        <v>12.673327764052701</v>
      </c>
      <c r="AI5887">
        <v>94.959396208934095</v>
      </c>
      <c r="AJ5887">
        <v>97.916264777348104</v>
      </c>
      <c r="AK5887">
        <v>12.8433441554068</v>
      </c>
      <c r="AL5887">
        <v>91.612689106845195</v>
      </c>
      <c r="AM5887">
        <v>97.940219239413594</v>
      </c>
      <c r="AN5887">
        <v>1.00000005741848</v>
      </c>
    </row>
    <row r="5888" spans="1:40" x14ac:dyDescent="0.25">
      <c r="A5888" t="str">
        <f>"20190305135350625"</f>
        <v>20190305135350625</v>
      </c>
      <c r="B5888" t="str">
        <f>"1551765230616223"</f>
        <v>1551765230616223</v>
      </c>
      <c r="C5888" t="s">
        <v>40</v>
      </c>
      <c r="D5888">
        <v>4.3118679999999996</v>
      </c>
      <c r="E5888">
        <v>0.49992110000000001</v>
      </c>
      <c r="F5888" t="s">
        <v>92</v>
      </c>
      <c r="G5888">
        <v>-258.39659999999998</v>
      </c>
      <c r="H5888" s="1">
        <v>-2.807966E-6</v>
      </c>
      <c r="I5888">
        <v>-60.0685199999999</v>
      </c>
      <c r="J5888">
        <v>-271.22620000000001</v>
      </c>
      <c r="K5888">
        <v>1.1102620000000001</v>
      </c>
      <c r="L5888">
        <v>-61.427370000000003</v>
      </c>
      <c r="M5888">
        <v>0.99938760000000004</v>
      </c>
      <c r="N5888">
        <v>-1.315495E-2</v>
      </c>
      <c r="O5888">
        <v>-3.2426179999999999E-2</v>
      </c>
      <c r="P5888">
        <v>0.99354949999999997</v>
      </c>
      <c r="Q5888">
        <v>-4.0633040000000002E-2</v>
      </c>
      <c r="R5888">
        <v>0.1058704</v>
      </c>
      <c r="S5888">
        <v>2.9758</v>
      </c>
      <c r="T5888">
        <v>-0.2551562</v>
      </c>
      <c r="U5888">
        <v>0.31152340000000001</v>
      </c>
      <c r="V5888">
        <v>-0.1379775</v>
      </c>
      <c r="W5888">
        <v>-2.7896489999999999E-2</v>
      </c>
      <c r="X5888">
        <v>0.99004239999999999</v>
      </c>
      <c r="Y5888">
        <v>-0.135661</v>
      </c>
      <c r="Z5888">
        <v>9.0301909999999999E-3</v>
      </c>
      <c r="AA5888">
        <v>0.99071419999999999</v>
      </c>
      <c r="AB5888">
        <v>24</v>
      </c>
      <c r="AC5888">
        <v>12.829599999999999</v>
      </c>
      <c r="AD5888">
        <v>-1.110264807966</v>
      </c>
      <c r="AE5888">
        <v>1.3588499999999999</v>
      </c>
      <c r="AF5888">
        <v>-1.76114322565743</v>
      </c>
      <c r="AG5888">
        <v>-1.110264807966</v>
      </c>
      <c r="AH5888">
        <v>12.684842448020399</v>
      </c>
      <c r="AI5888">
        <v>94.954886064912699</v>
      </c>
      <c r="AJ5888">
        <v>97.904324611528494</v>
      </c>
      <c r="AK5888">
        <v>12.8545533308702</v>
      </c>
      <c r="AL5888">
        <v>91.598558555987196</v>
      </c>
      <c r="AM5888">
        <v>97.933937539644901</v>
      </c>
      <c r="AN5888">
        <v>0.99999997922916395</v>
      </c>
    </row>
    <row r="5889" spans="1:40" x14ac:dyDescent="0.25">
      <c r="A5889" t="str">
        <f>"20190305135350636"</f>
        <v>20190305135350636</v>
      </c>
      <c r="B5889" t="str">
        <f>"1551765230625983"</f>
        <v>1551765230625983</v>
      </c>
      <c r="C5889" t="s">
        <v>40</v>
      </c>
      <c r="D5889">
        <v>4.3111879999999996</v>
      </c>
      <c r="E5889">
        <v>0.49995879999999998</v>
      </c>
      <c r="F5889" t="s">
        <v>92</v>
      </c>
      <c r="G5889">
        <v>-258.23829999999998</v>
      </c>
      <c r="H5889" s="1">
        <v>-2.741633E-6</v>
      </c>
      <c r="I5889">
        <v>-60.061269999999901</v>
      </c>
      <c r="J5889">
        <v>-271.1003</v>
      </c>
      <c r="K5889">
        <v>1.1102259999999999</v>
      </c>
      <c r="L5889">
        <v>-61.430689999999998</v>
      </c>
      <c r="M5889">
        <v>0.9994113</v>
      </c>
      <c r="N5889">
        <v>-1.3026930000000001E-2</v>
      </c>
      <c r="O5889">
        <v>-3.1745269999999999E-2</v>
      </c>
      <c r="P5889">
        <v>0.99350839999999996</v>
      </c>
      <c r="Q5889">
        <v>-4.0282610000000003E-2</v>
      </c>
      <c r="R5889">
        <v>0.1063891</v>
      </c>
      <c r="S5889">
        <v>2.9756770000000001</v>
      </c>
      <c r="T5889">
        <v>-0.25437389999999999</v>
      </c>
      <c r="U5889">
        <v>0.3129883</v>
      </c>
      <c r="V5889">
        <v>-0.13782169999999999</v>
      </c>
      <c r="W5889">
        <v>-2.7667259999999999E-2</v>
      </c>
      <c r="X5889">
        <v>0.99007060000000002</v>
      </c>
      <c r="Y5889">
        <v>-0.1354794</v>
      </c>
      <c r="Z5889">
        <v>8.9415540000000009E-3</v>
      </c>
      <c r="AA5889">
        <v>0.99073979999999995</v>
      </c>
      <c r="AB5889">
        <v>24</v>
      </c>
      <c r="AC5889">
        <v>12.862</v>
      </c>
      <c r="AD5889">
        <v>-1.1102287416329999</v>
      </c>
      <c r="AE5889">
        <v>1.3694200000000101</v>
      </c>
      <c r="AF5889">
        <v>-1.76407531696958</v>
      </c>
      <c r="AG5889">
        <v>-1.1102287416329999</v>
      </c>
      <c r="AH5889">
        <v>12.7183393475136</v>
      </c>
      <c r="AI5889">
        <v>94.941831580199207</v>
      </c>
      <c r="AJ5889">
        <v>97.896728799006695</v>
      </c>
      <c r="AK5889">
        <v>12.888007035271301</v>
      </c>
      <c r="AL5889">
        <v>91.585419467327995</v>
      </c>
      <c r="AM5889">
        <v>97.924869810928399</v>
      </c>
      <c r="AN5889">
        <v>1.00000004562557</v>
      </c>
    </row>
    <row r="5890" spans="1:40" x14ac:dyDescent="0.25">
      <c r="A5890" t="str">
        <f>"20190305135350660"</f>
        <v>20190305135350660</v>
      </c>
      <c r="B5890" t="str">
        <f>"1551765230645502"</f>
        <v>1551765230645502</v>
      </c>
      <c r="C5890" t="s">
        <v>40</v>
      </c>
      <c r="D5890">
        <v>4.3116450000000004</v>
      </c>
      <c r="E5890">
        <v>0.49996030000000002</v>
      </c>
      <c r="F5890" t="s">
        <v>92</v>
      </c>
      <c r="G5890">
        <v>-258.07380000000001</v>
      </c>
      <c r="H5890" s="1">
        <v>-2.672437E-6</v>
      </c>
      <c r="I5890">
        <v>-60.055050000000001</v>
      </c>
      <c r="J5890">
        <v>-270.85430000000002</v>
      </c>
      <c r="K5890">
        <v>1.1101620000000001</v>
      </c>
      <c r="L5890">
        <v>-61.436979999999998</v>
      </c>
      <c r="M5890">
        <v>0.99945539999999999</v>
      </c>
      <c r="N5890">
        <v>-1.278516E-2</v>
      </c>
      <c r="O5890">
        <v>-3.0424610000000001E-2</v>
      </c>
      <c r="P5890">
        <v>0.99347359999999896</v>
      </c>
      <c r="Q5890">
        <v>-3.9539970000000001E-2</v>
      </c>
      <c r="R5890">
        <v>0.1069914</v>
      </c>
      <c r="S5890">
        <v>2.9756770000000001</v>
      </c>
      <c r="T5890">
        <v>-0.25361109999999998</v>
      </c>
      <c r="U5890">
        <v>0.3142395</v>
      </c>
      <c r="V5890">
        <v>-0.13711679999999901</v>
      </c>
      <c r="W5890">
        <v>-2.7152740000000002E-2</v>
      </c>
      <c r="X5890">
        <v>0.99018260000000002</v>
      </c>
      <c r="Y5890">
        <v>-0.13459389999999999</v>
      </c>
      <c r="Z5890">
        <v>8.7687300000000006E-3</v>
      </c>
      <c r="AA5890">
        <v>0.99086209999999997</v>
      </c>
      <c r="AB5890">
        <v>24</v>
      </c>
      <c r="AC5890">
        <v>12.7805</v>
      </c>
      <c r="AD5890">
        <v>-1.110164672437</v>
      </c>
      <c r="AE5890">
        <v>1.3819300000000001</v>
      </c>
      <c r="AF5890">
        <v>-1.75705921536669</v>
      </c>
      <c r="AG5890">
        <v>-1.110164672437</v>
      </c>
      <c r="AH5890">
        <v>12.638276248494</v>
      </c>
      <c r="AI5890">
        <v>94.972477810222003</v>
      </c>
      <c r="AJ5890">
        <v>97.914915235042002</v>
      </c>
      <c r="AK5890">
        <v>12.808034557240999</v>
      </c>
      <c r="AL5890">
        <v>91.555928735990506</v>
      </c>
      <c r="AM5890">
        <v>97.883967886193702</v>
      </c>
      <c r="AN5890">
        <v>0.99999993473725102</v>
      </c>
    </row>
    <row r="5891" spans="1:40" x14ac:dyDescent="0.25">
      <c r="A5891" t="str">
        <f>"20190305135350671"</f>
        <v>20190305135350671</v>
      </c>
      <c r="B5891" t="str">
        <f>"1551765230665999"</f>
        <v>1551765230665999</v>
      </c>
      <c r="C5891" t="s">
        <v>40</v>
      </c>
      <c r="D5891">
        <v>4.2248539999999997</v>
      </c>
      <c r="E5891">
        <v>0.4999461</v>
      </c>
      <c r="F5891" t="s">
        <v>92</v>
      </c>
      <c r="G5891">
        <v>-257.72460000000001</v>
      </c>
      <c r="H5891" s="1">
        <v>-2.5253900000000001E-6</v>
      </c>
      <c r="I5891">
        <v>-60.042639999999999</v>
      </c>
      <c r="J5891">
        <v>-270.726</v>
      </c>
      <c r="K5891">
        <v>1.1101379999999901</v>
      </c>
      <c r="L5891">
        <v>-61.440159999999999</v>
      </c>
      <c r="M5891">
        <v>0.99947730000000001</v>
      </c>
      <c r="N5891">
        <v>-1.2664969999999999E-2</v>
      </c>
      <c r="O5891">
        <v>-2.9743450000000001E-2</v>
      </c>
      <c r="P5891">
        <v>0.99344809999999995</v>
      </c>
      <c r="Q5891">
        <v>-3.9407060000000001E-2</v>
      </c>
      <c r="R5891">
        <v>0.10727399999999999</v>
      </c>
      <c r="S5891">
        <v>2.9756770000000001</v>
      </c>
      <c r="T5891">
        <v>-0.25160440000000001</v>
      </c>
      <c r="U5891">
        <v>0.3160095</v>
      </c>
      <c r="V5891">
        <v>-0.13672500000000001</v>
      </c>
      <c r="W5891">
        <v>-2.7134289999999998E-2</v>
      </c>
      <c r="X5891">
        <v>0.99023740000000005</v>
      </c>
      <c r="Y5891">
        <v>-0.13451359999999901</v>
      </c>
      <c r="Z5891">
        <v>8.6459589999999999E-3</v>
      </c>
      <c r="AA5891">
        <v>0.99087409999999998</v>
      </c>
      <c r="AB5891">
        <v>24</v>
      </c>
      <c r="AC5891">
        <v>13.001399999999901</v>
      </c>
      <c r="AD5891">
        <v>-1.1101405253900001</v>
      </c>
      <c r="AE5891">
        <v>1.3975199999999901</v>
      </c>
      <c r="AF5891">
        <v>-1.7708754677483201</v>
      </c>
      <c r="AG5891">
        <v>-1.1101405253900001</v>
      </c>
      <c r="AH5891">
        <v>12.8613776229792</v>
      </c>
      <c r="AI5891">
        <v>94.887420714073997</v>
      </c>
      <c r="AJ5891">
        <v>97.839727133841393</v>
      </c>
      <c r="AK5891">
        <v>13.0300977075867</v>
      </c>
      <c r="AL5891">
        <v>91.554871057028905</v>
      </c>
      <c r="AM5891">
        <v>97.861292557618199</v>
      </c>
      <c r="AN5891">
        <v>1.0000000518387799</v>
      </c>
    </row>
    <row r="5892" spans="1:40" x14ac:dyDescent="0.25">
      <c r="A5892" t="str">
        <f>"20190305135350683"</f>
        <v>20190305135350683</v>
      </c>
      <c r="B5892" t="str">
        <f>"1551765230675759"</f>
        <v>1551765230675759</v>
      </c>
      <c r="C5892" t="s">
        <v>40</v>
      </c>
      <c r="D5892">
        <v>4.261482</v>
      </c>
      <c r="E5892">
        <v>0.49993140000000003</v>
      </c>
      <c r="F5892" t="s">
        <v>92</v>
      </c>
      <c r="G5892">
        <v>-257.59530000000001</v>
      </c>
      <c r="H5892" s="1">
        <v>-2.4701139999999998E-6</v>
      </c>
      <c r="I5892">
        <v>-60.041789999999999</v>
      </c>
      <c r="J5892">
        <v>-270.5933</v>
      </c>
      <c r="K5892">
        <v>1.11012</v>
      </c>
      <c r="L5892">
        <v>-61.443359999999998</v>
      </c>
      <c r="M5892">
        <v>0.99949940000000004</v>
      </c>
      <c r="N5892">
        <v>-1.254399E-2</v>
      </c>
      <c r="O5892">
        <v>-2.904462E-2</v>
      </c>
      <c r="P5892">
        <v>0.99340899999999999</v>
      </c>
      <c r="Q5892">
        <v>-3.9549170000000002E-2</v>
      </c>
      <c r="R5892">
        <v>0.1075855</v>
      </c>
      <c r="S5892">
        <v>2.9756469999999999</v>
      </c>
      <c r="T5892">
        <v>-0.25157790000000002</v>
      </c>
      <c r="U5892">
        <v>0.31689450000000002</v>
      </c>
      <c r="V5892">
        <v>-0.13634299999999999</v>
      </c>
      <c r="W5892">
        <v>-2.7392590000000001E-2</v>
      </c>
      <c r="X5892">
        <v>0.99028289999999997</v>
      </c>
      <c r="Y5892">
        <v>-0.13411719999999999</v>
      </c>
      <c r="Z5892">
        <v>8.5711889999999999E-3</v>
      </c>
      <c r="AA5892">
        <v>0.99092840000000004</v>
      </c>
      <c r="AB5892">
        <v>24</v>
      </c>
      <c r="AC5892">
        <v>12.9979999999999</v>
      </c>
      <c r="AD5892">
        <v>-1.110122470114</v>
      </c>
      <c r="AE5892">
        <v>1.40156999999999</v>
      </c>
      <c r="AF5892">
        <v>-1.7657979158572601</v>
      </c>
      <c r="AG5892">
        <v>-1.110122470114</v>
      </c>
      <c r="AH5892">
        <v>12.859083194789701</v>
      </c>
      <c r="AI5892">
        <v>94.888452523126901</v>
      </c>
      <c r="AJ5892">
        <v>97.818904586654298</v>
      </c>
      <c r="AK5892">
        <v>13.0271422341517</v>
      </c>
      <c r="AL5892">
        <v>91.569676148918006</v>
      </c>
      <c r="AM5892">
        <v>97.839246420753099</v>
      </c>
      <c r="AN5892">
        <v>0.99999999483415902</v>
      </c>
    </row>
    <row r="5893" spans="1:40" x14ac:dyDescent="0.25">
      <c r="A5893" t="str">
        <f>"20190305135350694"</f>
        <v>20190305135350694</v>
      </c>
      <c r="B5893" t="str">
        <f>"1551765230685519"</f>
        <v>1551765230685519</v>
      </c>
      <c r="C5893" t="s">
        <v>40</v>
      </c>
      <c r="D5893">
        <v>4.2459290000000003</v>
      </c>
      <c r="E5893">
        <v>0.49992350000000002</v>
      </c>
      <c r="F5893" t="s">
        <v>92</v>
      </c>
      <c r="G5893">
        <v>-257.51350000000002</v>
      </c>
      <c r="H5893" s="1">
        <v>-2.43408E-6</v>
      </c>
      <c r="I5893">
        <v>-60.046019999999999</v>
      </c>
      <c r="J5893">
        <v>-270.47989999999999</v>
      </c>
      <c r="K5893">
        <v>1.1101080000000001</v>
      </c>
      <c r="L5893">
        <v>-61.445979999999999</v>
      </c>
      <c r="M5893">
        <v>0.99951760000000001</v>
      </c>
      <c r="N5893">
        <v>-1.24435E-2</v>
      </c>
      <c r="O5893">
        <v>-2.8454190000000001E-2</v>
      </c>
      <c r="P5893">
        <v>0.99337189999999997</v>
      </c>
      <c r="Q5893">
        <v>-3.9641170000000003E-2</v>
      </c>
      <c r="R5893">
        <v>0.1078925</v>
      </c>
      <c r="S5893">
        <v>2.9754330000000002</v>
      </c>
      <c r="T5893">
        <v>-0.25253490000000001</v>
      </c>
      <c r="U5893">
        <v>0.31787110000000002</v>
      </c>
      <c r="V5893">
        <v>-0.13606370000000001</v>
      </c>
      <c r="W5893">
        <v>-2.7582329999999999E-2</v>
      </c>
      <c r="X5893">
        <v>0.99031599999999997</v>
      </c>
      <c r="Y5893">
        <v>-0.13385920000000001</v>
      </c>
      <c r="Z5893">
        <v>8.5433609999999993E-3</v>
      </c>
      <c r="AA5893">
        <v>0.9909635</v>
      </c>
      <c r="AB5893">
        <v>24</v>
      </c>
      <c r="AC5893">
        <v>12.966399999999901</v>
      </c>
      <c r="AD5893">
        <v>-1.1101104340799901</v>
      </c>
      <c r="AE5893">
        <v>1.3999600000000001</v>
      </c>
      <c r="AF5893">
        <v>-1.75564973673011</v>
      </c>
      <c r="AG5893">
        <v>-1.1101104340799901</v>
      </c>
      <c r="AH5893">
        <v>12.8283650763639</v>
      </c>
      <c r="AI5893">
        <v>94.900351667615197</v>
      </c>
      <c r="AJ5893">
        <v>97.792907804827195</v>
      </c>
      <c r="AK5893">
        <v>12.9954454216239</v>
      </c>
      <c r="AL5893">
        <v>91.580551634128696</v>
      </c>
      <c r="AM5893">
        <v>97.823128456921694</v>
      </c>
      <c r="AN5893">
        <v>0.99999994762095801</v>
      </c>
    </row>
    <row r="5894" spans="1:40" x14ac:dyDescent="0.25">
      <c r="A5894" t="str">
        <f>"20190305135350704"</f>
        <v>20190305135350704</v>
      </c>
      <c r="B5894" t="str">
        <f>"1551765230696255"</f>
        <v>1551765230696255</v>
      </c>
      <c r="C5894" t="s">
        <v>40</v>
      </c>
      <c r="D5894">
        <v>4.2139889999999998</v>
      </c>
      <c r="E5894">
        <v>0.4999363</v>
      </c>
      <c r="F5894" t="s">
        <v>92</v>
      </c>
      <c r="G5894">
        <v>-257.43430000000001</v>
      </c>
      <c r="H5894" s="1">
        <v>-2.3995909999999998E-6</v>
      </c>
      <c r="I5894">
        <v>-60.048340000000003</v>
      </c>
      <c r="J5894">
        <v>-270.36700000000002</v>
      </c>
      <c r="K5894">
        <v>1.110098</v>
      </c>
      <c r="L5894">
        <v>-61.448610000000002</v>
      </c>
      <c r="M5894">
        <v>0.99953550000000002</v>
      </c>
      <c r="N5894">
        <v>-1.2343939999999999E-2</v>
      </c>
      <c r="O5894">
        <v>-2.7867699999999999E-2</v>
      </c>
      <c r="P5894">
        <v>0.99331539999999996</v>
      </c>
      <c r="Q5894">
        <v>-3.997788E-2</v>
      </c>
      <c r="R5894">
        <v>0.10828980000000001</v>
      </c>
      <c r="S5894">
        <v>2.9752809999999998</v>
      </c>
      <c r="T5894">
        <v>-0.25318010000000002</v>
      </c>
      <c r="U5894">
        <v>0.31875609999999999</v>
      </c>
      <c r="V5894">
        <v>-0.13587779999999999</v>
      </c>
      <c r="W5894">
        <v>-2.8016470000000002E-2</v>
      </c>
      <c r="X5894">
        <v>0.99032940000000003</v>
      </c>
      <c r="Y5894">
        <v>-0.13357449999999901</v>
      </c>
      <c r="Z5894">
        <v>8.5039999999999994E-3</v>
      </c>
      <c r="AA5894">
        <v>0.9910023</v>
      </c>
      <c r="AB5894">
        <v>24</v>
      </c>
      <c r="AC5894">
        <v>12.932700000000001</v>
      </c>
      <c r="AD5894">
        <v>-1.1101003995909999</v>
      </c>
      <c r="AE5894">
        <v>1.4002699999999899</v>
      </c>
      <c r="AF5894">
        <v>-1.74743231922367</v>
      </c>
      <c r="AG5894">
        <v>-1.1101003995909999</v>
      </c>
      <c r="AH5894">
        <v>12.7954673305164</v>
      </c>
      <c r="AI5894">
        <v>94.913035422956696</v>
      </c>
      <c r="AJ5894">
        <v>97.776577321366801</v>
      </c>
      <c r="AK5894">
        <v>12.9618604688429</v>
      </c>
      <c r="AL5894">
        <v>91.605435542594705</v>
      </c>
      <c r="AM5894">
        <v>97.812467614034503</v>
      </c>
      <c r="AN5894">
        <v>1.0000000098142301</v>
      </c>
    </row>
    <row r="5895" spans="1:40" x14ac:dyDescent="0.25">
      <c r="A5895" t="str">
        <f>"20190305135350714"</f>
        <v>20190305135350714</v>
      </c>
      <c r="B5895" t="str">
        <f>"1551765230706016"</f>
        <v>1551765230706016</v>
      </c>
      <c r="C5895" t="s">
        <v>40</v>
      </c>
      <c r="D5895">
        <v>4.2530359999999998</v>
      </c>
      <c r="E5895">
        <v>0.49991479999999999</v>
      </c>
      <c r="F5895" t="s">
        <v>92</v>
      </c>
      <c r="G5895">
        <v>-257.41210000000001</v>
      </c>
      <c r="H5895" s="1">
        <v>-2.3883169999999999E-6</v>
      </c>
      <c r="I5895">
        <v>-60.056179999999998</v>
      </c>
      <c r="J5895">
        <v>-270.25420000000003</v>
      </c>
      <c r="K5895">
        <v>1.110093</v>
      </c>
      <c r="L5895">
        <v>-61.451079999999997</v>
      </c>
      <c r="M5895">
        <v>0.99955269999999996</v>
      </c>
      <c r="N5895">
        <v>-1.2244730000000001E-2</v>
      </c>
      <c r="O5895">
        <v>-2.728763E-2</v>
      </c>
      <c r="P5895">
        <v>0.99329250000000002</v>
      </c>
      <c r="Q5895">
        <v>-3.9461940000000001E-2</v>
      </c>
      <c r="R5895">
        <v>0.1086879</v>
      </c>
      <c r="S5895">
        <v>2.9750369999999999</v>
      </c>
      <c r="T5895">
        <v>-0.25492890000000001</v>
      </c>
      <c r="U5895">
        <v>0.31976320000000003</v>
      </c>
      <c r="V5895">
        <v>-0.1357014</v>
      </c>
      <c r="W5895">
        <v>-2.7597900000000002E-2</v>
      </c>
      <c r="X5895">
        <v>0.9903653</v>
      </c>
      <c r="Y5895">
        <v>-0.13333420000000001</v>
      </c>
      <c r="Z5895">
        <v>8.5016899999999992E-3</v>
      </c>
      <c r="AA5895">
        <v>0.99103470000000005</v>
      </c>
      <c r="AB5895">
        <v>24</v>
      </c>
      <c r="AC5895">
        <v>12.8421</v>
      </c>
      <c r="AD5895">
        <v>-1.1100953883169999</v>
      </c>
      <c r="AE5895">
        <v>1.39489999999999</v>
      </c>
      <c r="AF5895">
        <v>-1.7320459341524199</v>
      </c>
      <c r="AG5895">
        <v>-1.1100953883169999</v>
      </c>
      <c r="AH5895">
        <v>12.705420398726799</v>
      </c>
      <c r="AI5895">
        <v>94.947821372763798</v>
      </c>
      <c r="AJ5895">
        <v>97.762901952289596</v>
      </c>
      <c r="AK5895">
        <v>12.870897497748899</v>
      </c>
      <c r="AL5895">
        <v>91.581444032615295</v>
      </c>
      <c r="AM5895">
        <v>97.802170926974497</v>
      </c>
      <c r="AN5895">
        <v>0.99999997074522895</v>
      </c>
    </row>
    <row r="5896" spans="1:40" x14ac:dyDescent="0.25">
      <c r="A5896" t="str">
        <f>"20190305135350725"</f>
        <v>20190305135350725</v>
      </c>
      <c r="B5896" t="str">
        <f>"1551765230715776"</f>
        <v>1551765230715776</v>
      </c>
      <c r="C5896" t="s">
        <v>40</v>
      </c>
      <c r="D5896">
        <v>4.2611239999999997</v>
      </c>
      <c r="E5896">
        <v>0.49990259999999997</v>
      </c>
      <c r="F5896" t="s">
        <v>92</v>
      </c>
      <c r="G5896">
        <v>-257.23680000000002</v>
      </c>
      <c r="H5896" s="1">
        <v>-2.315312E-6</v>
      </c>
      <c r="I5896">
        <v>-60.046320000000001</v>
      </c>
      <c r="J5896">
        <v>-270.13709999999998</v>
      </c>
      <c r="K5896">
        <v>1.1100829999999999</v>
      </c>
      <c r="L5896">
        <v>-61.45364</v>
      </c>
      <c r="M5896">
        <v>0.99957030000000002</v>
      </c>
      <c r="N5896">
        <v>-1.214139E-2</v>
      </c>
      <c r="O5896">
        <v>-2.66868E-2</v>
      </c>
      <c r="P5896">
        <v>0.993251</v>
      </c>
      <c r="Q5896">
        <v>-3.9378780000000002E-2</v>
      </c>
      <c r="R5896">
        <v>0.109095899999999</v>
      </c>
      <c r="S5896">
        <v>2.975006</v>
      </c>
      <c r="T5896">
        <v>-0.25370300000000001</v>
      </c>
      <c r="U5896">
        <v>0.32104490000000002</v>
      </c>
      <c r="V5896">
        <v>-0.13551289999999999</v>
      </c>
      <c r="W5896">
        <v>-2.761636E-2</v>
      </c>
      <c r="X5896">
        <v>0.99039060000000001</v>
      </c>
      <c r="Y5896">
        <v>-0.13317010000000001</v>
      </c>
      <c r="Z5896">
        <v>8.4073519999999999E-3</v>
      </c>
      <c r="AA5896">
        <v>0.99105750000000004</v>
      </c>
      <c r="AB5896">
        <v>24</v>
      </c>
      <c r="AC5896">
        <v>12.9002999999999</v>
      </c>
      <c r="AD5896">
        <v>-1.1100853153119901</v>
      </c>
      <c r="AE5896">
        <v>1.4073199999999999</v>
      </c>
      <c r="AF5896">
        <v>-1.7383907039184501</v>
      </c>
      <c r="AG5896">
        <v>-1.1100853153119901</v>
      </c>
      <c r="AH5896">
        <v>12.7647365684118</v>
      </c>
      <c r="AI5896">
        <v>94.924987764474196</v>
      </c>
      <c r="AJ5896">
        <v>97.755227927525596</v>
      </c>
      <c r="AK5896">
        <v>12.930305151375601</v>
      </c>
      <c r="AL5896">
        <v>91.582502109309402</v>
      </c>
      <c r="AM5896">
        <v>97.791269710215005</v>
      </c>
      <c r="AN5896">
        <v>0.99999997498720905</v>
      </c>
    </row>
    <row r="5897" spans="1:40" x14ac:dyDescent="0.25">
      <c r="A5897" t="str">
        <f>"20190305135350737"</f>
        <v>20190305135350737</v>
      </c>
      <c r="B5897" t="str">
        <f>"1551765230725536"</f>
        <v>1551765230725536</v>
      </c>
      <c r="C5897" t="s">
        <v>40</v>
      </c>
      <c r="D5897">
        <v>4.2180809999999997</v>
      </c>
      <c r="E5897">
        <v>0.49987530000000002</v>
      </c>
      <c r="F5897" t="s">
        <v>92</v>
      </c>
      <c r="G5897">
        <v>-257.12610000000001</v>
      </c>
      <c r="H5897" s="1">
        <v>-2.2684140000000001E-6</v>
      </c>
      <c r="I5897">
        <v>-60.043660000000003</v>
      </c>
      <c r="J5897">
        <v>-270.01299999999998</v>
      </c>
      <c r="K5897">
        <v>1.1100680000000001</v>
      </c>
      <c r="L5897">
        <v>-61.456240000000001</v>
      </c>
      <c r="M5897">
        <v>0.99958840000000004</v>
      </c>
      <c r="N5897">
        <v>-1.202315E-2</v>
      </c>
      <c r="O5897">
        <v>-2.6053960000000001E-2</v>
      </c>
      <c r="P5897">
        <v>0.99323419999999896</v>
      </c>
      <c r="Q5897">
        <v>-3.8839810000000002E-2</v>
      </c>
      <c r="R5897">
        <v>0.10944180000000001</v>
      </c>
      <c r="S5897">
        <v>2.9749150000000002</v>
      </c>
      <c r="T5897">
        <v>-0.2538166</v>
      </c>
      <c r="U5897">
        <v>0.3223877</v>
      </c>
      <c r="V5897">
        <v>-0.13523209999999999</v>
      </c>
      <c r="W5897">
        <v>-2.7193129999999999E-2</v>
      </c>
      <c r="X5897">
        <v>0.99044069999999995</v>
      </c>
      <c r="Y5897">
        <v>-0.13299040000000001</v>
      </c>
      <c r="Z5897">
        <v>8.3512880000000001E-3</v>
      </c>
      <c r="AA5897">
        <v>0.99108209999999997</v>
      </c>
      <c r="AB5897">
        <v>24</v>
      </c>
      <c r="AC5897">
        <v>12.886899999999899</v>
      </c>
      <c r="AD5897">
        <v>-1.110070268414</v>
      </c>
      <c r="AE5897">
        <v>1.4125799999999999</v>
      </c>
      <c r="AF5897">
        <v>-1.7351573903873601</v>
      </c>
      <c r="AG5897">
        <v>-1.110070268414</v>
      </c>
      <c r="AH5897">
        <v>12.752220688836299</v>
      </c>
      <c r="AI5897">
        <v>94.929809773285498</v>
      </c>
      <c r="AJ5897">
        <v>97.748483930506396</v>
      </c>
      <c r="AK5897">
        <v>12.9175136797689</v>
      </c>
      <c r="AL5897">
        <v>91.558243691187698</v>
      </c>
      <c r="AM5897">
        <v>97.774934395577006</v>
      </c>
      <c r="AN5897">
        <v>0.99999998370304799</v>
      </c>
    </row>
    <row r="5898" spans="1:40" x14ac:dyDescent="0.25">
      <c r="A5898" t="str">
        <f>"20190305135350747"</f>
        <v>20190305135350747</v>
      </c>
      <c r="B5898" t="str">
        <f>"1551765230736271"</f>
        <v>1551765230736271</v>
      </c>
      <c r="C5898" t="s">
        <v>40</v>
      </c>
      <c r="D5898">
        <v>4.1487449999999999</v>
      </c>
      <c r="E5898">
        <v>0.49987530000000002</v>
      </c>
      <c r="F5898" t="s">
        <v>92</v>
      </c>
      <c r="G5898">
        <v>-256.9606</v>
      </c>
      <c r="H5898" s="1">
        <v>-2.198968E-6</v>
      </c>
      <c r="I5898">
        <v>-60.036670000000001</v>
      </c>
      <c r="J5898">
        <v>-269.90550000000002</v>
      </c>
      <c r="K5898">
        <v>1.110055</v>
      </c>
      <c r="L5898">
        <v>-61.458469999999998</v>
      </c>
      <c r="M5898">
        <v>0.99960369999999998</v>
      </c>
      <c r="N5898">
        <v>-1.191884E-2</v>
      </c>
      <c r="O5898">
        <v>-2.550583E-2</v>
      </c>
      <c r="P5898">
        <v>0.99321380000000004</v>
      </c>
      <c r="Q5898">
        <v>-3.834075E-2</v>
      </c>
      <c r="R5898">
        <v>0.1098021</v>
      </c>
      <c r="S5898">
        <v>2.9748839999999999</v>
      </c>
      <c r="T5898">
        <v>-0.25300620000000001</v>
      </c>
      <c r="U5898">
        <v>0.32354739999999999</v>
      </c>
      <c r="V5898">
        <v>-0.135049799999999</v>
      </c>
      <c r="W5898">
        <v>-2.679631E-2</v>
      </c>
      <c r="X5898">
        <v>0.99047640000000003</v>
      </c>
      <c r="Y5898">
        <v>-0.13283610000000001</v>
      </c>
      <c r="Z5898">
        <v>8.2745779999999994E-3</v>
      </c>
      <c r="AA5898">
        <v>0.99110350000000003</v>
      </c>
      <c r="AB5898">
        <v>24</v>
      </c>
      <c r="AC5898">
        <v>12.944900000000001</v>
      </c>
      <c r="AD5898">
        <v>-1.1100571989679999</v>
      </c>
      <c r="AE5898">
        <v>1.4218</v>
      </c>
      <c r="AF5898">
        <v>-1.7388966961704799</v>
      </c>
      <c r="AG5898">
        <v>-1.1100571989679999</v>
      </c>
      <c r="AH5898">
        <v>12.8113362755384</v>
      </c>
      <c r="AI5898">
        <v>94.907334825931002</v>
      </c>
      <c r="AJ5898">
        <v>97.729582655408393</v>
      </c>
      <c r="AK5898">
        <v>12.9763756831351</v>
      </c>
      <c r="AL5898">
        <v>91.535499273744193</v>
      </c>
      <c r="AM5898">
        <v>97.764304863690199</v>
      </c>
      <c r="AN5898">
        <v>0.99999999483330804</v>
      </c>
    </row>
    <row r="5899" spans="1:40" x14ac:dyDescent="0.25">
      <c r="A5899" t="str">
        <f>"20190305135350758"</f>
        <v>20190305135350758</v>
      </c>
      <c r="B5899" t="str">
        <f>"1551765230746031"</f>
        <v>1551765230746031</v>
      </c>
      <c r="C5899" t="s">
        <v>40</v>
      </c>
      <c r="D5899">
        <v>4.2163209999999998</v>
      </c>
      <c r="E5899">
        <v>0.49986829999999999</v>
      </c>
      <c r="F5899" t="s">
        <v>92</v>
      </c>
      <c r="G5899">
        <v>-256.77569999999997</v>
      </c>
      <c r="H5899" s="1">
        <v>-2.1220549999999998E-6</v>
      </c>
      <c r="I5899">
        <v>-60.025620000000004</v>
      </c>
      <c r="J5899">
        <v>-269.78219999999999</v>
      </c>
      <c r="K5899">
        <v>1.110036</v>
      </c>
      <c r="L5899">
        <v>-61.460940000000001</v>
      </c>
      <c r="M5899">
        <v>0.99962099999999998</v>
      </c>
      <c r="N5899">
        <v>-1.179091E-2</v>
      </c>
      <c r="O5899">
        <v>-2.4880010000000001E-2</v>
      </c>
      <c r="P5899">
        <v>0.99317670000000002</v>
      </c>
      <c r="Q5899">
        <v>-3.7952809999999997E-2</v>
      </c>
      <c r="R5899">
        <v>0.1102707</v>
      </c>
      <c r="S5899">
        <v>2.9748839999999999</v>
      </c>
      <c r="T5899">
        <v>-0.25151109999999999</v>
      </c>
      <c r="U5899">
        <v>0.32464599999999999</v>
      </c>
      <c r="V5899">
        <v>-0.1348982</v>
      </c>
      <c r="W5899">
        <v>-2.6533689999999999E-2</v>
      </c>
      <c r="X5899">
        <v>0.9905041</v>
      </c>
      <c r="Y5899">
        <v>-0.13258739999999999</v>
      </c>
      <c r="Z5899">
        <v>8.1660280000000005E-3</v>
      </c>
      <c r="AA5899">
        <v>0.99113770000000001</v>
      </c>
      <c r="AB5899">
        <v>24</v>
      </c>
      <c r="AC5899">
        <v>13.006500000000001</v>
      </c>
      <c r="AD5899">
        <v>-1.110038122055</v>
      </c>
      <c r="AE5899">
        <v>1.4353199999999999</v>
      </c>
      <c r="AF5899">
        <v>-1.7459359910505401</v>
      </c>
      <c r="AG5899">
        <v>-1.110038122055</v>
      </c>
      <c r="AH5899">
        <v>12.874116352968599</v>
      </c>
      <c r="AI5899">
        <v>94.883511434860097</v>
      </c>
      <c r="AJ5899">
        <v>97.723106658662303</v>
      </c>
      <c r="AK5899">
        <v>13.0393001724416</v>
      </c>
      <c r="AL5899">
        <v>91.520446946719701</v>
      </c>
      <c r="AM5899">
        <v>97.755480934746402</v>
      </c>
      <c r="AN5899">
        <v>0.99999996659253199</v>
      </c>
    </row>
    <row r="5900" spans="1:40" x14ac:dyDescent="0.25">
      <c r="A5900" t="str">
        <f>"20190305135350771"</f>
        <v>20190305135350771</v>
      </c>
      <c r="B5900" t="str">
        <f>"1551765230765551"</f>
        <v>1551765230765551</v>
      </c>
      <c r="C5900" t="s">
        <v>40</v>
      </c>
      <c r="D5900">
        <v>4.5452709999999996</v>
      </c>
      <c r="E5900">
        <v>0.49989319999999998</v>
      </c>
      <c r="F5900" t="s">
        <v>92</v>
      </c>
      <c r="G5900">
        <v>-256.6225</v>
      </c>
      <c r="H5900" s="1">
        <v>-2.0580259999999999E-6</v>
      </c>
      <c r="I5900">
        <v>-60.018050000000002</v>
      </c>
      <c r="J5900">
        <v>-269.65129999999999</v>
      </c>
      <c r="K5900">
        <v>1.110015</v>
      </c>
      <c r="L5900">
        <v>-61.463470000000001</v>
      </c>
      <c r="M5900">
        <v>0.9996389</v>
      </c>
      <c r="N5900">
        <v>-1.165091E-2</v>
      </c>
      <c r="O5900">
        <v>-2.4217559999999999E-2</v>
      </c>
      <c r="P5900">
        <v>0.99314069999999999</v>
      </c>
      <c r="Q5900">
        <v>-3.7426399999999999E-2</v>
      </c>
      <c r="R5900">
        <v>0.11077380000000001</v>
      </c>
      <c r="S5900">
        <v>2.9748230000000002</v>
      </c>
      <c r="T5900">
        <v>-0.25093019999999999</v>
      </c>
      <c r="U5900">
        <v>0.32617190000000001</v>
      </c>
      <c r="V5900">
        <v>-0.13474459999999999</v>
      </c>
      <c r="W5900">
        <v>-2.614408E-2</v>
      </c>
      <c r="X5900">
        <v>0.99053539999999995</v>
      </c>
      <c r="Y5900">
        <v>-0.13244059999999999</v>
      </c>
      <c r="Z5900">
        <v>8.0874980000000003E-3</v>
      </c>
      <c r="AA5900">
        <v>0.99115790000000004</v>
      </c>
      <c r="AB5900">
        <v>24</v>
      </c>
      <c r="AC5900">
        <v>13.028799999999899</v>
      </c>
      <c r="AD5900">
        <v>-1.110017058026</v>
      </c>
      <c r="AE5900">
        <v>1.4454199999999899</v>
      </c>
      <c r="AF5900">
        <v>-1.7480093870011699</v>
      </c>
      <c r="AG5900">
        <v>-1.110017058026</v>
      </c>
      <c r="AH5900">
        <v>12.897492358950201</v>
      </c>
      <c r="AI5900">
        <v>94.8746658862987</v>
      </c>
      <c r="AJ5900">
        <v>97.718322333675403</v>
      </c>
      <c r="AK5900">
        <v>13.062656078888899</v>
      </c>
      <c r="AL5900">
        <v>91.498116140835705</v>
      </c>
      <c r="AM5900">
        <v>97.746515732005804</v>
      </c>
      <c r="AN5900">
        <v>0.99999999940068296</v>
      </c>
    </row>
    <row r="5901" spans="1:40" x14ac:dyDescent="0.25">
      <c r="A5901" t="str">
        <f>"20190305135350783"</f>
        <v>20190305135350783</v>
      </c>
      <c r="B5901" t="str">
        <f>"1551765230776287"</f>
        <v>1551765230776287</v>
      </c>
      <c r="C5901" t="s">
        <v>40</v>
      </c>
      <c r="D5901">
        <v>4.2106379999999897</v>
      </c>
      <c r="E5901">
        <v>0.499919</v>
      </c>
      <c r="F5901" t="s">
        <v>92</v>
      </c>
      <c r="G5901">
        <v>-256.44099999999997</v>
      </c>
      <c r="H5901" s="1">
        <v>-1.9820619999999998E-6</v>
      </c>
      <c r="I5901">
        <v>-60.009450000000001</v>
      </c>
      <c r="J5901">
        <v>-269.52010000000001</v>
      </c>
      <c r="K5901">
        <v>1.10999</v>
      </c>
      <c r="L5901">
        <v>-61.465940000000003</v>
      </c>
      <c r="M5901">
        <v>0.99965630000000005</v>
      </c>
      <c r="N5901">
        <v>-1.150528E-2</v>
      </c>
      <c r="O5901">
        <v>-2.3555340000000001E-2</v>
      </c>
      <c r="P5901">
        <v>0.99307429999999997</v>
      </c>
      <c r="Q5901">
        <v>-3.712526E-2</v>
      </c>
      <c r="R5901">
        <v>0.1114697</v>
      </c>
      <c r="S5901">
        <v>2.9747620000000001</v>
      </c>
      <c r="T5901">
        <v>-0.24995829999999999</v>
      </c>
      <c r="U5901">
        <v>0.32742310000000002</v>
      </c>
      <c r="V5901">
        <v>-0.13478389999999901</v>
      </c>
      <c r="W5901">
        <v>-2.5985640000000001E-2</v>
      </c>
      <c r="X5901">
        <v>0.99053420000000003</v>
      </c>
      <c r="Y5901">
        <v>-0.13220580000000001</v>
      </c>
      <c r="Z5901">
        <v>7.9930030000000003E-3</v>
      </c>
      <c r="AA5901">
        <v>0.99119009999999996</v>
      </c>
      <c r="AB5901">
        <v>24</v>
      </c>
      <c r="AC5901">
        <v>13.0791</v>
      </c>
      <c r="AD5901">
        <v>-1.1099919820619999</v>
      </c>
      <c r="AE5901">
        <v>1.4564900000000001</v>
      </c>
      <c r="AF5901">
        <v>-1.7517265842796099</v>
      </c>
      <c r="AG5901">
        <v>-1.1099919820619999</v>
      </c>
      <c r="AH5901">
        <v>12.949036968952401</v>
      </c>
      <c r="AI5901">
        <v>94.855407887013897</v>
      </c>
      <c r="AJ5901">
        <v>97.704119702314301</v>
      </c>
      <c r="AK5901">
        <v>13.1140453960481</v>
      </c>
      <c r="AL5901">
        <v>91.489035145219503</v>
      </c>
      <c r="AM5901">
        <v>97.748756931514805</v>
      </c>
      <c r="AN5901">
        <v>0.99999997727752898</v>
      </c>
    </row>
    <row r="5902" spans="1:40" x14ac:dyDescent="0.25">
      <c r="A5902" t="str">
        <f>"20190305135350793"</f>
        <v>20190305135350793</v>
      </c>
      <c r="B5902" t="str">
        <f>"1551765230786048"</f>
        <v>1551765230786048</v>
      </c>
      <c r="C5902" t="s">
        <v>40</v>
      </c>
      <c r="D5902">
        <v>4.1584070000000004</v>
      </c>
      <c r="E5902">
        <v>0.49992209999999998</v>
      </c>
      <c r="F5902" t="s">
        <v>92</v>
      </c>
      <c r="G5902">
        <v>-256.27339999999998</v>
      </c>
      <c r="H5902" s="1">
        <v>-1.9123089999999999E-6</v>
      </c>
      <c r="I5902">
        <v>-59.999699999999997</v>
      </c>
      <c r="J5902">
        <v>-269.40660000000003</v>
      </c>
      <c r="K5902">
        <v>1.109964</v>
      </c>
      <c r="L5902">
        <v>-61.46799</v>
      </c>
      <c r="M5902">
        <v>0.99967119999999998</v>
      </c>
      <c r="N5902">
        <v>-1.1373370000000001E-2</v>
      </c>
      <c r="O5902">
        <v>-2.2988450000000001E-2</v>
      </c>
      <c r="P5902">
        <v>0.9929808</v>
      </c>
      <c r="Q5902">
        <v>-3.7091390000000002E-2</v>
      </c>
      <c r="R5902">
        <v>0.1123101</v>
      </c>
      <c r="S5902">
        <v>2.97464</v>
      </c>
      <c r="T5902">
        <v>-0.24925629999999999</v>
      </c>
      <c r="U5902">
        <v>0.3292542</v>
      </c>
      <c r="V5902">
        <v>-0.13506029999999999</v>
      </c>
      <c r="W5902">
        <v>-2.6081449999999999E-2</v>
      </c>
      <c r="X5902">
        <v>0.99049410000000004</v>
      </c>
      <c r="Y5902">
        <v>-0.13225590000000001</v>
      </c>
      <c r="Z5902">
        <v>7.9279169999999996E-3</v>
      </c>
      <c r="AA5902">
        <v>0.99118390000000001</v>
      </c>
      <c r="AB5902">
        <v>24</v>
      </c>
      <c r="AC5902">
        <v>13.1332</v>
      </c>
      <c r="AD5902">
        <v>-1.109965912309</v>
      </c>
      <c r="AE5902">
        <v>1.4682900000000001</v>
      </c>
      <c r="AF5902">
        <v>-1.7574349988698099</v>
      </c>
      <c r="AG5902">
        <v>-1.109965912309</v>
      </c>
      <c r="AH5902">
        <v>13.004230972698499</v>
      </c>
      <c r="AI5902">
        <v>94.834871289403694</v>
      </c>
      <c r="AJ5902">
        <v>97.696512490849699</v>
      </c>
      <c r="AK5902">
        <v>13.1693061811559</v>
      </c>
      <c r="AL5902">
        <v>91.494526414829707</v>
      </c>
      <c r="AM5902">
        <v>97.764764102209199</v>
      </c>
      <c r="AN5902">
        <v>1.0000000444024999</v>
      </c>
    </row>
    <row r="5903" spans="1:40" x14ac:dyDescent="0.25">
      <c r="A5903" t="str">
        <f>"20190305135350803"</f>
        <v>20190305135350803</v>
      </c>
      <c r="B5903" t="str">
        <f>"1551765230795807"</f>
        <v>1551765230795807</v>
      </c>
      <c r="C5903" t="s">
        <v>40</v>
      </c>
      <c r="D5903">
        <v>4.1680149999999996</v>
      </c>
      <c r="E5903">
        <v>0.49989519999999998</v>
      </c>
      <c r="F5903" t="s">
        <v>92</v>
      </c>
      <c r="G5903">
        <v>-256.17610000000002</v>
      </c>
      <c r="H5903" s="1">
        <v>-1.872146E-6</v>
      </c>
      <c r="I5903">
        <v>-59.992699999999999</v>
      </c>
      <c r="J5903">
        <v>-269.28699999999998</v>
      </c>
      <c r="K5903">
        <v>1.109936</v>
      </c>
      <c r="L5903">
        <v>-61.470149999999997</v>
      </c>
      <c r="M5903">
        <v>0.99968630000000003</v>
      </c>
      <c r="N5903">
        <v>-1.123237E-2</v>
      </c>
      <c r="O5903">
        <v>-2.239292E-2</v>
      </c>
      <c r="P5903">
        <v>0.99290029999999996</v>
      </c>
      <c r="Q5903">
        <v>-3.7004000000000002E-2</v>
      </c>
      <c r="R5903">
        <v>0.1130492</v>
      </c>
      <c r="S5903">
        <v>2.974396</v>
      </c>
      <c r="T5903">
        <v>-0.24953639999999999</v>
      </c>
      <c r="U5903">
        <v>0.33166499999999999</v>
      </c>
      <c r="V5903">
        <v>-0.13520799999999999</v>
      </c>
      <c r="W5903">
        <v>-2.6131990000000001E-2</v>
      </c>
      <c r="X5903">
        <v>0.99047260000000004</v>
      </c>
      <c r="Y5903">
        <v>-0.1324679</v>
      </c>
      <c r="Z5903">
        <v>7.8973829999999991E-3</v>
      </c>
      <c r="AA5903">
        <v>0.99115589999999998</v>
      </c>
      <c r="AB5903">
        <v>24</v>
      </c>
      <c r="AC5903">
        <v>13.110900000000001</v>
      </c>
      <c r="AD5903">
        <v>-1.109937872146</v>
      </c>
      <c r="AE5903">
        <v>1.4774499999999899</v>
      </c>
      <c r="AF5903">
        <v>-1.75824610084817</v>
      </c>
      <c r="AG5903">
        <v>-1.109937872146</v>
      </c>
      <c r="AH5903">
        <v>12.982646691508201</v>
      </c>
      <c r="AI5903">
        <v>94.842565668270097</v>
      </c>
      <c r="AJ5903">
        <v>97.712669725254699</v>
      </c>
      <c r="AK5903">
        <v>13.148098970866499</v>
      </c>
      <c r="AL5903">
        <v>91.497423155639694</v>
      </c>
      <c r="AM5903">
        <v>97.77331844935</v>
      </c>
      <c r="AN5903">
        <v>1.0000000277580501</v>
      </c>
    </row>
    <row r="5904" spans="1:40" x14ac:dyDescent="0.25">
      <c r="A5904" t="str">
        <f>"20190305135350814"</f>
        <v>20190305135350814</v>
      </c>
      <c r="B5904" t="str">
        <f>"1551765230805567"</f>
        <v>1551765230805567</v>
      </c>
      <c r="C5904" t="s">
        <v>40</v>
      </c>
      <c r="D5904">
        <v>4.1999849999999999</v>
      </c>
      <c r="E5904">
        <v>0.4998667</v>
      </c>
      <c r="F5904" t="s">
        <v>92</v>
      </c>
      <c r="G5904">
        <v>-256.084</v>
      </c>
      <c r="H5904" s="1">
        <v>-1.833879E-6</v>
      </c>
      <c r="I5904">
        <v>-59.98695</v>
      </c>
      <c r="J5904">
        <v>-269.17250000000001</v>
      </c>
      <c r="K5904">
        <v>1.1099019999999999</v>
      </c>
      <c r="L5904">
        <v>-61.472110000000001</v>
      </c>
      <c r="M5904">
        <v>0.99970020000000004</v>
      </c>
      <c r="N5904">
        <v>-1.1089740000000001E-2</v>
      </c>
      <c r="O5904">
        <v>-2.1833769999999999E-2</v>
      </c>
      <c r="P5904">
        <v>0.99283429999999995</v>
      </c>
      <c r="Q5904">
        <v>-3.687551E-2</v>
      </c>
      <c r="R5904">
        <v>0.11366759999999999</v>
      </c>
      <c r="S5904">
        <v>2.9741209999999998</v>
      </c>
      <c r="T5904">
        <v>-0.25002489999999999</v>
      </c>
      <c r="U5904">
        <v>0.33410640000000003</v>
      </c>
      <c r="V5904">
        <v>-0.13527129999999901</v>
      </c>
      <c r="W5904">
        <v>-2.6142140000000001E-2</v>
      </c>
      <c r="X5904">
        <v>0.99046369999999895</v>
      </c>
      <c r="Y5904">
        <v>-0.13272590000000001</v>
      </c>
      <c r="Z5904">
        <v>7.8775040000000005E-3</v>
      </c>
      <c r="AA5904">
        <v>0.99112149999999999</v>
      </c>
      <c r="AB5904">
        <v>24</v>
      </c>
      <c r="AC5904">
        <v>13.0885</v>
      </c>
      <c r="AD5904">
        <v>-1.1099038338789999</v>
      </c>
      <c r="AE5904">
        <v>1.48516</v>
      </c>
      <c r="AF5904">
        <v>-1.7581128368130099</v>
      </c>
      <c r="AG5904">
        <v>-1.1099038338789999</v>
      </c>
      <c r="AH5904">
        <v>12.960933232821001</v>
      </c>
      <c r="AI5904">
        <v>94.850352536351295</v>
      </c>
      <c r="AJ5904">
        <v>97.724856386895794</v>
      </c>
      <c r="AK5904">
        <v>13.1266384704185</v>
      </c>
      <c r="AL5904">
        <v>91.4980048903561</v>
      </c>
      <c r="AM5904">
        <v>97.776982167561002</v>
      </c>
      <c r="AN5904">
        <v>1.00000003855257</v>
      </c>
    </row>
    <row r="5905" spans="1:40" x14ac:dyDescent="0.25">
      <c r="A5905" t="str">
        <f>"20190305135350827"</f>
        <v>20190305135350827</v>
      </c>
      <c r="B5905" t="str">
        <f>"1551765230816303"</f>
        <v>1551765230816303</v>
      </c>
      <c r="C5905" t="s">
        <v>40</v>
      </c>
      <c r="D5905">
        <v>4.1426939999999997</v>
      </c>
      <c r="E5905">
        <v>0.49982959999999899</v>
      </c>
      <c r="F5905" t="s">
        <v>92</v>
      </c>
      <c r="G5905">
        <v>-255.99950000000001</v>
      </c>
      <c r="H5905" s="1">
        <v>-1.798513E-6</v>
      </c>
      <c r="I5905">
        <v>-59.983089999999997</v>
      </c>
      <c r="J5905">
        <v>-269.04500000000002</v>
      </c>
      <c r="K5905">
        <v>1.109864</v>
      </c>
      <c r="L5905">
        <v>-61.474240000000002</v>
      </c>
      <c r="M5905">
        <v>0.99971529999999997</v>
      </c>
      <c r="N5905">
        <v>-1.092972E-2</v>
      </c>
      <c r="O5905">
        <v>-2.1214130000000001E-2</v>
      </c>
      <c r="P5905">
        <v>0.99276569999999997</v>
      </c>
      <c r="Q5905">
        <v>-3.6547389999999999E-2</v>
      </c>
      <c r="R5905">
        <v>0.11437070000000001</v>
      </c>
      <c r="S5905">
        <v>2.973846</v>
      </c>
      <c r="T5905">
        <v>-0.2505655</v>
      </c>
      <c r="U5905">
        <v>0.33615109999999998</v>
      </c>
      <c r="V5905">
        <v>-0.13536020000000001</v>
      </c>
      <c r="W5905">
        <v>-2.5969369999999999E-2</v>
      </c>
      <c r="X5905">
        <v>0.990456</v>
      </c>
      <c r="Y5905">
        <v>-0.1327942</v>
      </c>
      <c r="Z5905">
        <v>7.8446469999999997E-3</v>
      </c>
      <c r="AA5905">
        <v>0.99111260000000001</v>
      </c>
      <c r="AB5905">
        <v>24</v>
      </c>
      <c r="AC5905">
        <v>13.045500000000001</v>
      </c>
      <c r="AD5905">
        <v>-1.109865798513</v>
      </c>
      <c r="AE5905">
        <v>1.49114999999999</v>
      </c>
      <c r="AF5905">
        <v>-1.7550406421599301</v>
      </c>
      <c r="AG5905">
        <v>-1.109865798513</v>
      </c>
      <c r="AH5905">
        <v>12.918629180204601</v>
      </c>
      <c r="AI5905">
        <v>94.8658604445137</v>
      </c>
      <c r="AJ5905">
        <v>97.736467474616404</v>
      </c>
      <c r="AK5905">
        <v>13.0844545030343</v>
      </c>
      <c r="AL5905">
        <v>91.488102683757702</v>
      </c>
      <c r="AM5905">
        <v>97.782090335067707</v>
      </c>
      <c r="AN5905">
        <v>0.99999993992911596</v>
      </c>
    </row>
    <row r="5906" spans="1:40" x14ac:dyDescent="0.25">
      <c r="A5906" t="str">
        <f>"20190305135350838"</f>
        <v>20190305135350838</v>
      </c>
      <c r="B5906" t="str">
        <f>"1551765230826065"</f>
        <v>1551765230826065</v>
      </c>
      <c r="C5906" t="s">
        <v>40</v>
      </c>
      <c r="D5906">
        <v>4.1406539999999996</v>
      </c>
      <c r="E5906">
        <v>0.4998167</v>
      </c>
      <c r="F5906" t="s">
        <v>92</v>
      </c>
      <c r="G5906">
        <v>-255.8597</v>
      </c>
      <c r="H5906" s="1">
        <v>-1.7408360000000001E-6</v>
      </c>
      <c r="I5906">
        <v>-59.972639999999998</v>
      </c>
      <c r="J5906">
        <v>-268.91000000000003</v>
      </c>
      <c r="K5906">
        <v>1.109826</v>
      </c>
      <c r="L5906">
        <v>-61.476410000000001</v>
      </c>
      <c r="M5906">
        <v>0.99973040000000002</v>
      </c>
      <c r="N5906">
        <v>-1.0758739999999999E-2</v>
      </c>
      <c r="O5906">
        <v>-2.0578639999999999E-2</v>
      </c>
      <c r="P5906">
        <v>0.99271200000000004</v>
      </c>
      <c r="Q5906">
        <v>-3.635679E-2</v>
      </c>
      <c r="R5906">
        <v>0.1148961</v>
      </c>
      <c r="S5906">
        <v>2.973633</v>
      </c>
      <c r="T5906">
        <v>-0.25030520000000001</v>
      </c>
      <c r="U5906">
        <v>0.338653599999999</v>
      </c>
      <c r="V5906">
        <v>-0.1352555</v>
      </c>
      <c r="W5906">
        <v>-2.5943299999999999E-2</v>
      </c>
      <c r="X5906">
        <v>0.99047110000000005</v>
      </c>
      <c r="Y5906">
        <v>-0.13299830000000001</v>
      </c>
      <c r="Z5906">
        <v>7.7926640000000004E-3</v>
      </c>
      <c r="AA5906">
        <v>0.99108560000000001</v>
      </c>
      <c r="AB5906">
        <v>24</v>
      </c>
      <c r="AC5906">
        <v>13.0503</v>
      </c>
      <c r="AD5906">
        <v>-1.109827740836</v>
      </c>
      <c r="AE5906">
        <v>1.5037699999999801</v>
      </c>
      <c r="AF5906">
        <v>-1.7594664133392099</v>
      </c>
      <c r="AG5906">
        <v>-1.109827740836</v>
      </c>
      <c r="AH5906">
        <v>12.924342232013901</v>
      </c>
      <c r="AI5906">
        <v>94.863371391002303</v>
      </c>
      <c r="AJ5906">
        <v>97.752353113863805</v>
      </c>
      <c r="AK5906">
        <v>13.090686070799199</v>
      </c>
      <c r="AL5906">
        <v>91.486608311856003</v>
      </c>
      <c r="AM5906">
        <v>97.776027526308297</v>
      </c>
      <c r="AN5906">
        <v>1.00000005251517</v>
      </c>
    </row>
    <row r="5907" spans="1:40" x14ac:dyDescent="0.25">
      <c r="A5907" t="str">
        <f>"20190305135350850"</f>
        <v>20190305135350850</v>
      </c>
      <c r="B5907" t="str">
        <f>"1551765230845583"</f>
        <v>1551765230845583</v>
      </c>
      <c r="C5907" t="s">
        <v>40</v>
      </c>
      <c r="D5907">
        <v>4.0040100000000001</v>
      </c>
      <c r="E5907">
        <v>0.49978159999999999</v>
      </c>
      <c r="F5907" t="s">
        <v>92</v>
      </c>
      <c r="G5907">
        <v>-255.74690000000001</v>
      </c>
      <c r="H5907" s="1">
        <v>-1.6930370000000001E-6</v>
      </c>
      <c r="I5907">
        <v>-59.969929999999998</v>
      </c>
      <c r="J5907">
        <v>-268.7921</v>
      </c>
      <c r="K5907">
        <v>1.1097889999999999</v>
      </c>
      <c r="L5907">
        <v>-61.478270000000002</v>
      </c>
      <c r="M5907">
        <v>0.99974300000000005</v>
      </c>
      <c r="N5907">
        <v>-1.061133E-2</v>
      </c>
      <c r="O5907">
        <v>-2.0030849999999999E-2</v>
      </c>
      <c r="P5907">
        <v>0.9926587</v>
      </c>
      <c r="Q5907">
        <v>-3.6443759999999999E-2</v>
      </c>
      <c r="R5907">
        <v>0.115328</v>
      </c>
      <c r="S5907">
        <v>2.9734500000000001</v>
      </c>
      <c r="T5907">
        <v>-0.25070140000000002</v>
      </c>
      <c r="U5907">
        <v>0.34030149999999998</v>
      </c>
      <c r="V5907">
        <v>-0.13514409999999999</v>
      </c>
      <c r="W5907">
        <v>-2.617191E-2</v>
      </c>
      <c r="X5907">
        <v>0.99048020000000003</v>
      </c>
      <c r="Y5907">
        <v>-0.1330046</v>
      </c>
      <c r="Z5907">
        <v>7.7576930000000004E-3</v>
      </c>
      <c r="AA5907">
        <v>0.99108510000000005</v>
      </c>
      <c r="AB5907">
        <v>24</v>
      </c>
      <c r="AC5907">
        <v>13.0451999999999</v>
      </c>
      <c r="AD5907">
        <v>-1.1097906930369901</v>
      </c>
      <c r="AE5907">
        <v>1.50833999999998</v>
      </c>
      <c r="AF5907">
        <v>-1.7568115535611899</v>
      </c>
      <c r="AG5907">
        <v>-1.1097906930369901</v>
      </c>
      <c r="AH5907">
        <v>12.920093441737601</v>
      </c>
      <c r="AI5907">
        <v>94.864905362619496</v>
      </c>
      <c r="AJ5907">
        <v>97.743312205319498</v>
      </c>
      <c r="AK5907">
        <v>13.0861314665683</v>
      </c>
      <c r="AL5907">
        <v>91.499711284866393</v>
      </c>
      <c r="AM5907">
        <v>97.769630732552997</v>
      </c>
      <c r="AN5907">
        <v>0.99999996161494797</v>
      </c>
    </row>
    <row r="5908" spans="1:40" x14ac:dyDescent="0.25">
      <c r="A5908" t="str">
        <f>"20190305135350861"</f>
        <v>20190305135350861</v>
      </c>
      <c r="B5908" t="str">
        <f>"1551765230856320"</f>
        <v>1551765230856320</v>
      </c>
      <c r="C5908" t="s">
        <v>40</v>
      </c>
      <c r="D5908">
        <v>4.1186780000000001</v>
      </c>
      <c r="E5908">
        <v>0.49977250000000001</v>
      </c>
      <c r="F5908" t="s">
        <v>92</v>
      </c>
      <c r="G5908">
        <v>-255.68010000000001</v>
      </c>
      <c r="H5908" s="1">
        <v>-1.6643309999999999E-6</v>
      </c>
      <c r="I5908">
        <v>-59.970239999999997</v>
      </c>
      <c r="J5908">
        <v>-268.6619</v>
      </c>
      <c r="K5908">
        <v>1.1097539999999999</v>
      </c>
      <c r="L5908">
        <v>-61.480260000000001</v>
      </c>
      <c r="M5908">
        <v>0.99975650000000005</v>
      </c>
      <c r="N5908">
        <v>-1.0452039999999999E-2</v>
      </c>
      <c r="O5908">
        <v>-1.94393E-2</v>
      </c>
      <c r="P5908">
        <v>0.99259549999999996</v>
      </c>
      <c r="Q5908">
        <v>-3.6397779999999998E-2</v>
      </c>
      <c r="R5908">
        <v>0.11588560000000001</v>
      </c>
      <c r="S5908">
        <v>2.9731749999999999</v>
      </c>
      <c r="T5908">
        <v>-0.25164750000000002</v>
      </c>
      <c r="U5908">
        <v>0.34194950000000002</v>
      </c>
      <c r="V5908">
        <v>-0.13511489999999901</v>
      </c>
      <c r="W5908">
        <v>-2.627883E-2</v>
      </c>
      <c r="X5908">
        <v>0.99048139999999996</v>
      </c>
      <c r="Y5908">
        <v>-0.1329688</v>
      </c>
      <c r="Z5908">
        <v>7.7326209999999899E-3</v>
      </c>
      <c r="AA5908">
        <v>0.99109009999999997</v>
      </c>
      <c r="AB5908">
        <v>25</v>
      </c>
      <c r="AC5908">
        <v>12.9817999999999</v>
      </c>
      <c r="AD5908">
        <v>-1.109755664331</v>
      </c>
      <c r="AE5908">
        <v>1.5100199999999899</v>
      </c>
      <c r="AF5908">
        <v>-1.74949128830756</v>
      </c>
      <c r="AG5908">
        <v>-1.109755664331</v>
      </c>
      <c r="AH5908">
        <v>12.857287512695301</v>
      </c>
      <c r="AI5908">
        <v>94.888339624526793</v>
      </c>
      <c r="AJ5908">
        <v>97.748649151377194</v>
      </c>
      <c r="AK5908">
        <v>13.023137854852401</v>
      </c>
      <c r="AL5908">
        <v>91.505839387091697</v>
      </c>
      <c r="AM5908">
        <v>97.767963183997793</v>
      </c>
      <c r="AN5908">
        <v>1.0000000084270599</v>
      </c>
    </row>
    <row r="5909" spans="1:40" x14ac:dyDescent="0.25">
      <c r="A5909" t="str">
        <f>"20190305135350872"</f>
        <v>20190305135350872</v>
      </c>
      <c r="B5909" t="str">
        <f>"1551765230866079"</f>
        <v>1551765230866079</v>
      </c>
      <c r="C5909" t="s">
        <v>40</v>
      </c>
      <c r="D5909">
        <v>4.0962829999999997</v>
      </c>
      <c r="E5909">
        <v>0.49974180000000001</v>
      </c>
      <c r="F5909" t="s">
        <v>92</v>
      </c>
      <c r="G5909">
        <v>-255.59229999999999</v>
      </c>
      <c r="H5909" s="1">
        <v>-1.6268349999999999E-6</v>
      </c>
      <c r="I5909">
        <v>-59.969360000000002</v>
      </c>
      <c r="J5909">
        <v>-268.54160000000002</v>
      </c>
      <c r="K5909">
        <v>1.109726</v>
      </c>
      <c r="L5909">
        <v>-61.482059999999997</v>
      </c>
      <c r="M5909">
        <v>0.99976810000000005</v>
      </c>
      <c r="N5909">
        <v>-1.03096E-2</v>
      </c>
      <c r="O5909">
        <v>-1.8908379999999999E-2</v>
      </c>
      <c r="P5909">
        <v>0.99255729999999998</v>
      </c>
      <c r="Q5909">
        <v>-3.6174829999999998E-2</v>
      </c>
      <c r="R5909">
        <v>0.1162831</v>
      </c>
      <c r="S5909">
        <v>2.9729920000000001</v>
      </c>
      <c r="T5909">
        <v>-0.25244070000000002</v>
      </c>
      <c r="U5909">
        <v>0.34368900000000002</v>
      </c>
      <c r="V5909">
        <v>-0.1349872</v>
      </c>
      <c r="W5909">
        <v>-2.619171E-2</v>
      </c>
      <c r="X5909">
        <v>0.99050110000000002</v>
      </c>
      <c r="Y5909">
        <v>-0.13302</v>
      </c>
      <c r="Z5909">
        <v>7.7118269999999897E-3</v>
      </c>
      <c r="AA5909">
        <v>0.9910833</v>
      </c>
      <c r="AB5909">
        <v>25</v>
      </c>
      <c r="AC5909">
        <v>12.949299999999999</v>
      </c>
      <c r="AD5909">
        <v>-1.109727626835</v>
      </c>
      <c r="AE5909">
        <v>1.5126999999999999</v>
      </c>
      <c r="AF5909">
        <v>-1.74465236693559</v>
      </c>
      <c r="AG5909">
        <v>-1.109727626835</v>
      </c>
      <c r="AH5909">
        <v>12.8254567297899</v>
      </c>
      <c r="AI5909">
        <v>94.900315296650206</v>
      </c>
      <c r="AJ5909">
        <v>97.746422269422794</v>
      </c>
      <c r="AK5909">
        <v>12.9910602960239</v>
      </c>
      <c r="AL5909">
        <v>91.500846088558106</v>
      </c>
      <c r="AM5909">
        <v>97.7605585530235</v>
      </c>
      <c r="AN5909">
        <v>0.99999998946888702</v>
      </c>
    </row>
    <row r="5910" spans="1:40" x14ac:dyDescent="0.25">
      <c r="A5910" t="str">
        <f>"20190305135350882"</f>
        <v>20190305135350882</v>
      </c>
      <c r="B5910" t="str">
        <f>"1551765230875839"</f>
        <v>1551765230875839</v>
      </c>
      <c r="C5910" t="s">
        <v>40</v>
      </c>
      <c r="D5910">
        <v>4.0493880000000004</v>
      </c>
      <c r="E5910">
        <v>0.49971900000000002</v>
      </c>
      <c r="F5910" t="s">
        <v>92</v>
      </c>
      <c r="G5910">
        <v>-255.4838</v>
      </c>
      <c r="H5910" s="1">
        <v>-1.58087E-6</v>
      </c>
      <c r="I5910">
        <v>-59.966679999999997</v>
      </c>
      <c r="J5910">
        <v>-268.42180000000002</v>
      </c>
      <c r="K5910">
        <v>1.109696</v>
      </c>
      <c r="L5910">
        <v>-61.483759999999997</v>
      </c>
      <c r="M5910">
        <v>0.99977930000000004</v>
      </c>
      <c r="N5910">
        <v>-1.017058E-2</v>
      </c>
      <c r="O5910">
        <v>-1.8388809999999998E-2</v>
      </c>
      <c r="P5910">
        <v>0.99249419999999999</v>
      </c>
      <c r="Q5910">
        <v>-3.6433309999999997E-2</v>
      </c>
      <c r="R5910">
        <v>0.11674039999999999</v>
      </c>
      <c r="S5910">
        <v>2.972839</v>
      </c>
      <c r="T5910">
        <v>-0.25264910000000002</v>
      </c>
      <c r="U5910">
        <v>0.34500120000000001</v>
      </c>
      <c r="V5910">
        <v>-0.13492870000000001</v>
      </c>
      <c r="W5910">
        <v>-2.658284E-2</v>
      </c>
      <c r="X5910">
        <v>0.99049869999999995</v>
      </c>
      <c r="Y5910">
        <v>-0.132943899999999</v>
      </c>
      <c r="Z5910">
        <v>7.6689929999999998E-3</v>
      </c>
      <c r="AA5910">
        <v>0.99109389999999997</v>
      </c>
      <c r="AB5910">
        <v>25</v>
      </c>
      <c r="AC5910">
        <v>12.938000000000001</v>
      </c>
      <c r="AD5910">
        <v>-1.10969758087</v>
      </c>
      <c r="AE5910">
        <v>1.51707999999999</v>
      </c>
      <c r="AF5910">
        <v>-1.7421080468464101</v>
      </c>
      <c r="AG5910">
        <v>-1.10969758087</v>
      </c>
      <c r="AH5910">
        <v>12.814918237192</v>
      </c>
      <c r="AI5910">
        <v>94.904249821623694</v>
      </c>
      <c r="AJ5910">
        <v>97.741546188249998</v>
      </c>
      <c r="AK5910">
        <v>12.9803119605729</v>
      </c>
      <c r="AL5910">
        <v>91.523263919128595</v>
      </c>
      <c r="AM5910">
        <v>97.757254850069899</v>
      </c>
      <c r="AN5910">
        <v>1.00000003808392</v>
      </c>
    </row>
    <row r="5911" spans="1:40" x14ac:dyDescent="0.25">
      <c r="A5911" t="str">
        <f>"20190305135350894"</f>
        <v>20190305135350894</v>
      </c>
      <c r="B5911" t="str">
        <f>"1551765230885600"</f>
        <v>1551765230885600</v>
      </c>
      <c r="C5911" t="s">
        <v>40</v>
      </c>
      <c r="D5911">
        <v>4.0639310000000002</v>
      </c>
      <c r="E5911">
        <v>0.49970409999999998</v>
      </c>
      <c r="F5911" t="s">
        <v>92</v>
      </c>
      <c r="G5911">
        <v>-255.44309999999999</v>
      </c>
      <c r="H5911" s="1">
        <v>-1.5624460000000001E-6</v>
      </c>
      <c r="I5911">
        <v>-59.971049999999998</v>
      </c>
      <c r="J5911">
        <v>-268.30099999999999</v>
      </c>
      <c r="K5911">
        <v>1.109669</v>
      </c>
      <c r="L5911">
        <v>-61.485439999999997</v>
      </c>
      <c r="M5911">
        <v>0.99978959999999995</v>
      </c>
      <c r="N5911">
        <v>-1.003748E-2</v>
      </c>
      <c r="O5911">
        <v>-1.7889809999999999E-2</v>
      </c>
      <c r="P5911">
        <v>0.99242730000000001</v>
      </c>
      <c r="Q5911">
        <v>-3.6627510000000002E-2</v>
      </c>
      <c r="R5911">
        <v>0.1172453</v>
      </c>
      <c r="S5911">
        <v>2.9725950000000001</v>
      </c>
      <c r="T5911">
        <v>-0.2541602</v>
      </c>
      <c r="U5911">
        <v>0.346466099999999</v>
      </c>
      <c r="V5911">
        <v>-0.1349389</v>
      </c>
      <c r="W5911">
        <v>-2.6903059999999999E-2</v>
      </c>
      <c r="X5911">
        <v>0.99048860000000005</v>
      </c>
      <c r="Y5911">
        <v>-0.13293559999999999</v>
      </c>
      <c r="Z5911">
        <v>7.667849E-3</v>
      </c>
      <c r="AA5911">
        <v>0.99109499999999995</v>
      </c>
      <c r="AB5911">
        <v>25</v>
      </c>
      <c r="AC5911">
        <v>12.857900000000001</v>
      </c>
      <c r="AD5911">
        <v>-1.1096705624459999</v>
      </c>
      <c r="AE5911">
        <v>1.5143899999999999</v>
      </c>
      <c r="AF5911">
        <v>-1.73146483943348</v>
      </c>
      <c r="AG5911">
        <v>-1.1096705624459999</v>
      </c>
      <c r="AH5911">
        <v>12.7351928083174</v>
      </c>
      <c r="AI5911">
        <v>94.934670896107804</v>
      </c>
      <c r="AJ5911">
        <v>97.742407426233598</v>
      </c>
      <c r="AK5911">
        <v>12.9001734528018</v>
      </c>
      <c r="AL5911">
        <v>91.541617836127998</v>
      </c>
      <c r="AM5911">
        <v>97.757912266018295</v>
      </c>
      <c r="AN5911">
        <v>0.99999997405026597</v>
      </c>
    </row>
    <row r="5912" spans="1:40" x14ac:dyDescent="0.25">
      <c r="A5912" t="str">
        <f>"20190305135350904"</f>
        <v>20190305135350904</v>
      </c>
      <c r="B5912" t="str">
        <f>"1551765230896337"</f>
        <v>1551765230896337</v>
      </c>
      <c r="C5912" t="s">
        <v>40</v>
      </c>
      <c r="D5912">
        <v>4.5193490000000001</v>
      </c>
      <c r="E5912">
        <v>0.49972260000000002</v>
      </c>
      <c r="F5912" t="s">
        <v>92</v>
      </c>
      <c r="G5912">
        <v>-255.40010000000001</v>
      </c>
      <c r="H5912" s="1">
        <v>-1.5432060000000001E-6</v>
      </c>
      <c r="I5912">
        <v>-59.974640000000001</v>
      </c>
      <c r="J5912">
        <v>-268.18090000000001</v>
      </c>
      <c r="K5912">
        <v>1.1096379999999999</v>
      </c>
      <c r="L5912">
        <v>-61.487090000000002</v>
      </c>
      <c r="M5912">
        <v>0.99979960000000001</v>
      </c>
      <c r="N5912">
        <v>-9.9071320000000008E-3</v>
      </c>
      <c r="O5912">
        <v>-1.7400949999999998E-2</v>
      </c>
      <c r="P5912">
        <v>0.99237900000000001</v>
      </c>
      <c r="Q5912">
        <v>-3.6182359999999997E-2</v>
      </c>
      <c r="R5912">
        <v>0.11779199999999999</v>
      </c>
      <c r="S5912">
        <v>2.972321</v>
      </c>
      <c r="T5912">
        <v>-0.25566410000000001</v>
      </c>
      <c r="U5912">
        <v>0.34808349999999999</v>
      </c>
      <c r="V5912">
        <v>-0.13500239999999999</v>
      </c>
      <c r="W5912">
        <v>-2.6580949999999999E-2</v>
      </c>
      <c r="X5912">
        <v>0.99048860000000005</v>
      </c>
      <c r="Y5912">
        <v>-0.13298859999999901</v>
      </c>
      <c r="Z5912">
        <v>7.6697459999999999E-3</v>
      </c>
      <c r="AA5912">
        <v>0.99108790000000002</v>
      </c>
      <c r="AB5912">
        <v>25</v>
      </c>
      <c r="AC5912">
        <v>12.780799999999999</v>
      </c>
      <c r="AD5912">
        <v>-1.109639543206</v>
      </c>
      <c r="AE5912">
        <v>1.5124500000000001</v>
      </c>
      <c r="AF5912">
        <v>-1.72183027412943</v>
      </c>
      <c r="AG5912">
        <v>-1.109639543206</v>
      </c>
      <c r="AH5912">
        <v>12.6584455679535</v>
      </c>
      <c r="AI5912">
        <v>94.964260621021296</v>
      </c>
      <c r="AJ5912">
        <v>97.745962340375897</v>
      </c>
      <c r="AK5912">
        <v>12.8231136470671</v>
      </c>
      <c r="AL5912">
        <v>91.523155755250102</v>
      </c>
      <c r="AM5912">
        <v>97.761518522260502</v>
      </c>
      <c r="AN5912">
        <v>0.99999993081930805</v>
      </c>
    </row>
    <row r="5913" spans="1:40" x14ac:dyDescent="0.25">
      <c r="A5913" t="str">
        <f>"20190305135350914"</f>
        <v>20190305135350914</v>
      </c>
      <c r="B5913" t="str">
        <f>"1551765230906095"</f>
        <v>1551765230906095</v>
      </c>
      <c r="C5913" t="s">
        <v>40</v>
      </c>
      <c r="D5913">
        <v>4.0560409999999996</v>
      </c>
      <c r="E5913">
        <v>0.49974020000000002</v>
      </c>
      <c r="F5913" t="s">
        <v>92</v>
      </c>
      <c r="G5913">
        <v>-255.24100000000001</v>
      </c>
      <c r="H5913" s="1">
        <v>-1.476976E-6</v>
      </c>
      <c r="I5913">
        <v>-59.965580000000003</v>
      </c>
      <c r="J5913">
        <v>-268.06810000000002</v>
      </c>
      <c r="K5913">
        <v>1.1096079999999999</v>
      </c>
      <c r="L5913">
        <v>-61.488590000000002</v>
      </c>
      <c r="M5913">
        <v>0.99980800000000003</v>
      </c>
      <c r="N5913">
        <v>-9.7943040000000002E-3</v>
      </c>
      <c r="O5913">
        <v>-1.697514E-2</v>
      </c>
      <c r="P5913">
        <v>0.99233280000000001</v>
      </c>
      <c r="Q5913">
        <v>-3.5720599999999998E-2</v>
      </c>
      <c r="R5913">
        <v>0.1183211</v>
      </c>
      <c r="S5913">
        <v>2.9722599999999999</v>
      </c>
      <c r="T5913">
        <v>-0.25488110000000003</v>
      </c>
      <c r="U5913">
        <v>0.3494873</v>
      </c>
      <c r="V5913">
        <v>-0.13511039999999999</v>
      </c>
      <c r="W5913">
        <v>-2.6224109999999998E-2</v>
      </c>
      <c r="X5913">
        <v>0.99048349999999996</v>
      </c>
      <c r="Y5913">
        <v>-0.1330356</v>
      </c>
      <c r="Z5913">
        <v>7.6122619999999998E-3</v>
      </c>
      <c r="AA5913">
        <v>0.99108200000000002</v>
      </c>
      <c r="AB5913">
        <v>25</v>
      </c>
      <c r="AC5913">
        <v>12.8271</v>
      </c>
      <c r="AD5913">
        <v>-1.1096094769760001</v>
      </c>
      <c r="AE5913">
        <v>1.52300999999999</v>
      </c>
      <c r="AF5913">
        <v>-1.72779321760793</v>
      </c>
      <c r="AG5913">
        <v>-1.1096094769760001</v>
      </c>
      <c r="AH5913">
        <v>12.7056408164395</v>
      </c>
      <c r="AI5913">
        <v>94.945802726393495</v>
      </c>
      <c r="AJ5913">
        <v>97.743940440292207</v>
      </c>
      <c r="AK5913">
        <v>12.870501588927301</v>
      </c>
      <c r="AL5913">
        <v>91.502703027803193</v>
      </c>
      <c r="AM5913">
        <v>97.7676913626931</v>
      </c>
      <c r="AN5913">
        <v>1.00000004395285</v>
      </c>
    </row>
    <row r="5914" spans="1:40" x14ac:dyDescent="0.25">
      <c r="A5914" t="str">
        <f>"20190305135350926"</f>
        <v>20190305135350926</v>
      </c>
      <c r="B5914" t="str">
        <f>"1551765230915856"</f>
        <v>1551765230915856</v>
      </c>
      <c r="C5914" t="s">
        <v>40</v>
      </c>
      <c r="D5914">
        <v>4.073448</v>
      </c>
      <c r="E5914">
        <v>0.49975120000000001</v>
      </c>
      <c r="F5914" t="s">
        <v>92</v>
      </c>
      <c r="G5914">
        <v>-255.08410000000001</v>
      </c>
      <c r="H5914" s="1">
        <v>-1.411885E-6</v>
      </c>
      <c r="I5914">
        <v>-59.955449999999999</v>
      </c>
      <c r="J5914">
        <v>-267.9436</v>
      </c>
      <c r="K5914">
        <v>1.1095740000000001</v>
      </c>
      <c r="L5914">
        <v>-61.490229999999997</v>
      </c>
      <c r="M5914">
        <v>0.99981699999999996</v>
      </c>
      <c r="N5914">
        <v>-9.6713400000000005E-3</v>
      </c>
      <c r="O5914">
        <v>-1.6510810000000001E-2</v>
      </c>
      <c r="P5914">
        <v>0.99232569999999998</v>
      </c>
      <c r="Q5914">
        <v>-3.5059739999999999E-2</v>
      </c>
      <c r="R5914">
        <v>0.11857819999999999</v>
      </c>
      <c r="S5914">
        <v>2.9721980000000001</v>
      </c>
      <c r="T5914">
        <v>-0.25400279999999997</v>
      </c>
      <c r="U5914">
        <v>0.35095209999999999</v>
      </c>
      <c r="V5914">
        <v>-0.13491020000000001</v>
      </c>
      <c r="W5914">
        <v>-2.567637E-2</v>
      </c>
      <c r="X5914">
        <v>0.99052510000000005</v>
      </c>
      <c r="Y5914">
        <v>-0.13306509999999999</v>
      </c>
      <c r="Z5914">
        <v>7.5479889999999997E-3</v>
      </c>
      <c r="AA5914">
        <v>0.99107860000000003</v>
      </c>
      <c r="AB5914">
        <v>25</v>
      </c>
      <c r="AC5914">
        <v>12.859499999999899</v>
      </c>
      <c r="AD5914">
        <v>-1.1095754118850001</v>
      </c>
      <c r="AE5914">
        <v>1.53478</v>
      </c>
      <c r="AF5914">
        <v>-1.7341718364757901</v>
      </c>
      <c r="AG5914">
        <v>-1.1095754118850001</v>
      </c>
      <c r="AH5914">
        <v>12.7388960109393</v>
      </c>
      <c r="AI5914">
        <v>94.932709134879801</v>
      </c>
      <c r="AJ5914">
        <v>97.752138076500202</v>
      </c>
      <c r="AK5914">
        <v>12.9041846364119</v>
      </c>
      <c r="AL5914">
        <v>91.471309322246697</v>
      </c>
      <c r="AM5914">
        <v>97.755999997989804</v>
      </c>
      <c r="AN5914">
        <v>1.0000000058852101</v>
      </c>
    </row>
    <row r="5915" spans="1:40" x14ac:dyDescent="0.25">
      <c r="A5915" t="str">
        <f>"20190305135350937"</f>
        <v>20190305135350937</v>
      </c>
      <c r="B5915" t="str">
        <f>"1551765230925615"</f>
        <v>1551765230925615</v>
      </c>
      <c r="C5915" t="s">
        <v>40</v>
      </c>
      <c r="D5915">
        <v>4.0394079999999999</v>
      </c>
      <c r="E5915">
        <v>0.49978099999999998</v>
      </c>
      <c r="F5915" t="s">
        <v>92</v>
      </c>
      <c r="G5915">
        <v>-254.88509999999999</v>
      </c>
      <c r="H5915" s="1">
        <v>-1.32882E-6</v>
      </c>
      <c r="I5915">
        <v>-59.945120000000003</v>
      </c>
      <c r="J5915">
        <v>-267.81760000000003</v>
      </c>
      <c r="K5915">
        <v>1.1095389999999901</v>
      </c>
      <c r="L5915">
        <v>-61.491790000000002</v>
      </c>
      <c r="M5915">
        <v>0.99982519999999997</v>
      </c>
      <c r="N5915">
        <v>-9.557622E-3</v>
      </c>
      <c r="O5915">
        <v>-1.6078390000000001E-2</v>
      </c>
      <c r="P5915">
        <v>0.99229659999999997</v>
      </c>
      <c r="Q5915">
        <v>-3.465886E-2</v>
      </c>
      <c r="R5915">
        <v>0.1189397</v>
      </c>
      <c r="S5915">
        <v>2.9722599999999999</v>
      </c>
      <c r="T5915">
        <v>-0.25255179999999999</v>
      </c>
      <c r="U5915">
        <v>0.35168460000000001</v>
      </c>
      <c r="V5915">
        <v>-0.1348451</v>
      </c>
      <c r="W5915">
        <v>-2.5378600000000001E-2</v>
      </c>
      <c r="X5915">
        <v>0.99054160000000002</v>
      </c>
      <c r="Y5915">
        <v>-0.1328838</v>
      </c>
      <c r="Z5915">
        <v>7.4608239999999996E-3</v>
      </c>
      <c r="AA5915">
        <v>0.99110350000000003</v>
      </c>
      <c r="AB5915">
        <v>25</v>
      </c>
      <c r="AC5915">
        <v>12.932499999999999</v>
      </c>
      <c r="AD5915">
        <v>-1.1095403288200001</v>
      </c>
      <c r="AE5915">
        <v>1.54667</v>
      </c>
      <c r="AF5915">
        <v>-1.7417733539945699</v>
      </c>
      <c r="AG5915">
        <v>-1.1095403288200001</v>
      </c>
      <c r="AH5915">
        <v>12.812976041976601</v>
      </c>
      <c r="AI5915">
        <v>94.904301493845097</v>
      </c>
      <c r="AJ5915">
        <v>97.741235935538498</v>
      </c>
      <c r="AK5915">
        <v>12.9783361495313</v>
      </c>
      <c r="AL5915">
        <v>91.454242851741697</v>
      </c>
      <c r="AM5915">
        <v>97.7521753497129</v>
      </c>
      <c r="AN5915">
        <v>0.99999996783126399</v>
      </c>
    </row>
    <row r="5916" spans="1:40" x14ac:dyDescent="0.25">
      <c r="A5916" t="str">
        <f>"20190305135350949"</f>
        <v>20190305135350949</v>
      </c>
      <c r="B5916" t="str">
        <f>"1551765230946112"</f>
        <v>1551765230946112</v>
      </c>
      <c r="C5916" t="s">
        <v>40</v>
      </c>
      <c r="D5916">
        <v>4.0415859999999997</v>
      </c>
      <c r="E5916">
        <v>0.49979279999999998</v>
      </c>
      <c r="F5916" t="s">
        <v>92</v>
      </c>
      <c r="G5916">
        <v>-254.72640000000001</v>
      </c>
      <c r="H5916" s="1">
        <v>-1.2621280000000001E-6</v>
      </c>
      <c r="I5916">
        <v>-59.938760000000002</v>
      </c>
      <c r="J5916">
        <v>-267.6961</v>
      </c>
      <c r="K5916">
        <v>1.1095090000000001</v>
      </c>
      <c r="L5916">
        <v>-61.49335</v>
      </c>
      <c r="M5916">
        <v>0.99983259999999996</v>
      </c>
      <c r="N5916">
        <v>-9.4505879999999994E-3</v>
      </c>
      <c r="O5916">
        <v>-1.567269E-2</v>
      </c>
      <c r="P5916">
        <v>0.99230240000000003</v>
      </c>
      <c r="Q5916">
        <v>-3.3752509999999999E-2</v>
      </c>
      <c r="R5916">
        <v>0.11915050000000001</v>
      </c>
      <c r="S5916">
        <v>2.972229</v>
      </c>
      <c r="T5916">
        <v>-0.2519091</v>
      </c>
      <c r="U5916">
        <v>0.35260010000000003</v>
      </c>
      <c r="V5916">
        <v>-0.134656</v>
      </c>
      <c r="W5916">
        <v>-2.456852E-2</v>
      </c>
      <c r="X5916">
        <v>0.99058780000000002</v>
      </c>
      <c r="Y5916">
        <v>-0.13278870000000001</v>
      </c>
      <c r="Z5916">
        <v>7.4027869999999897E-3</v>
      </c>
      <c r="AA5916">
        <v>0.99111669999999996</v>
      </c>
      <c r="AB5916">
        <v>25</v>
      </c>
      <c r="AC5916">
        <v>12.9696999999999</v>
      </c>
      <c r="AD5916">
        <v>-1.109510262128</v>
      </c>
      <c r="AE5916">
        <v>1.5545899999999999</v>
      </c>
      <c r="AF5916">
        <v>-1.7450882113520301</v>
      </c>
      <c r="AG5916">
        <v>-1.109510262128</v>
      </c>
      <c r="AH5916">
        <v>12.8510271480681</v>
      </c>
      <c r="AI5916">
        <v>94.889812646112802</v>
      </c>
      <c r="AJ5916">
        <v>97.7331033881309</v>
      </c>
      <c r="AK5916">
        <v>13.0163452876586</v>
      </c>
      <c r="AL5916">
        <v>91.407814129897204</v>
      </c>
      <c r="AM5916">
        <v>97.741079329964904</v>
      </c>
      <c r="AN5916">
        <v>1.00000002000991</v>
      </c>
    </row>
    <row r="5917" spans="1:40" x14ac:dyDescent="0.25">
      <c r="A5917" t="str">
        <f>"20190305135350959"</f>
        <v>20190305135350959</v>
      </c>
      <c r="B5917" t="str">
        <f>"1551765230955872"</f>
        <v>1551765230955872</v>
      </c>
      <c r="C5917" t="s">
        <v>40</v>
      </c>
      <c r="D5917">
        <v>4.0509599999999999</v>
      </c>
      <c r="E5917">
        <v>0.49986900000000001</v>
      </c>
      <c r="F5917" t="s">
        <v>92</v>
      </c>
      <c r="G5917">
        <v>-254.52330000000001</v>
      </c>
      <c r="H5917" s="1">
        <v>-1.1773520000000001E-6</v>
      </c>
      <c r="I5917">
        <v>-59.928269999999998</v>
      </c>
      <c r="J5917">
        <v>-267.56909999999999</v>
      </c>
      <c r="K5917">
        <v>1.10947</v>
      </c>
      <c r="L5917">
        <v>-61.494900000000001</v>
      </c>
      <c r="M5917">
        <v>0.9998397</v>
      </c>
      <c r="N5917">
        <v>-9.3449929999999994E-3</v>
      </c>
      <c r="O5917">
        <v>-1.5276079999999999E-2</v>
      </c>
      <c r="P5917">
        <v>0.99232169999999997</v>
      </c>
      <c r="Q5917">
        <v>-3.3082479999999997E-2</v>
      </c>
      <c r="R5917">
        <v>0.1191789</v>
      </c>
      <c r="S5917">
        <v>2.9723510000000002</v>
      </c>
      <c r="T5917">
        <v>-0.25035360000000001</v>
      </c>
      <c r="U5917">
        <v>0.3531494</v>
      </c>
      <c r="V5917">
        <v>-0.1342952</v>
      </c>
      <c r="W5917">
        <v>-2.3992369999999999E-2</v>
      </c>
      <c r="X5917">
        <v>0.9906509</v>
      </c>
      <c r="Y5917">
        <v>-0.13258049999999999</v>
      </c>
      <c r="Z5917">
        <v>7.3151889999999997E-3</v>
      </c>
      <c r="AA5917">
        <v>0.99114530000000001</v>
      </c>
      <c r="AB5917">
        <v>25</v>
      </c>
      <c r="AC5917">
        <v>13.0457999999999</v>
      </c>
      <c r="AD5917">
        <v>-1.1094711773520001</v>
      </c>
      <c r="AE5917">
        <v>1.56663</v>
      </c>
      <c r="AF5917">
        <v>-1.7532444148617601</v>
      </c>
      <c r="AG5917">
        <v>-1.1094711773520001</v>
      </c>
      <c r="AH5917">
        <v>12.9281703668677</v>
      </c>
      <c r="AI5917">
        <v>94.860720265891402</v>
      </c>
      <c r="AJ5917">
        <v>97.723010202274097</v>
      </c>
      <c r="AK5917">
        <v>13.0936007769587</v>
      </c>
      <c r="AL5917">
        <v>91.374793431641706</v>
      </c>
      <c r="AM5917">
        <v>97.720102386171106</v>
      </c>
      <c r="AN5917">
        <v>1.00000002011603</v>
      </c>
    </row>
    <row r="5918" spans="1:40" x14ac:dyDescent="0.25">
      <c r="A5918" t="str">
        <f>"20190305135350972"</f>
        <v>20190305135350972</v>
      </c>
      <c r="B5918" t="str">
        <f>"1551765230965631"</f>
        <v>1551765230965631</v>
      </c>
      <c r="C5918" t="s">
        <v>40</v>
      </c>
      <c r="D5918">
        <v>4.5397600000000002</v>
      </c>
      <c r="E5918">
        <v>0.49986900000000001</v>
      </c>
      <c r="F5918" t="s">
        <v>92</v>
      </c>
      <c r="G5918">
        <v>-254.2714</v>
      </c>
      <c r="H5918" s="1">
        <v>-1.0717010000000001E-6</v>
      </c>
      <c r="I5918">
        <v>-59.917169999999999</v>
      </c>
      <c r="J5918">
        <v>-267.43430000000001</v>
      </c>
      <c r="K5918">
        <v>1.109432</v>
      </c>
      <c r="L5918">
        <v>-61.496519999999997</v>
      </c>
      <c r="M5918">
        <v>0.99984680000000004</v>
      </c>
      <c r="N5918">
        <v>-9.2382509999999994E-3</v>
      </c>
      <c r="O5918">
        <v>-1.487876E-2</v>
      </c>
      <c r="P5918">
        <v>0.99231080000000005</v>
      </c>
      <c r="Q5918">
        <v>-3.2685939999999997E-2</v>
      </c>
      <c r="R5918">
        <v>0.1193786</v>
      </c>
      <c r="S5918">
        <v>2.972626</v>
      </c>
      <c r="T5918">
        <v>-0.2480154</v>
      </c>
      <c r="U5918">
        <v>0.3526917</v>
      </c>
      <c r="V5918">
        <v>-0.1341029</v>
      </c>
      <c r="W5918">
        <v>-2.3690940000000001E-2</v>
      </c>
      <c r="X5918">
        <v>0.99068420000000001</v>
      </c>
      <c r="Y5918">
        <v>-0.13203909999999999</v>
      </c>
      <c r="Z5918">
        <v>7.1911709999999997E-3</v>
      </c>
      <c r="AA5918">
        <v>0.99121840000000005</v>
      </c>
      <c r="AB5918">
        <v>25</v>
      </c>
      <c r="AC5918">
        <v>13.1629</v>
      </c>
      <c r="AD5918">
        <v>-1.1094330717009999</v>
      </c>
      <c r="AE5918">
        <v>1.57934999999999</v>
      </c>
      <c r="AF5918">
        <v>-1.7626868118889101</v>
      </c>
      <c r="AG5918">
        <v>-1.1094330717009999</v>
      </c>
      <c r="AH5918">
        <v>13.0465763468974</v>
      </c>
      <c r="AI5918">
        <v>94.816973101647704</v>
      </c>
      <c r="AJ5918">
        <v>97.694481632623194</v>
      </c>
      <c r="AK5918">
        <v>13.2117773563141</v>
      </c>
      <c r="AL5918">
        <v>91.357517859687604</v>
      </c>
      <c r="AM5918">
        <v>97.708924833985705</v>
      </c>
      <c r="AN5918">
        <v>1.00000001627806</v>
      </c>
    </row>
    <row r="5919" spans="1:40" x14ac:dyDescent="0.25">
      <c r="A5919" t="str">
        <f>"20190305135350982"</f>
        <v>20190305135350982</v>
      </c>
      <c r="B5919" t="str">
        <f>"1551765230976367"</f>
        <v>1551765230976367</v>
      </c>
      <c r="C5919" t="s">
        <v>40</v>
      </c>
      <c r="D5919">
        <v>4.0669969999999998</v>
      </c>
      <c r="E5919">
        <v>0.5160382</v>
      </c>
      <c r="F5919" t="s">
        <v>92</v>
      </c>
      <c r="G5919">
        <v>-254.0735</v>
      </c>
      <c r="H5919" s="1">
        <v>-9.8869169999999991E-7</v>
      </c>
      <c r="I5919">
        <v>-59.908700000000003</v>
      </c>
      <c r="J5919">
        <v>-267.3098</v>
      </c>
      <c r="K5919">
        <v>1.1093999999999999</v>
      </c>
      <c r="L5919">
        <v>-61.498019999999997</v>
      </c>
      <c r="M5919">
        <v>0.99985270000000004</v>
      </c>
      <c r="N5919">
        <v>-9.1435130000000007E-3</v>
      </c>
      <c r="O5919">
        <v>-1.452843E-2</v>
      </c>
      <c r="P5919">
        <v>0.99230030000000002</v>
      </c>
      <c r="Q5919">
        <v>-3.2662829999999997E-2</v>
      </c>
      <c r="R5919">
        <v>0.1194712</v>
      </c>
      <c r="S5919">
        <v>2.972626</v>
      </c>
      <c r="T5919">
        <v>-0.2468361</v>
      </c>
      <c r="U5919">
        <v>0.35327150000000002</v>
      </c>
      <c r="V5919">
        <v>-0.13384949999999901</v>
      </c>
      <c r="W5919">
        <v>-2.3751919999999999E-2</v>
      </c>
      <c r="X5919">
        <v>0.99071699999999996</v>
      </c>
      <c r="Y5919">
        <v>-0.13188929999999999</v>
      </c>
      <c r="Z5919">
        <v>7.1217490000000001E-3</v>
      </c>
      <c r="AA5919">
        <v>0.99123890000000003</v>
      </c>
      <c r="AB5919">
        <v>25</v>
      </c>
      <c r="AC5919">
        <v>13.2363</v>
      </c>
      <c r="AD5919">
        <v>-1.1094009886917</v>
      </c>
      <c r="AE5919">
        <v>1.5893199999999901</v>
      </c>
      <c r="AF5919">
        <v>-1.76921093728809</v>
      </c>
      <c r="AG5919">
        <v>-1.1094009886917</v>
      </c>
      <c r="AH5919">
        <v>13.120947485874201</v>
      </c>
      <c r="AI5919">
        <v>94.789829157301298</v>
      </c>
      <c r="AJ5919">
        <v>97.679368762975201</v>
      </c>
      <c r="AK5919">
        <v>13.2860882437759</v>
      </c>
      <c r="AL5919">
        <v>91.361012750666902</v>
      </c>
      <c r="AM5919">
        <v>97.694281077495603</v>
      </c>
      <c r="AN5919">
        <v>1.00000000822146</v>
      </c>
    </row>
    <row r="5920" spans="1:40" x14ac:dyDescent="0.25">
      <c r="A5920" t="str">
        <f>"20190305135350993"</f>
        <v>20190305135350993</v>
      </c>
      <c r="B5920" t="str">
        <f>"1551765230986127"</f>
        <v>1551765230986127</v>
      </c>
      <c r="C5920" t="s">
        <v>40</v>
      </c>
      <c r="D5920">
        <v>4.4777680000000002</v>
      </c>
      <c r="E5920">
        <v>0.5160382</v>
      </c>
      <c r="F5920" t="s">
        <v>92</v>
      </c>
      <c r="G5920">
        <v>-251.28450000000001</v>
      </c>
      <c r="H5920" s="1">
        <v>2.9019799999999999E-7</v>
      </c>
      <c r="I5920">
        <v>-60.281570000000002</v>
      </c>
      <c r="J5920">
        <v>-267.19209999999998</v>
      </c>
      <c r="K5920">
        <v>1.109369</v>
      </c>
      <c r="L5920">
        <v>-61.499389999999998</v>
      </c>
      <c r="M5920">
        <v>0.99985780000000002</v>
      </c>
      <c r="N5920">
        <v>-9.0574490000000004E-3</v>
      </c>
      <c r="O5920">
        <v>-1.4227109999999999E-2</v>
      </c>
      <c r="P5920">
        <v>0.99228300000000003</v>
      </c>
      <c r="Q5920">
        <v>-3.2774579999999998E-2</v>
      </c>
      <c r="R5920">
        <v>0.11958339999999899</v>
      </c>
      <c r="S5920">
        <v>2.9891359999999998</v>
      </c>
      <c r="T5920">
        <v>-0.20693230000000001</v>
      </c>
      <c r="U5920">
        <v>0.22689819999999999</v>
      </c>
      <c r="V5920">
        <v>-0.13366459999999999</v>
      </c>
      <c r="W5920">
        <v>-2.3940090000000001E-2</v>
      </c>
      <c r="X5920">
        <v>0.99073739999999999</v>
      </c>
      <c r="Y5920">
        <v>-8.9602139999999997E-2</v>
      </c>
      <c r="Z5920">
        <v>4.3541810000000004E-3</v>
      </c>
      <c r="AA5920">
        <v>0.99596810000000002</v>
      </c>
      <c r="AB5920">
        <v>25</v>
      </c>
      <c r="AC5920">
        <v>15.907599999999899</v>
      </c>
      <c r="AD5920">
        <v>-1.109368709802</v>
      </c>
      <c r="AE5920">
        <v>1.2178200000000099</v>
      </c>
      <c r="AF5920">
        <v>-1.43707678849496</v>
      </c>
      <c r="AG5920">
        <v>-1.109368709802</v>
      </c>
      <c r="AH5920">
        <v>15.812209617137899</v>
      </c>
      <c r="AI5920">
        <v>93.996819067821306</v>
      </c>
      <c r="AJ5920">
        <v>95.193002832124805</v>
      </c>
      <c r="AK5920">
        <v>15.916088137687201</v>
      </c>
      <c r="AL5920">
        <v>91.371797210336695</v>
      </c>
      <c r="AM5920">
        <v>97.683622923128695</v>
      </c>
      <c r="AN5920">
        <v>0.99999997448056299</v>
      </c>
    </row>
    <row r="5921" spans="1:40" x14ac:dyDescent="0.25">
      <c r="A5921" t="str">
        <f>"20190305135351004"</f>
        <v>20190305135351004</v>
      </c>
      <c r="B5921" t="str">
        <f>"1551765230996472"</f>
        <v>1551765230996472</v>
      </c>
      <c r="C5921" t="s">
        <v>40</v>
      </c>
      <c r="D5921">
        <v>4.0866389999999999</v>
      </c>
      <c r="E5921">
        <v>0.53333379999999997</v>
      </c>
      <c r="F5921" t="s">
        <v>92</v>
      </c>
      <c r="G5921">
        <v>-251.18510000000001</v>
      </c>
      <c r="H5921" s="1">
        <v>3.3309789999999999E-7</v>
      </c>
      <c r="I5921">
        <v>-60.282690000000002</v>
      </c>
      <c r="J5921">
        <v>-267.07100000000003</v>
      </c>
      <c r="K5921">
        <v>1.1093360000000001</v>
      </c>
      <c r="L5921">
        <v>-61.500790000000002</v>
      </c>
      <c r="M5921">
        <v>0.9998629</v>
      </c>
      <c r="N5921">
        <v>-8.9697739999999998E-3</v>
      </c>
      <c r="O5921">
        <v>-1.3924590000000001E-2</v>
      </c>
      <c r="P5921">
        <v>0.99226539999999996</v>
      </c>
      <c r="Q5921">
        <v>-3.2738629999999998E-2</v>
      </c>
      <c r="R5921">
        <v>0.119739899999999</v>
      </c>
      <c r="S5921">
        <v>2.9891049999999999</v>
      </c>
      <c r="T5921">
        <v>-0.2071607</v>
      </c>
      <c r="U5921">
        <v>0.2272034</v>
      </c>
      <c r="V5921">
        <v>-0.1335228</v>
      </c>
      <c r="W5921">
        <v>-2.3982030000000001E-2</v>
      </c>
      <c r="X5921">
        <v>0.99075559999999996</v>
      </c>
      <c r="Y5921">
        <v>-8.9403380000000005E-2</v>
      </c>
      <c r="Z5921">
        <v>4.3300320000000002E-3</v>
      </c>
      <c r="AA5921">
        <v>0.99598609999999999</v>
      </c>
      <c r="AB5921">
        <v>25</v>
      </c>
      <c r="AC5921">
        <v>15.8858999999999</v>
      </c>
      <c r="AD5921">
        <v>-1.1093356669020999</v>
      </c>
      <c r="AE5921">
        <v>1.21809999999999</v>
      </c>
      <c r="AF5921">
        <v>-1.43225196108723</v>
      </c>
      <c r="AG5921">
        <v>-1.1093356669020999</v>
      </c>
      <c r="AH5921">
        <v>15.790844577252701</v>
      </c>
      <c r="AI5921">
        <v>94.002155976322001</v>
      </c>
      <c r="AJ5921">
        <v>95.182627316193006</v>
      </c>
      <c r="AK5921">
        <v>15.8944249271514</v>
      </c>
      <c r="AL5921">
        <v>91.374200757779803</v>
      </c>
      <c r="AM5921">
        <v>97.675429549004704</v>
      </c>
      <c r="AN5921">
        <v>1.0000000674070499</v>
      </c>
    </row>
    <row r="5922" spans="1:40" x14ac:dyDescent="0.25">
      <c r="A5922" t="str">
        <f>"20190305135351015"</f>
        <v>20190305135351015</v>
      </c>
      <c r="B5922" t="str">
        <f>"1551765231006216"</f>
        <v>1551765231006216</v>
      </c>
      <c r="C5922" t="s">
        <v>40</v>
      </c>
      <c r="D5922">
        <v>4.026637</v>
      </c>
      <c r="E5922">
        <v>0.53340359999999998</v>
      </c>
      <c r="F5922" t="s">
        <v>93</v>
      </c>
      <c r="G5922">
        <v>-225.54660000000001</v>
      </c>
      <c r="H5922" s="1">
        <v>-1.542996E-6</v>
      </c>
      <c r="I5922">
        <v>-60.178049999999999</v>
      </c>
      <c r="J5922">
        <v>-266.94900000000001</v>
      </c>
      <c r="K5922">
        <v>1.1093</v>
      </c>
      <c r="L5922">
        <v>-61.502200000000002</v>
      </c>
      <c r="M5922">
        <v>0.99986739999999996</v>
      </c>
      <c r="N5922">
        <v>-8.8820359999999994E-3</v>
      </c>
      <c r="O5922">
        <v>-1.3656639999999999E-2</v>
      </c>
      <c r="P5922">
        <v>0.99226309999999995</v>
      </c>
      <c r="Q5922">
        <v>-3.2493830000000001E-2</v>
      </c>
      <c r="R5922">
        <v>0.1198264</v>
      </c>
      <c r="S5922">
        <v>3.0091549999999998</v>
      </c>
      <c r="T5922">
        <v>-8.0390690000000001E-2</v>
      </c>
      <c r="U5922">
        <v>9.5855709999999997E-2</v>
      </c>
      <c r="V5922">
        <v>-0.1333452</v>
      </c>
      <c r="W5922">
        <v>-2.3815260000000001E-2</v>
      </c>
      <c r="X5922">
        <v>0.99078350000000004</v>
      </c>
      <c r="Y5922">
        <v>-4.5462059999999999E-2</v>
      </c>
      <c r="Z5922">
        <v>1.052451E-3</v>
      </c>
      <c r="AA5922">
        <v>0.99896549999999995</v>
      </c>
      <c r="AB5922">
        <v>25</v>
      </c>
      <c r="AC5922">
        <v>41.4024</v>
      </c>
      <c r="AD5922">
        <v>-1.109301542996</v>
      </c>
      <c r="AE5922">
        <v>1.3241499999999999</v>
      </c>
      <c r="AF5922">
        <v>-1.8881123797016599</v>
      </c>
      <c r="AG5922">
        <v>-1.109301542996</v>
      </c>
      <c r="AH5922">
        <v>41.350800182095398</v>
      </c>
      <c r="AI5922">
        <v>91.535083969274595</v>
      </c>
      <c r="AJ5922">
        <v>92.614357678334002</v>
      </c>
      <c r="AK5922">
        <v>41.408745380308901</v>
      </c>
      <c r="AL5922">
        <v>91.364642867326594</v>
      </c>
      <c r="AM5922">
        <v>97.665128561392905</v>
      </c>
      <c r="AN5922">
        <v>1.0000000264220701</v>
      </c>
    </row>
    <row r="5923" spans="1:40" x14ac:dyDescent="0.25">
      <c r="A5923" t="str">
        <f>"20190305135351026"</f>
        <v>20190305135351026</v>
      </c>
      <c r="B5923" t="str">
        <f>"1551765231015977"</f>
        <v>1551765231015977</v>
      </c>
      <c r="C5923" t="s">
        <v>40</v>
      </c>
      <c r="D5923">
        <v>4.0225580000000001</v>
      </c>
      <c r="E5923">
        <v>0.53296350000000003</v>
      </c>
      <c r="F5923" t="s">
        <v>93</v>
      </c>
      <c r="G5923">
        <v>-221.41</v>
      </c>
      <c r="H5923" s="1">
        <v>2.036734E-7</v>
      </c>
      <c r="I5923">
        <v>-60.051699999999997</v>
      </c>
      <c r="J5923">
        <v>-266.82440000000003</v>
      </c>
      <c r="K5923">
        <v>1.1092660000000001</v>
      </c>
      <c r="L5923">
        <v>-61.503599999999999</v>
      </c>
      <c r="M5923">
        <v>0.99987179999999998</v>
      </c>
      <c r="N5923">
        <v>-8.7926329999999994E-3</v>
      </c>
      <c r="O5923">
        <v>-1.338964E-2</v>
      </c>
      <c r="P5923">
        <v>0.99225620000000003</v>
      </c>
      <c r="Q5923">
        <v>-3.2382750000000002E-2</v>
      </c>
      <c r="R5923">
        <v>0.1199141</v>
      </c>
      <c r="S5923">
        <v>3.00943</v>
      </c>
      <c r="T5923">
        <v>-7.3307750000000005E-2</v>
      </c>
      <c r="U5923">
        <v>9.5855709999999997E-2</v>
      </c>
      <c r="V5923">
        <v>-0.1331695</v>
      </c>
      <c r="W5923">
        <v>-2.3783800000000001E-2</v>
      </c>
      <c r="X5923">
        <v>0.99080780000000002</v>
      </c>
      <c r="Y5923">
        <v>-4.5196310000000003E-2</v>
      </c>
      <c r="Z5923">
        <v>9.5740090000000005E-4</v>
      </c>
      <c r="AA5923">
        <v>0.99897769999999997</v>
      </c>
      <c r="AB5923">
        <v>25</v>
      </c>
      <c r="AC5923">
        <v>45.414400000000001</v>
      </c>
      <c r="AD5923">
        <v>-1.1092657963265999</v>
      </c>
      <c r="AE5923">
        <v>1.4519</v>
      </c>
      <c r="AF5923">
        <v>-2.0586488059140802</v>
      </c>
      <c r="AG5923">
        <v>-1.1092657963265999</v>
      </c>
      <c r="AH5923">
        <v>45.363850841336301</v>
      </c>
      <c r="AI5923">
        <v>91.399314208837694</v>
      </c>
      <c r="AJ5923">
        <v>92.5983468116833</v>
      </c>
      <c r="AK5923">
        <v>45.424084676171503</v>
      </c>
      <c r="AL5923">
        <v>91.362839948281007</v>
      </c>
      <c r="AM5923">
        <v>97.654963061069594</v>
      </c>
      <c r="AN5923">
        <v>0.99999994070676301</v>
      </c>
    </row>
    <row r="5924" spans="1:40" x14ac:dyDescent="0.25">
      <c r="A5924" t="str">
        <f>"20190305135351038"</f>
        <v>20190305135351038</v>
      </c>
      <c r="B5924" t="str">
        <f>"1551765231025737"</f>
        <v>1551765231025737</v>
      </c>
      <c r="C5924" t="s">
        <v>40</v>
      </c>
      <c r="D5924">
        <v>4.0293320000000001</v>
      </c>
      <c r="E5924">
        <v>0.53263899999999997</v>
      </c>
      <c r="F5924" t="s">
        <v>93</v>
      </c>
      <c r="G5924">
        <v>-220.6669</v>
      </c>
      <c r="H5924" s="1">
        <v>5.0564899999999995E-7</v>
      </c>
      <c r="I5924">
        <v>-59.9756199999999</v>
      </c>
      <c r="J5924">
        <v>-266.68689999999998</v>
      </c>
      <c r="K5924">
        <v>1.109221</v>
      </c>
      <c r="L5924">
        <v>-61.505159999999997</v>
      </c>
      <c r="M5924">
        <v>0.99987599999999999</v>
      </c>
      <c r="N5924">
        <v>-8.6952650000000006E-3</v>
      </c>
      <c r="O5924">
        <v>-1.3130849999999999E-2</v>
      </c>
      <c r="P5924">
        <v>0.99226380000000003</v>
      </c>
      <c r="Q5924">
        <v>-3.1935570000000003E-2</v>
      </c>
      <c r="R5924">
        <v>0.11996999999999999</v>
      </c>
      <c r="S5924">
        <v>3.0090029999999999</v>
      </c>
      <c r="T5924">
        <v>-7.2312829999999995E-2</v>
      </c>
      <c r="U5924">
        <v>9.9609379999999997E-2</v>
      </c>
      <c r="V5924">
        <v>-0.13297129999999999</v>
      </c>
      <c r="W5924">
        <v>-2.3423490000000002E-2</v>
      </c>
      <c r="X5924">
        <v>0.99084309999999998</v>
      </c>
      <c r="Y5924">
        <v>-4.6187279999999997E-2</v>
      </c>
      <c r="Z5924">
        <v>9.5696989999999999E-4</v>
      </c>
      <c r="AA5924">
        <v>0.99893240000000005</v>
      </c>
      <c r="AB5924">
        <v>25</v>
      </c>
      <c r="AC5924">
        <v>46.019999999999897</v>
      </c>
      <c r="AD5924">
        <v>-1.109220494351</v>
      </c>
      <c r="AE5924">
        <v>1.5295399999999999</v>
      </c>
      <c r="AF5924">
        <v>-2.1324751677656901</v>
      </c>
      <c r="AG5924">
        <v>-1.109220494351</v>
      </c>
      <c r="AH5924">
        <v>45.969270631663797</v>
      </c>
      <c r="AI5924">
        <v>91.380772187239899</v>
      </c>
      <c r="AJ5924">
        <v>92.655998130186305</v>
      </c>
      <c r="AK5924">
        <v>46.0320721112288</v>
      </c>
      <c r="AL5924">
        <v>91.342189821282005</v>
      </c>
      <c r="AM5924">
        <v>97.643435660647498</v>
      </c>
      <c r="AN5924">
        <v>1.00000003766253</v>
      </c>
    </row>
    <row r="5925" spans="1:40" x14ac:dyDescent="0.25">
      <c r="A5925" t="str">
        <f>"20190305135351050"</f>
        <v>20190305135351050</v>
      </c>
      <c r="B5925" t="str">
        <f>"1551765231046232"</f>
        <v>1551765231046232</v>
      </c>
      <c r="C5925" t="s">
        <v>40</v>
      </c>
      <c r="D5925">
        <v>4.0289699999999904</v>
      </c>
      <c r="E5925">
        <v>0.53181449999999997</v>
      </c>
      <c r="F5925" t="s">
        <v>94</v>
      </c>
      <c r="G5925">
        <v>-219.38159999999999</v>
      </c>
      <c r="H5925" s="1">
        <v>-3.0802350000000001E-6</v>
      </c>
      <c r="I5925">
        <v>-59.895809999999997</v>
      </c>
      <c r="J5925">
        <v>-266.55810000000002</v>
      </c>
      <c r="K5925">
        <v>1.1091850000000001</v>
      </c>
      <c r="L5925">
        <v>-61.50656</v>
      </c>
      <c r="M5925">
        <v>0.99987969999999904</v>
      </c>
      <c r="N5925">
        <v>-8.6055850000000007E-3</v>
      </c>
      <c r="O5925">
        <v>-1.290175E-2</v>
      </c>
      <c r="P5925">
        <v>0.99229869999999998</v>
      </c>
      <c r="Q5925">
        <v>-3.1499329999999999E-2</v>
      </c>
      <c r="R5925">
        <v>0.11979579999999999</v>
      </c>
      <c r="S5925">
        <v>3.008759</v>
      </c>
      <c r="T5925">
        <v>-7.0549959999999995E-2</v>
      </c>
      <c r="U5925">
        <v>0.102356</v>
      </c>
      <c r="V5925">
        <v>-0.1325722</v>
      </c>
      <c r="W5925">
        <v>-2.306712E-2</v>
      </c>
      <c r="X5925">
        <v>0.99090489999999998</v>
      </c>
      <c r="Y5925">
        <v>-4.6872589999999999E-2</v>
      </c>
      <c r="Z5925">
        <v>9.42508E-4</v>
      </c>
      <c r="AA5925">
        <v>0.99890040000000002</v>
      </c>
      <c r="AB5925">
        <v>25</v>
      </c>
      <c r="AC5925">
        <v>47.176499999999997</v>
      </c>
      <c r="AD5925">
        <v>-1.109188080235</v>
      </c>
      <c r="AE5925">
        <v>1.6107499999999999</v>
      </c>
      <c r="AF5925">
        <v>-2.2180731983333501</v>
      </c>
      <c r="AG5925">
        <v>-1.109188080235</v>
      </c>
      <c r="AH5925">
        <v>47.1257706474237</v>
      </c>
      <c r="AI5925">
        <v>91.346817788830705</v>
      </c>
      <c r="AJ5925">
        <v>92.694757252996695</v>
      </c>
      <c r="AK5925">
        <v>47.190978015125701</v>
      </c>
      <c r="AL5925">
        <v>91.321765855328195</v>
      </c>
      <c r="AM5925">
        <v>97.620294963818097</v>
      </c>
      <c r="AN5925">
        <v>1.0000000005409699</v>
      </c>
    </row>
    <row r="5926" spans="1:40" x14ac:dyDescent="0.25">
      <c r="A5926" t="str">
        <f>"20190305135351060"</f>
        <v>20190305135351060</v>
      </c>
      <c r="B5926" t="str">
        <f>"1551765231055992"</f>
        <v>1551765231055992</v>
      </c>
      <c r="C5926" t="s">
        <v>40</v>
      </c>
      <c r="D5926">
        <v>4.0031879999999997</v>
      </c>
      <c r="E5926">
        <v>0.5316111</v>
      </c>
      <c r="F5926" t="s">
        <v>93</v>
      </c>
      <c r="G5926">
        <v>-222.68219999999999</v>
      </c>
      <c r="H5926" s="1">
        <v>-3.689375E-7</v>
      </c>
      <c r="I5926">
        <v>-59.930219999999998</v>
      </c>
      <c r="J5926">
        <v>-266.43060000000003</v>
      </c>
      <c r="K5926">
        <v>1.109148</v>
      </c>
      <c r="L5926">
        <v>-61.508000000000003</v>
      </c>
      <c r="M5926">
        <v>0.99988319999999997</v>
      </c>
      <c r="N5926">
        <v>-8.5187470000000001E-3</v>
      </c>
      <c r="O5926">
        <v>-1.2692790000000001E-2</v>
      </c>
      <c r="P5926">
        <v>0.99232070000000006</v>
      </c>
      <c r="Q5926">
        <v>-3.1176559999999999E-2</v>
      </c>
      <c r="R5926">
        <v>0.1197001</v>
      </c>
      <c r="S5926">
        <v>3.0078130000000001</v>
      </c>
      <c r="T5926">
        <v>-7.6037530000000006E-2</v>
      </c>
      <c r="U5926">
        <v>0.1080627</v>
      </c>
      <c r="V5926">
        <v>-0.13227149999999999</v>
      </c>
      <c r="W5926">
        <v>-2.2822209999999999E-2</v>
      </c>
      <c r="X5926">
        <v>0.99095080000000002</v>
      </c>
      <c r="Y5926">
        <v>-4.856386E-2</v>
      </c>
      <c r="Z5926">
        <v>1.0331699999999999E-3</v>
      </c>
      <c r="AA5926">
        <v>0.99881949999999997</v>
      </c>
      <c r="AB5926">
        <v>25</v>
      </c>
      <c r="AC5926">
        <v>43.748399999999997</v>
      </c>
      <c r="AD5926">
        <v>-1.1091483689374999</v>
      </c>
      <c r="AE5926">
        <v>1.57778</v>
      </c>
      <c r="AF5926">
        <v>-2.1315939259027998</v>
      </c>
      <c r="AG5926">
        <v>-1.1091483689374999</v>
      </c>
      <c r="AH5926">
        <v>43.696797897901398</v>
      </c>
      <c r="AI5926">
        <v>91.452290594572005</v>
      </c>
      <c r="AJ5926">
        <v>92.792758364059296</v>
      </c>
      <c r="AK5926">
        <v>43.7628158291866</v>
      </c>
      <c r="AL5926">
        <v>91.307729791966807</v>
      </c>
      <c r="AM5926">
        <v>97.602864996597802</v>
      </c>
      <c r="AN5926">
        <v>1.00000004550108</v>
      </c>
    </row>
    <row r="5927" spans="1:40" x14ac:dyDescent="0.25">
      <c r="A5927" t="str">
        <f>"20190305135351073"</f>
        <v>20190305135351073</v>
      </c>
      <c r="B5927" t="str">
        <f>"1551765231065753"</f>
        <v>1551765231065753</v>
      </c>
      <c r="C5927" t="s">
        <v>40</v>
      </c>
      <c r="D5927">
        <v>4.0061119999999999</v>
      </c>
      <c r="E5927">
        <v>0.53150180000000002</v>
      </c>
      <c r="F5927" t="s">
        <v>93</v>
      </c>
      <c r="G5927">
        <v>-224.51519999999999</v>
      </c>
      <c r="H5927" s="1">
        <v>-1.1429469999999999E-6</v>
      </c>
      <c r="I5927">
        <v>-59.98621</v>
      </c>
      <c r="J5927">
        <v>-266.29239999999999</v>
      </c>
      <c r="K5927">
        <v>1.109118</v>
      </c>
      <c r="L5927">
        <v>-61.50949</v>
      </c>
      <c r="M5927">
        <v>0.99988650000000001</v>
      </c>
      <c r="N5927">
        <v>-8.427314E-3</v>
      </c>
      <c r="O5927">
        <v>-1.248547E-2</v>
      </c>
      <c r="P5927">
        <v>0.99234440000000002</v>
      </c>
      <c r="Q5927">
        <v>-3.1236139999999999E-2</v>
      </c>
      <c r="R5927">
        <v>0.1194852</v>
      </c>
      <c r="S5927">
        <v>3.0075379999999998</v>
      </c>
      <c r="T5927">
        <v>-7.9584360000000007E-2</v>
      </c>
      <c r="U5927">
        <v>0.109191899999999</v>
      </c>
      <c r="V5927">
        <v>-0.1318529</v>
      </c>
      <c r="W5927">
        <v>-2.296422E-2</v>
      </c>
      <c r="X5927">
        <v>0.99100330000000003</v>
      </c>
      <c r="Y5927">
        <v>-4.8732530000000003E-2</v>
      </c>
      <c r="Z5927">
        <v>1.0749689999999901E-3</v>
      </c>
      <c r="AA5927">
        <v>0.99881129999999996</v>
      </c>
      <c r="AB5927">
        <v>25</v>
      </c>
      <c r="AC5927">
        <v>41.777199999999901</v>
      </c>
      <c r="AD5927">
        <v>-1.109119142947</v>
      </c>
      <c r="AE5927">
        <v>1.52327999999999</v>
      </c>
      <c r="AF5927">
        <v>-2.0433494988045999</v>
      </c>
      <c r="AG5927">
        <v>-1.109119142947</v>
      </c>
      <c r="AH5927">
        <v>41.725553912183003</v>
      </c>
      <c r="AI5927">
        <v>91.520815670976603</v>
      </c>
      <c r="AJ5927">
        <v>92.803602031630504</v>
      </c>
      <c r="AK5927">
        <v>41.790277239161803</v>
      </c>
      <c r="AL5927">
        <v>91.315868503378098</v>
      </c>
      <c r="AM5927">
        <v>97.578687472839306</v>
      </c>
      <c r="AN5927">
        <v>1.0000000416247501</v>
      </c>
    </row>
    <row r="5928" spans="1:40" x14ac:dyDescent="0.25">
      <c r="A5928" t="str">
        <f>"20190305135351083"</f>
        <v>20190305135351083</v>
      </c>
      <c r="B5928" t="str">
        <f>"1551765231076489"</f>
        <v>1551765231076489</v>
      </c>
      <c r="C5928" t="s">
        <v>40</v>
      </c>
      <c r="D5928">
        <v>4.1003170000000004</v>
      </c>
      <c r="E5928">
        <v>0.5317731</v>
      </c>
      <c r="F5928" t="s">
        <v>93</v>
      </c>
      <c r="G5928">
        <v>-225.97579999999999</v>
      </c>
      <c r="H5928" s="1">
        <v>-1.756645E-6</v>
      </c>
      <c r="I5928">
        <v>-60.044429999999998</v>
      </c>
      <c r="J5928">
        <v>-266.178</v>
      </c>
      <c r="K5928">
        <v>1.109089</v>
      </c>
      <c r="L5928">
        <v>-61.510739999999998</v>
      </c>
      <c r="M5928">
        <v>0.99988929999999998</v>
      </c>
      <c r="N5928">
        <v>-8.3526620000000003E-3</v>
      </c>
      <c r="O5928">
        <v>-1.2322039999999999E-2</v>
      </c>
      <c r="P5928">
        <v>0.99233919999999998</v>
      </c>
      <c r="Q5928">
        <v>-3.1278729999999998E-2</v>
      </c>
      <c r="R5928">
        <v>0.11951970000000001</v>
      </c>
      <c r="S5928">
        <v>3.007355</v>
      </c>
      <c r="T5928">
        <v>-8.2733039999999994E-2</v>
      </c>
      <c r="U5928">
        <v>0.1092834</v>
      </c>
      <c r="V5928">
        <v>-0.13172639999999999</v>
      </c>
      <c r="W5928">
        <v>-2.30747E-2</v>
      </c>
      <c r="X5928">
        <v>0.9910175</v>
      </c>
      <c r="Y5928">
        <v>-4.860014E-2</v>
      </c>
      <c r="Z5928">
        <v>1.107191E-3</v>
      </c>
      <c r="AA5928">
        <v>0.99881770000000003</v>
      </c>
      <c r="AB5928">
        <v>25</v>
      </c>
      <c r="AC5928">
        <v>40.202199999999998</v>
      </c>
      <c r="AD5928">
        <v>-1.1090907566449999</v>
      </c>
      <c r="AE5928">
        <v>1.46631</v>
      </c>
      <c r="AF5928">
        <v>-1.96009919152128</v>
      </c>
      <c r="AG5928">
        <v>-1.1090907566449999</v>
      </c>
      <c r="AH5928">
        <v>40.150561620378198</v>
      </c>
      <c r="AI5928">
        <v>91.580414574626502</v>
      </c>
      <c r="AJ5928">
        <v>92.794887941192798</v>
      </c>
      <c r="AK5928">
        <v>40.213675156330403</v>
      </c>
      <c r="AL5928">
        <v>91.322200292496603</v>
      </c>
      <c r="AM5928">
        <v>97.5713936237089</v>
      </c>
      <c r="AN5928">
        <v>0.99999998577164995</v>
      </c>
    </row>
    <row r="5929" spans="1:40" x14ac:dyDescent="0.25">
      <c r="A5929" t="str">
        <f>"20190305135351095"</f>
        <v>20190305135351095</v>
      </c>
      <c r="B5929" t="str">
        <f>"1551765231086249"</f>
        <v>1551765231086249</v>
      </c>
      <c r="C5929" t="s">
        <v>40</v>
      </c>
      <c r="D5929">
        <v>3.9960330000000002</v>
      </c>
      <c r="E5929">
        <v>0.53192989999999996</v>
      </c>
      <c r="F5929" t="s">
        <v>93</v>
      </c>
      <c r="G5929">
        <v>-227.87309999999999</v>
      </c>
      <c r="H5929" s="1">
        <v>-2.5479479999999998E-6</v>
      </c>
      <c r="I5929">
        <v>-60.146839999999997</v>
      </c>
      <c r="J5929">
        <v>-266.05180000000001</v>
      </c>
      <c r="K5929">
        <v>1.1090629999999999</v>
      </c>
      <c r="L5929">
        <v>-61.512120000000003</v>
      </c>
      <c r="M5929">
        <v>0.99989170000000005</v>
      </c>
      <c r="N5929">
        <v>-8.2750280000000002E-3</v>
      </c>
      <c r="O5929">
        <v>-1.216158E-2</v>
      </c>
      <c r="P5929">
        <v>0.99233309999999997</v>
      </c>
      <c r="Q5929">
        <v>-3.1932389999999998E-2</v>
      </c>
      <c r="R5929">
        <v>0.1193958</v>
      </c>
      <c r="S5929">
        <v>3.0074770000000002</v>
      </c>
      <c r="T5929">
        <v>-8.7079409999999996E-2</v>
      </c>
      <c r="U5929">
        <v>0.10708620000000001</v>
      </c>
      <c r="V5929">
        <v>-0.131443899999999</v>
      </c>
      <c r="W5929">
        <v>-2.3799210000000001E-2</v>
      </c>
      <c r="X5929">
        <v>0.99103790000000003</v>
      </c>
      <c r="Y5929">
        <v>-4.7707489999999998E-2</v>
      </c>
      <c r="Z5929">
        <v>1.1391839999999999E-3</v>
      </c>
      <c r="AA5929">
        <v>0.99886070000000005</v>
      </c>
      <c r="AB5929">
        <v>25</v>
      </c>
      <c r="AC5929">
        <v>38.178699999999999</v>
      </c>
      <c r="AD5929">
        <v>-1.1090655479479901</v>
      </c>
      <c r="AE5929">
        <v>1.3652799999999901</v>
      </c>
      <c r="AF5929">
        <v>-1.8279676998334</v>
      </c>
      <c r="AG5929">
        <v>-1.1090655479479901</v>
      </c>
      <c r="AH5929">
        <v>38.127138771907198</v>
      </c>
      <c r="AI5929">
        <v>91.664274263401296</v>
      </c>
      <c r="AJ5929">
        <v>92.744887221076795</v>
      </c>
      <c r="AK5929">
        <v>38.187042347287701</v>
      </c>
      <c r="AL5929">
        <v>91.363723031443996</v>
      </c>
      <c r="AM5929">
        <v>97.5551900881146</v>
      </c>
      <c r="AN5929">
        <v>1.0000000102401201</v>
      </c>
    </row>
    <row r="5930" spans="1:40" x14ac:dyDescent="0.25">
      <c r="A5930" t="str">
        <f>"20190305135351104"</f>
        <v>20190305135351104</v>
      </c>
      <c r="B5930" t="str">
        <f>"1551765231096008"</f>
        <v>1551765231096008</v>
      </c>
      <c r="C5930" t="s">
        <v>40</v>
      </c>
      <c r="D5930">
        <v>4.0049239999999999</v>
      </c>
      <c r="E5930">
        <v>0.53214189999999995</v>
      </c>
      <c r="F5930" t="s">
        <v>93</v>
      </c>
      <c r="G5930">
        <v>-228.25190000000001</v>
      </c>
      <c r="H5930" s="1">
        <v>-2.7017279999999998E-6</v>
      </c>
      <c r="I5930">
        <v>-60.186210000000003</v>
      </c>
      <c r="J5930">
        <v>-265.93439999999998</v>
      </c>
      <c r="K5930">
        <v>1.1090370000000001</v>
      </c>
      <c r="L5930">
        <v>-61.513370000000002</v>
      </c>
      <c r="M5930">
        <v>0.99989410000000001</v>
      </c>
      <c r="N5930">
        <v>-8.2036350000000008E-3</v>
      </c>
      <c r="O5930">
        <v>-1.201615E-2</v>
      </c>
      <c r="P5930">
        <v>0.9923227</v>
      </c>
      <c r="Q5930">
        <v>-3.231821E-2</v>
      </c>
      <c r="R5930">
        <v>0.1193796</v>
      </c>
      <c r="S5930">
        <v>3.00766</v>
      </c>
      <c r="T5930">
        <v>-8.8245989999999996E-2</v>
      </c>
      <c r="U5930">
        <v>0.1054993</v>
      </c>
      <c r="V5930">
        <v>-0.1312837</v>
      </c>
      <c r="W5930">
        <v>-2.4250379999999998E-2</v>
      </c>
      <c r="X5930">
        <v>0.99104820000000005</v>
      </c>
      <c r="Y5930">
        <v>-4.703338E-2</v>
      </c>
      <c r="Z5930">
        <v>1.136525E-3</v>
      </c>
      <c r="AA5930">
        <v>0.99889269999999997</v>
      </c>
      <c r="AB5930">
        <v>25</v>
      </c>
      <c r="AC5930">
        <v>37.682499999999898</v>
      </c>
      <c r="AD5930">
        <v>-1.109039701728</v>
      </c>
      <c r="AE5930">
        <v>1.3271599999999899</v>
      </c>
      <c r="AF5930">
        <v>-1.77833953258949</v>
      </c>
      <c r="AG5930">
        <v>-1.109039701728</v>
      </c>
      <c r="AH5930">
        <v>37.631275806661598</v>
      </c>
      <c r="AI5930">
        <v>91.686207349742901</v>
      </c>
      <c r="AJ5930">
        <v>92.7056112356277</v>
      </c>
      <c r="AK5930">
        <v>37.689592454551899</v>
      </c>
      <c r="AL5930">
        <v>91.389580628187602</v>
      </c>
      <c r="AM5930">
        <v>97.546010695697902</v>
      </c>
      <c r="AN5930">
        <v>1.0000000127695301</v>
      </c>
    </row>
    <row r="5931" spans="1:40" x14ac:dyDescent="0.25">
      <c r="A5931" t="str">
        <f>"20190305135351116"</f>
        <v>20190305135351116</v>
      </c>
      <c r="B5931" t="str">
        <f>"1551765231105571"</f>
        <v>1551765231105571</v>
      </c>
      <c r="C5931" t="s">
        <v>40</v>
      </c>
      <c r="D5931">
        <v>3.9876849999999999</v>
      </c>
      <c r="E5931">
        <v>0.53233889999999995</v>
      </c>
      <c r="F5931" t="s">
        <v>93</v>
      </c>
      <c r="G5931">
        <v>-228.4709</v>
      </c>
      <c r="H5931" s="1">
        <v>-2.7881820000000002E-6</v>
      </c>
      <c r="I5931">
        <v>-60.220230000000001</v>
      </c>
      <c r="J5931">
        <v>-265.80619999999999</v>
      </c>
      <c r="K5931">
        <v>1.109008</v>
      </c>
      <c r="L5931">
        <v>-61.514740000000003</v>
      </c>
      <c r="M5931">
        <v>0.99989649999999997</v>
      </c>
      <c r="N5931">
        <v>-8.1322740000000001E-3</v>
      </c>
      <c r="O5931">
        <v>-1.1878700000000001E-2</v>
      </c>
      <c r="P5931">
        <v>0.9923362</v>
      </c>
      <c r="Q5931">
        <v>-3.2550879999999997E-2</v>
      </c>
      <c r="R5931">
        <v>0.1192045</v>
      </c>
      <c r="S5931">
        <v>3.0078130000000001</v>
      </c>
      <c r="T5931">
        <v>-8.904099E-2</v>
      </c>
      <c r="U5931">
        <v>0.1038208</v>
      </c>
      <c r="V5931">
        <v>-0.1309737</v>
      </c>
      <c r="W5931">
        <v>-2.4548279999999999E-2</v>
      </c>
      <c r="X5931">
        <v>0.99108189999999996</v>
      </c>
      <c r="Y5931">
        <v>-4.6337509999999998E-2</v>
      </c>
      <c r="Z5931">
        <v>1.128965E-3</v>
      </c>
      <c r="AA5931">
        <v>0.99892519999999996</v>
      </c>
      <c r="AB5931">
        <v>25</v>
      </c>
      <c r="AC5931">
        <v>37.335299999999897</v>
      </c>
      <c r="AD5931">
        <v>-1.1090107881819999</v>
      </c>
      <c r="AE5931">
        <v>1.2945099999999901</v>
      </c>
      <c r="AF5931">
        <v>-1.7363978590957601</v>
      </c>
      <c r="AG5931">
        <v>-1.1090107881819999</v>
      </c>
      <c r="AH5931">
        <v>37.284430298421299</v>
      </c>
      <c r="AI5931">
        <v>91.701894651543398</v>
      </c>
      <c r="AJ5931">
        <v>92.666432990681798</v>
      </c>
      <c r="AK5931">
        <v>37.341313918114999</v>
      </c>
      <c r="AL5931">
        <v>91.406654098965802</v>
      </c>
      <c r="AM5931">
        <v>97.528143875172702</v>
      </c>
      <c r="AN5931">
        <v>1.00000003032512</v>
      </c>
    </row>
    <row r="5932" spans="1:40" x14ac:dyDescent="0.25">
      <c r="A5932" t="str">
        <f>"20190305135351127"</f>
        <v>20190305135351127</v>
      </c>
      <c r="B5932" t="str">
        <f>"1551765231116307"</f>
        <v>1551765231116307</v>
      </c>
      <c r="C5932" t="s">
        <v>40</v>
      </c>
      <c r="D5932">
        <v>3.9746519999999999</v>
      </c>
      <c r="E5932">
        <v>0.53251819999999905</v>
      </c>
      <c r="F5932" t="s">
        <v>93</v>
      </c>
      <c r="G5932">
        <v>-228.49440000000001</v>
      </c>
      <c r="H5932" s="1">
        <v>-2.7910859999999999E-6</v>
      </c>
      <c r="I5932">
        <v>-60.252679999999998</v>
      </c>
      <c r="J5932">
        <v>-265.68200000000002</v>
      </c>
      <c r="K5932">
        <v>1.108981</v>
      </c>
      <c r="L5932">
        <v>-61.516080000000002</v>
      </c>
      <c r="M5932">
        <v>0.99989839999999997</v>
      </c>
      <c r="N5932">
        <v>-8.0645370000000001E-3</v>
      </c>
      <c r="O5932">
        <v>-1.1749010000000001E-2</v>
      </c>
      <c r="P5932">
        <v>0.99234020000000001</v>
      </c>
      <c r="Q5932">
        <v>-3.257757E-2</v>
      </c>
      <c r="R5932">
        <v>0.119162</v>
      </c>
      <c r="S5932">
        <v>3.0080260000000001</v>
      </c>
      <c r="T5932">
        <v>-8.9407089999999995E-2</v>
      </c>
      <c r="U5932">
        <v>0.10174560000000001</v>
      </c>
      <c r="V5932">
        <v>-0.13080330000000001</v>
      </c>
      <c r="W5932">
        <v>-2.4637079999999999E-2</v>
      </c>
      <c r="X5932">
        <v>0.99110220000000004</v>
      </c>
      <c r="Y5932">
        <v>-4.5517429999999998E-2</v>
      </c>
      <c r="Z5932">
        <v>1.114098E-3</v>
      </c>
      <c r="AA5932">
        <v>0.99896289999999999</v>
      </c>
      <c r="AB5932">
        <v>26</v>
      </c>
      <c r="AC5932">
        <v>37.187600000000003</v>
      </c>
      <c r="AD5932">
        <v>-1.1089837910860001</v>
      </c>
      <c r="AE5932">
        <v>1.2633999999999901</v>
      </c>
      <c r="AF5932">
        <v>-1.69873554553599</v>
      </c>
      <c r="AG5932">
        <v>-1.1089837910860001</v>
      </c>
      <c r="AH5932">
        <v>37.137200409506796</v>
      </c>
      <c r="AI5932">
        <v>91.708661468349604</v>
      </c>
      <c r="AJ5932">
        <v>92.619006774622207</v>
      </c>
      <c r="AK5932">
        <v>37.1925691739416</v>
      </c>
      <c r="AL5932">
        <v>91.411743503869602</v>
      </c>
      <c r="AM5932">
        <v>97.518309460139704</v>
      </c>
      <c r="AN5932">
        <v>1.00000002992332</v>
      </c>
    </row>
    <row r="5933" spans="1:40" x14ac:dyDescent="0.25">
      <c r="A5933" t="str">
        <f>"20190305135351137"</f>
        <v>20190305135351137</v>
      </c>
      <c r="B5933" t="str">
        <f>"1551765231126067"</f>
        <v>1551765231126067</v>
      </c>
      <c r="C5933" t="s">
        <v>40</v>
      </c>
      <c r="D5933">
        <v>3.9520339999999998</v>
      </c>
      <c r="E5933">
        <v>0.53265369999999901</v>
      </c>
      <c r="F5933" t="s">
        <v>93</v>
      </c>
      <c r="G5933">
        <v>-228.43559999999999</v>
      </c>
      <c r="H5933" s="1">
        <v>-2.7606930000000001E-6</v>
      </c>
      <c r="I5933">
        <v>-60.275950000000002</v>
      </c>
      <c r="J5933">
        <v>-265.55169999999998</v>
      </c>
      <c r="K5933">
        <v>1.108959</v>
      </c>
      <c r="L5933">
        <v>-61.517490000000002</v>
      </c>
      <c r="M5933">
        <v>0.99990029999999996</v>
      </c>
      <c r="N5933">
        <v>-7.9997460000000003E-3</v>
      </c>
      <c r="O5933">
        <v>-1.162933E-2</v>
      </c>
      <c r="P5933">
        <v>0.99234449999999996</v>
      </c>
      <c r="Q5933">
        <v>-3.2620440000000001E-2</v>
      </c>
      <c r="R5933">
        <v>0.1191156</v>
      </c>
      <c r="S5933">
        <v>3.0081790000000002</v>
      </c>
      <c r="T5933">
        <v>-8.9566229999999997E-2</v>
      </c>
      <c r="U5933">
        <v>0.1001587</v>
      </c>
      <c r="V5933">
        <v>-0.13063939999999999</v>
      </c>
      <c r="W5933">
        <v>-2.4739440000000001E-2</v>
      </c>
      <c r="X5933">
        <v>0.99112120000000004</v>
      </c>
      <c r="Y5933">
        <v>-4.4870069999999998E-2</v>
      </c>
      <c r="Z5933">
        <v>1.1003339999999999E-3</v>
      </c>
      <c r="AA5933">
        <v>0.9989922</v>
      </c>
      <c r="AB5933">
        <v>26</v>
      </c>
      <c r="AC5933">
        <v>37.116099999999904</v>
      </c>
      <c r="AD5933">
        <v>-1.108961760693</v>
      </c>
      <c r="AE5933">
        <v>1.2415400000000001</v>
      </c>
      <c r="AF5933">
        <v>-1.6716146656841899</v>
      </c>
      <c r="AG5933">
        <v>-1.108961760693</v>
      </c>
      <c r="AH5933">
        <v>37.066099049791603</v>
      </c>
      <c r="AI5933">
        <v>91.711953077939498</v>
      </c>
      <c r="AJ5933">
        <v>92.582187370322202</v>
      </c>
      <c r="AK5933">
        <v>37.120342004703701</v>
      </c>
      <c r="AL5933">
        <v>91.417610182854304</v>
      </c>
      <c r="AM5933">
        <v>97.508854080795203</v>
      </c>
      <c r="AN5933">
        <v>0.99999996290665605</v>
      </c>
    </row>
    <row r="5934" spans="1:40" x14ac:dyDescent="0.25">
      <c r="A5934" t="str">
        <f>"20190305135351149"</f>
        <v>20190305135351149</v>
      </c>
      <c r="B5934" t="str">
        <f>"1551765231145587"</f>
        <v>1551765231145587</v>
      </c>
      <c r="C5934" t="s">
        <v>40</v>
      </c>
      <c r="D5934">
        <v>3.9770949999999998</v>
      </c>
      <c r="E5934">
        <v>0.53286669999999903</v>
      </c>
      <c r="F5934" t="s">
        <v>93</v>
      </c>
      <c r="G5934">
        <v>-228.4143</v>
      </c>
      <c r="H5934" s="1">
        <v>-2.7471139999999999E-6</v>
      </c>
      <c r="I5934">
        <v>-60.296100000000003</v>
      </c>
      <c r="J5934">
        <v>-265.4248</v>
      </c>
      <c r="K5934">
        <v>1.108938</v>
      </c>
      <c r="L5934">
        <v>-61.518799999999999</v>
      </c>
      <c r="M5934">
        <v>0.99990219999999996</v>
      </c>
      <c r="N5934">
        <v>-7.9391259999999995E-3</v>
      </c>
      <c r="O5934">
        <v>-1.151836E-2</v>
      </c>
      <c r="P5934">
        <v>0.9923651</v>
      </c>
      <c r="Q5934">
        <v>-3.2713289999999999E-2</v>
      </c>
      <c r="R5934">
        <v>0.11891880000000001</v>
      </c>
      <c r="S5934">
        <v>3.0083009999999999</v>
      </c>
      <c r="T5934">
        <v>-8.9830989999999999E-2</v>
      </c>
      <c r="U5934">
        <v>9.8937990000000003E-2</v>
      </c>
      <c r="V5934">
        <v>-0.13033359999999999</v>
      </c>
      <c r="W5934">
        <v>-2.4887869999999999E-2</v>
      </c>
      <c r="X5934">
        <v>0.99115779999999998</v>
      </c>
      <c r="Y5934">
        <v>-4.4353099999999999E-2</v>
      </c>
      <c r="Z5934">
        <v>1.0904370000000001E-3</v>
      </c>
      <c r="AA5934">
        <v>0.99901530000000005</v>
      </c>
      <c r="AB5934">
        <v>26</v>
      </c>
      <c r="AC5934">
        <v>37.0105</v>
      </c>
      <c r="AD5934">
        <v>-1.108940747114</v>
      </c>
      <c r="AE5934">
        <v>1.2226999999999899</v>
      </c>
      <c r="AF5934">
        <v>-1.64745512809896</v>
      </c>
      <c r="AG5934">
        <v>-1.108940747114</v>
      </c>
      <c r="AH5934">
        <v>36.960814419149798</v>
      </c>
      <c r="AI5934">
        <v>91.716834551409704</v>
      </c>
      <c r="AJ5934">
        <v>92.552156663467699</v>
      </c>
      <c r="AK5934">
        <v>37.014127850140397</v>
      </c>
      <c r="AL5934">
        <v>91.426117135183901</v>
      </c>
      <c r="AM5934">
        <v>97.491203774857595</v>
      </c>
      <c r="AN5934">
        <v>1.00000001893146</v>
      </c>
    </row>
    <row r="5935" spans="1:40" x14ac:dyDescent="0.25">
      <c r="A5935" t="str">
        <f>"20190305135351161"</f>
        <v>20190305135351161</v>
      </c>
      <c r="B5935" t="str">
        <f>"1551765231156322"</f>
        <v>1551765231156322</v>
      </c>
      <c r="C5935" t="s">
        <v>40</v>
      </c>
      <c r="D5935">
        <v>3.9503330000000001</v>
      </c>
      <c r="E5935">
        <v>0.53276630000000003</v>
      </c>
      <c r="F5935" t="s">
        <v>93</v>
      </c>
      <c r="G5935">
        <v>-228.4093</v>
      </c>
      <c r="H5935" s="1">
        <v>-2.737615E-6</v>
      </c>
      <c r="I5935">
        <v>-60.329300000000003</v>
      </c>
      <c r="J5935">
        <v>-265.28640000000001</v>
      </c>
      <c r="K5935">
        <v>1.1089199999999999</v>
      </c>
      <c r="L5935">
        <v>-61.520290000000003</v>
      </c>
      <c r="M5935">
        <v>0.99990400000000002</v>
      </c>
      <c r="N5935">
        <v>-7.877495E-3</v>
      </c>
      <c r="O5935">
        <v>-1.140774E-2</v>
      </c>
      <c r="P5935">
        <v>0.99239169999999999</v>
      </c>
      <c r="Q5935">
        <v>-3.2530120000000003E-2</v>
      </c>
      <c r="R5935">
        <v>0.118746699999999</v>
      </c>
      <c r="S5935">
        <v>3.0085139999999999</v>
      </c>
      <c r="T5935">
        <v>-9.0131520000000007E-2</v>
      </c>
      <c r="U5935">
        <v>9.6679689999999999E-2</v>
      </c>
      <c r="V5935">
        <v>-0.1300528</v>
      </c>
      <c r="W5935">
        <v>-2.476134E-2</v>
      </c>
      <c r="X5935">
        <v>0.99119780000000002</v>
      </c>
      <c r="Y5935">
        <v>-4.3491490000000001E-2</v>
      </c>
      <c r="Z5935">
        <v>1.074343E-3</v>
      </c>
      <c r="AA5935">
        <v>0.99905319999999997</v>
      </c>
      <c r="AB5935">
        <v>26</v>
      </c>
      <c r="AC5935">
        <v>36.877099999999999</v>
      </c>
      <c r="AD5935">
        <v>-1.1089227376149999</v>
      </c>
      <c r="AE5935">
        <v>1.19098999999999</v>
      </c>
      <c r="AF5935">
        <v>-1.6101554091900201</v>
      </c>
      <c r="AG5935">
        <v>-1.1089227376149999</v>
      </c>
      <c r="AH5935">
        <v>36.827846397615403</v>
      </c>
      <c r="AI5935">
        <v>91.723066172470993</v>
      </c>
      <c r="AJ5935">
        <v>92.503442438334403</v>
      </c>
      <c r="AK5935">
        <v>36.879704179481998</v>
      </c>
      <c r="AL5935">
        <v>91.418865339541895</v>
      </c>
      <c r="AM5935">
        <v>97.474948658555704</v>
      </c>
      <c r="AN5935">
        <v>0.99999996673563696</v>
      </c>
    </row>
    <row r="5936" spans="1:40" x14ac:dyDescent="0.25">
      <c r="A5936" t="str">
        <f>"20190305135351172"</f>
        <v>20190305135351172</v>
      </c>
      <c r="B5936" t="str">
        <f>"1551765231166083"</f>
        <v>1551765231166083</v>
      </c>
      <c r="C5936" t="s">
        <v>40</v>
      </c>
      <c r="D5936">
        <v>3.9446650000000001</v>
      </c>
      <c r="E5936">
        <v>0.53258169999999905</v>
      </c>
      <c r="F5936" t="s">
        <v>93</v>
      </c>
      <c r="G5936">
        <v>-228.67429999999999</v>
      </c>
      <c r="H5936" s="1">
        <v>-2.848709E-6</v>
      </c>
      <c r="I5936">
        <v>-60.34111</v>
      </c>
      <c r="J5936">
        <v>-265.1551</v>
      </c>
      <c r="K5936">
        <v>1.1088990000000001</v>
      </c>
      <c r="L5936">
        <v>-61.521669999999901</v>
      </c>
      <c r="M5936">
        <v>0.99990540000000006</v>
      </c>
      <c r="N5936">
        <v>-7.8232470000000002E-3</v>
      </c>
      <c r="O5936">
        <v>-1.1311079999999999E-2</v>
      </c>
      <c r="P5936">
        <v>0.99240390000000001</v>
      </c>
      <c r="Q5936">
        <v>-3.2472000000000001E-2</v>
      </c>
      <c r="R5936">
        <v>0.1186603</v>
      </c>
      <c r="S5936">
        <v>3.0084230000000001</v>
      </c>
      <c r="T5936">
        <v>-9.1120480000000004E-2</v>
      </c>
      <c r="U5936">
        <v>9.6893309999999996E-2</v>
      </c>
      <c r="V5936">
        <v>-0.12987180000000001</v>
      </c>
      <c r="W5936">
        <v>-2.475333E-2</v>
      </c>
      <c r="X5936">
        <v>0.99122180000000004</v>
      </c>
      <c r="Y5936">
        <v>-4.3466240000000003E-2</v>
      </c>
      <c r="Z5936">
        <v>1.082048E-3</v>
      </c>
      <c r="AA5936">
        <v>0.99905429999999995</v>
      </c>
      <c r="AB5936">
        <v>26</v>
      </c>
      <c r="AC5936">
        <v>36.480800000000002</v>
      </c>
      <c r="AD5936">
        <v>-1.1089018487090001</v>
      </c>
      <c r="AE5936">
        <v>1.1805599999999901</v>
      </c>
      <c r="AF5936">
        <v>-1.59166524599589</v>
      </c>
      <c r="AG5936">
        <v>-1.1089018487090001</v>
      </c>
      <c r="AH5936">
        <v>36.431485921383697</v>
      </c>
      <c r="AI5936">
        <v>91.741770609545</v>
      </c>
      <c r="AJ5936">
        <v>92.501620279764794</v>
      </c>
      <c r="AK5936">
        <v>36.483095099036802</v>
      </c>
      <c r="AL5936">
        <v>91.418406163783601</v>
      </c>
      <c r="AM5936">
        <v>97.464484156550199</v>
      </c>
      <c r="AN5936">
        <v>1.00000003428828</v>
      </c>
    </row>
    <row r="5937" spans="1:40" x14ac:dyDescent="0.25">
      <c r="A5937" t="str">
        <f>"20190305135351183"</f>
        <v>20190305135351183</v>
      </c>
      <c r="B5937" t="str">
        <f>"1551765231175843"</f>
        <v>1551765231175843</v>
      </c>
      <c r="C5937" t="s">
        <v>40</v>
      </c>
      <c r="D5937">
        <v>3.936868</v>
      </c>
      <c r="E5937">
        <v>0.53245710000000002</v>
      </c>
      <c r="F5937" t="s">
        <v>93</v>
      </c>
      <c r="G5937">
        <v>-229.36359999999999</v>
      </c>
      <c r="H5937" s="1">
        <v>-3.141258E-6</v>
      </c>
      <c r="I5937">
        <v>-60.355400000000003</v>
      </c>
      <c r="J5937">
        <v>-265.02980000000002</v>
      </c>
      <c r="K5937">
        <v>1.1088830000000001</v>
      </c>
      <c r="L5937">
        <v>-61.522979999999997</v>
      </c>
      <c r="M5937">
        <v>0.99990679999999998</v>
      </c>
      <c r="N5937">
        <v>-7.7735039999999997E-3</v>
      </c>
      <c r="O5937">
        <v>-1.1223240000000001E-2</v>
      </c>
      <c r="P5937">
        <v>0.99238720000000002</v>
      </c>
      <c r="Q5937">
        <v>-3.2627349999999999E-2</v>
      </c>
      <c r="R5937">
        <v>0.1187583</v>
      </c>
      <c r="S5937">
        <v>3.0081790000000002</v>
      </c>
      <c r="T5937">
        <v>-9.3200450000000004E-2</v>
      </c>
      <c r="U5937">
        <v>9.8022460000000006E-2</v>
      </c>
      <c r="V5937">
        <v>-0.12988350000000001</v>
      </c>
      <c r="W5937">
        <v>-2.4954960000000002E-2</v>
      </c>
      <c r="X5937">
        <v>0.99121519999999996</v>
      </c>
      <c r="Y5937">
        <v>-4.3754349999999997E-2</v>
      </c>
      <c r="Z5937">
        <v>1.107979E-3</v>
      </c>
      <c r="AA5937">
        <v>0.99904170000000003</v>
      </c>
      <c r="AB5937">
        <v>26</v>
      </c>
      <c r="AC5937">
        <v>35.666200000000003</v>
      </c>
      <c r="AD5937">
        <v>-1.108886141258</v>
      </c>
      <c r="AE5937">
        <v>1.1675800000000001</v>
      </c>
      <c r="AF5937">
        <v>-1.56629646802697</v>
      </c>
      <c r="AG5937">
        <v>-1.108886141258</v>
      </c>
      <c r="AH5937">
        <v>35.616458011872602</v>
      </c>
      <c r="AI5937">
        <v>91.781555340806406</v>
      </c>
      <c r="AJ5937">
        <v>92.518060376257907</v>
      </c>
      <c r="AK5937">
        <v>35.6681229448861</v>
      </c>
      <c r="AL5937">
        <v>91.429962297175294</v>
      </c>
      <c r="AM5937">
        <v>97.465198184952598</v>
      </c>
      <c r="AN5937">
        <v>1.0000000231559401</v>
      </c>
    </row>
    <row r="5938" spans="1:40" x14ac:dyDescent="0.25">
      <c r="A5938" t="str">
        <f>"20190305135351194"</f>
        <v>20190305135351194</v>
      </c>
      <c r="B5938" t="str">
        <f>"1551765231185603"</f>
        <v>1551765231185603</v>
      </c>
      <c r="C5938" t="s">
        <v>40</v>
      </c>
      <c r="D5938">
        <v>3.9341849999999998</v>
      </c>
      <c r="E5938">
        <v>0.53234859999999995</v>
      </c>
      <c r="F5938" t="s">
        <v>93</v>
      </c>
      <c r="G5938">
        <v>-229.8449</v>
      </c>
      <c r="H5938" s="1">
        <v>-3.3463169999999999E-6</v>
      </c>
      <c r="I5938">
        <v>-60.3617699999999</v>
      </c>
      <c r="J5938">
        <v>-264.90370000000001</v>
      </c>
      <c r="K5938">
        <v>1.10887</v>
      </c>
      <c r="L5938">
        <v>-61.524290000000001</v>
      </c>
      <c r="M5938">
        <v>0.99990809999999997</v>
      </c>
      <c r="N5938">
        <v>-7.7283919999999997E-3</v>
      </c>
      <c r="O5938">
        <v>-1.1145189999999999E-2</v>
      </c>
      <c r="P5938">
        <v>0.99237710000000001</v>
      </c>
      <c r="Q5938">
        <v>-3.279696E-2</v>
      </c>
      <c r="R5938">
        <v>0.1187946</v>
      </c>
      <c r="S5938">
        <v>3.0080260000000001</v>
      </c>
      <c r="T5938">
        <v>-9.4800949999999995E-2</v>
      </c>
      <c r="U5938">
        <v>9.9273680000000003E-2</v>
      </c>
      <c r="V5938">
        <v>-0.1298426</v>
      </c>
      <c r="W5938">
        <v>-2.5166480000000001E-2</v>
      </c>
      <c r="X5938">
        <v>0.99121519999999996</v>
      </c>
      <c r="Y5938">
        <v>-4.4091999999999999E-2</v>
      </c>
      <c r="Z5938">
        <v>1.129908E-3</v>
      </c>
      <c r="AA5938">
        <v>0.99902679999999999</v>
      </c>
      <c r="AB5938">
        <v>26</v>
      </c>
      <c r="AC5938">
        <v>35.058799999999998</v>
      </c>
      <c r="AD5938">
        <v>-1.108873346317</v>
      </c>
      <c r="AE5938">
        <v>1.16252</v>
      </c>
      <c r="AF5938">
        <v>-1.55164587135478</v>
      </c>
      <c r="AG5938">
        <v>-1.108873346317</v>
      </c>
      <c r="AH5938">
        <v>35.008681585691797</v>
      </c>
      <c r="AI5938">
        <v>91.812415564761295</v>
      </c>
      <c r="AJ5938">
        <v>92.5377880624753</v>
      </c>
      <c r="AK5938">
        <v>35.060590288479503</v>
      </c>
      <c r="AL5938">
        <v>91.442085322888204</v>
      </c>
      <c r="AM5938">
        <v>97.462873914169904</v>
      </c>
      <c r="AN5938">
        <v>1.00000001260069</v>
      </c>
    </row>
    <row r="5939" spans="1:40" x14ac:dyDescent="0.25">
      <c r="A5939" t="str">
        <f>"20190305135351205"</f>
        <v>20190305135351205</v>
      </c>
      <c r="B5939" t="str">
        <f>"1551765231196339"</f>
        <v>1551765231196339</v>
      </c>
      <c r="C5939" t="s">
        <v>40</v>
      </c>
      <c r="D5939">
        <v>3.9332090000000002</v>
      </c>
      <c r="E5939">
        <v>0.53220440000000002</v>
      </c>
      <c r="F5939" t="s">
        <v>95</v>
      </c>
      <c r="G5939">
        <v>-230.30549999999999</v>
      </c>
      <c r="H5939" s="1">
        <v>8.7972980000000002E-7</v>
      </c>
      <c r="I5939">
        <v>-60.372149999999998</v>
      </c>
      <c r="J5939">
        <v>-264.77859999999998</v>
      </c>
      <c r="K5939">
        <v>1.1088549999999999</v>
      </c>
      <c r="L5939">
        <v>-61.525599999999997</v>
      </c>
      <c r="M5939">
        <v>0.99990919999999905</v>
      </c>
      <c r="N5939">
        <v>-7.6845069999999897E-3</v>
      </c>
      <c r="O5939">
        <v>-1.1069290000000001E-2</v>
      </c>
      <c r="P5939">
        <v>0.99234040000000001</v>
      </c>
      <c r="Q5939">
        <v>-3.27893E-2</v>
      </c>
      <c r="R5939">
        <v>0.11910279999999999</v>
      </c>
      <c r="S5939">
        <v>3.0078740000000002</v>
      </c>
      <c r="T5939">
        <v>-9.6402169999999995E-2</v>
      </c>
      <c r="U5939">
        <v>0.1001587</v>
      </c>
      <c r="V5939">
        <v>-0.130075</v>
      </c>
      <c r="W5939">
        <v>-2.5199889999999999E-2</v>
      </c>
      <c r="X5939">
        <v>0.99118390000000001</v>
      </c>
      <c r="Y5939">
        <v>-4.4310370000000002E-2</v>
      </c>
      <c r="Z5939">
        <v>1.149621E-3</v>
      </c>
      <c r="AA5939">
        <v>0.99901719999999905</v>
      </c>
      <c r="AB5939">
        <v>26</v>
      </c>
      <c r="AC5939">
        <v>34.473099999999903</v>
      </c>
      <c r="AD5939">
        <v>-1.1088541202702</v>
      </c>
      <c r="AE5939">
        <v>1.1534499999999901</v>
      </c>
      <c r="AF5939">
        <v>-1.5333986012476</v>
      </c>
      <c r="AG5939">
        <v>-1.1088541202702</v>
      </c>
      <c r="AH5939">
        <v>34.422644454576201</v>
      </c>
      <c r="AI5939">
        <v>91.8432001180513</v>
      </c>
      <c r="AJ5939">
        <v>92.550624015205102</v>
      </c>
      <c r="AK5939">
        <v>34.474618489209099</v>
      </c>
      <c r="AL5939">
        <v>91.444000154346995</v>
      </c>
      <c r="AM5939">
        <v>97.476313856276803</v>
      </c>
      <c r="AN5939">
        <v>1.0000000318501101</v>
      </c>
    </row>
    <row r="5940" spans="1:40" x14ac:dyDescent="0.25">
      <c r="A5940" t="str">
        <f>"20190305135351216"</f>
        <v>20190305135351216</v>
      </c>
      <c r="B5940" t="str">
        <f>"1551765231205778"</f>
        <v>1551765231205778</v>
      </c>
      <c r="C5940" t="s">
        <v>40</v>
      </c>
      <c r="D5940">
        <v>3.9306779999999999</v>
      </c>
      <c r="E5940">
        <v>0.53211999999999904</v>
      </c>
      <c r="F5940" t="s">
        <v>95</v>
      </c>
      <c r="G5940">
        <v>-230.80459999999999</v>
      </c>
      <c r="H5940" s="1">
        <v>6.6555280000000002E-7</v>
      </c>
      <c r="I5940">
        <v>-60.371780000000001</v>
      </c>
      <c r="J5940">
        <v>-264.6456</v>
      </c>
      <c r="K5940">
        <v>1.1088389999999999</v>
      </c>
      <c r="L5940">
        <v>-61.526980000000002</v>
      </c>
      <c r="M5940">
        <v>0.99991039999999998</v>
      </c>
      <c r="N5940">
        <v>-7.6437019999999996E-3</v>
      </c>
      <c r="O5940">
        <v>-1.100127E-2</v>
      </c>
      <c r="P5940">
        <v>0.99229420000000002</v>
      </c>
      <c r="Q5940">
        <v>-3.2864350000000001E-2</v>
      </c>
      <c r="R5940">
        <v>0.1194667</v>
      </c>
      <c r="S5940">
        <v>3.0076900000000002</v>
      </c>
      <c r="T5940">
        <v>-9.8166110000000001E-2</v>
      </c>
      <c r="U5940">
        <v>0.10214230000000001</v>
      </c>
      <c r="V5940">
        <v>-0.1303715</v>
      </c>
      <c r="W5940">
        <v>-2.531299E-2</v>
      </c>
      <c r="X5940">
        <v>0.99114199999999997</v>
      </c>
      <c r="Y5940">
        <v>-4.4901110000000001E-2</v>
      </c>
      <c r="Z5940">
        <v>1.178885E-3</v>
      </c>
      <c r="AA5940">
        <v>0.99899070000000001</v>
      </c>
      <c r="AB5940">
        <v>26</v>
      </c>
      <c r="AC5940">
        <v>33.841000000000001</v>
      </c>
      <c r="AD5940">
        <v>-1.1088383344471999</v>
      </c>
      <c r="AE5940">
        <v>1.1552</v>
      </c>
      <c r="AF5940">
        <v>-1.52579867425789</v>
      </c>
      <c r="AG5940">
        <v>-1.1088383344471999</v>
      </c>
      <c r="AH5940">
        <v>33.790007567318902</v>
      </c>
      <c r="AI5940">
        <v>91.877607278086501</v>
      </c>
      <c r="AJ5940">
        <v>92.585453082337096</v>
      </c>
      <c r="AK5940">
        <v>33.842609170183302</v>
      </c>
      <c r="AL5940">
        <v>91.4504824645947</v>
      </c>
      <c r="AM5940">
        <v>97.493475502894597</v>
      </c>
      <c r="AN5940">
        <v>0.99999996981949402</v>
      </c>
    </row>
    <row r="5941" spans="1:40" x14ac:dyDescent="0.25">
      <c r="A5941" t="str">
        <f>"20190305135351227"</f>
        <v>20190305135351227</v>
      </c>
      <c r="B5941" t="str">
        <f>"1551765231216515"</f>
        <v>1551765231216515</v>
      </c>
      <c r="C5941" t="s">
        <v>40</v>
      </c>
      <c r="D5941">
        <v>3.9220069999999998</v>
      </c>
      <c r="E5941">
        <v>0.53197039999999995</v>
      </c>
      <c r="F5941" t="s">
        <v>95</v>
      </c>
      <c r="G5941">
        <v>-230.99690000000001</v>
      </c>
      <c r="H5941" s="1">
        <v>5.817984E-7</v>
      </c>
      <c r="I5941">
        <v>-60.364660000000001</v>
      </c>
      <c r="J5941">
        <v>-264.52069999999998</v>
      </c>
      <c r="K5941">
        <v>1.1088249999999999</v>
      </c>
      <c r="L5941">
        <v>-61.528289999999998</v>
      </c>
      <c r="M5941">
        <v>0.99991129999999995</v>
      </c>
      <c r="N5941">
        <v>-7.6063540000000001E-3</v>
      </c>
      <c r="O5941">
        <v>-1.093946E-2</v>
      </c>
      <c r="P5941">
        <v>0.99228819999999995</v>
      </c>
      <c r="Q5941">
        <v>-3.3095560000000003E-2</v>
      </c>
      <c r="R5941">
        <v>0.11945269999999999</v>
      </c>
      <c r="S5941">
        <v>3.0075069999999999</v>
      </c>
      <c r="T5941">
        <v>-9.9107500000000001E-2</v>
      </c>
      <c r="U5941">
        <v>0.1038818</v>
      </c>
      <c r="V5941">
        <v>-0.1302973</v>
      </c>
      <c r="W5941">
        <v>-2.5578610000000002E-2</v>
      </c>
      <c r="X5941">
        <v>0.99114500000000005</v>
      </c>
      <c r="Y5941">
        <v>-4.5417619999999999E-2</v>
      </c>
      <c r="Z5941">
        <v>1.1978819999999999E-3</v>
      </c>
      <c r="AA5941">
        <v>0.9989673</v>
      </c>
      <c r="AB5941">
        <v>26</v>
      </c>
      <c r="AC5941">
        <v>33.523799999999902</v>
      </c>
      <c r="AD5941">
        <v>-1.1088244182016</v>
      </c>
      <c r="AE5941">
        <v>1.1636299999999999</v>
      </c>
      <c r="AF5941">
        <v>-1.5286329018936899</v>
      </c>
      <c r="AG5941">
        <v>-1.1088244182016</v>
      </c>
      <c r="AH5941">
        <v>33.472489061546398</v>
      </c>
      <c r="AI5941">
        <v>91.895337441063702</v>
      </c>
      <c r="AJ5941">
        <v>92.614786165592605</v>
      </c>
      <c r="AK5941">
        <v>33.525717503350997</v>
      </c>
      <c r="AL5941">
        <v>91.465706209275595</v>
      </c>
      <c r="AM5941">
        <v>97.489236660598493</v>
      </c>
      <c r="AN5941">
        <v>1.0000000313509101</v>
      </c>
    </row>
    <row r="5942" spans="1:40" x14ac:dyDescent="0.25">
      <c r="A5942" t="str">
        <f>"20190305135351239"</f>
        <v>20190305135351239</v>
      </c>
      <c r="B5942" t="str">
        <f>"1551765231236033"</f>
        <v>1551765231236033</v>
      </c>
      <c r="C5942" t="s">
        <v>40</v>
      </c>
      <c r="D5942">
        <v>3.9297870000000001</v>
      </c>
      <c r="E5942">
        <v>0.53159250000000002</v>
      </c>
      <c r="F5942" t="s">
        <v>95</v>
      </c>
      <c r="G5942">
        <v>-231.66820000000001</v>
      </c>
      <c r="H5942" s="1">
        <v>2.9685499999999999E-7</v>
      </c>
      <c r="I5942">
        <v>-60.381729999999997</v>
      </c>
      <c r="J5942">
        <v>-264.3741</v>
      </c>
      <c r="K5942">
        <v>1.108808</v>
      </c>
      <c r="L5942">
        <v>-61.529820000000001</v>
      </c>
      <c r="M5942">
        <v>0.99991229999999998</v>
      </c>
      <c r="N5942">
        <v>-7.5669509999999997E-3</v>
      </c>
      <c r="O5942">
        <v>-1.087657E-2</v>
      </c>
      <c r="P5942">
        <v>0.99228620000000001</v>
      </c>
      <c r="Q5942">
        <v>-3.3054859999999998E-2</v>
      </c>
      <c r="R5942">
        <v>0.1194815</v>
      </c>
      <c r="S5942">
        <v>3.0072939999999999</v>
      </c>
      <c r="T5942">
        <v>-0.10150099999999999</v>
      </c>
      <c r="U5942">
        <v>0.10495</v>
      </c>
      <c r="V5942">
        <v>-0.13026380000000001</v>
      </c>
      <c r="W5942">
        <v>-2.5574079999999999E-2</v>
      </c>
      <c r="X5942">
        <v>0.99114950000000002</v>
      </c>
      <c r="Y5942">
        <v>-4.5709890000000003E-2</v>
      </c>
      <c r="Z5942">
        <v>1.2286350000000001E-3</v>
      </c>
      <c r="AA5942">
        <v>0.99895400000000001</v>
      </c>
      <c r="AB5942">
        <v>26</v>
      </c>
      <c r="AC5942">
        <v>32.7058999999999</v>
      </c>
      <c r="AD5942">
        <v>-1.1088077031450001</v>
      </c>
      <c r="AE5942">
        <v>1.1480899999999801</v>
      </c>
      <c r="AF5942">
        <v>-1.50203597866966</v>
      </c>
      <c r="AG5942">
        <v>-1.1088077031450001</v>
      </c>
      <c r="AH5942">
        <v>32.653992281821303</v>
      </c>
      <c r="AI5942">
        <v>91.942750948024297</v>
      </c>
      <c r="AJ5942">
        <v>92.633665773270707</v>
      </c>
      <c r="AK5942">
        <v>32.7073199535672</v>
      </c>
      <c r="AL5942">
        <v>91.465446603925699</v>
      </c>
      <c r="AM5942">
        <v>97.487299386479293</v>
      </c>
      <c r="AN5942">
        <v>1.00000001125426</v>
      </c>
    </row>
    <row r="5943" spans="1:40" x14ac:dyDescent="0.25">
      <c r="A5943" t="str">
        <f>"20190305135351252"</f>
        <v>20190305135351252</v>
      </c>
      <c r="B5943" t="str">
        <f>"1551765231245793"</f>
        <v>1551765231245793</v>
      </c>
      <c r="C5943" t="s">
        <v>40</v>
      </c>
      <c r="D5943">
        <v>3.9375650000000002</v>
      </c>
      <c r="E5943">
        <v>0.53141700000000003</v>
      </c>
      <c r="F5943" t="s">
        <v>95</v>
      </c>
      <c r="G5943">
        <v>-232.71119999999999</v>
      </c>
      <c r="H5943" s="1">
        <v>-1.5285420000000001E-7</v>
      </c>
      <c r="I5943">
        <v>-60.393410000000003</v>
      </c>
      <c r="J5943">
        <v>-264.2362</v>
      </c>
      <c r="K5943">
        <v>1.1087929999999999</v>
      </c>
      <c r="L5943">
        <v>-61.53125</v>
      </c>
      <c r="M5943">
        <v>0.99991319999999995</v>
      </c>
      <c r="N5943">
        <v>-7.533985E-3</v>
      </c>
      <c r="O5943">
        <v>-1.0823960000000001E-2</v>
      </c>
      <c r="P5943">
        <v>0.99228269999999996</v>
      </c>
      <c r="Q5943">
        <v>-3.2729309999999998E-2</v>
      </c>
      <c r="R5943">
        <v>0.1196006</v>
      </c>
      <c r="S5943">
        <v>3.0068049999999999</v>
      </c>
      <c r="T5943">
        <v>-0.10529579999999999</v>
      </c>
      <c r="U5943">
        <v>0.107910199999999</v>
      </c>
      <c r="V5943">
        <v>-0.13033139999999999</v>
      </c>
      <c r="W5943">
        <v>-2.5278539999999999E-2</v>
      </c>
      <c r="X5943">
        <v>0.99114820000000003</v>
      </c>
      <c r="Y5943">
        <v>-4.6641960000000003E-2</v>
      </c>
      <c r="Z5943">
        <v>1.289313E-3</v>
      </c>
      <c r="AA5943">
        <v>0.99891079999999999</v>
      </c>
      <c r="AB5943">
        <v>26</v>
      </c>
      <c r="AC5943">
        <v>31.524999999999999</v>
      </c>
      <c r="AD5943">
        <v>-1.1087931528542001</v>
      </c>
      <c r="AE5943">
        <v>1.13784</v>
      </c>
      <c r="AF5943">
        <v>-1.4771833210841201</v>
      </c>
      <c r="AG5943">
        <v>-1.1087931528542001</v>
      </c>
      <c r="AH5943">
        <v>31.471954800549199</v>
      </c>
      <c r="AI5943">
        <v>92.015544524052203</v>
      </c>
      <c r="AJ5943">
        <v>92.687290959128703</v>
      </c>
      <c r="AK5943">
        <v>31.526107146105399</v>
      </c>
      <c r="AL5943">
        <v>91.4485079256539</v>
      </c>
      <c r="AM5943">
        <v>97.491150493811404</v>
      </c>
      <c r="AN5943">
        <v>1.0000000163868601</v>
      </c>
    </row>
    <row r="5944" spans="1:40" x14ac:dyDescent="0.25">
      <c r="A5944" t="str">
        <f>"20190305135351263"</f>
        <v>20190305135351263</v>
      </c>
      <c r="B5944" t="str">
        <f>"1551765231256529"</f>
        <v>1551765231256529</v>
      </c>
      <c r="C5944" t="s">
        <v>40</v>
      </c>
      <c r="D5944">
        <v>3.9200780000000002</v>
      </c>
      <c r="E5944">
        <v>0.5312886</v>
      </c>
      <c r="F5944" t="s">
        <v>95</v>
      </c>
      <c r="G5944">
        <v>-232.8192</v>
      </c>
      <c r="H5944" s="1">
        <v>-1.972178E-7</v>
      </c>
      <c r="I5944">
        <v>-60.386049999999997</v>
      </c>
      <c r="J5944">
        <v>-264.10340000000002</v>
      </c>
      <c r="K5944">
        <v>1.108781</v>
      </c>
      <c r="L5944">
        <v>-61.532649999999997</v>
      </c>
      <c r="M5944">
        <v>0.99991379999999996</v>
      </c>
      <c r="N5944">
        <v>-7.5052519999999996E-3</v>
      </c>
      <c r="O5944">
        <v>-1.077827E-2</v>
      </c>
      <c r="P5944">
        <v>0.99233559999999998</v>
      </c>
      <c r="Q5944">
        <v>-3.2792149999999999E-2</v>
      </c>
      <c r="R5944">
        <v>0.1191411</v>
      </c>
      <c r="S5944">
        <v>3.0065919999999999</v>
      </c>
      <c r="T5944">
        <v>-0.10611080000000001</v>
      </c>
      <c r="U5944">
        <v>0.10958859999999999</v>
      </c>
      <c r="V5944">
        <v>-0.12982730000000001</v>
      </c>
      <c r="W5944">
        <v>-2.5366779999999998E-2</v>
      </c>
      <c r="X5944">
        <v>0.99121210000000004</v>
      </c>
      <c r="Y5944">
        <v>-4.715486E-2</v>
      </c>
      <c r="Z5944">
        <v>1.3079770000000001E-3</v>
      </c>
      <c r="AA5944">
        <v>0.99888679999999996</v>
      </c>
      <c r="AB5944">
        <v>26</v>
      </c>
      <c r="AC5944">
        <v>31.284199999999998</v>
      </c>
      <c r="AD5944">
        <v>-1.1087811972178001</v>
      </c>
      <c r="AE5944">
        <v>1.1465999999999901</v>
      </c>
      <c r="AF5944">
        <v>-1.48187346818486</v>
      </c>
      <c r="AG5944">
        <v>-1.1087811972178001</v>
      </c>
      <c r="AH5944">
        <v>31.230845965382098</v>
      </c>
      <c r="AI5944">
        <v>92.031021118797696</v>
      </c>
      <c r="AJ5944">
        <v>92.716591884171606</v>
      </c>
      <c r="AK5944">
        <v>31.285637030951399</v>
      </c>
      <c r="AL5944">
        <v>91.453565329991804</v>
      </c>
      <c r="AM5944">
        <v>97.462027511633295</v>
      </c>
      <c r="AN5944">
        <v>1.0000000142696299</v>
      </c>
    </row>
    <row r="5945" spans="1:40" x14ac:dyDescent="0.25">
      <c r="A5945" t="str">
        <f>"20190305135351274"</f>
        <v>20190305135351274</v>
      </c>
      <c r="B5945" t="str">
        <f>"1551765231266289"</f>
        <v>1551765231266289</v>
      </c>
      <c r="C5945" t="s">
        <v>40</v>
      </c>
      <c r="D5945">
        <v>3.9231750000000001</v>
      </c>
      <c r="E5945">
        <v>0.53116819999999998</v>
      </c>
      <c r="F5945" t="s">
        <v>95</v>
      </c>
      <c r="G5945">
        <v>-233.2901</v>
      </c>
      <c r="H5945" s="1">
        <v>-4.0676540000000002E-7</v>
      </c>
      <c r="I5945">
        <v>-60.414439999999999</v>
      </c>
      <c r="J5945">
        <v>-263.98079999999999</v>
      </c>
      <c r="K5945">
        <v>1.1087689999999999</v>
      </c>
      <c r="L5945">
        <v>-61.533909999999999</v>
      </c>
      <c r="M5945">
        <v>0.99991430000000003</v>
      </c>
      <c r="N5945">
        <v>-7.4835519999999897E-3</v>
      </c>
      <c r="O5945">
        <v>-1.0746439999999999E-2</v>
      </c>
      <c r="P5945">
        <v>0.99236360000000001</v>
      </c>
      <c r="Q5945">
        <v>-3.293538E-2</v>
      </c>
      <c r="R5945">
        <v>0.1188693</v>
      </c>
      <c r="S5945">
        <v>3.0065</v>
      </c>
      <c r="T5945">
        <v>-0.1081853</v>
      </c>
      <c r="U5945">
        <v>0.1091003</v>
      </c>
      <c r="V5945">
        <v>-0.12952520000000001</v>
      </c>
      <c r="W5945">
        <v>-2.5528639999999998E-2</v>
      </c>
      <c r="X5945">
        <v>0.99124749999999995</v>
      </c>
      <c r="Y5945">
        <v>-4.696082E-2</v>
      </c>
      <c r="Z5945">
        <v>1.3262949999999999E-3</v>
      </c>
      <c r="AA5945">
        <v>0.9988958</v>
      </c>
      <c r="AB5945">
        <v>26</v>
      </c>
      <c r="AC5945">
        <v>30.6907</v>
      </c>
      <c r="AD5945">
        <v>-1.1087694067653999</v>
      </c>
      <c r="AE5945">
        <v>1.11946999999999</v>
      </c>
      <c r="AF5945">
        <v>-1.4473438113874799</v>
      </c>
      <c r="AG5945">
        <v>-1.1087694067653999</v>
      </c>
      <c r="AH5945">
        <v>30.636963543400999</v>
      </c>
      <c r="AI5945">
        <v>92.070355783227797</v>
      </c>
      <c r="AJ5945">
        <v>92.7047420282058</v>
      </c>
      <c r="AK5945">
        <v>30.691166626008599</v>
      </c>
      <c r="AL5945">
        <v>91.462842180290394</v>
      </c>
      <c r="AM5945">
        <v>97.444595954255306</v>
      </c>
      <c r="AN5945">
        <v>1.00000004757576</v>
      </c>
    </row>
    <row r="5946" spans="1:40" x14ac:dyDescent="0.25">
      <c r="A5946" t="str">
        <f>"20190305135351285"</f>
        <v>20190305135351285</v>
      </c>
      <c r="B5946" t="str">
        <f>"1551765231276049"</f>
        <v>1551765231276049</v>
      </c>
      <c r="C5946" t="s">
        <v>40</v>
      </c>
      <c r="D5946">
        <v>3.9523670000000002</v>
      </c>
      <c r="E5946">
        <v>0.53101549999999997</v>
      </c>
      <c r="F5946" t="s">
        <v>95</v>
      </c>
      <c r="G5946">
        <v>-233.7353</v>
      </c>
      <c r="H5946" s="1">
        <v>-6.0323549999999897E-7</v>
      </c>
      <c r="I5946">
        <v>-60.435009999999998</v>
      </c>
      <c r="J5946">
        <v>-263.84070000000003</v>
      </c>
      <c r="K5946">
        <v>1.108757</v>
      </c>
      <c r="L5946">
        <v>-61.535369999999901</v>
      </c>
      <c r="M5946">
        <v>0.99991479999999999</v>
      </c>
      <c r="N5946">
        <v>-7.4602779999999999E-3</v>
      </c>
      <c r="O5946">
        <v>-1.071342E-2</v>
      </c>
      <c r="P5946">
        <v>0.99238280000000001</v>
      </c>
      <c r="Q5946">
        <v>-3.309492E-2</v>
      </c>
      <c r="R5946">
        <v>0.1186651</v>
      </c>
      <c r="S5946">
        <v>3.006348</v>
      </c>
      <c r="T5946">
        <v>-0.11020969999999999</v>
      </c>
      <c r="U5946">
        <v>0.1092224</v>
      </c>
      <c r="V5946">
        <v>-0.12928870000000001</v>
      </c>
      <c r="W5946">
        <v>-2.570803E-2</v>
      </c>
      <c r="X5946">
        <v>0.99127370000000004</v>
      </c>
      <c r="Y5946">
        <v>-4.6968719999999999E-2</v>
      </c>
      <c r="Z5946">
        <v>1.3482909999999999E-3</v>
      </c>
      <c r="AA5946">
        <v>0.99889550000000005</v>
      </c>
      <c r="AB5946">
        <v>26</v>
      </c>
      <c r="AC5946">
        <v>30.105399999999999</v>
      </c>
      <c r="AD5946">
        <v>-1.1087576032355</v>
      </c>
      <c r="AE5946">
        <v>1.10035999999999</v>
      </c>
      <c r="AF5946">
        <v>-1.4209128701757501</v>
      </c>
      <c r="AG5946">
        <v>-1.1087576032355</v>
      </c>
      <c r="AH5946">
        <v>30.051176479192101</v>
      </c>
      <c r="AI5946">
        <v>92.110650478352397</v>
      </c>
      <c r="AJ5946">
        <v>92.707106022381893</v>
      </c>
      <c r="AK5946">
        <v>30.105174714505701</v>
      </c>
      <c r="AL5946">
        <v>91.473123900233006</v>
      </c>
      <c r="AM5946">
        <v>97.430960717798001</v>
      </c>
      <c r="AN5946">
        <v>1.00000000953293</v>
      </c>
    </row>
    <row r="5947" spans="1:40" x14ac:dyDescent="0.25">
      <c r="A5947" t="str">
        <f>"20190305135351294"</f>
        <v>20190305135351294</v>
      </c>
      <c r="B5947" t="str">
        <f>"1551765231285810"</f>
        <v>1551765231285810</v>
      </c>
      <c r="C5947" t="s">
        <v>40</v>
      </c>
      <c r="D5947">
        <v>3.9428109999999998</v>
      </c>
      <c r="E5947">
        <v>0.53084949999999997</v>
      </c>
      <c r="F5947" t="s">
        <v>95</v>
      </c>
      <c r="G5947">
        <v>-234.14279999999999</v>
      </c>
      <c r="H5947" s="1">
        <v>-7.8243830000000004E-7</v>
      </c>
      <c r="I5947">
        <v>-60.451469999999901</v>
      </c>
      <c r="J5947">
        <v>-263.73149999999998</v>
      </c>
      <c r="K5947">
        <v>1.1087450000000001</v>
      </c>
      <c r="L5947">
        <v>-61.536499999999997</v>
      </c>
      <c r="M5947">
        <v>0.99991509999999995</v>
      </c>
      <c r="N5947">
        <v>-7.4473539999999998E-3</v>
      </c>
      <c r="O5947">
        <v>-1.069735E-2</v>
      </c>
      <c r="P5947">
        <v>0.99240170000000005</v>
      </c>
      <c r="Q5947">
        <v>-3.327161E-2</v>
      </c>
      <c r="R5947">
        <v>0.1184566</v>
      </c>
      <c r="S5947">
        <v>3.0061339999999999</v>
      </c>
      <c r="T5947">
        <v>-0.1122327</v>
      </c>
      <c r="U5947">
        <v>0.10971069999999999</v>
      </c>
      <c r="V5947">
        <v>-0.1290655</v>
      </c>
      <c r="W5947">
        <v>-2.5894919999999998E-2</v>
      </c>
      <c r="X5947">
        <v>0.99129789999999995</v>
      </c>
      <c r="Y5947">
        <v>-4.7115659999999997E-2</v>
      </c>
      <c r="Z5947">
        <v>1.3740060000000001E-3</v>
      </c>
      <c r="AA5947">
        <v>0.99888849999999996</v>
      </c>
      <c r="AB5947">
        <v>26</v>
      </c>
      <c r="AC5947">
        <v>29.5886999999999</v>
      </c>
      <c r="AD5947">
        <v>-1.1087457824383</v>
      </c>
      <c r="AE5947">
        <v>1.0850299999999999</v>
      </c>
      <c r="AF5947">
        <v>-1.3995348426421601</v>
      </c>
      <c r="AG5947">
        <v>-1.1087457824383</v>
      </c>
      <c r="AH5947">
        <v>29.5339852950863</v>
      </c>
      <c r="AI5947">
        <v>92.147543879242704</v>
      </c>
      <c r="AJ5947">
        <v>92.713060834393701</v>
      </c>
      <c r="AK5947">
        <v>29.587908043594702</v>
      </c>
      <c r="AL5947">
        <v>91.483835505833895</v>
      </c>
      <c r="AM5947">
        <v>97.418096064664297</v>
      </c>
      <c r="AN5947">
        <v>0.99999998835823301</v>
      </c>
    </row>
    <row r="5948" spans="1:40" x14ac:dyDescent="0.25">
      <c r="A5948" t="str">
        <f>"20190305135351306"</f>
        <v>20190305135351306</v>
      </c>
      <c r="B5948" t="str">
        <f>"1551765231295569"</f>
        <v>1551765231295569</v>
      </c>
      <c r="C5948" t="s">
        <v>40</v>
      </c>
      <c r="D5948">
        <v>3.9525429999999999</v>
      </c>
      <c r="E5948">
        <v>0.53073680000000001</v>
      </c>
      <c r="F5948" t="s">
        <v>95</v>
      </c>
      <c r="G5948">
        <v>-234.5934</v>
      </c>
      <c r="H5948" s="1">
        <v>-9.7987909999999992E-7</v>
      </c>
      <c r="I5948">
        <v>-60.467039999999997</v>
      </c>
      <c r="J5948">
        <v>-263.60329999999999</v>
      </c>
      <c r="K5948">
        <v>1.1087340000000001</v>
      </c>
      <c r="L5948">
        <v>-61.53781</v>
      </c>
      <c r="M5948">
        <v>0.99991549999999996</v>
      </c>
      <c r="N5948">
        <v>-7.4324350000000003E-3</v>
      </c>
      <c r="O5948">
        <v>-1.0679009999999999E-2</v>
      </c>
      <c r="P5948">
        <v>0.99240850000000003</v>
      </c>
      <c r="Q5948">
        <v>-3.3358520000000003E-2</v>
      </c>
      <c r="R5948">
        <v>0.11837590000000001</v>
      </c>
      <c r="S5948">
        <v>3.005951</v>
      </c>
      <c r="T5948">
        <v>-0.11438039999999899</v>
      </c>
      <c r="U5948">
        <v>0.110321</v>
      </c>
      <c r="V5948">
        <v>-0.12896679999999999</v>
      </c>
      <c r="W5948">
        <v>-2.599371E-2</v>
      </c>
      <c r="X5948">
        <v>0.99130819999999997</v>
      </c>
      <c r="Y5948">
        <v>-4.7300340000000003E-2</v>
      </c>
      <c r="Z5948">
        <v>1.4019690000000001E-3</v>
      </c>
      <c r="AA5948">
        <v>0.99887969999999904</v>
      </c>
      <c r="AB5948">
        <v>26</v>
      </c>
      <c r="AC5948">
        <v>29.009899999999899</v>
      </c>
      <c r="AD5948">
        <v>-1.1087349798791</v>
      </c>
      <c r="AE5948">
        <v>1.07076999999999</v>
      </c>
      <c r="AF5948">
        <v>-1.37850361342072</v>
      </c>
      <c r="AG5948">
        <v>-1.1087349798791</v>
      </c>
      <c r="AH5948">
        <v>28.954574022375802</v>
      </c>
      <c r="AI5948">
        <v>92.1904326877317</v>
      </c>
      <c r="AJ5948">
        <v>92.725747071541505</v>
      </c>
      <c r="AK5948">
        <v>29.0085663603885</v>
      </c>
      <c r="AL5948">
        <v>91.489497602953605</v>
      </c>
      <c r="AM5948">
        <v>97.412410187721207</v>
      </c>
      <c r="AN5948">
        <v>1.00000002792452</v>
      </c>
    </row>
    <row r="5949" spans="1:40" x14ac:dyDescent="0.25">
      <c r="A5949" t="str">
        <f>"20190305135351316"</f>
        <v>20190305135351316</v>
      </c>
      <c r="B5949" t="str">
        <f>"1551765231306191"</f>
        <v>1551765231306191</v>
      </c>
      <c r="C5949" t="s">
        <v>40</v>
      </c>
      <c r="D5949">
        <v>4.2516470000000002</v>
      </c>
      <c r="E5949">
        <v>0.53076959999999995</v>
      </c>
      <c r="F5949" t="s">
        <v>95</v>
      </c>
      <c r="G5949">
        <v>-234.87370000000001</v>
      </c>
      <c r="H5949" s="1">
        <v>-1.1030099999999999E-6</v>
      </c>
      <c r="I5949">
        <v>-60.4777699999999</v>
      </c>
      <c r="J5949">
        <v>-263.47059999999999</v>
      </c>
      <c r="K5949">
        <v>1.108725</v>
      </c>
      <c r="L5949">
        <v>-61.539219999999901</v>
      </c>
      <c r="M5949">
        <v>0.99991560000000002</v>
      </c>
      <c r="N5949">
        <v>-7.4217409999999999E-3</v>
      </c>
      <c r="O5949">
        <v>-1.066891E-2</v>
      </c>
      <c r="P5949">
        <v>0.99239940000000004</v>
      </c>
      <c r="Q5949">
        <v>-3.3740840000000001E-2</v>
      </c>
      <c r="R5949">
        <v>0.11834359999999999</v>
      </c>
      <c r="S5949">
        <v>3.0058289999999999</v>
      </c>
      <c r="T5949">
        <v>-0.11600149999999999</v>
      </c>
      <c r="U5949">
        <v>0.1109009</v>
      </c>
      <c r="V5949">
        <v>-0.12892490000000001</v>
      </c>
      <c r="W5949">
        <v>-2.638412E-2</v>
      </c>
      <c r="X5949">
        <v>0.9913033</v>
      </c>
      <c r="Y5949">
        <v>-4.7482770000000001E-2</v>
      </c>
      <c r="Z5949">
        <v>1.4242510000000001E-3</v>
      </c>
      <c r="AA5949">
        <v>0.99887099999999995</v>
      </c>
      <c r="AB5949">
        <v>26</v>
      </c>
      <c r="AC5949">
        <v>28.596899999999899</v>
      </c>
      <c r="AD5949">
        <v>-1.10872610301</v>
      </c>
      <c r="AE5949">
        <v>1.06145</v>
      </c>
      <c r="AF5949">
        <v>-1.36444753603181</v>
      </c>
      <c r="AG5949">
        <v>-1.10872610301</v>
      </c>
      <c r="AH5949">
        <v>28.541104152761498</v>
      </c>
      <c r="AI5949">
        <v>92.2220948975299</v>
      </c>
      <c r="AJ5949">
        <v>92.737021302157402</v>
      </c>
      <c r="AK5949">
        <v>28.595202690466401</v>
      </c>
      <c r="AL5949">
        <v>91.511874176798898</v>
      </c>
      <c r="AM5949">
        <v>97.410064959706204</v>
      </c>
      <c r="AN5949">
        <v>0.99999999210953705</v>
      </c>
    </row>
    <row r="5950" spans="1:40" x14ac:dyDescent="0.25">
      <c r="A5950" t="str">
        <f>"20190305135351328"</f>
        <v>20190305135351328</v>
      </c>
      <c r="B5950" t="str">
        <f>"1551765231315951"</f>
        <v>1551765231315951</v>
      </c>
      <c r="C5950" t="s">
        <v>40</v>
      </c>
      <c r="D5950">
        <v>3.983228</v>
      </c>
      <c r="E5950">
        <v>0.53078190000000003</v>
      </c>
      <c r="F5950" t="s">
        <v>95</v>
      </c>
      <c r="G5950">
        <v>-235.06700000000001</v>
      </c>
      <c r="H5950" s="1">
        <v>-1.1903390000000001E-6</v>
      </c>
      <c r="I5950">
        <v>-60.49436</v>
      </c>
      <c r="J5950">
        <v>-263.34070000000003</v>
      </c>
      <c r="K5950">
        <v>1.1087149999999999</v>
      </c>
      <c r="L5950">
        <v>-61.540559999999999</v>
      </c>
      <c r="M5950">
        <v>0.99991580000000002</v>
      </c>
      <c r="N5950">
        <v>-7.4120289999999997E-3</v>
      </c>
      <c r="O5950">
        <v>-1.0662639999999999E-2</v>
      </c>
      <c r="P5950">
        <v>0.99238939999999998</v>
      </c>
      <c r="Q5950">
        <v>-3.3893399999999997E-2</v>
      </c>
      <c r="R5950">
        <v>0.1183847</v>
      </c>
      <c r="S5950">
        <v>3.005798</v>
      </c>
      <c r="T5950">
        <v>-0.1173304</v>
      </c>
      <c r="U5950">
        <v>0.1105652</v>
      </c>
      <c r="V5950">
        <v>-0.1289603</v>
      </c>
      <c r="W5950">
        <v>-2.6543779999999999E-2</v>
      </c>
      <c r="X5950">
        <v>0.99129440000000002</v>
      </c>
      <c r="Y5950">
        <v>-4.7364539999999997E-2</v>
      </c>
      <c r="Z5950">
        <v>1.4363900000000001E-3</v>
      </c>
      <c r="AA5950">
        <v>0.9988766</v>
      </c>
      <c r="AB5950">
        <v>26</v>
      </c>
      <c r="AC5950">
        <v>28.273700000000002</v>
      </c>
      <c r="AD5950">
        <v>-1.1087161903389999</v>
      </c>
      <c r="AE5950">
        <v>1.04619999999999</v>
      </c>
      <c r="AF5950">
        <v>-1.34555480416812</v>
      </c>
      <c r="AG5950">
        <v>-1.1087161903389999</v>
      </c>
      <c r="AH5950">
        <v>28.2176057914624</v>
      </c>
      <c r="AI5950">
        <v>92.247536857175504</v>
      </c>
      <c r="AJ5950">
        <v>92.730077725123493</v>
      </c>
      <c r="AK5950">
        <v>28.271417472848999</v>
      </c>
      <c r="AL5950">
        <v>91.521025275861703</v>
      </c>
      <c r="AM5950">
        <v>97.412142789331796</v>
      </c>
      <c r="AN5950">
        <v>0.99999995935206798</v>
      </c>
    </row>
    <row r="5951" spans="1:40" x14ac:dyDescent="0.25">
      <c r="A5951" t="str">
        <f>"20190305135351339"</f>
        <v>20190305135351339</v>
      </c>
      <c r="B5951" t="str">
        <f>"1551765231336447"</f>
        <v>1551765231336447</v>
      </c>
      <c r="C5951" t="s">
        <v>40</v>
      </c>
      <c r="D5951">
        <v>3.9323769999999998</v>
      </c>
      <c r="E5951">
        <v>0.53079560000000003</v>
      </c>
      <c r="F5951" t="s">
        <v>95</v>
      </c>
      <c r="G5951">
        <v>-235.03299999999999</v>
      </c>
      <c r="H5951" s="1">
        <v>-1.1769680000000001E-6</v>
      </c>
      <c r="I5951">
        <v>-60.498939999999997</v>
      </c>
      <c r="J5951">
        <v>-263.2081</v>
      </c>
      <c r="K5951">
        <v>1.1087100000000001</v>
      </c>
      <c r="L5951">
        <v>-61.541989999999998</v>
      </c>
      <c r="M5951">
        <v>0.99991580000000002</v>
      </c>
      <c r="N5951">
        <v>-7.4043069999999997E-3</v>
      </c>
      <c r="O5951">
        <v>-1.066662E-2</v>
      </c>
      <c r="P5951">
        <v>0.99235479999999998</v>
      </c>
      <c r="Q5951">
        <v>-3.3840629999999997E-2</v>
      </c>
      <c r="R5951">
        <v>0.1186899</v>
      </c>
      <c r="S5951">
        <v>3.005798</v>
      </c>
      <c r="T5951">
        <v>-0.1177269</v>
      </c>
      <c r="U5951">
        <v>0.11059570000000001</v>
      </c>
      <c r="V5951">
        <v>-0.12927</v>
      </c>
      <c r="W5951">
        <v>-2.649609E-2</v>
      </c>
      <c r="X5951">
        <v>0.99125540000000001</v>
      </c>
      <c r="Y5951">
        <v>-4.7378320000000002E-2</v>
      </c>
      <c r="Z5951">
        <v>1.4412610000000001E-3</v>
      </c>
      <c r="AA5951">
        <v>0.99887599999999999</v>
      </c>
      <c r="AB5951">
        <v>26</v>
      </c>
      <c r="AC5951">
        <v>28.1751</v>
      </c>
      <c r="AD5951">
        <v>-1.108711176968</v>
      </c>
      <c r="AE5951">
        <v>1.04305</v>
      </c>
      <c r="AF5951">
        <v>-1.3414575713032399</v>
      </c>
      <c r="AG5951">
        <v>-1.108711176968</v>
      </c>
      <c r="AH5951">
        <v>28.118888931922701</v>
      </c>
      <c r="AI5951">
        <v>92.255406626328394</v>
      </c>
      <c r="AJ5951">
        <v>92.731318007365999</v>
      </c>
      <c r="AK5951">
        <v>28.1726935818239</v>
      </c>
      <c r="AL5951">
        <v>91.518291783724393</v>
      </c>
      <c r="AM5951">
        <v>97.430033565402198</v>
      </c>
      <c r="AN5951">
        <v>1.00000002185722</v>
      </c>
    </row>
    <row r="5952" spans="1:40" x14ac:dyDescent="0.25">
      <c r="A5952" t="str">
        <f>"20190305135351352"</f>
        <v>20190305135351352</v>
      </c>
      <c r="B5952" t="str">
        <f>"1551765231346207"</f>
        <v>1551765231346207</v>
      </c>
      <c r="C5952" t="s">
        <v>40</v>
      </c>
      <c r="D5952">
        <v>3.9557669999999998</v>
      </c>
      <c r="E5952">
        <v>0.53078800000000004</v>
      </c>
      <c r="F5952" t="s">
        <v>95</v>
      </c>
      <c r="G5952">
        <v>-234.99539999999999</v>
      </c>
      <c r="H5952" s="1">
        <v>-1.160302E-6</v>
      </c>
      <c r="I5952">
        <v>-60.496989999999997</v>
      </c>
      <c r="J5952">
        <v>-263.06209999999999</v>
      </c>
      <c r="K5952">
        <v>1.108695</v>
      </c>
      <c r="L5952">
        <v>-61.543550000000003</v>
      </c>
      <c r="M5952">
        <v>0.99991560000000002</v>
      </c>
      <c r="N5952">
        <v>-7.3970199999999998E-3</v>
      </c>
      <c r="O5952">
        <v>-1.0683639999999999E-2</v>
      </c>
      <c r="P5952">
        <v>0.99231340000000001</v>
      </c>
      <c r="Q5952">
        <v>-3.3687109999999999E-2</v>
      </c>
      <c r="R5952">
        <v>0.11907710000000001</v>
      </c>
      <c r="S5952">
        <v>3.0057680000000002</v>
      </c>
      <c r="T5952">
        <v>-0.1181214</v>
      </c>
      <c r="U5952">
        <v>0.1113281</v>
      </c>
      <c r="V5952">
        <v>-0.12967419999999999</v>
      </c>
      <c r="W5952">
        <v>-2.6346189999999998E-2</v>
      </c>
      <c r="X5952">
        <v>0.99120660000000005</v>
      </c>
      <c r="Y5952">
        <v>-4.763821E-2</v>
      </c>
      <c r="Z5952">
        <v>1.452285E-3</v>
      </c>
      <c r="AA5952">
        <v>0.99886359999999996</v>
      </c>
      <c r="AB5952">
        <v>26</v>
      </c>
      <c r="AC5952">
        <v>28.066700000000001</v>
      </c>
      <c r="AD5952">
        <v>-1.108696160302</v>
      </c>
      <c r="AE5952">
        <v>1.0465599999999899</v>
      </c>
      <c r="AF5952">
        <v>-1.3442682660440399</v>
      </c>
      <c r="AG5952">
        <v>-1.108696160302</v>
      </c>
      <c r="AH5952">
        <v>28.0102695371781</v>
      </c>
      <c r="AI5952">
        <v>92.264082207347997</v>
      </c>
      <c r="AJ5952">
        <v>92.747629664051203</v>
      </c>
      <c r="AK5952">
        <v>28.064416329087098</v>
      </c>
      <c r="AL5952">
        <v>91.509700147189307</v>
      </c>
      <c r="AM5952">
        <v>97.453367735806395</v>
      </c>
      <c r="AN5952">
        <v>1.00000002187835</v>
      </c>
    </row>
    <row r="5953" spans="1:40" x14ac:dyDescent="0.25">
      <c r="A5953" t="str">
        <f>"20190305135351362"</f>
        <v>20190305135351362</v>
      </c>
      <c r="B5953" t="str">
        <f>"1551765231355967"</f>
        <v>1551765231355967</v>
      </c>
      <c r="C5953" t="s">
        <v>40</v>
      </c>
      <c r="D5953">
        <v>3.978043</v>
      </c>
      <c r="E5953">
        <v>0.53069469999999996</v>
      </c>
      <c r="F5953" t="s">
        <v>95</v>
      </c>
      <c r="G5953">
        <v>-234.74010000000001</v>
      </c>
      <c r="H5953" s="1">
        <v>-1.047057E-6</v>
      </c>
      <c r="I5953">
        <v>-60.482990000000001</v>
      </c>
      <c r="J5953">
        <v>-262.92469999999997</v>
      </c>
      <c r="K5953">
        <v>1.1086780000000001</v>
      </c>
      <c r="L5953">
        <v>-61.545009999999998</v>
      </c>
      <c r="M5953">
        <v>0.99991540000000001</v>
      </c>
      <c r="N5953">
        <v>-7.3912259999999999E-3</v>
      </c>
      <c r="O5953">
        <v>-1.071128E-2</v>
      </c>
      <c r="P5953">
        <v>0.99227659999999995</v>
      </c>
      <c r="Q5953">
        <v>-3.3384320000000002E-2</v>
      </c>
      <c r="R5953">
        <v>0.11946850000000001</v>
      </c>
      <c r="S5953">
        <v>3.0057680000000002</v>
      </c>
      <c r="T5953">
        <v>-0.1176639</v>
      </c>
      <c r="U5953">
        <v>0.1125488</v>
      </c>
      <c r="V5953">
        <v>-0.1300935</v>
      </c>
      <c r="W5953">
        <v>-2.604503E-2</v>
      </c>
      <c r="X5953">
        <v>0.99115960000000003</v>
      </c>
      <c r="Y5953">
        <v>-4.8070870000000002E-2</v>
      </c>
      <c r="Z5953">
        <v>1.4578950000000001E-3</v>
      </c>
      <c r="AA5953">
        <v>0.99884280000000003</v>
      </c>
      <c r="AB5953">
        <v>26</v>
      </c>
      <c r="AC5953">
        <v>28.1845999999999</v>
      </c>
      <c r="AD5953">
        <v>-1.108679047057</v>
      </c>
      <c r="AE5953">
        <v>1.06201999999999</v>
      </c>
      <c r="AF5953">
        <v>-1.36175631168883</v>
      </c>
      <c r="AG5953">
        <v>-1.108679047057</v>
      </c>
      <c r="AH5953">
        <v>28.128144819380498</v>
      </c>
      <c r="AI5953">
        <v>92.254523715951805</v>
      </c>
      <c r="AJ5953">
        <v>92.771672974973498</v>
      </c>
      <c r="AK5953">
        <v>28.1829040459256</v>
      </c>
      <c r="AL5953">
        <v>91.492439048612894</v>
      </c>
      <c r="AM5953">
        <v>97.477546394514604</v>
      </c>
      <c r="AN5953">
        <v>1.00000000750105</v>
      </c>
    </row>
    <row r="5954" spans="1:40" x14ac:dyDescent="0.25">
      <c r="A5954" t="str">
        <f>"20190305135351373"</f>
        <v>20190305135351373</v>
      </c>
      <c r="B5954" t="str">
        <f>"1551765231365728"</f>
        <v>1551765231365728</v>
      </c>
      <c r="C5954" t="s">
        <v>40</v>
      </c>
      <c r="D5954">
        <v>3.9757150000000001</v>
      </c>
      <c r="E5954">
        <v>0.5306187</v>
      </c>
      <c r="F5954" t="s">
        <v>95</v>
      </c>
      <c r="G5954">
        <v>-234.5318</v>
      </c>
      <c r="H5954" s="1">
        <v>-9.5260019999999998E-7</v>
      </c>
      <c r="I5954">
        <v>-60.463880000000003</v>
      </c>
      <c r="J5954">
        <v>-262.80110000000002</v>
      </c>
      <c r="K5954">
        <v>1.10866</v>
      </c>
      <c r="L5954">
        <v>-61.546390000000002</v>
      </c>
      <c r="M5954">
        <v>0.99991490000000005</v>
      </c>
      <c r="N5954">
        <v>-7.3873480000000002E-3</v>
      </c>
      <c r="O5954">
        <v>-1.075863E-2</v>
      </c>
      <c r="P5954">
        <v>0.99221320000000002</v>
      </c>
      <c r="Q5954">
        <v>-3.3411990000000003E-2</v>
      </c>
      <c r="R5954">
        <v>0.1199865</v>
      </c>
      <c r="S5954">
        <v>3.0056150000000001</v>
      </c>
      <c r="T5954">
        <v>-0.11736249999999999</v>
      </c>
      <c r="U5954">
        <v>0.114440899999999</v>
      </c>
      <c r="V5954">
        <v>-0.13065860000000001</v>
      </c>
      <c r="W5954">
        <v>-2.607141E-2</v>
      </c>
      <c r="X5954">
        <v>0.99108459999999998</v>
      </c>
      <c r="Y5954">
        <v>-4.8747550000000001E-2</v>
      </c>
      <c r="Z5954">
        <v>1.4716219999999999E-3</v>
      </c>
      <c r="AA5954">
        <v>0.99881010000000003</v>
      </c>
      <c r="AB5954">
        <v>26</v>
      </c>
      <c r="AC5954">
        <v>28.269300000000001</v>
      </c>
      <c r="AD5954">
        <v>-1.10866095260019</v>
      </c>
      <c r="AE5954">
        <v>1.0825099999999901</v>
      </c>
      <c r="AF5954">
        <v>-1.38446831559798</v>
      </c>
      <c r="AG5954">
        <v>-1.10866095260019</v>
      </c>
      <c r="AH5954">
        <v>28.212688477450499</v>
      </c>
      <c r="AI5954">
        <v>92.247665923463103</v>
      </c>
      <c r="AJ5954">
        <v>92.809395827443296</v>
      </c>
      <c r="AK5954">
        <v>28.2683864546667</v>
      </c>
      <c r="AL5954">
        <v>91.493950981709403</v>
      </c>
      <c r="AM5954">
        <v>97.510219228260098</v>
      </c>
      <c r="AN5954">
        <v>1.0000000362652499</v>
      </c>
    </row>
    <row r="5955" spans="1:40" x14ac:dyDescent="0.25">
      <c r="A5955" t="str">
        <f>"20190305135351384"</f>
        <v>20190305135351384</v>
      </c>
      <c r="B5955" t="str">
        <f>"1551765231376464"</f>
        <v>1551765231376464</v>
      </c>
      <c r="C5955" t="s">
        <v>40</v>
      </c>
      <c r="D5955">
        <v>3.97553</v>
      </c>
      <c r="E5955">
        <v>0.53056559999999997</v>
      </c>
      <c r="F5955" t="s">
        <v>95</v>
      </c>
      <c r="G5955">
        <v>-234.56989999999999</v>
      </c>
      <c r="H5955" s="1">
        <v>-9.6562280000000003E-7</v>
      </c>
      <c r="I5955">
        <v>-60.451270000000001</v>
      </c>
      <c r="J5955">
        <v>-262.66989999999998</v>
      </c>
      <c r="K5955">
        <v>1.1086389999999999</v>
      </c>
      <c r="L5955">
        <v>-61.547789999999999</v>
      </c>
      <c r="M5955">
        <v>0.99991439999999998</v>
      </c>
      <c r="N5955">
        <v>-7.3835669999999997E-3</v>
      </c>
      <c r="O5955">
        <v>-1.081507E-2</v>
      </c>
      <c r="P5955">
        <v>0.99213119999999999</v>
      </c>
      <c r="Q5955">
        <v>-3.343579E-2</v>
      </c>
      <c r="R5955">
        <v>0.1206573</v>
      </c>
      <c r="S5955">
        <v>3.0054319999999999</v>
      </c>
      <c r="T5955">
        <v>-0.11802550000000001</v>
      </c>
      <c r="U5955">
        <v>0.1165771</v>
      </c>
      <c r="V5955">
        <v>-0.1313858</v>
      </c>
      <c r="W5955">
        <v>-2.6093140000000001E-2</v>
      </c>
      <c r="X5955">
        <v>0.99098779999999997</v>
      </c>
      <c r="Y5955">
        <v>-4.951386E-2</v>
      </c>
      <c r="Z5955">
        <v>1.4990450000000001E-3</v>
      </c>
      <c r="AA5955">
        <v>0.99877229999999995</v>
      </c>
      <c r="AB5955">
        <v>27</v>
      </c>
      <c r="AC5955">
        <v>28.099999999999898</v>
      </c>
      <c r="AD5955">
        <v>-1.1086399656228001</v>
      </c>
      <c r="AE5955">
        <v>1.0965199999999999</v>
      </c>
      <c r="AF5955">
        <v>-1.3981944967826201</v>
      </c>
      <c r="AG5955">
        <v>-1.1086399656228001</v>
      </c>
      <c r="AH5955">
        <v>28.042912865642101</v>
      </c>
      <c r="AI5955">
        <v>92.261129082535703</v>
      </c>
      <c r="AJ5955">
        <v>92.8543525299999</v>
      </c>
      <c r="AK5955">
        <v>28.0996261970548</v>
      </c>
      <c r="AL5955">
        <v>91.495196571563397</v>
      </c>
      <c r="AM5955">
        <v>97.552266525942002</v>
      </c>
      <c r="AN5955">
        <v>0.99999995007276798</v>
      </c>
    </row>
    <row r="5956" spans="1:40" x14ac:dyDescent="0.25">
      <c r="A5956" t="str">
        <f>"20190305135351395"</f>
        <v>20190305135351395</v>
      </c>
      <c r="B5956" t="str">
        <f>"1551765231386223"</f>
        <v>1551765231386223</v>
      </c>
      <c r="C5956" t="s">
        <v>40</v>
      </c>
      <c r="D5956">
        <v>3.9801289999999998</v>
      </c>
      <c r="E5956">
        <v>0.53048439999999997</v>
      </c>
      <c r="F5956" t="s">
        <v>95</v>
      </c>
      <c r="G5956">
        <v>-234.57650000000001</v>
      </c>
      <c r="H5956" s="1">
        <v>-9.6421899999999991E-7</v>
      </c>
      <c r="I5956">
        <v>-60.435450000000003</v>
      </c>
      <c r="J5956">
        <v>-262.54430000000002</v>
      </c>
      <c r="K5956">
        <v>1.1086129999999901</v>
      </c>
      <c r="L5956">
        <v>-61.549190000000003</v>
      </c>
      <c r="M5956">
        <v>0.99991350000000001</v>
      </c>
      <c r="N5956">
        <v>-7.3813389999999998E-3</v>
      </c>
      <c r="O5956">
        <v>-1.090173E-2</v>
      </c>
      <c r="P5956">
        <v>0.99204130000000001</v>
      </c>
      <c r="Q5956">
        <v>-3.3467080000000003E-2</v>
      </c>
      <c r="R5956">
        <v>0.1213849</v>
      </c>
      <c r="S5956">
        <v>3.005341</v>
      </c>
      <c r="T5956">
        <v>-0.1185986</v>
      </c>
      <c r="U5956">
        <v>0.118988</v>
      </c>
      <c r="V5956">
        <v>-0.13219990000000001</v>
      </c>
      <c r="W5956">
        <v>-2.6118929999999999E-2</v>
      </c>
      <c r="X5956">
        <v>0.99087890000000001</v>
      </c>
      <c r="Y5956">
        <v>-5.0400229999999997E-2</v>
      </c>
      <c r="Z5956">
        <v>1.5293399999999999E-3</v>
      </c>
      <c r="AA5956">
        <v>0.9987279</v>
      </c>
      <c r="AB5956">
        <v>27</v>
      </c>
      <c r="AC5956">
        <v>27.9678</v>
      </c>
      <c r="AD5956">
        <v>-1.1086139642189901</v>
      </c>
      <c r="AE5956">
        <v>1.11374</v>
      </c>
      <c r="AF5956">
        <v>-1.4163575486120501</v>
      </c>
      <c r="AG5956">
        <v>-1.1086139642189901</v>
      </c>
      <c r="AH5956">
        <v>27.9102115207222</v>
      </c>
      <c r="AI5956">
        <v>92.271714241258096</v>
      </c>
      <c r="AJ5956">
        <v>92.905092838001295</v>
      </c>
      <c r="AK5956">
        <v>27.9681068497427</v>
      </c>
      <c r="AL5956">
        <v>91.496674653949697</v>
      </c>
      <c r="AM5956">
        <v>97.599342524568399</v>
      </c>
      <c r="AN5956">
        <v>1.00000000326478</v>
      </c>
    </row>
    <row r="5957" spans="1:40" x14ac:dyDescent="0.25">
      <c r="A5957" t="str">
        <f>"20190305135351406"</f>
        <v>20190305135351406</v>
      </c>
      <c r="B5957" t="str">
        <f>"1551765231395983"</f>
        <v>1551765231395983</v>
      </c>
      <c r="C5957" t="s">
        <v>40</v>
      </c>
      <c r="D5957">
        <v>3.9979339999999999</v>
      </c>
      <c r="E5957">
        <v>0.53040779999999998</v>
      </c>
      <c r="F5957" t="s">
        <v>95</v>
      </c>
      <c r="G5957">
        <v>-234.63030000000001</v>
      </c>
      <c r="H5957" s="1">
        <v>-9.826342000000001E-7</v>
      </c>
      <c r="I5957">
        <v>-60.4178</v>
      </c>
      <c r="J5957">
        <v>-262.40800000000002</v>
      </c>
      <c r="K5957">
        <v>1.108579</v>
      </c>
      <c r="L5957">
        <v>-61.550780000000003</v>
      </c>
      <c r="M5957">
        <v>0.99991240000000003</v>
      </c>
      <c r="N5957">
        <v>-7.37916099999999E-3</v>
      </c>
      <c r="O5957">
        <v>-1.100285E-2</v>
      </c>
      <c r="P5957">
        <v>0.99196609999999996</v>
      </c>
      <c r="Q5957">
        <v>-3.3523650000000002E-2</v>
      </c>
      <c r="R5957">
        <v>0.1219821</v>
      </c>
      <c r="S5957">
        <v>3.0051269999999999</v>
      </c>
      <c r="T5957">
        <v>-0.1193496</v>
      </c>
      <c r="U5957">
        <v>0.12179570000000001</v>
      </c>
      <c r="V5957">
        <v>-0.1328985</v>
      </c>
      <c r="W5957">
        <v>-2.6168650000000002E-2</v>
      </c>
      <c r="X5957">
        <v>0.99078409999999995</v>
      </c>
      <c r="Y5957">
        <v>-5.1433939999999997E-2</v>
      </c>
      <c r="Z5957">
        <v>1.5659929999999999E-3</v>
      </c>
      <c r="AA5957">
        <v>0.99867519999999999</v>
      </c>
      <c r="AB5957">
        <v>27</v>
      </c>
      <c r="AC5957">
        <v>27.777699999999999</v>
      </c>
      <c r="AD5957">
        <v>-1.1085799826342</v>
      </c>
      <c r="AE5957">
        <v>1.1329800000000001</v>
      </c>
      <c r="AF5957">
        <v>-1.4362697649798499</v>
      </c>
      <c r="AG5957">
        <v>-1.1085799826342</v>
      </c>
      <c r="AH5957">
        <v>27.719475842184298</v>
      </c>
      <c r="AI5957">
        <v>92.287134407590202</v>
      </c>
      <c r="AJ5957">
        <v>92.966097566238702</v>
      </c>
      <c r="AK5957">
        <v>27.778789775314699</v>
      </c>
      <c r="AL5957">
        <v>91.499524422277702</v>
      </c>
      <c r="AM5957">
        <v>97.639749952445399</v>
      </c>
      <c r="AN5957">
        <v>0.99999997117894002</v>
      </c>
    </row>
    <row r="5958" spans="1:40" x14ac:dyDescent="0.25">
      <c r="A5958" t="str">
        <f>"20190305135351417"</f>
        <v>20190305135351417</v>
      </c>
      <c r="B5958" t="str">
        <f>"1551765231405743"</f>
        <v>1551765231405743</v>
      </c>
      <c r="C5958" t="s">
        <v>40</v>
      </c>
      <c r="D5958">
        <v>4.0169870000000003</v>
      </c>
      <c r="E5958">
        <v>0.53034320000000001</v>
      </c>
      <c r="F5958" t="s">
        <v>95</v>
      </c>
      <c r="G5958">
        <v>-234.67179999999999</v>
      </c>
      <c r="H5958" s="1">
        <v>-9.9689329999999998E-7</v>
      </c>
      <c r="I5958">
        <v>-60.4045699999999</v>
      </c>
      <c r="J5958">
        <v>-262.27749999999997</v>
      </c>
      <c r="K5958">
        <v>1.1085449999999999</v>
      </c>
      <c r="L5958">
        <v>-61.552309999999999</v>
      </c>
      <c r="M5958">
        <v>0.99991099999999999</v>
      </c>
      <c r="N5958">
        <v>-7.3781819999999996E-3</v>
      </c>
      <c r="O5958">
        <v>-1.113572E-2</v>
      </c>
      <c r="P5958">
        <v>0.99184879999999997</v>
      </c>
      <c r="Q5958">
        <v>-3.3694630000000003E-2</v>
      </c>
      <c r="R5958">
        <v>0.1228856</v>
      </c>
      <c r="S5958">
        <v>3.0049739999999998</v>
      </c>
      <c r="T5958">
        <v>-0.120105</v>
      </c>
      <c r="U5958">
        <v>0.12417599999999999</v>
      </c>
      <c r="V5958">
        <v>-0.13393440000000001</v>
      </c>
      <c r="W5958">
        <v>-2.6330360000000001E-2</v>
      </c>
      <c r="X5958">
        <v>0.99064030000000003</v>
      </c>
      <c r="Y5958">
        <v>-5.235687E-2</v>
      </c>
      <c r="Z5958">
        <v>1.601416E-3</v>
      </c>
      <c r="AA5958">
        <v>0.99862709999999999</v>
      </c>
      <c r="AB5958">
        <v>27</v>
      </c>
      <c r="AC5958">
        <v>27.605699999999899</v>
      </c>
      <c r="AD5958">
        <v>-1.1085459968933</v>
      </c>
      <c r="AE5958">
        <v>1.14774</v>
      </c>
      <c r="AF5958">
        <v>-1.4527479072138501</v>
      </c>
      <c r="AG5958">
        <v>-1.1085459968933</v>
      </c>
      <c r="AH5958">
        <v>27.5468632789533</v>
      </c>
      <c r="AI5958">
        <v>92.301269472459296</v>
      </c>
      <c r="AJ5958">
        <v>93.018829589510204</v>
      </c>
      <c r="AK5958">
        <v>27.607408918956601</v>
      </c>
      <c r="AL5958">
        <v>91.508792937159001</v>
      </c>
      <c r="AM5958">
        <v>97.6996919481508</v>
      </c>
      <c r="AN5958">
        <v>0.99999995767258798</v>
      </c>
    </row>
    <row r="5959" spans="1:40" x14ac:dyDescent="0.25">
      <c r="A5959" t="str">
        <f>"20190305135351429"</f>
        <v>20190305135351429</v>
      </c>
      <c r="B5959" t="str">
        <f>"1551765231416479"</f>
        <v>1551765231416479</v>
      </c>
      <c r="C5959" t="s">
        <v>40</v>
      </c>
      <c r="D5959">
        <v>4.0064719999999996</v>
      </c>
      <c r="E5959">
        <v>0.53029349999999997</v>
      </c>
      <c r="F5959" t="s">
        <v>95</v>
      </c>
      <c r="G5959">
        <v>-234.84450000000001</v>
      </c>
      <c r="H5959" s="1">
        <v>-1.0668980000000001E-6</v>
      </c>
      <c r="I5959">
        <v>-60.389279999999999</v>
      </c>
      <c r="J5959">
        <v>-262.1395</v>
      </c>
      <c r="K5959">
        <v>1.1085039999999999</v>
      </c>
      <c r="L5959">
        <v>-61.553959999999996</v>
      </c>
      <c r="M5959">
        <v>0.9999091</v>
      </c>
      <c r="N5959">
        <v>-7.3774579999999999E-3</v>
      </c>
      <c r="O5959">
        <v>-1.1289840000000001E-2</v>
      </c>
      <c r="P5959">
        <v>0.99174329999999999</v>
      </c>
      <c r="Q5959">
        <v>-3.3684369999999998E-2</v>
      </c>
      <c r="R5959">
        <v>0.1237355</v>
      </c>
      <c r="S5959">
        <v>3.0047609999999998</v>
      </c>
      <c r="T5959">
        <v>-0.121419899999999</v>
      </c>
      <c r="U5959">
        <v>0.12738039999999901</v>
      </c>
      <c r="V5959">
        <v>-0.13493769999999999</v>
      </c>
      <c r="W5959">
        <v>-2.6309510000000001E-2</v>
      </c>
      <c r="X5959">
        <v>0.99050470000000002</v>
      </c>
      <c r="Y5959">
        <v>-5.357435E-2</v>
      </c>
      <c r="Z5959">
        <v>1.651949E-3</v>
      </c>
      <c r="AA5959">
        <v>0.99856250000000002</v>
      </c>
      <c r="AB5959">
        <v>27</v>
      </c>
      <c r="AC5959">
        <v>27.294999999999899</v>
      </c>
      <c r="AD5959">
        <v>-1.1085050668979901</v>
      </c>
      <c r="AE5959">
        <v>1.1646799999999899</v>
      </c>
      <c r="AF5959">
        <v>-1.47034962936086</v>
      </c>
      <c r="AG5959">
        <v>-1.1085050668979901</v>
      </c>
      <c r="AH5959">
        <v>27.235272445659401</v>
      </c>
      <c r="AI5959">
        <v>92.327328401747195</v>
      </c>
      <c r="AJ5959">
        <v>93.090225175234906</v>
      </c>
      <c r="AK5959">
        <v>27.297450003712701</v>
      </c>
      <c r="AL5959">
        <v>91.507597892106702</v>
      </c>
      <c r="AM5959">
        <v>97.757719552575097</v>
      </c>
      <c r="AN5959">
        <v>0.999999966959909</v>
      </c>
    </row>
    <row r="5960" spans="1:40" x14ac:dyDescent="0.25">
      <c r="A5960" t="str">
        <f>"20190305135351439"</f>
        <v>20190305135351439</v>
      </c>
      <c r="B5960" t="str">
        <f>"1551765231435999"</f>
        <v>1551765231435999</v>
      </c>
      <c r="C5960" t="s">
        <v>40</v>
      </c>
      <c r="D5960">
        <v>4.0286299999999997</v>
      </c>
      <c r="E5960">
        <v>0.53018310000000002</v>
      </c>
      <c r="F5960" t="s">
        <v>95</v>
      </c>
      <c r="G5960">
        <v>-234.81809999999999</v>
      </c>
      <c r="H5960" s="1">
        <v>-1.0566599999999999E-6</v>
      </c>
      <c r="I5960">
        <v>-60.369239999999998</v>
      </c>
      <c r="J5960">
        <v>-262.00580000000002</v>
      </c>
      <c r="K5960">
        <v>1.10846</v>
      </c>
      <c r="L5960">
        <v>-61.555599999999998</v>
      </c>
      <c r="M5960">
        <v>0.99990699999999999</v>
      </c>
      <c r="N5960">
        <v>-7.3774039999999997E-3</v>
      </c>
      <c r="O5960">
        <v>-1.1467089999999999E-2</v>
      </c>
      <c r="P5960">
        <v>0.991672</v>
      </c>
      <c r="Q5960">
        <v>-3.3307730000000001E-2</v>
      </c>
      <c r="R5960">
        <v>0.1244069</v>
      </c>
      <c r="S5960">
        <v>3.0046080000000002</v>
      </c>
      <c r="T5960">
        <v>-0.121905399999999</v>
      </c>
      <c r="U5960">
        <v>0.13027949999999999</v>
      </c>
      <c r="V5960">
        <v>-0.13578589999999999</v>
      </c>
      <c r="W5960">
        <v>-2.5921219999999998E-2</v>
      </c>
      <c r="X5960">
        <v>0.99039909999999998</v>
      </c>
      <c r="Y5960">
        <v>-5.4713579999999998E-2</v>
      </c>
      <c r="Z5960">
        <v>1.691321E-3</v>
      </c>
      <c r="AA5960">
        <v>0.99850059999999996</v>
      </c>
      <c r="AB5960">
        <v>27</v>
      </c>
      <c r="AC5960">
        <v>27.1877</v>
      </c>
      <c r="AD5960">
        <v>-1.1084610566599999</v>
      </c>
      <c r="AE5960">
        <v>1.1863599999999901</v>
      </c>
      <c r="AF5960">
        <v>-1.4955730024226599</v>
      </c>
      <c r="AG5960">
        <v>-1.1084610566599999</v>
      </c>
      <c r="AH5960">
        <v>27.127301246251999</v>
      </c>
      <c r="AI5960">
        <v>92.336343323526805</v>
      </c>
      <c r="AJ5960">
        <v>93.155616548394903</v>
      </c>
      <c r="AK5960">
        <v>27.1910995994022</v>
      </c>
      <c r="AL5960">
        <v>91.485342801065599</v>
      </c>
      <c r="AM5960">
        <v>97.806706225753899</v>
      </c>
      <c r="AN5960">
        <v>1.0000000487829499</v>
      </c>
    </row>
    <row r="5961" spans="1:40" x14ac:dyDescent="0.25">
      <c r="A5961" t="str">
        <f>"20190305135351453"</f>
        <v>20190305135351453</v>
      </c>
      <c r="B5961" t="str">
        <f>"1551765231445759"</f>
        <v>1551765231445759</v>
      </c>
      <c r="C5961" t="s">
        <v>40</v>
      </c>
      <c r="D5961">
        <v>4.0581699999999996</v>
      </c>
      <c r="E5961">
        <v>0.53015219999999996</v>
      </c>
      <c r="F5961" t="s">
        <v>95</v>
      </c>
      <c r="G5961">
        <v>-234.8792</v>
      </c>
      <c r="H5961" s="1">
        <v>-1.0855889999999999E-6</v>
      </c>
      <c r="I5961">
        <v>-60.353900000000003</v>
      </c>
      <c r="J5961">
        <v>-261.84480000000002</v>
      </c>
      <c r="K5961">
        <v>1.1084130000000001</v>
      </c>
      <c r="L5961">
        <v>-61.557679999999998</v>
      </c>
      <c r="M5961">
        <v>0.99990429999999997</v>
      </c>
      <c r="N5961">
        <v>-7.377855E-3</v>
      </c>
      <c r="O5961">
        <v>-1.171405E-2</v>
      </c>
      <c r="P5961">
        <v>0.99164640000000004</v>
      </c>
      <c r="Q5961">
        <v>-3.2967910000000003E-2</v>
      </c>
      <c r="R5961">
        <v>0.1247019</v>
      </c>
      <c r="S5961">
        <v>3.0043950000000001</v>
      </c>
      <c r="T5961">
        <v>-0.1227671</v>
      </c>
      <c r="U5961">
        <v>0.13308719999999999</v>
      </c>
      <c r="V5961">
        <v>-0.136327799999999</v>
      </c>
      <c r="W5961">
        <v>-2.5566419999999999E-2</v>
      </c>
      <c r="X5961">
        <v>0.99033380000000004</v>
      </c>
      <c r="Y5961">
        <v>-5.5892419999999998E-2</v>
      </c>
      <c r="Z5961">
        <v>1.7392099999999999E-3</v>
      </c>
      <c r="AA5961">
        <v>0.99843530000000003</v>
      </c>
      <c r="AB5961">
        <v>27</v>
      </c>
      <c r="AC5961">
        <v>26.965599999999998</v>
      </c>
      <c r="AD5961">
        <v>-1.1084140855889999</v>
      </c>
      <c r="AE5961">
        <v>1.2037800000000001</v>
      </c>
      <c r="AF5961">
        <v>-1.51702427844628</v>
      </c>
      <c r="AG5961">
        <v>-1.1084140855889999</v>
      </c>
      <c r="AH5961">
        <v>26.904281156023401</v>
      </c>
      <c r="AI5961">
        <v>92.355424699368797</v>
      </c>
      <c r="AJ5961">
        <v>93.227261384878702</v>
      </c>
      <c r="AK5961">
        <v>26.969803280129501</v>
      </c>
      <c r="AL5961">
        <v>91.465007630539304</v>
      </c>
      <c r="AM5961">
        <v>97.837985477651301</v>
      </c>
      <c r="AN5961">
        <v>0.99999997315344702</v>
      </c>
    </row>
    <row r="5962" spans="1:40" x14ac:dyDescent="0.25">
      <c r="A5962" t="str">
        <f>"20190305135351466"</f>
        <v>20190305135351466</v>
      </c>
      <c r="B5962" t="str">
        <f>"1551765231456496"</f>
        <v>1551765231456496</v>
      </c>
      <c r="C5962" t="s">
        <v>40</v>
      </c>
      <c r="D5962">
        <v>4.0591359999999996</v>
      </c>
      <c r="E5962">
        <v>0.53015219999999996</v>
      </c>
      <c r="F5962" t="s">
        <v>95</v>
      </c>
      <c r="G5962">
        <v>-234.76179999999999</v>
      </c>
      <c r="H5962" s="1">
        <v>-1.0362619999999999E-6</v>
      </c>
      <c r="I5962">
        <v>-60.347969999999997</v>
      </c>
      <c r="J5962">
        <v>-261.70139999999998</v>
      </c>
      <c r="K5962">
        <v>1.108371</v>
      </c>
      <c r="L5962">
        <v>-61.559539999999998</v>
      </c>
      <c r="M5962">
        <v>0.99990140000000005</v>
      </c>
      <c r="N5962">
        <v>-7.378506E-3</v>
      </c>
      <c r="O5962">
        <v>-1.1952859999999999E-2</v>
      </c>
      <c r="P5962">
        <v>0.99161200000000005</v>
      </c>
      <c r="Q5962">
        <v>-3.2526239999999998E-2</v>
      </c>
      <c r="R5962">
        <v>0.12509100000000001</v>
      </c>
      <c r="S5962">
        <v>3.0043030000000002</v>
      </c>
      <c r="T5962">
        <v>-0.1229558</v>
      </c>
      <c r="U5962">
        <v>0.13418579999999999</v>
      </c>
      <c r="V5962">
        <v>-0.1369551</v>
      </c>
      <c r="W5962">
        <v>-2.5111029999999999E-2</v>
      </c>
      <c r="X5962">
        <v>0.99025890000000005</v>
      </c>
      <c r="Y5962">
        <v>-5.6495700000000003E-2</v>
      </c>
      <c r="Z5962">
        <v>1.76431299999999E-3</v>
      </c>
      <c r="AA5962">
        <v>0.99840130000000005</v>
      </c>
      <c r="AB5962">
        <v>27</v>
      </c>
      <c r="AC5962">
        <v>26.939599999999899</v>
      </c>
      <c r="AD5962">
        <v>-1.108372036262</v>
      </c>
      <c r="AE5962">
        <v>1.21157</v>
      </c>
      <c r="AF5962">
        <v>-1.5309112610184199</v>
      </c>
      <c r="AG5962">
        <v>-1.108372036262</v>
      </c>
      <c r="AH5962">
        <v>26.8777881441628</v>
      </c>
      <c r="AI5962">
        <v>92.357578313807096</v>
      </c>
      <c r="AJ5962">
        <v>93.259943932274993</v>
      </c>
      <c r="AK5962">
        <v>26.944158427799799</v>
      </c>
      <c r="AL5962">
        <v>91.438907320077703</v>
      </c>
      <c r="AM5962">
        <v>97.874187995487006</v>
      </c>
      <c r="AN5962">
        <v>0.99999997613643998</v>
      </c>
    </row>
    <row r="5963" spans="1:40" x14ac:dyDescent="0.25">
      <c r="A5963" t="str">
        <f>"20190305135351477"</f>
        <v>20190305135351477</v>
      </c>
      <c r="B5963" t="str">
        <f>"1551765231466256"</f>
        <v>1551765231466256</v>
      </c>
      <c r="C5963" t="s">
        <v>40</v>
      </c>
      <c r="D5963">
        <v>4.0796890000000001</v>
      </c>
      <c r="E5963">
        <v>0.52925909999999998</v>
      </c>
      <c r="F5963" t="s">
        <v>95</v>
      </c>
      <c r="G5963">
        <v>-234.32849999999999</v>
      </c>
      <c r="H5963" s="1">
        <v>-8.5423769999999902E-7</v>
      </c>
      <c r="I5963">
        <v>-60.326300000000003</v>
      </c>
      <c r="J5963">
        <v>-261.55009999999999</v>
      </c>
      <c r="K5963">
        <v>1.108333</v>
      </c>
      <c r="L5963">
        <v>-61.561680000000003</v>
      </c>
      <c r="M5963">
        <v>0.9998977</v>
      </c>
      <c r="N5963">
        <v>-7.3771869999999899E-3</v>
      </c>
      <c r="O5963">
        <v>-1.225713E-2</v>
      </c>
      <c r="P5963">
        <v>0.99161410000000005</v>
      </c>
      <c r="Q5963">
        <v>-3.2215769999999998E-2</v>
      </c>
      <c r="R5963">
        <v>0.12515560000000001</v>
      </c>
      <c r="S5963">
        <v>3.0042719999999998</v>
      </c>
      <c r="T5963">
        <v>-0.121647699999999</v>
      </c>
      <c r="U5963">
        <v>0.13534549999999901</v>
      </c>
      <c r="V5963">
        <v>-0.1373231</v>
      </c>
      <c r="W5963">
        <v>-2.4788190000000002E-2</v>
      </c>
      <c r="X5963">
        <v>0.99021610000000004</v>
      </c>
      <c r="Y5963">
        <v>-5.7184989999999998E-2</v>
      </c>
      <c r="Z5963">
        <v>1.7733759999999999E-3</v>
      </c>
      <c r="AA5963">
        <v>0.99836199999999997</v>
      </c>
      <c r="AB5963">
        <v>27</v>
      </c>
      <c r="AC5963">
        <v>27.221599999999899</v>
      </c>
      <c r="AD5963">
        <v>-1.1083338542376999</v>
      </c>
      <c r="AE5963">
        <v>1.2353799999999899</v>
      </c>
      <c r="AF5963">
        <v>-1.5663636775533101</v>
      </c>
      <c r="AG5963">
        <v>-1.1083338542376999</v>
      </c>
      <c r="AH5963">
        <v>27.159481776736001</v>
      </c>
      <c r="AI5963">
        <v>92.332977647244107</v>
      </c>
      <c r="AJ5963">
        <v>93.300752338992098</v>
      </c>
      <c r="AK5963">
        <v>27.227180343981001</v>
      </c>
      <c r="AL5963">
        <v>91.420404147223493</v>
      </c>
      <c r="AM5963">
        <v>97.895416517976898</v>
      </c>
      <c r="AN5963">
        <v>1.00000000642814</v>
      </c>
    </row>
    <row r="5964" spans="1:40" x14ac:dyDescent="0.25">
      <c r="A5964" t="str">
        <f>"20190305135351488"</f>
        <v>20190305135351488</v>
      </c>
      <c r="B5964" t="str">
        <f>"1551765231485775"</f>
        <v>1551765231485775</v>
      </c>
      <c r="C5964" t="s">
        <v>40</v>
      </c>
      <c r="D5964">
        <v>4.197921</v>
      </c>
      <c r="E5964">
        <v>0.52910690000000005</v>
      </c>
      <c r="F5964" t="s">
        <v>96</v>
      </c>
      <c r="G5964">
        <v>-241.8826</v>
      </c>
      <c r="H5964" s="1">
        <v>1.3636909999999999E-7</v>
      </c>
      <c r="I5964">
        <v>-60.6423699999999</v>
      </c>
      <c r="J5964">
        <v>-261.41879999999998</v>
      </c>
      <c r="K5964">
        <v>1.108295</v>
      </c>
      <c r="L5964">
        <v>-61.563510000000001</v>
      </c>
      <c r="M5964">
        <v>0.99989439999999996</v>
      </c>
      <c r="N5964">
        <v>-7.3747889999999997E-3</v>
      </c>
      <c r="O5964">
        <v>-1.253486E-2</v>
      </c>
      <c r="P5964">
        <v>0.99163670000000004</v>
      </c>
      <c r="Q5964">
        <v>-3.2061140000000002E-2</v>
      </c>
      <c r="R5964">
        <v>0.12501509999999999</v>
      </c>
      <c r="S5964">
        <v>3.002167</v>
      </c>
      <c r="T5964">
        <v>-0.1691831</v>
      </c>
      <c r="U5964">
        <v>0.14031979999999999</v>
      </c>
      <c r="V5964">
        <v>-0.13745959999999999</v>
      </c>
      <c r="W5964">
        <v>-2.462431E-2</v>
      </c>
      <c r="X5964">
        <v>0.9902012</v>
      </c>
      <c r="Y5964">
        <v>-5.9085600000000002E-2</v>
      </c>
      <c r="Z5964">
        <v>2.4939649999999999E-3</v>
      </c>
      <c r="AA5964">
        <v>0.99824979999999996</v>
      </c>
      <c r="AB5964">
        <v>27</v>
      </c>
      <c r="AC5964">
        <v>19.536199999999901</v>
      </c>
      <c r="AD5964">
        <v>-1.1082948636309</v>
      </c>
      <c r="AE5964">
        <v>0.92114000000000795</v>
      </c>
      <c r="AF5964">
        <v>-1.1622256518457399</v>
      </c>
      <c r="AG5964">
        <v>-1.1082948636309</v>
      </c>
      <c r="AH5964">
        <v>19.460626621094299</v>
      </c>
      <c r="AI5964">
        <v>93.253724717743793</v>
      </c>
      <c r="AJ5964">
        <v>93.417753459974804</v>
      </c>
      <c r="AK5964">
        <v>19.5267783942002</v>
      </c>
      <c r="AL5964">
        <v>91.411011717128005</v>
      </c>
      <c r="AM5964">
        <v>97.903282908937598</v>
      </c>
      <c r="AN5964">
        <v>0.99999995737828695</v>
      </c>
    </row>
    <row r="5965" spans="1:40" x14ac:dyDescent="0.25">
      <c r="A5965" t="str">
        <f>"20190305135351498"</f>
        <v>20190305135351498</v>
      </c>
      <c r="B5965" t="str">
        <f>"1551765231495536"</f>
        <v>1551765231495536</v>
      </c>
      <c r="C5965" t="s">
        <v>40</v>
      </c>
      <c r="D5965">
        <v>4.2942339999999897</v>
      </c>
      <c r="E5965">
        <v>0.55451569999999994</v>
      </c>
      <c r="F5965" t="s">
        <v>96</v>
      </c>
      <c r="G5965">
        <v>-241.23269999999999</v>
      </c>
      <c r="H5965" s="1">
        <v>4.2282150000000001E-7</v>
      </c>
      <c r="I5965">
        <v>-60.613610000000001</v>
      </c>
      <c r="J5965">
        <v>-261.2937</v>
      </c>
      <c r="K5965">
        <v>1.1082620000000001</v>
      </c>
      <c r="L5965">
        <v>-61.565370000000001</v>
      </c>
      <c r="M5965">
        <v>0.99989059999999996</v>
      </c>
      <c r="N5965">
        <v>-7.3700469999999898E-3</v>
      </c>
      <c r="O5965">
        <v>-1.2826270000000001E-2</v>
      </c>
      <c r="P5965">
        <v>0.99164010000000002</v>
      </c>
      <c r="Q5965">
        <v>-3.2339329999999999E-2</v>
      </c>
      <c r="R5965">
        <v>0.1249156</v>
      </c>
      <c r="S5965">
        <v>3.0021969999999998</v>
      </c>
      <c r="T5965">
        <v>-0.1648328</v>
      </c>
      <c r="U5965">
        <v>0.1412659</v>
      </c>
      <c r="V5965">
        <v>-0.13765089999999999</v>
      </c>
      <c r="W5965">
        <v>-2.489676E-2</v>
      </c>
      <c r="X5965">
        <v>0.99016789999999999</v>
      </c>
      <c r="Y5965">
        <v>-5.9694480000000001E-2</v>
      </c>
      <c r="Z5965">
        <v>2.4658079999999999E-3</v>
      </c>
      <c r="AA5965">
        <v>0.99821360000000003</v>
      </c>
      <c r="AB5965">
        <v>27</v>
      </c>
      <c r="AC5965">
        <v>20.061</v>
      </c>
      <c r="AD5965">
        <v>-1.1082615771785</v>
      </c>
      <c r="AE5965">
        <v>0.95176000000000005</v>
      </c>
      <c r="AF5965">
        <v>-1.2053261389699701</v>
      </c>
      <c r="AG5965">
        <v>-1.1082615771785</v>
      </c>
      <c r="AH5965">
        <v>19.9862814094238</v>
      </c>
      <c r="AI5965">
        <v>93.168120196247202</v>
      </c>
      <c r="AJ5965">
        <v>93.451195212256593</v>
      </c>
      <c r="AK5965">
        <v>20.053241618287402</v>
      </c>
      <c r="AL5965">
        <v>91.426626615964295</v>
      </c>
      <c r="AM5965">
        <v>97.914405275191598</v>
      </c>
      <c r="AN5965">
        <v>1.00000004455985</v>
      </c>
    </row>
    <row r="5966" spans="1:40" x14ac:dyDescent="0.25">
      <c r="A5966" t="str">
        <f>"20190305135351508"</f>
        <v>20190305135351508</v>
      </c>
      <c r="B5966" t="str">
        <f>"1551765231506271"</f>
        <v>1551765231506271</v>
      </c>
      <c r="C5966" t="s">
        <v>40</v>
      </c>
      <c r="D5966">
        <v>4.2856860000000001</v>
      </c>
      <c r="E5966">
        <v>0.56393519999999997</v>
      </c>
      <c r="F5966" t="s">
        <v>96</v>
      </c>
      <c r="G5966">
        <v>-243.7011</v>
      </c>
      <c r="H5966" s="1">
        <v>-9.8440679999999994E-7</v>
      </c>
      <c r="I5966">
        <v>-61.922730000000001</v>
      </c>
      <c r="J5966">
        <v>-261.18049999999999</v>
      </c>
      <c r="K5966">
        <v>1.108231</v>
      </c>
      <c r="L5966">
        <v>-61.567050000000002</v>
      </c>
      <c r="M5966">
        <v>0.99988719999999998</v>
      </c>
      <c r="N5966">
        <v>-7.3644349999999999E-3</v>
      </c>
      <c r="O5966">
        <v>-1.310178E-2</v>
      </c>
      <c r="P5966">
        <v>0.99164719999999995</v>
      </c>
      <c r="Q5966">
        <v>-3.2805260000000003E-2</v>
      </c>
      <c r="R5966">
        <v>0.12473860000000001</v>
      </c>
      <c r="S5966">
        <v>3.0267940000000002</v>
      </c>
      <c r="T5966">
        <v>-0.1906756</v>
      </c>
      <c r="U5966">
        <v>-6.149292E-2</v>
      </c>
      <c r="V5966">
        <v>-0.13774939999999999</v>
      </c>
      <c r="W5966">
        <v>-2.5359079999999999E-2</v>
      </c>
      <c r="X5966">
        <v>0.99014239999999998</v>
      </c>
      <c r="Y5966">
        <v>7.2150909999999999E-3</v>
      </c>
      <c r="Z5966">
        <v>4.7439949999999998E-4</v>
      </c>
      <c r="AA5966">
        <v>0.99997380000000002</v>
      </c>
      <c r="AB5966">
        <v>27</v>
      </c>
      <c r="AC5966">
        <v>17.479399999999998</v>
      </c>
      <c r="AD5966">
        <v>-1.1082319844068</v>
      </c>
      <c r="AE5966">
        <v>-0.355679999999999</v>
      </c>
      <c r="AF5966">
        <v>0.12612524773566999</v>
      </c>
      <c r="AG5966">
        <v>-1.1082319844068</v>
      </c>
      <c r="AH5966">
        <v>17.412592999097399</v>
      </c>
      <c r="AI5966">
        <v>93.641607406060203</v>
      </c>
      <c r="AJ5966">
        <v>89.584994721406403</v>
      </c>
      <c r="AK5966">
        <v>17.448280163431399</v>
      </c>
      <c r="AL5966">
        <v>91.453124065847106</v>
      </c>
      <c r="AM5966">
        <v>97.920198192414205</v>
      </c>
      <c r="AN5966">
        <v>0.99999997620828196</v>
      </c>
    </row>
    <row r="5967" spans="1:40" x14ac:dyDescent="0.25">
      <c r="A5967" t="str">
        <f>"20190305135351517"</f>
        <v>20190305135351517</v>
      </c>
      <c r="B5967" t="str">
        <f>"1551765231506271"</f>
        <v>1551765231506271</v>
      </c>
      <c r="C5967" t="s">
        <v>40</v>
      </c>
      <c r="D5967">
        <v>4.2856860000000001</v>
      </c>
      <c r="E5967">
        <v>0.56393519999999997</v>
      </c>
      <c r="F5967" t="s">
        <v>41</v>
      </c>
      <c r="G5967">
        <v>-260.24799999999999</v>
      </c>
      <c r="H5967">
        <v>1.040789</v>
      </c>
      <c r="I5967">
        <v>-61.609549999999999</v>
      </c>
      <c r="J5967">
        <v>-261.05869999999999</v>
      </c>
      <c r="K5967">
        <v>1.1081970000000001</v>
      </c>
      <c r="L5967">
        <v>-61.568939999999998</v>
      </c>
      <c r="M5967">
        <v>0.99988299999999997</v>
      </c>
      <c r="N5967">
        <v>-7.355678E-3</v>
      </c>
      <c r="O5967">
        <v>-1.342104E-2</v>
      </c>
      <c r="P5967">
        <v>0.9916663</v>
      </c>
      <c r="Q5967">
        <v>-3.3300280000000002E-2</v>
      </c>
      <c r="R5967">
        <v>0.12445730000000001</v>
      </c>
      <c r="S5967">
        <v>3.035339</v>
      </c>
      <c r="T5967">
        <v>-0.21948809999999999</v>
      </c>
      <c r="U5967">
        <v>-0.13797000000000001</v>
      </c>
      <c r="V5967">
        <v>-0.13778679999999999</v>
      </c>
      <c r="W5967">
        <v>-2.585345E-2</v>
      </c>
      <c r="X5967">
        <v>0.99012440000000002</v>
      </c>
      <c r="Y5967">
        <v>3.1932540000000002E-2</v>
      </c>
      <c r="Z5967">
        <v>-4.0004819999999998E-4</v>
      </c>
      <c r="AA5967">
        <v>0.99948999999999999</v>
      </c>
      <c r="AB5967">
        <v>27</v>
      </c>
      <c r="AC5967">
        <v>0.81069999999999698</v>
      </c>
      <c r="AD5967">
        <v>-6.7407999999999899E-2</v>
      </c>
      <c r="AE5967">
        <v>-4.0609999999993797E-2</v>
      </c>
      <c r="AF5967">
        <v>2.9522020282715E-2</v>
      </c>
      <c r="AG5967">
        <v>-6.7407999999999899E-2</v>
      </c>
      <c r="AH5967">
        <v>0.80561627656983004</v>
      </c>
      <c r="AI5967">
        <v>94.779751689798005</v>
      </c>
      <c r="AJ5967">
        <v>87.901320180047804</v>
      </c>
      <c r="AK5967">
        <v>0.80897031664938801</v>
      </c>
      <c r="AL5967">
        <v>91.4814586882394</v>
      </c>
      <c r="AM5967">
        <v>97.922463480934397</v>
      </c>
      <c r="AN5967">
        <v>0.99999996530324997</v>
      </c>
    </row>
    <row r="5968" spans="1:40" x14ac:dyDescent="0.25">
      <c r="A5968" t="str">
        <f>"20190305135351530"</f>
        <v>20190305135351530</v>
      </c>
      <c r="B5968" t="str">
        <f>"1551765231525792"</f>
        <v>1551765231525792</v>
      </c>
      <c r="C5968" t="s">
        <v>40</v>
      </c>
      <c r="D5968">
        <v>4.2237159999999996</v>
      </c>
      <c r="E5968">
        <v>0.57748379999999999</v>
      </c>
      <c r="F5968" t="s">
        <v>41</v>
      </c>
      <c r="G5968">
        <v>-260.24169999999998</v>
      </c>
      <c r="H5968">
        <v>1.048794</v>
      </c>
      <c r="I5968">
        <v>-61.606450000000002</v>
      </c>
      <c r="J5968">
        <v>-260.91989999999998</v>
      </c>
      <c r="K5968">
        <v>1.108161</v>
      </c>
      <c r="L5968">
        <v>-61.571170000000002</v>
      </c>
      <c r="M5968">
        <v>0.99987800000000004</v>
      </c>
      <c r="N5968">
        <v>-7.3410619999999998E-3</v>
      </c>
      <c r="O5968">
        <v>-1.3798940000000001E-2</v>
      </c>
      <c r="P5968">
        <v>0.9917359</v>
      </c>
      <c r="Q5968">
        <v>-3.3372680000000002E-2</v>
      </c>
      <c r="R5968">
        <v>0.1238799</v>
      </c>
      <c r="S5968">
        <v>3.0352169999999998</v>
      </c>
      <c r="T5968">
        <v>-0.220634</v>
      </c>
      <c r="U5968">
        <v>-0.13891600000000001</v>
      </c>
      <c r="V5968">
        <v>-0.13758589999999901</v>
      </c>
      <c r="W5968">
        <v>-2.5930149999999999E-2</v>
      </c>
      <c r="X5968">
        <v>0.99015039999999999</v>
      </c>
      <c r="Y5968">
        <v>3.1867920000000001E-2</v>
      </c>
      <c r="Z5968">
        <v>-3.73357E-4</v>
      </c>
      <c r="AA5968">
        <v>0.99949200000000005</v>
      </c>
      <c r="AB5968">
        <v>27</v>
      </c>
      <c r="AC5968">
        <v>0.67820000000000302</v>
      </c>
      <c r="AD5968">
        <v>-5.9366999999999899E-2</v>
      </c>
      <c r="AE5968">
        <v>-3.5280000000007299E-2</v>
      </c>
      <c r="AF5968">
        <v>2.5721388893918899E-2</v>
      </c>
      <c r="AG5968">
        <v>-5.9366999999999899E-2</v>
      </c>
      <c r="AH5968">
        <v>0.67347563569990998</v>
      </c>
      <c r="AI5968">
        <v>95.033961025945402</v>
      </c>
      <c r="AJ5968">
        <v>87.812821972274506</v>
      </c>
      <c r="AK5968">
        <v>0.67657627982144797</v>
      </c>
      <c r="AL5968">
        <v>91.485854646970395</v>
      </c>
      <c r="AM5968">
        <v>97.910853391119602</v>
      </c>
      <c r="AN5968">
        <v>1.00000003358899</v>
      </c>
    </row>
    <row r="5969" spans="1:40" x14ac:dyDescent="0.25">
      <c r="A5969" t="str">
        <f>"20190305135351540"</f>
        <v>20190305135351540</v>
      </c>
      <c r="B5969" t="str">
        <f>"1551765231535551"</f>
        <v>1551765231535551</v>
      </c>
      <c r="C5969" t="s">
        <v>40</v>
      </c>
      <c r="D5969">
        <v>4.2603030000000004</v>
      </c>
      <c r="E5969">
        <v>0.58078649999999998</v>
      </c>
      <c r="F5969" t="s">
        <v>41</v>
      </c>
      <c r="G5969">
        <v>-260.0034</v>
      </c>
      <c r="H5969">
        <v>1.0435909999999999</v>
      </c>
      <c r="I5969">
        <v>-61.646000000000001</v>
      </c>
      <c r="J5969">
        <v>-260.78379999999999</v>
      </c>
      <c r="K5969">
        <v>1.108125</v>
      </c>
      <c r="L5969">
        <v>-61.573390000000003</v>
      </c>
      <c r="M5969">
        <v>0.9998726</v>
      </c>
      <c r="N5969">
        <v>-7.320025E-3</v>
      </c>
      <c r="O5969">
        <v>-1.418907E-2</v>
      </c>
      <c r="P5969">
        <v>0.99181870000000005</v>
      </c>
      <c r="Q5969">
        <v>-3.3230170000000003E-2</v>
      </c>
      <c r="R5969">
        <v>0.1232543</v>
      </c>
      <c r="S5969">
        <v>3.048737</v>
      </c>
      <c r="T5969">
        <v>-0.21463080000000001</v>
      </c>
      <c r="U5969">
        <v>-0.2477722</v>
      </c>
      <c r="V5969">
        <v>-0.13735029999999901</v>
      </c>
      <c r="W5969">
        <v>-2.5799240000000001E-2</v>
      </c>
      <c r="X5969">
        <v>0.99018649999999997</v>
      </c>
      <c r="Y5969">
        <v>6.669928E-2</v>
      </c>
      <c r="Z5969">
        <v>-1.693649E-3</v>
      </c>
      <c r="AA5969">
        <v>0.99777170000000004</v>
      </c>
      <c r="AB5969">
        <v>27</v>
      </c>
      <c r="AC5969">
        <v>0.78039999999998599</v>
      </c>
      <c r="AD5969">
        <v>-6.4533999999999994E-2</v>
      </c>
      <c r="AE5969">
        <v>-7.2609999999997399E-2</v>
      </c>
      <c r="AF5969">
        <v>6.1114913733814398E-2</v>
      </c>
      <c r="AG5969">
        <v>-6.4533999999999994E-2</v>
      </c>
      <c r="AH5969">
        <v>0.77609020652236405</v>
      </c>
      <c r="AI5969">
        <v>94.738760688118404</v>
      </c>
      <c r="AJ5969">
        <v>85.497410733496693</v>
      </c>
      <c r="AK5969">
        <v>0.78116302939694804</v>
      </c>
      <c r="AL5969">
        <v>91.478351588501397</v>
      </c>
      <c r="AM5969">
        <v>97.897193746771407</v>
      </c>
      <c r="AN5969">
        <v>1.0000000052384499</v>
      </c>
    </row>
    <row r="5970" spans="1:40" x14ac:dyDescent="0.25">
      <c r="A5970" t="str">
        <f>"20190305135351553"</f>
        <v>20190305135351553</v>
      </c>
      <c r="B5970" t="str">
        <f>"1551765231546287"</f>
        <v>1551765231546287</v>
      </c>
      <c r="C5970" t="s">
        <v>40</v>
      </c>
      <c r="D5970">
        <v>4.2281469999999999</v>
      </c>
      <c r="E5970">
        <v>0.58315779999999995</v>
      </c>
      <c r="F5970" t="s">
        <v>41</v>
      </c>
      <c r="G5970">
        <v>-259.99520000000001</v>
      </c>
      <c r="H5970">
        <v>1.054516</v>
      </c>
      <c r="I5970">
        <v>-61.644939999999998</v>
      </c>
      <c r="J5970">
        <v>-260.63819999999998</v>
      </c>
      <c r="K5970">
        <v>1.1080890000000001</v>
      </c>
      <c r="L5970">
        <v>-61.575899999999997</v>
      </c>
      <c r="M5970">
        <v>0.99986649999999999</v>
      </c>
      <c r="N5970">
        <v>-7.2860249999999998E-3</v>
      </c>
      <c r="O5970">
        <v>-1.4623239999999999E-2</v>
      </c>
      <c r="P5970">
        <v>0.99194570000000004</v>
      </c>
      <c r="Q5970">
        <v>-3.2732299999999999E-2</v>
      </c>
      <c r="R5970">
        <v>0.1223615</v>
      </c>
      <c r="S5970">
        <v>3.0520320000000001</v>
      </c>
      <c r="T5970">
        <v>-0.207289</v>
      </c>
      <c r="U5970">
        <v>-0.27557369999999998</v>
      </c>
      <c r="V5970">
        <v>-0.1368897</v>
      </c>
      <c r="W5970">
        <v>-2.5326390000000001E-2</v>
      </c>
      <c r="X5970">
        <v>0.99026250000000005</v>
      </c>
      <c r="Y5970">
        <v>7.5188320000000003E-2</v>
      </c>
      <c r="Z5970">
        <v>-1.936449E-3</v>
      </c>
      <c r="AA5970">
        <v>0.99716749999999998</v>
      </c>
      <c r="AB5970">
        <v>27</v>
      </c>
      <c r="AC5970">
        <v>0.64299999999997204</v>
      </c>
      <c r="AD5970">
        <v>-5.3572999999999801E-2</v>
      </c>
      <c r="AE5970">
        <v>-6.9040000000008206E-2</v>
      </c>
      <c r="AF5970">
        <v>5.9223196301924297E-2</v>
      </c>
      <c r="AG5970">
        <v>-5.3572999999999801E-2</v>
      </c>
      <c r="AH5970">
        <v>0.63955183891639</v>
      </c>
      <c r="AI5970">
        <v>94.767982215762501</v>
      </c>
      <c r="AJ5970">
        <v>84.709436165137404</v>
      </c>
      <c r="AK5970">
        <v>0.64451843105573903</v>
      </c>
      <c r="AL5970">
        <v>91.451250405142602</v>
      </c>
      <c r="AM5970">
        <v>97.870446724337697</v>
      </c>
      <c r="AN5970">
        <v>1.0000000174513799</v>
      </c>
    </row>
    <row r="5971" spans="1:40" x14ac:dyDescent="0.25">
      <c r="A5971" t="str">
        <f>"20190305135351562"</f>
        <v>20190305135351562</v>
      </c>
      <c r="B5971" t="str">
        <f>"1551765231556046"</f>
        <v>1551765231556046</v>
      </c>
      <c r="C5971" t="s">
        <v>40</v>
      </c>
      <c r="D5971">
        <v>4.2411620000000001</v>
      </c>
      <c r="E5971">
        <v>0.58513380000000004</v>
      </c>
      <c r="F5971" t="s">
        <v>41</v>
      </c>
      <c r="G5971">
        <v>-259.75450000000001</v>
      </c>
      <c r="H5971">
        <v>1.050379</v>
      </c>
      <c r="I5971">
        <v>-61.661969999999997</v>
      </c>
      <c r="J5971">
        <v>-260.5102</v>
      </c>
      <c r="K5971">
        <v>1.1080559999999999</v>
      </c>
      <c r="L5971">
        <v>-61.578090000000003</v>
      </c>
      <c r="M5971">
        <v>0.99986109999999995</v>
      </c>
      <c r="N5971">
        <v>-7.2504900000000001E-3</v>
      </c>
      <c r="O5971">
        <v>-1.501336E-2</v>
      </c>
      <c r="P5971">
        <v>0.99206050000000001</v>
      </c>
      <c r="Q5971">
        <v>-3.2313099999999997E-2</v>
      </c>
      <c r="R5971">
        <v>0.1215406</v>
      </c>
      <c r="S5971">
        <v>3.0543819999999999</v>
      </c>
      <c r="T5971">
        <v>-0.19936190000000001</v>
      </c>
      <c r="U5971">
        <v>-0.29675289999999999</v>
      </c>
      <c r="V5971">
        <v>-0.136458</v>
      </c>
      <c r="W5971">
        <v>-2.49354E-2</v>
      </c>
      <c r="X5971">
        <v>0.99033199999999999</v>
      </c>
      <c r="Y5971">
        <v>8.1580650000000005E-2</v>
      </c>
      <c r="Z5971">
        <v>-2.0822800000000002E-3</v>
      </c>
      <c r="AA5971">
        <v>0.99666460000000001</v>
      </c>
      <c r="AB5971">
        <v>27</v>
      </c>
      <c r="AC5971">
        <v>0.75569999999999005</v>
      </c>
      <c r="AD5971">
        <v>-5.7676999999999701E-2</v>
      </c>
      <c r="AE5971">
        <v>-8.3879999999993501E-2</v>
      </c>
      <c r="AF5971">
        <v>7.2109715167132396E-2</v>
      </c>
      <c r="AG5971">
        <v>-5.7676999999999701E-2</v>
      </c>
      <c r="AH5971">
        <v>0.75254385263671797</v>
      </c>
      <c r="AI5971">
        <v>94.362829957857002</v>
      </c>
      <c r="AJ5971">
        <v>84.526556124156599</v>
      </c>
      <c r="AK5971">
        <v>0.75818777192183695</v>
      </c>
      <c r="AL5971">
        <v>91.4288412544457</v>
      </c>
      <c r="AM5971">
        <v>97.8453920623177</v>
      </c>
      <c r="AN5971">
        <v>1.0000000150805699</v>
      </c>
    </row>
    <row r="5972" spans="1:40" x14ac:dyDescent="0.25">
      <c r="A5972" t="str">
        <f>"20190305135351574"</f>
        <v>20190305135351574</v>
      </c>
      <c r="B5972" t="str">
        <f>"1551765231565807"</f>
        <v>1551765231565807</v>
      </c>
      <c r="C5972" t="s">
        <v>40</v>
      </c>
      <c r="D5972">
        <v>4.2546309999999998</v>
      </c>
      <c r="E5972">
        <v>0.58667340000000001</v>
      </c>
      <c r="F5972" t="s">
        <v>41</v>
      </c>
      <c r="G5972">
        <v>-259.74040000000002</v>
      </c>
      <c r="H5972">
        <v>1.057175</v>
      </c>
      <c r="I5972">
        <v>-61.657670000000003</v>
      </c>
      <c r="J5972">
        <v>-260.3707</v>
      </c>
      <c r="K5972">
        <v>1.1080239999999999</v>
      </c>
      <c r="L5972">
        <v>-61.580629999999999</v>
      </c>
      <c r="M5972">
        <v>0.99985469999999999</v>
      </c>
      <c r="N5972">
        <v>-7.1909529999999999E-3</v>
      </c>
      <c r="O5972">
        <v>-1.5452219999999999E-2</v>
      </c>
      <c r="P5972">
        <v>0.99221009999999998</v>
      </c>
      <c r="Q5972">
        <v>-3.2122440000000002E-2</v>
      </c>
      <c r="R5972">
        <v>0.120363</v>
      </c>
      <c r="S5972">
        <v>3.0560299999999998</v>
      </c>
      <c r="T5972">
        <v>-0.20191039999999999</v>
      </c>
      <c r="U5972">
        <v>-0.31509399999999999</v>
      </c>
      <c r="V5972">
        <v>-0.13571800000000001</v>
      </c>
      <c r="W5972">
        <v>-2.4798110000000002E-2</v>
      </c>
      <c r="X5972">
        <v>0.99043720000000002</v>
      </c>
      <c r="Y5972">
        <v>8.6996760000000006E-2</v>
      </c>
      <c r="Z5972">
        <v>-2.271075E-3</v>
      </c>
      <c r="AA5972">
        <v>0.99620600000000004</v>
      </c>
      <c r="AB5972">
        <v>27</v>
      </c>
      <c r="AC5972">
        <v>0.63029999999997699</v>
      </c>
      <c r="AD5972">
        <v>-5.0848999999999901E-2</v>
      </c>
      <c r="AE5972">
        <v>-7.7039999999989506E-2</v>
      </c>
      <c r="AF5972">
        <v>6.6862258089607093E-2</v>
      </c>
      <c r="AG5972">
        <v>-5.0848999999999901E-2</v>
      </c>
      <c r="AH5972">
        <v>0.62739203670347898</v>
      </c>
      <c r="AI5972">
        <v>94.607613813248193</v>
      </c>
      <c r="AJ5972">
        <v>83.916849874626195</v>
      </c>
      <c r="AK5972">
        <v>0.63299048182163098</v>
      </c>
      <c r="AL5972">
        <v>91.420972585214002</v>
      </c>
      <c r="AM5972">
        <v>97.802554106027898</v>
      </c>
      <c r="AN5972">
        <v>1.0000000844637</v>
      </c>
    </row>
    <row r="5973" spans="1:40" x14ac:dyDescent="0.25">
      <c r="A5973" t="str">
        <f>"20190305135351585"</f>
        <v>20190305135351585</v>
      </c>
      <c r="B5973" t="str">
        <f>"1551765231576544"</f>
        <v>1551765231576544</v>
      </c>
      <c r="C5973" t="s">
        <v>40</v>
      </c>
      <c r="D5973">
        <v>4.2529899999999996</v>
      </c>
      <c r="E5973">
        <v>0.58781729999999999</v>
      </c>
      <c r="F5973" t="s">
        <v>41</v>
      </c>
      <c r="G5973">
        <v>-259.5086</v>
      </c>
      <c r="H5973">
        <v>1.050735</v>
      </c>
      <c r="I5973">
        <v>-61.674239999999998</v>
      </c>
      <c r="J5973">
        <v>-260.2405</v>
      </c>
      <c r="K5973">
        <v>1.10799</v>
      </c>
      <c r="L5973">
        <v>-61.583010000000002</v>
      </c>
      <c r="M5973">
        <v>0.99984879999999998</v>
      </c>
      <c r="N5973">
        <v>-7.1313390000000004E-3</v>
      </c>
      <c r="O5973">
        <v>-1.5864349999999999E-2</v>
      </c>
      <c r="P5973">
        <v>0.99235799999999996</v>
      </c>
      <c r="Q5973">
        <v>-3.1725129999999997E-2</v>
      </c>
      <c r="R5973">
        <v>0.11924460000000001</v>
      </c>
      <c r="S5973">
        <v>3.0570680000000001</v>
      </c>
      <c r="T5973">
        <v>-0.20300969999999999</v>
      </c>
      <c r="U5973">
        <v>-0.33096310000000001</v>
      </c>
      <c r="V5973">
        <v>-0.13501060000000001</v>
      </c>
      <c r="W5973">
        <v>-2.4454969999999999E-2</v>
      </c>
      <c r="X5973">
        <v>0.99054229999999999</v>
      </c>
      <c r="Y5973">
        <v>9.1652949999999997E-2</v>
      </c>
      <c r="Z5973">
        <v>-2.422862E-3</v>
      </c>
      <c r="AA5973">
        <v>0.99578800000000001</v>
      </c>
      <c r="AB5973">
        <v>27</v>
      </c>
      <c r="AC5973">
        <v>0.731899999999996</v>
      </c>
      <c r="AD5973">
        <v>-5.7255E-2</v>
      </c>
      <c r="AE5973">
        <v>-9.1230000000010095E-2</v>
      </c>
      <c r="AF5973">
        <v>7.9130269068767994E-2</v>
      </c>
      <c r="AG5973">
        <v>-5.7255E-2</v>
      </c>
      <c r="AH5973">
        <v>0.72886311656290304</v>
      </c>
      <c r="AI5973">
        <v>94.465447810271201</v>
      </c>
      <c r="AJ5973">
        <v>83.8038538949193</v>
      </c>
      <c r="AK5973">
        <v>0.73537825450150696</v>
      </c>
      <c r="AL5973">
        <v>91.401306297961696</v>
      </c>
      <c r="AM5973">
        <v>97.761568538447506</v>
      </c>
      <c r="AN5973">
        <v>0.99999997787967498</v>
      </c>
    </row>
    <row r="5974" spans="1:40" x14ac:dyDescent="0.25">
      <c r="A5974" t="str">
        <f>"20190305135351596"</f>
        <v>20190305135351596</v>
      </c>
      <c r="B5974" t="str">
        <f>"1551765231586303"</f>
        <v>1551765231586303</v>
      </c>
      <c r="C5974" t="s">
        <v>40</v>
      </c>
      <c r="D5974">
        <v>4.2173309999999997</v>
      </c>
      <c r="E5974">
        <v>0.58864399999999995</v>
      </c>
      <c r="F5974" t="s">
        <v>41</v>
      </c>
      <c r="G5974">
        <v>-259.26639999999998</v>
      </c>
      <c r="H5974">
        <v>1.043361</v>
      </c>
      <c r="I5974">
        <v>-61.692500000000003</v>
      </c>
      <c r="J5974">
        <v>-260.10469999999998</v>
      </c>
      <c r="K5974">
        <v>1.107952</v>
      </c>
      <c r="L5974">
        <v>-61.585599999999999</v>
      </c>
      <c r="M5974">
        <v>0.99984249999999997</v>
      </c>
      <c r="N5974">
        <v>-7.0369009999999999E-3</v>
      </c>
      <c r="O5974">
        <v>-1.6303459999999999E-2</v>
      </c>
      <c r="P5974">
        <v>0.99247989999999997</v>
      </c>
      <c r="Q5974">
        <v>-3.1511079999999997E-2</v>
      </c>
      <c r="R5974">
        <v>0.1182844</v>
      </c>
      <c r="S5974">
        <v>3.0578919999999998</v>
      </c>
      <c r="T5974">
        <v>-0.20287169999999999</v>
      </c>
      <c r="U5974">
        <v>-0.34350589999999998</v>
      </c>
      <c r="V5974">
        <v>-0.1344882</v>
      </c>
      <c r="W5974">
        <v>-2.433128E-2</v>
      </c>
      <c r="X5974">
        <v>0.99061639999999995</v>
      </c>
      <c r="Y5974">
        <v>9.5214770000000004E-2</v>
      </c>
      <c r="Z5974">
        <v>-2.5190870000000001E-3</v>
      </c>
      <c r="AA5974">
        <v>0.99545360000000005</v>
      </c>
      <c r="AB5974">
        <v>27</v>
      </c>
      <c r="AC5974">
        <v>0.83830000000000304</v>
      </c>
      <c r="AD5974">
        <v>-6.4590999999999996E-2</v>
      </c>
      <c r="AE5974">
        <v>-0.10690000000000301</v>
      </c>
      <c r="AF5974">
        <v>9.2676873617191194E-2</v>
      </c>
      <c r="AG5974">
        <v>-6.4590999999999996E-2</v>
      </c>
      <c r="AH5974">
        <v>0.83505332279988698</v>
      </c>
      <c r="AI5974">
        <v>94.396111617686202</v>
      </c>
      <c r="AJ5974">
        <v>83.6670488532951</v>
      </c>
      <c r="AK5974">
        <v>0.84265951137074802</v>
      </c>
      <c r="AL5974">
        <v>91.394217285080103</v>
      </c>
      <c r="AM5974">
        <v>97.731329104981796</v>
      </c>
      <c r="AN5974">
        <v>0.99999996953731796</v>
      </c>
    </row>
    <row r="5975" spans="1:40" x14ac:dyDescent="0.25">
      <c r="A5975" t="str">
        <f>"20190305135351607"</f>
        <v>20190305135351607</v>
      </c>
      <c r="B5975" t="str">
        <f>"1551765231596063"</f>
        <v>1551765231596063</v>
      </c>
      <c r="C5975" t="s">
        <v>40</v>
      </c>
      <c r="D5975">
        <v>4.3048799999999998</v>
      </c>
      <c r="E5975">
        <v>0.58930340000000003</v>
      </c>
      <c r="F5975" t="s">
        <v>41</v>
      </c>
      <c r="G5975">
        <v>-259.25970000000001</v>
      </c>
      <c r="H5975">
        <v>1.052743</v>
      </c>
      <c r="I5975">
        <v>-61.68318</v>
      </c>
      <c r="J5975">
        <v>-259.96600000000001</v>
      </c>
      <c r="K5975">
        <v>1.1079159999999999</v>
      </c>
      <c r="L5975">
        <v>-61.588290000000001</v>
      </c>
      <c r="M5975">
        <v>0.99983569999999999</v>
      </c>
      <c r="N5975">
        <v>-6.9352009999999898E-3</v>
      </c>
      <c r="O5975">
        <v>-1.6752659999999999E-2</v>
      </c>
      <c r="P5975">
        <v>0.99260009999999999</v>
      </c>
      <c r="Q5975">
        <v>-3.1701350000000003E-2</v>
      </c>
      <c r="R5975">
        <v>0.11721769999999999</v>
      </c>
      <c r="S5975">
        <v>3.0584410000000002</v>
      </c>
      <c r="T5975">
        <v>-0.19980439999999999</v>
      </c>
      <c r="U5975">
        <v>-0.35290529999999998</v>
      </c>
      <c r="V5975">
        <v>-0.1338694</v>
      </c>
      <c r="W5975">
        <v>-2.4619530000000001E-2</v>
      </c>
      <c r="X5975">
        <v>0.99069320000000005</v>
      </c>
      <c r="Y5975">
        <v>9.7768480000000005E-2</v>
      </c>
      <c r="Z5975">
        <v>-2.5465380000000001E-3</v>
      </c>
      <c r="AA5975">
        <v>0.99520589999999998</v>
      </c>
      <c r="AB5975">
        <v>27</v>
      </c>
      <c r="AC5975">
        <v>0.70629999999999804</v>
      </c>
      <c r="AD5975">
        <v>-5.5172999999999903E-2</v>
      </c>
      <c r="AE5975">
        <v>-9.4890000000006497E-2</v>
      </c>
      <c r="AF5975">
        <v>8.2549207982542894E-2</v>
      </c>
      <c r="AG5975">
        <v>-5.5172999999999903E-2</v>
      </c>
      <c r="AH5975">
        <v>0.70357345972921304</v>
      </c>
      <c r="AI5975">
        <v>94.453434772915699</v>
      </c>
      <c r="AJ5975">
        <v>83.308167616688294</v>
      </c>
      <c r="AK5975">
        <v>0.71054489295390799</v>
      </c>
      <c r="AL5975">
        <v>91.410737591418794</v>
      </c>
      <c r="AM5975">
        <v>97.695593969744394</v>
      </c>
      <c r="AN5975">
        <v>1.0000000770199999</v>
      </c>
    </row>
    <row r="5976" spans="1:40" x14ac:dyDescent="0.25">
      <c r="A5976" t="str">
        <f>"20190305135351618"</f>
        <v>20190305135351618</v>
      </c>
      <c r="B5976" t="str">
        <f>"1551765231615584"</f>
        <v>1551765231615584</v>
      </c>
      <c r="C5976" t="s">
        <v>40</v>
      </c>
      <c r="D5976">
        <v>4.2821989999999897</v>
      </c>
      <c r="E5976">
        <v>0.59012469999999995</v>
      </c>
      <c r="F5976" t="s">
        <v>41</v>
      </c>
      <c r="G5976">
        <v>-259.01780000000002</v>
      </c>
      <c r="H5976">
        <v>1.0448539999999999</v>
      </c>
      <c r="I5976">
        <v>-61.70073</v>
      </c>
      <c r="J5976">
        <v>-259.82459999999998</v>
      </c>
      <c r="K5976">
        <v>1.10788</v>
      </c>
      <c r="L5976">
        <v>-61.591090000000001</v>
      </c>
      <c r="M5976">
        <v>0.99982879999999996</v>
      </c>
      <c r="N5976">
        <v>-6.8105619999999896E-3</v>
      </c>
      <c r="O5976">
        <v>-1.721402E-2</v>
      </c>
      <c r="P5976">
        <v>0.9927106</v>
      </c>
      <c r="Q5976">
        <v>-3.1876439999999999E-2</v>
      </c>
      <c r="R5976">
        <v>0.1162316</v>
      </c>
      <c r="S5976">
        <v>3.0585629999999999</v>
      </c>
      <c r="T5976">
        <v>-0.20322879999999999</v>
      </c>
      <c r="U5976">
        <v>-0.3616028</v>
      </c>
      <c r="V5976">
        <v>-0.1333435</v>
      </c>
      <c r="W5976">
        <v>-2.4916440000000002E-2</v>
      </c>
      <c r="X5976">
        <v>0.99075659999999999</v>
      </c>
      <c r="Y5976">
        <v>0.10008590000000001</v>
      </c>
      <c r="Z5976">
        <v>-2.6309060000000001E-3</v>
      </c>
      <c r="AA5976">
        <v>0.99497530000000001</v>
      </c>
      <c r="AB5976">
        <v>28</v>
      </c>
      <c r="AC5976">
        <v>0.806799999999952</v>
      </c>
      <c r="AD5976">
        <v>-6.3025999999999804E-2</v>
      </c>
      <c r="AE5976">
        <v>-0.109640000000005</v>
      </c>
      <c r="AF5976">
        <v>9.5164948915358399E-2</v>
      </c>
      <c r="AG5976">
        <v>-6.3025999999999804E-2</v>
      </c>
      <c r="AH5976">
        <v>0.80375188107539897</v>
      </c>
      <c r="AI5976">
        <v>94.452683652446595</v>
      </c>
      <c r="AJ5976">
        <v>83.247564461182506</v>
      </c>
      <c r="AK5976">
        <v>0.81181631574531998</v>
      </c>
      <c r="AL5976">
        <v>91.427754640082995</v>
      </c>
      <c r="AM5976">
        <v>97.665237640225001</v>
      </c>
      <c r="AN5976">
        <v>0.99999997920904105</v>
      </c>
    </row>
    <row r="5977" spans="1:40" x14ac:dyDescent="0.25">
      <c r="A5977" t="str">
        <f>"20190305135351631"</f>
        <v>20190305135351631</v>
      </c>
      <c r="B5977" t="str">
        <f>"1551765231626320"</f>
        <v>1551765231626320</v>
      </c>
      <c r="C5977" t="s">
        <v>40</v>
      </c>
      <c r="D5977">
        <v>4.3292219999999997</v>
      </c>
      <c r="E5977">
        <v>0.59028210000000003</v>
      </c>
      <c r="F5977" t="s">
        <v>41</v>
      </c>
      <c r="G5977">
        <v>-259.01130000000001</v>
      </c>
      <c r="H5977">
        <v>1.0532140000000001</v>
      </c>
      <c r="I5977">
        <v>-61.690119999999901</v>
      </c>
      <c r="J5977">
        <v>-259.68119999999999</v>
      </c>
      <c r="K5977">
        <v>1.107845</v>
      </c>
      <c r="L5977">
        <v>-61.593989999999998</v>
      </c>
      <c r="M5977">
        <v>0.99982159999999998</v>
      </c>
      <c r="N5977">
        <v>-6.6712269999999897E-3</v>
      </c>
      <c r="O5977">
        <v>-1.7682099999999999E-2</v>
      </c>
      <c r="P5977">
        <v>0.99281419999999998</v>
      </c>
      <c r="Q5977">
        <v>-3.2096949999999999E-2</v>
      </c>
      <c r="R5977">
        <v>0.11528389999999999</v>
      </c>
      <c r="S5977">
        <v>3.0588679999999999</v>
      </c>
      <c r="T5977">
        <v>-0.20540050000000001</v>
      </c>
      <c r="U5977">
        <v>-0.37115480000000001</v>
      </c>
      <c r="V5977">
        <v>-0.13286229999999999</v>
      </c>
      <c r="W5977">
        <v>-2.5273779999999999E-2</v>
      </c>
      <c r="X5977">
        <v>0.99081220000000003</v>
      </c>
      <c r="Y5977">
        <v>0.1026624</v>
      </c>
      <c r="Z5977">
        <v>-2.7106740000000002E-3</v>
      </c>
      <c r="AA5977">
        <v>0.99471259999999995</v>
      </c>
      <c r="AB5977">
        <v>28</v>
      </c>
      <c r="AC5977">
        <v>0.66989999999998395</v>
      </c>
      <c r="AD5977">
        <v>-5.4630999999999999E-2</v>
      </c>
      <c r="AE5977">
        <v>-9.6129999999988003E-2</v>
      </c>
      <c r="AF5977">
        <v>8.3723893815657896E-2</v>
      </c>
      <c r="AG5977">
        <v>-5.4630999999999999E-2</v>
      </c>
      <c r="AH5977">
        <v>0.667147694764471</v>
      </c>
      <c r="AI5977">
        <v>94.645084544399893</v>
      </c>
      <c r="AJ5977">
        <v>82.847043882039202</v>
      </c>
      <c r="AK5977">
        <v>0.67459638539366895</v>
      </c>
      <c r="AL5977">
        <v>91.4482351557713</v>
      </c>
      <c r="AM5977">
        <v>97.637479489241301</v>
      </c>
      <c r="AN5977">
        <v>0.99999998519280897</v>
      </c>
    </row>
    <row r="5978" spans="1:40" x14ac:dyDescent="0.25">
      <c r="A5978" t="str">
        <f>"20190305135351641"</f>
        <v>20190305135351641</v>
      </c>
      <c r="B5978" t="str">
        <f>"1551765231636079"</f>
        <v>1551765231636079</v>
      </c>
      <c r="C5978" t="s">
        <v>40</v>
      </c>
      <c r="D5978">
        <v>4.3302769999999997</v>
      </c>
      <c r="E5978">
        <v>0.59041060000000001</v>
      </c>
      <c r="F5978" t="s">
        <v>41</v>
      </c>
      <c r="G5978">
        <v>-258.76819999999998</v>
      </c>
      <c r="H5978">
        <v>1.04539</v>
      </c>
      <c r="I5978">
        <v>-61.706380000000003</v>
      </c>
      <c r="J5978">
        <v>-259.53250000000003</v>
      </c>
      <c r="K5978">
        <v>1.1078079999999999</v>
      </c>
      <c r="L5978">
        <v>-61.597079999999998</v>
      </c>
      <c r="M5978">
        <v>0.99981390000000003</v>
      </c>
      <c r="N5978">
        <v>-6.5107639999999996E-3</v>
      </c>
      <c r="O5978">
        <v>-1.8167139999999998E-2</v>
      </c>
      <c r="P5978">
        <v>0.99294629999999995</v>
      </c>
      <c r="Q5978">
        <v>-3.1958399999999998E-2</v>
      </c>
      <c r="R5978">
        <v>0.1141779</v>
      </c>
      <c r="S5978">
        <v>3.0585939999999998</v>
      </c>
      <c r="T5978">
        <v>-0.20907510000000001</v>
      </c>
      <c r="U5978">
        <v>-0.37551879999999999</v>
      </c>
      <c r="V5978">
        <v>-0.13223950000000001</v>
      </c>
      <c r="W5978">
        <v>-2.5293610000000001E-2</v>
      </c>
      <c r="X5978">
        <v>0.99089499999999997</v>
      </c>
      <c r="Y5978">
        <v>0.1035809</v>
      </c>
      <c r="Z5978">
        <v>-2.7441750000000002E-3</v>
      </c>
      <c r="AA5978">
        <v>0.99461719999999998</v>
      </c>
      <c r="AB5978">
        <v>28</v>
      </c>
      <c r="AC5978">
        <v>0.76430000000004805</v>
      </c>
      <c r="AD5978">
        <v>-6.24179999999998E-2</v>
      </c>
      <c r="AE5978">
        <v>-0.109299999999997</v>
      </c>
      <c r="AF5978">
        <v>9.4777077654212796E-2</v>
      </c>
      <c r="AG5978">
        <v>-6.24179999999998E-2</v>
      </c>
      <c r="AH5978">
        <v>0.76118460478092997</v>
      </c>
      <c r="AI5978">
        <v>94.652067114421996</v>
      </c>
      <c r="AJ5978">
        <v>82.902481376802299</v>
      </c>
      <c r="AK5978">
        <v>0.76959775449787604</v>
      </c>
      <c r="AL5978">
        <v>91.449371706963802</v>
      </c>
      <c r="AM5978">
        <v>97.601470199465197</v>
      </c>
      <c r="AN5978">
        <v>0.99999997654604</v>
      </c>
    </row>
    <row r="5979" spans="1:40" x14ac:dyDescent="0.25">
      <c r="A5979" t="str">
        <f>"20190305135351653"</f>
        <v>20190305135351653</v>
      </c>
      <c r="B5979" t="str">
        <f>"1551765231645839"</f>
        <v>1551765231645839</v>
      </c>
      <c r="C5979" t="s">
        <v>40</v>
      </c>
      <c r="D5979">
        <v>4.3590660000000003</v>
      </c>
      <c r="E5979">
        <v>0.59060690000000005</v>
      </c>
      <c r="F5979" t="s">
        <v>41</v>
      </c>
      <c r="G5979">
        <v>-258.76139999999998</v>
      </c>
      <c r="H5979">
        <v>1.0540750000000001</v>
      </c>
      <c r="I5979">
        <v>-61.693199999999997</v>
      </c>
      <c r="J5979">
        <v>-259.39389999999997</v>
      </c>
      <c r="K5979">
        <v>1.1077709999999901</v>
      </c>
      <c r="L5979">
        <v>-61.60004</v>
      </c>
      <c r="M5979">
        <v>0.99980670000000005</v>
      </c>
      <c r="N5979">
        <v>-6.3375159999999996E-3</v>
      </c>
      <c r="O5979">
        <v>-1.861815E-2</v>
      </c>
      <c r="P5979">
        <v>0.99304709999999996</v>
      </c>
      <c r="Q5979">
        <v>-3.1849700000000002E-2</v>
      </c>
      <c r="R5979">
        <v>0.113328</v>
      </c>
      <c r="S5979">
        <v>3.0581670000000001</v>
      </c>
      <c r="T5979">
        <v>-0.21290970000000001</v>
      </c>
      <c r="U5979">
        <v>-0.38006590000000001</v>
      </c>
      <c r="V5979">
        <v>-0.1318386</v>
      </c>
      <c r="W5979">
        <v>-2.535627E-2</v>
      </c>
      <c r="X5979">
        <v>0.99094680000000002</v>
      </c>
      <c r="Y5979">
        <v>0.10459690000000001</v>
      </c>
      <c r="Z5979">
        <v>-2.7840740000000001E-3</v>
      </c>
      <c r="AA5979">
        <v>0.99451080000000003</v>
      </c>
      <c r="AB5979">
        <v>28</v>
      </c>
      <c r="AC5979">
        <v>0.63249999999999296</v>
      </c>
      <c r="AD5979">
        <v>-5.3695999999999702E-2</v>
      </c>
      <c r="AE5979">
        <v>-9.3159999999997398E-2</v>
      </c>
      <c r="AF5979">
        <v>8.0797681263507101E-2</v>
      </c>
      <c r="AG5979">
        <v>-5.3695999999999702E-2</v>
      </c>
      <c r="AH5979">
        <v>0.62968301317113695</v>
      </c>
      <c r="AI5979">
        <v>94.834638332628202</v>
      </c>
      <c r="AJ5979">
        <v>82.688055626254197</v>
      </c>
      <c r="AK5979">
        <v>0.63711240985389805</v>
      </c>
      <c r="AL5979">
        <v>91.452963038425906</v>
      </c>
      <c r="AM5979">
        <v>97.578302124698894</v>
      </c>
      <c r="AN5979">
        <v>0.99999995865425495</v>
      </c>
    </row>
    <row r="5980" spans="1:40" x14ac:dyDescent="0.25">
      <c r="A5980" t="str">
        <f>"20190305135351676"</f>
        <v>20190305135351676</v>
      </c>
      <c r="B5980" t="str">
        <f>"1551765231666335"</f>
        <v>1551765231666335</v>
      </c>
      <c r="C5980" t="s">
        <v>40</v>
      </c>
      <c r="D5980">
        <v>4.3715789999999997</v>
      </c>
      <c r="E5980">
        <v>0.59092040000000001</v>
      </c>
      <c r="F5980" t="s">
        <v>41</v>
      </c>
      <c r="G5980">
        <v>-258.5172</v>
      </c>
      <c r="H5980">
        <v>1.045703</v>
      </c>
      <c r="I5980">
        <v>-61.710509999999999</v>
      </c>
      <c r="J5980">
        <v>-259.11540000000002</v>
      </c>
      <c r="K5980">
        <v>1.1076999999999999</v>
      </c>
      <c r="L5980">
        <v>-61.606079999999999</v>
      </c>
      <c r="M5980">
        <v>0.99979189999999996</v>
      </c>
      <c r="N5980">
        <v>-5.9488550000000003E-3</v>
      </c>
      <c r="O5980">
        <v>-1.9519689999999999E-2</v>
      </c>
      <c r="P5980">
        <v>0.99324559999999995</v>
      </c>
      <c r="Q5980">
        <v>-3.1018110000000002E-2</v>
      </c>
      <c r="R5980">
        <v>0.1118093</v>
      </c>
      <c r="S5980">
        <v>3.0579529999999999</v>
      </c>
      <c r="T5980">
        <v>-0.21637770000000001</v>
      </c>
      <c r="U5980">
        <v>-0.38442989999999999</v>
      </c>
      <c r="V5980">
        <v>-0.13121679999999999</v>
      </c>
      <c r="W5980">
        <v>-2.4909440000000001E-2</v>
      </c>
      <c r="X5980">
        <v>0.9910407</v>
      </c>
      <c r="Y5980">
        <v>0.10510129999999999</v>
      </c>
      <c r="Z5980">
        <v>-2.755525E-3</v>
      </c>
      <c r="AA5980">
        <v>0.9944577</v>
      </c>
      <c r="AB5980">
        <v>28</v>
      </c>
      <c r="AC5980">
        <v>0.59820000000001905</v>
      </c>
      <c r="AD5980">
        <v>-6.1996999999999802E-2</v>
      </c>
      <c r="AE5980">
        <v>-0.104429999999993</v>
      </c>
      <c r="AF5980">
        <v>9.1776591932966195E-2</v>
      </c>
      <c r="AG5980">
        <v>-6.1996999999999802E-2</v>
      </c>
      <c r="AH5980">
        <v>0.59393367349012605</v>
      </c>
      <c r="AI5980">
        <v>95.889763561553295</v>
      </c>
      <c r="AJ5980">
        <v>81.215940969393799</v>
      </c>
      <c r="AK5980">
        <v>0.60417197828209901</v>
      </c>
      <c r="AL5980">
        <v>91.427353416942495</v>
      </c>
      <c r="AM5980">
        <v>97.542266073335099</v>
      </c>
      <c r="AN5980">
        <v>0.99999999892992097</v>
      </c>
    </row>
    <row r="5981" spans="1:40" x14ac:dyDescent="0.25">
      <c r="A5981" t="str">
        <f>"20190305135351688"</f>
        <v>20190305135351688</v>
      </c>
      <c r="B5981" t="str">
        <f>"1551765231685855"</f>
        <v>1551765231685855</v>
      </c>
      <c r="C5981" t="s">
        <v>40</v>
      </c>
      <c r="D5981">
        <v>4.3881829999999997</v>
      </c>
      <c r="E5981">
        <v>0.59111729999999996</v>
      </c>
      <c r="F5981" t="s">
        <v>41</v>
      </c>
      <c r="G5981">
        <v>-258.2638</v>
      </c>
      <c r="H5981">
        <v>1.047464</v>
      </c>
      <c r="I5981">
        <v>-61.71519</v>
      </c>
      <c r="J5981">
        <v>-258.95589999999999</v>
      </c>
      <c r="K5981">
        <v>1.1076549999999901</v>
      </c>
      <c r="L5981">
        <v>-61.609679999999997</v>
      </c>
      <c r="M5981">
        <v>0.99978299999999998</v>
      </c>
      <c r="N5981">
        <v>-5.707335E-3</v>
      </c>
      <c r="O5981">
        <v>-2.0032250000000001E-2</v>
      </c>
      <c r="P5981">
        <v>0.99329319999999999</v>
      </c>
      <c r="Q5981">
        <v>-3.0149229999999999E-2</v>
      </c>
      <c r="R5981">
        <v>0.11162320000000001</v>
      </c>
      <c r="S5981">
        <v>3.0577700000000001</v>
      </c>
      <c r="T5981">
        <v>-0.21623500000000001</v>
      </c>
      <c r="U5981">
        <v>-0.39160159999999999</v>
      </c>
      <c r="V5981">
        <v>-0.13153879999999901</v>
      </c>
      <c r="W5981">
        <v>-2.4279160000000001E-2</v>
      </c>
      <c r="X5981">
        <v>0.99101360000000005</v>
      </c>
      <c r="Y5981">
        <v>0.106892</v>
      </c>
      <c r="Z5981">
        <v>-2.7713799999999999E-3</v>
      </c>
      <c r="AA5981">
        <v>0.99426669999999995</v>
      </c>
      <c r="AB5981">
        <v>28</v>
      </c>
      <c r="AC5981">
        <v>0.69209999999998195</v>
      </c>
      <c r="AD5981">
        <v>-6.01909999999998E-2</v>
      </c>
      <c r="AE5981">
        <v>-0.105509999999995</v>
      </c>
      <c r="AF5981">
        <v>9.0951985569600505E-2</v>
      </c>
      <c r="AG5981">
        <v>-6.01909999999998E-2</v>
      </c>
      <c r="AH5981">
        <v>0.68898196560805702</v>
      </c>
      <c r="AI5981">
        <v>94.950082043094298</v>
      </c>
      <c r="AJ5981">
        <v>82.4799093358166</v>
      </c>
      <c r="AK5981">
        <v>0.69756101460244702</v>
      </c>
      <c r="AL5981">
        <v>91.391230181422102</v>
      </c>
      <c r="AM5981">
        <v>97.560764957234298</v>
      </c>
      <c r="AN5981">
        <v>0.99999994445035101</v>
      </c>
    </row>
    <row r="5982" spans="1:40" x14ac:dyDescent="0.25">
      <c r="A5982" t="str">
        <f>"20190305135351700"</f>
        <v>20190305135351700</v>
      </c>
      <c r="B5982" t="str">
        <f>"1551765231695616"</f>
        <v>1551765231695616</v>
      </c>
      <c r="C5982" t="s">
        <v>40</v>
      </c>
      <c r="D5982">
        <v>4.3954129999999996</v>
      </c>
      <c r="E5982">
        <v>0.59118309999999996</v>
      </c>
      <c r="F5982" t="s">
        <v>41</v>
      </c>
      <c r="G5982">
        <v>-258.0136</v>
      </c>
      <c r="H5982">
        <v>1.0404409999999999</v>
      </c>
      <c r="I5982">
        <v>-61.731299999999997</v>
      </c>
      <c r="J5982">
        <v>-258.79750000000001</v>
      </c>
      <c r="K5982">
        <v>1.1076079999999999</v>
      </c>
      <c r="L5982">
        <v>-61.613309999999998</v>
      </c>
      <c r="M5982">
        <v>0.99977419999999995</v>
      </c>
      <c r="N5982">
        <v>-5.4560829999999996E-3</v>
      </c>
      <c r="O5982">
        <v>-2.0537639999999999E-2</v>
      </c>
      <c r="P5982">
        <v>0.99334259999999996</v>
      </c>
      <c r="Q5982">
        <v>-2.969772E-2</v>
      </c>
      <c r="R5982">
        <v>0.1113039</v>
      </c>
      <c r="S5982">
        <v>3.0579070000000002</v>
      </c>
      <c r="T5982">
        <v>-0.2180415</v>
      </c>
      <c r="U5982">
        <v>-0.39392090000000002</v>
      </c>
      <c r="V5982">
        <v>-0.131720899999999</v>
      </c>
      <c r="W5982">
        <v>-2.4076029999999998E-2</v>
      </c>
      <c r="X5982">
        <v>0.9909945</v>
      </c>
      <c r="Y5982">
        <v>0.1071237</v>
      </c>
      <c r="Z5982">
        <v>-2.7480389999999999E-3</v>
      </c>
      <c r="AA5982">
        <v>0.99424190000000001</v>
      </c>
      <c r="AB5982">
        <v>28</v>
      </c>
      <c r="AC5982">
        <v>0.78390000000001603</v>
      </c>
      <c r="AD5982">
        <v>-6.7166999999999893E-2</v>
      </c>
      <c r="AE5982">
        <v>-0.117989999999998</v>
      </c>
      <c r="AF5982">
        <v>0.10113934241294099</v>
      </c>
      <c r="AG5982">
        <v>-6.7166999999999893E-2</v>
      </c>
      <c r="AH5982">
        <v>0.780554361685734</v>
      </c>
      <c r="AI5982">
        <v>94.877631764635396</v>
      </c>
      <c r="AJ5982">
        <v>82.617106587749902</v>
      </c>
      <c r="AK5982">
        <v>0.78994030408591398</v>
      </c>
      <c r="AL5982">
        <v>91.379588105929301</v>
      </c>
      <c r="AM5982">
        <v>97.571254839821506</v>
      </c>
      <c r="AN5982">
        <v>1.0000000748738</v>
      </c>
    </row>
    <row r="5983" spans="1:40" x14ac:dyDescent="0.25">
      <c r="A5983" t="str">
        <f>"20190305135351711"</f>
        <v>20190305135351711</v>
      </c>
      <c r="B5983" t="str">
        <f>"1551765231706351"</f>
        <v>1551765231706351</v>
      </c>
      <c r="C5983" t="s">
        <v>40</v>
      </c>
      <c r="D5983">
        <v>4.381767</v>
      </c>
      <c r="E5983">
        <v>0.59120779999999995</v>
      </c>
      <c r="F5983" t="s">
        <v>41</v>
      </c>
      <c r="G5983">
        <v>-258.00709999999998</v>
      </c>
      <c r="H5983">
        <v>1.0509679999999999</v>
      </c>
      <c r="I5983">
        <v>-61.715760000000003</v>
      </c>
      <c r="J5983">
        <v>-258.66629999999998</v>
      </c>
      <c r="K5983">
        <v>1.1075710000000001</v>
      </c>
      <c r="L5983">
        <v>-61.616390000000003</v>
      </c>
      <c r="M5983">
        <v>0.99976679999999996</v>
      </c>
      <c r="N5983">
        <v>-5.2467769999999898E-3</v>
      </c>
      <c r="O5983">
        <v>-2.0953570000000001E-2</v>
      </c>
      <c r="P5983">
        <v>0.99335269999999998</v>
      </c>
      <c r="Q5983">
        <v>-2.937472E-2</v>
      </c>
      <c r="R5983">
        <v>0.1113002</v>
      </c>
      <c r="S5983">
        <v>3.057877</v>
      </c>
      <c r="T5983">
        <v>-0.2190385</v>
      </c>
      <c r="U5983">
        <v>-0.39547729999999998</v>
      </c>
      <c r="V5983">
        <v>-0.13213</v>
      </c>
      <c r="W5983">
        <v>-2.3959649999999999E-2</v>
      </c>
      <c r="X5983">
        <v>0.99094280000000001</v>
      </c>
      <c r="Y5983">
        <v>0.1072087</v>
      </c>
      <c r="Z5983">
        <v>-2.7189459999999999E-3</v>
      </c>
      <c r="AA5983">
        <v>0.99423280000000003</v>
      </c>
      <c r="AB5983">
        <v>28</v>
      </c>
      <c r="AC5983">
        <v>0.65919999999999801</v>
      </c>
      <c r="AD5983">
        <v>-5.6602999999999702E-2</v>
      </c>
      <c r="AE5983">
        <v>-9.9369999999993297E-2</v>
      </c>
      <c r="AF5983">
        <v>8.4923173883863598E-2</v>
      </c>
      <c r="AG5983">
        <v>-5.6602999999999702E-2</v>
      </c>
      <c r="AH5983">
        <v>0.65640530515846596</v>
      </c>
      <c r="AI5983">
        <v>94.887986922191701</v>
      </c>
      <c r="AJ5983">
        <v>82.628242097109805</v>
      </c>
      <c r="AK5983">
        <v>0.66429193109030604</v>
      </c>
      <c r="AL5983">
        <v>91.372918178568398</v>
      </c>
      <c r="AM5983">
        <v>97.5948872706374</v>
      </c>
      <c r="AN5983">
        <v>1.0000000172999799</v>
      </c>
    </row>
    <row r="5984" spans="1:40" x14ac:dyDescent="0.25">
      <c r="A5984" t="str">
        <f>"20190305135351721"</f>
        <v>20190305135351721</v>
      </c>
      <c r="B5984" t="str">
        <f>"1551765231716112"</f>
        <v>1551765231716112</v>
      </c>
      <c r="C5984" t="s">
        <v>40</v>
      </c>
      <c r="D5984">
        <v>4.4135710000000001</v>
      </c>
      <c r="E5984">
        <v>0.59120799999999996</v>
      </c>
      <c r="F5984" t="s">
        <v>41</v>
      </c>
      <c r="G5984">
        <v>-257.75700000000001</v>
      </c>
      <c r="H5984">
        <v>1.042384</v>
      </c>
      <c r="I5984">
        <v>-61.734180000000002</v>
      </c>
      <c r="J5984">
        <v>-258.52960000000002</v>
      </c>
      <c r="K5984">
        <v>1.1075349999999999</v>
      </c>
      <c r="L5984">
        <v>-61.619660000000003</v>
      </c>
      <c r="M5984">
        <v>0.9997587</v>
      </c>
      <c r="N5984">
        <v>-5.0277129999999996E-3</v>
      </c>
      <c r="O5984">
        <v>-2.1384739999999999E-2</v>
      </c>
      <c r="P5984">
        <v>0.99335790000000002</v>
      </c>
      <c r="Q5984">
        <v>-2.9126200000000001E-2</v>
      </c>
      <c r="R5984">
        <v>0.111318899999999</v>
      </c>
      <c r="S5984">
        <v>3.0579070000000002</v>
      </c>
      <c r="T5984">
        <v>-0.219169</v>
      </c>
      <c r="U5984">
        <v>-0.39569090000000001</v>
      </c>
      <c r="V5984">
        <v>-0.1325761</v>
      </c>
      <c r="W5984">
        <v>-2.392727E-2</v>
      </c>
      <c r="X5984">
        <v>0.99088399999999999</v>
      </c>
      <c r="Y5984">
        <v>0.10684979999999999</v>
      </c>
      <c r="Z5984">
        <v>-2.6616679999999998E-3</v>
      </c>
      <c r="AA5984">
        <v>0.99427160000000003</v>
      </c>
      <c r="AB5984">
        <v>28</v>
      </c>
      <c r="AC5984">
        <v>0.77260000000001094</v>
      </c>
      <c r="AD5984">
        <v>-6.5150999999999903E-2</v>
      </c>
      <c r="AE5984">
        <v>-0.11452000000000501</v>
      </c>
      <c r="AF5984">
        <v>9.7294760297211902E-2</v>
      </c>
      <c r="AG5984">
        <v>-6.5150999999999903E-2</v>
      </c>
      <c r="AH5984">
        <v>0.76951790384137497</v>
      </c>
      <c r="AI5984">
        <v>94.801344427944201</v>
      </c>
      <c r="AJ5984">
        <v>82.793987472100497</v>
      </c>
      <c r="AK5984">
        <v>0.77837569817840202</v>
      </c>
      <c r="AL5984">
        <v>91.371062406908095</v>
      </c>
      <c r="AM5984">
        <v>97.620675347901496</v>
      </c>
      <c r="AN5984">
        <v>1.0000000189984299</v>
      </c>
    </row>
    <row r="5985" spans="1:40" x14ac:dyDescent="0.25">
      <c r="A5985" t="str">
        <f>"20190305135351732"</f>
        <v>20190305135351732</v>
      </c>
      <c r="B5985" t="str">
        <f>"1551765231725872"</f>
        <v>1551765231725872</v>
      </c>
      <c r="C5985" t="s">
        <v>40</v>
      </c>
      <c r="D5985">
        <v>4.3479070000000002</v>
      </c>
      <c r="E5985">
        <v>0.59117469999999905</v>
      </c>
      <c r="F5985" t="s">
        <v>41</v>
      </c>
      <c r="G5985">
        <v>-257.75110000000001</v>
      </c>
      <c r="H5985">
        <v>1.0517080000000001</v>
      </c>
      <c r="I5985">
        <v>-61.72054</v>
      </c>
      <c r="J5985">
        <v>-258.40190000000001</v>
      </c>
      <c r="K5985">
        <v>1.107504</v>
      </c>
      <c r="L5985">
        <v>-61.62274</v>
      </c>
      <c r="M5985">
        <v>0.9997511</v>
      </c>
      <c r="N5985">
        <v>-4.8265959999999998E-3</v>
      </c>
      <c r="O5985">
        <v>-2.1785720000000001E-2</v>
      </c>
      <c r="P5985">
        <v>0.9933575</v>
      </c>
      <c r="Q5985">
        <v>-2.8425180000000001E-2</v>
      </c>
      <c r="R5985">
        <v>0.1115038</v>
      </c>
      <c r="S5985">
        <v>3.0579679999999998</v>
      </c>
      <c r="T5985">
        <v>-0.21921979999999999</v>
      </c>
      <c r="U5985">
        <v>-0.39569090000000001</v>
      </c>
      <c r="V5985">
        <v>-0.13315739999999901</v>
      </c>
      <c r="W5985">
        <v>-2.3424279999999999E-2</v>
      </c>
      <c r="X5985">
        <v>0.99081799999999998</v>
      </c>
      <c r="Y5985">
        <v>0.1064514</v>
      </c>
      <c r="Z5985">
        <v>-2.6052599999999999E-3</v>
      </c>
      <c r="AA5985">
        <v>0.99431449999999999</v>
      </c>
      <c r="AB5985">
        <v>28</v>
      </c>
      <c r="AC5985">
        <v>0.65080000000000304</v>
      </c>
      <c r="AD5985">
        <v>-5.5795999999999901E-2</v>
      </c>
      <c r="AE5985">
        <v>-9.7799999999999401E-2</v>
      </c>
      <c r="AF5985">
        <v>8.3001854077263806E-2</v>
      </c>
      <c r="AG5985">
        <v>-5.5795999999999901E-2</v>
      </c>
      <c r="AH5985">
        <v>0.64811749003515196</v>
      </c>
      <c r="AI5985">
        <v>94.880756708792006</v>
      </c>
      <c r="AJ5985">
        <v>82.702079714509694</v>
      </c>
      <c r="AK5985">
        <v>0.65578867197118396</v>
      </c>
      <c r="AL5985">
        <v>91.342235215596304</v>
      </c>
      <c r="AM5985">
        <v>97.654197901965304</v>
      </c>
      <c r="AN5985">
        <v>0.99999994959613703</v>
      </c>
    </row>
    <row r="5986" spans="1:40" x14ac:dyDescent="0.25">
      <c r="A5986" t="str">
        <f>"20190305135351742"</f>
        <v>20190305135351742</v>
      </c>
      <c r="B5986" t="str">
        <f>"1551765231735632"</f>
        <v>1551765231735632</v>
      </c>
      <c r="C5986" t="s">
        <v>40</v>
      </c>
      <c r="D5986">
        <v>4.3363350000000001</v>
      </c>
      <c r="E5986">
        <v>0.59120360000000005</v>
      </c>
      <c r="F5986" t="s">
        <v>41</v>
      </c>
      <c r="G5986">
        <v>-257.49950000000001</v>
      </c>
      <c r="H5986">
        <v>1.043077</v>
      </c>
      <c r="I5986">
        <v>-61.739510000000003</v>
      </c>
      <c r="J5986">
        <v>-258.25920000000002</v>
      </c>
      <c r="K5986">
        <v>1.107467</v>
      </c>
      <c r="L5986">
        <v>-61.626220000000004</v>
      </c>
      <c r="M5986">
        <v>0.99974240000000003</v>
      </c>
      <c r="N5986">
        <v>-4.6045169999999998E-3</v>
      </c>
      <c r="O5986">
        <v>-2.2231359999999999E-2</v>
      </c>
      <c r="P5986">
        <v>0.99335309999999999</v>
      </c>
      <c r="Q5986">
        <v>-2.8316859999999999E-2</v>
      </c>
      <c r="R5986">
        <v>0.1115705</v>
      </c>
      <c r="S5986">
        <v>3.0581670000000001</v>
      </c>
      <c r="T5986">
        <v>-0.2181853</v>
      </c>
      <c r="U5986">
        <v>-0.39486690000000002</v>
      </c>
      <c r="V5986">
        <v>-0.133665899999999</v>
      </c>
      <c r="W5986">
        <v>-2.353473E-2</v>
      </c>
      <c r="X5986">
        <v>0.99074700000000004</v>
      </c>
      <c r="Y5986">
        <v>0.1057427</v>
      </c>
      <c r="Z5986">
        <v>-2.5215530000000002E-3</v>
      </c>
      <c r="AA5986">
        <v>0.99439029999999995</v>
      </c>
      <c r="AB5986">
        <v>29</v>
      </c>
      <c r="AC5986">
        <v>0.75970000000000903</v>
      </c>
      <c r="AD5986">
        <v>-6.4389999999999906E-2</v>
      </c>
      <c r="AE5986">
        <v>-0.113289999999999</v>
      </c>
      <c r="AF5986">
        <v>9.5700127309579996E-2</v>
      </c>
      <c r="AG5986">
        <v>-6.4389999999999906E-2</v>
      </c>
      <c r="AH5986">
        <v>0.75671305865319405</v>
      </c>
      <c r="AI5986">
        <v>94.8254264830165</v>
      </c>
      <c r="AJ5986">
        <v>82.792172018887399</v>
      </c>
      <c r="AK5986">
        <v>0.76545361688566205</v>
      </c>
      <c r="AL5986">
        <v>91.348565161721794</v>
      </c>
      <c r="AM5986">
        <v>97.683623197068599</v>
      </c>
      <c r="AN5986">
        <v>1.0000000371739901</v>
      </c>
    </row>
    <row r="5987" spans="1:40" x14ac:dyDescent="0.25">
      <c r="A5987" t="str">
        <f>"20190305135351754"</f>
        <v>20190305135351754</v>
      </c>
      <c r="B5987" t="str">
        <f>"1551765231746367"</f>
        <v>1551765231746367</v>
      </c>
      <c r="C5987" t="s">
        <v>40</v>
      </c>
      <c r="D5987">
        <v>4.4053469999999999</v>
      </c>
      <c r="E5987">
        <v>0.59124949999999998</v>
      </c>
      <c r="F5987" t="s">
        <v>41</v>
      </c>
      <c r="G5987">
        <v>-257.49290000000002</v>
      </c>
      <c r="H5987">
        <v>1.0530120000000001</v>
      </c>
      <c r="I5987">
        <v>-61.725369999999998</v>
      </c>
      <c r="J5987">
        <v>-258.11340000000001</v>
      </c>
      <c r="K5987">
        <v>1.1074329999999999</v>
      </c>
      <c r="L5987">
        <v>-61.62988</v>
      </c>
      <c r="M5987">
        <v>0.99973319999999999</v>
      </c>
      <c r="N5987">
        <v>-4.3871459999999998E-3</v>
      </c>
      <c r="O5987">
        <v>-2.2684550000000001E-2</v>
      </c>
      <c r="P5987">
        <v>0.99336270000000004</v>
      </c>
      <c r="Q5987">
        <v>-2.8262059999999999E-2</v>
      </c>
      <c r="R5987">
        <v>0.1114989</v>
      </c>
      <c r="S5987">
        <v>3.058243</v>
      </c>
      <c r="T5987">
        <v>-0.21712609999999999</v>
      </c>
      <c r="U5987">
        <v>-0.39468379999999997</v>
      </c>
      <c r="V5987">
        <v>-0.13404379999999999</v>
      </c>
      <c r="W5987">
        <v>-2.369394E-2</v>
      </c>
      <c r="X5987">
        <v>0.99069209999999996</v>
      </c>
      <c r="Y5987">
        <v>0.1052358</v>
      </c>
      <c r="Z5987">
        <v>-2.4455990000000001E-3</v>
      </c>
      <c r="AA5987">
        <v>0.99444429999999995</v>
      </c>
      <c r="AB5987">
        <v>29</v>
      </c>
      <c r="AC5987">
        <v>0.62049999999999195</v>
      </c>
      <c r="AD5987">
        <v>-5.4420999999999803E-2</v>
      </c>
      <c r="AE5987">
        <v>-9.5489999999990902E-2</v>
      </c>
      <c r="AF5987">
        <v>8.0782512942785295E-2</v>
      </c>
      <c r="AG5987">
        <v>-5.4420999999999803E-2</v>
      </c>
      <c r="AH5987">
        <v>0.61786372764169395</v>
      </c>
      <c r="AI5987">
        <v>94.991318516233093</v>
      </c>
      <c r="AJ5987">
        <v>82.551123219988199</v>
      </c>
      <c r="AK5987">
        <v>0.62549424103954798</v>
      </c>
      <c r="AL5987">
        <v>91.357689830893605</v>
      </c>
      <c r="AM5987">
        <v>97.705507580315697</v>
      </c>
      <c r="AN5987">
        <v>0.99999999005678597</v>
      </c>
    </row>
    <row r="5988" spans="1:40" x14ac:dyDescent="0.25">
      <c r="A5988" t="str">
        <f>"20190305135351763"</f>
        <v>20190305135351763</v>
      </c>
      <c r="B5988" t="str">
        <f>"1551765231756128"</f>
        <v>1551765231756128</v>
      </c>
      <c r="C5988" t="s">
        <v>40</v>
      </c>
      <c r="D5988">
        <v>4.4047159999999996</v>
      </c>
      <c r="E5988">
        <v>0.59124589999999999</v>
      </c>
      <c r="F5988" t="s">
        <v>41</v>
      </c>
      <c r="G5988">
        <v>-257.2396</v>
      </c>
      <c r="H5988">
        <v>1.0449299999999999</v>
      </c>
      <c r="I5988">
        <v>-61.74286</v>
      </c>
      <c r="J5988">
        <v>-257.97660000000002</v>
      </c>
      <c r="K5988">
        <v>1.1074029999999999</v>
      </c>
      <c r="L5988">
        <v>-61.633360000000003</v>
      </c>
      <c r="M5988">
        <v>0.99972430000000001</v>
      </c>
      <c r="N5988">
        <v>-4.1860609999999996E-3</v>
      </c>
      <c r="O5988">
        <v>-2.3108719999999999E-2</v>
      </c>
      <c r="P5988">
        <v>0.99337880000000001</v>
      </c>
      <c r="Q5988">
        <v>-2.8195109999999999E-2</v>
      </c>
      <c r="R5988">
        <v>0.11137180000000001</v>
      </c>
      <c r="S5988">
        <v>3.0582120000000002</v>
      </c>
      <c r="T5988">
        <v>-0.21871760000000001</v>
      </c>
      <c r="U5988">
        <v>-0.39523320000000001</v>
      </c>
      <c r="V5988">
        <v>-0.1343377</v>
      </c>
      <c r="W5988">
        <v>-2.3824950000000001E-2</v>
      </c>
      <c r="X5988">
        <v>0.99064920000000001</v>
      </c>
      <c r="Y5988">
        <v>0.1049904</v>
      </c>
      <c r="Z5988">
        <v>-2.4082579999999999E-3</v>
      </c>
      <c r="AA5988">
        <v>0.99447030000000003</v>
      </c>
      <c r="AB5988">
        <v>29</v>
      </c>
      <c r="AC5988">
        <v>0.73700000000002297</v>
      </c>
      <c r="AD5988">
        <v>-6.2473000000000202E-2</v>
      </c>
      <c r="AE5988">
        <v>-0.109500000000004</v>
      </c>
      <c r="AF5988">
        <v>9.1794153863901398E-2</v>
      </c>
      <c r="AG5988">
        <v>-6.2473000000000202E-2</v>
      </c>
      <c r="AH5988">
        <v>0.73417224198043796</v>
      </c>
      <c r="AI5988">
        <v>94.826360803539202</v>
      </c>
      <c r="AJ5988">
        <v>82.873245243268002</v>
      </c>
      <c r="AK5988">
        <v>0.74252132852004504</v>
      </c>
      <c r="AL5988">
        <v>91.365198200167498</v>
      </c>
      <c r="AM5988">
        <v>97.722529158882907</v>
      </c>
      <c r="AN5988">
        <v>1.0000000416722099</v>
      </c>
    </row>
    <row r="5989" spans="1:40" x14ac:dyDescent="0.25">
      <c r="A5989" t="str">
        <f>"20190305135351774"</f>
        <v>20190305135351774</v>
      </c>
      <c r="B5989" t="str">
        <f>"1551765231765888"</f>
        <v>1551765231765888</v>
      </c>
      <c r="C5989" t="s">
        <v>40</v>
      </c>
      <c r="D5989">
        <v>4.4120900000000001</v>
      </c>
      <c r="E5989">
        <v>0.59128970000000003</v>
      </c>
      <c r="F5989" t="s">
        <v>41</v>
      </c>
      <c r="G5989">
        <v>-257.23329999999999</v>
      </c>
      <c r="H5989">
        <v>1.0539590000000001</v>
      </c>
      <c r="I5989">
        <v>-61.729550000000003</v>
      </c>
      <c r="J5989">
        <v>-257.83949999999999</v>
      </c>
      <c r="K5989">
        <v>1.1073729999999999</v>
      </c>
      <c r="L5989">
        <v>-61.636870000000002</v>
      </c>
      <c r="M5989">
        <v>0.99971509999999997</v>
      </c>
      <c r="N5989">
        <v>-3.9984979999999996E-3</v>
      </c>
      <c r="O5989">
        <v>-2.3531050000000001E-2</v>
      </c>
      <c r="P5989">
        <v>0.99339820000000001</v>
      </c>
      <c r="Q5989">
        <v>-2.8227470000000001E-2</v>
      </c>
      <c r="R5989">
        <v>0.1111902</v>
      </c>
      <c r="S5989">
        <v>3.0580750000000001</v>
      </c>
      <c r="T5989">
        <v>-0.21982840000000001</v>
      </c>
      <c r="U5989">
        <v>-0.39553830000000001</v>
      </c>
      <c r="V5989">
        <v>-0.13457559999999999</v>
      </c>
      <c r="W5989">
        <v>-2.4041750000000001E-2</v>
      </c>
      <c r="X5989">
        <v>0.99061160000000004</v>
      </c>
      <c r="Y5989">
        <v>0.1046742</v>
      </c>
      <c r="Z5989">
        <v>-2.3642960000000001E-3</v>
      </c>
      <c r="AA5989">
        <v>0.99450369999999999</v>
      </c>
      <c r="AB5989">
        <v>29</v>
      </c>
      <c r="AC5989">
        <v>0.60620000000000096</v>
      </c>
      <c r="AD5989">
        <v>-5.3413999999999802E-2</v>
      </c>
      <c r="AE5989">
        <v>-9.2680000000008506E-2</v>
      </c>
      <c r="AF5989">
        <v>7.7799471546771401E-2</v>
      </c>
      <c r="AG5989">
        <v>-5.3413999999999802E-2</v>
      </c>
      <c r="AH5989">
        <v>0.60363352924930702</v>
      </c>
      <c r="AI5989">
        <v>95.015515781958698</v>
      </c>
      <c r="AJ5989">
        <v>82.655904562191296</v>
      </c>
      <c r="AK5989">
        <v>0.61096583439905305</v>
      </c>
      <c r="AL5989">
        <v>91.377623582632197</v>
      </c>
      <c r="AM5989">
        <v>97.736329678913194</v>
      </c>
      <c r="AN5989">
        <v>0.99999996995648999</v>
      </c>
    </row>
    <row r="5990" spans="1:40" x14ac:dyDescent="0.25">
      <c r="A5990" t="str">
        <f>"20190305135351786"</f>
        <v>20190305135351786</v>
      </c>
      <c r="B5990" t="str">
        <f>"1551765231775648"</f>
        <v>1551765231775648</v>
      </c>
      <c r="C5990" t="s">
        <v>40</v>
      </c>
      <c r="D5990">
        <v>4.4182129999999997</v>
      </c>
      <c r="E5990">
        <v>0.59132629999999997</v>
      </c>
      <c r="F5990" t="s">
        <v>41</v>
      </c>
      <c r="G5990">
        <v>-256.97890000000001</v>
      </c>
      <c r="H5990">
        <v>1.04505</v>
      </c>
      <c r="I5990">
        <v>-61.74868</v>
      </c>
      <c r="J5990">
        <v>-257.69009999999997</v>
      </c>
      <c r="K5990">
        <v>1.107343</v>
      </c>
      <c r="L5990">
        <v>-61.640810000000002</v>
      </c>
      <c r="M5990">
        <v>0.99970510000000001</v>
      </c>
      <c r="N5990">
        <v>-3.7971989999999998E-3</v>
      </c>
      <c r="O5990">
        <v>-2.3991149999999999E-2</v>
      </c>
      <c r="P5990">
        <v>0.99345839999999996</v>
      </c>
      <c r="Q5990">
        <v>-2.851035E-2</v>
      </c>
      <c r="R5990">
        <v>0.1105788</v>
      </c>
      <c r="S5990">
        <v>3.0579830000000001</v>
      </c>
      <c r="T5990">
        <v>-0.22129209999999999</v>
      </c>
      <c r="U5990">
        <v>-0.3963623</v>
      </c>
      <c r="V5990">
        <v>-0.13442279999999901</v>
      </c>
      <c r="W5990">
        <v>-2.452302E-2</v>
      </c>
      <c r="X5990">
        <v>0.99062059999999996</v>
      </c>
      <c r="Y5990">
        <v>0.1044836</v>
      </c>
      <c r="Z5990">
        <v>-2.324137E-3</v>
      </c>
      <c r="AA5990">
        <v>0.99452390000000002</v>
      </c>
      <c r="AB5990">
        <v>29</v>
      </c>
      <c r="AC5990">
        <v>0.71119999999996197</v>
      </c>
      <c r="AD5990">
        <v>-6.2292999999999897E-2</v>
      </c>
      <c r="AE5990">
        <v>-0.107870000000012</v>
      </c>
      <c r="AF5990">
        <v>9.0100638498362098E-2</v>
      </c>
      <c r="AG5990">
        <v>-6.2292999999999897E-2</v>
      </c>
      <c r="AH5990">
        <v>0.70827173592360004</v>
      </c>
      <c r="AI5990">
        <v>94.986291661910698</v>
      </c>
      <c r="AJ5990">
        <v>82.750231403049497</v>
      </c>
      <c r="AK5990">
        <v>0.71669198043165105</v>
      </c>
      <c r="AL5990">
        <v>91.405206385728704</v>
      </c>
      <c r="AM5990">
        <v>97.727582523549401</v>
      </c>
      <c r="AN5990">
        <v>1.00000002040706</v>
      </c>
    </row>
    <row r="5991" spans="1:40" x14ac:dyDescent="0.25">
      <c r="A5991" t="str">
        <f>"20190305135351797"</f>
        <v>20190305135351797</v>
      </c>
      <c r="B5991" t="str">
        <f>"1551765231786384"</f>
        <v>1551765231786384</v>
      </c>
      <c r="C5991" t="s">
        <v>40</v>
      </c>
      <c r="D5991">
        <v>4.4146320000000001</v>
      </c>
      <c r="E5991">
        <v>0.5913349</v>
      </c>
      <c r="F5991" t="s">
        <v>41</v>
      </c>
      <c r="G5991">
        <v>-256.72089999999997</v>
      </c>
      <c r="H5991">
        <v>1.0363819999999999</v>
      </c>
      <c r="I5991">
        <v>-61.767380000000003</v>
      </c>
      <c r="J5991">
        <v>-257.54820000000001</v>
      </c>
      <c r="K5991">
        <v>1.107316</v>
      </c>
      <c r="L5991">
        <v>-61.644620000000003</v>
      </c>
      <c r="M5991">
        <v>0.99969520000000001</v>
      </c>
      <c r="N5991">
        <v>-3.6212309999999999E-3</v>
      </c>
      <c r="O5991">
        <v>-2.4426659999999999E-2</v>
      </c>
      <c r="P5991">
        <v>0.99353250000000004</v>
      </c>
      <c r="Q5991">
        <v>-2.8501470000000001E-2</v>
      </c>
      <c r="R5991">
        <v>0.1099151</v>
      </c>
      <c r="S5991">
        <v>3.057693</v>
      </c>
      <c r="T5991">
        <v>-0.2237924</v>
      </c>
      <c r="U5991">
        <v>-0.39855960000000001</v>
      </c>
      <c r="V5991">
        <v>-0.13419320000000001</v>
      </c>
      <c r="W5991">
        <v>-2.4687440000000001E-2</v>
      </c>
      <c r="X5991">
        <v>0.99064759999999996</v>
      </c>
      <c r="Y5991">
        <v>0.1047614</v>
      </c>
      <c r="Z5991">
        <v>-2.3142459999999998E-3</v>
      </c>
      <c r="AA5991">
        <v>0.99449469999999995</v>
      </c>
      <c r="AB5991">
        <v>29</v>
      </c>
      <c r="AC5991">
        <v>0.82730000000003601</v>
      </c>
      <c r="AD5991">
        <v>-7.0933999999999997E-2</v>
      </c>
      <c r="AE5991">
        <v>-0.122760000000006</v>
      </c>
      <c r="AF5991">
        <v>0.101782917174275</v>
      </c>
      <c r="AG5991">
        <v>-7.0933999999999997E-2</v>
      </c>
      <c r="AH5991">
        <v>0.82412367375777196</v>
      </c>
      <c r="AI5991">
        <v>94.882524629692199</v>
      </c>
      <c r="AJ5991">
        <v>82.959371173746206</v>
      </c>
      <c r="AK5991">
        <v>0.83340939773469802</v>
      </c>
      <c r="AL5991">
        <v>91.414629873427103</v>
      </c>
      <c r="AM5991">
        <v>97.714334828785695</v>
      </c>
      <c r="AN5991">
        <v>0.99999997600287605</v>
      </c>
    </row>
    <row r="5992" spans="1:40" x14ac:dyDescent="0.25">
      <c r="A5992" t="str">
        <f>"20190305135351808"</f>
        <v>20190305135351808</v>
      </c>
      <c r="B5992" t="str">
        <f>"1551765231805904"</f>
        <v>1551765231805904</v>
      </c>
      <c r="C5992" t="s">
        <v>40</v>
      </c>
      <c r="D5992">
        <v>4.4209849999999999</v>
      </c>
      <c r="E5992">
        <v>0.59133610000000003</v>
      </c>
      <c r="F5992" t="s">
        <v>41</v>
      </c>
      <c r="G5992">
        <v>-256.71609999999998</v>
      </c>
      <c r="H5992">
        <v>1.045936</v>
      </c>
      <c r="I5992">
        <v>-61.753900000000002</v>
      </c>
      <c r="J5992">
        <v>-257.40170000000001</v>
      </c>
      <c r="K5992">
        <v>1.1072930000000001</v>
      </c>
      <c r="L5992">
        <v>-61.648589999999999</v>
      </c>
      <c r="M5992">
        <v>0.99968460000000003</v>
      </c>
      <c r="N5992">
        <v>-3.444903E-3</v>
      </c>
      <c r="O5992">
        <v>-2.4875169999999999E-2</v>
      </c>
      <c r="P5992">
        <v>0.99363449999999998</v>
      </c>
      <c r="Q5992">
        <v>-2.885387E-2</v>
      </c>
      <c r="R5992">
        <v>0.1088927</v>
      </c>
      <c r="S5992">
        <v>3.057388</v>
      </c>
      <c r="T5992">
        <v>-0.2254707</v>
      </c>
      <c r="U5992">
        <v>-0.4006653</v>
      </c>
      <c r="V5992">
        <v>-0.1336194</v>
      </c>
      <c r="W5992">
        <v>-2.5213940000000001E-2</v>
      </c>
      <c r="X5992">
        <v>0.99071189999999998</v>
      </c>
      <c r="Y5992">
        <v>0.1049995</v>
      </c>
      <c r="Z5992">
        <v>-2.293837E-3</v>
      </c>
      <c r="AA5992">
        <v>0.99446959999999995</v>
      </c>
      <c r="AB5992">
        <v>29</v>
      </c>
      <c r="AC5992">
        <v>0.68560000000002197</v>
      </c>
      <c r="AD5992">
        <v>-6.1357000000000099E-2</v>
      </c>
      <c r="AE5992">
        <v>-0.105309999999995</v>
      </c>
      <c r="AF5992">
        <v>8.7537950320358507E-2</v>
      </c>
      <c r="AG5992">
        <v>-6.1357000000000099E-2</v>
      </c>
      <c r="AH5992">
        <v>0.68266591988772796</v>
      </c>
      <c r="AI5992">
        <v>95.094369947926197</v>
      </c>
      <c r="AJ5992">
        <v>82.692863286319195</v>
      </c>
      <c r="AK5992">
        <v>0.690985044969461</v>
      </c>
      <c r="AL5992">
        <v>91.444805493979104</v>
      </c>
      <c r="AM5992">
        <v>97.681250997745593</v>
      </c>
      <c r="AN5992">
        <v>0.99999997781414596</v>
      </c>
    </row>
    <row r="5993" spans="1:40" x14ac:dyDescent="0.25">
      <c r="A5993" t="str">
        <f>"20190305135351819"</f>
        <v>20190305135351819</v>
      </c>
      <c r="B5993" t="str">
        <f>"1551765231815664"</f>
        <v>1551765231815664</v>
      </c>
      <c r="C5993" t="s">
        <v>40</v>
      </c>
      <c r="D5993">
        <v>4.4603570000000001</v>
      </c>
      <c r="E5993">
        <v>0.59131299999999998</v>
      </c>
      <c r="F5993" t="s">
        <v>41</v>
      </c>
      <c r="G5993">
        <v>-256.45679999999999</v>
      </c>
      <c r="H5993">
        <v>1.036516</v>
      </c>
      <c r="I5993">
        <v>-61.773819999999901</v>
      </c>
      <c r="J5993">
        <v>-257.24979999999999</v>
      </c>
      <c r="K5993">
        <v>1.1072709999999999</v>
      </c>
      <c r="L5993">
        <v>-61.652769999999997</v>
      </c>
      <c r="M5993">
        <v>0.99967349999999999</v>
      </c>
      <c r="N5993">
        <v>-3.2753130000000002E-3</v>
      </c>
      <c r="O5993">
        <v>-2.5339690000000002E-2</v>
      </c>
      <c r="P5993">
        <v>0.99377230000000005</v>
      </c>
      <c r="Q5993">
        <v>-2.8932550000000001E-2</v>
      </c>
      <c r="R5993">
        <v>0.1076082</v>
      </c>
      <c r="S5993">
        <v>3.0568390000000001</v>
      </c>
      <c r="T5993">
        <v>-0.2287862</v>
      </c>
      <c r="U5993">
        <v>-0.40390009999999998</v>
      </c>
      <c r="V5993">
        <v>-0.13279929999999901</v>
      </c>
      <c r="W5993">
        <v>-2.546025E-2</v>
      </c>
      <c r="X5993">
        <v>0.99081589999999997</v>
      </c>
      <c r="Y5993">
        <v>0.10558869999999999</v>
      </c>
      <c r="Z5993">
        <v>-2.3005249999999999E-3</v>
      </c>
      <c r="AA5993">
        <v>0.99440720000000005</v>
      </c>
      <c r="AB5993">
        <v>29</v>
      </c>
      <c r="AC5993">
        <v>0.79300000000000603</v>
      </c>
      <c r="AD5993">
        <v>-7.0754999999999901E-2</v>
      </c>
      <c r="AE5993">
        <v>-0.12104999999999599</v>
      </c>
      <c r="AF5993">
        <v>0.10013760450546499</v>
      </c>
      <c r="AG5993">
        <v>-7.0754999999999901E-2</v>
      </c>
      <c r="AH5993">
        <v>0.78966933872185696</v>
      </c>
      <c r="AI5993">
        <v>95.079611232205494</v>
      </c>
      <c r="AJ5993">
        <v>82.772922623951104</v>
      </c>
      <c r="AK5993">
        <v>0.79913170027130598</v>
      </c>
      <c r="AL5993">
        <v>91.458922498439307</v>
      </c>
      <c r="AM5993">
        <v>97.633872532602496</v>
      </c>
      <c r="AN5993">
        <v>1.00000001305168</v>
      </c>
    </row>
    <row r="5994" spans="1:40" x14ac:dyDescent="0.25">
      <c r="A5994" t="str">
        <f>"20190305135351832"</f>
        <v>20190305135351832</v>
      </c>
      <c r="B5994" t="str">
        <f>"1551765231826399"</f>
        <v>1551765231826399</v>
      </c>
      <c r="C5994" t="s">
        <v>40</v>
      </c>
      <c r="D5994">
        <v>4.446917</v>
      </c>
      <c r="E5994">
        <v>0.5912925</v>
      </c>
      <c r="F5994" t="s">
        <v>41</v>
      </c>
      <c r="G5994">
        <v>-256.45150000000001</v>
      </c>
      <c r="H5994">
        <v>1.047094</v>
      </c>
      <c r="I5994">
        <v>-61.759630000000001</v>
      </c>
      <c r="J5994">
        <v>-257.09289999999999</v>
      </c>
      <c r="K5994">
        <v>1.1072550000000001</v>
      </c>
      <c r="L5994">
        <v>-61.657170000000001</v>
      </c>
      <c r="M5994">
        <v>0.99966189999999999</v>
      </c>
      <c r="N5994">
        <v>-3.1106839999999998E-3</v>
      </c>
      <c r="O5994">
        <v>-2.581878E-2</v>
      </c>
      <c r="P5994">
        <v>0.99394819999999995</v>
      </c>
      <c r="Q5994">
        <v>-2.925964E-2</v>
      </c>
      <c r="R5994">
        <v>0.10588350000000001</v>
      </c>
      <c r="S5994">
        <v>3.056244</v>
      </c>
      <c r="T5994">
        <v>-0.23019120000000001</v>
      </c>
      <c r="U5994">
        <v>-0.4076843</v>
      </c>
      <c r="V5994">
        <v>-0.13155600000000001</v>
      </c>
      <c r="W5994">
        <v>-2.5950629999999999E-2</v>
      </c>
      <c r="X5994">
        <v>0.99096899999999999</v>
      </c>
      <c r="Y5994">
        <v>0.1063443</v>
      </c>
      <c r="Z5994">
        <v>-2.295517E-3</v>
      </c>
      <c r="AA5994">
        <v>0.99432670000000001</v>
      </c>
      <c r="AB5994">
        <v>29</v>
      </c>
      <c r="AC5994">
        <v>0.64139999999997599</v>
      </c>
      <c r="AD5994">
        <v>-6.0160999999999902E-2</v>
      </c>
      <c r="AE5994">
        <v>-0.102460000000007</v>
      </c>
      <c r="AF5994">
        <v>8.5135237669634295E-2</v>
      </c>
      <c r="AG5994">
        <v>-6.0160999999999902E-2</v>
      </c>
      <c r="AH5994">
        <v>0.63835523519815995</v>
      </c>
      <c r="AI5994">
        <v>95.3368908326715</v>
      </c>
      <c r="AJ5994">
        <v>82.403486507179693</v>
      </c>
      <c r="AK5994">
        <v>0.64681122510278299</v>
      </c>
      <c r="AL5994">
        <v>91.487028527825501</v>
      </c>
      <c r="AM5994">
        <v>97.562078551392304</v>
      </c>
      <c r="AN5994">
        <v>0.999999987647198</v>
      </c>
    </row>
    <row r="5995" spans="1:40" x14ac:dyDescent="0.25">
      <c r="A5995" t="str">
        <f>"20190305135351842"</f>
        <v>20190305135351842</v>
      </c>
      <c r="B5995" t="str">
        <f>"1551765231836159"</f>
        <v>1551765231836159</v>
      </c>
      <c r="C5995" t="s">
        <v>40</v>
      </c>
      <c r="D5995">
        <v>4.4455900000000002</v>
      </c>
      <c r="E5995">
        <v>0.59130249999999995</v>
      </c>
      <c r="F5995" t="s">
        <v>41</v>
      </c>
      <c r="G5995">
        <v>-256.19009999999997</v>
      </c>
      <c r="H5995">
        <v>1.038748</v>
      </c>
      <c r="I5995">
        <v>-61.779169999999901</v>
      </c>
      <c r="J5995">
        <v>-256.9425</v>
      </c>
      <c r="K5995">
        <v>1.1072280000000001</v>
      </c>
      <c r="L5995">
        <v>-61.661470000000001</v>
      </c>
      <c r="M5995">
        <v>0.99965040000000005</v>
      </c>
      <c r="N5995">
        <v>-2.961062E-3</v>
      </c>
      <c r="O5995">
        <v>-2.6277289999999998E-2</v>
      </c>
      <c r="P5995">
        <v>0.99414290000000005</v>
      </c>
      <c r="Q5995">
        <v>-2.9348639999999999E-2</v>
      </c>
      <c r="R5995">
        <v>0.1040145</v>
      </c>
      <c r="S5995">
        <v>3.0553889999999999</v>
      </c>
      <c r="T5995">
        <v>-0.23185810000000001</v>
      </c>
      <c r="U5995">
        <v>-0.41284179999999998</v>
      </c>
      <c r="V5995">
        <v>-0.13014780000000001</v>
      </c>
      <c r="W5995">
        <v>-2.6188380000000001E-2</v>
      </c>
      <c r="X5995">
        <v>0.99114869999999999</v>
      </c>
      <c r="Y5995">
        <v>0.10756830000000001</v>
      </c>
      <c r="Z5995">
        <v>-2.3136239999999998E-3</v>
      </c>
      <c r="AA5995">
        <v>0.99419500000000005</v>
      </c>
      <c r="AB5995">
        <v>30</v>
      </c>
      <c r="AC5995">
        <v>0.75240000000002205</v>
      </c>
      <c r="AD5995">
        <v>-6.8480000000000096E-2</v>
      </c>
      <c r="AE5995">
        <v>-0.117699999999999</v>
      </c>
      <c r="AF5995">
        <v>9.7103070131413297E-2</v>
      </c>
      <c r="AG5995">
        <v>-6.8480000000000096E-2</v>
      </c>
      <c r="AH5995">
        <v>0.74917525720866096</v>
      </c>
      <c r="AI5995">
        <v>95.179644139823793</v>
      </c>
      <c r="AJ5995">
        <v>82.614877551426105</v>
      </c>
      <c r="AK5995">
        <v>0.75853944040017396</v>
      </c>
      <c r="AL5995">
        <v>91.500655192368598</v>
      </c>
      <c r="AM5995">
        <v>97.480713458098506</v>
      </c>
      <c r="AN5995">
        <v>1.0000000133017699</v>
      </c>
    </row>
    <row r="5996" spans="1:40" x14ac:dyDescent="0.25">
      <c r="A5996" t="str">
        <f>"20190305135351853"</f>
        <v>20190305135351853</v>
      </c>
      <c r="B5996" t="str">
        <f>"1551765231845919"</f>
        <v>1551765231845919</v>
      </c>
      <c r="C5996" t="s">
        <v>40</v>
      </c>
      <c r="D5996">
        <v>4.4516900000000001</v>
      </c>
      <c r="E5996">
        <v>0.59122469999999905</v>
      </c>
      <c r="F5996" t="s">
        <v>41</v>
      </c>
      <c r="G5996">
        <v>-256.18470000000002</v>
      </c>
      <c r="H5996">
        <v>1.0494159999999999</v>
      </c>
      <c r="I5996">
        <v>-61.765349999999998</v>
      </c>
      <c r="J5996">
        <v>-256.79849999999999</v>
      </c>
      <c r="K5996">
        <v>1.1072109999999999</v>
      </c>
      <c r="L5996">
        <v>-61.665649999999999</v>
      </c>
      <c r="M5996">
        <v>0.9996391</v>
      </c>
      <c r="N5996">
        <v>-2.8298389999999998E-3</v>
      </c>
      <c r="O5996">
        <v>-2.6715820000000001E-2</v>
      </c>
      <c r="P5996">
        <v>0.99435479999999998</v>
      </c>
      <c r="Q5996">
        <v>-2.9338900000000001E-2</v>
      </c>
      <c r="R5996">
        <v>0.10196860000000001</v>
      </c>
      <c r="S5996">
        <v>3.0545960000000001</v>
      </c>
      <c r="T5996">
        <v>-0.23302139999999999</v>
      </c>
      <c r="U5996">
        <v>-0.41867070000000001</v>
      </c>
      <c r="V5996">
        <v>-0.12854369999999901</v>
      </c>
      <c r="W5996">
        <v>-2.6309599999999999E-2</v>
      </c>
      <c r="X5996">
        <v>0.99135479999999998</v>
      </c>
      <c r="Y5996">
        <v>0.1090242</v>
      </c>
      <c r="Z5996">
        <v>-2.3390630000000002E-3</v>
      </c>
      <c r="AA5996">
        <v>0.99403629999999998</v>
      </c>
      <c r="AB5996">
        <v>30</v>
      </c>
      <c r="AC5996">
        <v>0.61379999999996904</v>
      </c>
      <c r="AD5996">
        <v>-5.77950000000002E-2</v>
      </c>
      <c r="AE5996">
        <v>-9.9699999999998498E-2</v>
      </c>
      <c r="AF5996">
        <v>8.2553078569055097E-2</v>
      </c>
      <c r="AG5996">
        <v>-5.77950000000002E-2</v>
      </c>
      <c r="AH5996">
        <v>0.61096691332495401</v>
      </c>
      <c r="AI5996">
        <v>95.355488894155201</v>
      </c>
      <c r="AJ5996">
        <v>82.304870892010399</v>
      </c>
      <c r="AK5996">
        <v>0.61922196503681204</v>
      </c>
      <c r="AL5996">
        <v>91.507602987612202</v>
      </c>
      <c r="AM5996">
        <v>97.388018026993393</v>
      </c>
      <c r="AN5996">
        <v>1.0000000086724401</v>
      </c>
    </row>
    <row r="5997" spans="1:40" x14ac:dyDescent="0.25">
      <c r="A5997" t="str">
        <f>"20190305135351864"</f>
        <v>20190305135351864</v>
      </c>
      <c r="B5997" t="str">
        <f>"1551765231855680"</f>
        <v>1551765231855680</v>
      </c>
      <c r="C5997" t="s">
        <v>40</v>
      </c>
      <c r="D5997">
        <v>4.4504609999999998</v>
      </c>
      <c r="E5997">
        <v>0.59122989999999997</v>
      </c>
      <c r="F5997" t="s">
        <v>41</v>
      </c>
      <c r="G5997">
        <v>-255.9222</v>
      </c>
      <c r="H5997">
        <v>1.039901</v>
      </c>
      <c r="I5997">
        <v>-61.787759999999999</v>
      </c>
      <c r="J5997">
        <v>-256.64909999999998</v>
      </c>
      <c r="K5997">
        <v>1.107191</v>
      </c>
      <c r="L5997">
        <v>-61.670009999999998</v>
      </c>
      <c r="M5997">
        <v>0.9996273</v>
      </c>
      <c r="N5997">
        <v>-2.6967330000000002E-3</v>
      </c>
      <c r="O5997">
        <v>-2.7171170000000001E-2</v>
      </c>
      <c r="P5997">
        <v>0.99457189999999995</v>
      </c>
      <c r="Q5997">
        <v>-2.9394779999999999E-2</v>
      </c>
      <c r="R5997">
        <v>9.9814520000000004E-2</v>
      </c>
      <c r="S5997">
        <v>3.0536349999999999</v>
      </c>
      <c r="T5997">
        <v>-0.2344184</v>
      </c>
      <c r="U5997">
        <v>-0.42437740000000002</v>
      </c>
      <c r="V5997">
        <v>-0.12684809999999999</v>
      </c>
      <c r="W5997">
        <v>-2.649849E-2</v>
      </c>
      <c r="X5997">
        <v>0.99156809999999995</v>
      </c>
      <c r="Y5997">
        <v>0.11043119999999999</v>
      </c>
      <c r="Z5997">
        <v>-2.363352E-3</v>
      </c>
      <c r="AA5997">
        <v>0.99388100000000001</v>
      </c>
      <c r="AB5997">
        <v>30</v>
      </c>
      <c r="AC5997">
        <v>0.72689999999997201</v>
      </c>
      <c r="AD5997">
        <v>-6.7290000000000003E-2</v>
      </c>
      <c r="AE5997">
        <v>-0.11774999999999999</v>
      </c>
      <c r="AF5997">
        <v>9.7144546386833897E-2</v>
      </c>
      <c r="AG5997">
        <v>-6.7290000000000003E-2</v>
      </c>
      <c r="AH5997">
        <v>0.72378719301107997</v>
      </c>
      <c r="AI5997">
        <v>95.264543794944302</v>
      </c>
      <c r="AJ5997">
        <v>82.355616350206105</v>
      </c>
      <c r="AK5997">
        <v>0.73337092099398205</v>
      </c>
      <c r="AL5997">
        <v>91.518429445419599</v>
      </c>
      <c r="AM5997">
        <v>97.290067893250693</v>
      </c>
      <c r="AN5997">
        <v>0.99999995369174899</v>
      </c>
    </row>
    <row r="5998" spans="1:40" x14ac:dyDescent="0.25">
      <c r="A5998" t="str">
        <f>"20190305135351876"</f>
        <v>20190305135351876</v>
      </c>
      <c r="B5998" t="str">
        <f>"1551765231866415"</f>
        <v>1551765231866415</v>
      </c>
      <c r="C5998" t="s">
        <v>40</v>
      </c>
      <c r="D5998">
        <v>4.5524089999999999</v>
      </c>
      <c r="E5998">
        <v>0.59122989999999997</v>
      </c>
      <c r="F5998" t="s">
        <v>41</v>
      </c>
      <c r="G5998">
        <v>-255.91650000000001</v>
      </c>
      <c r="H5998">
        <v>1.050646</v>
      </c>
      <c r="I5998">
        <v>-61.773780000000002</v>
      </c>
      <c r="J5998">
        <v>-256.50580000000002</v>
      </c>
      <c r="K5998">
        <v>1.1071799999999901</v>
      </c>
      <c r="L5998">
        <v>-61.674320000000002</v>
      </c>
      <c r="M5998">
        <v>0.99961560000000005</v>
      </c>
      <c r="N5998">
        <v>-2.5827300000000001E-3</v>
      </c>
      <c r="O5998">
        <v>-2.7607010000000001E-2</v>
      </c>
      <c r="P5998">
        <v>0.99477159999999998</v>
      </c>
      <c r="Q5998">
        <v>-2.9763040000000001E-2</v>
      </c>
      <c r="R5998">
        <v>9.7693920000000004E-2</v>
      </c>
      <c r="S5998">
        <v>3.052673</v>
      </c>
      <c r="T5998">
        <v>-0.23545179999999999</v>
      </c>
      <c r="U5998">
        <v>-0.43106080000000002</v>
      </c>
      <c r="V5998">
        <v>-0.12516739999999901</v>
      </c>
      <c r="W5998">
        <v>-2.698101E-2</v>
      </c>
      <c r="X5998">
        <v>0.99176869999999995</v>
      </c>
      <c r="Y5998">
        <v>0.1121689</v>
      </c>
      <c r="Z5998">
        <v>-2.4003219999999999E-3</v>
      </c>
      <c r="AA5998">
        <v>0.99368630000000002</v>
      </c>
      <c r="AB5998">
        <v>30</v>
      </c>
      <c r="AC5998">
        <v>0.58930000000000804</v>
      </c>
      <c r="AD5998">
        <v>-5.65339999999998E-2</v>
      </c>
      <c r="AE5998">
        <v>-9.9460000000007598E-2</v>
      </c>
      <c r="AF5998">
        <v>8.2415733043793502E-2</v>
      </c>
      <c r="AG5998">
        <v>-5.65339999999998E-2</v>
      </c>
      <c r="AH5998">
        <v>0.58657227193624095</v>
      </c>
      <c r="AI5998">
        <v>95.451955036462607</v>
      </c>
      <c r="AJ5998">
        <v>82.002071277144196</v>
      </c>
      <c r="AK5998">
        <v>0.59502560988043895</v>
      </c>
      <c r="AL5998">
        <v>91.546085618375599</v>
      </c>
      <c r="AM5998">
        <v>97.193055489200404</v>
      </c>
      <c r="AN5998">
        <v>1.00000000361153</v>
      </c>
    </row>
    <row r="5999" spans="1:40" x14ac:dyDescent="0.25">
      <c r="A5999" t="str">
        <f>"20190305135351888"</f>
        <v>20190305135351888</v>
      </c>
      <c r="B5999" t="str">
        <f>"1551765231885937"</f>
        <v>1551765231885937</v>
      </c>
      <c r="C5999" t="s">
        <v>40</v>
      </c>
      <c r="D5999">
        <v>4.3463390000000004</v>
      </c>
      <c r="E5999">
        <v>0.56743900000000003</v>
      </c>
      <c r="F5999" t="s">
        <v>41</v>
      </c>
      <c r="G5999">
        <v>-255.65270000000001</v>
      </c>
      <c r="H5999">
        <v>1.0410469999999901</v>
      </c>
      <c r="I5999">
        <v>-61.79683</v>
      </c>
      <c r="J5999">
        <v>-256.33440000000002</v>
      </c>
      <c r="K5999">
        <v>1.1071629999999999</v>
      </c>
      <c r="L5999">
        <v>-61.679499999999997</v>
      </c>
      <c r="M5999">
        <v>0.99960139999999997</v>
      </c>
      <c r="N5999">
        <v>-2.4502069999999998E-3</v>
      </c>
      <c r="O5999">
        <v>-2.8128650000000002E-2</v>
      </c>
      <c r="P5999">
        <v>0.99500049999999995</v>
      </c>
      <c r="Q5999">
        <v>-2.9929730000000002E-2</v>
      </c>
      <c r="R5999">
        <v>9.5280569999999995E-2</v>
      </c>
      <c r="S5999">
        <v>3.051666</v>
      </c>
      <c r="T5999">
        <v>-0.2364231</v>
      </c>
      <c r="U5999">
        <v>-0.43759160000000002</v>
      </c>
      <c r="V5999">
        <v>-0.12327970000000001</v>
      </c>
      <c r="W5999">
        <v>-2.7280479999999999E-2</v>
      </c>
      <c r="X5999">
        <v>0.99199689999999996</v>
      </c>
      <c r="Y5999">
        <v>0.11377520000000001</v>
      </c>
      <c r="Z5999">
        <v>-2.4235699999999999E-3</v>
      </c>
      <c r="AA5999">
        <v>0.99350360000000004</v>
      </c>
      <c r="AB5999">
        <v>30</v>
      </c>
      <c r="AC5999">
        <v>0.68170000000000597</v>
      </c>
      <c r="AD5999">
        <v>-6.6115999999999994E-2</v>
      </c>
      <c r="AE5999">
        <v>-0.117330000000009</v>
      </c>
      <c r="AF5999">
        <v>9.7220030901654098E-2</v>
      </c>
      <c r="AG5999">
        <v>-6.6115999999999994E-2</v>
      </c>
      <c r="AH5999">
        <v>0.67853164834400304</v>
      </c>
      <c r="AI5999">
        <v>95.509408312076999</v>
      </c>
      <c r="AJ5999">
        <v>81.846154330771199</v>
      </c>
      <c r="AK5999">
        <v>0.688642329274747</v>
      </c>
      <c r="AL5999">
        <v>91.563250341889898</v>
      </c>
      <c r="AM5999">
        <v>97.084071679590295</v>
      </c>
      <c r="AN5999">
        <v>0.999999979315365</v>
      </c>
    </row>
    <row r="6000" spans="1:40" x14ac:dyDescent="0.25">
      <c r="A6000" t="str">
        <f>"20190305135351899"</f>
        <v>20190305135351899</v>
      </c>
      <c r="B6000" t="str">
        <f>"1551765231895695"</f>
        <v>1551765231895695</v>
      </c>
      <c r="C6000" t="s">
        <v>40</v>
      </c>
      <c r="D6000">
        <v>4.3307500000000001</v>
      </c>
      <c r="E6000">
        <v>0.56520289999999995</v>
      </c>
      <c r="F6000" t="s">
        <v>41</v>
      </c>
      <c r="G6000">
        <v>-255.3785</v>
      </c>
      <c r="H6000">
        <v>1.0457669999999999</v>
      </c>
      <c r="I6000">
        <v>-61.759979999999999</v>
      </c>
      <c r="J6000">
        <v>-256.17840000000001</v>
      </c>
      <c r="K6000">
        <v>1.1071489999999999</v>
      </c>
      <c r="L6000">
        <v>-61.6843</v>
      </c>
      <c r="M6000">
        <v>0.99958820000000004</v>
      </c>
      <c r="N6000">
        <v>-2.3393899999999998E-3</v>
      </c>
      <c r="O6000">
        <v>-2.8602780000000001E-2</v>
      </c>
      <c r="P6000">
        <v>0.9952164</v>
      </c>
      <c r="Q6000">
        <v>-3.0030419999999999E-2</v>
      </c>
      <c r="R6000">
        <v>9.2966499999999994E-2</v>
      </c>
      <c r="S6000">
        <v>3.0335999999999999</v>
      </c>
      <c r="T6000">
        <v>-0.1946859</v>
      </c>
      <c r="U6000">
        <v>-0.25427250000000001</v>
      </c>
      <c r="V6000">
        <v>-0.12144389999999899</v>
      </c>
      <c r="W6000">
        <v>-2.7492570000000001E-2</v>
      </c>
      <c r="X6000">
        <v>0.99221749999999997</v>
      </c>
      <c r="Y6000">
        <v>5.4926700000000002E-2</v>
      </c>
      <c r="Z6000" s="1">
        <v>-5.8996719999999998E-5</v>
      </c>
      <c r="AA6000">
        <v>0.9984904</v>
      </c>
      <c r="AB6000">
        <v>30</v>
      </c>
      <c r="AC6000">
        <v>0.79990000000000705</v>
      </c>
      <c r="AD6000">
        <v>-6.1381999999999798E-2</v>
      </c>
      <c r="AE6000">
        <v>-7.5680000000005507E-2</v>
      </c>
      <c r="AF6000">
        <v>5.2463417162969699E-2</v>
      </c>
      <c r="AG6000">
        <v>-6.1381999999999798E-2</v>
      </c>
      <c r="AH6000">
        <v>0.79708532940647103</v>
      </c>
      <c r="AI6000">
        <v>94.394075962638098</v>
      </c>
      <c r="AJ6000">
        <v>86.234276554155798</v>
      </c>
      <c r="AK6000">
        <v>0.80116489090538601</v>
      </c>
      <c r="AL6000">
        <v>91.5754067078025</v>
      </c>
      <c r="AM6000">
        <v>96.978092145727402</v>
      </c>
      <c r="AN6000">
        <v>1.00000001477933</v>
      </c>
    </row>
    <row r="6001" spans="1:40" x14ac:dyDescent="0.25">
      <c r="A6001" t="str">
        <f>"20190305135351910"</f>
        <v>20190305135351910</v>
      </c>
      <c r="B6001" t="str">
        <f>"1551765231906432"</f>
        <v>1551765231906432</v>
      </c>
      <c r="C6001" t="s">
        <v>40</v>
      </c>
      <c r="D6001">
        <v>4.3467929999999999</v>
      </c>
      <c r="E6001">
        <v>0.56417469999999903</v>
      </c>
      <c r="F6001" t="s">
        <v>95</v>
      </c>
      <c r="G6001">
        <v>-236.75880000000001</v>
      </c>
      <c r="H6001" s="1">
        <v>-2.6463450000000002E-6</v>
      </c>
      <c r="I6001">
        <v>-63.238799999999998</v>
      </c>
      <c r="J6001">
        <v>-256.04090000000002</v>
      </c>
      <c r="K6001">
        <v>1.10714</v>
      </c>
      <c r="L6001">
        <v>-61.688600000000001</v>
      </c>
      <c r="M6001">
        <v>0.99957620000000003</v>
      </c>
      <c r="N6001">
        <v>-2.2467239999999999E-3</v>
      </c>
      <c r="O6001">
        <v>-2.9020440000000002E-2</v>
      </c>
      <c r="P6001">
        <v>0.99540669999999998</v>
      </c>
      <c r="Q6001">
        <v>-3.0285960000000001E-2</v>
      </c>
      <c r="R6001">
        <v>9.0820129999999999E-2</v>
      </c>
      <c r="S6001">
        <v>3.031876</v>
      </c>
      <c r="T6001">
        <v>-0.1728539</v>
      </c>
      <c r="U6001">
        <v>-0.24270630000000001</v>
      </c>
      <c r="V6001">
        <v>-0.11971950000000001</v>
      </c>
      <c r="W6001">
        <v>-2.784157E-2</v>
      </c>
      <c r="X6001">
        <v>0.99241729999999995</v>
      </c>
      <c r="Y6001">
        <v>5.0792690000000001E-2</v>
      </c>
      <c r="Z6001" s="1">
        <v>8.3199939999999999E-5</v>
      </c>
      <c r="AA6001">
        <v>0.99870919999999996</v>
      </c>
      <c r="AB6001">
        <v>30</v>
      </c>
      <c r="AC6001">
        <v>19.2821</v>
      </c>
      <c r="AD6001">
        <v>-1.107142646345</v>
      </c>
      <c r="AE6001">
        <v>-1.55019999999999</v>
      </c>
      <c r="AF6001">
        <v>0.98673835839483703</v>
      </c>
      <c r="AG6001">
        <v>-1.107142646345</v>
      </c>
      <c r="AH6001">
        <v>19.2558903040206</v>
      </c>
      <c r="AI6001">
        <v>93.286370457478796</v>
      </c>
      <c r="AJ6001">
        <v>87.066532131573396</v>
      </c>
      <c r="AK6001">
        <v>19.3129161140352</v>
      </c>
      <c r="AL6001">
        <v>91.595410608650994</v>
      </c>
      <c r="AM6001">
        <v>96.878593754353702</v>
      </c>
      <c r="AN6001">
        <v>1.0000000045198001</v>
      </c>
    </row>
    <row r="6002" spans="1:40" x14ac:dyDescent="0.25">
      <c r="A6002" t="str">
        <f>"20190305135351921"</f>
        <v>20190305135351921</v>
      </c>
      <c r="B6002" t="str">
        <f>"1551765231916192"</f>
        <v>1551765231916192</v>
      </c>
      <c r="C6002" t="s">
        <v>40</v>
      </c>
      <c r="D6002">
        <v>4.3382820000000004</v>
      </c>
      <c r="E6002">
        <v>0.56364320000000001</v>
      </c>
      <c r="F6002" t="s">
        <v>41</v>
      </c>
      <c r="G6002">
        <v>-255.0966</v>
      </c>
      <c r="H6002">
        <v>1.0581119999999999</v>
      </c>
      <c r="I6002">
        <v>-61.763579999999997</v>
      </c>
      <c r="J6002">
        <v>-255.8887</v>
      </c>
      <c r="K6002">
        <v>1.107127</v>
      </c>
      <c r="L6002">
        <v>-61.693420000000003</v>
      </c>
      <c r="M6002">
        <v>0.99956310000000004</v>
      </c>
      <c r="N6002">
        <v>-2.1503189999999999E-3</v>
      </c>
      <c r="O6002">
        <v>-2.9482930000000001E-2</v>
      </c>
      <c r="P6002">
        <v>0.99558100000000005</v>
      </c>
      <c r="Q6002">
        <v>-3.0561930000000001E-2</v>
      </c>
      <c r="R6002">
        <v>8.8795479999999996E-2</v>
      </c>
      <c r="S6002">
        <v>3.0309910000000002</v>
      </c>
      <c r="T6002">
        <v>-0.15726789999999999</v>
      </c>
      <c r="U6002">
        <v>-0.24038699999999999</v>
      </c>
      <c r="V6002">
        <v>-0.11816069999999999</v>
      </c>
      <c r="W6002">
        <v>-2.8214400000000001E-2</v>
      </c>
      <c r="X6002">
        <v>0.99259359999999996</v>
      </c>
      <c r="Y6002">
        <v>4.9603519999999998E-2</v>
      </c>
      <c r="Z6002">
        <v>1.250004E-4</v>
      </c>
      <c r="AA6002">
        <v>0.99876900000000002</v>
      </c>
      <c r="AB6002">
        <v>30</v>
      </c>
      <c r="AC6002">
        <v>0.79210000000000402</v>
      </c>
      <c r="AD6002">
        <v>-4.9014999999999802E-2</v>
      </c>
      <c r="AE6002">
        <v>-7.0160000000008396E-2</v>
      </c>
      <c r="AF6002">
        <v>4.6598976678496599E-2</v>
      </c>
      <c r="AG6002">
        <v>-4.9014999999999802E-2</v>
      </c>
      <c r="AH6002">
        <v>0.79081962267399397</v>
      </c>
      <c r="AI6002">
        <v>93.540529896739699</v>
      </c>
      <c r="AJ6002">
        <v>86.627750606567403</v>
      </c>
      <c r="AK6002">
        <v>0.79370624947692103</v>
      </c>
      <c r="AL6002">
        <v>91.616780549876296</v>
      </c>
      <c r="AM6002">
        <v>96.788678336595893</v>
      </c>
      <c r="AN6002">
        <v>1.0000000290764</v>
      </c>
    </row>
    <row r="6003" spans="1:40" x14ac:dyDescent="0.25">
      <c r="A6003" t="str">
        <f>"20190305135351932"</f>
        <v>20190305135351932</v>
      </c>
      <c r="B6003" t="str">
        <f>"1551765231925951"</f>
        <v>1551765231925951</v>
      </c>
      <c r="C6003" t="s">
        <v>40</v>
      </c>
      <c r="D6003">
        <v>4.3188069999999996</v>
      </c>
      <c r="E6003">
        <v>0.56333820000000001</v>
      </c>
      <c r="F6003" t="s">
        <v>95</v>
      </c>
      <c r="G6003">
        <v>-232.92259999999999</v>
      </c>
      <c r="H6003" s="1">
        <v>-1.0770640000000001E-6</v>
      </c>
      <c r="I6003">
        <v>-63.526029999999999</v>
      </c>
      <c r="J6003">
        <v>-255.7372</v>
      </c>
      <c r="K6003">
        <v>1.1071150000000001</v>
      </c>
      <c r="L6003">
        <v>-61.698300000000003</v>
      </c>
      <c r="M6003">
        <v>0.99954960000000004</v>
      </c>
      <c r="N6003">
        <v>-2.0615519999999999E-3</v>
      </c>
      <c r="O6003">
        <v>-2.9942449999999999E-2</v>
      </c>
      <c r="P6003">
        <v>0.99578840000000002</v>
      </c>
      <c r="Q6003">
        <v>-3.0429939999999999E-2</v>
      </c>
      <c r="R6003">
        <v>8.6484619999999998E-2</v>
      </c>
      <c r="S6003">
        <v>3.0303650000000002</v>
      </c>
      <c r="T6003">
        <v>-0.14608550000000001</v>
      </c>
      <c r="U6003">
        <v>-0.24182129999999999</v>
      </c>
      <c r="V6003">
        <v>-0.11631329999999999</v>
      </c>
      <c r="W6003">
        <v>-2.8172200000000001E-2</v>
      </c>
      <c r="X6003">
        <v>0.9928129</v>
      </c>
      <c r="Y6003">
        <v>4.9635159999999998E-2</v>
      </c>
      <c r="Z6003">
        <v>1.330344E-4</v>
      </c>
      <c r="AA6003">
        <v>0.99876739999999997</v>
      </c>
      <c r="AB6003">
        <v>30</v>
      </c>
      <c r="AC6003">
        <v>22.814599999999999</v>
      </c>
      <c r="AD6003">
        <v>-1.1071160770640001</v>
      </c>
      <c r="AE6003">
        <v>-1.8277300000000001</v>
      </c>
      <c r="AF6003">
        <v>1.14111408489815</v>
      </c>
      <c r="AG6003">
        <v>-1.1071160770640001</v>
      </c>
      <c r="AH6003">
        <v>22.805735983915699</v>
      </c>
      <c r="AI6003">
        <v>92.775803740402097</v>
      </c>
      <c r="AJ6003">
        <v>87.1355215371714</v>
      </c>
      <c r="AK6003">
        <v>22.861090112479602</v>
      </c>
      <c r="AL6003">
        <v>91.614361825333702</v>
      </c>
      <c r="AM6003">
        <v>96.682044560453207</v>
      </c>
      <c r="AN6003">
        <v>0.99999995550806897</v>
      </c>
    </row>
    <row r="6004" spans="1:40" x14ac:dyDescent="0.25">
      <c r="A6004" t="str">
        <f>"20190305135351942"</f>
        <v>20190305135351942</v>
      </c>
      <c r="B6004" t="str">
        <f>"1551765231935712"</f>
        <v>1551765231935712</v>
      </c>
      <c r="C6004" t="s">
        <v>40</v>
      </c>
      <c r="D6004">
        <v>4.3021710000000004</v>
      </c>
      <c r="E6004">
        <v>0.56315990000000005</v>
      </c>
      <c r="F6004" t="s">
        <v>95</v>
      </c>
      <c r="G6004">
        <v>-231.60210000000001</v>
      </c>
      <c r="H6004" s="1">
        <v>-5.4595939999999899E-7</v>
      </c>
      <c r="I6004">
        <v>-63.659089999999999</v>
      </c>
      <c r="J6004">
        <v>-255.58690000000001</v>
      </c>
      <c r="K6004">
        <v>1.107105</v>
      </c>
      <c r="L6004">
        <v>-61.703159999999997</v>
      </c>
      <c r="M6004">
        <v>0.99953590000000003</v>
      </c>
      <c r="N6004">
        <v>-1.9775249999999999E-3</v>
      </c>
      <c r="O6004">
        <v>-3.039793E-2</v>
      </c>
      <c r="P6004">
        <v>0.99596810000000002</v>
      </c>
      <c r="Q6004">
        <v>-3.008535E-2</v>
      </c>
      <c r="R6004">
        <v>8.4513679999999994E-2</v>
      </c>
      <c r="S6004">
        <v>3.0297999999999998</v>
      </c>
      <c r="T6004">
        <v>-0.13898160000000001</v>
      </c>
      <c r="U6004">
        <v>-0.24615480000000001</v>
      </c>
      <c r="V6004">
        <v>-0.1148015</v>
      </c>
      <c r="W6004">
        <v>-2.7912220000000001E-2</v>
      </c>
      <c r="X6004">
        <v>0.9929962</v>
      </c>
      <c r="Y6004">
        <v>5.0616080000000001E-2</v>
      </c>
      <c r="Z6004">
        <v>1.222196E-4</v>
      </c>
      <c r="AA6004">
        <v>0.9987182</v>
      </c>
      <c r="AB6004">
        <v>30</v>
      </c>
      <c r="AC6004">
        <v>23.9848</v>
      </c>
      <c r="AD6004">
        <v>-1.1071055459593999</v>
      </c>
      <c r="AE6004">
        <v>-1.9559299999999999</v>
      </c>
      <c r="AF6004">
        <v>1.22334713509533</v>
      </c>
      <c r="AG6004">
        <v>-1.1071055459593999</v>
      </c>
      <c r="AH6004">
        <v>23.982412521272799</v>
      </c>
      <c r="AI6004">
        <v>92.639654470723301</v>
      </c>
      <c r="AJ6004">
        <v>87.079863094282501</v>
      </c>
      <c r="AK6004">
        <v>24.039100882590098</v>
      </c>
      <c r="AL6004">
        <v>91.599460192759395</v>
      </c>
      <c r="AM6004">
        <v>96.594757104765506</v>
      </c>
      <c r="AN6004">
        <v>0.99999996482100795</v>
      </c>
    </row>
    <row r="6005" spans="1:40" x14ac:dyDescent="0.25">
      <c r="A6005" t="str">
        <f>"20190305135351954"</f>
        <v>20190305135351954</v>
      </c>
      <c r="B6005" t="str">
        <f>"1551765231946448"</f>
        <v>1551765231946448</v>
      </c>
      <c r="C6005" t="s">
        <v>40</v>
      </c>
      <c r="D6005">
        <v>4.3254799999999998</v>
      </c>
      <c r="E6005">
        <v>0.56301499999999904</v>
      </c>
      <c r="F6005" t="s">
        <v>95</v>
      </c>
      <c r="G6005">
        <v>-230.64660000000001</v>
      </c>
      <c r="H6005" s="1">
        <v>-1.6466990000000001E-7</v>
      </c>
      <c r="I6005">
        <v>-63.766599999999997</v>
      </c>
      <c r="J6005">
        <v>-255.43340000000001</v>
      </c>
      <c r="K6005">
        <v>1.107094</v>
      </c>
      <c r="L6005">
        <v>-61.70825</v>
      </c>
      <c r="M6005">
        <v>0.99952180000000002</v>
      </c>
      <c r="N6005">
        <v>-1.9005389999999999E-3</v>
      </c>
      <c r="O6005">
        <v>-3.086272E-2</v>
      </c>
      <c r="P6005">
        <v>0.99613110000000005</v>
      </c>
      <c r="Q6005">
        <v>-2.9852050000000002E-2</v>
      </c>
      <c r="R6005">
        <v>8.2654480000000002E-2</v>
      </c>
      <c r="S6005">
        <v>3.0293429999999999</v>
      </c>
      <c r="T6005">
        <v>-0.13447310000000001</v>
      </c>
      <c r="U6005">
        <v>-0.2506409</v>
      </c>
      <c r="V6005">
        <v>-0.11340980000000001</v>
      </c>
      <c r="W6005">
        <v>-2.7756389999999999E-2</v>
      </c>
      <c r="X6005">
        <v>0.9931605</v>
      </c>
      <c r="Y6005">
        <v>5.1633980000000003E-2</v>
      </c>
      <c r="Z6005">
        <v>1.151623E-4</v>
      </c>
      <c r="AA6005">
        <v>0.99866600000000005</v>
      </c>
      <c r="AB6005">
        <v>30</v>
      </c>
      <c r="AC6005">
        <v>24.786799999999999</v>
      </c>
      <c r="AD6005">
        <v>-1.1070941646699</v>
      </c>
      <c r="AE6005">
        <v>-2.0583499999999901</v>
      </c>
      <c r="AF6005">
        <v>1.2898245063595299</v>
      </c>
      <c r="AG6005">
        <v>-1.1070941646699</v>
      </c>
      <c r="AH6005">
        <v>24.789404240579799</v>
      </c>
      <c r="AI6005">
        <v>92.553679076434705</v>
      </c>
      <c r="AJ6005">
        <v>87.021512986951905</v>
      </c>
      <c r="AK6005">
        <v>24.847612910489499</v>
      </c>
      <c r="AL6005">
        <v>91.5905282914606</v>
      </c>
      <c r="AM6005">
        <v>96.514434074080498</v>
      </c>
      <c r="AN6005">
        <v>0.99999998934106105</v>
      </c>
    </row>
    <row r="6006" spans="1:40" x14ac:dyDescent="0.25">
      <c r="A6006" t="str">
        <f>"20190305135351964"</f>
        <v>20190305135351964</v>
      </c>
      <c r="B6006" t="str">
        <f>"1551765231956209"</f>
        <v>1551765231956209</v>
      </c>
      <c r="C6006" t="s">
        <v>40</v>
      </c>
      <c r="D6006">
        <v>4.3195779999999999</v>
      </c>
      <c r="E6006">
        <v>0.56266319999999903</v>
      </c>
      <c r="F6006" t="s">
        <v>93</v>
      </c>
      <c r="G6006">
        <v>-229.29730000000001</v>
      </c>
      <c r="H6006" s="1">
        <v>-3.6436690000000001E-6</v>
      </c>
      <c r="I6006">
        <v>-63.9075699999999</v>
      </c>
      <c r="J6006">
        <v>-255.28389999999999</v>
      </c>
      <c r="K6006">
        <v>1.107081</v>
      </c>
      <c r="L6006">
        <v>-61.713259999999998</v>
      </c>
      <c r="M6006">
        <v>0.9995079</v>
      </c>
      <c r="N6006">
        <v>-1.8274420000000001E-3</v>
      </c>
      <c r="O6006">
        <v>-3.131536E-2</v>
      </c>
      <c r="P6006">
        <v>0.99629769999999895</v>
      </c>
      <c r="Q6006">
        <v>-2.9544620000000001E-2</v>
      </c>
      <c r="R6006">
        <v>8.0735799999999996E-2</v>
      </c>
      <c r="S6006">
        <v>3.0289609999999998</v>
      </c>
      <c r="T6006">
        <v>-0.1283038</v>
      </c>
      <c r="U6006">
        <v>-0.25488280000000002</v>
      </c>
      <c r="V6006">
        <v>-0.11194659999999999</v>
      </c>
      <c r="W6006">
        <v>-2.752276E-2</v>
      </c>
      <c r="X6006">
        <v>0.99333300000000002</v>
      </c>
      <c r="Y6006">
        <v>5.2582669999999998E-2</v>
      </c>
      <c r="Z6006">
        <v>1.064651E-4</v>
      </c>
      <c r="AA6006">
        <v>0.99861659999999997</v>
      </c>
      <c r="AB6006">
        <v>31</v>
      </c>
      <c r="AC6006">
        <v>25.9865999999999</v>
      </c>
      <c r="AD6006">
        <v>-1.1070846436690001</v>
      </c>
      <c r="AE6006">
        <v>-2.19430999999999</v>
      </c>
      <c r="AF6006">
        <v>1.37697129613779</v>
      </c>
      <c r="AG6006">
        <v>-1.1070846436690001</v>
      </c>
      <c r="AH6006">
        <v>25.995723944820799</v>
      </c>
      <c r="AI6006">
        <v>92.435182552027698</v>
      </c>
      <c r="AJ6006">
        <v>86.967925101407104</v>
      </c>
      <c r="AK6006">
        <v>26.055697069431101</v>
      </c>
      <c r="AL6006">
        <v>91.577137151425504</v>
      </c>
      <c r="AM6006">
        <v>96.429986845937506</v>
      </c>
      <c r="AN6006">
        <v>0.99999999622928804</v>
      </c>
    </row>
    <row r="6007" spans="1:40" x14ac:dyDescent="0.25">
      <c r="A6007" t="str">
        <f>"20190305135351975"</f>
        <v>20190305135351975</v>
      </c>
      <c r="B6007" t="str">
        <f>"1551765231965969"</f>
        <v>1551765231965969</v>
      </c>
      <c r="C6007" t="s">
        <v>40</v>
      </c>
      <c r="D6007">
        <v>4.3172470000000001</v>
      </c>
      <c r="E6007">
        <v>0.56244309999999997</v>
      </c>
      <c r="F6007" t="s">
        <v>93</v>
      </c>
      <c r="G6007">
        <v>-228.67429999999999</v>
      </c>
      <c r="H6007" s="1">
        <v>-3.4411660000000001E-6</v>
      </c>
      <c r="I6007">
        <v>-63.978639999999999</v>
      </c>
      <c r="J6007">
        <v>-255.1403</v>
      </c>
      <c r="K6007">
        <v>1.1070709999999999</v>
      </c>
      <c r="L6007">
        <v>-61.718139999999998</v>
      </c>
      <c r="M6007">
        <v>0.99949429999999995</v>
      </c>
      <c r="N6007">
        <v>-1.76660799999999E-3</v>
      </c>
      <c r="O6007">
        <v>-3.1748239999999997E-2</v>
      </c>
      <c r="P6007">
        <v>0.99644960000000005</v>
      </c>
      <c r="Q6007">
        <v>-2.936329E-2</v>
      </c>
      <c r="R6007">
        <v>7.8906680000000007E-2</v>
      </c>
      <c r="S6007">
        <v>3.028305</v>
      </c>
      <c r="T6007">
        <v>-0.12599189999999999</v>
      </c>
      <c r="U6007">
        <v>-0.2578125</v>
      </c>
      <c r="V6007">
        <v>-0.11055329999999999</v>
      </c>
      <c r="W6007">
        <v>-2.7403130000000001E-2</v>
      </c>
      <c r="X6007">
        <v>0.99349240000000005</v>
      </c>
      <c r="Y6007">
        <v>5.3128210000000002E-2</v>
      </c>
      <c r="Z6007">
        <v>1.1157E-4</v>
      </c>
      <c r="AA6007">
        <v>0.99858769999999997</v>
      </c>
      <c r="AB6007">
        <v>31</v>
      </c>
      <c r="AC6007">
        <v>26.466000000000001</v>
      </c>
      <c r="AD6007">
        <v>-1.1070744411659901</v>
      </c>
      <c r="AE6007">
        <v>-2.2605</v>
      </c>
      <c r="AF6007">
        <v>1.4166493752612299</v>
      </c>
      <c r="AG6007">
        <v>-1.1070744411659901</v>
      </c>
      <c r="AH6007">
        <v>26.478430190911599</v>
      </c>
      <c r="AI6007">
        <v>92.390751197924402</v>
      </c>
      <c r="AJ6007">
        <v>86.937480224065496</v>
      </c>
      <c r="AK6007">
        <v>26.539400419860499</v>
      </c>
      <c r="AL6007">
        <v>91.570280176730805</v>
      </c>
      <c r="AM6007">
        <v>96.349605815094094</v>
      </c>
      <c r="AN6007">
        <v>1.0000000562662199</v>
      </c>
    </row>
    <row r="6008" spans="1:40" x14ac:dyDescent="0.25">
      <c r="A6008" t="str">
        <f>"20190305135351987"</f>
        <v>20190305135351987</v>
      </c>
      <c r="B6008" t="str">
        <f>"1551765231975728"</f>
        <v>1551765231975728</v>
      </c>
      <c r="C6008" t="s">
        <v>40</v>
      </c>
      <c r="D6008">
        <v>4.3067229999999999</v>
      </c>
      <c r="E6008">
        <v>0.56216359999999999</v>
      </c>
      <c r="F6008" t="s">
        <v>93</v>
      </c>
      <c r="G6008">
        <v>-227.77600000000001</v>
      </c>
      <c r="H6008" s="1">
        <v>-3.1492080000000001E-6</v>
      </c>
      <c r="I6008">
        <v>-64.081549999999993</v>
      </c>
      <c r="J6008">
        <v>-254.9802</v>
      </c>
      <c r="K6008">
        <v>1.107057</v>
      </c>
      <c r="L6008">
        <v>-61.72363</v>
      </c>
      <c r="M6008">
        <v>0.99947909999999995</v>
      </c>
      <c r="N6008">
        <v>-1.700319E-3</v>
      </c>
      <c r="O6008">
        <v>-3.2230580000000002E-2</v>
      </c>
      <c r="P6008">
        <v>0.99659450000000005</v>
      </c>
      <c r="Q6008">
        <v>-2.9332170000000001E-2</v>
      </c>
      <c r="R6008">
        <v>7.706607E-2</v>
      </c>
      <c r="S6008">
        <v>3.0277859999999999</v>
      </c>
      <c r="T6008">
        <v>-0.122494699999999</v>
      </c>
      <c r="U6008">
        <v>-0.26150509999999999</v>
      </c>
      <c r="V6008">
        <v>-0.1091987</v>
      </c>
      <c r="W6008">
        <v>-2.7439020000000001E-2</v>
      </c>
      <c r="X6008">
        <v>0.99364110000000005</v>
      </c>
      <c r="Y6008">
        <v>5.387074E-2</v>
      </c>
      <c r="Z6008">
        <v>1.125134E-4</v>
      </c>
      <c r="AA6008">
        <v>0.99854790000000004</v>
      </c>
      <c r="AB6008">
        <v>31</v>
      </c>
      <c r="AC6008">
        <v>27.2042</v>
      </c>
      <c r="AD6008">
        <v>-1.1070601492080001</v>
      </c>
      <c r="AE6008">
        <v>-2.35791999999998</v>
      </c>
      <c r="AF6008">
        <v>1.47745814247661</v>
      </c>
      <c r="AG6008">
        <v>-1.1070601492080001</v>
      </c>
      <c r="AH6008">
        <v>27.2213200942148</v>
      </c>
      <c r="AI6008">
        <v>92.325451905008094</v>
      </c>
      <c r="AJ6008">
        <v>86.893275642594205</v>
      </c>
      <c r="AK6008">
        <v>27.283854793786698</v>
      </c>
      <c r="AL6008">
        <v>91.572337469481894</v>
      </c>
      <c r="AM6008">
        <v>96.271497369533904</v>
      </c>
      <c r="AN6008">
        <v>0.99999994575472795</v>
      </c>
    </row>
    <row r="6009" spans="1:40" x14ac:dyDescent="0.25">
      <c r="A6009" t="str">
        <f>"20190305135351998"</f>
        <v>20190305135351998</v>
      </c>
      <c r="B6009" t="str">
        <f>"1551765231986463"</f>
        <v>1551765231986463</v>
      </c>
      <c r="C6009" t="s">
        <v>40</v>
      </c>
      <c r="D6009">
        <v>4.2903209999999996</v>
      </c>
      <c r="E6009">
        <v>0.56186519999999995</v>
      </c>
      <c r="F6009" t="s">
        <v>93</v>
      </c>
      <c r="G6009">
        <v>-227.30420000000001</v>
      </c>
      <c r="H6009" s="1">
        <v>-2.9971699999999999E-6</v>
      </c>
      <c r="I6009">
        <v>-64.145160000000004</v>
      </c>
      <c r="J6009">
        <v>-254.82499999999999</v>
      </c>
      <c r="K6009">
        <v>1.1070450000000001</v>
      </c>
      <c r="L6009">
        <v>-61.729030000000002</v>
      </c>
      <c r="M6009">
        <v>0.99946400000000002</v>
      </c>
      <c r="N6009">
        <v>-1.6436999999999999E-3</v>
      </c>
      <c r="O6009">
        <v>-3.2696959999999997E-2</v>
      </c>
      <c r="P6009">
        <v>0.99671690000000002</v>
      </c>
      <c r="Q6009">
        <v>-2.942144E-2</v>
      </c>
      <c r="R6009">
        <v>7.5432509999999994E-2</v>
      </c>
      <c r="S6009">
        <v>3.027145</v>
      </c>
      <c r="T6009">
        <v>-0.121087899999999</v>
      </c>
      <c r="U6009">
        <v>-0.26486209999999999</v>
      </c>
      <c r="V6009">
        <v>-0.10803359999999999</v>
      </c>
      <c r="W6009">
        <v>-2.758553E-2</v>
      </c>
      <c r="X6009">
        <v>0.99376450000000005</v>
      </c>
      <c r="Y6009">
        <v>5.4522300000000003E-2</v>
      </c>
      <c r="Z6009">
        <v>1.177351E-4</v>
      </c>
      <c r="AA6009">
        <v>0.99851259999999997</v>
      </c>
      <c r="AB6009">
        <v>31</v>
      </c>
      <c r="AC6009">
        <v>27.520799999999898</v>
      </c>
      <c r="AD6009">
        <v>-1.10704799717</v>
      </c>
      <c r="AE6009">
        <v>-2.4161299999999999</v>
      </c>
      <c r="AF6009">
        <v>1.5125616567762099</v>
      </c>
      <c r="AG6009">
        <v>-1.10704799717</v>
      </c>
      <c r="AH6009">
        <v>27.540861545784999</v>
      </c>
      <c r="AI6009">
        <v>92.298394274031807</v>
      </c>
      <c r="AJ6009">
        <v>86.8564373773212</v>
      </c>
      <c r="AK6009">
        <v>27.6045730399455</v>
      </c>
      <c r="AL6009">
        <v>91.580734887240993</v>
      </c>
      <c r="AM6009">
        <v>96.204343633386898</v>
      </c>
      <c r="AN6009">
        <v>1.0000000508272899</v>
      </c>
    </row>
    <row r="6010" spans="1:40" x14ac:dyDescent="0.25">
      <c r="A6010" t="str">
        <f>"20190305135352009"</f>
        <v>20190305135352009</v>
      </c>
      <c r="B6010" t="str">
        <f>"1551765232005984"</f>
        <v>1551765232005984</v>
      </c>
      <c r="C6010" t="s">
        <v>40</v>
      </c>
      <c r="D6010">
        <v>4.315747</v>
      </c>
      <c r="E6010">
        <v>0.56144099999999997</v>
      </c>
      <c r="F6010" t="s">
        <v>93</v>
      </c>
      <c r="G6010">
        <v>-227.1311</v>
      </c>
      <c r="H6010" s="1">
        <v>-2.9423359999999999E-6</v>
      </c>
      <c r="I6010">
        <v>-64.175510000000003</v>
      </c>
      <c r="J6010">
        <v>-254.66540000000001</v>
      </c>
      <c r="K6010">
        <v>1.107032</v>
      </c>
      <c r="L6010">
        <v>-61.734679999999997</v>
      </c>
      <c r="M6010">
        <v>0.99944820000000001</v>
      </c>
      <c r="N6010">
        <v>-1.5887989999999999E-3</v>
      </c>
      <c r="O6010">
        <v>-3.317527E-2</v>
      </c>
      <c r="P6010">
        <v>0.99682119999999996</v>
      </c>
      <c r="Q6010">
        <v>-2.981315E-2</v>
      </c>
      <c r="R6010">
        <v>7.3883279999999996E-2</v>
      </c>
      <c r="S6010">
        <v>3.026535</v>
      </c>
      <c r="T6010">
        <v>-0.1209843</v>
      </c>
      <c r="U6010">
        <v>-0.2673645</v>
      </c>
      <c r="V6010">
        <v>-0.10696550000000001</v>
      </c>
      <c r="W6010">
        <v>-2.8032660000000001E-2</v>
      </c>
      <c r="X6010">
        <v>0.99386750000000001</v>
      </c>
      <c r="Y6010">
        <v>5.4881399999999997E-2</v>
      </c>
      <c r="Z6010">
        <v>1.317217E-4</v>
      </c>
      <c r="AA6010">
        <v>0.99849290000000002</v>
      </c>
      <c r="AB6010">
        <v>31</v>
      </c>
      <c r="AC6010">
        <v>27.534300000000002</v>
      </c>
      <c r="AD6010">
        <v>-1.107034942336</v>
      </c>
      <c r="AE6010">
        <v>-2.4408299999999898</v>
      </c>
      <c r="AF6010">
        <v>1.5235837073963201</v>
      </c>
      <c r="AG6010">
        <v>-1.107034942336</v>
      </c>
      <c r="AH6010">
        <v>27.555922263440198</v>
      </c>
      <c r="AI6010">
        <v>92.297065730295202</v>
      </c>
      <c r="AJ6010">
        <v>86.835303745998104</v>
      </c>
      <c r="AK6010">
        <v>27.620204298045302</v>
      </c>
      <c r="AL6010">
        <v>91.606363496697099</v>
      </c>
      <c r="AM6010">
        <v>96.142842480826502</v>
      </c>
      <c r="AN6010">
        <v>1.0000000278865799</v>
      </c>
    </row>
    <row r="6011" spans="1:40" x14ac:dyDescent="0.25">
      <c r="A6011" t="str">
        <f>"20190305135352020"</f>
        <v>20190305135352020</v>
      </c>
      <c r="B6011" t="str">
        <f>"1551765232015744"</f>
        <v>1551765232015744</v>
      </c>
      <c r="C6011" t="s">
        <v>40</v>
      </c>
      <c r="D6011">
        <v>4.3003460000000002</v>
      </c>
      <c r="E6011">
        <v>0.56112869999999904</v>
      </c>
      <c r="F6011" t="s">
        <v>93</v>
      </c>
      <c r="G6011">
        <v>-226.8845</v>
      </c>
      <c r="H6011" s="1">
        <v>-2.8618389999999999E-6</v>
      </c>
      <c r="I6011">
        <v>-64.201160000000002</v>
      </c>
      <c r="J6011">
        <v>-254.50200000000001</v>
      </c>
      <c r="K6011">
        <v>1.1070180000000001</v>
      </c>
      <c r="L6011">
        <v>-61.74051</v>
      </c>
      <c r="M6011">
        <v>0.99943199999999999</v>
      </c>
      <c r="N6011">
        <v>-1.53802E-3</v>
      </c>
      <c r="O6011">
        <v>-3.3663480000000003E-2</v>
      </c>
      <c r="P6011">
        <v>0.99694139999999998</v>
      </c>
      <c r="Q6011">
        <v>-3.0104209999999999E-2</v>
      </c>
      <c r="R6011">
        <v>7.2122749999999999E-2</v>
      </c>
      <c r="S6011">
        <v>3.0258639999999999</v>
      </c>
      <c r="T6011">
        <v>-0.12057710000000001</v>
      </c>
      <c r="U6011">
        <v>-0.2686462</v>
      </c>
      <c r="V6011">
        <v>-0.1056962</v>
      </c>
      <c r="W6011">
        <v>-2.8375480000000002E-2</v>
      </c>
      <c r="X6011">
        <v>0.99399349999999997</v>
      </c>
      <c r="Y6011">
        <v>5.4833369999999999E-2</v>
      </c>
      <c r="Z6011">
        <v>1.537047E-4</v>
      </c>
      <c r="AA6011">
        <v>0.99849549999999998</v>
      </c>
      <c r="AB6011">
        <v>31</v>
      </c>
      <c r="AC6011">
        <v>27.6175</v>
      </c>
      <c r="AD6011">
        <v>-1.1070208618390001</v>
      </c>
      <c r="AE6011">
        <v>-2.4606499999999998</v>
      </c>
      <c r="AF6011">
        <v>1.5271187210169399</v>
      </c>
      <c r="AG6011">
        <v>-1.1070208618390001</v>
      </c>
      <c r="AH6011">
        <v>27.640619943692698</v>
      </c>
      <c r="AI6011">
        <v>92.290010598299503</v>
      </c>
      <c r="AJ6011">
        <v>86.837676112338897</v>
      </c>
      <c r="AK6011">
        <v>27.704899524241</v>
      </c>
      <c r="AL6011">
        <v>91.626013552569702</v>
      </c>
      <c r="AM6011">
        <v>96.069732545457896</v>
      </c>
      <c r="AN6011">
        <v>0.999999966300959</v>
      </c>
    </row>
    <row r="6012" spans="1:40" x14ac:dyDescent="0.25">
      <c r="A6012" t="str">
        <f>"20190305135352033"</f>
        <v>20190305135352033</v>
      </c>
      <c r="B6012" t="str">
        <f>"1551765232026480"</f>
        <v>1551765232026480</v>
      </c>
      <c r="C6012" t="s">
        <v>40</v>
      </c>
      <c r="D6012">
        <v>4.3071619999999999</v>
      </c>
      <c r="E6012">
        <v>0.56083559999999999</v>
      </c>
      <c r="F6012" t="s">
        <v>93</v>
      </c>
      <c r="G6012">
        <v>-226.80199999999999</v>
      </c>
      <c r="H6012" s="1">
        <v>-2.8370690000000001E-6</v>
      </c>
      <c r="I6012">
        <v>-64.226069999999893</v>
      </c>
      <c r="J6012">
        <v>-254.33420000000001</v>
      </c>
      <c r="K6012">
        <v>1.107003</v>
      </c>
      <c r="L6012">
        <v>-61.746580000000002</v>
      </c>
      <c r="M6012">
        <v>0.99941530000000001</v>
      </c>
      <c r="N6012">
        <v>-1.4912629999999901E-3</v>
      </c>
      <c r="O6012">
        <v>-3.4162669999999999E-2</v>
      </c>
      <c r="P6012">
        <v>0.99707020000000002</v>
      </c>
      <c r="Q6012">
        <v>-3.0383919999999998E-2</v>
      </c>
      <c r="R6012">
        <v>7.0199529999999996E-2</v>
      </c>
      <c r="S6012">
        <v>3.0251920000000001</v>
      </c>
      <c r="T6012">
        <v>-0.1209006</v>
      </c>
      <c r="U6012">
        <v>-0.27145390000000003</v>
      </c>
      <c r="V6012">
        <v>-0.1042756</v>
      </c>
      <c r="W6012">
        <v>-2.8703369999999999E-2</v>
      </c>
      <c r="X6012">
        <v>0.99413410000000002</v>
      </c>
      <c r="Y6012">
        <v>5.5273540000000003E-2</v>
      </c>
      <c r="Z6012">
        <v>1.672953E-4</v>
      </c>
      <c r="AA6012">
        <v>0.99847129999999995</v>
      </c>
      <c r="AB6012">
        <v>31</v>
      </c>
      <c r="AC6012">
        <v>27.5321999999999</v>
      </c>
      <c r="AD6012">
        <v>-1.1070058370689999</v>
      </c>
      <c r="AE6012">
        <v>-2.47948999999999</v>
      </c>
      <c r="AF6012">
        <v>1.5350066785404901</v>
      </c>
      <c r="AG6012">
        <v>-1.1070058370689999</v>
      </c>
      <c r="AH6012">
        <v>27.556643866944501</v>
      </c>
      <c r="AI6012">
        <v>92.296892878698998</v>
      </c>
      <c r="AJ6012">
        <v>86.811708729207496</v>
      </c>
      <c r="AK6012">
        <v>27.621555507177401</v>
      </c>
      <c r="AL6012">
        <v>91.644807954575001</v>
      </c>
      <c r="AM6012">
        <v>95.987908908038804</v>
      </c>
      <c r="AN6012">
        <v>0.999999946493762</v>
      </c>
    </row>
    <row r="6013" spans="1:40" x14ac:dyDescent="0.25">
      <c r="A6013" t="str">
        <f>"20190305135352043"</f>
        <v>20190305135352043</v>
      </c>
      <c r="B6013" t="str">
        <f>"1551765232036240"</f>
        <v>1551765232036240</v>
      </c>
      <c r="C6013" t="s">
        <v>40</v>
      </c>
      <c r="D6013">
        <v>4.3028870000000001</v>
      </c>
      <c r="E6013">
        <v>0.56064019999999903</v>
      </c>
      <c r="F6013" t="s">
        <v>93</v>
      </c>
      <c r="G6013">
        <v>-226.708</v>
      </c>
      <c r="H6013" s="1">
        <v>-2.8093899999999999E-6</v>
      </c>
      <c r="I6013">
        <v>-64.258150000000001</v>
      </c>
      <c r="J6013">
        <v>-254.18729999999999</v>
      </c>
      <c r="K6013">
        <v>1.106992</v>
      </c>
      <c r="L6013">
        <v>-61.751950000000001</v>
      </c>
      <c r="M6013">
        <v>0.99940030000000002</v>
      </c>
      <c r="N6013">
        <v>-1.452753E-3</v>
      </c>
      <c r="O6013">
        <v>-3.4597610000000001E-2</v>
      </c>
      <c r="P6013">
        <v>0.99718110000000004</v>
      </c>
      <c r="Q6013">
        <v>-3.0947639999999998E-2</v>
      </c>
      <c r="R6013">
        <v>6.8354020000000001E-2</v>
      </c>
      <c r="S6013">
        <v>3.0244749999999998</v>
      </c>
      <c r="T6013">
        <v>-0.1211936</v>
      </c>
      <c r="U6013">
        <v>-0.27496340000000002</v>
      </c>
      <c r="V6013">
        <v>-0.10286960000000001</v>
      </c>
      <c r="W6013">
        <v>-2.9307239999999998E-2</v>
      </c>
      <c r="X6013">
        <v>0.99426300000000001</v>
      </c>
      <c r="Y6013">
        <v>5.6008990000000002E-2</v>
      </c>
      <c r="Z6013">
        <v>1.7184399999999999E-4</v>
      </c>
      <c r="AA6013">
        <v>0.99843029999999999</v>
      </c>
      <c r="AB6013">
        <v>31</v>
      </c>
      <c r="AC6013">
        <v>27.479299999999899</v>
      </c>
      <c r="AD6013">
        <v>-1.1069948093899999</v>
      </c>
      <c r="AE6013">
        <v>-2.5062000000000002</v>
      </c>
      <c r="AF6013">
        <v>1.551483454157</v>
      </c>
      <c r="AG6013">
        <v>-1.1069948093899999</v>
      </c>
      <c r="AH6013">
        <v>27.505288495857599</v>
      </c>
      <c r="AI6013">
        <v>92.301063618988195</v>
      </c>
      <c r="AJ6013">
        <v>86.771553387591595</v>
      </c>
      <c r="AK6013">
        <v>27.571242874721701</v>
      </c>
      <c r="AL6013">
        <v>91.679421647967402</v>
      </c>
      <c r="AM6013">
        <v>95.906985345760404</v>
      </c>
      <c r="AN6013">
        <v>0.99999999104478798</v>
      </c>
    </row>
    <row r="6014" spans="1:40" x14ac:dyDescent="0.25">
      <c r="A6014" t="str">
        <f>"20190305135352054"</f>
        <v>20190305135352054</v>
      </c>
      <c r="B6014" t="str">
        <f>"1551765232046000"</f>
        <v>1551765232046000</v>
      </c>
      <c r="C6014" t="s">
        <v>40</v>
      </c>
      <c r="D6014">
        <v>4.3165760000000004</v>
      </c>
      <c r="E6014">
        <v>0.5603148</v>
      </c>
      <c r="F6014" t="s">
        <v>93</v>
      </c>
      <c r="G6014">
        <v>-226.72800000000001</v>
      </c>
      <c r="H6014" s="1">
        <v>-2.81969E-6</v>
      </c>
      <c r="I6014">
        <v>-64.284390000000002</v>
      </c>
      <c r="J6014">
        <v>-254.0334</v>
      </c>
      <c r="K6014">
        <v>1.106984</v>
      </c>
      <c r="L6014">
        <v>-61.757689999999997</v>
      </c>
      <c r="M6014">
        <v>0.99938479999999996</v>
      </c>
      <c r="N6014">
        <v>-1.417981E-3</v>
      </c>
      <c r="O6014">
        <v>-3.5049360000000002E-2</v>
      </c>
      <c r="P6014">
        <v>0.99727169999999998</v>
      </c>
      <c r="Q6014">
        <v>-3.1349090000000003E-2</v>
      </c>
      <c r="R6014">
        <v>6.6834969999999994E-2</v>
      </c>
      <c r="S6014">
        <v>3.0238040000000002</v>
      </c>
      <c r="T6014">
        <v>-0.12190139999999999</v>
      </c>
      <c r="U6014">
        <v>-0.2788696</v>
      </c>
      <c r="V6014">
        <v>-0.1018048</v>
      </c>
      <c r="W6014">
        <v>-2.9744820000000002E-2</v>
      </c>
      <c r="X6014">
        <v>0.99435960000000001</v>
      </c>
      <c r="Y6014">
        <v>5.6856219999999999E-2</v>
      </c>
      <c r="Z6014">
        <v>1.754564E-4</v>
      </c>
      <c r="AA6014">
        <v>0.9983824</v>
      </c>
      <c r="AB6014">
        <v>31</v>
      </c>
      <c r="AC6014">
        <v>27.305399999999999</v>
      </c>
      <c r="AD6014">
        <v>-1.1069868196899999</v>
      </c>
      <c r="AE6014">
        <v>-2.5266999999999902</v>
      </c>
      <c r="AF6014">
        <v>1.56555874835058</v>
      </c>
      <c r="AG6014">
        <v>-1.1069868196899999</v>
      </c>
      <c r="AH6014">
        <v>27.3326406721539</v>
      </c>
      <c r="AI6014">
        <v>92.315451741397098</v>
      </c>
      <c r="AJ6014">
        <v>86.721794732230293</v>
      </c>
      <c r="AK6014">
        <v>27.399810950562799</v>
      </c>
      <c r="AL6014">
        <v>91.704504068129197</v>
      </c>
      <c r="AM6014">
        <v>95.845704006111006</v>
      </c>
      <c r="AN6014">
        <v>0.99999999286601604</v>
      </c>
    </row>
    <row r="6015" spans="1:40" x14ac:dyDescent="0.25">
      <c r="A6015" t="str">
        <f>"20190305135352066"</f>
        <v>20190305135352066</v>
      </c>
      <c r="B6015" t="str">
        <f>"1551765232055760"</f>
        <v>1551765232055760</v>
      </c>
      <c r="C6015" t="s">
        <v>40</v>
      </c>
      <c r="D6015">
        <v>4.2836679999999996</v>
      </c>
      <c r="E6015">
        <v>0.55990859999999998</v>
      </c>
      <c r="F6015" t="s">
        <v>93</v>
      </c>
      <c r="G6015">
        <v>-226.98060000000001</v>
      </c>
      <c r="H6015" s="1">
        <v>-2.903975E-6</v>
      </c>
      <c r="I6015">
        <v>-64.271739999999994</v>
      </c>
      <c r="J6015">
        <v>-253.86940000000001</v>
      </c>
      <c r="K6015">
        <v>1.106973</v>
      </c>
      <c r="L6015">
        <v>-61.763820000000003</v>
      </c>
      <c r="M6015">
        <v>0.99936769999999997</v>
      </c>
      <c r="N6015">
        <v>-1.382589E-3</v>
      </c>
      <c r="O6015">
        <v>-3.552876E-2</v>
      </c>
      <c r="P6015">
        <v>0.9973997</v>
      </c>
      <c r="Q6015">
        <v>-3.1596909999999999E-2</v>
      </c>
      <c r="R6015">
        <v>6.4771259999999997E-2</v>
      </c>
      <c r="S6015">
        <v>3.0231319999999999</v>
      </c>
      <c r="T6015">
        <v>-0.1237053</v>
      </c>
      <c r="U6015">
        <v>-0.28094479999999999</v>
      </c>
      <c r="V6015">
        <v>-0.10022440000000001</v>
      </c>
      <c r="W6015">
        <v>-3.0030390000000001E-2</v>
      </c>
      <c r="X6015">
        <v>0.99451149999999999</v>
      </c>
      <c r="Y6015">
        <v>5.7076759999999997E-2</v>
      </c>
      <c r="Z6015">
        <v>1.9590149999999999E-4</v>
      </c>
      <c r="AA6015">
        <v>0.99836979999999997</v>
      </c>
      <c r="AB6015">
        <v>32</v>
      </c>
      <c r="AC6015">
        <v>26.8888</v>
      </c>
      <c r="AD6015">
        <v>-1.106975903975</v>
      </c>
      <c r="AE6015">
        <v>-2.5079200000000101</v>
      </c>
      <c r="AF6015">
        <v>1.5484082992297199</v>
      </c>
      <c r="AG6015">
        <v>-1.106975903975</v>
      </c>
      <c r="AH6015">
        <v>26.9157023254999</v>
      </c>
      <c r="AI6015">
        <v>92.351222591222793</v>
      </c>
      <c r="AJ6015">
        <v>86.707513553550001</v>
      </c>
      <c r="AK6015">
        <v>26.9829204421616</v>
      </c>
      <c r="AL6015">
        <v>91.720873429226998</v>
      </c>
      <c r="AM6015">
        <v>95.754697125422595</v>
      </c>
      <c r="AN6015">
        <v>0.99999993915557905</v>
      </c>
    </row>
    <row r="6016" spans="1:40" x14ac:dyDescent="0.25">
      <c r="A6016" t="str">
        <f>"20190305135352078"</f>
        <v>20190305135352078</v>
      </c>
      <c r="B6016" t="str">
        <f>"1551765232066496"</f>
        <v>1551765232066496</v>
      </c>
      <c r="C6016" t="s">
        <v>40</v>
      </c>
      <c r="D6016">
        <v>4.3101430000000001</v>
      </c>
      <c r="E6016">
        <v>0.55961019999999995</v>
      </c>
      <c r="F6016" t="s">
        <v>93</v>
      </c>
      <c r="G6016">
        <v>-227.12860000000001</v>
      </c>
      <c r="H6016" s="1">
        <v>-2.954897E-6</v>
      </c>
      <c r="I6016">
        <v>-64.276030000000006</v>
      </c>
      <c r="J6016">
        <v>-253.69319999999999</v>
      </c>
      <c r="K6016">
        <v>1.1069610000000001</v>
      </c>
      <c r="L6016">
        <v>-61.7705699999999</v>
      </c>
      <c r="M6016">
        <v>0.99934959999999995</v>
      </c>
      <c r="N6016">
        <v>-1.353777E-3</v>
      </c>
      <c r="O6016">
        <v>-3.6034879999999998E-2</v>
      </c>
      <c r="P6016">
        <v>0.99748990000000004</v>
      </c>
      <c r="Q6016">
        <v>-3.2043780000000001E-2</v>
      </c>
      <c r="R6016">
        <v>6.3143210000000005E-2</v>
      </c>
      <c r="S6016">
        <v>3.0223080000000002</v>
      </c>
      <c r="T6016">
        <v>-0.125113</v>
      </c>
      <c r="U6016">
        <v>-0.28393550000000001</v>
      </c>
      <c r="V6016">
        <v>-9.9105180000000001E-2</v>
      </c>
      <c r="W6016">
        <v>-3.05081E-2</v>
      </c>
      <c r="X6016">
        <v>0.99460919999999997</v>
      </c>
      <c r="Y6016">
        <v>5.7575170000000002E-2</v>
      </c>
      <c r="Z6016">
        <v>2.1059799999999999E-4</v>
      </c>
      <c r="AA6016">
        <v>0.99834109999999998</v>
      </c>
      <c r="AB6016">
        <v>32</v>
      </c>
      <c r="AC6016">
        <v>26.564599999999899</v>
      </c>
      <c r="AD6016">
        <v>-1.1069639548970001</v>
      </c>
      <c r="AE6016">
        <v>-2.50546000000001</v>
      </c>
      <c r="AF6016">
        <v>1.5439224226956201</v>
      </c>
      <c r="AG6016">
        <v>-1.1069639548970001</v>
      </c>
      <c r="AH6016">
        <v>26.591863054478001</v>
      </c>
      <c r="AI6016">
        <v>92.379724885438904</v>
      </c>
      <c r="AJ6016">
        <v>86.677139902054904</v>
      </c>
      <c r="AK6016">
        <v>26.6596370259022</v>
      </c>
      <c r="AL6016">
        <v>91.748256602756896</v>
      </c>
      <c r="AM6016">
        <v>95.690302445951502</v>
      </c>
      <c r="AN6016">
        <v>1.00000002079654</v>
      </c>
    </row>
    <row r="6017" spans="1:40" x14ac:dyDescent="0.25">
      <c r="A6017" t="str">
        <f>"20190305135352099"</f>
        <v>20190305135352099</v>
      </c>
      <c r="B6017" t="str">
        <f>"1551765232095775"</f>
        <v>1551765232095775</v>
      </c>
      <c r="C6017" t="s">
        <v>40</v>
      </c>
      <c r="D6017">
        <v>4.2948829999999996</v>
      </c>
      <c r="E6017">
        <v>0.55873479999999998</v>
      </c>
      <c r="F6017" t="s">
        <v>93</v>
      </c>
      <c r="G6017">
        <v>-227.39070000000001</v>
      </c>
      <c r="H6017" s="1">
        <v>-3.0425399999999999E-6</v>
      </c>
      <c r="I6017">
        <v>-64.264499999999998</v>
      </c>
      <c r="J6017">
        <v>-253.3922</v>
      </c>
      <c r="K6017">
        <v>1.106948</v>
      </c>
      <c r="L6017">
        <v>-61.782170000000001</v>
      </c>
      <c r="M6017">
        <v>0.9993185</v>
      </c>
      <c r="N6017">
        <v>-1.31509799999999E-3</v>
      </c>
      <c r="O6017">
        <v>-3.6889180000000001E-2</v>
      </c>
      <c r="P6017">
        <v>0.99764589999999997</v>
      </c>
      <c r="Q6017">
        <v>-3.2999809999999997E-2</v>
      </c>
      <c r="R6017">
        <v>6.011677E-2</v>
      </c>
      <c r="S6017">
        <v>3.0216059999999998</v>
      </c>
      <c r="T6017">
        <v>-0.12716669999999999</v>
      </c>
      <c r="U6017">
        <v>-0.286499</v>
      </c>
      <c r="V6017">
        <v>-9.6938360000000001E-2</v>
      </c>
      <c r="W6017">
        <v>-3.150712E-2</v>
      </c>
      <c r="X6017">
        <v>0.9947916</v>
      </c>
      <c r="Y6017">
        <v>5.7582960000000002E-2</v>
      </c>
      <c r="Z6017">
        <v>2.525696E-4</v>
      </c>
      <c r="AA6017">
        <v>0.99834069999999997</v>
      </c>
      <c r="AB6017">
        <v>32</v>
      </c>
      <c r="AC6017">
        <v>26.0015</v>
      </c>
      <c r="AD6017">
        <v>-1.10695104254</v>
      </c>
      <c r="AE6017">
        <v>-2.4823300000000001</v>
      </c>
      <c r="AF6017">
        <v>1.51873785284416</v>
      </c>
      <c r="AG6017">
        <v>-1.10695104254</v>
      </c>
      <c r="AH6017">
        <v>26.028624726531401</v>
      </c>
      <c r="AI6017">
        <v>92.431090064231697</v>
      </c>
      <c r="AJ6017">
        <v>86.660648844617896</v>
      </c>
      <c r="AK6017">
        <v>26.096383090973401</v>
      </c>
      <c r="AL6017">
        <v>91.805523743439394</v>
      </c>
      <c r="AM6017">
        <v>95.565666391031797</v>
      </c>
      <c r="AN6017">
        <v>1.00000003584037</v>
      </c>
    </row>
    <row r="6018" spans="1:40" x14ac:dyDescent="0.25">
      <c r="A6018" t="str">
        <f>"20190305135352111"</f>
        <v>20190305135352111</v>
      </c>
      <c r="B6018" t="str">
        <f>"1551765232106513"</f>
        <v>1551765232106513</v>
      </c>
      <c r="C6018" t="s">
        <v>40</v>
      </c>
      <c r="D6018">
        <v>4.3139500000000002</v>
      </c>
      <c r="E6018">
        <v>0.55843909999999997</v>
      </c>
      <c r="F6018" t="s">
        <v>93</v>
      </c>
      <c r="G6018">
        <v>-227.7525</v>
      </c>
      <c r="H6018" s="1">
        <v>-3.16145E-6</v>
      </c>
      <c r="I6018">
        <v>-64.232799999999997</v>
      </c>
      <c r="J6018">
        <v>-253.22460000000001</v>
      </c>
      <c r="K6018">
        <v>1.1069420000000001</v>
      </c>
      <c r="L6018">
        <v>-61.788760000000003</v>
      </c>
      <c r="M6018">
        <v>0.9993012</v>
      </c>
      <c r="N6018">
        <v>-1.30047E-3</v>
      </c>
      <c r="O6018">
        <v>-3.735633E-2</v>
      </c>
      <c r="P6018">
        <v>0.99770809999999999</v>
      </c>
      <c r="Q6018">
        <v>-3.3503230000000002E-2</v>
      </c>
      <c r="R6018">
        <v>5.8790530000000001E-2</v>
      </c>
      <c r="S6018">
        <v>3.0201570000000002</v>
      </c>
      <c r="T6018">
        <v>-0.13039020000000001</v>
      </c>
      <c r="U6018">
        <v>-0.28866579999999997</v>
      </c>
      <c r="V6018">
        <v>-9.6080990000000005E-2</v>
      </c>
      <c r="W6018">
        <v>-3.2027260000000002E-2</v>
      </c>
      <c r="X6018">
        <v>0.99485809999999997</v>
      </c>
      <c r="Y6018">
        <v>5.787022E-2</v>
      </c>
      <c r="Z6018">
        <v>2.7536969999999999E-4</v>
      </c>
      <c r="AA6018">
        <v>0.99832410000000005</v>
      </c>
      <c r="AB6018">
        <v>32</v>
      </c>
      <c r="AC6018">
        <v>25.472100000000001</v>
      </c>
      <c r="AD6018">
        <v>-1.1069451614499899</v>
      </c>
      <c r="AE6018">
        <v>-2.4440400000000002</v>
      </c>
      <c r="AF6018">
        <v>1.48800463749801</v>
      </c>
      <c r="AG6018">
        <v>-1.1069451614499899</v>
      </c>
      <c r="AH6018">
        <v>25.4979069470842</v>
      </c>
      <c r="AI6018">
        <v>92.481614081869495</v>
      </c>
      <c r="AJ6018">
        <v>86.660125918075906</v>
      </c>
      <c r="AK6018">
        <v>25.565264404535998</v>
      </c>
      <c r="AL6018">
        <v>91.835340737993306</v>
      </c>
      <c r="AM6018">
        <v>95.516379465559396</v>
      </c>
      <c r="AN6018">
        <v>0.99999997057904799</v>
      </c>
    </row>
    <row r="6019" spans="1:40" x14ac:dyDescent="0.25">
      <c r="A6019" t="str">
        <f>"20190305135352122"</f>
        <v>20190305135352122</v>
      </c>
      <c r="B6019" t="str">
        <f>"1551765232116272"</f>
        <v>1551765232116272</v>
      </c>
      <c r="C6019" t="s">
        <v>40</v>
      </c>
      <c r="D6019">
        <v>4.2882360000000004</v>
      </c>
      <c r="E6019">
        <v>0.55810649999999995</v>
      </c>
      <c r="F6019" t="s">
        <v>93</v>
      </c>
      <c r="G6019">
        <v>-227.88079999999999</v>
      </c>
      <c r="H6019" s="1">
        <v>-3.204063E-6</v>
      </c>
      <c r="I6019">
        <v>-64.224909999999994</v>
      </c>
      <c r="J6019">
        <v>-253.05969999999999</v>
      </c>
      <c r="K6019">
        <v>1.1069370000000001</v>
      </c>
      <c r="L6019">
        <v>-61.795290000000001</v>
      </c>
      <c r="M6019">
        <v>0.99928410000000001</v>
      </c>
      <c r="N6019">
        <v>-1.290275E-3</v>
      </c>
      <c r="O6019">
        <v>-3.7809889999999999E-2</v>
      </c>
      <c r="P6019">
        <v>0.99775899999999995</v>
      </c>
      <c r="Q6019">
        <v>-3.4340629999999997E-2</v>
      </c>
      <c r="R6019">
        <v>5.7425869999999997E-2</v>
      </c>
      <c r="S6019">
        <v>3.0195470000000002</v>
      </c>
      <c r="T6019">
        <v>-0.13188540000000001</v>
      </c>
      <c r="U6019">
        <v>-0.29025269999999997</v>
      </c>
      <c r="V6019">
        <v>-9.5172229999999997E-2</v>
      </c>
      <c r="W6019">
        <v>-3.2877280000000002E-2</v>
      </c>
      <c r="X6019">
        <v>0.99491779999999996</v>
      </c>
      <c r="Y6019">
        <v>5.7955949999999999E-2</v>
      </c>
      <c r="Z6019">
        <v>2.9746900000000002E-4</v>
      </c>
      <c r="AA6019">
        <v>0.99831910000000001</v>
      </c>
      <c r="AB6019">
        <v>32</v>
      </c>
      <c r="AC6019">
        <v>25.178899999999999</v>
      </c>
      <c r="AD6019">
        <v>-1.1069402040629901</v>
      </c>
      <c r="AE6019">
        <v>-2.4296199999999901</v>
      </c>
      <c r="AF6019">
        <v>1.4730496834639399</v>
      </c>
      <c r="AG6019">
        <v>-1.1069402040629901</v>
      </c>
      <c r="AH6019">
        <v>25.2044950586127</v>
      </c>
      <c r="AI6019">
        <v>92.510442648886695</v>
      </c>
      <c r="AJ6019">
        <v>86.655214403133897</v>
      </c>
      <c r="AK6019">
        <v>25.271758212379201</v>
      </c>
      <c r="AL6019">
        <v>91.884068817739603</v>
      </c>
      <c r="AM6019">
        <v>95.464195458176107</v>
      </c>
      <c r="AN6019">
        <v>1.0000000488301</v>
      </c>
    </row>
    <row r="6020" spans="1:40" x14ac:dyDescent="0.25">
      <c r="A6020" t="str">
        <f>"20190305135352132"</f>
        <v>20190305135352132</v>
      </c>
      <c r="B6020" t="str">
        <f>"1551765232126032"</f>
        <v>1551765232126032</v>
      </c>
      <c r="C6020" t="s">
        <v>40</v>
      </c>
      <c r="D6020">
        <v>4.3394259999999996</v>
      </c>
      <c r="E6020">
        <v>0.55779939999999995</v>
      </c>
      <c r="F6020" t="s">
        <v>93</v>
      </c>
      <c r="G6020">
        <v>-228.2859</v>
      </c>
      <c r="H6020" s="1">
        <v>-3.3371249999999998E-6</v>
      </c>
      <c r="I6020">
        <v>-64.189210000000003</v>
      </c>
      <c r="J6020">
        <v>-252.9016</v>
      </c>
      <c r="K6020">
        <v>1.1069359999999999</v>
      </c>
      <c r="L6020">
        <v>-61.801670000000001</v>
      </c>
      <c r="M6020">
        <v>0.99926789999999999</v>
      </c>
      <c r="N6020">
        <v>-1.2860930000000001E-3</v>
      </c>
      <c r="O6020">
        <v>-3.8235079999999998E-2</v>
      </c>
      <c r="P6020">
        <v>0.99782020000000005</v>
      </c>
      <c r="Q6020">
        <v>-3.4926739999999998E-2</v>
      </c>
      <c r="R6020">
        <v>5.5989450000000003E-2</v>
      </c>
      <c r="S6020">
        <v>3.018875</v>
      </c>
      <c r="T6020">
        <v>-0.13488910000000001</v>
      </c>
      <c r="U6020">
        <v>-0.29171750000000002</v>
      </c>
      <c r="V6020">
        <v>-9.4163159999999996E-2</v>
      </c>
      <c r="W6020">
        <v>-3.3470430000000002E-2</v>
      </c>
      <c r="X6020">
        <v>0.99499400000000005</v>
      </c>
      <c r="Y6020">
        <v>5.8031630000000001E-2</v>
      </c>
      <c r="Z6020">
        <v>3.2318830000000002E-4</v>
      </c>
      <c r="AA6020">
        <v>0.9983147</v>
      </c>
      <c r="AB6020">
        <v>32</v>
      </c>
      <c r="AC6020">
        <v>24.6157</v>
      </c>
      <c r="AD6020">
        <v>-1.106939337125</v>
      </c>
      <c r="AE6020">
        <v>-2.38754</v>
      </c>
      <c r="AF6020">
        <v>1.44172180938164</v>
      </c>
      <c r="AG6020">
        <v>-1.106939337125</v>
      </c>
      <c r="AH6020">
        <v>24.639626359844002</v>
      </c>
      <c r="AI6020">
        <v>92.567906673967997</v>
      </c>
      <c r="AJ6020">
        <v>86.651308911587407</v>
      </c>
      <c r="AK6020">
        <v>24.706579359037999</v>
      </c>
      <c r="AL6020">
        <v>91.918072588474402</v>
      </c>
      <c r="AM6020">
        <v>95.406194477898097</v>
      </c>
      <c r="AN6020">
        <v>1.00000001521078</v>
      </c>
    </row>
    <row r="6021" spans="1:40" x14ac:dyDescent="0.25">
      <c r="A6021" t="str">
        <f>"20190305135352143"</f>
        <v>20190305135352143</v>
      </c>
      <c r="B6021" t="str">
        <f>"1551765232135792"</f>
        <v>1551765232135792</v>
      </c>
      <c r="C6021" t="s">
        <v>40</v>
      </c>
      <c r="D6021">
        <v>4.3062180000000003</v>
      </c>
      <c r="E6021">
        <v>0.55746319999999905</v>
      </c>
      <c r="F6021" t="s">
        <v>93</v>
      </c>
      <c r="G6021">
        <v>-228.49690000000001</v>
      </c>
      <c r="H6021" s="1">
        <v>-3.4071599999999999E-6</v>
      </c>
      <c r="I6021">
        <v>-64.17595</v>
      </c>
      <c r="J6021">
        <v>-252.74369999999999</v>
      </c>
      <c r="K6021">
        <v>1.106932</v>
      </c>
      <c r="L6021">
        <v>-61.808010000000003</v>
      </c>
      <c r="M6021">
        <v>0.99925180000000002</v>
      </c>
      <c r="N6021">
        <v>-1.284014E-3</v>
      </c>
      <c r="O6021">
        <v>-3.865611E-2</v>
      </c>
      <c r="P6021">
        <v>0.99785889999999999</v>
      </c>
      <c r="Q6021">
        <v>-3.5408719999999998E-2</v>
      </c>
      <c r="R6021">
        <v>5.4990999999999998E-2</v>
      </c>
      <c r="S6021">
        <v>3.0182500000000001</v>
      </c>
      <c r="T6021">
        <v>-0.13690079999999999</v>
      </c>
      <c r="U6021">
        <v>-0.29364010000000001</v>
      </c>
      <c r="V6021">
        <v>-9.3587050000000005E-2</v>
      </c>
      <c r="W6021">
        <v>-3.3956699999999902E-2</v>
      </c>
      <c r="X6021">
        <v>0.99503180000000002</v>
      </c>
      <c r="Y6021">
        <v>5.8260350000000002E-2</v>
      </c>
      <c r="Z6021">
        <v>3.4265359999999999E-4</v>
      </c>
      <c r="AA6021">
        <v>0.99830140000000001</v>
      </c>
      <c r="AB6021">
        <v>32</v>
      </c>
      <c r="AC6021">
        <v>24.246799999999901</v>
      </c>
      <c r="AD6021">
        <v>-1.1069354071599999</v>
      </c>
      <c r="AE6021">
        <v>-2.3679399999999999</v>
      </c>
      <c r="AF6021">
        <v>1.4259386041818201</v>
      </c>
      <c r="AG6021">
        <v>-1.1069354071599999</v>
      </c>
      <c r="AH6021">
        <v>24.270107236224899</v>
      </c>
      <c r="AI6021">
        <v>92.6069043973731</v>
      </c>
      <c r="AJ6021">
        <v>86.637573528875393</v>
      </c>
      <c r="AK6021">
        <v>24.3371467546296</v>
      </c>
      <c r="AL6021">
        <v>91.945949804035905</v>
      </c>
      <c r="AM6021">
        <v>95.373109501169793</v>
      </c>
      <c r="AN6021">
        <v>0.99999993820691402</v>
      </c>
    </row>
    <row r="6022" spans="1:40" x14ac:dyDescent="0.25">
      <c r="A6022" t="str">
        <f>"20190305135352154"</f>
        <v>20190305135352154</v>
      </c>
      <c r="B6022" t="str">
        <f>"1551765232145552"</f>
        <v>1551765232145552</v>
      </c>
      <c r="C6022" t="s">
        <v>40</v>
      </c>
      <c r="D6022">
        <v>4.3127529999999998</v>
      </c>
      <c r="E6022">
        <v>0.55713999999999997</v>
      </c>
      <c r="F6022" t="s">
        <v>93</v>
      </c>
      <c r="G6022">
        <v>-228.64750000000001</v>
      </c>
      <c r="H6022" s="1">
        <v>-3.4556610000000002E-6</v>
      </c>
      <c r="I6022">
        <v>-64.1554</v>
      </c>
      <c r="J6022">
        <v>-252.59440000000001</v>
      </c>
      <c r="K6022">
        <v>1.106938</v>
      </c>
      <c r="L6022">
        <v>-61.814149999999998</v>
      </c>
      <c r="M6022">
        <v>0.99923689999999998</v>
      </c>
      <c r="N6022">
        <v>-1.288235E-3</v>
      </c>
      <c r="O6022">
        <v>-3.9041489999999998E-2</v>
      </c>
      <c r="P6022">
        <v>0.99789439999999996</v>
      </c>
      <c r="Q6022">
        <v>-3.5866629999999997E-2</v>
      </c>
      <c r="R6022">
        <v>5.4043910000000001E-2</v>
      </c>
      <c r="S6022">
        <v>3.0177</v>
      </c>
      <c r="T6022">
        <v>-0.13862729999999901</v>
      </c>
      <c r="U6022">
        <v>-0.29397579999999901</v>
      </c>
      <c r="V6022">
        <v>-9.302618E-2</v>
      </c>
      <c r="W6022">
        <v>-3.4412890000000002E-2</v>
      </c>
      <c r="X6022">
        <v>0.99506879999999998</v>
      </c>
      <c r="Y6022">
        <v>5.8002930000000001E-2</v>
      </c>
      <c r="Z6022">
        <v>3.710486E-4</v>
      </c>
      <c r="AA6022">
        <v>0.99831630000000005</v>
      </c>
      <c r="AB6022">
        <v>32</v>
      </c>
      <c r="AC6022">
        <v>23.946899999999999</v>
      </c>
      <c r="AD6022">
        <v>-1.106941455661</v>
      </c>
      <c r="AE6022">
        <v>-2.3412500000000001</v>
      </c>
      <c r="AF6022">
        <v>1.4015752641874999</v>
      </c>
      <c r="AG6022">
        <v>-1.106941455661</v>
      </c>
      <c r="AH6022">
        <v>23.969317417525499</v>
      </c>
      <c r="AI6022">
        <v>92.639629717560894</v>
      </c>
      <c r="AJ6022">
        <v>86.653512976368802</v>
      </c>
      <c r="AK6022">
        <v>24.035763147225701</v>
      </c>
      <c r="AL6022">
        <v>91.972102697885305</v>
      </c>
      <c r="AM6022">
        <v>95.340897625911396</v>
      </c>
      <c r="AN6022">
        <v>1.0000000169484899</v>
      </c>
    </row>
    <row r="6023" spans="1:40" x14ac:dyDescent="0.25">
      <c r="A6023" t="str">
        <f>"20190305135352166"</f>
        <v>20190305135352166</v>
      </c>
      <c r="B6023" t="str">
        <f>"1551765232156288"</f>
        <v>1551765232156288</v>
      </c>
      <c r="C6023" t="s">
        <v>40</v>
      </c>
      <c r="D6023">
        <v>4.3368209999999996</v>
      </c>
      <c r="E6023">
        <v>0.55674780000000001</v>
      </c>
      <c r="F6023" t="s">
        <v>93</v>
      </c>
      <c r="G6023">
        <v>-228.8192</v>
      </c>
      <c r="H6023" s="1">
        <v>-3.5110669999999999E-6</v>
      </c>
      <c r="I6023">
        <v>-64.132800000000003</v>
      </c>
      <c r="J6023">
        <v>-252.4238</v>
      </c>
      <c r="K6023">
        <v>1.106943</v>
      </c>
      <c r="L6023">
        <v>-61.821170000000002</v>
      </c>
      <c r="M6023">
        <v>0.99921970000000004</v>
      </c>
      <c r="N6023">
        <v>-1.2944619999999999E-3</v>
      </c>
      <c r="O6023">
        <v>-3.9478970000000002E-2</v>
      </c>
      <c r="P6023">
        <v>0.99793739999999997</v>
      </c>
      <c r="Q6023">
        <v>-3.6111780000000003E-2</v>
      </c>
      <c r="R6023">
        <v>5.3077979999999997E-2</v>
      </c>
      <c r="S6023">
        <v>3.0172119999999998</v>
      </c>
      <c r="T6023">
        <v>-0.14047689999999999</v>
      </c>
      <c r="U6023">
        <v>-0.29425050000000003</v>
      </c>
      <c r="V6023">
        <v>-9.2497770000000007E-2</v>
      </c>
      <c r="W6023">
        <v>-3.4654530000000003E-2</v>
      </c>
      <c r="X6023">
        <v>0.99510969999999999</v>
      </c>
      <c r="Y6023">
        <v>5.7671649999999998E-2</v>
      </c>
      <c r="Z6023">
        <v>4.0442750000000002E-4</v>
      </c>
      <c r="AA6023">
        <v>0.99833550000000004</v>
      </c>
      <c r="AB6023">
        <v>32</v>
      </c>
      <c r="AC6023">
        <v>23.604600000000001</v>
      </c>
      <c r="AD6023">
        <v>-1.106946511067</v>
      </c>
      <c r="AE6023">
        <v>-2.3116300000000001</v>
      </c>
      <c r="AF6023">
        <v>1.3749468796316</v>
      </c>
      <c r="AG6023">
        <v>-1.106946511067</v>
      </c>
      <c r="AH6023">
        <v>23.625994550554999</v>
      </c>
      <c r="AI6023">
        <v>92.677987583139696</v>
      </c>
      <c r="AJ6023">
        <v>86.669350909053804</v>
      </c>
      <c r="AK6023">
        <v>23.691843068934698</v>
      </c>
      <c r="AL6023">
        <v>91.985955858146696</v>
      </c>
      <c r="AM6023">
        <v>95.310517029896502</v>
      </c>
      <c r="AN6023">
        <v>1.00000004446929</v>
      </c>
    </row>
    <row r="6024" spans="1:40" x14ac:dyDescent="0.25">
      <c r="A6024" t="str">
        <f>"20190305135352176"</f>
        <v>20190305135352176</v>
      </c>
      <c r="B6024" t="str">
        <f>"1551765232166048"</f>
        <v>1551765232166048</v>
      </c>
      <c r="C6024" t="s">
        <v>40</v>
      </c>
      <c r="D6024">
        <v>4.3416560000000004</v>
      </c>
      <c r="E6024">
        <v>0.55641960000000001</v>
      </c>
      <c r="F6024" t="s">
        <v>41</v>
      </c>
      <c r="G6024">
        <v>-251.40430000000001</v>
      </c>
      <c r="H6024">
        <v>1.0590299999999999</v>
      </c>
      <c r="I6024">
        <v>-61.920760000000001</v>
      </c>
      <c r="J6024">
        <v>-252.26820000000001</v>
      </c>
      <c r="K6024">
        <v>1.106951</v>
      </c>
      <c r="L6024">
        <v>-61.827640000000002</v>
      </c>
      <c r="M6024">
        <v>0.99920450000000005</v>
      </c>
      <c r="N6024">
        <v>-1.3066480000000001E-3</v>
      </c>
      <c r="O6024">
        <v>-3.9862210000000002E-2</v>
      </c>
      <c r="P6024">
        <v>0.99798430000000005</v>
      </c>
      <c r="Q6024">
        <v>-3.6293760000000001E-2</v>
      </c>
      <c r="R6024">
        <v>5.2064050000000001E-2</v>
      </c>
      <c r="S6024">
        <v>3.016724</v>
      </c>
      <c r="T6024">
        <v>-0.14174400000000001</v>
      </c>
      <c r="U6024">
        <v>-0.29403689999999999</v>
      </c>
      <c r="V6024">
        <v>-9.186801E-2</v>
      </c>
      <c r="W6024">
        <v>-3.4827480000000001E-2</v>
      </c>
      <c r="X6024">
        <v>0.99516199999999999</v>
      </c>
      <c r="Y6024">
        <v>5.7234769999999997E-2</v>
      </c>
      <c r="Z6024">
        <v>4.360651E-4</v>
      </c>
      <c r="AA6024">
        <v>0.99836060000000004</v>
      </c>
      <c r="AB6024">
        <v>33</v>
      </c>
      <c r="AC6024">
        <v>0.863900000000001</v>
      </c>
      <c r="AD6024">
        <v>-4.7921000000000102E-2</v>
      </c>
      <c r="AE6024">
        <v>-9.3119999999991807E-2</v>
      </c>
      <c r="AF6024">
        <v>5.8431273062471201E-2</v>
      </c>
      <c r="AG6024">
        <v>-4.7921000000000102E-2</v>
      </c>
      <c r="AH6024">
        <v>0.86429645160739399</v>
      </c>
      <c r="AI6024">
        <v>93.166307881031003</v>
      </c>
      <c r="AJ6024">
        <v>86.132370111292104</v>
      </c>
      <c r="AK6024">
        <v>0.867593794453276</v>
      </c>
      <c r="AL6024">
        <v>91.995871146231806</v>
      </c>
      <c r="AM6024">
        <v>95.274289995316295</v>
      </c>
      <c r="AN6024">
        <v>1.0000000454342499</v>
      </c>
    </row>
    <row r="6025" spans="1:40" x14ac:dyDescent="0.25">
      <c r="A6025" t="str">
        <f>"20190305135352188"</f>
        <v>20190305135352188</v>
      </c>
      <c r="B6025" t="str">
        <f>"1551765232175808"</f>
        <v>1551765232175808</v>
      </c>
      <c r="C6025" t="s">
        <v>40</v>
      </c>
      <c r="D6025">
        <v>4.3556540000000004</v>
      </c>
      <c r="E6025">
        <v>0.55614730000000001</v>
      </c>
      <c r="F6025" t="s">
        <v>93</v>
      </c>
      <c r="G6025">
        <v>-228.81129999999999</v>
      </c>
      <c r="H6025" s="1">
        <v>-3.5064380000000002E-6</v>
      </c>
      <c r="I6025">
        <v>-64.118099999999998</v>
      </c>
      <c r="J6025">
        <v>-252.0968</v>
      </c>
      <c r="K6025">
        <v>1.1069610000000001</v>
      </c>
      <c r="L6025">
        <v>-61.83484</v>
      </c>
      <c r="M6025">
        <v>0.99918759999999995</v>
      </c>
      <c r="N6025">
        <v>-1.3214730000000001E-3</v>
      </c>
      <c r="O6025">
        <v>-4.0280139999999999E-2</v>
      </c>
      <c r="P6025">
        <v>0.99803850000000005</v>
      </c>
      <c r="Q6025">
        <v>-3.6477929999999999E-2</v>
      </c>
      <c r="R6025">
        <v>5.0878439999999997E-2</v>
      </c>
      <c r="S6025">
        <v>3.016251</v>
      </c>
      <c r="T6025">
        <v>-0.14234040000000001</v>
      </c>
      <c r="U6025">
        <v>-0.29452509999999998</v>
      </c>
      <c r="V6025">
        <v>-9.1101070000000006E-2</v>
      </c>
      <c r="W6025">
        <v>-3.5000419999999997E-2</v>
      </c>
      <c r="X6025">
        <v>0.99522639999999996</v>
      </c>
      <c r="Y6025">
        <v>5.6992880000000003E-2</v>
      </c>
      <c r="Z6025">
        <v>4.6226859999999999E-4</v>
      </c>
      <c r="AA6025">
        <v>0.99837450000000005</v>
      </c>
      <c r="AB6025">
        <v>33</v>
      </c>
      <c r="AC6025">
        <v>23.285499999999999</v>
      </c>
      <c r="AD6025">
        <v>-1.106964506438</v>
      </c>
      <c r="AE6025">
        <v>-2.2832599999999901</v>
      </c>
      <c r="AF6025">
        <v>1.34046247723532</v>
      </c>
      <c r="AG6025">
        <v>-1.106964506438</v>
      </c>
      <c r="AH6025">
        <v>23.3064027717475</v>
      </c>
      <c r="AI6025">
        <v>92.714805841234494</v>
      </c>
      <c r="AJ6025">
        <v>86.708272643071197</v>
      </c>
      <c r="AK6025">
        <v>23.371149313422901</v>
      </c>
      <c r="AL6025">
        <v>92.005785992206597</v>
      </c>
      <c r="AM6025">
        <v>95.230167397676595</v>
      </c>
      <c r="AN6025">
        <v>1.00000001080614</v>
      </c>
    </row>
    <row r="6026" spans="1:40" x14ac:dyDescent="0.25">
      <c r="A6026" t="str">
        <f>"20190305135352199"</f>
        <v>20190305135352199</v>
      </c>
      <c r="B6026" t="str">
        <f>"1551765232196304"</f>
        <v>1551765232196304</v>
      </c>
      <c r="C6026" t="s">
        <v>40</v>
      </c>
      <c r="D6026">
        <v>4.3208789999999997</v>
      </c>
      <c r="E6026">
        <v>0.54582719999999996</v>
      </c>
      <c r="F6026" t="s">
        <v>41</v>
      </c>
      <c r="G6026">
        <v>-251.10409999999999</v>
      </c>
      <c r="H6026">
        <v>1.059949</v>
      </c>
      <c r="I6026">
        <v>-61.932279999999999</v>
      </c>
      <c r="J6026">
        <v>-251.9342</v>
      </c>
      <c r="K6026">
        <v>1.106968</v>
      </c>
      <c r="L6026">
        <v>-61.841709999999999</v>
      </c>
      <c r="M6026">
        <v>0.99917219999999995</v>
      </c>
      <c r="N6026">
        <v>-1.3394380000000001E-3</v>
      </c>
      <c r="O6026">
        <v>-4.0663860000000003E-2</v>
      </c>
      <c r="P6026">
        <v>0.99808450000000004</v>
      </c>
      <c r="Q6026">
        <v>-3.6645089999999998E-2</v>
      </c>
      <c r="R6026">
        <v>4.9846269999999998E-2</v>
      </c>
      <c r="S6026">
        <v>3.0157620000000001</v>
      </c>
      <c r="T6026">
        <v>-0.142798799999999</v>
      </c>
      <c r="U6026">
        <v>-0.295929</v>
      </c>
      <c r="V6026">
        <v>-9.0452779999999997E-2</v>
      </c>
      <c r="W6026">
        <v>-3.515302E-2</v>
      </c>
      <c r="X6026">
        <v>0.9952801</v>
      </c>
      <c r="Y6026">
        <v>5.7085509999999999E-2</v>
      </c>
      <c r="Z6026">
        <v>4.7820959999999999E-4</v>
      </c>
      <c r="AA6026">
        <v>0.99836919999999996</v>
      </c>
      <c r="AB6026">
        <v>33</v>
      </c>
      <c r="AC6026">
        <v>0.83010000000001505</v>
      </c>
      <c r="AD6026">
        <v>-4.7018999999999901E-2</v>
      </c>
      <c r="AE6026">
        <v>-9.0570000000006701E-2</v>
      </c>
      <c r="AF6026">
        <v>5.6560661400207497E-2</v>
      </c>
      <c r="AG6026">
        <v>-4.7018999999999901E-2</v>
      </c>
      <c r="AH6026">
        <v>0.83046324061420995</v>
      </c>
      <c r="AI6026">
        <v>93.233027505740495</v>
      </c>
      <c r="AJ6026">
        <v>86.103752506121694</v>
      </c>
      <c r="AK6026">
        <v>0.83371403298162405</v>
      </c>
      <c r="AL6026">
        <v>92.014534816569196</v>
      </c>
      <c r="AM6026">
        <v>95.192874241864999</v>
      </c>
      <c r="AN6026">
        <v>0.99999995884042803</v>
      </c>
    </row>
    <row r="6027" spans="1:40" x14ac:dyDescent="0.25">
      <c r="A6027" t="str">
        <f>"20190305135352210"</f>
        <v>20190305135352210</v>
      </c>
      <c r="B6027" t="str">
        <f>"1551765232206064"</f>
        <v>1551765232206064</v>
      </c>
      <c r="C6027" t="s">
        <v>40</v>
      </c>
      <c r="D6027">
        <v>4.3853589999999896</v>
      </c>
      <c r="E6027">
        <v>0.54583440000000005</v>
      </c>
      <c r="F6027" t="s">
        <v>93</v>
      </c>
      <c r="G6027">
        <v>-227.5369</v>
      </c>
      <c r="H6027" s="1">
        <v>-3.0029449999999998E-6</v>
      </c>
      <c r="I6027">
        <v>-63.596049999999998</v>
      </c>
      <c r="J6027">
        <v>-251.76050000000001</v>
      </c>
      <c r="K6027">
        <v>1.106978</v>
      </c>
      <c r="L6027">
        <v>-61.8491199999999</v>
      </c>
      <c r="M6027">
        <v>0.99915569999999998</v>
      </c>
      <c r="N6027">
        <v>-1.361007E-3</v>
      </c>
      <c r="O6027">
        <v>-4.1065110000000002E-2</v>
      </c>
      <c r="P6027">
        <v>0.99811890000000003</v>
      </c>
      <c r="Q6027">
        <v>-3.7180009999999999E-2</v>
      </c>
      <c r="R6027">
        <v>4.8751210000000003E-2</v>
      </c>
      <c r="S6027">
        <v>3.0115509999999999</v>
      </c>
      <c r="T6027">
        <v>-0.1366417</v>
      </c>
      <c r="U6027">
        <v>-0.21655269999999999</v>
      </c>
      <c r="V6027">
        <v>-8.9759640000000002E-2</v>
      </c>
      <c r="W6027">
        <v>-3.5670069999999998E-2</v>
      </c>
      <c r="X6027">
        <v>0.99532449999999995</v>
      </c>
      <c r="Y6027">
        <v>3.0709460000000001E-2</v>
      </c>
      <c r="Z6027">
        <v>1.0866090000000001E-3</v>
      </c>
      <c r="AA6027">
        <v>0.99952779999999997</v>
      </c>
      <c r="AB6027">
        <v>33</v>
      </c>
      <c r="AC6027">
        <v>24.223600000000001</v>
      </c>
      <c r="AD6027">
        <v>-1.106981002945</v>
      </c>
      <c r="AE6027">
        <v>-1.7469300000000001</v>
      </c>
      <c r="AF6027">
        <v>0.74915444698707201</v>
      </c>
      <c r="AG6027">
        <v>-1.106981002945</v>
      </c>
      <c r="AH6027">
        <v>24.224577014361302</v>
      </c>
      <c r="AI6027">
        <v>92.615154119441698</v>
      </c>
      <c r="AJ6027">
        <v>88.228670323018903</v>
      </c>
      <c r="AK6027">
        <v>24.261425573346699</v>
      </c>
      <c r="AL6027">
        <v>92.044178101311402</v>
      </c>
      <c r="AM6027">
        <v>95.153067661651207</v>
      </c>
      <c r="AN6027">
        <v>1.0000000035834899</v>
      </c>
    </row>
    <row r="6028" spans="1:40" x14ac:dyDescent="0.25">
      <c r="A6028" t="str">
        <f>"20190305135352222"</f>
        <v>20190305135352222</v>
      </c>
      <c r="B6028" t="str">
        <f>"1551765232215824"</f>
        <v>1551765232215824</v>
      </c>
      <c r="C6028" t="s">
        <v>40</v>
      </c>
      <c r="D6028">
        <v>4.3195129999999997</v>
      </c>
      <c r="E6028">
        <v>0.54552</v>
      </c>
      <c r="F6028" t="s">
        <v>93</v>
      </c>
      <c r="G6028">
        <v>-228.20650000000001</v>
      </c>
      <c r="H6028" s="1">
        <v>-3.227355E-6</v>
      </c>
      <c r="I6028">
        <v>-63.570059999999998</v>
      </c>
      <c r="J6028">
        <v>-251.58770000000001</v>
      </c>
      <c r="K6028">
        <v>1.1069869999999999</v>
      </c>
      <c r="L6028">
        <v>-61.85651</v>
      </c>
      <c r="M6028">
        <v>0.99913940000000001</v>
      </c>
      <c r="N6028">
        <v>-1.3849419999999999E-3</v>
      </c>
      <c r="O6028">
        <v>-4.1454440000000002E-2</v>
      </c>
      <c r="P6028">
        <v>0.99817480000000003</v>
      </c>
      <c r="Q6028">
        <v>-3.7175939999999998E-2</v>
      </c>
      <c r="R6028">
        <v>4.7594619999999997E-2</v>
      </c>
      <c r="S6028">
        <v>3.0110929999999998</v>
      </c>
      <c r="T6028">
        <v>-0.14151440000000001</v>
      </c>
      <c r="U6028">
        <v>-0.22000120000000001</v>
      </c>
      <c r="V6028">
        <v>-8.8993199999999995E-2</v>
      </c>
      <c r="W6028">
        <v>-3.5645940000000001E-2</v>
      </c>
      <c r="X6028">
        <v>0.99539420000000001</v>
      </c>
      <c r="Y6028">
        <v>3.1469690000000002E-2</v>
      </c>
      <c r="Z6028">
        <v>1.1261649999999999E-3</v>
      </c>
      <c r="AA6028">
        <v>0.99950410000000001</v>
      </c>
      <c r="AB6028">
        <v>33</v>
      </c>
      <c r="AC6028">
        <v>23.3812</v>
      </c>
      <c r="AD6028">
        <v>-1.1069902273549901</v>
      </c>
      <c r="AE6028">
        <v>-1.7135499999999899</v>
      </c>
      <c r="AF6028">
        <v>0.74116899215488397</v>
      </c>
      <c r="AG6028">
        <v>-1.1069902273549901</v>
      </c>
      <c r="AH6028">
        <v>23.3800075532934</v>
      </c>
      <c r="AI6028">
        <v>92.709441412063498</v>
      </c>
      <c r="AJ6028">
        <v>88.184276106274297</v>
      </c>
      <c r="AK6028">
        <v>23.417931420824701</v>
      </c>
      <c r="AL6028">
        <v>92.042794644825307</v>
      </c>
      <c r="AM6028">
        <v>95.108944641189595</v>
      </c>
      <c r="AN6028">
        <v>1.0000000180391799</v>
      </c>
    </row>
    <row r="6029" spans="1:40" x14ac:dyDescent="0.25">
      <c r="A6029" t="str">
        <f>"20190305135352234"</f>
        <v>20190305135352234</v>
      </c>
      <c r="B6029" t="str">
        <f>"1551765232225584"</f>
        <v>1551765232225584</v>
      </c>
      <c r="C6029" t="s">
        <v>40</v>
      </c>
      <c r="D6029">
        <v>4.3536020000000004</v>
      </c>
      <c r="E6029">
        <v>0.54534769999999999</v>
      </c>
      <c r="F6029" t="s">
        <v>93</v>
      </c>
      <c r="G6029">
        <v>-228.06270000000001</v>
      </c>
      <c r="H6029" s="1">
        <v>-3.1801790000000001E-6</v>
      </c>
      <c r="I6029">
        <v>-63.58314</v>
      </c>
      <c r="J6029">
        <v>-251.42099999999999</v>
      </c>
      <c r="K6029">
        <v>1.106997</v>
      </c>
      <c r="L6029">
        <v>-61.863770000000002</v>
      </c>
      <c r="M6029">
        <v>0.99912449999999997</v>
      </c>
      <c r="N6029">
        <v>-1.41167299999999E-3</v>
      </c>
      <c r="O6029">
        <v>-4.1814799999999999E-2</v>
      </c>
      <c r="P6029">
        <v>0.99822129999999998</v>
      </c>
      <c r="Q6029">
        <v>-3.7510740000000001E-2</v>
      </c>
      <c r="R6029">
        <v>4.6342069999999999E-2</v>
      </c>
      <c r="S6029">
        <v>3.0107569999999999</v>
      </c>
      <c r="T6029">
        <v>-0.1416743</v>
      </c>
      <c r="U6029">
        <v>-0.2209778</v>
      </c>
      <c r="V6029">
        <v>-8.8102689999999997E-2</v>
      </c>
      <c r="W6029">
        <v>-3.5958219999999999E-2</v>
      </c>
      <c r="X6029">
        <v>0.99546219999999996</v>
      </c>
      <c r="Y6029">
        <v>3.1440120000000002E-2</v>
      </c>
      <c r="Z6029">
        <v>1.1432219999999999E-3</v>
      </c>
      <c r="AA6029">
        <v>0.99950499999999998</v>
      </c>
      <c r="AB6029">
        <v>33</v>
      </c>
      <c r="AC6029">
        <v>23.3582999999999</v>
      </c>
      <c r="AD6029">
        <v>-1.1070001801789999</v>
      </c>
      <c r="AE6029">
        <v>-1.7193700000000001</v>
      </c>
      <c r="AF6029">
        <v>0.73949074179145602</v>
      </c>
      <c r="AG6029">
        <v>-1.1070001801789999</v>
      </c>
      <c r="AH6029">
        <v>23.357586668546301</v>
      </c>
      <c r="AI6029">
        <v>92.712066213646494</v>
      </c>
      <c r="AJ6029">
        <v>88.186646955411703</v>
      </c>
      <c r="AK6029">
        <v>23.3954942442933</v>
      </c>
      <c r="AL6029">
        <v>92.060698414588501</v>
      </c>
      <c r="AM6029">
        <v>95.057744815547295</v>
      </c>
      <c r="AN6029">
        <v>1.0000000345998199</v>
      </c>
    </row>
    <row r="6030" spans="1:40" x14ac:dyDescent="0.25">
      <c r="A6030" t="str">
        <f>"20190305135352244"</f>
        <v>20190305135352244</v>
      </c>
      <c r="B6030" t="str">
        <f>"1551765232236320"</f>
        <v>1551765232236320</v>
      </c>
      <c r="C6030" t="s">
        <v>40</v>
      </c>
      <c r="D6030">
        <v>4.3808619999999996</v>
      </c>
      <c r="E6030">
        <v>0.54546349999999999</v>
      </c>
      <c r="F6030" t="s">
        <v>93</v>
      </c>
      <c r="G6030">
        <v>-228.1729</v>
      </c>
      <c r="H6030" s="1">
        <v>-3.2184259999999998E-6</v>
      </c>
      <c r="I6030">
        <v>-63.588720000000002</v>
      </c>
      <c r="J6030">
        <v>-251.2636</v>
      </c>
      <c r="K6030">
        <v>1.107011</v>
      </c>
      <c r="L6030">
        <v>-61.870609999999999</v>
      </c>
      <c r="M6030">
        <v>0.99911019999999995</v>
      </c>
      <c r="N6030">
        <v>-1.4379849999999999E-3</v>
      </c>
      <c r="O6030">
        <v>-4.2150609999999998E-2</v>
      </c>
      <c r="P6030">
        <v>0.99825600000000003</v>
      </c>
      <c r="Q6030">
        <v>-3.8154300000000002E-2</v>
      </c>
      <c r="R6030">
        <v>4.5046580000000003E-2</v>
      </c>
      <c r="S6030">
        <v>3.0103149999999999</v>
      </c>
      <c r="T6030">
        <v>-0.14334189999999999</v>
      </c>
      <c r="U6030">
        <v>-0.22335820000000001</v>
      </c>
      <c r="V6030">
        <v>-8.7144230000000003E-2</v>
      </c>
      <c r="W6030">
        <v>-3.6579670000000002E-2</v>
      </c>
      <c r="X6030">
        <v>0.99552390000000002</v>
      </c>
      <c r="Y6030">
        <v>3.1900930000000001E-2</v>
      </c>
      <c r="Z6030">
        <v>1.1604149999999999E-3</v>
      </c>
      <c r="AA6030">
        <v>0.9994904</v>
      </c>
      <c r="AB6030">
        <v>33</v>
      </c>
      <c r="AC6030">
        <v>23.090699999999998</v>
      </c>
      <c r="AD6030">
        <v>-1.1070142184259999</v>
      </c>
      <c r="AE6030">
        <v>-1.71810999999999</v>
      </c>
      <c r="AF6030">
        <v>0.74159979473819404</v>
      </c>
      <c r="AG6030">
        <v>-1.1070142184259999</v>
      </c>
      <c r="AH6030">
        <v>23.0898197317394</v>
      </c>
      <c r="AI6030">
        <v>92.743464327700096</v>
      </c>
      <c r="AJ6030">
        <v>88.160404142558406</v>
      </c>
      <c r="AK6030">
        <v>23.128234389584801</v>
      </c>
      <c r="AL6030">
        <v>92.096328365076801</v>
      </c>
      <c r="AM6030">
        <v>95.002694416543306</v>
      </c>
      <c r="AN6030">
        <v>1.0000000122754</v>
      </c>
    </row>
    <row r="6031" spans="1:40" x14ac:dyDescent="0.25">
      <c r="A6031" t="str">
        <f>"20190305135352254"</f>
        <v>20190305135352254</v>
      </c>
      <c r="B6031" t="str">
        <f>"1551765232246080"</f>
        <v>1551765232246080</v>
      </c>
      <c r="C6031" t="s">
        <v>40</v>
      </c>
      <c r="D6031">
        <v>4.3959400000000004</v>
      </c>
      <c r="E6031">
        <v>0.5451471</v>
      </c>
      <c r="F6031" t="s">
        <v>93</v>
      </c>
      <c r="G6031">
        <v>-228.3201</v>
      </c>
      <c r="H6031" s="1">
        <v>-3.2712889999999998E-6</v>
      </c>
      <c r="I6031">
        <v>-63.609659999999998</v>
      </c>
      <c r="J6031">
        <v>-251.09979999999999</v>
      </c>
      <c r="K6031">
        <v>1.107022</v>
      </c>
      <c r="L6031">
        <v>-61.877839999999999</v>
      </c>
      <c r="M6031">
        <v>0.99909630000000005</v>
      </c>
      <c r="N6031">
        <v>-1.468139E-3</v>
      </c>
      <c r="O6031">
        <v>-4.2480690000000002E-2</v>
      </c>
      <c r="P6031">
        <v>0.99828609999999895</v>
      </c>
      <c r="Q6031">
        <v>-3.8682880000000003E-2</v>
      </c>
      <c r="R6031">
        <v>4.3917860000000003E-2</v>
      </c>
      <c r="S6031">
        <v>3.009979</v>
      </c>
      <c r="T6031">
        <v>-0.1452301</v>
      </c>
      <c r="U6031">
        <v>-0.2281494</v>
      </c>
      <c r="V6031">
        <v>-8.6346049999999994E-2</v>
      </c>
      <c r="W6031">
        <v>-3.7082410000000003E-2</v>
      </c>
      <c r="X6031">
        <v>0.99557479999999998</v>
      </c>
      <c r="Y6031">
        <v>3.3160050000000003E-2</v>
      </c>
      <c r="Z6031">
        <v>1.159226E-3</v>
      </c>
      <c r="AA6031">
        <v>0.99944940000000004</v>
      </c>
      <c r="AB6031">
        <v>33</v>
      </c>
      <c r="AC6031">
        <v>22.779699999999899</v>
      </c>
      <c r="AD6031">
        <v>-1.1070252712890001</v>
      </c>
      <c r="AE6031">
        <v>-1.7318199999999899</v>
      </c>
      <c r="AF6031">
        <v>0.76077196606257602</v>
      </c>
      <c r="AG6031">
        <v>-1.1070252712890001</v>
      </c>
      <c r="AH6031">
        <v>22.7792176025301</v>
      </c>
      <c r="AI6031">
        <v>92.780725510910699</v>
      </c>
      <c r="AJ6031">
        <v>88.087167522692397</v>
      </c>
      <c r="AK6031">
        <v>22.8187868546738</v>
      </c>
      <c r="AL6031">
        <v>92.125152905167397</v>
      </c>
      <c r="AM6031">
        <v>94.956850432862694</v>
      </c>
      <c r="AN6031">
        <v>0.99999996393852397</v>
      </c>
    </row>
    <row r="6032" spans="1:40" x14ac:dyDescent="0.25">
      <c r="A6032" t="str">
        <f>"20190305135352266"</f>
        <v>20190305135352266</v>
      </c>
      <c r="B6032" t="str">
        <f>"1551765232255841"</f>
        <v>1551765232255841</v>
      </c>
      <c r="C6032" t="s">
        <v>40</v>
      </c>
      <c r="D6032">
        <v>4.3702860000000001</v>
      </c>
      <c r="E6032">
        <v>0.54491659999999997</v>
      </c>
      <c r="F6032" t="s">
        <v>93</v>
      </c>
      <c r="G6032">
        <v>-228.78710000000001</v>
      </c>
      <c r="H6032" s="1">
        <v>-3.42576E-6</v>
      </c>
      <c r="I6032">
        <v>-63.576169999999998</v>
      </c>
      <c r="J6032">
        <v>-250.9359</v>
      </c>
      <c r="K6032">
        <v>1.1070340000000001</v>
      </c>
      <c r="L6032">
        <v>-61.885039999999996</v>
      </c>
      <c r="M6032">
        <v>0.99908229999999998</v>
      </c>
      <c r="N6032">
        <v>-1.49883E-3</v>
      </c>
      <c r="O6032">
        <v>-4.2807079999999997E-2</v>
      </c>
      <c r="P6032">
        <v>0.99831590000000003</v>
      </c>
      <c r="Q6032">
        <v>-3.9345529999999997E-2</v>
      </c>
      <c r="R6032">
        <v>4.2632820000000002E-2</v>
      </c>
      <c r="S6032">
        <v>3.0094599999999998</v>
      </c>
      <c r="T6032">
        <v>-0.149312</v>
      </c>
      <c r="U6032">
        <v>-0.22906489999999999</v>
      </c>
      <c r="V6032">
        <v>-8.5388350000000002E-2</v>
      </c>
      <c r="W6032">
        <v>-3.7718929999999998E-2</v>
      </c>
      <c r="X6032">
        <v>0.99563349999999995</v>
      </c>
      <c r="Y6032">
        <v>3.3149629999999999E-2</v>
      </c>
      <c r="Z6032">
        <v>1.208506E-3</v>
      </c>
      <c r="AA6032">
        <v>0.9994497</v>
      </c>
      <c r="AB6032">
        <v>33</v>
      </c>
      <c r="AC6032">
        <v>22.148799999999898</v>
      </c>
      <c r="AD6032">
        <v>-1.10703742576</v>
      </c>
      <c r="AE6032">
        <v>-1.69112999999999</v>
      </c>
      <c r="AF6032">
        <v>0.73961639173354998</v>
      </c>
      <c r="AG6032">
        <v>-1.10703742576</v>
      </c>
      <c r="AH6032">
        <v>22.145886015505599</v>
      </c>
      <c r="AI6032">
        <v>92.860150299034203</v>
      </c>
      <c r="AJ6032">
        <v>88.087177337812406</v>
      </c>
      <c r="AK6032">
        <v>22.1858700906843</v>
      </c>
      <c r="AL6032">
        <v>92.161648322119007</v>
      </c>
      <c r="AM6032">
        <v>94.901853733531496</v>
      </c>
      <c r="AN6032">
        <v>0.999999977159158</v>
      </c>
    </row>
    <row r="6033" spans="1:40" x14ac:dyDescent="0.25">
      <c r="A6033" t="str">
        <f>"20190305135352278"</f>
        <v>20190305135352278</v>
      </c>
      <c r="B6033" t="str">
        <f>"1551765232265602"</f>
        <v>1551765232265602</v>
      </c>
      <c r="C6033" t="s">
        <v>40</v>
      </c>
      <c r="D6033">
        <v>4.4109999999999996</v>
      </c>
      <c r="E6033">
        <v>0.54473859999999996</v>
      </c>
      <c r="F6033" t="s">
        <v>41</v>
      </c>
      <c r="G6033">
        <v>-249.91460000000001</v>
      </c>
      <c r="H6033">
        <v>1.0556730000000001</v>
      </c>
      <c r="I6033">
        <v>-61.9636</v>
      </c>
      <c r="J6033">
        <v>-250.75370000000001</v>
      </c>
      <c r="K6033">
        <v>1.107051</v>
      </c>
      <c r="L6033">
        <v>-61.893160000000002</v>
      </c>
      <c r="M6033">
        <v>0.9990675</v>
      </c>
      <c r="N6033">
        <v>-1.535909E-3</v>
      </c>
      <c r="O6033">
        <v>-4.314813E-2</v>
      </c>
      <c r="P6033">
        <v>0.99834650000000003</v>
      </c>
      <c r="Q6033">
        <v>-4.0044679999999999E-2</v>
      </c>
      <c r="R6033">
        <v>4.1238520000000001E-2</v>
      </c>
      <c r="S6033">
        <v>3.0090029999999999</v>
      </c>
      <c r="T6033">
        <v>-0.15127479999999999</v>
      </c>
      <c r="U6033">
        <v>-0.23114009999999999</v>
      </c>
      <c r="V6033">
        <v>-8.4335510000000002E-2</v>
      </c>
      <c r="W6033">
        <v>-3.8386299999999998E-2</v>
      </c>
      <c r="X6033">
        <v>0.99569770000000002</v>
      </c>
      <c r="Y6033">
        <v>3.3505319999999998E-2</v>
      </c>
      <c r="Z6033">
        <v>1.230863E-3</v>
      </c>
      <c r="AA6033">
        <v>0.99943780000000004</v>
      </c>
      <c r="AB6033">
        <v>34</v>
      </c>
      <c r="AC6033">
        <v>0.83910000000000196</v>
      </c>
      <c r="AD6033">
        <v>-5.1378000000000097E-2</v>
      </c>
      <c r="AE6033">
        <v>-7.0440000000004901E-2</v>
      </c>
      <c r="AF6033">
        <v>3.4042025468262002E-2</v>
      </c>
      <c r="AG6033">
        <v>-5.1378000000000097E-2</v>
      </c>
      <c r="AH6033">
        <v>0.83823724707807101</v>
      </c>
      <c r="AI6033">
        <v>93.504555554086593</v>
      </c>
      <c r="AJ6033">
        <v>87.674413587992404</v>
      </c>
      <c r="AK6033">
        <v>0.84049999450981805</v>
      </c>
      <c r="AL6033">
        <v>92.199913586264003</v>
      </c>
      <c r="AM6033">
        <v>94.841392184202505</v>
      </c>
      <c r="AN6033">
        <v>0.99999994802996806</v>
      </c>
    </row>
    <row r="6034" spans="1:40" x14ac:dyDescent="0.25">
      <c r="A6034" t="str">
        <f>"20190305135352290"</f>
        <v>20190305135352290</v>
      </c>
      <c r="B6034" t="str">
        <f>"1551765232286096"</f>
        <v>1551765232286096</v>
      </c>
      <c r="C6034" t="s">
        <v>40</v>
      </c>
      <c r="D6034">
        <v>4.4277309999999996</v>
      </c>
      <c r="E6034">
        <v>0.54428019999999999</v>
      </c>
      <c r="F6034" t="s">
        <v>93</v>
      </c>
      <c r="G6034">
        <v>-229.2569</v>
      </c>
      <c r="H6034" s="1">
        <v>-3.584119E-6</v>
      </c>
      <c r="I6034">
        <v>-63.564830000000001</v>
      </c>
      <c r="J6034">
        <v>-250.57759999999999</v>
      </c>
      <c r="K6034">
        <v>1.1070690000000001</v>
      </c>
      <c r="L6034">
        <v>-61.901029999999999</v>
      </c>
      <c r="M6034">
        <v>0.99905359999999999</v>
      </c>
      <c r="N6034">
        <v>-1.572457E-3</v>
      </c>
      <c r="O6034">
        <v>-4.3468550000000002E-2</v>
      </c>
      <c r="P6034">
        <v>0.99839250000000002</v>
      </c>
      <c r="Q6034">
        <v>-4.0479099999999997E-2</v>
      </c>
      <c r="R6034">
        <v>3.9673350000000003E-2</v>
      </c>
      <c r="S6034">
        <v>3.0084230000000001</v>
      </c>
      <c r="T6034">
        <v>-0.15492990000000001</v>
      </c>
      <c r="U6034">
        <v>-0.23394780000000001</v>
      </c>
      <c r="V6034">
        <v>-8.3092589999999994E-2</v>
      </c>
      <c r="W6034">
        <v>-3.8789549999999999E-2</v>
      </c>
      <c r="X6034">
        <v>0.99578659999999997</v>
      </c>
      <c r="Y6034">
        <v>3.4126589999999998E-2</v>
      </c>
      <c r="Z6034">
        <v>1.2602819999999999E-3</v>
      </c>
      <c r="AA6034">
        <v>0.99941670000000005</v>
      </c>
      <c r="AB6034">
        <v>34</v>
      </c>
      <c r="AC6034">
        <v>21.320699999999899</v>
      </c>
      <c r="AD6034">
        <v>-1.1070725841189999</v>
      </c>
      <c r="AE6034">
        <v>-1.6637999999999999</v>
      </c>
      <c r="AF6034">
        <v>0.73348071672630999</v>
      </c>
      <c r="AG6034">
        <v>-1.1070725841189999</v>
      </c>
      <c r="AH6034">
        <v>21.3157473212272</v>
      </c>
      <c r="AI6034">
        <v>92.971335028198297</v>
      </c>
      <c r="AJ6034">
        <v>88.029214100700898</v>
      </c>
      <c r="AK6034">
        <v>21.357075818817499</v>
      </c>
      <c r="AL6034">
        <v>92.223035259990894</v>
      </c>
      <c r="AM6034">
        <v>94.769948519169901</v>
      </c>
      <c r="AN6034">
        <v>0.99999998022083503</v>
      </c>
    </row>
    <row r="6035" spans="1:40" x14ac:dyDescent="0.25">
      <c r="A6035" t="str">
        <f>"20190305135352301"</f>
        <v>20190305135352301</v>
      </c>
      <c r="B6035" t="str">
        <f>"1551765232295855"</f>
        <v>1551765232295855</v>
      </c>
      <c r="C6035" t="s">
        <v>40</v>
      </c>
      <c r="D6035">
        <v>4.4292189999999998</v>
      </c>
      <c r="E6035">
        <v>0.5439079</v>
      </c>
      <c r="F6035" t="s">
        <v>41</v>
      </c>
      <c r="G6035">
        <v>-249.6113</v>
      </c>
      <c r="H6035">
        <v>1.056481</v>
      </c>
      <c r="I6035">
        <v>-61.976759999999999</v>
      </c>
      <c r="J6035">
        <v>-250.40369999999999</v>
      </c>
      <c r="K6035">
        <v>1.107084</v>
      </c>
      <c r="L6035">
        <v>-61.908869999999901</v>
      </c>
      <c r="M6035">
        <v>0.99904040000000005</v>
      </c>
      <c r="N6035">
        <v>-1.60961E-3</v>
      </c>
      <c r="O6035">
        <v>-4.377205E-2</v>
      </c>
      <c r="P6035">
        <v>0.99844379999999999</v>
      </c>
      <c r="Q6035">
        <v>-4.0640570000000001E-2</v>
      </c>
      <c r="R6035">
        <v>3.8193560000000001E-2</v>
      </c>
      <c r="S6035">
        <v>3.0077970000000001</v>
      </c>
      <c r="T6035">
        <v>-0.157383299999999</v>
      </c>
      <c r="U6035">
        <v>-0.2350159</v>
      </c>
      <c r="V6035">
        <v>-8.1917400000000001E-2</v>
      </c>
      <c r="W6035">
        <v>-3.8919059999999998E-2</v>
      </c>
      <c r="X6035">
        <v>0.99587890000000001</v>
      </c>
      <c r="Y6035">
        <v>3.4192300000000002E-2</v>
      </c>
      <c r="Z6035">
        <v>1.293296E-3</v>
      </c>
      <c r="AA6035">
        <v>0.99941440000000004</v>
      </c>
      <c r="AB6035">
        <v>34</v>
      </c>
      <c r="AC6035">
        <v>0.792399999999986</v>
      </c>
      <c r="AD6035">
        <v>-5.0602999999999898E-2</v>
      </c>
      <c r="AE6035">
        <v>-6.7890000000005502E-2</v>
      </c>
      <c r="AF6035">
        <v>3.3006294344468001E-2</v>
      </c>
      <c r="AG6035">
        <v>-5.0602999999999898E-2</v>
      </c>
      <c r="AH6035">
        <v>0.79140824006134702</v>
      </c>
      <c r="AI6035">
        <v>93.655368574691906</v>
      </c>
      <c r="AJ6035">
        <v>87.611819088852201</v>
      </c>
      <c r="AK6035">
        <v>0.79371095589789697</v>
      </c>
      <c r="AL6035">
        <v>92.230461270032393</v>
      </c>
      <c r="AM6035">
        <v>94.702357308870504</v>
      </c>
      <c r="AN6035">
        <v>0.99999996855962603</v>
      </c>
    </row>
    <row r="6036" spans="1:40" x14ac:dyDescent="0.25">
      <c r="A6036" t="str">
        <f>"20190305135352312"</f>
        <v>20190305135352312</v>
      </c>
      <c r="B6036" t="str">
        <f>"1551765232305616"</f>
        <v>1551765232305616</v>
      </c>
      <c r="C6036" t="s">
        <v>40</v>
      </c>
      <c r="D6036">
        <v>4.4423629999999896</v>
      </c>
      <c r="E6036">
        <v>0.54356419999999905</v>
      </c>
      <c r="F6036" t="s">
        <v>93</v>
      </c>
      <c r="G6036">
        <v>-229.37780000000001</v>
      </c>
      <c r="H6036" s="1">
        <v>-3.624993E-6</v>
      </c>
      <c r="I6036">
        <v>-63.562919999999998</v>
      </c>
      <c r="J6036">
        <v>-250.2467</v>
      </c>
      <c r="K6036">
        <v>1.107097</v>
      </c>
      <c r="L6036">
        <v>-61.915950000000002</v>
      </c>
      <c r="M6036">
        <v>0.99902880000000005</v>
      </c>
      <c r="N6036">
        <v>-1.644242E-3</v>
      </c>
      <c r="O6036">
        <v>-4.4032990000000001E-2</v>
      </c>
      <c r="P6036">
        <v>0.99848429999999999</v>
      </c>
      <c r="Q6036">
        <v>-4.0964159999999999E-2</v>
      </c>
      <c r="R6036">
        <v>3.6761479999999999E-2</v>
      </c>
      <c r="S6036">
        <v>3.007263</v>
      </c>
      <c r="T6036">
        <v>-0.15834300000000001</v>
      </c>
      <c r="U6036">
        <v>-0.23657230000000001</v>
      </c>
      <c r="V6036">
        <v>-8.0747280000000005E-2</v>
      </c>
      <c r="W6036">
        <v>-3.9212820000000002E-2</v>
      </c>
      <c r="X6036">
        <v>0.99596300000000004</v>
      </c>
      <c r="Y6036">
        <v>3.4459110000000001E-2</v>
      </c>
      <c r="Z6036">
        <v>1.3059040000000001E-3</v>
      </c>
      <c r="AA6036">
        <v>0.99940530000000005</v>
      </c>
      <c r="AB6036">
        <v>34</v>
      </c>
      <c r="AC6036">
        <v>20.8689</v>
      </c>
      <c r="AD6036">
        <v>-1.107100624993</v>
      </c>
      <c r="AE6036">
        <v>-1.6469699999999901</v>
      </c>
      <c r="AF6036">
        <v>0.72442517268717999</v>
      </c>
      <c r="AG6036">
        <v>-1.107100624993</v>
      </c>
      <c r="AH6036">
        <v>20.8628283805369</v>
      </c>
      <c r="AI6036">
        <v>93.035765480494703</v>
      </c>
      <c r="AJ6036">
        <v>88.011303417292595</v>
      </c>
      <c r="AK6036">
        <v>20.904738019416001</v>
      </c>
      <c r="AL6036">
        <v>92.247305192266097</v>
      </c>
      <c r="AM6036">
        <v>94.635093265209804</v>
      </c>
      <c r="AN6036">
        <v>1.0000000329243699</v>
      </c>
    </row>
    <row r="6037" spans="1:40" x14ac:dyDescent="0.25">
      <c r="A6037" t="str">
        <f>"20190305135352323"</f>
        <v>20190305135352323</v>
      </c>
      <c r="B6037" t="str">
        <f>"1551765232316352"</f>
        <v>1551765232316352</v>
      </c>
      <c r="C6037" t="s">
        <v>40</v>
      </c>
      <c r="D6037">
        <v>4.475295</v>
      </c>
      <c r="E6037">
        <v>0.54327740000000002</v>
      </c>
      <c r="F6037" t="s">
        <v>41</v>
      </c>
      <c r="G6037">
        <v>-249.30670000000001</v>
      </c>
      <c r="H6037">
        <v>1.057121</v>
      </c>
      <c r="I6037">
        <v>-61.990490000000001</v>
      </c>
      <c r="J6037">
        <v>-250.06379999999999</v>
      </c>
      <c r="K6037">
        <v>1.1071120000000001</v>
      </c>
      <c r="L6037">
        <v>-61.924259999999997</v>
      </c>
      <c r="M6037">
        <v>0.9990156</v>
      </c>
      <c r="N6037">
        <v>-1.68533299999999E-3</v>
      </c>
      <c r="O6037">
        <v>-4.4328619999999999E-2</v>
      </c>
      <c r="P6037">
        <v>0.99852560000000001</v>
      </c>
      <c r="Q6037">
        <v>-4.122878E-2</v>
      </c>
      <c r="R6037">
        <v>3.5313949999999997E-2</v>
      </c>
      <c r="S6037">
        <v>3.0067599999999999</v>
      </c>
      <c r="T6037">
        <v>-0.15982879999999899</v>
      </c>
      <c r="U6037">
        <v>-0.23806759999999999</v>
      </c>
      <c r="V6037">
        <v>-7.9596739999999999E-2</v>
      </c>
      <c r="W6037">
        <v>-3.9441589999999999E-2</v>
      </c>
      <c r="X6037">
        <v>0.99604649999999995</v>
      </c>
      <c r="Y6037">
        <v>3.4670550000000001E-2</v>
      </c>
      <c r="Z6037">
        <v>1.326142E-3</v>
      </c>
      <c r="AA6037">
        <v>0.99939789999999995</v>
      </c>
      <c r="AB6037">
        <v>34</v>
      </c>
      <c r="AC6037">
        <v>0.75709999999997901</v>
      </c>
      <c r="AD6037">
        <v>-4.9991000000000098E-2</v>
      </c>
      <c r="AE6037">
        <v>-6.6230000000004396E-2</v>
      </c>
      <c r="AF6037">
        <v>3.2463189121527097E-2</v>
      </c>
      <c r="AG6037">
        <v>-4.9991000000000098E-2</v>
      </c>
      <c r="AH6037">
        <v>0.75602051376792001</v>
      </c>
      <c r="AI6037">
        <v>93.779638464453896</v>
      </c>
      <c r="AJ6037">
        <v>87.541254776310197</v>
      </c>
      <c r="AK6037">
        <v>0.75836665008876103</v>
      </c>
      <c r="AL6037">
        <v>92.260423071381894</v>
      </c>
      <c r="AM6037">
        <v>94.568949675604998</v>
      </c>
      <c r="AN6037">
        <v>0.99999995510130102</v>
      </c>
    </row>
    <row r="6038" spans="1:40" x14ac:dyDescent="0.25">
      <c r="A6038" t="str">
        <f>"20190305135352334"</f>
        <v>20190305135352334</v>
      </c>
      <c r="B6038" t="str">
        <f>"1551765232326112"</f>
        <v>1551765232326112</v>
      </c>
      <c r="C6038" t="s">
        <v>40</v>
      </c>
      <c r="D6038">
        <v>4.472899</v>
      </c>
      <c r="E6038">
        <v>0.54305740000000002</v>
      </c>
      <c r="F6038" t="s">
        <v>93</v>
      </c>
      <c r="G6038">
        <v>-229.45650000000001</v>
      </c>
      <c r="H6038" s="1">
        <v>-3.6527619999999998E-6</v>
      </c>
      <c r="I6038">
        <v>-63.570399999999999</v>
      </c>
      <c r="J6038">
        <v>-249.9051</v>
      </c>
      <c r="K6038">
        <v>1.1071260000000001</v>
      </c>
      <c r="L6038">
        <v>-61.931550000000001</v>
      </c>
      <c r="M6038">
        <v>0.99900500000000003</v>
      </c>
      <c r="N6038">
        <v>-1.721747E-3</v>
      </c>
      <c r="O6038">
        <v>-4.4566550000000003E-2</v>
      </c>
      <c r="P6038">
        <v>0.99856869999999998</v>
      </c>
      <c r="Q6038">
        <v>-4.1483689999999997E-2</v>
      </c>
      <c r="R6038">
        <v>3.3759820000000003E-2</v>
      </c>
      <c r="S6038">
        <v>3.0062410000000002</v>
      </c>
      <c r="T6038">
        <v>-0.16150809999999999</v>
      </c>
      <c r="U6038">
        <v>-0.24014279999999999</v>
      </c>
      <c r="V6038">
        <v>-7.8281799999999999E-2</v>
      </c>
      <c r="W6038">
        <v>-3.966505E-2</v>
      </c>
      <c r="X6038">
        <v>0.99614190000000002</v>
      </c>
      <c r="Y6038">
        <v>3.5131389999999998E-2</v>
      </c>
      <c r="Z6038">
        <v>1.3386779999999901E-3</v>
      </c>
      <c r="AA6038">
        <v>0.99938179999999999</v>
      </c>
      <c r="AB6038">
        <v>34</v>
      </c>
      <c r="AC6038">
        <v>20.448599999999999</v>
      </c>
      <c r="AD6038">
        <v>-1.107129652762</v>
      </c>
      <c r="AE6038">
        <v>-1.6388499999999899</v>
      </c>
      <c r="AF6038">
        <v>0.72378867072442798</v>
      </c>
      <c r="AG6038">
        <v>-1.107129652762</v>
      </c>
      <c r="AH6038">
        <v>20.441780697994901</v>
      </c>
      <c r="AI6038">
        <v>93.098180781803606</v>
      </c>
      <c r="AJ6038">
        <v>87.972157137376499</v>
      </c>
      <c r="AK6038">
        <v>20.4845308516649</v>
      </c>
      <c r="AL6038">
        <v>92.273236264681799</v>
      </c>
      <c r="AM6038">
        <v>94.493353652826201</v>
      </c>
      <c r="AN6038">
        <v>1.0000000206691699</v>
      </c>
    </row>
    <row r="6039" spans="1:40" x14ac:dyDescent="0.25">
      <c r="A6039" t="str">
        <f>"20190305135352344"</f>
        <v>20190305135352344</v>
      </c>
      <c r="B6039" t="str">
        <f>"1551765232335872"</f>
        <v>1551765232335872</v>
      </c>
      <c r="C6039" t="s">
        <v>40</v>
      </c>
      <c r="D6039">
        <v>4.4676070000000001</v>
      </c>
      <c r="E6039">
        <v>0.54305740000000002</v>
      </c>
      <c r="F6039" t="s">
        <v>41</v>
      </c>
      <c r="G6039">
        <v>-248.99520000000001</v>
      </c>
      <c r="H6039">
        <v>1.0579149999999999</v>
      </c>
      <c r="I6039">
        <v>-62.005409999999998</v>
      </c>
      <c r="J6039">
        <v>-249.7465</v>
      </c>
      <c r="K6039">
        <v>1.107143</v>
      </c>
      <c r="L6039">
        <v>-61.938780000000001</v>
      </c>
      <c r="M6039">
        <v>0.99899450000000001</v>
      </c>
      <c r="N6039">
        <v>-1.758274E-3</v>
      </c>
      <c r="O6039">
        <v>-4.4801500000000001E-2</v>
      </c>
      <c r="P6039">
        <v>0.99860450000000001</v>
      </c>
      <c r="Q6039">
        <v>-4.1793179999999999E-2</v>
      </c>
      <c r="R6039">
        <v>3.2286599999999999E-2</v>
      </c>
      <c r="S6039">
        <v>3.0057830000000001</v>
      </c>
      <c r="T6039">
        <v>-0.16248370000000001</v>
      </c>
      <c r="U6039">
        <v>-0.24316409999999999</v>
      </c>
      <c r="V6039">
        <v>-7.7044459999999995E-2</v>
      </c>
      <c r="W6039">
        <v>-3.9942800000000001E-2</v>
      </c>
      <c r="X6039">
        <v>0.99622730000000004</v>
      </c>
      <c r="Y6039">
        <v>3.5905670000000001E-2</v>
      </c>
      <c r="Z6039">
        <v>1.3359559999999999E-3</v>
      </c>
      <c r="AA6039">
        <v>0.99935430000000003</v>
      </c>
      <c r="AB6039">
        <v>34</v>
      </c>
      <c r="AC6039">
        <v>0.75129999999998598</v>
      </c>
      <c r="AD6039">
        <v>-4.9228000000000001E-2</v>
      </c>
      <c r="AE6039">
        <v>-6.66299999999964E-2</v>
      </c>
      <c r="AF6039">
        <v>3.27641124202874E-2</v>
      </c>
      <c r="AG6039">
        <v>-4.9228000000000001E-2</v>
      </c>
      <c r="AH6039">
        <v>0.75033443401367605</v>
      </c>
      <c r="AI6039">
        <v>93.750123015830198</v>
      </c>
      <c r="AJ6039">
        <v>87.499710113544495</v>
      </c>
      <c r="AK6039">
        <v>0.75266104317502303</v>
      </c>
      <c r="AL6039">
        <v>92.289162710887894</v>
      </c>
      <c r="AM6039">
        <v>94.422237085065206</v>
      </c>
      <c r="AN6039">
        <v>1.0000000546768999</v>
      </c>
    </row>
    <row r="6040" spans="1:40" x14ac:dyDescent="0.25">
      <c r="A6040" t="str">
        <f>"20190305135352355"</f>
        <v>20190305135352355</v>
      </c>
      <c r="B6040" t="str">
        <f>"1551765232345632"</f>
        <v>1551765232345632</v>
      </c>
      <c r="C6040" t="s">
        <v>40</v>
      </c>
      <c r="D6040">
        <v>4.4840600000000004</v>
      </c>
      <c r="E6040">
        <v>0.53937579999999996</v>
      </c>
      <c r="F6040" t="s">
        <v>93</v>
      </c>
      <c r="G6040">
        <v>-229.393</v>
      </c>
      <c r="H6040" s="1">
        <v>-3.6371840000000001E-6</v>
      </c>
      <c r="I6040">
        <v>-63.615349999999999</v>
      </c>
      <c r="J6040">
        <v>-249.57380000000001</v>
      </c>
      <c r="K6040">
        <v>1.1071629999999999</v>
      </c>
      <c r="L6040">
        <v>-61.946750000000002</v>
      </c>
      <c r="M6040">
        <v>0.99898390000000004</v>
      </c>
      <c r="N6040">
        <v>-1.799204E-3</v>
      </c>
      <c r="O6040">
        <v>-4.5033829999999997E-2</v>
      </c>
      <c r="P6040">
        <v>0.99864779999999997</v>
      </c>
      <c r="Q6040">
        <v>-4.1964040000000001E-2</v>
      </c>
      <c r="R6040">
        <v>3.0688259999999998E-2</v>
      </c>
      <c r="S6040">
        <v>3.0053559999999999</v>
      </c>
      <c r="T6040">
        <v>-0.16347929999999999</v>
      </c>
      <c r="U6040">
        <v>-0.24755859999999999</v>
      </c>
      <c r="V6040">
        <v>-7.5679670000000004E-2</v>
      </c>
      <c r="W6040">
        <v>-4.0078040000000002E-2</v>
      </c>
      <c r="X6040">
        <v>0.99632639999999995</v>
      </c>
      <c r="Y6040">
        <v>3.7134689999999998E-2</v>
      </c>
      <c r="Z6040">
        <v>1.320054E-3</v>
      </c>
      <c r="AA6040">
        <v>0.99930940000000001</v>
      </c>
      <c r="AB6040">
        <v>34</v>
      </c>
      <c r="AC6040">
        <v>20.180800000000001</v>
      </c>
      <c r="AD6040">
        <v>-1.1071666371840001</v>
      </c>
      <c r="AE6040">
        <v>-1.6685999999999901</v>
      </c>
      <c r="AF6040">
        <v>0.75582749891608303</v>
      </c>
      <c r="AG6040">
        <v>-1.1071666371840001</v>
      </c>
      <c r="AH6040">
        <v>20.175156835830499</v>
      </c>
      <c r="AI6040">
        <v>93.138913589705297</v>
      </c>
      <c r="AJ6040">
        <v>87.854515664849899</v>
      </c>
      <c r="AK6040">
        <v>20.219645064168901</v>
      </c>
      <c r="AL6040">
        <v>92.296917776297605</v>
      </c>
      <c r="AM6040">
        <v>94.3437723001976</v>
      </c>
      <c r="AN6040">
        <v>0.99999997853925404</v>
      </c>
    </row>
    <row r="6041" spans="1:40" x14ac:dyDescent="0.25">
      <c r="A6041" t="str">
        <f>"20190305135352367"</f>
        <v>20190305135352367</v>
      </c>
      <c r="B6041" t="str">
        <f>"1551765232356368"</f>
        <v>1551765232356368</v>
      </c>
      <c r="C6041" t="s">
        <v>40</v>
      </c>
      <c r="D6041">
        <v>4.4564000000000004</v>
      </c>
      <c r="E6041">
        <v>0.53941249999999996</v>
      </c>
      <c r="F6041" t="s">
        <v>93</v>
      </c>
      <c r="G6041">
        <v>-229.17840000000001</v>
      </c>
      <c r="H6041" s="1">
        <v>-3.5434350000000002E-6</v>
      </c>
      <c r="I6041">
        <v>-63.460479999999997</v>
      </c>
      <c r="J6041">
        <v>-249.3998</v>
      </c>
      <c r="K6041">
        <v>1.1071820000000001</v>
      </c>
      <c r="L6041">
        <v>-61.954770000000003</v>
      </c>
      <c r="M6041">
        <v>0.99897360000000002</v>
      </c>
      <c r="N6041">
        <v>-1.840581E-3</v>
      </c>
      <c r="O6041">
        <v>-4.526198E-2</v>
      </c>
      <c r="P6041">
        <v>0.99868449999999998</v>
      </c>
      <c r="Q6041">
        <v>-4.2250780000000002E-2</v>
      </c>
      <c r="R6041">
        <v>2.9061199999999999E-2</v>
      </c>
      <c r="S6041">
        <v>3.004089</v>
      </c>
      <c r="T6041">
        <v>-0.1630771</v>
      </c>
      <c r="U6041">
        <v>-0.2229614</v>
      </c>
      <c r="V6041">
        <v>-7.4281630000000001E-2</v>
      </c>
      <c r="W6041">
        <v>-4.032869E-2</v>
      </c>
      <c r="X6041">
        <v>0.99642149999999996</v>
      </c>
      <c r="Y6041">
        <v>2.8820129999999999E-2</v>
      </c>
      <c r="Z6041">
        <v>1.5598459999999999E-3</v>
      </c>
      <c r="AA6041">
        <v>0.99958340000000001</v>
      </c>
      <c r="AB6041">
        <v>34</v>
      </c>
      <c r="AC6041">
        <v>20.2213999999999</v>
      </c>
      <c r="AD6041">
        <v>-1.107185543435</v>
      </c>
      <c r="AE6041">
        <v>-1.5057100000000001</v>
      </c>
      <c r="AF6041">
        <v>0.58715432042469895</v>
      </c>
      <c r="AG6041">
        <v>-1.107185543435</v>
      </c>
      <c r="AH6041">
        <v>20.2085781673462</v>
      </c>
      <c r="AI6041">
        <v>93.134659944549099</v>
      </c>
      <c r="AJ6041">
        <v>88.335756105275493</v>
      </c>
      <c r="AK6041">
        <v>20.2474008595999</v>
      </c>
      <c r="AL6041">
        <v>92.311290569626493</v>
      </c>
      <c r="AM6041">
        <v>94.263422504261001</v>
      </c>
      <c r="AN6041">
        <v>0.99999998472741103</v>
      </c>
    </row>
    <row r="6042" spans="1:40" x14ac:dyDescent="0.25">
      <c r="A6042" t="str">
        <f>"20190305135352377"</f>
        <v>20190305135352377</v>
      </c>
      <c r="B6042" t="str">
        <f>"1551765232366129"</f>
        <v>1551765232366129</v>
      </c>
      <c r="C6042" t="s">
        <v>40</v>
      </c>
      <c r="D6042">
        <v>4.5005889999999997</v>
      </c>
      <c r="E6042">
        <v>0.53934320000000002</v>
      </c>
      <c r="F6042" t="s">
        <v>41</v>
      </c>
      <c r="G6042">
        <v>-248.3895</v>
      </c>
      <c r="H6042">
        <v>1.05298799999999</v>
      </c>
      <c r="I6042">
        <v>-62.031480000000002</v>
      </c>
      <c r="J6042">
        <v>-249.23679999999999</v>
      </c>
      <c r="K6042">
        <v>1.1071949999999999</v>
      </c>
      <c r="L6042">
        <v>-61.962310000000002</v>
      </c>
      <c r="M6042">
        <v>0.99896470000000004</v>
      </c>
      <c r="N6042">
        <v>-1.8797060000000001E-3</v>
      </c>
      <c r="O6042">
        <v>-4.5456040000000003E-2</v>
      </c>
      <c r="P6042">
        <v>0.99871200000000004</v>
      </c>
      <c r="Q6042">
        <v>-4.2591810000000001E-2</v>
      </c>
      <c r="R6042">
        <v>2.7578399999999999E-2</v>
      </c>
      <c r="S6042">
        <v>3.0037690000000001</v>
      </c>
      <c r="T6042">
        <v>-0.16110679999999999</v>
      </c>
      <c r="U6042">
        <v>-0.22802729999999999</v>
      </c>
      <c r="V6042">
        <v>-7.2993989999999995E-2</v>
      </c>
      <c r="W6042">
        <v>-4.0635600000000001E-2</v>
      </c>
      <c r="X6042">
        <v>0.99650419999999995</v>
      </c>
      <c r="Y6042">
        <v>3.0307600000000001E-2</v>
      </c>
      <c r="Z6042">
        <v>1.5062179999999999E-3</v>
      </c>
      <c r="AA6042">
        <v>0.99953950000000003</v>
      </c>
      <c r="AB6042">
        <v>34</v>
      </c>
      <c r="AC6042">
        <v>0.84729999999998995</v>
      </c>
      <c r="AD6042">
        <v>-5.4207000000000297E-2</v>
      </c>
      <c r="AE6042">
        <v>-6.9170000000006795E-2</v>
      </c>
      <c r="AF6042">
        <v>3.0459691099951499E-2</v>
      </c>
      <c r="AG6042">
        <v>-5.4207000000000297E-2</v>
      </c>
      <c r="AH6042">
        <v>0.84612814419055205</v>
      </c>
      <c r="AI6042">
        <v>93.663264720035798</v>
      </c>
      <c r="AJ6042">
        <v>87.938304668043997</v>
      </c>
      <c r="AK6042">
        <v>0.84840970528527804</v>
      </c>
      <c r="AL6042">
        <v>92.328889614312502</v>
      </c>
      <c r="AM6042">
        <v>94.189436930734502</v>
      </c>
      <c r="AN6042">
        <v>0.99999999759056002</v>
      </c>
    </row>
    <row r="6043" spans="1:40" x14ac:dyDescent="0.25">
      <c r="A6043" t="str">
        <f>"20190305135352390"</f>
        <v>20190305135352390</v>
      </c>
      <c r="B6043" t="str">
        <f>"1551765232385648"</f>
        <v>1551765232385648</v>
      </c>
      <c r="C6043" t="s">
        <v>40</v>
      </c>
      <c r="D6043">
        <v>4.5081150000000001</v>
      </c>
      <c r="E6043">
        <v>0.53822080000000005</v>
      </c>
      <c r="F6043" t="s">
        <v>93</v>
      </c>
      <c r="G6043">
        <v>-228.63</v>
      </c>
      <c r="H6043" s="1">
        <v>-3.369298E-6</v>
      </c>
      <c r="I6043">
        <v>-63.553849999999997</v>
      </c>
      <c r="J6043">
        <v>-249.05529999999999</v>
      </c>
      <c r="K6043">
        <v>1.1072139999999999</v>
      </c>
      <c r="L6043">
        <v>-61.970759999999999</v>
      </c>
      <c r="M6043">
        <v>0.99895509999999998</v>
      </c>
      <c r="N6043">
        <v>-1.9229990000000001E-3</v>
      </c>
      <c r="O6043">
        <v>-4.5662729999999999E-2</v>
      </c>
      <c r="P6043">
        <v>0.99874410000000002</v>
      </c>
      <c r="Q6043">
        <v>-4.2736030000000001E-2</v>
      </c>
      <c r="R6043">
        <v>2.6155169999999998E-2</v>
      </c>
      <c r="S6043">
        <v>3.003403</v>
      </c>
      <c r="T6043">
        <v>-0.16137209999999999</v>
      </c>
      <c r="U6043">
        <v>-0.23196410000000001</v>
      </c>
      <c r="V6043">
        <v>-7.1778129999999996E-2</v>
      </c>
      <c r="W6043">
        <v>-4.0741729999999997E-2</v>
      </c>
      <c r="X6043">
        <v>0.99658820000000004</v>
      </c>
      <c r="Y6043">
        <v>3.1411050000000003E-2</v>
      </c>
      <c r="Z6043">
        <v>1.486383E-3</v>
      </c>
      <c r="AA6043">
        <v>0.99950550000000005</v>
      </c>
      <c r="AB6043">
        <v>34</v>
      </c>
      <c r="AC6043">
        <v>20.4253</v>
      </c>
      <c r="AD6043">
        <v>-1.1072173692980001</v>
      </c>
      <c r="AE6043">
        <v>-1.5830899999999899</v>
      </c>
      <c r="AF6043">
        <v>0.64687254719159204</v>
      </c>
      <c r="AG6043">
        <v>-1.1072173692980001</v>
      </c>
      <c r="AH6043">
        <v>20.416646404033202</v>
      </c>
      <c r="AI6043">
        <v>93.102619042177594</v>
      </c>
      <c r="AJ6043">
        <v>88.1852713881635</v>
      </c>
      <c r="AK6043">
        <v>20.456877200162001</v>
      </c>
      <c r="AL6043">
        <v>92.334975415881402</v>
      </c>
      <c r="AM6043">
        <v>94.1195497860963</v>
      </c>
      <c r="AN6043">
        <v>1.0000000144444601</v>
      </c>
    </row>
    <row r="6044" spans="1:40" x14ac:dyDescent="0.25">
      <c r="A6044" t="str">
        <f>"20190305135352401"</f>
        <v>20190305135352401</v>
      </c>
      <c r="B6044" t="str">
        <f>"1551765232396384"</f>
        <v>1551765232396384</v>
      </c>
      <c r="C6044" t="s">
        <v>40</v>
      </c>
      <c r="D6044">
        <v>4.5039790000000002</v>
      </c>
      <c r="E6044">
        <v>0.5377651</v>
      </c>
      <c r="F6044" t="s">
        <v>41</v>
      </c>
      <c r="G6044">
        <v>-248.07859999999999</v>
      </c>
      <c r="H6044">
        <v>1.054278</v>
      </c>
      <c r="I6044">
        <v>-62.044870000000003</v>
      </c>
      <c r="J6044">
        <v>-248.87479999999999</v>
      </c>
      <c r="K6044">
        <v>1.1072340000000001</v>
      </c>
      <c r="L6044">
        <v>-61.979190000000003</v>
      </c>
      <c r="M6044">
        <v>0.99894640000000001</v>
      </c>
      <c r="N6044">
        <v>-1.965587E-3</v>
      </c>
      <c r="O6044">
        <v>-4.5852850000000001E-2</v>
      </c>
      <c r="P6044">
        <v>0.99877320000000003</v>
      </c>
      <c r="Q6044">
        <v>-4.295827E-2</v>
      </c>
      <c r="R6044">
        <v>2.4636370000000001E-2</v>
      </c>
      <c r="S6044">
        <v>3.0027620000000002</v>
      </c>
      <c r="T6044">
        <v>-0.1627287</v>
      </c>
      <c r="U6044">
        <v>-0.22729489999999999</v>
      </c>
      <c r="V6044">
        <v>-7.0449339999999999E-2</v>
      </c>
      <c r="W6044">
        <v>-4.0926579999999997E-2</v>
      </c>
      <c r="X6044">
        <v>0.99667539999999999</v>
      </c>
      <c r="Y6044">
        <v>2.9695010000000001E-2</v>
      </c>
      <c r="Z6044">
        <v>1.555676E-3</v>
      </c>
      <c r="AA6044">
        <v>0.99955780000000005</v>
      </c>
      <c r="AB6044">
        <v>34</v>
      </c>
      <c r="AC6044">
        <v>0.79619999999999802</v>
      </c>
      <c r="AD6044">
        <v>-5.2955999999999899E-2</v>
      </c>
      <c r="AE6044">
        <v>-6.5679999999993299E-2</v>
      </c>
      <c r="AF6044">
        <v>2.89755001872299E-2</v>
      </c>
      <c r="AG6044">
        <v>-5.2955999999999899E-2</v>
      </c>
      <c r="AH6044">
        <v>0.794881624317057</v>
      </c>
      <c r="AI6044">
        <v>93.808961261311595</v>
      </c>
      <c r="AJ6044">
        <v>87.912344350279298</v>
      </c>
      <c r="AK6044">
        <v>0.79717044239235502</v>
      </c>
      <c r="AL6044">
        <v>92.345575477211</v>
      </c>
      <c r="AM6044">
        <v>94.043189514704807</v>
      </c>
      <c r="AN6044">
        <v>0.99999997371104499</v>
      </c>
    </row>
    <row r="6045" spans="1:40" x14ac:dyDescent="0.25">
      <c r="A6045" t="str">
        <f>"20190305135352412"</f>
        <v>20190305135352412</v>
      </c>
      <c r="B6045" t="str">
        <f>"1551765232406144"</f>
        <v>1551765232406144</v>
      </c>
      <c r="C6045" t="s">
        <v>40</v>
      </c>
      <c r="D6045">
        <v>4.54514</v>
      </c>
      <c r="E6045">
        <v>0.53759429999999997</v>
      </c>
      <c r="F6045" t="s">
        <v>93</v>
      </c>
      <c r="G6045">
        <v>-228.6944</v>
      </c>
      <c r="H6045" s="1">
        <v>-3.3858350000000002E-6</v>
      </c>
      <c r="I6045">
        <v>-63.513579999999997</v>
      </c>
      <c r="J6045">
        <v>-248.70009999999999</v>
      </c>
      <c r="K6045">
        <v>1.107256</v>
      </c>
      <c r="L6045">
        <v>-61.987340000000003</v>
      </c>
      <c r="M6045">
        <v>0.99893849999999995</v>
      </c>
      <c r="N6045">
        <v>-2.0058900000000002E-3</v>
      </c>
      <c r="O6045">
        <v>-4.6020310000000002E-2</v>
      </c>
      <c r="P6045">
        <v>0.99878169999999999</v>
      </c>
      <c r="Q6045">
        <v>-4.3518479999999998E-2</v>
      </c>
      <c r="R6045">
        <v>2.3263860000000001E-2</v>
      </c>
      <c r="S6045">
        <v>3.0022280000000001</v>
      </c>
      <c r="T6045">
        <v>-0.16472300000000001</v>
      </c>
      <c r="U6045">
        <v>-0.22827149999999999</v>
      </c>
      <c r="V6045">
        <v>-6.9244449999999999E-2</v>
      </c>
      <c r="W6045">
        <v>-4.1451439999999999E-2</v>
      </c>
      <c r="X6045">
        <v>0.99673820000000002</v>
      </c>
      <c r="Y6045">
        <v>2.9864439999999999E-2</v>
      </c>
      <c r="Z6045">
        <v>1.5780130000000001E-3</v>
      </c>
      <c r="AA6045">
        <v>0.99955269999999996</v>
      </c>
      <c r="AB6045">
        <v>34</v>
      </c>
      <c r="AC6045">
        <v>20.005699999999901</v>
      </c>
      <c r="AD6045">
        <v>-1.1072593858349999</v>
      </c>
      <c r="AE6045">
        <v>-1.52624</v>
      </c>
      <c r="AF6045">
        <v>0.60211878507007</v>
      </c>
      <c r="AG6045">
        <v>-1.1072593858349999</v>
      </c>
      <c r="AH6045">
        <v>19.993849150786001</v>
      </c>
      <c r="AI6045">
        <v>93.168368953390697</v>
      </c>
      <c r="AJ6045">
        <v>88.275047427674394</v>
      </c>
      <c r="AK6045">
        <v>20.0335362390977</v>
      </c>
      <c r="AL6045">
        <v>92.375673155061904</v>
      </c>
      <c r="AM6045">
        <v>93.974013046268894</v>
      </c>
      <c r="AN6045">
        <v>1.0000000275365499</v>
      </c>
    </row>
    <row r="6046" spans="1:40" x14ac:dyDescent="0.25">
      <c r="A6046" t="str">
        <f>"20190305135352423"</f>
        <v>20190305135352423</v>
      </c>
      <c r="B6046" t="str">
        <f>"1551765232415905"</f>
        <v>1551765232415905</v>
      </c>
      <c r="C6046" t="s">
        <v>40</v>
      </c>
      <c r="D6046">
        <v>4.6304369999999997</v>
      </c>
      <c r="E6046">
        <v>0.53759429999999997</v>
      </c>
      <c r="F6046" t="s">
        <v>41</v>
      </c>
      <c r="G6046">
        <v>-247.7672</v>
      </c>
      <c r="H6046">
        <v>1.0547660000000001</v>
      </c>
      <c r="I6046">
        <v>-62.05941</v>
      </c>
      <c r="J6046">
        <v>-248.52279999999999</v>
      </c>
      <c r="K6046">
        <v>1.107278</v>
      </c>
      <c r="L6046">
        <v>-61.995640000000002</v>
      </c>
      <c r="M6046">
        <v>0.99893109999999996</v>
      </c>
      <c r="N6046">
        <v>-2.046272E-3</v>
      </c>
      <c r="O6046">
        <v>-4.6181340000000001E-2</v>
      </c>
      <c r="P6046">
        <v>0.99881019999999998</v>
      </c>
      <c r="Q6046">
        <v>-4.3649779999999999E-2</v>
      </c>
      <c r="R6046">
        <v>2.175581E-2</v>
      </c>
      <c r="S6046">
        <v>3.0016940000000001</v>
      </c>
      <c r="T6046">
        <v>-0.1687795</v>
      </c>
      <c r="U6046">
        <v>-0.2311096</v>
      </c>
      <c r="V6046">
        <v>-6.7897650000000004E-2</v>
      </c>
      <c r="W6046">
        <v>-4.1547359999999998E-2</v>
      </c>
      <c r="X6046">
        <v>0.99682680000000001</v>
      </c>
      <c r="Y6046">
        <v>3.0656180000000002E-2</v>
      </c>
      <c r="Z6046">
        <v>1.603262E-3</v>
      </c>
      <c r="AA6046">
        <v>0.99952870000000005</v>
      </c>
      <c r="AB6046">
        <v>35</v>
      </c>
      <c r="AC6046">
        <v>0.75559999999998695</v>
      </c>
      <c r="AD6046">
        <v>-5.2511999999999802E-2</v>
      </c>
      <c r="AE6046">
        <v>-6.3769999999998106E-2</v>
      </c>
      <c r="AF6046">
        <v>2.8669781222799801E-2</v>
      </c>
      <c r="AG6046">
        <v>-5.2511999999999802E-2</v>
      </c>
      <c r="AH6046">
        <v>0.75412228223103095</v>
      </c>
      <c r="AI6046">
        <v>93.980396556268303</v>
      </c>
      <c r="AJ6046">
        <v>87.822810972236894</v>
      </c>
      <c r="AK6046">
        <v>0.75649182616648403</v>
      </c>
      <c r="AL6046">
        <v>92.381173837923498</v>
      </c>
      <c r="AM6046">
        <v>93.896613956916994</v>
      </c>
      <c r="AN6046">
        <v>0.99999997159836496</v>
      </c>
    </row>
    <row r="6047" spans="1:40" x14ac:dyDescent="0.25">
      <c r="A6047" t="str">
        <f>"20190305135352434"</f>
        <v>20190305135352434</v>
      </c>
      <c r="B6047" t="str">
        <f>"1551765232425664"</f>
        <v>1551765232425664</v>
      </c>
      <c r="C6047" t="s">
        <v>40</v>
      </c>
      <c r="D6047">
        <v>4.7134349999999996</v>
      </c>
      <c r="E6047">
        <v>0.51937169999999999</v>
      </c>
      <c r="F6047" t="s">
        <v>93</v>
      </c>
      <c r="G6047">
        <v>-228.87620000000001</v>
      </c>
      <c r="H6047" s="1">
        <v>-3.4510000000000001E-6</v>
      </c>
      <c r="I6047">
        <v>-63.538240000000002</v>
      </c>
      <c r="J6047">
        <v>-248.3578</v>
      </c>
      <c r="K6047">
        <v>1.1073</v>
      </c>
      <c r="L6047">
        <v>-62.003390000000003</v>
      </c>
      <c r="M6047">
        <v>0.99892510000000001</v>
      </c>
      <c r="N6047">
        <v>-2.0824139999999999E-3</v>
      </c>
      <c r="O6047">
        <v>-4.6308750000000003E-2</v>
      </c>
      <c r="P6047">
        <v>0.99882519999999997</v>
      </c>
      <c r="Q6047">
        <v>-4.3805869999999997E-2</v>
      </c>
      <c r="R6047">
        <v>2.0732449999999999E-2</v>
      </c>
      <c r="S6047">
        <v>3.001328</v>
      </c>
      <c r="T6047">
        <v>-0.16915439999999901</v>
      </c>
      <c r="U6047">
        <v>-0.2356567</v>
      </c>
      <c r="V6047">
        <v>-6.7000809999999994E-2</v>
      </c>
      <c r="W6047">
        <v>-4.1671720000000002E-2</v>
      </c>
      <c r="X6047">
        <v>0.9968823</v>
      </c>
      <c r="Y6047">
        <v>3.2041119999999999E-2</v>
      </c>
      <c r="Z6047">
        <v>1.571469E-3</v>
      </c>
      <c r="AA6047">
        <v>0.99948530000000002</v>
      </c>
      <c r="AB6047">
        <v>35</v>
      </c>
      <c r="AC6047">
        <v>19.481599999999901</v>
      </c>
      <c r="AD6047">
        <v>-1.1073034509999999</v>
      </c>
      <c r="AE6047">
        <v>-1.5348499999999901</v>
      </c>
      <c r="AF6047">
        <v>0.62901339399018097</v>
      </c>
      <c r="AG6047">
        <v>-1.1073034509999999</v>
      </c>
      <c r="AH6047">
        <v>19.469267142080401</v>
      </c>
      <c r="AI6047">
        <v>93.253464040248105</v>
      </c>
      <c r="AJ6047">
        <v>88.149530705477702</v>
      </c>
      <c r="AK6047">
        <v>19.510872400590099</v>
      </c>
      <c r="AL6047">
        <v>92.388305296419801</v>
      </c>
      <c r="AM6047">
        <v>93.845086735101006</v>
      </c>
      <c r="AN6047">
        <v>0.99999998042085203</v>
      </c>
    </row>
    <row r="6048" spans="1:40" x14ac:dyDescent="0.25">
      <c r="A6048" t="str">
        <f>"20190305135352445"</f>
        <v>20190305135352445</v>
      </c>
      <c r="B6048" t="str">
        <f>"1551765232436401"</f>
        <v>1551765232436401</v>
      </c>
      <c r="C6048" t="s">
        <v>40</v>
      </c>
      <c r="D6048">
        <v>4.6632879999999997</v>
      </c>
      <c r="E6048">
        <v>0.51051289999999905</v>
      </c>
      <c r="F6048" t="s">
        <v>41</v>
      </c>
      <c r="G6048">
        <v>-247.4589</v>
      </c>
      <c r="H6048">
        <v>1.040324</v>
      </c>
      <c r="I6048">
        <v>-62.031889999999997</v>
      </c>
      <c r="J6048">
        <v>-248.18889999999999</v>
      </c>
      <c r="K6048">
        <v>1.1073280000000001</v>
      </c>
      <c r="L6048">
        <v>-62.011319999999998</v>
      </c>
      <c r="M6048">
        <v>0.99891909999999895</v>
      </c>
      <c r="N6048">
        <v>-2.1191930000000001E-3</v>
      </c>
      <c r="O6048">
        <v>-4.6435560000000001E-2</v>
      </c>
      <c r="P6048">
        <v>0.99885250000000003</v>
      </c>
      <c r="Q6048">
        <v>-4.3816099999999997E-2</v>
      </c>
      <c r="R6048">
        <v>1.9344730000000001E-2</v>
      </c>
      <c r="S6048">
        <v>2.9957120000000002</v>
      </c>
      <c r="T6048">
        <v>-0.22320229999999999</v>
      </c>
      <c r="U6048">
        <v>-9.4848630000000003E-2</v>
      </c>
      <c r="V6048">
        <v>-6.5740660000000006E-2</v>
      </c>
      <c r="W6048">
        <v>-4.164984E-2</v>
      </c>
      <c r="X6048">
        <v>0.99696709999999999</v>
      </c>
      <c r="Y6048">
        <v>-1.4638E-2</v>
      </c>
      <c r="Z6048">
        <v>3.9142400000000003E-3</v>
      </c>
      <c r="AA6048">
        <v>0.99988520000000003</v>
      </c>
      <c r="AB6048">
        <v>35</v>
      </c>
      <c r="AC6048">
        <v>0.72999999999998899</v>
      </c>
      <c r="AD6048">
        <v>-6.7003999999999994E-2</v>
      </c>
      <c r="AE6048">
        <v>-2.0570000000006399E-2</v>
      </c>
      <c r="AF6048">
        <v>-1.32387775121012E-2</v>
      </c>
      <c r="AG6048">
        <v>-6.7003999999999994E-2</v>
      </c>
      <c r="AH6048">
        <v>0.724072446386547</v>
      </c>
      <c r="AI6048">
        <v>95.2860844236628</v>
      </c>
      <c r="AJ6048">
        <v>91.047466415697599</v>
      </c>
      <c r="AK6048">
        <v>0.72728653834799795</v>
      </c>
      <c r="AL6048">
        <v>92.387050597870001</v>
      </c>
      <c r="AM6048">
        <v>93.772659295493895</v>
      </c>
      <c r="AN6048">
        <v>0.99999997101583504</v>
      </c>
    </row>
    <row r="6049" spans="1:40" x14ac:dyDescent="0.25">
      <c r="A6049" t="str">
        <f>"20190305135352455"</f>
        <v>20190305135352455</v>
      </c>
      <c r="B6049" t="str">
        <f>"1551765232446160"</f>
        <v>1551765232446160</v>
      </c>
      <c r="C6049" t="s">
        <v>40</v>
      </c>
      <c r="D6049">
        <v>4.5533900000000003</v>
      </c>
      <c r="E6049">
        <v>0.50496660000000004</v>
      </c>
      <c r="F6049" t="s">
        <v>41</v>
      </c>
      <c r="G6049">
        <v>-247.14850000000001</v>
      </c>
      <c r="H6049">
        <v>1.028187</v>
      </c>
      <c r="I6049">
        <v>-62.021270000000001</v>
      </c>
      <c r="J6049">
        <v>-248.01939999999999</v>
      </c>
      <c r="K6049">
        <v>1.1073539999999999</v>
      </c>
      <c r="L6049">
        <v>-62.019319999999901</v>
      </c>
      <c r="M6049">
        <v>0.99891439999999998</v>
      </c>
      <c r="N6049">
        <v>-2.1544089999999999E-3</v>
      </c>
      <c r="O6049">
        <v>-4.6536130000000002E-2</v>
      </c>
      <c r="P6049">
        <v>0.99886949999999997</v>
      </c>
      <c r="Q6049">
        <v>-4.381293E-2</v>
      </c>
      <c r="R6049">
        <v>1.8449960000000001E-2</v>
      </c>
      <c r="S6049">
        <v>2.9940340000000001</v>
      </c>
      <c r="T6049">
        <v>-0.22774649999999999</v>
      </c>
      <c r="U6049">
        <v>-2.8472899999999999E-2</v>
      </c>
      <c r="V6049">
        <v>-6.4944920000000003E-2</v>
      </c>
      <c r="W6049">
        <v>-4.1615899999999997E-2</v>
      </c>
      <c r="X6049">
        <v>0.99702069999999998</v>
      </c>
      <c r="Y6049">
        <v>-3.6798850000000001E-2</v>
      </c>
      <c r="Z6049">
        <v>4.8706000000000001E-3</v>
      </c>
      <c r="AA6049">
        <v>0.9993109</v>
      </c>
      <c r="AB6049">
        <v>35</v>
      </c>
      <c r="AC6049">
        <v>0.87089999999997703</v>
      </c>
      <c r="AD6049">
        <v>-7.9166999999999904E-2</v>
      </c>
      <c r="AE6049">
        <v>-1.9500000000007801E-3</v>
      </c>
      <c r="AF6049">
        <v>-3.8264330805350799E-2</v>
      </c>
      <c r="AG6049">
        <v>-7.9166999999999904E-2</v>
      </c>
      <c r="AH6049">
        <v>0.86291673909250499</v>
      </c>
      <c r="AI6049">
        <v>95.236724144665402</v>
      </c>
      <c r="AJ6049">
        <v>92.539004391129097</v>
      </c>
      <c r="AK6049">
        <v>0.86738507682979205</v>
      </c>
      <c r="AL6049">
        <v>92.385104220011996</v>
      </c>
      <c r="AM6049">
        <v>93.726923857239399</v>
      </c>
      <c r="AN6049">
        <v>1.00000000099755</v>
      </c>
    </row>
    <row r="6050" spans="1:40" x14ac:dyDescent="0.25">
      <c r="A6050" t="str">
        <f>"20190305135352467"</f>
        <v>20190305135352467</v>
      </c>
      <c r="B6050" t="str">
        <f>"1551765232455920"</f>
        <v>1551765232455920</v>
      </c>
      <c r="C6050" t="s">
        <v>40</v>
      </c>
      <c r="D6050">
        <v>4.5795139999999996</v>
      </c>
      <c r="E6050">
        <v>0.50150139999999999</v>
      </c>
      <c r="F6050" t="s">
        <v>95</v>
      </c>
      <c r="G6050">
        <v>-230.95349999999999</v>
      </c>
      <c r="H6050" s="1">
        <v>1.8985420000000001E-7</v>
      </c>
      <c r="I6050">
        <v>-61.939430000000002</v>
      </c>
      <c r="J6050">
        <v>-247.84379999999999</v>
      </c>
      <c r="K6050">
        <v>1.10738</v>
      </c>
      <c r="L6050">
        <v>-62.027589999999996</v>
      </c>
      <c r="M6050">
        <v>0.99890959999999995</v>
      </c>
      <c r="N6050">
        <v>-2.1905549999999998E-3</v>
      </c>
      <c r="O6050">
        <v>-4.66354E-2</v>
      </c>
      <c r="P6050">
        <v>0.99889519999999998</v>
      </c>
      <c r="Q6050">
        <v>-4.368789E-2</v>
      </c>
      <c r="R6050">
        <v>1.7319950000000001E-2</v>
      </c>
      <c r="S6050">
        <v>2.9946440000000001</v>
      </c>
      <c r="T6050">
        <v>-0.1943134</v>
      </c>
      <c r="U6050">
        <v>1.400757E-2</v>
      </c>
      <c r="V6050">
        <v>-6.3914120000000005E-2</v>
      </c>
      <c r="W6050">
        <v>-4.1459290000000003E-2</v>
      </c>
      <c r="X6050">
        <v>0.99709389999999998</v>
      </c>
      <c r="Y6050">
        <v>-5.1104780000000002E-2</v>
      </c>
      <c r="Z6050">
        <v>4.6323170000000004E-3</v>
      </c>
      <c r="AA6050">
        <v>0.99868259999999998</v>
      </c>
      <c r="AB6050">
        <v>35</v>
      </c>
      <c r="AC6050">
        <v>16.8902999999999</v>
      </c>
      <c r="AD6050">
        <v>-1.1073798101457999</v>
      </c>
      <c r="AE6050">
        <v>8.8160000000002001E-2</v>
      </c>
      <c r="AF6050">
        <v>-0.87200362827645705</v>
      </c>
      <c r="AG6050">
        <v>-1.1073798101457999</v>
      </c>
      <c r="AH6050">
        <v>16.795617254638501</v>
      </c>
      <c r="AI6050">
        <v>93.767144528630695</v>
      </c>
      <c r="AJ6050">
        <v>92.972043706849703</v>
      </c>
      <c r="AK6050">
        <v>16.854656310229501</v>
      </c>
      <c r="AL6050">
        <v>92.376123221402395</v>
      </c>
      <c r="AM6050">
        <v>93.667664693317803</v>
      </c>
      <c r="AN6050">
        <v>1.00000006643994</v>
      </c>
    </row>
    <row r="6051" spans="1:40" x14ac:dyDescent="0.25">
      <c r="A6051" t="str">
        <f>"20190305135352479"</f>
        <v>20190305135352479</v>
      </c>
      <c r="B6051" t="str">
        <f>"1551765232465680"</f>
        <v>1551765232465680</v>
      </c>
      <c r="C6051" t="s">
        <v>40</v>
      </c>
      <c r="D6051">
        <v>4.5343790000000004</v>
      </c>
      <c r="E6051">
        <v>0.49945990000000001</v>
      </c>
      <c r="F6051" t="s">
        <v>93</v>
      </c>
      <c r="G6051">
        <v>-228.86619999999999</v>
      </c>
      <c r="H6051" s="1">
        <v>-3.2128220000000002E-6</v>
      </c>
      <c r="I6051">
        <v>-61.78201</v>
      </c>
      <c r="J6051">
        <v>-247.66130000000001</v>
      </c>
      <c r="K6051">
        <v>1.1074090000000001</v>
      </c>
      <c r="L6051">
        <v>-62.036160000000002</v>
      </c>
      <c r="M6051">
        <v>0.99890579999999995</v>
      </c>
      <c r="N6051">
        <v>-2.2265520000000001E-3</v>
      </c>
      <c r="O6051">
        <v>-4.6717010000000003E-2</v>
      </c>
      <c r="P6051">
        <v>0.99891759999999996</v>
      </c>
      <c r="Q6051">
        <v>-4.3533839999999997E-2</v>
      </c>
      <c r="R6051">
        <v>1.6394570000000001E-2</v>
      </c>
      <c r="S6051">
        <v>2.9950100000000002</v>
      </c>
      <c r="T6051">
        <v>-0.17476529999999901</v>
      </c>
      <c r="U6051">
        <v>3.8757319999999998E-2</v>
      </c>
      <c r="V6051">
        <v>-6.3069719999999996E-2</v>
      </c>
      <c r="W6051">
        <v>-4.1273709999999998E-2</v>
      </c>
      <c r="X6051">
        <v>0.99715529999999997</v>
      </c>
      <c r="Y6051">
        <v>-5.9460159999999998E-2</v>
      </c>
      <c r="Z6051">
        <v>4.418646E-3</v>
      </c>
      <c r="AA6051">
        <v>0.99822089999999997</v>
      </c>
      <c r="AB6051">
        <v>35</v>
      </c>
      <c r="AC6051">
        <v>18.795100000000001</v>
      </c>
      <c r="AD6051">
        <v>-1.1074122128219901</v>
      </c>
      <c r="AE6051">
        <v>0.25414999999999499</v>
      </c>
      <c r="AF6051">
        <v>-1.1280101760388901</v>
      </c>
      <c r="AG6051">
        <v>-1.1074122128219901</v>
      </c>
      <c r="AH6051">
        <v>18.697806202373201</v>
      </c>
      <c r="AI6051">
        <v>93.383352174543703</v>
      </c>
      <c r="AJ6051">
        <v>93.452382843151298</v>
      </c>
      <c r="AK6051">
        <v>18.764507069141398</v>
      </c>
      <c r="AL6051">
        <v>92.365481318181295</v>
      </c>
      <c r="AM6051">
        <v>93.619116810969899</v>
      </c>
      <c r="AN6051">
        <v>1.00000000051806</v>
      </c>
    </row>
    <row r="6052" spans="1:40" x14ac:dyDescent="0.25">
      <c r="A6052" t="str">
        <f>"20190305135352491"</f>
        <v>20190305135352491</v>
      </c>
      <c r="B6052" t="str">
        <f>"1551765232486177"</f>
        <v>1551765232486177</v>
      </c>
      <c r="C6052" t="s">
        <v>40</v>
      </c>
      <c r="D6052">
        <v>4.4954809999999998</v>
      </c>
      <c r="E6052">
        <v>0.49714069999999999</v>
      </c>
      <c r="F6052" t="s">
        <v>93</v>
      </c>
      <c r="G6052">
        <v>-227.3331</v>
      </c>
      <c r="H6052" s="1">
        <v>-2.5519990000000001E-6</v>
      </c>
      <c r="I6052">
        <v>-61.679299999999998</v>
      </c>
      <c r="J6052">
        <v>-247.48269999999999</v>
      </c>
      <c r="K6052">
        <v>1.107437</v>
      </c>
      <c r="L6052">
        <v>-62.044589999999999</v>
      </c>
      <c r="M6052">
        <v>0.99890250000000003</v>
      </c>
      <c r="N6052">
        <v>-2.2609510000000002E-3</v>
      </c>
      <c r="O6052">
        <v>-4.6786599999999998E-2</v>
      </c>
      <c r="P6052">
        <v>0.99894959999999999</v>
      </c>
      <c r="Q6052">
        <v>-4.3177819999999999E-2</v>
      </c>
      <c r="R6052">
        <v>1.535197E-2</v>
      </c>
      <c r="S6052">
        <v>2.9952549999999998</v>
      </c>
      <c r="T6052">
        <v>-0.16317129999999999</v>
      </c>
      <c r="U6052">
        <v>5.2581790000000003E-2</v>
      </c>
      <c r="V6052">
        <v>-6.2096400000000003E-2</v>
      </c>
      <c r="W6052">
        <v>-4.0887529999999998E-2</v>
      </c>
      <c r="X6052">
        <v>0.99723229999999996</v>
      </c>
      <c r="Y6052">
        <v>-6.4149860000000003E-2</v>
      </c>
      <c r="Z6052">
        <v>4.2590220000000003E-3</v>
      </c>
      <c r="AA6052">
        <v>0.99793120000000002</v>
      </c>
      <c r="AB6052">
        <v>35</v>
      </c>
      <c r="AC6052">
        <v>20.1495999999999</v>
      </c>
      <c r="AD6052">
        <v>-1.1074395519989999</v>
      </c>
      <c r="AE6052">
        <v>0.365290000000001</v>
      </c>
      <c r="AF6052">
        <v>-1.3036867649288</v>
      </c>
      <c r="AG6052">
        <v>-1.1074395519989999</v>
      </c>
      <c r="AH6052">
        <v>20.049898722339101</v>
      </c>
      <c r="AI6052">
        <v>93.154823956443806</v>
      </c>
      <c r="AJ6052">
        <v>93.720255578530001</v>
      </c>
      <c r="AK6052">
        <v>20.122734911498402</v>
      </c>
      <c r="AL6052">
        <v>92.343336125518107</v>
      </c>
      <c r="AM6052">
        <v>93.563135588718197</v>
      </c>
      <c r="AN6052">
        <v>1.00000000658287</v>
      </c>
    </row>
    <row r="6053" spans="1:40" x14ac:dyDescent="0.25">
      <c r="A6053" t="str">
        <f>"20190305135352501"</f>
        <v>20190305135352501</v>
      </c>
      <c r="B6053" t="str">
        <f>"1551765232495936"</f>
        <v>1551765232495936</v>
      </c>
      <c r="C6053" t="s">
        <v>40</v>
      </c>
      <c r="D6053">
        <v>4.4899440000000004</v>
      </c>
      <c r="E6053">
        <v>0.49635820000000003</v>
      </c>
      <c r="F6053" t="s">
        <v>93</v>
      </c>
      <c r="G6053">
        <v>-224.35919999999999</v>
      </c>
      <c r="H6053" s="1">
        <v>-1.2398739999999999E-6</v>
      </c>
      <c r="I6053">
        <v>-61.515790000000003</v>
      </c>
      <c r="J6053">
        <v>-247.29490000000001</v>
      </c>
      <c r="K6053">
        <v>1.1074630000000001</v>
      </c>
      <c r="L6053">
        <v>-62.053440000000002</v>
      </c>
      <c r="M6053">
        <v>0.99889950000000005</v>
      </c>
      <c r="N6053">
        <v>-2.2960210000000001E-3</v>
      </c>
      <c r="O6053">
        <v>-4.6845560000000001E-2</v>
      </c>
      <c r="P6053">
        <v>0.99895999999999996</v>
      </c>
      <c r="Q6053">
        <v>-4.3241929999999998E-2</v>
      </c>
      <c r="R6053">
        <v>1.446187E-2</v>
      </c>
      <c r="S6053">
        <v>2.995895</v>
      </c>
      <c r="T6053">
        <v>-0.14348029999999901</v>
      </c>
      <c r="U6053">
        <v>6.8511959999999997E-2</v>
      </c>
      <c r="V6053">
        <v>-6.1264140000000002E-2</v>
      </c>
      <c r="W6053">
        <v>-4.0920779999999997E-2</v>
      </c>
      <c r="X6053">
        <v>0.99728240000000001</v>
      </c>
      <c r="Y6053">
        <v>-6.9538840000000005E-2</v>
      </c>
      <c r="Z6053">
        <v>3.8780529999999998E-3</v>
      </c>
      <c r="AA6053">
        <v>0.99757169999999895</v>
      </c>
      <c r="AB6053">
        <v>35</v>
      </c>
      <c r="AC6053">
        <v>22.935700000000001</v>
      </c>
      <c r="AD6053">
        <v>-1.10746423987399</v>
      </c>
      <c r="AE6053">
        <v>0.53764999999999896</v>
      </c>
      <c r="AF6053">
        <v>-1.6077518681368099</v>
      </c>
      <c r="AG6053">
        <v>-1.10746423987399</v>
      </c>
      <c r="AH6053">
        <v>22.832129317670201</v>
      </c>
      <c r="AI6053">
        <v>92.770086385293496</v>
      </c>
      <c r="AJ6053">
        <v>94.027902685664799</v>
      </c>
      <c r="AK6053">
        <v>22.915441786946001</v>
      </c>
      <c r="AL6053">
        <v>92.345242832592106</v>
      </c>
      <c r="AM6053">
        <v>93.515324331259507</v>
      </c>
      <c r="AN6053">
        <v>0.99999999521775396</v>
      </c>
    </row>
    <row r="6054" spans="1:40" x14ac:dyDescent="0.25">
      <c r="A6054" t="str">
        <f>"20190305135352513"</f>
        <v>20190305135352513</v>
      </c>
      <c r="B6054" t="str">
        <f>"1551765232505696"</f>
        <v>1551765232505696</v>
      </c>
      <c r="C6054" t="s">
        <v>40</v>
      </c>
      <c r="D6054">
        <v>4.5009560000000004</v>
      </c>
      <c r="E6054">
        <v>0.49577189999999999</v>
      </c>
      <c r="F6054" t="s">
        <v>93</v>
      </c>
      <c r="G6054">
        <v>-223.47790000000001</v>
      </c>
      <c r="H6054" s="1">
        <v>-8.5378139999999996E-7</v>
      </c>
      <c r="I6054">
        <v>-61.479689999999998</v>
      </c>
      <c r="J6054">
        <v>-247.11609999999999</v>
      </c>
      <c r="K6054">
        <v>1.107486</v>
      </c>
      <c r="L6054">
        <v>-62.061889999999998</v>
      </c>
      <c r="M6054">
        <v>0.99889760000000005</v>
      </c>
      <c r="N6054">
        <v>-2.3281759999999999E-3</v>
      </c>
      <c r="O6054">
        <v>-4.6888449999999998E-2</v>
      </c>
      <c r="P6054">
        <v>0.99896810000000003</v>
      </c>
      <c r="Q6054">
        <v>-4.3307020000000002E-2</v>
      </c>
      <c r="R6054">
        <v>1.3691729999999999E-2</v>
      </c>
      <c r="S6054">
        <v>2.996048</v>
      </c>
      <c r="T6054">
        <v>-0.13931289999999999</v>
      </c>
      <c r="U6054">
        <v>7.2174070000000007E-2</v>
      </c>
      <c r="V6054">
        <v>-6.0535980000000003E-2</v>
      </c>
      <c r="W6054">
        <v>-4.0957279999999999E-2</v>
      </c>
      <c r="X6054">
        <v>0.99732540000000003</v>
      </c>
      <c r="Y6054">
        <v>-7.0805270000000003E-2</v>
      </c>
      <c r="Z6054">
        <v>3.7969050000000002E-3</v>
      </c>
      <c r="AA6054">
        <v>0.99748300000000001</v>
      </c>
      <c r="AB6054">
        <v>35</v>
      </c>
      <c r="AC6054">
        <v>23.638199999999902</v>
      </c>
      <c r="AD6054">
        <v>-1.10748685378139</v>
      </c>
      <c r="AE6054">
        <v>0.58220000000000005</v>
      </c>
      <c r="AF6054">
        <v>-1.68622188436545</v>
      </c>
      <c r="AG6054">
        <v>-1.10748685378139</v>
      </c>
      <c r="AH6054">
        <v>23.533276568930098</v>
      </c>
      <c r="AI6054">
        <v>92.6874979521466</v>
      </c>
      <c r="AJ6054">
        <v>94.098390779140104</v>
      </c>
      <c r="AK6054">
        <v>23.619588850027998</v>
      </c>
      <c r="AL6054">
        <v>92.347335804932598</v>
      </c>
      <c r="AM6054">
        <v>93.473496171571199</v>
      </c>
      <c r="AN6054">
        <v>1.00000002857235</v>
      </c>
    </row>
    <row r="6055" spans="1:40" x14ac:dyDescent="0.25">
      <c r="A6055" t="str">
        <f>"20190305135352524"</f>
        <v>20190305135352524</v>
      </c>
      <c r="B6055" t="str">
        <f>"1551765232516432"</f>
        <v>1551765232516432</v>
      </c>
      <c r="C6055" t="s">
        <v>40</v>
      </c>
      <c r="D6055">
        <v>4.5323349999999998</v>
      </c>
      <c r="E6055">
        <v>0.49521179999999898</v>
      </c>
      <c r="F6055" t="s">
        <v>93</v>
      </c>
      <c r="G6055">
        <v>-222.63759999999999</v>
      </c>
      <c r="H6055" s="1">
        <v>-4.8709229999999998E-7</v>
      </c>
      <c r="I6055">
        <v>-61.451799999999999</v>
      </c>
      <c r="J6055">
        <v>-246.9307</v>
      </c>
      <c r="K6055">
        <v>1.1075079999999999</v>
      </c>
      <c r="L6055">
        <v>-62.070590000000003</v>
      </c>
      <c r="M6055">
        <v>0.99889559999999999</v>
      </c>
      <c r="N6055">
        <v>-2.360975E-3</v>
      </c>
      <c r="O6055">
        <v>-4.6927400000000001E-2</v>
      </c>
      <c r="P6055">
        <v>0.99897959999999997</v>
      </c>
      <c r="Q6055">
        <v>-4.3297460000000003E-2</v>
      </c>
      <c r="R6055">
        <v>1.2858720000000001E-2</v>
      </c>
      <c r="S6055">
        <v>2.996216</v>
      </c>
      <c r="T6055">
        <v>-0.1355586</v>
      </c>
      <c r="U6055">
        <v>7.4676510000000001E-2</v>
      </c>
      <c r="V6055">
        <v>-5.9740920000000003E-2</v>
      </c>
      <c r="W6055">
        <v>-4.0918419999999997E-2</v>
      </c>
      <c r="X6055">
        <v>0.99737489999999995</v>
      </c>
      <c r="Y6055">
        <v>-7.1681159999999994E-2</v>
      </c>
      <c r="Z6055">
        <v>3.7158629999999998E-3</v>
      </c>
      <c r="AA6055">
        <v>0.99742070000000005</v>
      </c>
      <c r="AB6055">
        <v>35</v>
      </c>
      <c r="AC6055">
        <v>24.293099999999999</v>
      </c>
      <c r="AD6055">
        <v>-1.1075084870923</v>
      </c>
      <c r="AE6055">
        <v>0.61879000000000395</v>
      </c>
      <c r="AF6055">
        <v>-1.75447923784308</v>
      </c>
      <c r="AG6055">
        <v>-1.1075084870923</v>
      </c>
      <c r="AH6055">
        <v>24.1870602396165</v>
      </c>
      <c r="AI6055">
        <v>92.614841497367294</v>
      </c>
      <c r="AJ6055">
        <v>94.1488505802715</v>
      </c>
      <c r="AK6055">
        <v>24.275886296484401</v>
      </c>
      <c r="AL6055">
        <v>92.345107506680307</v>
      </c>
      <c r="AM6055">
        <v>93.427816178829502</v>
      </c>
      <c r="AN6055">
        <v>0.99999999288387598</v>
      </c>
    </row>
    <row r="6056" spans="1:40" x14ac:dyDescent="0.25">
      <c r="A6056" t="str">
        <f>"20190305135352534"</f>
        <v>20190305135352534</v>
      </c>
      <c r="B6056" t="str">
        <f>"1551765232526193"</f>
        <v>1551765232526193</v>
      </c>
      <c r="C6056" t="s">
        <v>40</v>
      </c>
      <c r="D6056">
        <v>4.5288459999999997</v>
      </c>
      <c r="E6056">
        <v>0.49477549999999998</v>
      </c>
      <c r="F6056" t="s">
        <v>93</v>
      </c>
      <c r="G6056">
        <v>-221.83320000000001</v>
      </c>
      <c r="H6056" s="1">
        <v>-1.366425E-7</v>
      </c>
      <c r="I6056">
        <v>-61.427720000000001</v>
      </c>
      <c r="J6056">
        <v>-246.76779999999999</v>
      </c>
      <c r="K6056">
        <v>1.107526</v>
      </c>
      <c r="L6056">
        <v>-62.078310000000002</v>
      </c>
      <c r="M6056">
        <v>0.99889439999999996</v>
      </c>
      <c r="N6056">
        <v>-2.3883989999999998E-3</v>
      </c>
      <c r="O6056">
        <v>-4.6947999999999997E-2</v>
      </c>
      <c r="P6056">
        <v>0.99898310000000001</v>
      </c>
      <c r="Q6056">
        <v>-4.3356930000000002E-2</v>
      </c>
      <c r="R6056">
        <v>1.2358589999999999E-2</v>
      </c>
      <c r="S6056">
        <v>2.9963839999999999</v>
      </c>
      <c r="T6056">
        <v>-0.13222490000000001</v>
      </c>
      <c r="U6056">
        <v>7.6751710000000001E-2</v>
      </c>
      <c r="V6056">
        <v>-5.9260489999999999E-2</v>
      </c>
      <c r="W6056">
        <v>-4.0953040000000003E-2</v>
      </c>
      <c r="X6056">
        <v>0.99740209999999996</v>
      </c>
      <c r="Y6056">
        <v>-7.2395799999999996E-2</v>
      </c>
      <c r="Z6056">
        <v>3.64087E-3</v>
      </c>
      <c r="AA6056">
        <v>0.99736930000000001</v>
      </c>
      <c r="AB6056">
        <v>35</v>
      </c>
      <c r="AC6056">
        <v>24.9345999999999</v>
      </c>
      <c r="AD6056">
        <v>-1.1075261366425</v>
      </c>
      <c r="AE6056">
        <v>0.650590000000001</v>
      </c>
      <c r="AF6056">
        <v>-1.8169234914019601</v>
      </c>
      <c r="AG6056">
        <v>-1.1075261366425</v>
      </c>
      <c r="AH6056">
        <v>24.827612475090501</v>
      </c>
      <c r="AI6056">
        <v>92.547390520644896</v>
      </c>
      <c r="AJ6056">
        <v>94.185533418371705</v>
      </c>
      <c r="AK6056">
        <v>24.9186309080219</v>
      </c>
      <c r="AL6056">
        <v>92.347092844025298</v>
      </c>
      <c r="AM6056">
        <v>93.400222482377103</v>
      </c>
      <c r="AN6056">
        <v>0.99999995312234402</v>
      </c>
    </row>
    <row r="6057" spans="1:40" x14ac:dyDescent="0.25">
      <c r="A6057" t="str">
        <f>"20190305135352545"</f>
        <v>20190305135352545</v>
      </c>
      <c r="B6057" t="str">
        <f>"1551765232535952"</f>
        <v>1551765232535952</v>
      </c>
      <c r="C6057" t="s">
        <v>40</v>
      </c>
      <c r="D6057">
        <v>4.5248860000000004</v>
      </c>
      <c r="E6057">
        <v>0.49445250000000002</v>
      </c>
      <c r="F6057" t="s">
        <v>93</v>
      </c>
      <c r="G6057">
        <v>-221.18100000000001</v>
      </c>
      <c r="H6057" s="1">
        <v>1.480785E-7</v>
      </c>
      <c r="I6057">
        <v>-61.405459999999998</v>
      </c>
      <c r="J6057">
        <v>-246.595</v>
      </c>
      <c r="K6057">
        <v>1.1075379999999999</v>
      </c>
      <c r="L6057">
        <v>-62.08643</v>
      </c>
      <c r="M6057">
        <v>0.99889360000000005</v>
      </c>
      <c r="N6057">
        <v>-2.4174259999999999E-3</v>
      </c>
      <c r="O6057">
        <v>-4.6968839999999998E-2</v>
      </c>
      <c r="P6057">
        <v>0.9989846</v>
      </c>
      <c r="Q6057">
        <v>-4.348138E-2</v>
      </c>
      <c r="R6057">
        <v>1.1803839999999999E-2</v>
      </c>
      <c r="S6057">
        <v>2.996445</v>
      </c>
      <c r="T6057">
        <v>-0.12970139999999999</v>
      </c>
      <c r="U6057">
        <v>7.8796389999999994E-2</v>
      </c>
      <c r="V6057">
        <v>-5.8725670000000001E-2</v>
      </c>
      <c r="W6057">
        <v>-4.1051120000000003E-2</v>
      </c>
      <c r="X6057">
        <v>0.99742969999999997</v>
      </c>
      <c r="Y6057">
        <v>-7.3099849999999994E-2</v>
      </c>
      <c r="Z6057">
        <v>3.5874819999999999E-3</v>
      </c>
      <c r="AA6057">
        <v>0.99731809999999999</v>
      </c>
      <c r="AB6057">
        <v>36</v>
      </c>
      <c r="AC6057">
        <v>25.414000000000001</v>
      </c>
      <c r="AD6057">
        <v>-1.1075378519215</v>
      </c>
      <c r="AE6057">
        <v>0.68097000000000896</v>
      </c>
      <c r="AF6057">
        <v>-1.8703382303151601</v>
      </c>
      <c r="AG6057">
        <v>-1.1075378519215</v>
      </c>
      <c r="AH6057">
        <v>25.305940747667599</v>
      </c>
      <c r="AI6057">
        <v>92.499195425721496</v>
      </c>
      <c r="AJ6057">
        <v>94.226991527554802</v>
      </c>
      <c r="AK6057">
        <v>25.399122865045602</v>
      </c>
      <c r="AL6057">
        <v>92.352717145253706</v>
      </c>
      <c r="AM6057">
        <v>93.3695138175257</v>
      </c>
      <c r="AN6057">
        <v>0.99999995260614505</v>
      </c>
    </row>
    <row r="6058" spans="1:40" x14ac:dyDescent="0.25">
      <c r="A6058" t="str">
        <f>"20190305135352556"</f>
        <v>20190305135352556</v>
      </c>
      <c r="B6058" t="str">
        <f>"1551765232545712"</f>
        <v>1551765232545712</v>
      </c>
      <c r="C6058" t="s">
        <v>40</v>
      </c>
      <c r="D6058">
        <v>4.5182060000000002</v>
      </c>
      <c r="E6058">
        <v>0.4941065</v>
      </c>
      <c r="F6058" t="s">
        <v>93</v>
      </c>
      <c r="G6058">
        <v>-220.62020000000001</v>
      </c>
      <c r="H6058" s="1">
        <v>3.9103399999999998E-7</v>
      </c>
      <c r="I6058">
        <v>-61.394930000000002</v>
      </c>
      <c r="J6058">
        <v>-246.42140000000001</v>
      </c>
      <c r="K6058">
        <v>1.1075539999999999</v>
      </c>
      <c r="L6058">
        <v>-62.094639999999998</v>
      </c>
      <c r="M6058">
        <v>0.99889309999999998</v>
      </c>
      <c r="N6058">
        <v>-2.446522E-3</v>
      </c>
      <c r="O6058">
        <v>-4.6974670000000003E-2</v>
      </c>
      <c r="P6058">
        <v>0.99899099999999996</v>
      </c>
      <c r="Q6058">
        <v>-4.3483510000000003E-2</v>
      </c>
      <c r="R6058">
        <v>1.1248279999999999E-2</v>
      </c>
      <c r="S6058">
        <v>2.9965519999999999</v>
      </c>
      <c r="T6058">
        <v>-0.12776949999999901</v>
      </c>
      <c r="U6058">
        <v>7.9772949999999995E-2</v>
      </c>
      <c r="V6058">
        <v>-5.8175440000000002E-2</v>
      </c>
      <c r="W6058">
        <v>-4.1026670000000001E-2</v>
      </c>
      <c r="X6058">
        <v>0.99746299999999999</v>
      </c>
      <c r="Y6058">
        <v>-7.3432540000000004E-2</v>
      </c>
      <c r="Z6058">
        <v>3.5410099999999998E-3</v>
      </c>
      <c r="AA6058">
        <v>0.99729389999999996</v>
      </c>
      <c r="AB6058">
        <v>36</v>
      </c>
      <c r="AC6058">
        <v>25.801199999999898</v>
      </c>
      <c r="AD6058">
        <v>-1.1075536089659901</v>
      </c>
      <c r="AE6058">
        <v>0.69971000000000305</v>
      </c>
      <c r="AF6058">
        <v>-1.9074318349436199</v>
      </c>
      <c r="AG6058">
        <v>-1.1075536089659901</v>
      </c>
      <c r="AH6058">
        <v>25.692540334682999</v>
      </c>
      <c r="AI6058">
        <v>92.461611173921995</v>
      </c>
      <c r="AJ6058">
        <v>94.245888783154996</v>
      </c>
      <c r="AK6058">
        <v>25.787043259183498</v>
      </c>
      <c r="AL6058">
        <v>92.351314963840096</v>
      </c>
      <c r="AM6058">
        <v>93.337903705589298</v>
      </c>
      <c r="AN6058">
        <v>1.00000000291974</v>
      </c>
    </row>
    <row r="6059" spans="1:40" x14ac:dyDescent="0.25">
      <c r="A6059" t="str">
        <f>"20190305135352568"</f>
        <v>20190305135352568</v>
      </c>
      <c r="B6059" t="str">
        <f>"1551765232556449"</f>
        <v>1551765232556449</v>
      </c>
      <c r="C6059" t="s">
        <v>40</v>
      </c>
      <c r="D6059">
        <v>4.5319589999999996</v>
      </c>
      <c r="E6059">
        <v>0.49379339999999999</v>
      </c>
      <c r="F6059" t="s">
        <v>93</v>
      </c>
      <c r="G6059">
        <v>-220.11770000000001</v>
      </c>
      <c r="H6059" s="1">
        <v>6.0878069999999997E-7</v>
      </c>
      <c r="I6059">
        <v>-61.38503</v>
      </c>
      <c r="J6059">
        <v>-246.24420000000001</v>
      </c>
      <c r="K6059">
        <v>1.1075710000000001</v>
      </c>
      <c r="L6059">
        <v>-62.1029699999999</v>
      </c>
      <c r="M6059">
        <v>0.99889289999999997</v>
      </c>
      <c r="N6059">
        <v>-2.4762590000000002E-3</v>
      </c>
      <c r="O6059">
        <v>-4.6976919999999998E-2</v>
      </c>
      <c r="P6059">
        <v>0.99899740000000004</v>
      </c>
      <c r="Q6059">
        <v>-4.3406109999999998E-2</v>
      </c>
      <c r="R6059">
        <v>1.0948970000000001E-2</v>
      </c>
      <c r="S6059">
        <v>2.9966430000000002</v>
      </c>
      <c r="T6059">
        <v>-0.12617799999999901</v>
      </c>
      <c r="U6059">
        <v>8.0841060000000006E-2</v>
      </c>
      <c r="V6059">
        <v>-5.7876990000000003E-2</v>
      </c>
      <c r="W6059">
        <v>-4.0921989999999998E-2</v>
      </c>
      <c r="X6059">
        <v>0.9974847</v>
      </c>
      <c r="Y6059">
        <v>-7.3791560000000006E-2</v>
      </c>
      <c r="Z6059">
        <v>3.5042960000000001E-3</v>
      </c>
      <c r="AA6059">
        <v>0.99726749999999997</v>
      </c>
      <c r="AB6059">
        <v>36</v>
      </c>
      <c r="AC6059">
        <v>26.1265</v>
      </c>
      <c r="AD6059">
        <v>-1.10757039121929</v>
      </c>
      <c r="AE6059">
        <v>0.71793999999998404</v>
      </c>
      <c r="AF6059">
        <v>-1.9410080244090799</v>
      </c>
      <c r="AG6059">
        <v>-1.10757039121929</v>
      </c>
      <c r="AH6059">
        <v>26.0172077002082</v>
      </c>
      <c r="AI6059">
        <v>92.430901302666697</v>
      </c>
      <c r="AJ6059">
        <v>94.266634820046903</v>
      </c>
      <c r="AK6059">
        <v>26.113010566345999</v>
      </c>
      <c r="AL6059">
        <v>92.3453121112058</v>
      </c>
      <c r="AM6059">
        <v>93.320746026604795</v>
      </c>
      <c r="AN6059">
        <v>1.0000000409855501</v>
      </c>
    </row>
    <row r="6060" spans="1:40" x14ac:dyDescent="0.25">
      <c r="A6060" t="str">
        <f>"20190305135352579"</f>
        <v>20190305135352579</v>
      </c>
      <c r="B6060" t="str">
        <f>"1551765232575969"</f>
        <v>1551765232575969</v>
      </c>
      <c r="C6060" t="s">
        <v>40</v>
      </c>
      <c r="D6060">
        <v>4.5370509999999999</v>
      </c>
      <c r="E6060">
        <v>0.49316969999999999</v>
      </c>
      <c r="F6060" t="s">
        <v>94</v>
      </c>
      <c r="G6060">
        <v>-219.74369999999999</v>
      </c>
      <c r="H6060" s="1">
        <v>-3.3510260000000001E-6</v>
      </c>
      <c r="I6060">
        <v>-61.373159999999999</v>
      </c>
      <c r="J6060">
        <v>-246.04589999999999</v>
      </c>
      <c r="K6060">
        <v>1.1075889999999999</v>
      </c>
      <c r="L6060">
        <v>-62.112299999999998</v>
      </c>
      <c r="M6060">
        <v>0.99889340000000004</v>
      </c>
      <c r="N6060">
        <v>-2.5096900000000002E-3</v>
      </c>
      <c r="O6060">
        <v>-4.6966170000000002E-2</v>
      </c>
      <c r="P6060">
        <v>0.99900789999999995</v>
      </c>
      <c r="Q6060">
        <v>-4.3291870000000003E-2</v>
      </c>
      <c r="R6060">
        <v>1.045103E-2</v>
      </c>
      <c r="S6060">
        <v>2.996658</v>
      </c>
      <c r="T6060">
        <v>-0.12524379999999999</v>
      </c>
      <c r="U6060">
        <v>8.2519529999999994E-2</v>
      </c>
      <c r="V6060">
        <v>-5.7367439999999999E-2</v>
      </c>
      <c r="W6060">
        <v>-4.0776970000000003E-2</v>
      </c>
      <c r="X6060">
        <v>0.99751999999999996</v>
      </c>
      <c r="Y6060">
        <v>-7.4339939999999993E-2</v>
      </c>
      <c r="Z6060">
        <v>3.4895350000000002E-3</v>
      </c>
      <c r="AA6060">
        <v>0.99722679999999997</v>
      </c>
      <c r="AB6060">
        <v>36</v>
      </c>
      <c r="AC6060">
        <v>26.302199999999999</v>
      </c>
      <c r="AD6060">
        <v>-1.107592351026</v>
      </c>
      <c r="AE6060">
        <v>0.73913999999999802</v>
      </c>
      <c r="AF6060">
        <v>-1.9701508777350101</v>
      </c>
      <c r="AG6060">
        <v>-1.107592351026</v>
      </c>
      <c r="AH6060">
        <v>26.1920511280155</v>
      </c>
      <c r="AI6060">
        <v>92.414630631695999</v>
      </c>
      <c r="AJ6060">
        <v>94.301654606560703</v>
      </c>
      <c r="AK6060">
        <v>26.2893856449646</v>
      </c>
      <c r="AL6060">
        <v>92.336996308348006</v>
      </c>
      <c r="AM6060">
        <v>93.291458465163402</v>
      </c>
      <c r="AN6060">
        <v>0.99999996742726605</v>
      </c>
    </row>
    <row r="6061" spans="1:40" x14ac:dyDescent="0.25">
      <c r="A6061" t="str">
        <f>"20190305135352591"</f>
        <v>20190305135352591</v>
      </c>
      <c r="B6061" t="str">
        <f>"1551765232585728"</f>
        <v>1551765232585728</v>
      </c>
      <c r="C6061" t="s">
        <v>40</v>
      </c>
      <c r="D6061">
        <v>4.524648</v>
      </c>
      <c r="E6061">
        <v>0.49293209999999998</v>
      </c>
      <c r="F6061" t="s">
        <v>94</v>
      </c>
      <c r="G6061">
        <v>-219.36850000000001</v>
      </c>
      <c r="H6061" s="1">
        <v>-3.218715E-6</v>
      </c>
      <c r="I6061">
        <v>-61.346939999999996</v>
      </c>
      <c r="J6061">
        <v>-245.87440000000001</v>
      </c>
      <c r="K6061">
        <v>1.1076060000000001</v>
      </c>
      <c r="L6061">
        <v>-62.120359999999998</v>
      </c>
      <c r="M6061">
        <v>0.99889410000000001</v>
      </c>
      <c r="N6061">
        <v>-2.5383810000000001E-3</v>
      </c>
      <c r="O6061">
        <v>-4.6948509999999999E-2</v>
      </c>
      <c r="P6061">
        <v>0.99900900000000004</v>
      </c>
      <c r="Q6061">
        <v>-4.3372050000000002E-2</v>
      </c>
      <c r="R6061">
        <v>1.001317E-2</v>
      </c>
      <c r="S6061">
        <v>2.9967039999999998</v>
      </c>
      <c r="T6061">
        <v>-0.12441729999999999</v>
      </c>
      <c r="U6061">
        <v>8.5968020000000006E-2</v>
      </c>
      <c r="V6061">
        <v>-5.6911160000000002E-2</v>
      </c>
      <c r="W6061">
        <v>-4.0830829999999999E-2</v>
      </c>
      <c r="X6061">
        <v>0.99754399999999999</v>
      </c>
      <c r="Y6061">
        <v>-7.5468889999999997E-2</v>
      </c>
      <c r="Z6061">
        <v>3.49016E-3</v>
      </c>
      <c r="AA6061">
        <v>0.99714210000000003</v>
      </c>
      <c r="AB6061">
        <v>36</v>
      </c>
      <c r="AC6061">
        <v>26.5059</v>
      </c>
      <c r="AD6061">
        <v>-1.107609218715</v>
      </c>
      <c r="AE6061">
        <v>0.773419999999994</v>
      </c>
      <c r="AF6061">
        <v>-2.01347077153242</v>
      </c>
      <c r="AG6061">
        <v>-1.107609218715</v>
      </c>
      <c r="AH6061">
        <v>26.394311103731798</v>
      </c>
      <c r="AI6061">
        <v>92.395993429801607</v>
      </c>
      <c r="AJ6061">
        <v>94.362317977724402</v>
      </c>
      <c r="AK6061">
        <v>26.494160137090201</v>
      </c>
      <c r="AL6061">
        <v>92.340084674588596</v>
      </c>
      <c r="AM6061">
        <v>93.265257871653901</v>
      </c>
      <c r="AN6061">
        <v>1.00000003437351</v>
      </c>
    </row>
    <row r="6062" spans="1:40" x14ac:dyDescent="0.25">
      <c r="A6062" t="str">
        <f>"20190305135352602"</f>
        <v>20190305135352602</v>
      </c>
      <c r="B6062" t="str">
        <f>"1551765232596464"</f>
        <v>1551765232596464</v>
      </c>
      <c r="C6062" t="s">
        <v>40</v>
      </c>
      <c r="D6062">
        <v>4.5244770000000001</v>
      </c>
      <c r="E6062">
        <v>0.49266500000000002</v>
      </c>
      <c r="F6062" t="s">
        <v>94</v>
      </c>
      <c r="G6062">
        <v>-219.11199999999999</v>
      </c>
      <c r="H6062" s="1">
        <v>-3.1314300000000002E-6</v>
      </c>
      <c r="I6062">
        <v>-61.347099999999998</v>
      </c>
      <c r="J6062">
        <v>-245.68860000000001</v>
      </c>
      <c r="K6062">
        <v>1.1076250000000001</v>
      </c>
      <c r="L6062">
        <v>-62.129089999999998</v>
      </c>
      <c r="M6062">
        <v>0.99889530000000004</v>
      </c>
      <c r="N6062">
        <v>-2.5692129999999999E-3</v>
      </c>
      <c r="O6062">
        <v>-4.6921070000000002E-2</v>
      </c>
      <c r="P6062">
        <v>0.99901390000000001</v>
      </c>
      <c r="Q6062">
        <v>-4.3386910000000001E-2</v>
      </c>
      <c r="R6062">
        <v>9.4133719999999997E-3</v>
      </c>
      <c r="S6062">
        <v>2.9967039999999998</v>
      </c>
      <c r="T6062">
        <v>-0.1240238</v>
      </c>
      <c r="U6062">
        <v>8.6578370000000002E-2</v>
      </c>
      <c r="V6062">
        <v>-5.6282810000000003E-2</v>
      </c>
      <c r="W6062">
        <v>-4.0817430000000002E-2</v>
      </c>
      <c r="X6062">
        <v>0.99758020000000003</v>
      </c>
      <c r="Y6062">
        <v>-7.5644959999999997E-2</v>
      </c>
      <c r="Z6062">
        <v>3.4815710000000001E-3</v>
      </c>
      <c r="AA6062">
        <v>0.99712869999999998</v>
      </c>
      <c r="AB6062">
        <v>36</v>
      </c>
      <c r="AC6062">
        <v>26.576599999999999</v>
      </c>
      <c r="AD6062">
        <v>-1.1076281314299901</v>
      </c>
      <c r="AE6062">
        <v>0.78199000000000696</v>
      </c>
      <c r="AF6062">
        <v>-2.0246216910000401</v>
      </c>
      <c r="AG6062">
        <v>-1.1076281314299901</v>
      </c>
      <c r="AH6062">
        <v>26.464708111018801</v>
      </c>
      <c r="AI6062">
        <v>92.389628563434599</v>
      </c>
      <c r="AJ6062">
        <v>94.374760586079802</v>
      </c>
      <c r="AK6062">
        <v>26.5651408516994</v>
      </c>
      <c r="AL6062">
        <v>92.339316265931899</v>
      </c>
      <c r="AM6062">
        <v>93.229166298784406</v>
      </c>
      <c r="AN6062">
        <v>1.00000003636267</v>
      </c>
    </row>
    <row r="6063" spans="1:40" x14ac:dyDescent="0.25">
      <c r="A6063" t="str">
        <f>"20190305135352614"</f>
        <v>20190305135352614</v>
      </c>
      <c r="B6063" t="str">
        <f>"1551765232606224"</f>
        <v>1551765232606224</v>
      </c>
      <c r="C6063" t="s">
        <v>40</v>
      </c>
      <c r="D6063">
        <v>4.5229309999999998</v>
      </c>
      <c r="E6063">
        <v>0.49246630000000002</v>
      </c>
      <c r="F6063" t="s">
        <v>94</v>
      </c>
      <c r="G6063">
        <v>-218.80969999999999</v>
      </c>
      <c r="H6063" s="1">
        <v>-3.0053560000000001E-6</v>
      </c>
      <c r="I6063">
        <v>-61.349469999999997</v>
      </c>
      <c r="J6063">
        <v>-245.50399999999999</v>
      </c>
      <c r="K6063">
        <v>1.1076440000000001</v>
      </c>
      <c r="L6063">
        <v>-62.13776</v>
      </c>
      <c r="M6063">
        <v>0.99889709999999998</v>
      </c>
      <c r="N6063">
        <v>-2.5992430000000002E-3</v>
      </c>
      <c r="O6063">
        <v>-4.6879560000000001E-2</v>
      </c>
      <c r="P6063">
        <v>0.99901569999999995</v>
      </c>
      <c r="Q6063">
        <v>-4.3419279999999998E-2</v>
      </c>
      <c r="R6063">
        <v>9.0776980000000004E-3</v>
      </c>
      <c r="S6063">
        <v>2.9967800000000002</v>
      </c>
      <c r="T6063">
        <v>-0.1234915</v>
      </c>
      <c r="U6063">
        <v>8.6914060000000001E-2</v>
      </c>
      <c r="V6063">
        <v>-5.5904170000000003E-2</v>
      </c>
      <c r="W6063">
        <v>-4.0822480000000001E-2</v>
      </c>
      <c r="X6063">
        <v>0.99760130000000002</v>
      </c>
      <c r="Y6063">
        <v>-7.5715270000000001E-2</v>
      </c>
      <c r="Z6063">
        <v>3.466116E-3</v>
      </c>
      <c r="AA6063">
        <v>0.99712350000000005</v>
      </c>
      <c r="AB6063">
        <v>36</v>
      </c>
      <c r="AC6063">
        <v>26.694299999999998</v>
      </c>
      <c r="AD6063">
        <v>-1.1076470053559999</v>
      </c>
      <c r="AE6063">
        <v>0.78829000000000304</v>
      </c>
      <c r="AF6063">
        <v>-2.03534339410233</v>
      </c>
      <c r="AG6063">
        <v>-1.1076470053559999</v>
      </c>
      <c r="AH6063">
        <v>26.582268228652101</v>
      </c>
      <c r="AI6063">
        <v>92.379101336100703</v>
      </c>
      <c r="AJ6063">
        <v>94.378463528546604</v>
      </c>
      <c r="AK6063">
        <v>26.6830749502451</v>
      </c>
      <c r="AL6063">
        <v>92.339605813361501</v>
      </c>
      <c r="AM6063">
        <v>93.207420044830698</v>
      </c>
      <c r="AN6063">
        <v>1.0000000524292101</v>
      </c>
    </row>
    <row r="6064" spans="1:40" x14ac:dyDescent="0.25">
      <c r="A6064" t="str">
        <f>"20190305135352623"</f>
        <v>20190305135352623</v>
      </c>
      <c r="B6064" t="str">
        <f>"1551765232615984"</f>
        <v>1551765232615984</v>
      </c>
      <c r="C6064" t="s">
        <v>40</v>
      </c>
      <c r="D6064">
        <v>4.5154639999999997</v>
      </c>
      <c r="E6064">
        <v>0.49225150000000001</v>
      </c>
      <c r="F6064" t="s">
        <v>94</v>
      </c>
      <c r="G6064">
        <v>-218.52799999999999</v>
      </c>
      <c r="H6064" s="1">
        <v>-2.884581E-6</v>
      </c>
      <c r="I6064">
        <v>-61.34984</v>
      </c>
      <c r="J6064">
        <v>-245.33179999999999</v>
      </c>
      <c r="K6064">
        <v>1.107664</v>
      </c>
      <c r="L6064">
        <v>-62.145809999999997</v>
      </c>
      <c r="M6064">
        <v>0.99889910000000004</v>
      </c>
      <c r="N6064">
        <v>-2.6270429999999999E-3</v>
      </c>
      <c r="O6064">
        <v>-4.6836030000000001E-2</v>
      </c>
      <c r="P6064">
        <v>0.99901079999999998</v>
      </c>
      <c r="Q6064">
        <v>-4.3607939999999998E-2</v>
      </c>
      <c r="R6064">
        <v>8.7268129999999999E-3</v>
      </c>
      <c r="S6064">
        <v>2.9968110000000001</v>
      </c>
      <c r="T6064">
        <v>-0.12305049999999999</v>
      </c>
      <c r="U6064">
        <v>8.7524409999999997E-2</v>
      </c>
      <c r="V6064">
        <v>-5.5508010000000003E-2</v>
      </c>
      <c r="W6064">
        <v>-4.0985899999999999E-2</v>
      </c>
      <c r="X6064">
        <v>0.99761659999999996</v>
      </c>
      <c r="Y6064">
        <v>-7.5875070000000003E-2</v>
      </c>
      <c r="Z6064">
        <v>3.4551870000000002E-3</v>
      </c>
      <c r="AA6064">
        <v>0.99711130000000003</v>
      </c>
      <c r="AB6064">
        <v>36</v>
      </c>
      <c r="AC6064">
        <v>26.803799999999899</v>
      </c>
      <c r="AD6064">
        <v>-1.107666884581</v>
      </c>
      <c r="AE6064">
        <v>0.79596999999999696</v>
      </c>
      <c r="AF6064">
        <v>-2.0469917672209101</v>
      </c>
      <c r="AG6064">
        <v>-1.107666884581</v>
      </c>
      <c r="AH6064">
        <v>26.691562367215599</v>
      </c>
      <c r="AI6064">
        <v>92.3693910566451</v>
      </c>
      <c r="AJ6064">
        <v>94.385463172401998</v>
      </c>
      <c r="AK6064">
        <v>26.7928461128195</v>
      </c>
      <c r="AL6064">
        <v>92.348977215422906</v>
      </c>
      <c r="AM6064">
        <v>93.184689154849096</v>
      </c>
      <c r="AN6064">
        <v>0.99999993188426195</v>
      </c>
    </row>
    <row r="6065" spans="1:40" x14ac:dyDescent="0.25">
      <c r="A6065" t="str">
        <f>"20190305135352635"</f>
        <v>20190305135352635</v>
      </c>
      <c r="B6065" t="str">
        <f>"1551765232625744"</f>
        <v>1551765232625744</v>
      </c>
      <c r="C6065" t="s">
        <v>40</v>
      </c>
      <c r="D6065">
        <v>4.5138299999999996</v>
      </c>
      <c r="E6065">
        <v>0.49206709999999898</v>
      </c>
      <c r="F6065" t="s">
        <v>94</v>
      </c>
      <c r="G6065">
        <v>-218.44069999999999</v>
      </c>
      <c r="H6065" s="1">
        <v>-2.84832E-6</v>
      </c>
      <c r="I6065">
        <v>-61.354349999999997</v>
      </c>
      <c r="J6065">
        <v>-245.14930000000001</v>
      </c>
      <c r="K6065">
        <v>1.1076859999999999</v>
      </c>
      <c r="L6065">
        <v>-62.154359999999997</v>
      </c>
      <c r="M6065">
        <v>0.99890210000000002</v>
      </c>
      <c r="N6065">
        <v>-2.6569290000000001E-3</v>
      </c>
      <c r="O6065">
        <v>-4.6770909999999999E-2</v>
      </c>
      <c r="P6065">
        <v>0.99900699999999998</v>
      </c>
      <c r="Q6065">
        <v>-4.3729240000000003E-2</v>
      </c>
      <c r="R6065">
        <v>8.5266509999999997E-3</v>
      </c>
      <c r="S6065">
        <v>2.996826</v>
      </c>
      <c r="T6065">
        <v>-0.1234415</v>
      </c>
      <c r="U6065">
        <v>8.8195800000000005E-2</v>
      </c>
      <c r="V6065">
        <v>-5.5240440000000002E-2</v>
      </c>
      <c r="W6065">
        <v>-4.10803E-2</v>
      </c>
      <c r="X6065">
        <v>0.99762759999999995</v>
      </c>
      <c r="Y6065">
        <v>-7.6032359999999993E-2</v>
      </c>
      <c r="Z6065">
        <v>3.4668810000000002E-3</v>
      </c>
      <c r="AA6065">
        <v>0.99709930000000002</v>
      </c>
      <c r="AB6065">
        <v>36</v>
      </c>
      <c r="AC6065">
        <v>26.708600000000001</v>
      </c>
      <c r="AD6065">
        <v>-1.10768884832</v>
      </c>
      <c r="AE6065">
        <v>0.80001</v>
      </c>
      <c r="AF6065">
        <v>-2.0448104826734999</v>
      </c>
      <c r="AG6065">
        <v>-1.10768884832</v>
      </c>
      <c r="AH6065">
        <v>26.596248645297301</v>
      </c>
      <c r="AI6065">
        <v>92.377884715197794</v>
      </c>
      <c r="AJ6065">
        <v>94.396446384616496</v>
      </c>
      <c r="AK6065">
        <v>26.697727740338198</v>
      </c>
      <c r="AL6065">
        <v>92.354390423752506</v>
      </c>
      <c r="AM6065">
        <v>93.169334222861494</v>
      </c>
      <c r="AN6065">
        <v>0.99999996277062098</v>
      </c>
    </row>
    <row r="6066" spans="1:40" x14ac:dyDescent="0.25">
      <c r="A6066" t="str">
        <f>"20190305135352646"</f>
        <v>20190305135352646</v>
      </c>
      <c r="B6066" t="str">
        <f>"1551765232636481"</f>
        <v>1551765232636481</v>
      </c>
      <c r="C6066" t="s">
        <v>40</v>
      </c>
      <c r="D6066">
        <v>4.5193479999999999</v>
      </c>
      <c r="E6066">
        <v>0.49178889999999997</v>
      </c>
      <c r="F6066" t="s">
        <v>94</v>
      </c>
      <c r="G6066">
        <v>-218.2449</v>
      </c>
      <c r="H6066" s="1">
        <v>-2.764408E-6</v>
      </c>
      <c r="I6066">
        <v>-61.354559999999999</v>
      </c>
      <c r="J6066">
        <v>-244.9778</v>
      </c>
      <c r="K6066">
        <v>1.1077049999999999</v>
      </c>
      <c r="L6066">
        <v>-62.162350000000004</v>
      </c>
      <c r="M6066">
        <v>0.99890500000000004</v>
      </c>
      <c r="N6066">
        <v>-2.6850730000000001E-3</v>
      </c>
      <c r="O6066">
        <v>-4.6706619999999997E-2</v>
      </c>
      <c r="P6066">
        <v>0.99900460000000002</v>
      </c>
      <c r="Q6066">
        <v>-4.3830250000000001E-2</v>
      </c>
      <c r="R6066">
        <v>8.2875250000000004E-3</v>
      </c>
      <c r="S6066">
        <v>2.996826</v>
      </c>
      <c r="T6066">
        <v>-0.1233833</v>
      </c>
      <c r="U6066">
        <v>8.9080809999999996E-2</v>
      </c>
      <c r="V6066">
        <v>-5.4935339999999999E-2</v>
      </c>
      <c r="W6066">
        <v>-4.115597E-2</v>
      </c>
      <c r="X6066">
        <v>0.99764140000000001</v>
      </c>
      <c r="Y6066">
        <v>-7.6262360000000001E-2</v>
      </c>
      <c r="Z6066">
        <v>3.467552E-3</v>
      </c>
      <c r="AA6066">
        <v>0.99708180000000002</v>
      </c>
      <c r="AB6066">
        <v>36</v>
      </c>
      <c r="AC6066">
        <v>26.732900000000001</v>
      </c>
      <c r="AD6066">
        <v>-1.107707764408</v>
      </c>
      <c r="AE6066">
        <v>0.807790000000004</v>
      </c>
      <c r="AF6066">
        <v>-2.05199640067526</v>
      </c>
      <c r="AG6066">
        <v>-1.107707764408</v>
      </c>
      <c r="AH6066">
        <v>26.620331419666801</v>
      </c>
      <c r="AI6066">
        <v>92.3757400982538</v>
      </c>
      <c r="AJ6066">
        <v>94.407860036041697</v>
      </c>
      <c r="AK6066">
        <v>26.7222706859393</v>
      </c>
      <c r="AL6066">
        <v>92.358729496655897</v>
      </c>
      <c r="AM6066">
        <v>93.151821465524606</v>
      </c>
      <c r="AN6066">
        <v>1.00000003422075</v>
      </c>
    </row>
    <row r="6067" spans="1:40" x14ac:dyDescent="0.25">
      <c r="A6067" t="str">
        <f>"20190305135352656"</f>
        <v>20190305135352656</v>
      </c>
      <c r="B6067" t="str">
        <f>"1551765232646241"</f>
        <v>1551765232646241</v>
      </c>
      <c r="C6067" t="s">
        <v>40</v>
      </c>
      <c r="D6067">
        <v>4.5223170000000001</v>
      </c>
      <c r="E6067">
        <v>0.49155670000000001</v>
      </c>
      <c r="F6067" t="s">
        <v>94</v>
      </c>
      <c r="G6067">
        <v>-218.16139999999999</v>
      </c>
      <c r="H6067" s="1">
        <v>-2.727832E-6</v>
      </c>
      <c r="I6067">
        <v>-61.351790000000001</v>
      </c>
      <c r="J6067">
        <v>-244.7963</v>
      </c>
      <c r="K6067">
        <v>1.107729</v>
      </c>
      <c r="L6067">
        <v>-62.170749999999998</v>
      </c>
      <c r="M6067">
        <v>0.99890919999999905</v>
      </c>
      <c r="N6067">
        <v>-2.7153419999999999E-3</v>
      </c>
      <c r="O6067">
        <v>-4.6618010000000001E-2</v>
      </c>
      <c r="P6067">
        <v>0.99899360000000004</v>
      </c>
      <c r="Q6067">
        <v>-4.4055469999999999E-2</v>
      </c>
      <c r="R6067">
        <v>8.4354129999999992E-3</v>
      </c>
      <c r="S6067">
        <v>2.996826</v>
      </c>
      <c r="T6067">
        <v>-0.1237901</v>
      </c>
      <c r="U6067">
        <v>9.0576169999999998E-2</v>
      </c>
      <c r="V6067">
        <v>-5.499246E-2</v>
      </c>
      <c r="W6067">
        <v>-4.1354149999999999E-2</v>
      </c>
      <c r="X6067">
        <v>0.99763000000000002</v>
      </c>
      <c r="Y6067">
        <v>-7.6669989999999993E-2</v>
      </c>
      <c r="Z6067">
        <v>3.4843280000000001E-3</v>
      </c>
      <c r="AA6067">
        <v>0.99705049999999995</v>
      </c>
      <c r="AB6067">
        <v>37</v>
      </c>
      <c r="AC6067">
        <v>26.634899999999998</v>
      </c>
      <c r="AD6067">
        <v>-1.107731727832</v>
      </c>
      <c r="AE6067">
        <v>0.81895999999999702</v>
      </c>
      <c r="AF6067">
        <v>-2.0561869018668801</v>
      </c>
      <c r="AG6067">
        <v>-1.107731727832</v>
      </c>
      <c r="AH6067">
        <v>26.521932366384299</v>
      </c>
      <c r="AI6067">
        <v>92.384514439990696</v>
      </c>
      <c r="AJ6067">
        <v>94.433147668939995</v>
      </c>
      <c r="AK6067">
        <v>26.624572683957201</v>
      </c>
      <c r="AL6067">
        <v>92.370094185658999</v>
      </c>
      <c r="AM6067">
        <v>93.155127991236498</v>
      </c>
      <c r="AN6067">
        <v>0.99999997663953599</v>
      </c>
    </row>
    <row r="6068" spans="1:40" x14ac:dyDescent="0.25">
      <c r="A6068" t="str">
        <f>"20190305135352669"</f>
        <v>20190305135352669</v>
      </c>
      <c r="B6068" t="str">
        <f>"1551765232665761"</f>
        <v>1551765232665761</v>
      </c>
      <c r="C6068" t="s">
        <v>40</v>
      </c>
      <c r="D6068">
        <v>4.5404669999999996</v>
      </c>
      <c r="E6068">
        <v>0.49109429999999998</v>
      </c>
      <c r="F6068" t="s">
        <v>94</v>
      </c>
      <c r="G6068">
        <v>-218.01589999999999</v>
      </c>
      <c r="H6068" s="1">
        <v>-2.6625080000000001E-6</v>
      </c>
      <c r="I6068">
        <v>-61.340789999999998</v>
      </c>
      <c r="J6068">
        <v>-244.60409999999999</v>
      </c>
      <c r="K6068">
        <v>1.1077539999999999</v>
      </c>
      <c r="L6068">
        <v>-62.179690000000001</v>
      </c>
      <c r="M6068">
        <v>0.99891379999999996</v>
      </c>
      <c r="N6068">
        <v>-2.7477999999999999E-3</v>
      </c>
      <c r="O6068">
        <v>-4.6517129999999997E-2</v>
      </c>
      <c r="P6068">
        <v>0.99899400000000005</v>
      </c>
      <c r="Q6068">
        <v>-4.4060630000000003E-2</v>
      </c>
      <c r="R6068">
        <v>8.3520869999999994E-3</v>
      </c>
      <c r="S6068">
        <v>2.9967350000000001</v>
      </c>
      <c r="T6068">
        <v>-0.1239556</v>
      </c>
      <c r="U6068">
        <v>9.2864989999999994E-2</v>
      </c>
      <c r="V6068">
        <v>-5.4805550000000001E-2</v>
      </c>
      <c r="W6068">
        <v>-4.1330180000000001E-2</v>
      </c>
      <c r="X6068">
        <v>0.99764129999999995</v>
      </c>
      <c r="Y6068">
        <v>-7.7330200000000002E-2</v>
      </c>
      <c r="Z6068">
        <v>3.4994840000000002E-3</v>
      </c>
      <c r="AA6068">
        <v>0.99699939999999998</v>
      </c>
      <c r="AB6068">
        <v>37</v>
      </c>
      <c r="AC6068">
        <v>26.588200000000001</v>
      </c>
      <c r="AD6068">
        <v>-1.107756662508</v>
      </c>
      <c r="AE6068">
        <v>0.83889999999999498</v>
      </c>
      <c r="AF6068">
        <v>-2.0712114695125501</v>
      </c>
      <c r="AG6068">
        <v>-1.107756662508</v>
      </c>
      <c r="AH6068">
        <v>26.474484604280399</v>
      </c>
      <c r="AI6068">
        <v>92.3887062607063</v>
      </c>
      <c r="AJ6068">
        <v>94.473380647020207</v>
      </c>
      <c r="AK6068">
        <v>26.578475818546298</v>
      </c>
      <c r="AL6068">
        <v>92.3687195805134</v>
      </c>
      <c r="AM6068">
        <v>93.144390260341794</v>
      </c>
      <c r="AN6068">
        <v>0.99999999777766202</v>
      </c>
    </row>
    <row r="6069" spans="1:40" x14ac:dyDescent="0.25">
      <c r="A6069" t="str">
        <f>"20190305135352680"</f>
        <v>20190305135352680</v>
      </c>
      <c r="B6069" t="str">
        <f>"1551765232676498"</f>
        <v>1551765232676498</v>
      </c>
      <c r="C6069" t="s">
        <v>40</v>
      </c>
      <c r="D6069">
        <v>4.52257</v>
      </c>
      <c r="E6069">
        <v>0.4908689</v>
      </c>
      <c r="F6069" t="s">
        <v>94</v>
      </c>
      <c r="G6069">
        <v>-217.76650000000001</v>
      </c>
      <c r="H6069" s="1">
        <v>-2.5491969999999998E-6</v>
      </c>
      <c r="I6069">
        <v>-61.31709</v>
      </c>
      <c r="J6069">
        <v>-244.4117</v>
      </c>
      <c r="K6069">
        <v>1.107785</v>
      </c>
      <c r="L6069">
        <v>-62.188569999999999</v>
      </c>
      <c r="M6069">
        <v>0.99891909999999895</v>
      </c>
      <c r="N6069">
        <v>-2.7812179999999998E-3</v>
      </c>
      <c r="O6069">
        <v>-4.640122E-2</v>
      </c>
      <c r="P6069">
        <v>0.99898120000000001</v>
      </c>
      <c r="Q6069">
        <v>-4.432212E-2</v>
      </c>
      <c r="R6069">
        <v>8.5125989999999992E-3</v>
      </c>
      <c r="S6069">
        <v>2.9967800000000002</v>
      </c>
      <c r="T6069">
        <v>-0.123696</v>
      </c>
      <c r="U6069">
        <v>9.6313480000000007E-2</v>
      </c>
      <c r="V6069">
        <v>-5.4846890000000002E-2</v>
      </c>
      <c r="W6069">
        <v>-4.1561720000000003E-2</v>
      </c>
      <c r="X6069">
        <v>0.9976294</v>
      </c>
      <c r="Y6069">
        <v>-7.8359760000000001E-2</v>
      </c>
      <c r="Z6069">
        <v>3.5099649999999999E-3</v>
      </c>
      <c r="AA6069">
        <v>0.996919</v>
      </c>
      <c r="AB6069">
        <v>37</v>
      </c>
      <c r="AC6069">
        <v>26.6451999999999</v>
      </c>
      <c r="AD6069">
        <v>-1.107787549197</v>
      </c>
      <c r="AE6069">
        <v>0.87147999999999803</v>
      </c>
      <c r="AF6069">
        <v>-2.1032840784100002</v>
      </c>
      <c r="AG6069">
        <v>-1.107787549197</v>
      </c>
      <c r="AH6069">
        <v>26.530252774834899</v>
      </c>
      <c r="AI6069">
        <v>92.383562601357994</v>
      </c>
      <c r="AJ6069">
        <v>94.532854554326605</v>
      </c>
      <c r="AK6069">
        <v>26.636540868988298</v>
      </c>
      <c r="AL6069">
        <v>92.381997275565993</v>
      </c>
      <c r="AM6069">
        <v>93.146794779007607</v>
      </c>
      <c r="AN6069">
        <v>0.99999998882819496</v>
      </c>
    </row>
    <row r="6070" spans="1:40" x14ac:dyDescent="0.25">
      <c r="A6070" t="str">
        <f>"20190305135352693"</f>
        <v>20190305135352693</v>
      </c>
      <c r="B6070" t="str">
        <f>"1551765232686256"</f>
        <v>1551765232686256</v>
      </c>
      <c r="C6070" t="s">
        <v>40</v>
      </c>
      <c r="D6070">
        <v>4.5308859999999997</v>
      </c>
      <c r="E6070">
        <v>0.49066510000000002</v>
      </c>
      <c r="F6070" t="s">
        <v>94</v>
      </c>
      <c r="G6070">
        <v>-217.73599999999999</v>
      </c>
      <c r="H6070" s="1">
        <v>-2.5344120000000002E-6</v>
      </c>
      <c r="I6070">
        <v>-61.310780000000001</v>
      </c>
      <c r="J6070">
        <v>-244.2182</v>
      </c>
      <c r="K6070">
        <v>1.1078140000000001</v>
      </c>
      <c r="L6070">
        <v>-62.197510000000001</v>
      </c>
      <c r="M6070">
        <v>0.99892510000000001</v>
      </c>
      <c r="N6070">
        <v>-2.8199520000000001E-3</v>
      </c>
      <c r="O6070">
        <v>-4.6270650000000003E-2</v>
      </c>
      <c r="P6070">
        <v>0.99898310000000001</v>
      </c>
      <c r="Q6070">
        <v>-4.422566E-2</v>
      </c>
      <c r="R6070">
        <v>8.7865589999999993E-3</v>
      </c>
      <c r="S6070">
        <v>2.9967039999999998</v>
      </c>
      <c r="T6070">
        <v>-0.1244469</v>
      </c>
      <c r="U6070">
        <v>9.8602289999999995E-2</v>
      </c>
      <c r="V6070">
        <v>-5.4988000000000002E-2</v>
      </c>
      <c r="W6070">
        <v>-4.143003E-2</v>
      </c>
      <c r="X6070">
        <v>0.99762709999999999</v>
      </c>
      <c r="Y6070">
        <v>-7.8989100000000007E-2</v>
      </c>
      <c r="Z6070">
        <v>3.5400549999999999E-3</v>
      </c>
      <c r="AA6070">
        <v>0.99686920000000001</v>
      </c>
      <c r="AB6070">
        <v>37</v>
      </c>
      <c r="AC6070">
        <v>26.482199999999999</v>
      </c>
      <c r="AD6070">
        <v>-1.1078165344119999</v>
      </c>
      <c r="AE6070">
        <v>0.88672999999999902</v>
      </c>
      <c r="AF6070">
        <v>-2.10744974139965</v>
      </c>
      <c r="AG6070">
        <v>-1.1078165344119999</v>
      </c>
      <c r="AH6070">
        <v>26.366717056476698</v>
      </c>
      <c r="AI6070">
        <v>92.398268656397605</v>
      </c>
      <c r="AJ6070">
        <v>94.569845452026499</v>
      </c>
      <c r="AK6070">
        <v>26.473994224951099</v>
      </c>
      <c r="AL6070">
        <v>92.374445512863005</v>
      </c>
      <c r="AM6070">
        <v>93.154881773253905</v>
      </c>
      <c r="AN6070">
        <v>0.99999997909210503</v>
      </c>
    </row>
    <row r="6071" spans="1:40" x14ac:dyDescent="0.25">
      <c r="A6071" t="str">
        <f>"20190305135352706"</f>
        <v>20190305135352706</v>
      </c>
      <c r="B6071" t="str">
        <f>"1551765232696016"</f>
        <v>1551765232696016</v>
      </c>
      <c r="C6071" t="s">
        <v>40</v>
      </c>
      <c r="D6071">
        <v>4.9681319999999998</v>
      </c>
      <c r="E6071">
        <v>0.49095879999999997</v>
      </c>
      <c r="F6071" t="s">
        <v>94</v>
      </c>
      <c r="G6071">
        <v>-217.36670000000001</v>
      </c>
      <c r="H6071" s="1">
        <v>-2.3710709999999999E-6</v>
      </c>
      <c r="I6071">
        <v>-61.29233</v>
      </c>
      <c r="J6071">
        <v>-243.99600000000001</v>
      </c>
      <c r="K6071">
        <v>1.1078490000000001</v>
      </c>
      <c r="L6071">
        <v>-62.207669999999901</v>
      </c>
      <c r="M6071">
        <v>0.99893240000000005</v>
      </c>
      <c r="N6071">
        <v>-2.8693210000000002E-3</v>
      </c>
      <c r="O6071">
        <v>-4.6109209999999998E-2</v>
      </c>
      <c r="P6071">
        <v>0.99898580000000003</v>
      </c>
      <c r="Q6071">
        <v>-4.4127760000000002E-2</v>
      </c>
      <c r="R6071">
        <v>8.96575199999999E-3</v>
      </c>
      <c r="S6071">
        <v>2.9967039999999998</v>
      </c>
      <c r="T6071">
        <v>-0.1236352</v>
      </c>
      <c r="U6071">
        <v>0.1010132</v>
      </c>
      <c r="V6071">
        <v>-5.5003080000000003E-2</v>
      </c>
      <c r="W6071">
        <v>-4.1286749999999997E-2</v>
      </c>
      <c r="X6071">
        <v>0.99763219999999997</v>
      </c>
      <c r="Y6071">
        <v>-7.9630049999999994E-2</v>
      </c>
      <c r="Z6071">
        <v>3.5244370000000001E-3</v>
      </c>
      <c r="AA6071">
        <v>0.99681819999999999</v>
      </c>
      <c r="AB6071">
        <v>37</v>
      </c>
      <c r="AC6071">
        <v>26.629299999999901</v>
      </c>
      <c r="AD6071">
        <v>-1.1078513710709901</v>
      </c>
      <c r="AE6071">
        <v>0.91533999999998605</v>
      </c>
      <c r="AF6071">
        <v>-2.13853036745452</v>
      </c>
      <c r="AG6071">
        <v>-1.1078513710709901</v>
      </c>
      <c r="AH6071">
        <v>26.512937124244601</v>
      </c>
      <c r="AI6071">
        <v>92.384993301612496</v>
      </c>
      <c r="AJ6071">
        <v>94.611487275502697</v>
      </c>
      <c r="AK6071">
        <v>26.622105133648901</v>
      </c>
      <c r="AL6071">
        <v>92.366229163598604</v>
      </c>
      <c r="AM6071">
        <v>93.155729124871399</v>
      </c>
      <c r="AN6071">
        <v>0.99999997050594402</v>
      </c>
    </row>
    <row r="6072" spans="1:40" x14ac:dyDescent="0.25">
      <c r="A6072" t="str">
        <f>"20190305135352718"</f>
        <v>20190305135352718</v>
      </c>
      <c r="B6072" t="str">
        <f>"1551765232705777"</f>
        <v>1551765232705777</v>
      </c>
      <c r="C6072" t="s">
        <v>40</v>
      </c>
      <c r="D6072">
        <v>4.5284490000000002</v>
      </c>
      <c r="E6072">
        <v>0.4907376</v>
      </c>
      <c r="F6072" t="s">
        <v>94</v>
      </c>
      <c r="G6072">
        <v>-217.21520000000001</v>
      </c>
      <c r="H6072" s="1">
        <v>-2.3135739999999999E-6</v>
      </c>
      <c r="I6072">
        <v>-61.320410000000003</v>
      </c>
      <c r="J6072">
        <v>-243.78479999999999</v>
      </c>
      <c r="K6072">
        <v>1.107885</v>
      </c>
      <c r="L6072">
        <v>-62.217320000000001</v>
      </c>
      <c r="M6072">
        <v>0.99894039999999995</v>
      </c>
      <c r="N6072">
        <v>-2.9398200000000001E-3</v>
      </c>
      <c r="O6072">
        <v>-4.5929570000000003E-2</v>
      </c>
      <c r="P6072">
        <v>0.99899039999999995</v>
      </c>
      <c r="Q6072">
        <v>-4.4020530000000002E-2</v>
      </c>
      <c r="R6072">
        <v>8.9684120000000003E-3</v>
      </c>
      <c r="S6072">
        <v>2.996658</v>
      </c>
      <c r="T6072">
        <v>-0.1239637</v>
      </c>
      <c r="U6072">
        <v>9.9273680000000003E-2</v>
      </c>
      <c r="V6072">
        <v>-5.4823650000000002E-2</v>
      </c>
      <c r="W6072">
        <v>-4.1112919999999997E-2</v>
      </c>
      <c r="X6072">
        <v>0.99764929999999996</v>
      </c>
      <c r="Y6072">
        <v>-7.8873559999999995E-2</v>
      </c>
      <c r="Z6072">
        <v>3.5098379999999999E-3</v>
      </c>
      <c r="AA6072">
        <v>0.99687840000000005</v>
      </c>
      <c r="AB6072">
        <v>37</v>
      </c>
      <c r="AC6072">
        <v>26.569599999999902</v>
      </c>
      <c r="AD6072">
        <v>-1.1078873135739999</v>
      </c>
      <c r="AE6072">
        <v>0.89690999999999799</v>
      </c>
      <c r="AF6072">
        <v>-2.1126299673107098</v>
      </c>
      <c r="AG6072">
        <v>-1.1078873135739999</v>
      </c>
      <c r="AH6072">
        <v>26.4544218974955</v>
      </c>
      <c r="AI6072">
        <v>92.3904925232941</v>
      </c>
      <c r="AJ6072">
        <v>94.565907374565697</v>
      </c>
      <c r="AK6072">
        <v>26.561759309372601</v>
      </c>
      <c r="AL6072">
        <v>92.356260868628496</v>
      </c>
      <c r="AM6072">
        <v>93.145401465093201</v>
      </c>
      <c r="AN6072">
        <v>1.0000000152903601</v>
      </c>
    </row>
    <row r="6073" spans="1:40" x14ac:dyDescent="0.25">
      <c r="A6073" t="str">
        <f>"20190305135352733"</f>
        <v>20190305135352733</v>
      </c>
      <c r="B6073" t="str">
        <f>"1551765232726272"</f>
        <v>1551765232726272</v>
      </c>
      <c r="C6073" t="s">
        <v>40</v>
      </c>
      <c r="D6073">
        <v>4.5092420000000004</v>
      </c>
      <c r="E6073">
        <v>0.49032599999999998</v>
      </c>
      <c r="F6073" t="s">
        <v>94</v>
      </c>
      <c r="G6073">
        <v>-216.82490000000001</v>
      </c>
      <c r="H6073" s="1">
        <v>-2.1428699999999999E-6</v>
      </c>
      <c r="I6073">
        <v>-61.308199999999999</v>
      </c>
      <c r="J6073">
        <v>-243.571</v>
      </c>
      <c r="K6073">
        <v>1.1079289999999999</v>
      </c>
      <c r="L6073">
        <v>-62.227020000000003</v>
      </c>
      <c r="M6073">
        <v>0.99894910000000003</v>
      </c>
      <c r="N6073">
        <v>-3.0281180000000002E-3</v>
      </c>
      <c r="O6073">
        <v>-4.5734549999999999E-2</v>
      </c>
      <c r="P6073">
        <v>0.9989905</v>
      </c>
      <c r="Q6073">
        <v>-4.3986749999999998E-2</v>
      </c>
      <c r="R6073">
        <v>9.1345590000000004E-3</v>
      </c>
      <c r="S6073">
        <v>2.9966740000000001</v>
      </c>
      <c r="T6073">
        <v>-0.1231447</v>
      </c>
      <c r="U6073">
        <v>0.1010437</v>
      </c>
      <c r="V6073">
        <v>-5.4792050000000002E-2</v>
      </c>
      <c r="W6073">
        <v>-4.0994969999999999E-2</v>
      </c>
      <c r="X6073">
        <v>0.99765590000000004</v>
      </c>
      <c r="Y6073">
        <v>-7.9268140000000001E-2</v>
      </c>
      <c r="Z6073">
        <v>3.4872169999999999E-3</v>
      </c>
      <c r="AA6073">
        <v>0.99684720000000004</v>
      </c>
      <c r="AB6073">
        <v>37</v>
      </c>
      <c r="AC6073">
        <v>26.746099999999899</v>
      </c>
      <c r="AD6073">
        <v>-1.1079311428700001</v>
      </c>
      <c r="AE6073">
        <v>0.91881999999999597</v>
      </c>
      <c r="AF6073">
        <v>-2.13742155953851</v>
      </c>
      <c r="AG6073">
        <v>-1.1079311428700001</v>
      </c>
      <c r="AH6073">
        <v>26.6304487166028</v>
      </c>
      <c r="AI6073">
        <v>92.374727335230403</v>
      </c>
      <c r="AJ6073">
        <v>94.588855118537893</v>
      </c>
      <c r="AK6073">
        <v>26.739051613476001</v>
      </c>
      <c r="AL6073">
        <v>92.349497105104206</v>
      </c>
      <c r="AM6073">
        <v>93.143571358389707</v>
      </c>
      <c r="AN6073">
        <v>1.0000000255566499</v>
      </c>
    </row>
    <row r="6074" spans="1:40" x14ac:dyDescent="0.25">
      <c r="A6074" t="str">
        <f>"20190305135352744"</f>
        <v>20190305135352744</v>
      </c>
      <c r="B6074" t="str">
        <f>"1551765232736032"</f>
        <v>1551765232736032</v>
      </c>
      <c r="C6074" t="s">
        <v>40</v>
      </c>
      <c r="D6074">
        <v>4.525258</v>
      </c>
      <c r="E6074">
        <v>0.49011880000000002</v>
      </c>
      <c r="F6074" t="s">
        <v>94</v>
      </c>
      <c r="G6074">
        <v>-216.62799999999999</v>
      </c>
      <c r="H6074" s="1">
        <v>-2.0521580000000001E-6</v>
      </c>
      <c r="I6074">
        <v>-61.284719999999901</v>
      </c>
      <c r="J6074">
        <v>-243.3466</v>
      </c>
      <c r="K6074">
        <v>1.1079810000000001</v>
      </c>
      <c r="L6074">
        <v>-62.237119999999997</v>
      </c>
      <c r="M6074">
        <v>0.99895880000000004</v>
      </c>
      <c r="N6074">
        <v>-3.1402140000000001E-3</v>
      </c>
      <c r="O6074">
        <v>-4.5514649999999997E-2</v>
      </c>
      <c r="P6074">
        <v>0.99900460000000002</v>
      </c>
      <c r="Q6074">
        <v>-4.3642130000000001E-2</v>
      </c>
      <c r="R6074">
        <v>9.2553070000000008E-3</v>
      </c>
      <c r="S6074">
        <v>2.9966430000000002</v>
      </c>
      <c r="T6074">
        <v>-0.12322569999999999</v>
      </c>
      <c r="U6074">
        <v>0.1047974</v>
      </c>
      <c r="V6074">
        <v>-5.469077E-2</v>
      </c>
      <c r="W6074">
        <v>-4.054261E-2</v>
      </c>
      <c r="X6074">
        <v>0.99767989999999995</v>
      </c>
      <c r="Y6074">
        <v>-8.0295309999999995E-2</v>
      </c>
      <c r="Z6074">
        <v>3.5031979999999999E-3</v>
      </c>
      <c r="AA6074">
        <v>0.99676500000000001</v>
      </c>
      <c r="AB6074">
        <v>37</v>
      </c>
      <c r="AC6074">
        <v>26.718599999999999</v>
      </c>
      <c r="AD6074">
        <v>-1.1079830521580001</v>
      </c>
      <c r="AE6074">
        <v>0.95240000000000402</v>
      </c>
      <c r="AF6074">
        <v>-2.1637904065040798</v>
      </c>
      <c r="AG6074">
        <v>-1.1079830521580001</v>
      </c>
      <c r="AH6074">
        <v>26.601874382537599</v>
      </c>
      <c r="AI6074">
        <v>92.377181084401002</v>
      </c>
      <c r="AJ6074">
        <v>94.650188232980796</v>
      </c>
      <c r="AK6074">
        <v>26.7127186192543</v>
      </c>
      <c r="AL6074">
        <v>92.323557318950506</v>
      </c>
      <c r="AM6074">
        <v>93.137696935875994</v>
      </c>
      <c r="AN6074">
        <v>0.99999998320640704</v>
      </c>
    </row>
    <row r="6075" spans="1:40" x14ac:dyDescent="0.25">
      <c r="A6075" t="str">
        <f>"20190305135352758"</f>
        <v>20190305135352758</v>
      </c>
      <c r="B6075" t="str">
        <f>"1551765232745792"</f>
        <v>1551765232745792</v>
      </c>
      <c r="C6075" t="s">
        <v>40</v>
      </c>
      <c r="D6075">
        <v>4.5171419999999998</v>
      </c>
      <c r="E6075">
        <v>0.4899406</v>
      </c>
      <c r="F6075" t="s">
        <v>94</v>
      </c>
      <c r="G6075">
        <v>-216.1181</v>
      </c>
      <c r="H6075" s="1">
        <v>-1.8285749999999999E-6</v>
      </c>
      <c r="I6075">
        <v>-61.266550000000002</v>
      </c>
      <c r="J6075">
        <v>-243.12880000000001</v>
      </c>
      <c r="K6075">
        <v>1.108061</v>
      </c>
      <c r="L6075">
        <v>-62.24689</v>
      </c>
      <c r="M6075">
        <v>0.99896949999999995</v>
      </c>
      <c r="N6075">
        <v>-3.31686E-3</v>
      </c>
      <c r="O6075">
        <v>-4.5269070000000002E-2</v>
      </c>
      <c r="P6075">
        <v>0.9990019</v>
      </c>
      <c r="Q6075">
        <v>-4.3642689999999998E-2</v>
      </c>
      <c r="R6075">
        <v>9.5372440000000003E-3</v>
      </c>
      <c r="S6075">
        <v>2.9966889999999999</v>
      </c>
      <c r="T6075">
        <v>-0.1219413</v>
      </c>
      <c r="U6075">
        <v>0.1068115</v>
      </c>
      <c r="V6075">
        <v>-5.4723500000000001E-2</v>
      </c>
      <c r="W6075">
        <v>-4.0371530000000003E-2</v>
      </c>
      <c r="X6075">
        <v>0.99768509999999999</v>
      </c>
      <c r="Y6075">
        <v>-8.0720879999999995E-2</v>
      </c>
      <c r="Z6075">
        <v>3.465709E-3</v>
      </c>
      <c r="AA6075">
        <v>0.99673069999999997</v>
      </c>
      <c r="AB6075">
        <v>37</v>
      </c>
      <c r="AC6075">
        <v>27.0107</v>
      </c>
      <c r="AD6075">
        <v>-1.108062828575</v>
      </c>
      <c r="AE6075">
        <v>0.98033999999999799</v>
      </c>
      <c r="AF6075">
        <v>-2.19839595110242</v>
      </c>
      <c r="AG6075">
        <v>-1.108062828575</v>
      </c>
      <c r="AH6075">
        <v>26.893430546845501</v>
      </c>
      <c r="AI6075">
        <v>92.351530821326904</v>
      </c>
      <c r="AJ6075">
        <v>94.673236773287101</v>
      </c>
      <c r="AK6075">
        <v>27.005876296982098</v>
      </c>
      <c r="AL6075">
        <v>92.3137469927604</v>
      </c>
      <c r="AM6075">
        <v>93.139554621999096</v>
      </c>
      <c r="AN6075">
        <v>1.00000004032439</v>
      </c>
    </row>
    <row r="6076" spans="1:40" x14ac:dyDescent="0.25">
      <c r="A6076" t="str">
        <f>"20190305135352770"</f>
        <v>20190305135352770</v>
      </c>
      <c r="B6076" t="str">
        <f>"1551765232766289"</f>
        <v>1551765232766289</v>
      </c>
      <c r="C6076" t="s">
        <v>40</v>
      </c>
      <c r="D6076">
        <v>4.5063639999999996</v>
      </c>
      <c r="E6076">
        <v>0.4895872</v>
      </c>
      <c r="F6076" t="s">
        <v>94</v>
      </c>
      <c r="G6076">
        <v>-215.8381</v>
      </c>
      <c r="H6076" s="1">
        <v>-1.705009E-6</v>
      </c>
      <c r="I6076">
        <v>-61.253520000000002</v>
      </c>
      <c r="J6076">
        <v>-242.9409</v>
      </c>
      <c r="K6076">
        <v>1.108134</v>
      </c>
      <c r="L6076">
        <v>-62.255249999999997</v>
      </c>
      <c r="M6076">
        <v>0.99897899999999995</v>
      </c>
      <c r="N6076">
        <v>-3.5050749999999999E-3</v>
      </c>
      <c r="O6076">
        <v>-4.5042939999999997E-2</v>
      </c>
      <c r="P6076">
        <v>0.99898920000000002</v>
      </c>
      <c r="Q6076">
        <v>-4.3889900000000003E-2</v>
      </c>
      <c r="R6076">
        <v>9.7360480000000006E-3</v>
      </c>
      <c r="S6076">
        <v>2.996658</v>
      </c>
      <c r="T6076">
        <v>-0.121671</v>
      </c>
      <c r="U6076">
        <v>0.10906979999999999</v>
      </c>
      <c r="V6076">
        <v>-5.4693390000000001E-2</v>
      </c>
      <c r="W6076">
        <v>-4.0435289999999999E-2</v>
      </c>
      <c r="X6076">
        <v>0.99768409999999996</v>
      </c>
      <c r="Y6076">
        <v>-8.1245949999999997E-2</v>
      </c>
      <c r="Z6076">
        <v>3.460276E-3</v>
      </c>
      <c r="AA6076">
        <v>0.99668809999999997</v>
      </c>
      <c r="AB6076">
        <v>37</v>
      </c>
      <c r="AC6076">
        <v>27.102799999999998</v>
      </c>
      <c r="AD6076">
        <v>-1.1081357050089999</v>
      </c>
      <c r="AE6076">
        <v>1.00173</v>
      </c>
      <c r="AF6076">
        <v>-2.2178080128986899</v>
      </c>
      <c r="AG6076">
        <v>-1.1081357050089999</v>
      </c>
      <c r="AH6076">
        <v>26.985121183026401</v>
      </c>
      <c r="AI6076">
        <v>92.343619451379695</v>
      </c>
      <c r="AJ6076">
        <v>94.698370173506007</v>
      </c>
      <c r="AK6076">
        <v>27.098771233866199</v>
      </c>
      <c r="AL6076">
        <v>92.317403316564494</v>
      </c>
      <c r="AM6076">
        <v>93.137833765945004</v>
      </c>
      <c r="AN6076">
        <v>0.99999997148994202</v>
      </c>
    </row>
    <row r="6077" spans="1:40" x14ac:dyDescent="0.25">
      <c r="A6077" t="str">
        <f>"20190305135352780"</f>
        <v>20190305135352780</v>
      </c>
      <c r="B6077" t="str">
        <f>"1551765232776049"</f>
        <v>1551765232776049</v>
      </c>
      <c r="C6077" t="s">
        <v>40</v>
      </c>
      <c r="D6077">
        <v>4.4734639999999999</v>
      </c>
      <c r="E6077">
        <v>0.48940620000000001</v>
      </c>
      <c r="F6077" t="s">
        <v>94</v>
      </c>
      <c r="G6077">
        <v>-215.74199999999999</v>
      </c>
      <c r="H6077" s="1">
        <v>-1.6586369999999901E-6</v>
      </c>
      <c r="I6077">
        <v>-61.234180000000002</v>
      </c>
      <c r="J6077">
        <v>-242.745</v>
      </c>
      <c r="K6077">
        <v>1.1082289999999999</v>
      </c>
      <c r="L6077">
        <v>-62.263890000000004</v>
      </c>
      <c r="M6077">
        <v>0.99898960000000003</v>
      </c>
      <c r="N6077">
        <v>-3.7647869999999999E-3</v>
      </c>
      <c r="O6077">
        <v>-4.4782570000000001E-2</v>
      </c>
      <c r="P6077">
        <v>0.99898569999999998</v>
      </c>
      <c r="Q6077">
        <v>-4.3940710000000001E-2</v>
      </c>
      <c r="R6077">
        <v>9.8378630000000005E-3</v>
      </c>
      <c r="S6077">
        <v>2.9965820000000001</v>
      </c>
      <c r="T6077">
        <v>-0.1220865</v>
      </c>
      <c r="U6077">
        <v>0.1124878</v>
      </c>
      <c r="V6077">
        <v>-5.4531129999999997E-2</v>
      </c>
      <c r="W6077">
        <v>-4.0231950000000002E-2</v>
      </c>
      <c r="X6077">
        <v>0.99770119999999896</v>
      </c>
      <c r="Y6077">
        <v>-8.2121100000000002E-2</v>
      </c>
      <c r="Z6077">
        <v>3.4808880000000001E-3</v>
      </c>
      <c r="AA6077">
        <v>0.99661630000000001</v>
      </c>
      <c r="AB6077">
        <v>37</v>
      </c>
      <c r="AC6077">
        <v>27.002999999999901</v>
      </c>
      <c r="AD6077">
        <v>-1.1082306586370001</v>
      </c>
      <c r="AE6077">
        <v>1.0297099999999999</v>
      </c>
      <c r="AF6077">
        <v>-2.23419159015108</v>
      </c>
      <c r="AG6077">
        <v>-1.1082306586370001</v>
      </c>
      <c r="AH6077">
        <v>26.884577966645001</v>
      </c>
      <c r="AI6077">
        <v>92.352398828309404</v>
      </c>
      <c r="AJ6077">
        <v>94.750540634951506</v>
      </c>
      <c r="AK6077">
        <v>27.000005920348599</v>
      </c>
      <c r="AL6077">
        <v>92.305743309544098</v>
      </c>
      <c r="AM6077">
        <v>93.128489695338899</v>
      </c>
      <c r="AN6077">
        <v>0.99999996921065903</v>
      </c>
    </row>
    <row r="6078" spans="1:40" x14ac:dyDescent="0.25">
      <c r="A6078" t="str">
        <f>"20190305135352792"</f>
        <v>20190305135352792</v>
      </c>
      <c r="B6078" t="str">
        <f>"1551765232785808"</f>
        <v>1551765232785808</v>
      </c>
      <c r="C6078" t="s">
        <v>40</v>
      </c>
      <c r="D6078">
        <v>4.4854890000000003</v>
      </c>
      <c r="E6078">
        <v>0.48927409999999999</v>
      </c>
      <c r="F6078" t="s">
        <v>94</v>
      </c>
      <c r="G6078">
        <v>-215.63399999999999</v>
      </c>
      <c r="H6078" s="1">
        <v>-1.6112929999999999E-6</v>
      </c>
      <c r="I6078">
        <v>-61.230359999999997</v>
      </c>
      <c r="J6078">
        <v>-242.55670000000001</v>
      </c>
      <c r="K6078">
        <v>1.1083350000000001</v>
      </c>
      <c r="L6078">
        <v>-62.272129999999997</v>
      </c>
      <c r="M6078">
        <v>0.99900080000000002</v>
      </c>
      <c r="N6078">
        <v>-4.0812330000000001E-3</v>
      </c>
      <c r="O6078">
        <v>-4.4506539999999997E-2</v>
      </c>
      <c r="P6078">
        <v>0.99897089999999999</v>
      </c>
      <c r="Q6078">
        <v>-4.427238E-2</v>
      </c>
      <c r="R6078">
        <v>9.8607199999999999E-3</v>
      </c>
      <c r="S6078">
        <v>2.9965359999999999</v>
      </c>
      <c r="T6078">
        <v>-0.1224909</v>
      </c>
      <c r="U6078">
        <v>0.1142273</v>
      </c>
      <c r="V6078">
        <v>-5.4273229999999999E-2</v>
      </c>
      <c r="W6078">
        <v>-4.0253089999999998E-2</v>
      </c>
      <c r="X6078">
        <v>0.99771449999999995</v>
      </c>
      <c r="Y6078">
        <v>-8.2423270000000007E-2</v>
      </c>
      <c r="Z6078">
        <v>3.487965E-3</v>
      </c>
      <c r="AA6078">
        <v>0.99659129999999996</v>
      </c>
      <c r="AB6078">
        <v>37</v>
      </c>
      <c r="AC6078">
        <v>26.922699999999899</v>
      </c>
      <c r="AD6078">
        <v>-1.108336611293</v>
      </c>
      <c r="AE6078">
        <v>1.0417700000000001</v>
      </c>
      <c r="AF6078">
        <v>-2.23520138894883</v>
      </c>
      <c r="AG6078">
        <v>-1.108336611293</v>
      </c>
      <c r="AH6078">
        <v>26.804296984966399</v>
      </c>
      <c r="AI6078">
        <v>92.359605975740095</v>
      </c>
      <c r="AJ6078">
        <v>94.766847074333</v>
      </c>
      <c r="AK6078">
        <v>26.920157357477901</v>
      </c>
      <c r="AL6078">
        <v>92.306955316773596</v>
      </c>
      <c r="AM6078">
        <v>93.113681546683097</v>
      </c>
      <c r="AN6078">
        <v>1.00000005912971</v>
      </c>
    </row>
    <row r="6079" spans="1:40" x14ac:dyDescent="0.25">
      <c r="A6079" t="str">
        <f>"20190305135352803"</f>
        <v>20190305135352803</v>
      </c>
      <c r="B6079" t="str">
        <f>"1551765232795570"</f>
        <v>1551765232795570</v>
      </c>
      <c r="C6079" t="s">
        <v>40</v>
      </c>
      <c r="D6079">
        <v>4.4847299999999999</v>
      </c>
      <c r="E6079">
        <v>0.48913620000000002</v>
      </c>
      <c r="F6079" t="s">
        <v>94</v>
      </c>
      <c r="G6079">
        <v>-215.59649999999999</v>
      </c>
      <c r="H6079" s="1">
        <v>-1.5962169999999999E-6</v>
      </c>
      <c r="I6079">
        <v>-61.234169999999999</v>
      </c>
      <c r="J6079">
        <v>-242.36859999999999</v>
      </c>
      <c r="K6079">
        <v>1.108452</v>
      </c>
      <c r="L6079">
        <v>-62.280329999999999</v>
      </c>
      <c r="M6079">
        <v>0.99901220000000002</v>
      </c>
      <c r="N6079">
        <v>-4.4360349999999996E-3</v>
      </c>
      <c r="O6079">
        <v>-4.4215570000000003E-2</v>
      </c>
      <c r="P6079">
        <v>0.9989557</v>
      </c>
      <c r="Q6079">
        <v>-4.4643160000000001E-2</v>
      </c>
      <c r="R6079">
        <v>9.7261540000000007E-3</v>
      </c>
      <c r="S6079">
        <v>2.9964750000000002</v>
      </c>
      <c r="T6079">
        <v>-0.1231854</v>
      </c>
      <c r="U6079">
        <v>0.115356399999999</v>
      </c>
      <c r="V6079">
        <v>-5.3843580000000002E-2</v>
      </c>
      <c r="W6079">
        <v>-4.027509E-2</v>
      </c>
      <c r="X6079">
        <v>0.99773679999999998</v>
      </c>
      <c r="Y6079">
        <v>-8.2507709999999998E-2</v>
      </c>
      <c r="Z6079">
        <v>3.4979719999999998E-3</v>
      </c>
      <c r="AA6079">
        <v>0.99658429999999998</v>
      </c>
      <c r="AB6079">
        <v>37</v>
      </c>
      <c r="AC6079">
        <v>26.772099999999899</v>
      </c>
      <c r="AD6079">
        <v>-1.1084535962169999</v>
      </c>
      <c r="AE6079">
        <v>1.04616</v>
      </c>
      <c r="AF6079">
        <v>-2.2250836175218098</v>
      </c>
      <c r="AG6079">
        <v>-1.1084535962169999</v>
      </c>
      <c r="AH6079">
        <v>26.6540381177157</v>
      </c>
      <c r="AI6079">
        <v>92.373125199178006</v>
      </c>
      <c r="AJ6079">
        <v>94.771996655305998</v>
      </c>
      <c r="AK6079">
        <v>26.769710765351402</v>
      </c>
      <c r="AL6079">
        <v>92.308217057253799</v>
      </c>
      <c r="AM6079">
        <v>93.089011337425305</v>
      </c>
      <c r="AN6079">
        <v>0.99999996802798097</v>
      </c>
    </row>
    <row r="6080" spans="1:40" x14ac:dyDescent="0.25">
      <c r="A6080" t="str">
        <f>"20190305135352814"</f>
        <v>20190305135352814</v>
      </c>
      <c r="B6080" t="str">
        <f>"1551765232806305"</f>
        <v>1551765232806305</v>
      </c>
      <c r="C6080" t="s">
        <v>40</v>
      </c>
      <c r="D6080">
        <v>4.6097679999999999</v>
      </c>
      <c r="E6080">
        <v>0.48916320000000002</v>
      </c>
      <c r="F6080" t="s">
        <v>94</v>
      </c>
      <c r="G6080">
        <v>-215.5461</v>
      </c>
      <c r="H6080" s="1">
        <v>-1.576596E-6</v>
      </c>
      <c r="I6080">
        <v>-61.241660000000003</v>
      </c>
      <c r="J6080">
        <v>-242.1908</v>
      </c>
      <c r="K6080">
        <v>1.1085780000000001</v>
      </c>
      <c r="L6080">
        <v>-62.287930000000003</v>
      </c>
      <c r="M6080">
        <v>0.99902380000000002</v>
      </c>
      <c r="N6080">
        <v>-4.8475139999999998E-3</v>
      </c>
      <c r="O6080">
        <v>-4.3909820000000002E-2</v>
      </c>
      <c r="P6080">
        <v>0.99892570000000003</v>
      </c>
      <c r="Q6080">
        <v>-4.5275540000000003E-2</v>
      </c>
      <c r="R6080">
        <v>9.8849699999999999E-3</v>
      </c>
      <c r="S6080">
        <v>2.9964599999999999</v>
      </c>
      <c r="T6080">
        <v>-0.1238303</v>
      </c>
      <c r="U6080">
        <v>0.1160278</v>
      </c>
      <c r="V6080">
        <v>-5.3690849999999998E-2</v>
      </c>
      <c r="W6080">
        <v>-4.0502709999999997E-2</v>
      </c>
      <c r="X6080">
        <v>0.99773590000000001</v>
      </c>
      <c r="Y6080">
        <v>-8.2425100000000001E-2</v>
      </c>
      <c r="Z6080">
        <v>3.5021079999999999E-3</v>
      </c>
      <c r="AA6080">
        <v>0.99659109999999995</v>
      </c>
      <c r="AB6080">
        <v>37</v>
      </c>
      <c r="AC6080">
        <v>26.6447</v>
      </c>
      <c r="AD6080">
        <v>-1.108579576596</v>
      </c>
      <c r="AE6080">
        <v>1.04627</v>
      </c>
      <c r="AF6080">
        <v>-2.21141630231058</v>
      </c>
      <c r="AG6080">
        <v>-1.108579576596</v>
      </c>
      <c r="AH6080">
        <v>26.527208998635501</v>
      </c>
      <c r="AI6080">
        <v>92.384751872447893</v>
      </c>
      <c r="AJ6080">
        <v>94.7653910392429</v>
      </c>
      <c r="AK6080">
        <v>26.642299600392299</v>
      </c>
      <c r="AL6080">
        <v>92.321269179345904</v>
      </c>
      <c r="AM6080">
        <v>93.080268873067098</v>
      </c>
      <c r="AN6080">
        <v>1.0000000515199301</v>
      </c>
    </row>
    <row r="6081" spans="1:40" x14ac:dyDescent="0.25">
      <c r="A6081" t="str">
        <f>"20190305135352824"</f>
        <v>20190305135352824</v>
      </c>
      <c r="B6081" t="str">
        <f>"1551765232816065"</f>
        <v>1551765232816065</v>
      </c>
      <c r="C6081" t="s">
        <v>40</v>
      </c>
      <c r="D6081">
        <v>4.4854989999999999</v>
      </c>
      <c r="E6081">
        <v>0.48901600000000001</v>
      </c>
      <c r="F6081" t="s">
        <v>94</v>
      </c>
      <c r="G6081">
        <v>-216.19139999999999</v>
      </c>
      <c r="H6081" s="1">
        <v>-1.8633410000000001E-6</v>
      </c>
      <c r="I6081">
        <v>-61.278959999999998</v>
      </c>
      <c r="J6081">
        <v>-242.0163</v>
      </c>
      <c r="K6081">
        <v>1.1087070000000001</v>
      </c>
      <c r="L6081">
        <v>-62.295409999999997</v>
      </c>
      <c r="M6081">
        <v>0.99903500000000001</v>
      </c>
      <c r="N6081">
        <v>-5.2638980000000004E-3</v>
      </c>
      <c r="O6081">
        <v>-4.3604230000000001E-2</v>
      </c>
      <c r="P6081">
        <v>0.99888909999999997</v>
      </c>
      <c r="Q6081">
        <v>-4.6063010000000001E-2</v>
      </c>
      <c r="R6081">
        <v>9.9349380000000008E-3</v>
      </c>
      <c r="S6081">
        <v>2.996292</v>
      </c>
      <c r="T6081">
        <v>-0.12775799999999901</v>
      </c>
      <c r="U6081">
        <v>0.116272</v>
      </c>
      <c r="V6081">
        <v>-5.3429299999999999E-2</v>
      </c>
      <c r="W6081">
        <v>-4.0880369999999999E-2</v>
      </c>
      <c r="X6081">
        <v>0.99773449999999997</v>
      </c>
      <c r="Y6081">
        <v>-8.2197060000000002E-2</v>
      </c>
      <c r="Z6081">
        <v>3.5957440000000001E-3</v>
      </c>
      <c r="AA6081">
        <v>0.99660959999999998</v>
      </c>
      <c r="AB6081">
        <v>37</v>
      </c>
      <c r="AC6081">
        <v>25.8249</v>
      </c>
      <c r="AD6081">
        <v>-1.1087088633409901</v>
      </c>
      <c r="AE6081">
        <v>1.0164499999999901</v>
      </c>
      <c r="AF6081">
        <v>-2.1376398387691</v>
      </c>
      <c r="AG6081">
        <v>-1.1087088633409901</v>
      </c>
      <c r="AH6081">
        <v>25.708703305831701</v>
      </c>
      <c r="AI6081">
        <v>92.460915401990903</v>
      </c>
      <c r="AJ6081">
        <v>94.753123780272105</v>
      </c>
      <c r="AK6081">
        <v>25.8212347708475</v>
      </c>
      <c r="AL6081">
        <v>92.342925527956695</v>
      </c>
      <c r="AM6081">
        <v>93.065296607016805</v>
      </c>
      <c r="AN6081">
        <v>1.00000001362003</v>
      </c>
    </row>
    <row r="6082" spans="1:40" x14ac:dyDescent="0.25">
      <c r="A6082" t="str">
        <f>"20190305135352836"</f>
        <v>20190305135352836</v>
      </c>
      <c r="B6082" t="str">
        <f>"1551765232825824"</f>
        <v>1551765232825824</v>
      </c>
      <c r="C6082" t="s">
        <v>40</v>
      </c>
      <c r="D6082">
        <v>4.4461269999999997</v>
      </c>
      <c r="E6082">
        <v>0.4888903</v>
      </c>
      <c r="F6082" t="s">
        <v>94</v>
      </c>
      <c r="G6082">
        <v>-216.4119</v>
      </c>
      <c r="H6082" s="1">
        <v>-1.9609440000000001E-6</v>
      </c>
      <c r="I6082">
        <v>-61.290260000000004</v>
      </c>
      <c r="J6082">
        <v>-241.8278</v>
      </c>
      <c r="K6082">
        <v>1.1088450000000001</v>
      </c>
      <c r="L6082">
        <v>-62.303280000000001</v>
      </c>
      <c r="M6082">
        <v>0.99904899999999996</v>
      </c>
      <c r="N6082">
        <v>-5.7539130000000003E-3</v>
      </c>
      <c r="O6082">
        <v>-4.3223480000000002E-2</v>
      </c>
      <c r="P6082">
        <v>0.99886359999999996</v>
      </c>
      <c r="Q6082">
        <v>-4.6593250000000003E-2</v>
      </c>
      <c r="R6082">
        <v>1.004036E-2</v>
      </c>
      <c r="S6082">
        <v>2.9962010000000001</v>
      </c>
      <c r="T6082">
        <v>-0.1297402</v>
      </c>
      <c r="U6082">
        <v>0.1176147</v>
      </c>
      <c r="V6082">
        <v>-5.3148500000000001E-2</v>
      </c>
      <c r="W6082">
        <v>-4.092788E-2</v>
      </c>
      <c r="X6082">
        <v>0.99774750000000001</v>
      </c>
      <c r="Y6082">
        <v>-8.2261050000000002E-2</v>
      </c>
      <c r="Z6082">
        <v>3.6378729999999998E-3</v>
      </c>
      <c r="AA6082">
        <v>0.99660420000000005</v>
      </c>
      <c r="AB6082">
        <v>37</v>
      </c>
      <c r="AC6082">
        <v>25.415899999999901</v>
      </c>
      <c r="AD6082">
        <v>-1.1088469609439999</v>
      </c>
      <c r="AE6082">
        <v>1.01302000000001</v>
      </c>
      <c r="AF6082">
        <v>-2.10665144582569</v>
      </c>
      <c r="AG6082">
        <v>-1.1088469609439999</v>
      </c>
      <c r="AH6082">
        <v>25.300278871154202</v>
      </c>
      <c r="AI6082">
        <v>92.500878959284407</v>
      </c>
      <c r="AJ6082">
        <v>94.759806818408904</v>
      </c>
      <c r="AK6082">
        <v>25.412037164602999</v>
      </c>
      <c r="AL6082">
        <v>92.345650046779198</v>
      </c>
      <c r="AM6082">
        <v>93.049177634424495</v>
      </c>
      <c r="AN6082">
        <v>0.999999964084896</v>
      </c>
    </row>
    <row r="6083" spans="1:40" x14ac:dyDescent="0.25">
      <c r="A6083" t="str">
        <f>"20190305135352847"</f>
        <v>20190305135352847</v>
      </c>
      <c r="B6083" t="str">
        <f>"1551765232835585"</f>
        <v>1551765232835585</v>
      </c>
      <c r="C6083" t="s">
        <v>40</v>
      </c>
      <c r="D6083">
        <v>4.6162449999999904</v>
      </c>
      <c r="E6083">
        <v>0.48892590000000002</v>
      </c>
      <c r="F6083" t="s">
        <v>94</v>
      </c>
      <c r="G6083">
        <v>-216.46680000000001</v>
      </c>
      <c r="H6083" s="1">
        <v>-1.9861560000000002E-6</v>
      </c>
      <c r="I6083">
        <v>-61.296550000000003</v>
      </c>
      <c r="J6083">
        <v>-241.6454</v>
      </c>
      <c r="K6083">
        <v>1.108976</v>
      </c>
      <c r="L6083">
        <v>-62.310879999999997</v>
      </c>
      <c r="M6083">
        <v>0.99906240000000002</v>
      </c>
      <c r="N6083">
        <v>-6.228351E-3</v>
      </c>
      <c r="O6083">
        <v>-4.2842760000000001E-2</v>
      </c>
      <c r="P6083">
        <v>0.99882760000000004</v>
      </c>
      <c r="Q6083">
        <v>-4.7261169999999998E-2</v>
      </c>
      <c r="R6083">
        <v>1.048032E-2</v>
      </c>
      <c r="S6083">
        <v>2.9961090000000001</v>
      </c>
      <c r="T6083">
        <v>-0.13099749999999999</v>
      </c>
      <c r="U6083">
        <v>0.118927</v>
      </c>
      <c r="V6083">
        <v>-5.3201350000000001E-2</v>
      </c>
      <c r="W6083">
        <v>-4.1129100000000002E-2</v>
      </c>
      <c r="X6083">
        <v>0.99773650000000003</v>
      </c>
      <c r="Y6083">
        <v>-8.2316219999999996E-2</v>
      </c>
      <c r="Z6083">
        <v>3.6594610000000001E-3</v>
      </c>
      <c r="AA6083">
        <v>0.99659960000000003</v>
      </c>
      <c r="AB6083">
        <v>37</v>
      </c>
      <c r="AC6083">
        <v>25.1785999999999</v>
      </c>
      <c r="AD6083">
        <v>-1.1089779861560001</v>
      </c>
      <c r="AE6083">
        <v>1.01433</v>
      </c>
      <c r="AF6083">
        <v>-2.0880961231438202</v>
      </c>
      <c r="AG6083">
        <v>-1.1089779861560001</v>
      </c>
      <c r="AH6083">
        <v>25.063481020126599</v>
      </c>
      <c r="AI6083">
        <v>92.524764893511403</v>
      </c>
      <c r="AJ6083">
        <v>94.762444591066995</v>
      </c>
      <c r="AK6083">
        <v>25.174750414641899</v>
      </c>
      <c r="AL6083">
        <v>92.3571886055242</v>
      </c>
      <c r="AM6083">
        <v>93.052237543481596</v>
      </c>
      <c r="AN6083">
        <v>1.00000005497043</v>
      </c>
    </row>
    <row r="6084" spans="1:40" x14ac:dyDescent="0.25">
      <c r="A6084" t="str">
        <f>"20190305135352858"</f>
        <v>20190305135352858</v>
      </c>
      <c r="B6084" t="str">
        <f>"1551765232846321"</f>
        <v>1551765232846321</v>
      </c>
      <c r="C6084" t="s">
        <v>40</v>
      </c>
      <c r="D6084">
        <v>4.4826750000000004</v>
      </c>
      <c r="E6084">
        <v>0.48879549999999999</v>
      </c>
      <c r="F6084" t="s">
        <v>94</v>
      </c>
      <c r="G6084">
        <v>-216.70750000000001</v>
      </c>
      <c r="H6084" s="1">
        <v>-2.0936580000000001E-6</v>
      </c>
      <c r="I6084">
        <v>-61.312510000000003</v>
      </c>
      <c r="J6084">
        <v>-241.459</v>
      </c>
      <c r="K6084">
        <v>1.109108</v>
      </c>
      <c r="L6084">
        <v>-62.318480000000001</v>
      </c>
      <c r="M6084">
        <v>0.99907800000000002</v>
      </c>
      <c r="N6084">
        <v>-6.7096200000000003E-3</v>
      </c>
      <c r="O6084">
        <v>-4.2403669999999997E-2</v>
      </c>
      <c r="P6084">
        <v>0.99877119999999997</v>
      </c>
      <c r="Q6084">
        <v>-4.8298889999999997E-2</v>
      </c>
      <c r="R6084">
        <v>1.109746E-2</v>
      </c>
      <c r="S6084">
        <v>2.9959720000000001</v>
      </c>
      <c r="T6084">
        <v>-0.13322929999999999</v>
      </c>
      <c r="U6084">
        <v>0.1199341</v>
      </c>
      <c r="V6084">
        <v>-5.3370889999999997E-2</v>
      </c>
      <c r="W6084">
        <v>-4.1694210000000002E-2</v>
      </c>
      <c r="X6084">
        <v>0.99770389999999998</v>
      </c>
      <c r="Y6084">
        <v>-8.221088E-2</v>
      </c>
      <c r="Z6084">
        <v>3.7020489999999998E-3</v>
      </c>
      <c r="AA6084">
        <v>0.9966081</v>
      </c>
      <c r="AB6084">
        <v>37</v>
      </c>
      <c r="AC6084">
        <v>24.7515</v>
      </c>
      <c r="AD6084">
        <v>-1.1091100936579901</v>
      </c>
      <c r="AE6084">
        <v>1.00597000000001</v>
      </c>
      <c r="AF6084">
        <v>-2.0505327300119198</v>
      </c>
      <c r="AG6084">
        <v>-1.1091100936579901</v>
      </c>
      <c r="AH6084">
        <v>24.637190810799002</v>
      </c>
      <c r="AI6084">
        <v>92.568715357298203</v>
      </c>
      <c r="AJ6084">
        <v>94.757714189387897</v>
      </c>
      <c r="AK6084">
        <v>24.747241881155599</v>
      </c>
      <c r="AL6084">
        <v>92.389595034952805</v>
      </c>
      <c r="AM6084">
        <v>93.062045675049603</v>
      </c>
      <c r="AN6084">
        <v>0.99999996556106197</v>
      </c>
    </row>
    <row r="6085" spans="1:40" x14ac:dyDescent="0.25">
      <c r="A6085" t="str">
        <f>"20190305135352869"</f>
        <v>20190305135352869</v>
      </c>
      <c r="B6085" t="str">
        <f>"1551765232865841"</f>
        <v>1551765232865841</v>
      </c>
      <c r="C6085" t="s">
        <v>40</v>
      </c>
      <c r="D6085">
        <v>4.4567209999999999</v>
      </c>
      <c r="E6085">
        <v>0.48856620000000001</v>
      </c>
      <c r="F6085" t="s">
        <v>94</v>
      </c>
      <c r="G6085">
        <v>-217.09059999999999</v>
      </c>
      <c r="H6085" s="1">
        <v>-2.259742E-6</v>
      </c>
      <c r="I6085">
        <v>-61.318989999999999</v>
      </c>
      <c r="J6085">
        <v>-241.27440000000001</v>
      </c>
      <c r="K6085">
        <v>1.1092299999999999</v>
      </c>
      <c r="L6085">
        <v>-62.325989999999997</v>
      </c>
      <c r="M6085">
        <v>0.99909420000000004</v>
      </c>
      <c r="N6085">
        <v>-7.1762170000000004E-3</v>
      </c>
      <c r="O6085">
        <v>-4.1946009999999999E-2</v>
      </c>
      <c r="P6085">
        <v>0.99871540000000003</v>
      </c>
      <c r="Q6085">
        <v>-4.9312149999999999E-2</v>
      </c>
      <c r="R6085">
        <v>1.168044E-2</v>
      </c>
      <c r="S6085">
        <v>2.9957120000000002</v>
      </c>
      <c r="T6085">
        <v>-0.13634739999999901</v>
      </c>
      <c r="U6085">
        <v>0.1228638</v>
      </c>
      <c r="V6085">
        <v>-5.3488109999999998E-2</v>
      </c>
      <c r="W6085">
        <v>-4.2249519999999999E-2</v>
      </c>
      <c r="X6085">
        <v>0.99767430000000001</v>
      </c>
      <c r="Y6085">
        <v>-8.272475E-2</v>
      </c>
      <c r="Z6085">
        <v>3.7845209999999999E-3</v>
      </c>
      <c r="AA6085">
        <v>0.99656520000000004</v>
      </c>
      <c r="AB6085">
        <v>37</v>
      </c>
      <c r="AC6085">
        <v>24.183800000000002</v>
      </c>
      <c r="AD6085">
        <v>-1.1092322597419999</v>
      </c>
      <c r="AE6085">
        <v>1.0069999999999999</v>
      </c>
      <c r="AF6085">
        <v>-2.0163191091609698</v>
      </c>
      <c r="AG6085">
        <v>-1.1092322597419999</v>
      </c>
      <c r="AH6085">
        <v>24.0697242725631</v>
      </c>
      <c r="AI6085">
        <v>92.629362703848699</v>
      </c>
      <c r="AJ6085">
        <v>94.788483400132506</v>
      </c>
      <c r="AK6085">
        <v>24.179486460907999</v>
      </c>
      <c r="AL6085">
        <v>92.421439923785101</v>
      </c>
      <c r="AM6085">
        <v>93.068848965541306</v>
      </c>
      <c r="AN6085">
        <v>1.00000000436604</v>
      </c>
    </row>
    <row r="6086" spans="1:40" x14ac:dyDescent="0.25">
      <c r="A6086" t="str">
        <f>"20190305135352881"</f>
        <v>20190305135352881</v>
      </c>
      <c r="B6086" t="str">
        <f>"1551765232875600"</f>
        <v>1551765232875600</v>
      </c>
      <c r="C6086" t="s">
        <v>40</v>
      </c>
      <c r="D6086">
        <v>4.4705110000000001</v>
      </c>
      <c r="E6086">
        <v>0.48846610000000001</v>
      </c>
      <c r="F6086" t="s">
        <v>94</v>
      </c>
      <c r="G6086">
        <v>-217.44319999999999</v>
      </c>
      <c r="H6086" s="1">
        <v>-2.411365E-6</v>
      </c>
      <c r="I6086">
        <v>-61.320300000000003</v>
      </c>
      <c r="J6086">
        <v>-241.0821</v>
      </c>
      <c r="K6086">
        <v>1.1093489999999999</v>
      </c>
      <c r="L6086">
        <v>-62.333620000000003</v>
      </c>
      <c r="M6086">
        <v>0.99911209999999995</v>
      </c>
      <c r="N6086">
        <v>-7.6453409999999999E-3</v>
      </c>
      <c r="O6086">
        <v>-4.1433310000000001E-2</v>
      </c>
      <c r="P6086">
        <v>0.99867269999999997</v>
      </c>
      <c r="Q6086">
        <v>-4.996689E-2</v>
      </c>
      <c r="R6086">
        <v>1.2492039999999999E-2</v>
      </c>
      <c r="S6086">
        <v>2.9954830000000001</v>
      </c>
      <c r="T6086">
        <v>-0.1394262</v>
      </c>
      <c r="U6086">
        <v>0.12640380000000001</v>
      </c>
      <c r="V6086">
        <v>-5.3778800000000002E-2</v>
      </c>
      <c r="W6086">
        <v>-4.2444660000000002E-2</v>
      </c>
      <c r="X6086">
        <v>0.99765040000000005</v>
      </c>
      <c r="Y6086">
        <v>-8.3385829999999994E-2</v>
      </c>
      <c r="Z6086">
        <v>3.8679589999999998E-3</v>
      </c>
      <c r="AA6086">
        <v>0.99650989999999995</v>
      </c>
      <c r="AB6086">
        <v>37</v>
      </c>
      <c r="AC6086">
        <v>23.6389</v>
      </c>
      <c r="AD6086">
        <v>-1.10935141136499</v>
      </c>
      <c r="AE6086">
        <v>1.01331999999999</v>
      </c>
      <c r="AF6086">
        <v>-1.98754698322851</v>
      </c>
      <c r="AG6086">
        <v>-1.10935141136499</v>
      </c>
      <c r="AH6086">
        <v>23.524898275322499</v>
      </c>
      <c r="AI6086">
        <v>92.690296744179406</v>
      </c>
      <c r="AJ6086">
        <v>94.829277108744407</v>
      </c>
      <c r="AK6086">
        <v>23.634759199719198</v>
      </c>
      <c r="AL6086">
        <v>92.432630635907401</v>
      </c>
      <c r="AM6086">
        <v>93.085568768702302</v>
      </c>
      <c r="AN6086">
        <v>1.0000000145560499</v>
      </c>
    </row>
    <row r="6087" spans="1:40" x14ac:dyDescent="0.25">
      <c r="A6087" t="str">
        <f>"20190305135352893"</f>
        <v>20190305135352893</v>
      </c>
      <c r="B6087" t="str">
        <f>"1551765232886336"</f>
        <v>1551765232886336</v>
      </c>
      <c r="C6087" t="s">
        <v>40</v>
      </c>
      <c r="D6087">
        <v>4.4821439999999999</v>
      </c>
      <c r="E6087">
        <v>0.48835190000000001</v>
      </c>
      <c r="F6087" t="s">
        <v>94</v>
      </c>
      <c r="G6087">
        <v>-217.56190000000001</v>
      </c>
      <c r="H6087" s="1">
        <v>-2.461013E-6</v>
      </c>
      <c r="I6087">
        <v>-61.315579999999997</v>
      </c>
      <c r="J6087">
        <v>-240.89240000000001</v>
      </c>
      <c r="K6087">
        <v>1.109459</v>
      </c>
      <c r="L6087">
        <v>-62.341030000000003</v>
      </c>
      <c r="M6087">
        <v>0.99913099999999999</v>
      </c>
      <c r="N6087">
        <v>-8.0869779999999999E-3</v>
      </c>
      <c r="O6087">
        <v>-4.0889700000000001E-2</v>
      </c>
      <c r="P6087">
        <v>0.99862620000000002</v>
      </c>
      <c r="Q6087">
        <v>-5.0636489999999999E-2</v>
      </c>
      <c r="R6087">
        <v>1.347106E-2</v>
      </c>
      <c r="S6087">
        <v>2.995285</v>
      </c>
      <c r="T6087">
        <v>-0.14127519999999999</v>
      </c>
      <c r="U6087">
        <v>0.1296387</v>
      </c>
      <c r="V6087">
        <v>-5.4205919999999998E-2</v>
      </c>
      <c r="W6087">
        <v>-4.2682680000000001E-2</v>
      </c>
      <c r="X6087">
        <v>0.99761710000000003</v>
      </c>
      <c r="Y6087">
        <v>-8.3916749999999998E-2</v>
      </c>
      <c r="Z6087">
        <v>3.91296E-3</v>
      </c>
      <c r="AA6087">
        <v>0.99646509999999999</v>
      </c>
      <c r="AB6087">
        <v>37</v>
      </c>
      <c r="AC6087">
        <v>23.330500000000001</v>
      </c>
      <c r="AD6087">
        <v>-1.109461461013</v>
      </c>
      <c r="AE6087">
        <v>1.02544999999999</v>
      </c>
      <c r="AF6087">
        <v>-1.9741448970042099</v>
      </c>
      <c r="AG6087">
        <v>-1.109461461013</v>
      </c>
      <c r="AH6087">
        <v>23.2166541513268</v>
      </c>
      <c r="AI6087">
        <v>92.726107187311598</v>
      </c>
      <c r="AJ6087">
        <v>94.860249810098907</v>
      </c>
      <c r="AK6087">
        <v>23.326833964131499</v>
      </c>
      <c r="AL6087">
        <v>92.446280618268105</v>
      </c>
      <c r="AM6087">
        <v>93.110130548299693</v>
      </c>
      <c r="AN6087">
        <v>0.99999998557371905</v>
      </c>
    </row>
    <row r="6088" spans="1:40" x14ac:dyDescent="0.25">
      <c r="A6088" t="str">
        <f>"20190305135352904"</f>
        <v>20190305135352904</v>
      </c>
      <c r="B6088" t="str">
        <f>"1551765232896097"</f>
        <v>1551765232896097</v>
      </c>
      <c r="C6088" t="s">
        <v>40</v>
      </c>
      <c r="D6088">
        <v>4.4587279999999998</v>
      </c>
      <c r="E6088">
        <v>0.48826629999999899</v>
      </c>
      <c r="F6088" t="s">
        <v>94</v>
      </c>
      <c r="G6088">
        <v>-217.70439999999999</v>
      </c>
      <c r="H6088" s="1">
        <v>-2.5199580000000001E-6</v>
      </c>
      <c r="I6088">
        <v>-61.307299999999998</v>
      </c>
      <c r="J6088">
        <v>-240.69479999999999</v>
      </c>
      <c r="K6088">
        <v>1.109572</v>
      </c>
      <c r="L6088">
        <v>-62.348660000000002</v>
      </c>
      <c r="M6088">
        <v>0.99915120000000002</v>
      </c>
      <c r="N6088">
        <v>-8.5350949999999995E-3</v>
      </c>
      <c r="O6088">
        <v>-4.0302020000000001E-2</v>
      </c>
      <c r="P6088">
        <v>0.99858409999999997</v>
      </c>
      <c r="Q6088">
        <v>-5.1262009999999997E-2</v>
      </c>
      <c r="R6088">
        <v>1.422415E-2</v>
      </c>
      <c r="S6088">
        <v>2.9950559999999999</v>
      </c>
      <c r="T6088">
        <v>-0.1433026</v>
      </c>
      <c r="U6088">
        <v>0.13351440000000001</v>
      </c>
      <c r="V6088">
        <v>-5.4363889999999998E-2</v>
      </c>
      <c r="W6088">
        <v>-4.2870030000000003E-2</v>
      </c>
      <c r="X6088">
        <v>0.9976005</v>
      </c>
      <c r="Y6088">
        <v>-8.4616360000000002E-2</v>
      </c>
      <c r="Z6088">
        <v>3.9663060000000002E-3</v>
      </c>
      <c r="AA6088">
        <v>0.99640569999999895</v>
      </c>
      <c r="AB6088">
        <v>37</v>
      </c>
      <c r="AC6088">
        <v>22.990399999999902</v>
      </c>
      <c r="AD6088">
        <v>-1.109574519958</v>
      </c>
      <c r="AE6088">
        <v>1.0413599999999901</v>
      </c>
      <c r="AF6088">
        <v>-1.9625451492317401</v>
      </c>
      <c r="AG6088">
        <v>-1.109574519958</v>
      </c>
      <c r="AH6088">
        <v>22.8765728869549</v>
      </c>
      <c r="AI6088">
        <v>92.766674942241394</v>
      </c>
      <c r="AJ6088">
        <v>94.903309293902694</v>
      </c>
      <c r="AK6088">
        <v>22.987394940059499</v>
      </c>
      <c r="AL6088">
        <v>92.457024745324205</v>
      </c>
      <c r="AM6088">
        <v>93.119228197861304</v>
      </c>
      <c r="AN6088">
        <v>1.0000000148041901</v>
      </c>
    </row>
    <row r="6089" spans="1:40" x14ac:dyDescent="0.25">
      <c r="A6089" t="str">
        <f>"20190305135352916"</f>
        <v>20190305135352916</v>
      </c>
      <c r="B6089" t="str">
        <f>"1551765232906550"</f>
        <v>1551765232906550</v>
      </c>
      <c r="C6089" t="s">
        <v>40</v>
      </c>
      <c r="D6089">
        <v>4.4712820000000004</v>
      </c>
      <c r="E6089">
        <v>0.48818489999999998</v>
      </c>
      <c r="F6089" t="s">
        <v>94</v>
      </c>
      <c r="G6089">
        <v>-217.7816</v>
      </c>
      <c r="H6089" s="1">
        <v>-2.552397E-6</v>
      </c>
      <c r="I6089">
        <v>-61.304699999999997</v>
      </c>
      <c r="J6089">
        <v>-240.51</v>
      </c>
      <c r="K6089">
        <v>1.109672</v>
      </c>
      <c r="L6089">
        <v>-62.355559999999997</v>
      </c>
      <c r="M6089">
        <v>0.99917210000000001</v>
      </c>
      <c r="N6089">
        <v>-8.9235210000000002E-3</v>
      </c>
      <c r="O6089">
        <v>-3.9695359999999999E-2</v>
      </c>
      <c r="P6089">
        <v>0.99854770000000004</v>
      </c>
      <c r="Q6089">
        <v>-5.1732529999999999E-2</v>
      </c>
      <c r="R6089">
        <v>1.5049389999999999E-2</v>
      </c>
      <c r="S6089">
        <v>2.994888</v>
      </c>
      <c r="T6089">
        <v>-0.14502779999999901</v>
      </c>
      <c r="U6089">
        <v>0.13644410000000001</v>
      </c>
      <c r="V6089">
        <v>-5.4574879999999999E-2</v>
      </c>
      <c r="W6089">
        <v>-4.2962019999999997E-2</v>
      </c>
      <c r="X6089">
        <v>0.99758500000000006</v>
      </c>
      <c r="Y6089">
        <v>-8.4983069999999994E-2</v>
      </c>
      <c r="Z6089">
        <v>4.0013490000000004E-3</v>
      </c>
      <c r="AA6089">
        <v>0.99637439999999999</v>
      </c>
      <c r="AB6089">
        <v>37</v>
      </c>
      <c r="AC6089">
        <v>22.728399999999901</v>
      </c>
      <c r="AD6089">
        <v>-1.109674552397</v>
      </c>
      <c r="AE6089">
        <v>1.0508599999999999</v>
      </c>
      <c r="AF6089">
        <v>-1.94764679062433</v>
      </c>
      <c r="AG6089">
        <v>-1.109674552397</v>
      </c>
      <c r="AH6089">
        <v>22.614976215515</v>
      </c>
      <c r="AI6089">
        <v>92.798799986159395</v>
      </c>
      <c r="AJ6089">
        <v>94.922281100482294</v>
      </c>
      <c r="AK6089">
        <v>22.7257971226881</v>
      </c>
      <c r="AL6089">
        <v>92.462300299471096</v>
      </c>
      <c r="AM6089">
        <v>93.131358648662996</v>
      </c>
      <c r="AN6089">
        <v>0.99999999245724702</v>
      </c>
    </row>
    <row r="6090" spans="1:40" x14ac:dyDescent="0.25">
      <c r="A6090" t="str">
        <f>"20190305135352928"</f>
        <v>20190305135352928</v>
      </c>
      <c r="B6090" t="str">
        <f>"1551765232916294"</f>
        <v>1551765232916294</v>
      </c>
      <c r="C6090" t="s">
        <v>40</v>
      </c>
      <c r="D6090">
        <v>4.4548909999999999</v>
      </c>
      <c r="E6090">
        <v>0.48811399999999999</v>
      </c>
      <c r="F6090" t="s">
        <v>94</v>
      </c>
      <c r="G6090">
        <v>-217.78460000000001</v>
      </c>
      <c r="H6090" s="1">
        <v>-2.551415E-6</v>
      </c>
      <c r="I6090">
        <v>-61.296230000000001</v>
      </c>
      <c r="J6090">
        <v>-240.3201</v>
      </c>
      <c r="K6090">
        <v>1.109775</v>
      </c>
      <c r="L6090">
        <v>-62.362580000000001</v>
      </c>
      <c r="M6090">
        <v>0.99919360000000002</v>
      </c>
      <c r="N6090">
        <v>-9.314569E-3</v>
      </c>
      <c r="O6090">
        <v>-3.905666E-2</v>
      </c>
      <c r="P6090">
        <v>0.99851509999999999</v>
      </c>
      <c r="Q6090">
        <v>-5.2082940000000001E-2</v>
      </c>
      <c r="R6090">
        <v>1.5973350000000001E-2</v>
      </c>
      <c r="S6090">
        <v>2.9946899999999999</v>
      </c>
      <c r="T6090">
        <v>-0.14622959999999999</v>
      </c>
      <c r="U6090">
        <v>0.1395874</v>
      </c>
      <c r="V6090">
        <v>-5.4853230000000003E-2</v>
      </c>
      <c r="W6090">
        <v>-4.2931850000000001E-2</v>
      </c>
      <c r="X6090">
        <v>0.99757110000000004</v>
      </c>
      <c r="Y6090">
        <v>-8.5390160000000007E-2</v>
      </c>
      <c r="Z6090">
        <v>4.0222130000000002E-3</v>
      </c>
      <c r="AA6090">
        <v>0.99633950000000004</v>
      </c>
      <c r="AB6090">
        <v>37</v>
      </c>
      <c r="AC6090">
        <v>22.5354999999999</v>
      </c>
      <c r="AD6090">
        <v>-1.1097775514149999</v>
      </c>
      <c r="AE6090">
        <v>1.0663499999999999</v>
      </c>
      <c r="AF6090">
        <v>-1.9410390503318999</v>
      </c>
      <c r="AG6090">
        <v>-1.1097775514149999</v>
      </c>
      <c r="AH6090">
        <v>22.422397936899401</v>
      </c>
      <c r="AI6090">
        <v>92.822953303793</v>
      </c>
      <c r="AJ6090">
        <v>94.947587818130202</v>
      </c>
      <c r="AK6090">
        <v>22.533600867353801</v>
      </c>
      <c r="AL6090">
        <v>92.460569922950398</v>
      </c>
      <c r="AM6090">
        <v>93.147341356350793</v>
      </c>
      <c r="AN6090">
        <v>1.0000000600705301</v>
      </c>
    </row>
    <row r="6091" spans="1:40" x14ac:dyDescent="0.25">
      <c r="A6091" t="str">
        <f>"20190305135352938"</f>
        <v>20190305135352938</v>
      </c>
      <c r="B6091" t="str">
        <f>"1551765232926054"</f>
        <v>1551765232926054</v>
      </c>
      <c r="C6091" t="s">
        <v>40</v>
      </c>
      <c r="D6091">
        <v>4.4538070000000003</v>
      </c>
      <c r="E6091">
        <v>0.48803819999999998</v>
      </c>
      <c r="F6091" t="s">
        <v>94</v>
      </c>
      <c r="G6091">
        <v>-217.7345</v>
      </c>
      <c r="H6091" s="1">
        <v>-2.526803E-6</v>
      </c>
      <c r="I6091">
        <v>-61.284610000000001</v>
      </c>
      <c r="J6091">
        <v>-240.13570000000001</v>
      </c>
      <c r="K6091">
        <v>1.109869</v>
      </c>
      <c r="L6091">
        <v>-62.369199999999999</v>
      </c>
      <c r="M6091">
        <v>0.9992164</v>
      </c>
      <c r="N6091">
        <v>-9.6675330000000007E-3</v>
      </c>
      <c r="O6091">
        <v>-3.8384939999999999E-2</v>
      </c>
      <c r="P6091">
        <v>0.99848749999999997</v>
      </c>
      <c r="Q6091">
        <v>-5.2312350000000001E-2</v>
      </c>
      <c r="R6091">
        <v>1.692335E-2</v>
      </c>
      <c r="S6091">
        <v>2.994507</v>
      </c>
      <c r="T6091">
        <v>-0.14713899999999999</v>
      </c>
      <c r="U6091">
        <v>0.14291379999999901</v>
      </c>
      <c r="V6091">
        <v>-5.5124640000000003E-2</v>
      </c>
      <c r="W6091">
        <v>-4.2818790000000002E-2</v>
      </c>
      <c r="X6091">
        <v>0.99756089999999997</v>
      </c>
      <c r="Y6091">
        <v>-8.5825479999999996E-2</v>
      </c>
      <c r="Z6091">
        <v>4.0347909999999898E-3</v>
      </c>
      <c r="AA6091">
        <v>0.99630200000000002</v>
      </c>
      <c r="AB6091">
        <v>37</v>
      </c>
      <c r="AC6091">
        <v>22.401199999999999</v>
      </c>
      <c r="AD6091">
        <v>-1.1098715268029999</v>
      </c>
      <c r="AE6091">
        <v>1.08458999999999</v>
      </c>
      <c r="AF6091">
        <v>-1.9389509343289599</v>
      </c>
      <c r="AG6091">
        <v>-1.1098715268029999</v>
      </c>
      <c r="AH6091">
        <v>22.288471396536501</v>
      </c>
      <c r="AI6091">
        <v>92.840024059104095</v>
      </c>
      <c r="AJ6091">
        <v>94.971840452527204</v>
      </c>
      <c r="AK6091">
        <v>22.400163006683002</v>
      </c>
      <c r="AL6091">
        <v>92.454086341098304</v>
      </c>
      <c r="AM6091">
        <v>93.162914918728106</v>
      </c>
      <c r="AN6091">
        <v>0.999999961960501</v>
      </c>
    </row>
    <row r="6092" spans="1:40" x14ac:dyDescent="0.25">
      <c r="A6092" t="str">
        <f>"20190305135352949"</f>
        <v>20190305135352949</v>
      </c>
      <c r="B6092" t="str">
        <f>"1551765232935814"</f>
        <v>1551765232935814</v>
      </c>
      <c r="C6092" t="s">
        <v>40</v>
      </c>
      <c r="D6092">
        <v>4.4715530000000001</v>
      </c>
      <c r="E6092">
        <v>0.48798000000000002</v>
      </c>
      <c r="F6092" t="s">
        <v>94</v>
      </c>
      <c r="G6092">
        <v>-217.63829999999999</v>
      </c>
      <c r="H6092" s="1">
        <v>-2.4815989999999999E-6</v>
      </c>
      <c r="I6092">
        <v>-61.2697</v>
      </c>
      <c r="J6092">
        <v>-239.9726</v>
      </c>
      <c r="K6092">
        <v>1.109953</v>
      </c>
      <c r="L6092">
        <v>-62.374940000000002</v>
      </c>
      <c r="M6092">
        <v>0.99923669999999998</v>
      </c>
      <c r="N6092">
        <v>-9.9703239999999992E-3</v>
      </c>
      <c r="O6092">
        <v>-3.7773470000000003E-2</v>
      </c>
      <c r="P6092">
        <v>0.99847129999999995</v>
      </c>
      <c r="Q6092">
        <v>-5.2252670000000001E-2</v>
      </c>
      <c r="R6092">
        <v>1.8033339999999998E-2</v>
      </c>
      <c r="S6092">
        <v>2.9943240000000002</v>
      </c>
      <c r="T6092">
        <v>-0.14772009999999999</v>
      </c>
      <c r="U6092">
        <v>0.14633180000000001</v>
      </c>
      <c r="V6092">
        <v>-5.5618260000000003E-2</v>
      </c>
      <c r="W6092">
        <v>-4.246639E-2</v>
      </c>
      <c r="X6092">
        <v>0.99754860000000001</v>
      </c>
      <c r="Y6092">
        <v>-8.6351730000000002E-2</v>
      </c>
      <c r="Z6092">
        <v>4.0436589999999998E-3</v>
      </c>
      <c r="AA6092">
        <v>0.99625649999999999</v>
      </c>
      <c r="AB6092">
        <v>37</v>
      </c>
      <c r="AC6092">
        <v>22.334299999999999</v>
      </c>
      <c r="AD6092">
        <v>-1.109955481599</v>
      </c>
      <c r="AE6092">
        <v>1.10524</v>
      </c>
      <c r="AF6092">
        <v>-1.94334898475975</v>
      </c>
      <c r="AG6092">
        <v>-1.109955481599</v>
      </c>
      <c r="AH6092">
        <v>22.221858173729601</v>
      </c>
      <c r="AI6092">
        <v>92.848625633953205</v>
      </c>
      <c r="AJ6092">
        <v>94.997923073278102</v>
      </c>
      <c r="AK6092">
        <v>22.3342693442398</v>
      </c>
      <c r="AL6092">
        <v>92.433876838931397</v>
      </c>
      <c r="AM6092">
        <v>93.191218596707003</v>
      </c>
      <c r="AN6092">
        <v>0.99999999724350896</v>
      </c>
    </row>
    <row r="6093" spans="1:40" x14ac:dyDescent="0.25">
      <c r="A6093" t="str">
        <f>"20190305135352959"</f>
        <v>20190305135352959</v>
      </c>
      <c r="B6093" t="str">
        <f>"1551765232956311"</f>
        <v>1551765232956311</v>
      </c>
      <c r="C6093" t="s">
        <v>40</v>
      </c>
      <c r="D6093">
        <v>4.4746139999999999</v>
      </c>
      <c r="E6093">
        <v>0.48802469999999998</v>
      </c>
      <c r="F6093" t="s">
        <v>94</v>
      </c>
      <c r="G6093">
        <v>-217.42099999999999</v>
      </c>
      <c r="H6093" s="1">
        <v>-2.3814679999999999E-6</v>
      </c>
      <c r="I6093">
        <v>-61.243769999999998</v>
      </c>
      <c r="J6093">
        <v>-239.7894</v>
      </c>
      <c r="K6093">
        <v>1.1100399999999999</v>
      </c>
      <c r="L6093">
        <v>-62.381230000000002</v>
      </c>
      <c r="M6093">
        <v>0.9992607</v>
      </c>
      <c r="N6093">
        <v>-1.0288429999999999E-2</v>
      </c>
      <c r="O6093">
        <v>-3.7045290000000002E-2</v>
      </c>
      <c r="P6093">
        <v>0.99844290000000002</v>
      </c>
      <c r="Q6093">
        <v>-5.2417239999999997E-2</v>
      </c>
      <c r="R6093">
        <v>1.9094460000000001E-2</v>
      </c>
      <c r="S6093">
        <v>2.9941710000000001</v>
      </c>
      <c r="T6093">
        <v>-0.14736859999999999</v>
      </c>
      <c r="U6093">
        <v>0.150177</v>
      </c>
      <c r="V6093">
        <v>-5.5944899999999999E-2</v>
      </c>
      <c r="W6093">
        <v>-4.2323609999999998E-2</v>
      </c>
      <c r="X6093">
        <v>0.99753639999999999</v>
      </c>
      <c r="Y6093">
        <v>-8.6904850000000006E-2</v>
      </c>
      <c r="Z6093">
        <v>4.0241779999999998E-3</v>
      </c>
      <c r="AA6093">
        <v>0.99620850000000005</v>
      </c>
      <c r="AB6093">
        <v>37</v>
      </c>
      <c r="AC6093">
        <v>22.368400000000001</v>
      </c>
      <c r="AD6093">
        <v>-1.1100423814679901</v>
      </c>
      <c r="AE6093">
        <v>1.1374599999999999</v>
      </c>
      <c r="AF6093">
        <v>-1.9605510415443299</v>
      </c>
      <c r="AG6093">
        <v>-1.1100423814679901</v>
      </c>
      <c r="AH6093">
        <v>22.256235882274598</v>
      </c>
      <c r="AI6093">
        <v>92.844297338024205</v>
      </c>
      <c r="AJ6093">
        <v>95.034188549996699</v>
      </c>
      <c r="AK6093">
        <v>22.369979662990399</v>
      </c>
      <c r="AL6093">
        <v>92.425688792360106</v>
      </c>
      <c r="AM6093">
        <v>93.209960375441298</v>
      </c>
      <c r="AN6093">
        <v>0.99999999456220101</v>
      </c>
    </row>
    <row r="6094" spans="1:40" x14ac:dyDescent="0.25">
      <c r="A6094" t="str">
        <f>"20190305135352970"</f>
        <v>20190305135352970</v>
      </c>
      <c r="B6094" t="str">
        <f>"1551765232966070"</f>
        <v>1551765232966070</v>
      </c>
      <c r="C6094" t="s">
        <v>40</v>
      </c>
      <c r="D6094">
        <v>4.4648180000000002</v>
      </c>
      <c r="E6094">
        <v>0.48797010000000002</v>
      </c>
      <c r="F6094" t="s">
        <v>94</v>
      </c>
      <c r="G6094">
        <v>-217.3921</v>
      </c>
      <c r="H6094" s="1">
        <v>-2.367133E-6</v>
      </c>
      <c r="I6094">
        <v>-61.236490000000003</v>
      </c>
      <c r="J6094">
        <v>-239.6112</v>
      </c>
      <c r="K6094">
        <v>1.1101209999999999</v>
      </c>
      <c r="L6094">
        <v>-62.387210000000003</v>
      </c>
      <c r="M6094">
        <v>0.99928470000000003</v>
      </c>
      <c r="N6094">
        <v>-1.058304E-2</v>
      </c>
      <c r="O6094">
        <v>-3.6308960000000001E-2</v>
      </c>
      <c r="P6094">
        <v>0.99841539999999995</v>
      </c>
      <c r="Q6094">
        <v>-5.2459169999999999E-2</v>
      </c>
      <c r="R6094">
        <v>2.0372950000000001E-2</v>
      </c>
      <c r="S6094">
        <v>2.9939580000000001</v>
      </c>
      <c r="T6094">
        <v>-0.14838489999999999</v>
      </c>
      <c r="U6094">
        <v>0.15301509999999999</v>
      </c>
      <c r="V6094">
        <v>-5.648106E-2</v>
      </c>
      <c r="W6094">
        <v>-4.2082090000000003E-2</v>
      </c>
      <c r="X6094">
        <v>0.99751639999999997</v>
      </c>
      <c r="Y6094">
        <v>-8.7114330000000004E-2</v>
      </c>
      <c r="Z6094">
        <v>4.031214E-3</v>
      </c>
      <c r="AA6094">
        <v>0.99619020000000003</v>
      </c>
      <c r="AB6094">
        <v>37</v>
      </c>
      <c r="AC6094">
        <v>22.219100000000001</v>
      </c>
      <c r="AD6094">
        <v>-1.110123367133</v>
      </c>
      <c r="AE6094">
        <v>1.15071999999999</v>
      </c>
      <c r="AF6094">
        <v>-1.95189922656298</v>
      </c>
      <c r="AG6094">
        <v>-1.110123367133</v>
      </c>
      <c r="AH6094">
        <v>22.107624856211601</v>
      </c>
      <c r="AI6094">
        <v>92.863543771995296</v>
      </c>
      <c r="AJ6094">
        <v>95.045605045784697</v>
      </c>
      <c r="AK6094">
        <v>22.2213717232734</v>
      </c>
      <c r="AL6094">
        <v>92.411838385889396</v>
      </c>
      <c r="AM6094">
        <v>93.240723301291098</v>
      </c>
      <c r="AN6094">
        <v>0.99999999035322495</v>
      </c>
    </row>
    <row r="6095" spans="1:40" x14ac:dyDescent="0.25">
      <c r="A6095" t="str">
        <f>"20190305135352981"</f>
        <v>20190305135352981</v>
      </c>
      <c r="B6095" t="str">
        <f>"1551765232975831"</f>
        <v>1551765232975831</v>
      </c>
      <c r="C6095" t="s">
        <v>40</v>
      </c>
      <c r="D6095">
        <v>4.4617259999999996</v>
      </c>
      <c r="E6095">
        <v>0.48792089999999999</v>
      </c>
      <c r="F6095" t="s">
        <v>94</v>
      </c>
      <c r="G6095">
        <v>-217.19900000000001</v>
      </c>
      <c r="H6095" s="1">
        <v>-2.2771549999999998E-6</v>
      </c>
      <c r="I6095">
        <v>-61.20966</v>
      </c>
      <c r="J6095">
        <v>-239.4213</v>
      </c>
      <c r="K6095">
        <v>1.110204</v>
      </c>
      <c r="L6095">
        <v>-62.3934</v>
      </c>
      <c r="M6095">
        <v>0.9993109</v>
      </c>
      <c r="N6095">
        <v>-1.0879720000000001E-2</v>
      </c>
      <c r="O6095">
        <v>-3.5490960000000002E-2</v>
      </c>
      <c r="P6095">
        <v>0.99837549999999997</v>
      </c>
      <c r="Q6095">
        <v>-5.2724569999999998E-2</v>
      </c>
      <c r="R6095">
        <v>2.1599400000000001E-2</v>
      </c>
      <c r="S6095">
        <v>2.9937740000000002</v>
      </c>
      <c r="T6095">
        <v>-0.148288</v>
      </c>
      <c r="U6095">
        <v>0.1572876</v>
      </c>
      <c r="V6095">
        <v>-5.6883040000000003E-2</v>
      </c>
      <c r="W6095">
        <v>-4.2062240000000001E-2</v>
      </c>
      <c r="X6095">
        <v>0.9974944</v>
      </c>
      <c r="Y6095">
        <v>-8.7719630000000007E-2</v>
      </c>
      <c r="Z6095">
        <v>4.0176530000000004E-3</v>
      </c>
      <c r="AA6095">
        <v>0.9961371</v>
      </c>
      <c r="AB6095">
        <v>37</v>
      </c>
      <c r="AC6095">
        <v>22.222299999999901</v>
      </c>
      <c r="AD6095">
        <v>-1.1102062771549901</v>
      </c>
      <c r="AE6095">
        <v>1.18374</v>
      </c>
      <c r="AF6095">
        <v>-1.9668363347359299</v>
      </c>
      <c r="AG6095">
        <v>-1.1102062771549901</v>
      </c>
      <c r="AH6095">
        <v>22.111252091782099</v>
      </c>
      <c r="AI6095">
        <v>92.863122124477499</v>
      </c>
      <c r="AJ6095">
        <v>95.0831858234191</v>
      </c>
      <c r="AK6095">
        <v>22.226301361490901</v>
      </c>
      <c r="AL6095">
        <v>92.410700045173101</v>
      </c>
      <c r="AM6095">
        <v>93.263809917666705</v>
      </c>
      <c r="AN6095">
        <v>0.999999995152409</v>
      </c>
    </row>
    <row r="6096" spans="1:40" x14ac:dyDescent="0.25">
      <c r="A6096" t="str">
        <f>"20190305135352994"</f>
        <v>20190305135352994</v>
      </c>
      <c r="B6096" t="str">
        <f>"1551765232986566"</f>
        <v>1551765232986566</v>
      </c>
      <c r="C6096" t="s">
        <v>40</v>
      </c>
      <c r="D6096">
        <v>4.447889</v>
      </c>
      <c r="E6096">
        <v>0.48788819999999999</v>
      </c>
      <c r="F6096" t="s">
        <v>94</v>
      </c>
      <c r="G6096">
        <v>-217.0821</v>
      </c>
      <c r="H6096" s="1">
        <v>-2.2216E-6</v>
      </c>
      <c r="I6096">
        <v>-61.189300000000003</v>
      </c>
      <c r="J6096">
        <v>-239.22579999999999</v>
      </c>
      <c r="K6096">
        <v>1.110284</v>
      </c>
      <c r="L6096">
        <v>-62.399540000000002</v>
      </c>
      <c r="M6096">
        <v>0.99933890000000003</v>
      </c>
      <c r="N6096">
        <v>-1.116206E-2</v>
      </c>
      <c r="O6096">
        <v>-3.4601390000000003E-2</v>
      </c>
      <c r="P6096">
        <v>0.99833510000000003</v>
      </c>
      <c r="Q6096">
        <v>-5.3007770000000003E-2</v>
      </c>
      <c r="R6096">
        <v>2.2748899999999999E-2</v>
      </c>
      <c r="S6096">
        <v>2.9935299999999998</v>
      </c>
      <c r="T6096">
        <v>-0.1487715</v>
      </c>
      <c r="U6096">
        <v>0.1613464</v>
      </c>
      <c r="V6096">
        <v>-5.7136050000000001E-2</v>
      </c>
      <c r="W6096">
        <v>-4.2074130000000001E-2</v>
      </c>
      <c r="X6096">
        <v>0.99747940000000002</v>
      </c>
      <c r="Y6096">
        <v>-8.8182789999999997E-2</v>
      </c>
      <c r="Z6096">
        <v>4.0129060000000001E-3</v>
      </c>
      <c r="AA6096">
        <v>0.99609630000000005</v>
      </c>
      <c r="AB6096">
        <v>37</v>
      </c>
      <c r="AC6096">
        <v>22.1436999999999</v>
      </c>
      <c r="AD6096">
        <v>-1.1102862216</v>
      </c>
      <c r="AE6096">
        <v>1.21023999999999</v>
      </c>
      <c r="AF6096">
        <v>-1.97082576342911</v>
      </c>
      <c r="AG6096">
        <v>-1.1102862216</v>
      </c>
      <c r="AH6096">
        <v>22.0333325709042</v>
      </c>
      <c r="AI6096">
        <v>92.873311173717099</v>
      </c>
      <c r="AJ6096">
        <v>95.111359507321893</v>
      </c>
      <c r="AK6096">
        <v>22.1491452174511</v>
      </c>
      <c r="AL6096">
        <v>92.411381987603406</v>
      </c>
      <c r="AM6096">
        <v>93.278344611386899</v>
      </c>
      <c r="AN6096">
        <v>0.99999995702460798</v>
      </c>
    </row>
    <row r="6097" spans="1:40" x14ac:dyDescent="0.25">
      <c r="A6097" t="str">
        <f>"20190305135353004"</f>
        <v>20190305135353004</v>
      </c>
      <c r="B6097" t="str">
        <f>"1551765232996326"</f>
        <v>1551765232996326</v>
      </c>
      <c r="C6097" t="s">
        <v>40</v>
      </c>
      <c r="D6097">
        <v>4.4320940000000002</v>
      </c>
      <c r="E6097">
        <v>0.48781429999999998</v>
      </c>
      <c r="F6097" t="s">
        <v>94</v>
      </c>
      <c r="G6097">
        <v>-217.0187</v>
      </c>
      <c r="H6097" s="1">
        <v>-2.1905949999999999E-6</v>
      </c>
      <c r="I6097">
        <v>-61.175060000000002</v>
      </c>
      <c r="J6097">
        <v>-239.0453</v>
      </c>
      <c r="K6097">
        <v>1.1103559999999999</v>
      </c>
      <c r="L6097">
        <v>-62.405090000000001</v>
      </c>
      <c r="M6097">
        <v>0.99936480000000005</v>
      </c>
      <c r="N6097">
        <v>-1.1414499999999999E-2</v>
      </c>
      <c r="O6097">
        <v>-3.3763149999999999E-2</v>
      </c>
      <c r="P6097">
        <v>0.99827270000000001</v>
      </c>
      <c r="Q6097">
        <v>-5.3640710000000001E-2</v>
      </c>
      <c r="R6097">
        <v>2.3962130000000002E-2</v>
      </c>
      <c r="S6097">
        <v>2.9933010000000002</v>
      </c>
      <c r="T6097">
        <v>-0.14965529999999999</v>
      </c>
      <c r="U6097">
        <v>0.16503909999999999</v>
      </c>
      <c r="V6097">
        <v>-5.750276E-2</v>
      </c>
      <c r="W6097">
        <v>-4.2465559999999999E-2</v>
      </c>
      <c r="X6097">
        <v>0.99744180000000005</v>
      </c>
      <c r="Y6097">
        <v>-8.8574620000000007E-2</v>
      </c>
      <c r="Z6097">
        <v>4.0184449999999998E-3</v>
      </c>
      <c r="AA6097">
        <v>0.99606139999999999</v>
      </c>
      <c r="AB6097">
        <v>37</v>
      </c>
      <c r="AC6097">
        <v>22.026599999999998</v>
      </c>
      <c r="AD6097">
        <v>-1.110358190595</v>
      </c>
      <c r="AE6097">
        <v>1.23003</v>
      </c>
      <c r="AF6097">
        <v>-1.9680787366563799</v>
      </c>
      <c r="AG6097">
        <v>-1.110358190595</v>
      </c>
      <c r="AH6097">
        <v>21.916986448741699</v>
      </c>
      <c r="AI6097">
        <v>92.888635667407897</v>
      </c>
      <c r="AJ6097">
        <v>95.1312244379085</v>
      </c>
      <c r="AK6097">
        <v>22.0331687285199</v>
      </c>
      <c r="AL6097">
        <v>92.433829190458397</v>
      </c>
      <c r="AM6097">
        <v>93.299463411560396</v>
      </c>
      <c r="AN6097">
        <v>1.00000001779048</v>
      </c>
    </row>
    <row r="6098" spans="1:40" x14ac:dyDescent="0.25">
      <c r="A6098" t="str">
        <f>"20190305135353015"</f>
        <v>20190305135353015</v>
      </c>
      <c r="B6098" t="str">
        <f>"1551765233006086"</f>
        <v>1551765233006086</v>
      </c>
      <c r="C6098" t="s">
        <v>40</v>
      </c>
      <c r="D6098">
        <v>4.7783829999999998</v>
      </c>
      <c r="E6098">
        <v>0.48781429999999998</v>
      </c>
      <c r="F6098" t="s">
        <v>94</v>
      </c>
      <c r="G6098">
        <v>-217.06399999999999</v>
      </c>
      <c r="H6098" s="1">
        <v>-2.206426E-6</v>
      </c>
      <c r="I6098">
        <v>-61.161549999999998</v>
      </c>
      <c r="J6098">
        <v>-238.88159999999999</v>
      </c>
      <c r="K6098">
        <v>1.1104240000000001</v>
      </c>
      <c r="L6098">
        <v>-62.409849999999999</v>
      </c>
      <c r="M6098">
        <v>0.99938950000000004</v>
      </c>
      <c r="N6098">
        <v>-1.161979E-2</v>
      </c>
      <c r="O6098">
        <v>-3.2951019999999998E-2</v>
      </c>
      <c r="P6098">
        <v>0.99823249999999997</v>
      </c>
      <c r="Q6098">
        <v>-5.3834970000000003E-2</v>
      </c>
      <c r="R6098">
        <v>2.517517E-2</v>
      </c>
      <c r="S6098">
        <v>2.9929809999999999</v>
      </c>
      <c r="T6098">
        <v>-0.15118609999999999</v>
      </c>
      <c r="U6098">
        <v>0.1693115</v>
      </c>
      <c r="V6098">
        <v>-5.7897990000000003E-2</v>
      </c>
      <c r="W6098">
        <v>-4.2464380000000003E-2</v>
      </c>
      <c r="X6098">
        <v>0.9974189</v>
      </c>
      <c r="Y6098">
        <v>-8.9184810000000003E-2</v>
      </c>
      <c r="Z6098">
        <v>4.0481639999999999E-3</v>
      </c>
      <c r="AA6098">
        <v>0.99600679999999997</v>
      </c>
      <c r="AB6098">
        <v>37</v>
      </c>
      <c r="AC6098">
        <v>21.817599999999899</v>
      </c>
      <c r="AD6098">
        <v>-1.110426206426</v>
      </c>
      <c r="AE6098">
        <v>1.2483</v>
      </c>
      <c r="AF6098">
        <v>-1.9615181741358301</v>
      </c>
      <c r="AG6098">
        <v>-1.110426206426</v>
      </c>
      <c r="AH6098">
        <v>21.7085650046733</v>
      </c>
      <c r="AI6098">
        <v>92.916354155284907</v>
      </c>
      <c r="AJ6098">
        <v>95.163047257053606</v>
      </c>
      <c r="AK6098">
        <v>21.825269631083799</v>
      </c>
      <c r="AL6098">
        <v>92.433761730666802</v>
      </c>
      <c r="AM6098">
        <v>93.322166882185897</v>
      </c>
      <c r="AN6098">
        <v>0.99999993144601396</v>
      </c>
    </row>
    <row r="6099" spans="1:40" x14ac:dyDescent="0.25">
      <c r="A6099" t="str">
        <f>"20190305135353027"</f>
        <v>20190305135353027</v>
      </c>
      <c r="B6099" t="str">
        <f>"1551765233016437"</f>
        <v>1551765233016437</v>
      </c>
      <c r="C6099" t="s">
        <v>40</v>
      </c>
      <c r="D6099">
        <v>4.6870779999999996</v>
      </c>
      <c r="E6099">
        <v>0.4883673</v>
      </c>
      <c r="F6099" t="s">
        <v>94</v>
      </c>
      <c r="G6099">
        <v>-216.98410000000001</v>
      </c>
      <c r="H6099" s="1">
        <v>-2.1677119999999999E-6</v>
      </c>
      <c r="I6099">
        <v>-61.144849999999998</v>
      </c>
      <c r="J6099">
        <v>-238.68690000000001</v>
      </c>
      <c r="K6099">
        <v>1.110498</v>
      </c>
      <c r="L6099">
        <v>-62.415500000000002</v>
      </c>
      <c r="M6099">
        <v>0.99941829999999998</v>
      </c>
      <c r="N6099">
        <v>-1.185924E-2</v>
      </c>
      <c r="O6099">
        <v>-3.1975389999999999E-2</v>
      </c>
      <c r="P6099">
        <v>0.99819899999999995</v>
      </c>
      <c r="Q6099">
        <v>-5.3880619999999997E-2</v>
      </c>
      <c r="R6099">
        <v>2.6381519999999999E-2</v>
      </c>
      <c r="S6099">
        <v>2.9927670000000002</v>
      </c>
      <c r="T6099">
        <v>-0.1517638</v>
      </c>
      <c r="U6099">
        <v>0.17288210000000001</v>
      </c>
      <c r="V6099">
        <v>-5.812436E-2</v>
      </c>
      <c r="W6099">
        <v>-4.2281199999999998E-2</v>
      </c>
      <c r="X6099">
        <v>0.99741360000000001</v>
      </c>
      <c r="Y6099">
        <v>-8.9399950000000006E-2</v>
      </c>
      <c r="Z6099">
        <v>4.0349720000000004E-3</v>
      </c>
      <c r="AA6099">
        <v>0.99598770000000003</v>
      </c>
      <c r="AB6099">
        <v>37</v>
      </c>
      <c r="AC6099">
        <v>21.7028</v>
      </c>
      <c r="AD6099">
        <v>-1.1105001677120001</v>
      </c>
      <c r="AE6099">
        <v>1.2706500000000001</v>
      </c>
      <c r="AF6099">
        <v>-1.9588931790440001</v>
      </c>
      <c r="AG6099">
        <v>-1.1105001677120001</v>
      </c>
      <c r="AH6099">
        <v>21.594721933987898</v>
      </c>
      <c r="AI6099">
        <v>92.931803527869405</v>
      </c>
      <c r="AJ6099">
        <v>95.183209748061103</v>
      </c>
      <c r="AK6099">
        <v>21.711805279977298</v>
      </c>
      <c r="AL6099">
        <v>92.423256651018406</v>
      </c>
      <c r="AM6099">
        <v>93.335144333875306</v>
      </c>
      <c r="AN6099">
        <v>1.0000000152819</v>
      </c>
    </row>
    <row r="6100" spans="1:40" x14ac:dyDescent="0.25">
      <c r="A6100" t="str">
        <f>"20190305135353036"</f>
        <v>20190305135353036</v>
      </c>
      <c r="B6100" t="str">
        <f>"1551765233026197"</f>
        <v>1551765233026197</v>
      </c>
      <c r="C6100" t="s">
        <v>40</v>
      </c>
      <c r="D6100">
        <v>4.4767789999999996</v>
      </c>
      <c r="E6100">
        <v>0.48926520000000001</v>
      </c>
      <c r="F6100" t="s">
        <v>94</v>
      </c>
      <c r="G6100">
        <v>-217.2405</v>
      </c>
      <c r="H6100" s="1">
        <v>-2.2877569999999998E-6</v>
      </c>
      <c r="I6100">
        <v>-61.182580000000002</v>
      </c>
      <c r="J6100">
        <v>-238.511</v>
      </c>
      <c r="K6100">
        <v>1.110562</v>
      </c>
      <c r="L6100">
        <v>-62.420290000000001</v>
      </c>
      <c r="M6100">
        <v>0.99944529999999998</v>
      </c>
      <c r="N6100">
        <v>-1.20541E-2</v>
      </c>
      <c r="O6100">
        <v>-3.1045199999999998E-2</v>
      </c>
      <c r="P6100">
        <v>0.99815960000000004</v>
      </c>
      <c r="Q6100">
        <v>-5.4095940000000002E-2</v>
      </c>
      <c r="R6100">
        <v>2.740542E-2</v>
      </c>
      <c r="S6100">
        <v>2.9925229999999998</v>
      </c>
      <c r="T6100">
        <v>-0.1549537</v>
      </c>
      <c r="U6100">
        <v>0.1720276</v>
      </c>
      <c r="V6100">
        <v>-5.8213210000000001E-2</v>
      </c>
      <c r="W6100">
        <v>-4.2310630000000002E-2</v>
      </c>
      <c r="X6100">
        <v>0.99740709999999999</v>
      </c>
      <c r="Y6100">
        <v>-8.818993E-2</v>
      </c>
      <c r="Z6100">
        <v>4.0438619999999996E-3</v>
      </c>
      <c r="AA6100">
        <v>0.99609550000000002</v>
      </c>
      <c r="AB6100">
        <v>37</v>
      </c>
      <c r="AC6100">
        <v>21.270499999999998</v>
      </c>
      <c r="AD6100">
        <v>-1.1105642877569999</v>
      </c>
      <c r="AE6100">
        <v>1.2377100000000001</v>
      </c>
      <c r="AF6100">
        <v>-1.89236695896289</v>
      </c>
      <c r="AG6100">
        <v>-1.1105642877569999</v>
      </c>
      <c r="AH6100">
        <v>21.164317935803901</v>
      </c>
      <c r="AI6100">
        <v>92.991837211545402</v>
      </c>
      <c r="AJ6100">
        <v>95.109405258547099</v>
      </c>
      <c r="AK6100">
        <v>21.277752687546801</v>
      </c>
      <c r="AL6100">
        <v>92.424944546177599</v>
      </c>
      <c r="AM6100">
        <v>93.340252682806494</v>
      </c>
      <c r="AN6100">
        <v>0.99999994517995305</v>
      </c>
    </row>
    <row r="6101" spans="1:40" x14ac:dyDescent="0.25">
      <c r="A6101" t="str">
        <f>"20190305135353048"</f>
        <v>20190305135353048</v>
      </c>
      <c r="B6101" t="str">
        <f>"1551765233035957"</f>
        <v>1551765233035957</v>
      </c>
      <c r="C6101" t="s">
        <v>40</v>
      </c>
      <c r="D6101">
        <v>4.5463699999999996</v>
      </c>
      <c r="E6101">
        <v>0.49035620000000002</v>
      </c>
      <c r="F6101" t="s">
        <v>94</v>
      </c>
      <c r="G6101">
        <v>-217.1798</v>
      </c>
      <c r="H6101" s="1">
        <v>-2.272504E-6</v>
      </c>
      <c r="I6101">
        <v>-61.223129999999998</v>
      </c>
      <c r="J6101">
        <v>-238.33670000000001</v>
      </c>
      <c r="K6101">
        <v>1.1106259999999999</v>
      </c>
      <c r="L6101">
        <v>-62.424900000000001</v>
      </c>
      <c r="M6101">
        <v>0.99947169999999996</v>
      </c>
      <c r="N6101">
        <v>-1.2241200000000001E-2</v>
      </c>
      <c r="O6101">
        <v>-3.011165E-2</v>
      </c>
      <c r="P6101">
        <v>0.9981312</v>
      </c>
      <c r="Q6101">
        <v>-5.4164959999999998E-2</v>
      </c>
      <c r="R6101">
        <v>2.8297240000000001E-2</v>
      </c>
      <c r="S6101">
        <v>2.9924930000000001</v>
      </c>
      <c r="T6101">
        <v>-0.15579809999999999</v>
      </c>
      <c r="U6101">
        <v>0.16793820000000001</v>
      </c>
      <c r="V6101">
        <v>-5.8166879999999997E-2</v>
      </c>
      <c r="W6101">
        <v>-4.2200599999999998E-2</v>
      </c>
      <c r="X6101">
        <v>0.99741449999999998</v>
      </c>
      <c r="Y6101">
        <v>-8.5905690000000007E-2</v>
      </c>
      <c r="Z6101">
        <v>3.9571169999999996E-3</v>
      </c>
      <c r="AA6101">
        <v>0.99629540000000005</v>
      </c>
      <c r="AB6101">
        <v>37</v>
      </c>
      <c r="AC6101">
        <v>21.1569</v>
      </c>
      <c r="AD6101">
        <v>-1.110628272504</v>
      </c>
      <c r="AE6101">
        <v>1.20176999999999</v>
      </c>
      <c r="AF6101">
        <v>-1.83330598474472</v>
      </c>
      <c r="AG6101">
        <v>-1.110628272504</v>
      </c>
      <c r="AH6101">
        <v>21.0532846642637</v>
      </c>
      <c r="AI6101">
        <v>93.008373560677697</v>
      </c>
      <c r="AJ6101">
        <v>94.976724410269796</v>
      </c>
      <c r="AK6101">
        <v>21.1621194861929</v>
      </c>
      <c r="AL6101">
        <v>92.418634569483501</v>
      </c>
      <c r="AM6101">
        <v>93.337575590227004</v>
      </c>
      <c r="AN6101">
        <v>0.99999998068977203</v>
      </c>
    </row>
    <row r="6102" spans="1:40" x14ac:dyDescent="0.25">
      <c r="A6102" t="str">
        <f>"20190305135353059"</f>
        <v>20190305135353059</v>
      </c>
      <c r="B6102" t="str">
        <f>"1551765233056453"</f>
        <v>1551765233056453</v>
      </c>
      <c r="C6102" t="s">
        <v>40</v>
      </c>
      <c r="D6102">
        <v>4.4789899999999996</v>
      </c>
      <c r="E6102">
        <v>0.49236020000000003</v>
      </c>
      <c r="F6102" t="s">
        <v>94</v>
      </c>
      <c r="G6102">
        <v>-217.01949999999999</v>
      </c>
      <c r="H6102" s="1">
        <v>-2.2165770000000001E-6</v>
      </c>
      <c r="I6102">
        <v>-61.271369999999997</v>
      </c>
      <c r="J6102">
        <v>-238.1489</v>
      </c>
      <c r="K6102">
        <v>1.110689</v>
      </c>
      <c r="L6102">
        <v>-62.429630000000003</v>
      </c>
      <c r="M6102">
        <v>0.99950039999999996</v>
      </c>
      <c r="N6102">
        <v>-1.242559E-2</v>
      </c>
      <c r="O6102">
        <v>-2.9067340000000001E-2</v>
      </c>
      <c r="P6102">
        <v>0.99810840000000001</v>
      </c>
      <c r="Q6102">
        <v>-5.4114599999999999E-2</v>
      </c>
      <c r="R6102">
        <v>2.9183460000000001E-2</v>
      </c>
      <c r="S6102">
        <v>2.9925540000000002</v>
      </c>
      <c r="T6102">
        <v>-0.155912</v>
      </c>
      <c r="U6102">
        <v>0.1619263</v>
      </c>
      <c r="V6102">
        <v>-5.8006210000000002E-2</v>
      </c>
      <c r="W6102">
        <v>-4.1973450000000002E-2</v>
      </c>
      <c r="X6102">
        <v>0.99743349999999997</v>
      </c>
      <c r="Y6102">
        <v>-8.2873249999999996E-2</v>
      </c>
      <c r="Z6102">
        <v>3.8232180000000002E-3</v>
      </c>
      <c r="AA6102">
        <v>0.99655280000000002</v>
      </c>
      <c r="AB6102">
        <v>37</v>
      </c>
      <c r="AC6102">
        <v>21.1294</v>
      </c>
      <c r="AD6102">
        <v>-1.110691216577</v>
      </c>
      <c r="AE6102">
        <v>1.1582600000000001</v>
      </c>
      <c r="AF6102">
        <v>-1.7671249803682501</v>
      </c>
      <c r="AG6102">
        <v>-1.110691216577</v>
      </c>
      <c r="AH6102">
        <v>21.0288674995844</v>
      </c>
      <c r="AI6102">
        <v>93.012808532999699</v>
      </c>
      <c r="AJ6102">
        <v>94.803467517681696</v>
      </c>
      <c r="AK6102">
        <v>21.132194254026199</v>
      </c>
      <c r="AL6102">
        <v>92.405608150790798</v>
      </c>
      <c r="AM6102">
        <v>93.328313951802997</v>
      </c>
      <c r="AN6102">
        <v>1.0000000389128501</v>
      </c>
    </row>
    <row r="6103" spans="1:40" x14ac:dyDescent="0.25">
      <c r="A6103" t="str">
        <f>"20190305135353072"</f>
        <v>20190305135353072</v>
      </c>
      <c r="B6103" t="str">
        <f>"1551765233066213"</f>
        <v>1551765233066213</v>
      </c>
      <c r="C6103" t="s">
        <v>40</v>
      </c>
      <c r="D6103">
        <v>4.4809739999999998</v>
      </c>
      <c r="E6103">
        <v>0.49329440000000002</v>
      </c>
      <c r="F6103" t="s">
        <v>94</v>
      </c>
      <c r="G6103">
        <v>-216.78399999999999</v>
      </c>
      <c r="H6103" s="1">
        <v>-2.141434E-6</v>
      </c>
      <c r="I6103">
        <v>-61.368639999999999</v>
      </c>
      <c r="J6103">
        <v>-237.95869999999999</v>
      </c>
      <c r="K6103">
        <v>1.110751</v>
      </c>
      <c r="L6103">
        <v>-62.434229999999999</v>
      </c>
      <c r="M6103">
        <v>0.99952890000000005</v>
      </c>
      <c r="N6103">
        <v>-1.260114E-2</v>
      </c>
      <c r="O6103">
        <v>-2.7984869999999998E-2</v>
      </c>
      <c r="P6103">
        <v>0.99808090000000005</v>
      </c>
      <c r="Q6103">
        <v>-5.4235310000000002E-2</v>
      </c>
      <c r="R6103">
        <v>2.9890409999999999E-2</v>
      </c>
      <c r="S6103">
        <v>2.9929049999999999</v>
      </c>
      <c r="T6103">
        <v>-0.15559149999999999</v>
      </c>
      <c r="U6103">
        <v>0.14862059999999999</v>
      </c>
      <c r="V6103">
        <v>-5.762726E-2</v>
      </c>
      <c r="W6103">
        <v>-4.192502E-2</v>
      </c>
      <c r="X6103">
        <v>0.99745740000000005</v>
      </c>
      <c r="Y6103">
        <v>-7.7378500000000003E-2</v>
      </c>
      <c r="Z6103">
        <v>3.5978410000000001E-3</v>
      </c>
      <c r="AA6103">
        <v>0.99699530000000003</v>
      </c>
      <c r="AB6103">
        <v>37</v>
      </c>
      <c r="AC6103">
        <v>21.174699999999898</v>
      </c>
      <c r="AD6103">
        <v>-1.1107531414339999</v>
      </c>
      <c r="AE6103">
        <v>1.06559</v>
      </c>
      <c r="AF6103">
        <v>-1.6532531225424301</v>
      </c>
      <c r="AG6103">
        <v>-1.1107531414339999</v>
      </c>
      <c r="AH6103">
        <v>21.078727032062801</v>
      </c>
      <c r="AI6103">
        <v>93.007218858443906</v>
      </c>
      <c r="AJ6103">
        <v>94.484659040740993</v>
      </c>
      <c r="AK6103">
        <v>21.172617970402602</v>
      </c>
      <c r="AL6103">
        <v>92.402831117548999</v>
      </c>
      <c r="AM6103">
        <v>93.306539690625101</v>
      </c>
      <c r="AN6103">
        <v>0.999999936605932</v>
      </c>
    </row>
    <row r="6104" spans="1:40" x14ac:dyDescent="0.25">
      <c r="A6104" t="str">
        <f>"20190305135353082"</f>
        <v>20190305135353082</v>
      </c>
      <c r="B6104" t="str">
        <f>"1551765233075973"</f>
        <v>1551765233075973</v>
      </c>
      <c r="C6104" t="s">
        <v>40</v>
      </c>
      <c r="D6104">
        <v>4.4980390000000003</v>
      </c>
      <c r="E6104">
        <v>0.49419980000000002</v>
      </c>
      <c r="F6104" t="s">
        <v>94</v>
      </c>
      <c r="G6104">
        <v>-216.64320000000001</v>
      </c>
      <c r="H6104" s="1">
        <v>-2.093005E-6</v>
      </c>
      <c r="I6104">
        <v>-61.4137699999999</v>
      </c>
      <c r="J6104">
        <v>-237.7627</v>
      </c>
      <c r="K6104">
        <v>1.1108150000000001</v>
      </c>
      <c r="L6104">
        <v>-62.438749999999999</v>
      </c>
      <c r="M6104">
        <v>0.99955819999999995</v>
      </c>
      <c r="N6104">
        <v>-1.2771090000000001E-2</v>
      </c>
      <c r="O6104">
        <v>-2.6844070000000001E-2</v>
      </c>
      <c r="P6104">
        <v>0.99806819999999896</v>
      </c>
      <c r="Q6104">
        <v>-5.4120939999999999E-2</v>
      </c>
      <c r="R6104">
        <v>3.0514869999999999E-2</v>
      </c>
      <c r="S6104">
        <v>2.9930110000000001</v>
      </c>
      <c r="T6104">
        <v>-0.1559654</v>
      </c>
      <c r="U6104">
        <v>0.14327999999999999</v>
      </c>
      <c r="V6104">
        <v>-5.7109020000000003E-2</v>
      </c>
      <c r="W6104">
        <v>-4.1646130000000003E-2</v>
      </c>
      <c r="X6104">
        <v>0.99749889999999997</v>
      </c>
      <c r="Y6104">
        <v>-7.446875E-2</v>
      </c>
      <c r="Z6104">
        <v>3.4688179999999998E-3</v>
      </c>
      <c r="AA6104">
        <v>0.99721729999999997</v>
      </c>
      <c r="AB6104">
        <v>37</v>
      </c>
      <c r="AC6104">
        <v>21.119499999999899</v>
      </c>
      <c r="AD6104">
        <v>-1.1108170930050001</v>
      </c>
      <c r="AE6104">
        <v>1.02498</v>
      </c>
      <c r="AF6104">
        <v>-1.58720949410044</v>
      </c>
      <c r="AG6104">
        <v>-1.1108170930050001</v>
      </c>
      <c r="AH6104">
        <v>21.026340149572999</v>
      </c>
      <c r="AI6104">
        <v>93.015548996275697</v>
      </c>
      <c r="AJ6104">
        <v>94.316883450344307</v>
      </c>
      <c r="AK6104">
        <v>21.115400272734998</v>
      </c>
      <c r="AL6104">
        <v>92.386837901119904</v>
      </c>
      <c r="AM6104">
        <v>93.276733149925207</v>
      </c>
      <c r="AN6104">
        <v>0.99999994790527202</v>
      </c>
    </row>
    <row r="6105" spans="1:40" x14ac:dyDescent="0.25">
      <c r="A6105" t="str">
        <f>"20190305135353093"</f>
        <v>20190305135353093</v>
      </c>
      <c r="B6105" t="str">
        <f>"1551765233085733"</f>
        <v>1551765233085733</v>
      </c>
      <c r="C6105" t="s">
        <v>40</v>
      </c>
      <c r="D6105">
        <v>4.4684299999999997</v>
      </c>
      <c r="E6105">
        <v>0.49504720000000002</v>
      </c>
      <c r="F6105" t="s">
        <v>94</v>
      </c>
      <c r="G6105">
        <v>-216.35769999999999</v>
      </c>
      <c r="H6105" s="1">
        <v>-1.9807930000000002E-6</v>
      </c>
      <c r="I6105">
        <v>-61.452249999999999</v>
      </c>
      <c r="J6105">
        <v>-237.59010000000001</v>
      </c>
      <c r="K6105">
        <v>1.11087</v>
      </c>
      <c r="L6105">
        <v>-62.442439999999998</v>
      </c>
      <c r="M6105">
        <v>0.99958380000000002</v>
      </c>
      <c r="N6105">
        <v>-1.290673E-2</v>
      </c>
      <c r="O6105">
        <v>-2.580288E-2</v>
      </c>
      <c r="P6105">
        <v>0.99805860000000002</v>
      </c>
      <c r="Q6105">
        <v>-5.4111100000000002E-2</v>
      </c>
      <c r="R6105">
        <v>3.0840659999999999E-2</v>
      </c>
      <c r="S6105">
        <v>2.993179</v>
      </c>
      <c r="T6105">
        <v>-0.15533139999999901</v>
      </c>
      <c r="U6105">
        <v>0.13793949999999999</v>
      </c>
      <c r="V6105">
        <v>-5.6391579999999997E-2</v>
      </c>
      <c r="W6105">
        <v>-4.1503760000000001E-2</v>
      </c>
      <c r="X6105">
        <v>0.99754569999999998</v>
      </c>
      <c r="Y6105">
        <v>-7.1658250000000007E-2</v>
      </c>
      <c r="Z6105">
        <v>3.3250549999999999E-3</v>
      </c>
      <c r="AA6105">
        <v>0.99742370000000002</v>
      </c>
      <c r="AB6105">
        <v>37</v>
      </c>
      <c r="AC6105">
        <v>21.232399999999998</v>
      </c>
      <c r="AD6105">
        <v>-1.1108719807930001</v>
      </c>
      <c r="AE6105">
        <v>0.99019000000000501</v>
      </c>
      <c r="AF6105">
        <v>-1.53357411455022</v>
      </c>
      <c r="AG6105">
        <v>-1.1108719807930001</v>
      </c>
      <c r="AH6105">
        <v>21.142030143316401</v>
      </c>
      <c r="AI6105">
        <v>92.999876065794894</v>
      </c>
      <c r="AJ6105">
        <v>94.148783321474198</v>
      </c>
      <c r="AK6105">
        <v>21.226665416485599</v>
      </c>
      <c r="AL6105">
        <v>92.378673522442099</v>
      </c>
      <c r="AM6105">
        <v>93.235505274859506</v>
      </c>
      <c r="AN6105">
        <v>0.99999999798876105</v>
      </c>
    </row>
    <row r="6106" spans="1:40" x14ac:dyDescent="0.25">
      <c r="A6106" t="str">
        <f>"20190305135353105"</f>
        <v>20190305135353105</v>
      </c>
      <c r="B6106" t="str">
        <f>"1551765233096471"</f>
        <v>1551765233096471</v>
      </c>
      <c r="C6106" t="s">
        <v>40</v>
      </c>
      <c r="D6106">
        <v>4.4320849999999998</v>
      </c>
      <c r="E6106">
        <v>0.49586449999999999</v>
      </c>
      <c r="F6106" t="s">
        <v>94</v>
      </c>
      <c r="G6106">
        <v>-216.14599999999999</v>
      </c>
      <c r="H6106" s="1">
        <v>-1.9016060000000001E-6</v>
      </c>
      <c r="I6106">
        <v>-61.495959999999997</v>
      </c>
      <c r="J6106">
        <v>-237.40629999999999</v>
      </c>
      <c r="K6106">
        <v>1.1109329999999999</v>
      </c>
      <c r="L6106">
        <v>-62.446289999999998</v>
      </c>
      <c r="M6106">
        <v>0.9996102</v>
      </c>
      <c r="N6106">
        <v>-1.3047309999999999E-2</v>
      </c>
      <c r="O6106">
        <v>-2.4685149999999999E-2</v>
      </c>
      <c r="P6106">
        <v>0.99805010000000005</v>
      </c>
      <c r="Q6106">
        <v>-5.4052740000000002E-2</v>
      </c>
      <c r="R6106">
        <v>3.1213319999999999E-2</v>
      </c>
      <c r="S6106">
        <v>2.9933619999999999</v>
      </c>
      <c r="T6106">
        <v>-0.15506589999999901</v>
      </c>
      <c r="U6106">
        <v>0.13211059999999999</v>
      </c>
      <c r="V6106">
        <v>-5.5645689999999998E-2</v>
      </c>
      <c r="W6106">
        <v>-4.1307959999999998E-2</v>
      </c>
      <c r="X6106">
        <v>0.99759569999999997</v>
      </c>
      <c r="Y6106">
        <v>-6.8607879999999996E-2</v>
      </c>
      <c r="Z6106">
        <v>3.1788070000000001E-3</v>
      </c>
      <c r="AA6106">
        <v>0.99763860000000004</v>
      </c>
      <c r="AB6106">
        <v>37</v>
      </c>
      <c r="AC6106">
        <v>21.260300000000001</v>
      </c>
      <c r="AD6106">
        <v>-1.1109349016059999</v>
      </c>
      <c r="AE6106">
        <v>0.950330000000008</v>
      </c>
      <c r="AF6106">
        <v>-1.4708904718706499</v>
      </c>
      <c r="AG6106">
        <v>-1.1109349016059999</v>
      </c>
      <c r="AH6106">
        <v>21.172663145718499</v>
      </c>
      <c r="AI6106">
        <v>92.9963607404448</v>
      </c>
      <c r="AJ6106">
        <v>93.974021980947299</v>
      </c>
      <c r="AK6106">
        <v>21.2527494649025</v>
      </c>
      <c r="AL6106">
        <v>92.367445409169605</v>
      </c>
      <c r="AM6106">
        <v>93.192638766329907</v>
      </c>
      <c r="AN6106">
        <v>0.99999998551671299</v>
      </c>
    </row>
    <row r="6107" spans="1:40" x14ac:dyDescent="0.25">
      <c r="A6107" t="str">
        <f>"20190305135353116"</f>
        <v>20190305135353116</v>
      </c>
      <c r="B6107" t="str">
        <f>"1551765233106229"</f>
        <v>1551765233106229</v>
      </c>
      <c r="C6107" t="s">
        <v>40</v>
      </c>
      <c r="D6107">
        <v>4.4582839999999999</v>
      </c>
      <c r="E6107">
        <v>0.49668699999999999</v>
      </c>
      <c r="F6107" t="s">
        <v>94</v>
      </c>
      <c r="G6107">
        <v>-215.93219999999999</v>
      </c>
      <c r="H6107" s="1">
        <v>-1.820891E-6</v>
      </c>
      <c r="I6107">
        <v>-61.537280000000003</v>
      </c>
      <c r="J6107">
        <v>-237.2234</v>
      </c>
      <c r="K6107">
        <v>1.1109899999999999</v>
      </c>
      <c r="L6107">
        <v>-62.449710000000003</v>
      </c>
      <c r="M6107">
        <v>0.99963639999999998</v>
      </c>
      <c r="N6107">
        <v>-1.317102E-2</v>
      </c>
      <c r="O6107">
        <v>-2.3525279999999999E-2</v>
      </c>
      <c r="P6107">
        <v>0.99806079999999997</v>
      </c>
      <c r="Q6107">
        <v>-5.3740009999999998E-2</v>
      </c>
      <c r="R6107">
        <v>3.1409810000000003E-2</v>
      </c>
      <c r="S6107">
        <v>2.9935149999999999</v>
      </c>
      <c r="T6107">
        <v>-0.1548657</v>
      </c>
      <c r="U6107">
        <v>0.12670899999999999</v>
      </c>
      <c r="V6107">
        <v>-5.468195E-2</v>
      </c>
      <c r="W6107">
        <v>-4.0873010000000001E-2</v>
      </c>
      <c r="X6107">
        <v>0.99766690000000002</v>
      </c>
      <c r="Y6107">
        <v>-6.5657030000000005E-2</v>
      </c>
      <c r="Z6107">
        <v>3.0356150000000002E-3</v>
      </c>
      <c r="AA6107">
        <v>0.99783759999999999</v>
      </c>
      <c r="AB6107">
        <v>37</v>
      </c>
      <c r="AC6107">
        <v>21.2912</v>
      </c>
      <c r="AD6107">
        <v>-1.1109918208909999</v>
      </c>
      <c r="AE6107">
        <v>0.91242999999999297</v>
      </c>
      <c r="AF6107">
        <v>-1.40927218266204</v>
      </c>
      <c r="AG6107">
        <v>-1.1109918208909999</v>
      </c>
      <c r="AH6107">
        <v>21.206204275887099</v>
      </c>
      <c r="AI6107">
        <v>92.992392404165997</v>
      </c>
      <c r="AJ6107">
        <v>93.802038050107598</v>
      </c>
      <c r="AK6107">
        <v>21.281998277924099</v>
      </c>
      <c r="AL6107">
        <v>92.342503554780095</v>
      </c>
      <c r="AM6107">
        <v>93.137232726431407</v>
      </c>
      <c r="AN6107">
        <v>0.99999998097893605</v>
      </c>
    </row>
    <row r="6108" spans="1:40" x14ac:dyDescent="0.25">
      <c r="A6108" t="str">
        <f>"20190305135353129"</f>
        <v>20190305135353129</v>
      </c>
      <c r="B6108" t="str">
        <f>"1551765233126439"</f>
        <v>1551765233126439</v>
      </c>
      <c r="C6108" t="s">
        <v>40</v>
      </c>
      <c r="D6108">
        <v>4.4680530000000003</v>
      </c>
      <c r="E6108">
        <v>0.49823600000000001</v>
      </c>
      <c r="F6108" t="s">
        <v>94</v>
      </c>
      <c r="G6108">
        <v>-215.57040000000001</v>
      </c>
      <c r="H6108" s="1">
        <v>-1.675995E-6</v>
      </c>
      <c r="I6108">
        <v>-61.576030000000003</v>
      </c>
      <c r="J6108">
        <v>-237.01859999999999</v>
      </c>
      <c r="K6108">
        <v>1.111051</v>
      </c>
      <c r="L6108">
        <v>-62.45346</v>
      </c>
      <c r="M6108">
        <v>0.99966480000000002</v>
      </c>
      <c r="N6108">
        <v>-1.3304460000000001E-2</v>
      </c>
      <c r="O6108">
        <v>-2.2209710000000001E-2</v>
      </c>
      <c r="P6108">
        <v>0.99805330000000003</v>
      </c>
      <c r="Q6108">
        <v>-5.3707379999999999E-2</v>
      </c>
      <c r="R6108">
        <v>3.17063E-2</v>
      </c>
      <c r="S6108">
        <v>2.9937740000000002</v>
      </c>
      <c r="T6108">
        <v>-0.15360739999999901</v>
      </c>
      <c r="U6108">
        <v>0.1207886</v>
      </c>
      <c r="V6108">
        <v>-5.3661849999999997E-2</v>
      </c>
      <c r="W6108">
        <v>-4.0708859999999999E-2</v>
      </c>
      <c r="X6108">
        <v>0.99772899999999998</v>
      </c>
      <c r="Y6108">
        <v>-6.2378219999999998E-2</v>
      </c>
      <c r="Z6108">
        <v>2.8572430000000002E-3</v>
      </c>
      <c r="AA6108">
        <v>0.99804850000000001</v>
      </c>
      <c r="AB6108">
        <v>37</v>
      </c>
      <c r="AC6108">
        <v>21.4481999999999</v>
      </c>
      <c r="AD6108">
        <v>-1.1110526759949999</v>
      </c>
      <c r="AE6108">
        <v>0.87742999999999605</v>
      </c>
      <c r="AF6108">
        <v>-1.3499974499182901</v>
      </c>
      <c r="AG6108">
        <v>-1.1110526759949999</v>
      </c>
      <c r="AH6108">
        <v>21.366180824703299</v>
      </c>
      <c r="AI6108">
        <v>92.970816123871998</v>
      </c>
      <c r="AJ6108">
        <v>93.615361662647899</v>
      </c>
      <c r="AK6108">
        <v>21.437598144324301</v>
      </c>
      <c r="AL6108">
        <v>92.333090616965094</v>
      </c>
      <c r="AM6108">
        <v>93.078629580749194</v>
      </c>
      <c r="AN6108">
        <v>0.99999998143446001</v>
      </c>
    </row>
    <row r="6109" spans="1:40" x14ac:dyDescent="0.25">
      <c r="A6109" t="str">
        <f>"20190305135353139"</f>
        <v>20190305135353139</v>
      </c>
      <c r="B6109" t="str">
        <f>"1551765233136197"</f>
        <v>1551765233136197</v>
      </c>
      <c r="C6109" t="s">
        <v>40</v>
      </c>
      <c r="D6109">
        <v>4.4055559999999998</v>
      </c>
      <c r="E6109">
        <v>0.4989558</v>
      </c>
      <c r="F6109" t="s">
        <v>94</v>
      </c>
      <c r="G6109">
        <v>-215.31039999999999</v>
      </c>
      <c r="H6109" s="1">
        <v>-1.586938E-6</v>
      </c>
      <c r="I6109">
        <v>-61.660629999999998</v>
      </c>
      <c r="J6109">
        <v>-236.84190000000001</v>
      </c>
      <c r="K6109">
        <v>1.111102</v>
      </c>
      <c r="L6109">
        <v>-62.456330000000001</v>
      </c>
      <c r="M6109">
        <v>0.99968869999999999</v>
      </c>
      <c r="N6109">
        <v>-1.340935E-2</v>
      </c>
      <c r="O6109">
        <v>-2.1042620000000001E-2</v>
      </c>
      <c r="P6109">
        <v>0.9980637</v>
      </c>
      <c r="Q6109">
        <v>-5.3540650000000002E-2</v>
      </c>
      <c r="R6109">
        <v>3.1663860000000002E-2</v>
      </c>
      <c r="S6109">
        <v>2.99411</v>
      </c>
      <c r="T6109">
        <v>-0.153242299999999</v>
      </c>
      <c r="U6109">
        <v>0.1093445</v>
      </c>
      <c r="V6109">
        <v>-5.2452079999999998E-2</v>
      </c>
      <c r="W6109">
        <v>-4.0436640000000003E-2</v>
      </c>
      <c r="X6109">
        <v>0.99780440000000004</v>
      </c>
      <c r="Y6109">
        <v>-5.74082E-2</v>
      </c>
      <c r="Z6109">
        <v>2.6470600000000001E-3</v>
      </c>
      <c r="AA6109">
        <v>0.99834730000000005</v>
      </c>
      <c r="AB6109">
        <v>37</v>
      </c>
      <c r="AC6109">
        <v>21.531500000000001</v>
      </c>
      <c r="AD6109">
        <v>-1.1111035869379999</v>
      </c>
      <c r="AE6109">
        <v>0.79569999999999597</v>
      </c>
      <c r="AF6109">
        <v>-1.2453319588028799</v>
      </c>
      <c r="AG6109">
        <v>-1.1111035869379999</v>
      </c>
      <c r="AH6109">
        <v>21.452936652607502</v>
      </c>
      <c r="AI6109">
        <v>92.959874895886102</v>
      </c>
      <c r="AJ6109">
        <v>93.322262209487505</v>
      </c>
      <c r="AK6109">
        <v>21.5177576408257</v>
      </c>
      <c r="AL6109">
        <v>92.317480705728002</v>
      </c>
      <c r="AM6109">
        <v>93.009126020604199</v>
      </c>
      <c r="AN6109">
        <v>0.99999998160508696</v>
      </c>
    </row>
    <row r="6110" spans="1:40" x14ac:dyDescent="0.25">
      <c r="A6110" t="str">
        <f>"20190305135353148"</f>
        <v>20190305135353148</v>
      </c>
      <c r="B6110" t="str">
        <f>"1551765233145958"</f>
        <v>1551765233145958</v>
      </c>
      <c r="C6110" t="s">
        <v>40</v>
      </c>
      <c r="D6110">
        <v>4.4577</v>
      </c>
      <c r="E6110">
        <v>0.49970730000000002</v>
      </c>
      <c r="F6110" t="s">
        <v>94</v>
      </c>
      <c r="G6110">
        <v>-215.06800000000001</v>
      </c>
      <c r="H6110" s="1">
        <v>-1.4944809999999999E-6</v>
      </c>
      <c r="I6110">
        <v>-61.703980000000001</v>
      </c>
      <c r="J6110">
        <v>-236.6968</v>
      </c>
      <c r="K6110">
        <v>1.11114</v>
      </c>
      <c r="L6110">
        <v>-62.458620000000003</v>
      </c>
      <c r="M6110">
        <v>0.99970760000000003</v>
      </c>
      <c r="N6110">
        <v>-1.3491650000000001E-2</v>
      </c>
      <c r="O6110">
        <v>-2.0071160000000001E-2</v>
      </c>
      <c r="P6110">
        <v>0.99806110000000003</v>
      </c>
      <c r="Q6110">
        <v>-5.3828969999999997E-2</v>
      </c>
      <c r="R6110">
        <v>3.1251889999999997E-2</v>
      </c>
      <c r="S6110">
        <v>2.9943390000000001</v>
      </c>
      <c r="T6110">
        <v>-0.1527982</v>
      </c>
      <c r="U6110">
        <v>0.10345459999999999</v>
      </c>
      <c r="V6110">
        <v>-5.1066100000000003E-2</v>
      </c>
      <c r="W6110">
        <v>-4.063986E-2</v>
      </c>
      <c r="X6110">
        <v>0.99786810000000004</v>
      </c>
      <c r="Y6110">
        <v>-5.4479819999999998E-2</v>
      </c>
      <c r="Z6110">
        <v>2.5093400000000001E-3</v>
      </c>
      <c r="AA6110">
        <v>0.9985117</v>
      </c>
      <c r="AB6110">
        <v>37</v>
      </c>
      <c r="AC6110">
        <v>21.628799999999998</v>
      </c>
      <c r="AD6110">
        <v>-1.1111414944810001</v>
      </c>
      <c r="AE6110">
        <v>0.75463999999999398</v>
      </c>
      <c r="AF6110">
        <v>-1.1855175136943701</v>
      </c>
      <c r="AG6110">
        <v>-1.1111414944810001</v>
      </c>
      <c r="AH6110">
        <v>21.552481937110301</v>
      </c>
      <c r="AI6110">
        <v>92.946832902870895</v>
      </c>
      <c r="AJ6110">
        <v>93.148443322534604</v>
      </c>
      <c r="AK6110">
        <v>21.6136430257719</v>
      </c>
      <c r="AL6110">
        <v>92.329133785887393</v>
      </c>
      <c r="AM6110">
        <v>92.929567367031396</v>
      </c>
      <c r="AN6110">
        <v>1.00000004489381</v>
      </c>
    </row>
    <row r="6111" spans="1:40" x14ac:dyDescent="0.25">
      <c r="A6111" t="str">
        <f>"20190305135353159"</f>
        <v>20190305135353159</v>
      </c>
      <c r="B6111" t="str">
        <f>"1551765233155717"</f>
        <v>1551765233155717</v>
      </c>
      <c r="C6111" t="s">
        <v>40</v>
      </c>
      <c r="D6111">
        <v>4.4618120000000001</v>
      </c>
      <c r="E6111">
        <v>0.50044230000000001</v>
      </c>
      <c r="F6111" t="s">
        <v>94</v>
      </c>
      <c r="G6111">
        <v>-215.02090000000001</v>
      </c>
      <c r="H6111" s="1">
        <v>-1.4898089999999999E-6</v>
      </c>
      <c r="I6111">
        <v>-61.762279999999997</v>
      </c>
      <c r="J6111">
        <v>-236.51679999999999</v>
      </c>
      <c r="K6111">
        <v>1.111189</v>
      </c>
      <c r="L6111">
        <v>-62.461120000000001</v>
      </c>
      <c r="M6111">
        <v>0.99973020000000001</v>
      </c>
      <c r="N6111">
        <v>-1.3585679999999999E-2</v>
      </c>
      <c r="O6111">
        <v>-1.8839910000000001E-2</v>
      </c>
      <c r="P6111">
        <v>0.99804409999999999</v>
      </c>
      <c r="Q6111">
        <v>-5.4201319999999997E-2</v>
      </c>
      <c r="R6111">
        <v>3.1144040000000001E-2</v>
      </c>
      <c r="S6111">
        <v>2.9945369999999998</v>
      </c>
      <c r="T6111">
        <v>-0.153505</v>
      </c>
      <c r="U6111">
        <v>9.6191410000000005E-2</v>
      </c>
      <c r="V6111">
        <v>-4.972273E-2</v>
      </c>
      <c r="W6111">
        <v>-4.0916460000000002E-2</v>
      </c>
      <c r="X6111">
        <v>0.99792460000000005</v>
      </c>
      <c r="Y6111">
        <v>-5.0834230000000001E-2</v>
      </c>
      <c r="Z6111">
        <v>2.35658E-3</v>
      </c>
      <c r="AA6111">
        <v>0.99870429999999999</v>
      </c>
      <c r="AB6111">
        <v>37</v>
      </c>
      <c r="AC6111">
        <v>21.495899999999899</v>
      </c>
      <c r="AD6111">
        <v>-1.1111904898089999</v>
      </c>
      <c r="AE6111">
        <v>0.69883999999998903</v>
      </c>
      <c r="AF6111">
        <v>-1.10079572640487</v>
      </c>
      <c r="AG6111">
        <v>-1.1111904898089999</v>
      </c>
      <c r="AH6111">
        <v>21.421734457487599</v>
      </c>
      <c r="AI6111">
        <v>92.965485653158197</v>
      </c>
      <c r="AJ6111">
        <v>92.941662912148303</v>
      </c>
      <c r="AK6111">
        <v>21.478761665958</v>
      </c>
      <c r="AL6111">
        <v>92.344995079865498</v>
      </c>
      <c r="AM6111">
        <v>92.852468489846103</v>
      </c>
      <c r="AN6111">
        <v>1.0000000069313699</v>
      </c>
    </row>
    <row r="6112" spans="1:40" x14ac:dyDescent="0.25">
      <c r="A6112" t="str">
        <f>"20190305135353183"</f>
        <v>20190305135353183</v>
      </c>
      <c r="B6112" t="str">
        <f>"1551765233176213"</f>
        <v>1551765233176213</v>
      </c>
      <c r="C6112" t="s">
        <v>40</v>
      </c>
      <c r="D6112">
        <v>4.4937209999999999</v>
      </c>
      <c r="E6112">
        <v>0.50186019999999998</v>
      </c>
      <c r="F6112" t="s">
        <v>94</v>
      </c>
      <c r="G6112">
        <v>-215.0009</v>
      </c>
      <c r="H6112" s="1">
        <v>-1.4949629999999999E-6</v>
      </c>
      <c r="I6112">
        <v>-61.814030000000002</v>
      </c>
      <c r="J6112">
        <v>-236.13679999999999</v>
      </c>
      <c r="K6112">
        <v>1.1112879999999901</v>
      </c>
      <c r="L6112">
        <v>-62.465789999999998</v>
      </c>
      <c r="M6112">
        <v>0.99977459999999996</v>
      </c>
      <c r="N6112">
        <v>-1.3765680000000001E-2</v>
      </c>
      <c r="O6112">
        <v>-1.6172559999999999E-2</v>
      </c>
      <c r="P6112">
        <v>0.99798180000000003</v>
      </c>
      <c r="Q6112">
        <v>-5.5288049999999998E-2</v>
      </c>
      <c r="R6112">
        <v>3.1235530000000001E-2</v>
      </c>
      <c r="S6112">
        <v>2.9946899999999999</v>
      </c>
      <c r="T6112">
        <v>-0.15466050000000001</v>
      </c>
      <c r="U6112">
        <v>9.0057369999999998E-2</v>
      </c>
      <c r="V6112">
        <v>-4.7137900000000003E-2</v>
      </c>
      <c r="W6112">
        <v>-4.1820099999999999E-2</v>
      </c>
      <c r="X6112">
        <v>0.99801260000000003</v>
      </c>
      <c r="Y6112">
        <v>-4.6132189999999997E-2</v>
      </c>
      <c r="Z6112">
        <v>2.120097E-3</v>
      </c>
      <c r="AA6112">
        <v>0.99893310000000002</v>
      </c>
      <c r="AB6112">
        <v>37</v>
      </c>
      <c r="AC6112">
        <v>21.1358999999999</v>
      </c>
      <c r="AD6112">
        <v>-1.1112894949629999</v>
      </c>
      <c r="AE6112">
        <v>0.651760000000002</v>
      </c>
      <c r="AF6112">
        <v>-0.99079227515846002</v>
      </c>
      <c r="AG6112">
        <v>-1.1112894949629999</v>
      </c>
      <c r="AH6112">
        <v>21.064416837442401</v>
      </c>
      <c r="AI6112">
        <v>93.016608600199405</v>
      </c>
      <c r="AJ6112">
        <v>92.692996760265999</v>
      </c>
      <c r="AK6112">
        <v>21.116966883898201</v>
      </c>
      <c r="AL6112">
        <v>92.396814152492695</v>
      </c>
      <c r="AM6112">
        <v>92.7041713262456</v>
      </c>
      <c r="AN6112">
        <v>1.0000000260695801</v>
      </c>
    </row>
    <row r="6113" spans="1:40" x14ac:dyDescent="0.25">
      <c r="A6113" t="str">
        <f>"20190305135353193"</f>
        <v>20190305135353193</v>
      </c>
      <c r="B6113" t="str">
        <f>"1551765233185974"</f>
        <v>1551765233185974</v>
      </c>
      <c r="C6113" t="s">
        <v>40</v>
      </c>
      <c r="D6113">
        <v>4.4616680000000004</v>
      </c>
      <c r="E6113">
        <v>0.50252410000000003</v>
      </c>
      <c r="F6113" t="s">
        <v>94</v>
      </c>
      <c r="G6113">
        <v>-215.01419999999999</v>
      </c>
      <c r="H6113" s="1">
        <v>-1.5258319999999999E-6</v>
      </c>
      <c r="I6113">
        <v>-61.908479999999997</v>
      </c>
      <c r="J6113">
        <v>-235.9599</v>
      </c>
      <c r="K6113">
        <v>1.111335</v>
      </c>
      <c r="L6113">
        <v>-62.467469999999999</v>
      </c>
      <c r="M6113">
        <v>0.9997935</v>
      </c>
      <c r="N6113">
        <v>-1.3838939999999999E-2</v>
      </c>
      <c r="O6113">
        <v>-1.488774E-2</v>
      </c>
      <c r="P6113">
        <v>0.99793849999999995</v>
      </c>
      <c r="Q6113">
        <v>-5.6074199999999998E-2</v>
      </c>
      <c r="R6113">
        <v>3.1217849999999998E-2</v>
      </c>
      <c r="S6113">
        <v>2.9948730000000001</v>
      </c>
      <c r="T6113">
        <v>-0.1575645</v>
      </c>
      <c r="U6113">
        <v>7.9010010000000006E-2</v>
      </c>
      <c r="V6113">
        <v>-4.5829210000000002E-2</v>
      </c>
      <c r="W6113">
        <v>-4.2530449999999997E-2</v>
      </c>
      <c r="X6113">
        <v>0.99804349999999997</v>
      </c>
      <c r="Y6113">
        <v>-4.1170560000000002E-2</v>
      </c>
      <c r="Z6113">
        <v>1.9439839999999999E-3</v>
      </c>
      <c r="AA6113">
        <v>0.99915019999999999</v>
      </c>
      <c r="AB6113">
        <v>36</v>
      </c>
      <c r="AC6113">
        <v>20.945699999999999</v>
      </c>
      <c r="AD6113">
        <v>-1.1113365258319901</v>
      </c>
      <c r="AE6113">
        <v>0.55898999999999399</v>
      </c>
      <c r="AF6113">
        <v>-0.86834921221116801</v>
      </c>
      <c r="AG6113">
        <v>-1.1113365258319901</v>
      </c>
      <c r="AH6113">
        <v>20.8763271323031</v>
      </c>
      <c r="AI6113">
        <v>93.044596328318505</v>
      </c>
      <c r="AJ6113">
        <v>92.381840512730705</v>
      </c>
      <c r="AK6113">
        <v>20.923912964905199</v>
      </c>
      <c r="AL6113">
        <v>92.437550538955904</v>
      </c>
      <c r="AM6113">
        <v>92.629120952074302</v>
      </c>
      <c r="AN6113">
        <v>0.99999999177933796</v>
      </c>
    </row>
    <row r="6114" spans="1:40" x14ac:dyDescent="0.25">
      <c r="A6114" t="str">
        <f>"20190305135353203"</f>
        <v>20190305135353203</v>
      </c>
      <c r="B6114" t="str">
        <f>"1551765233195733"</f>
        <v>1551765233195733</v>
      </c>
      <c r="C6114" t="s">
        <v>40</v>
      </c>
      <c r="D6114">
        <v>4.4651420000000002</v>
      </c>
      <c r="E6114">
        <v>0.50317860000000003</v>
      </c>
      <c r="F6114" t="s">
        <v>94</v>
      </c>
      <c r="G6114">
        <v>-215.12379999999999</v>
      </c>
      <c r="H6114" s="1">
        <v>-1.5851489999999999E-6</v>
      </c>
      <c r="I6114">
        <v>-61.954669999999901</v>
      </c>
      <c r="J6114">
        <v>-235.79130000000001</v>
      </c>
      <c r="K6114">
        <v>1.111378</v>
      </c>
      <c r="L6114">
        <v>-62.469019999999901</v>
      </c>
      <c r="M6114">
        <v>0.99981019999999998</v>
      </c>
      <c r="N6114">
        <v>-1.3906750000000001E-2</v>
      </c>
      <c r="O6114">
        <v>-1.3655860000000001E-2</v>
      </c>
      <c r="P6114">
        <v>0.99788600000000005</v>
      </c>
      <c r="Q6114">
        <v>-5.6866930000000003E-2</v>
      </c>
      <c r="R6114">
        <v>3.1464369999999998E-2</v>
      </c>
      <c r="S6114">
        <v>2.9949189999999999</v>
      </c>
      <c r="T6114">
        <v>-0.15974070000000001</v>
      </c>
      <c r="U6114">
        <v>7.369995E-2</v>
      </c>
      <c r="V6114">
        <v>-4.4837439999999999E-2</v>
      </c>
      <c r="W6114">
        <v>-4.3254389999999997E-2</v>
      </c>
      <c r="X6114">
        <v>0.99805739999999998</v>
      </c>
      <c r="Y6114">
        <v>-3.8172629999999999E-2</v>
      </c>
      <c r="Z6114">
        <v>1.8208199999999999E-3</v>
      </c>
      <c r="AA6114">
        <v>0.99926950000000003</v>
      </c>
      <c r="AB6114">
        <v>36</v>
      </c>
      <c r="AC6114">
        <v>20.6675</v>
      </c>
      <c r="AD6114">
        <v>-1.111379585149</v>
      </c>
      <c r="AE6114">
        <v>0.51434999999999997</v>
      </c>
      <c r="AF6114">
        <v>-0.79426643141059095</v>
      </c>
      <c r="AG6114">
        <v>-1.111379585149</v>
      </c>
      <c r="AH6114">
        <v>20.599019179776199</v>
      </c>
      <c r="AI6114">
        <v>93.085998103729906</v>
      </c>
      <c r="AJ6114">
        <v>92.208143062254607</v>
      </c>
      <c r="AK6114">
        <v>20.6442634868658</v>
      </c>
      <c r="AL6114">
        <v>92.4790675437727</v>
      </c>
      <c r="AM6114">
        <v>92.572266776760998</v>
      </c>
      <c r="AN6114">
        <v>0.999999955987391</v>
      </c>
    </row>
    <row r="6115" spans="1:40" x14ac:dyDescent="0.25">
      <c r="A6115" t="str">
        <f>"20190305135353215"</f>
        <v>20190305135353215</v>
      </c>
      <c r="B6115" t="str">
        <f>"1551765233206469"</f>
        <v>1551765233206469</v>
      </c>
      <c r="C6115" t="s">
        <v>40</v>
      </c>
      <c r="D6115">
        <v>4.4571909999999999</v>
      </c>
      <c r="E6115">
        <v>0.50382649999999995</v>
      </c>
      <c r="F6115" t="s">
        <v>94</v>
      </c>
      <c r="G6115">
        <v>-215.22069999999999</v>
      </c>
      <c r="H6115" s="1">
        <v>-1.6370909999999999E-6</v>
      </c>
      <c r="I6115">
        <v>-61.993789999999997</v>
      </c>
      <c r="J6115">
        <v>-235.6086</v>
      </c>
      <c r="K6115">
        <v>1.1114250000000001</v>
      </c>
      <c r="L6115">
        <v>-62.47025</v>
      </c>
      <c r="M6115">
        <v>0.99982700000000002</v>
      </c>
      <c r="N6115">
        <v>-1.397201E-2</v>
      </c>
      <c r="O6115">
        <v>-1.2283280000000001E-2</v>
      </c>
      <c r="P6115">
        <v>0.99784680000000003</v>
      </c>
      <c r="Q6115">
        <v>-5.7361299999999997E-2</v>
      </c>
      <c r="R6115">
        <v>3.180467E-2</v>
      </c>
      <c r="S6115">
        <v>2.9949490000000001</v>
      </c>
      <c r="T6115">
        <v>-0.16180939999999999</v>
      </c>
      <c r="U6115">
        <v>6.9183350000000005E-2</v>
      </c>
      <c r="V6115">
        <v>-4.3801020000000003E-2</v>
      </c>
      <c r="W6115">
        <v>-4.3681980000000002E-2</v>
      </c>
      <c r="X6115">
        <v>0.99808479999999999</v>
      </c>
      <c r="Y6115">
        <v>-3.5298679999999999E-2</v>
      </c>
      <c r="Z6115">
        <v>1.6911560000000001E-3</v>
      </c>
      <c r="AA6115">
        <v>0.99937540000000002</v>
      </c>
      <c r="AB6115">
        <v>36</v>
      </c>
      <c r="AC6115">
        <v>20.387899999999998</v>
      </c>
      <c r="AD6115">
        <v>-1.111426637091</v>
      </c>
      <c r="AE6115">
        <v>0.476459999999995</v>
      </c>
      <c r="AF6115">
        <v>-0.72472621293289496</v>
      </c>
      <c r="AG6115">
        <v>-1.111426637091</v>
      </c>
      <c r="AH6115">
        <v>20.320154466015602</v>
      </c>
      <c r="AI6115">
        <v>93.128732367863904</v>
      </c>
      <c r="AJ6115">
        <v>92.042610475738996</v>
      </c>
      <c r="AK6115">
        <v>20.363427382837099</v>
      </c>
      <c r="AL6115">
        <v>92.503589824641097</v>
      </c>
      <c r="AM6115">
        <v>92.512816902775796</v>
      </c>
      <c r="AN6115">
        <v>0.99999995636039896</v>
      </c>
    </row>
    <row r="6116" spans="1:40" x14ac:dyDescent="0.25">
      <c r="A6116" t="str">
        <f>"20190305135353226"</f>
        <v>20190305135353226</v>
      </c>
      <c r="B6116" t="str">
        <f>"1551765233215923"</f>
        <v>1551765233215923</v>
      </c>
      <c r="C6116" t="s">
        <v>40</v>
      </c>
      <c r="D6116">
        <v>4.4754480000000001</v>
      </c>
      <c r="E6116">
        <v>0.50446219999999997</v>
      </c>
      <c r="F6116" t="s">
        <v>94</v>
      </c>
      <c r="G6116">
        <v>-215.18620000000001</v>
      </c>
      <c r="H6116" s="1">
        <v>-1.631024E-6</v>
      </c>
      <c r="I6116">
        <v>-62.026539999999997</v>
      </c>
      <c r="J6116">
        <v>-235.43119999999999</v>
      </c>
      <c r="K6116">
        <v>1.11147</v>
      </c>
      <c r="L6116">
        <v>-62.471339999999998</v>
      </c>
      <c r="M6116">
        <v>0.99984170000000006</v>
      </c>
      <c r="N6116">
        <v>-1.403365E-2</v>
      </c>
      <c r="O6116">
        <v>-1.0943140000000001E-2</v>
      </c>
      <c r="P6116">
        <v>0.99782289999999996</v>
      </c>
      <c r="Q6116">
        <v>-5.7757280000000001E-2</v>
      </c>
      <c r="R6116">
        <v>3.1839630000000001E-2</v>
      </c>
      <c r="S6116">
        <v>2.9950260000000002</v>
      </c>
      <c r="T6116">
        <v>-0.1629951</v>
      </c>
      <c r="U6116">
        <v>6.5063480000000007E-2</v>
      </c>
      <c r="V6116">
        <v>-4.2492050000000003E-2</v>
      </c>
      <c r="W6116">
        <v>-4.4012500000000003E-2</v>
      </c>
      <c r="X6116">
        <v>0.99812690000000004</v>
      </c>
      <c r="Y6116">
        <v>-3.2589479999999997E-2</v>
      </c>
      <c r="Z6116">
        <v>1.556527E-3</v>
      </c>
      <c r="AA6116">
        <v>0.99946760000000001</v>
      </c>
      <c r="AB6116">
        <v>36</v>
      </c>
      <c r="AC6116">
        <v>20.244999999999902</v>
      </c>
      <c r="AD6116">
        <v>-1.111471631024</v>
      </c>
      <c r="AE6116">
        <v>0.44479999999999997</v>
      </c>
      <c r="AF6116">
        <v>-0.66433760578997703</v>
      </c>
      <c r="AG6116">
        <v>-1.111471631024</v>
      </c>
      <c r="AH6116">
        <v>20.178129492379401</v>
      </c>
      <c r="AI6116">
        <v>93.151132549897596</v>
      </c>
      <c r="AJ6116">
        <v>91.885704850016197</v>
      </c>
      <c r="AK6116">
        <v>20.219634602343099</v>
      </c>
      <c r="AL6116">
        <v>92.522545368567094</v>
      </c>
      <c r="AM6116">
        <v>92.437712005928702</v>
      </c>
      <c r="AN6116">
        <v>0.99999999148653096</v>
      </c>
    </row>
    <row r="6117" spans="1:40" x14ac:dyDescent="0.25">
      <c r="A6117" t="str">
        <f>"20190305135353238"</f>
        <v>20190305135353238</v>
      </c>
      <c r="B6117" t="str">
        <f>"1551765233225683"</f>
        <v>1551765233225683</v>
      </c>
      <c r="C6117" t="s">
        <v>40</v>
      </c>
      <c r="D6117">
        <v>4.4751690000000002</v>
      </c>
      <c r="E6117">
        <v>0.50508819999999999</v>
      </c>
      <c r="F6117" t="s">
        <v>94</v>
      </c>
      <c r="G6117">
        <v>-215.11699999999999</v>
      </c>
      <c r="H6117" s="1">
        <v>-1.6111849999999999E-6</v>
      </c>
      <c r="I6117">
        <v>-62.06353</v>
      </c>
      <c r="J6117">
        <v>-235.24510000000001</v>
      </c>
      <c r="K6117">
        <v>1.1115250000000001</v>
      </c>
      <c r="L6117">
        <v>-62.472079999999998</v>
      </c>
      <c r="M6117">
        <v>0.99985559999999996</v>
      </c>
      <c r="N6117">
        <v>-1.409126E-2</v>
      </c>
      <c r="O6117">
        <v>-9.5072750000000008E-3</v>
      </c>
      <c r="P6117">
        <v>0.99779949999999995</v>
      </c>
      <c r="Q6117">
        <v>-5.8008820000000003E-2</v>
      </c>
      <c r="R6117">
        <v>3.2110470000000002E-2</v>
      </c>
      <c r="S6117">
        <v>2.9951319999999999</v>
      </c>
      <c r="T6117">
        <v>-0.16387589999999999</v>
      </c>
      <c r="U6117">
        <v>6.011963E-2</v>
      </c>
      <c r="V6117">
        <v>-4.1324659999999999E-2</v>
      </c>
      <c r="W6117">
        <v>-4.4203079999999999E-2</v>
      </c>
      <c r="X6117">
        <v>0.99816749999999999</v>
      </c>
      <c r="Y6117">
        <v>-2.9510459999999999E-2</v>
      </c>
      <c r="Z6117">
        <v>1.4006419999999999E-3</v>
      </c>
      <c r="AA6117">
        <v>0.99956350000000005</v>
      </c>
      <c r="AB6117">
        <v>36</v>
      </c>
      <c r="AC6117">
        <v>20.1280999999999</v>
      </c>
      <c r="AD6117">
        <v>-1.111526611185</v>
      </c>
      <c r="AE6117">
        <v>0.40854999999999803</v>
      </c>
      <c r="AF6117">
        <v>-0.59809074913761495</v>
      </c>
      <c r="AG6117">
        <v>-1.111526611185</v>
      </c>
      <c r="AH6117">
        <v>20.062150432823199</v>
      </c>
      <c r="AI6117">
        <v>93.169777082468201</v>
      </c>
      <c r="AJ6117">
        <v>91.707590086531795</v>
      </c>
      <c r="AK6117">
        <v>20.101817926267401</v>
      </c>
      <c r="AL6117">
        <v>92.533475416847494</v>
      </c>
      <c r="AM6117">
        <v>92.370721579480502</v>
      </c>
      <c r="AN6117">
        <v>0.99999999893092595</v>
      </c>
    </row>
    <row r="6118" spans="1:40" x14ac:dyDescent="0.25">
      <c r="A6118" t="str">
        <f>"20190305135353249"</f>
        <v>20190305135353249</v>
      </c>
      <c r="B6118" t="str">
        <f>"1551765233246179"</f>
        <v>1551765233246179</v>
      </c>
      <c r="C6118" t="s">
        <v>40</v>
      </c>
      <c r="D6118">
        <v>4.4717479999999998</v>
      </c>
      <c r="E6118">
        <v>0.50627089999999997</v>
      </c>
      <c r="F6118" t="s">
        <v>94</v>
      </c>
      <c r="G6118">
        <v>-214.9819</v>
      </c>
      <c r="H6118" s="1">
        <v>-1.5612260000000001E-6</v>
      </c>
      <c r="I6118">
        <v>-62.093589999999999</v>
      </c>
      <c r="J6118">
        <v>-235.0684</v>
      </c>
      <c r="K6118">
        <v>1.1115679999999999</v>
      </c>
      <c r="L6118">
        <v>-62.4726</v>
      </c>
      <c r="M6118">
        <v>0.9998669</v>
      </c>
      <c r="N6118">
        <v>-1.4143559999999999E-2</v>
      </c>
      <c r="O6118">
        <v>-8.1342489999999996E-3</v>
      </c>
      <c r="P6118">
        <v>0.99781089999999995</v>
      </c>
      <c r="Q6118">
        <v>-5.775487E-2</v>
      </c>
      <c r="R6118">
        <v>3.2218549999999999E-2</v>
      </c>
      <c r="S6118">
        <v>2.9952999999999999</v>
      </c>
      <c r="T6118">
        <v>-0.16430510000000001</v>
      </c>
      <c r="U6118">
        <v>5.5938719999999997E-2</v>
      </c>
      <c r="V6118">
        <v>-4.0061489999999998E-2</v>
      </c>
      <c r="W6118">
        <v>-4.3891819999999998E-2</v>
      </c>
      <c r="X6118">
        <v>0.99823269999999997</v>
      </c>
      <c r="Y6118">
        <v>-2.674795E-2</v>
      </c>
      <c r="Z6118">
        <v>1.253217E-3</v>
      </c>
      <c r="AA6118">
        <v>0.99964140000000001</v>
      </c>
      <c r="AB6118">
        <v>36</v>
      </c>
      <c r="AC6118">
        <v>20.086500000000001</v>
      </c>
      <c r="AD6118">
        <v>-1.1115695612259999</v>
      </c>
      <c r="AE6118">
        <v>0.37901000000000001</v>
      </c>
      <c r="AF6118">
        <v>-0.54074698866006499</v>
      </c>
      <c r="AG6118">
        <v>-1.1115695612259999</v>
      </c>
      <c r="AH6118">
        <v>20.021459767497799</v>
      </c>
      <c r="AI6118">
        <v>93.176580767522395</v>
      </c>
      <c r="AJ6118">
        <v>91.5470894964173</v>
      </c>
      <c r="AK6118">
        <v>20.059582383906299</v>
      </c>
      <c r="AL6118">
        <v>92.515624281855693</v>
      </c>
      <c r="AM6118">
        <v>92.298184761941698</v>
      </c>
      <c r="AN6118">
        <v>0.99999996909661004</v>
      </c>
    </row>
    <row r="6119" spans="1:40" x14ac:dyDescent="0.25">
      <c r="A6119" t="str">
        <f>"20190305135353259"</f>
        <v>20190305135353259</v>
      </c>
      <c r="B6119" t="str">
        <f>"1551765233255942"</f>
        <v>1551765233255942</v>
      </c>
      <c r="C6119" t="s">
        <v>40</v>
      </c>
      <c r="D6119">
        <v>4.4276</v>
      </c>
      <c r="E6119">
        <v>0.50683500000000004</v>
      </c>
      <c r="F6119" t="s">
        <v>94</v>
      </c>
      <c r="G6119">
        <v>-214.62180000000001</v>
      </c>
      <c r="H6119" s="1">
        <v>-1.422541E-6</v>
      </c>
      <c r="I6119">
        <v>-62.153010000000002</v>
      </c>
      <c r="J6119">
        <v>-234.8811</v>
      </c>
      <c r="K6119">
        <v>1.1116109999999999</v>
      </c>
      <c r="L6119">
        <v>-62.472810000000003</v>
      </c>
      <c r="M6119">
        <v>0.99987709999999996</v>
      </c>
      <c r="N6119">
        <v>-1.419425E-2</v>
      </c>
      <c r="O6119">
        <v>-6.661101E-3</v>
      </c>
      <c r="P6119">
        <v>0.99780849999999999</v>
      </c>
      <c r="Q6119">
        <v>-5.7670560000000003E-2</v>
      </c>
      <c r="R6119">
        <v>3.244528E-2</v>
      </c>
      <c r="S6119">
        <v>2.9956360000000002</v>
      </c>
      <c r="T6119">
        <v>-0.1628559</v>
      </c>
      <c r="U6119">
        <v>4.6813960000000002E-2</v>
      </c>
      <c r="V6119">
        <v>-3.8815549999999997E-2</v>
      </c>
      <c r="W6119">
        <v>-4.3751680000000001E-2</v>
      </c>
      <c r="X6119">
        <v>0.99828810000000001</v>
      </c>
      <c r="Y6119">
        <v>-2.22393E-2</v>
      </c>
      <c r="Z6119">
        <v>1.029374E-3</v>
      </c>
      <c r="AA6119">
        <v>0.99975219999999998</v>
      </c>
      <c r="AB6119">
        <v>36</v>
      </c>
      <c r="AC6119">
        <v>20.2593</v>
      </c>
      <c r="AD6119">
        <v>-1.111612422541</v>
      </c>
      <c r="AE6119">
        <v>0.31979999999999997</v>
      </c>
      <c r="AF6119">
        <v>-0.45339108518636401</v>
      </c>
      <c r="AG6119">
        <v>-1.111612422541</v>
      </c>
      <c r="AH6119">
        <v>20.195932606999701</v>
      </c>
      <c r="AI6119">
        <v>93.149669039780704</v>
      </c>
      <c r="AJ6119">
        <v>91.286052662031693</v>
      </c>
      <c r="AK6119">
        <v>20.2315827240616</v>
      </c>
      <c r="AL6119">
        <v>92.507587069030393</v>
      </c>
      <c r="AM6119">
        <v>92.2266592829953</v>
      </c>
      <c r="AN6119">
        <v>0.99999999351311697</v>
      </c>
    </row>
    <row r="6120" spans="1:40" x14ac:dyDescent="0.25">
      <c r="A6120" t="str">
        <f>"20190305135353272"</f>
        <v>20190305135353272</v>
      </c>
      <c r="B6120" t="str">
        <f>"1551765233265699"</f>
        <v>1551765233265699</v>
      </c>
      <c r="C6120" t="s">
        <v>40</v>
      </c>
      <c r="D6120">
        <v>4.4690009999999996</v>
      </c>
      <c r="E6120">
        <v>0.50739880000000004</v>
      </c>
      <c r="F6120" t="s">
        <v>94</v>
      </c>
      <c r="G6120">
        <v>-214.36660000000001</v>
      </c>
      <c r="H6120" s="1">
        <v>-1.3197400000000001E-6</v>
      </c>
      <c r="I6120">
        <v>-62.178089999999997</v>
      </c>
      <c r="J6120">
        <v>-234.6917</v>
      </c>
      <c r="K6120">
        <v>1.111653</v>
      </c>
      <c r="L6120">
        <v>-62.47278</v>
      </c>
      <c r="M6120">
        <v>0.99988520000000003</v>
      </c>
      <c r="N6120">
        <v>-1.4241470000000001E-2</v>
      </c>
      <c r="O6120">
        <v>-5.1592510000000001E-3</v>
      </c>
      <c r="P6120">
        <v>0.99780000000000002</v>
      </c>
      <c r="Q6120">
        <v>-5.7553229999999997E-2</v>
      </c>
      <c r="R6120">
        <v>3.2908899999999998E-2</v>
      </c>
      <c r="S6120">
        <v>2.995819</v>
      </c>
      <c r="T6120">
        <v>-0.16233330000000001</v>
      </c>
      <c r="U6120">
        <v>4.3029789999999998E-2</v>
      </c>
      <c r="V6120">
        <v>-3.7778550000000001E-2</v>
      </c>
      <c r="W6120">
        <v>-4.3582860000000001E-2</v>
      </c>
      <c r="X6120">
        <v>0.99833519999999998</v>
      </c>
      <c r="Y6120">
        <v>-1.948064E-2</v>
      </c>
      <c r="Z6120">
        <v>8.721496E-4</v>
      </c>
      <c r="AA6120">
        <v>0.99980990000000003</v>
      </c>
      <c r="AB6120">
        <v>36</v>
      </c>
      <c r="AC6120">
        <v>20.3250999999999</v>
      </c>
      <c r="AD6120">
        <v>-1.11165431974</v>
      </c>
      <c r="AE6120">
        <v>0.29469000000000201</v>
      </c>
      <c r="AF6120">
        <v>-0.398367587801296</v>
      </c>
      <c r="AG6120">
        <v>-1.11165431974</v>
      </c>
      <c r="AH6120">
        <v>20.262707828007201</v>
      </c>
      <c r="AI6120">
        <v>93.139612209717498</v>
      </c>
      <c r="AJ6120">
        <v>91.126297709040003</v>
      </c>
      <c r="AK6120">
        <v>20.297088475561999</v>
      </c>
      <c r="AL6120">
        <v>92.497905323817804</v>
      </c>
      <c r="AM6120">
        <v>92.1671269907864</v>
      </c>
      <c r="AN6120">
        <v>0.99999992804245796</v>
      </c>
    </row>
    <row r="6121" spans="1:40" x14ac:dyDescent="0.25">
      <c r="A6121" t="str">
        <f>"20190305135353282"</f>
        <v>20190305135353282</v>
      </c>
      <c r="B6121" t="str">
        <f>"1551765233276435"</f>
        <v>1551765233276435</v>
      </c>
      <c r="C6121" t="s">
        <v>40</v>
      </c>
      <c r="D6121">
        <v>4.4692369999999997</v>
      </c>
      <c r="E6121">
        <v>0.50792970000000004</v>
      </c>
      <c r="F6121" t="s">
        <v>94</v>
      </c>
      <c r="G6121">
        <v>-214.0712</v>
      </c>
      <c r="H6121" s="1">
        <v>-1.198314E-6</v>
      </c>
      <c r="I6121">
        <v>-62.197980000000001</v>
      </c>
      <c r="J6121">
        <v>-234.51900000000001</v>
      </c>
      <c r="K6121">
        <v>1.1116900000000001</v>
      </c>
      <c r="L6121">
        <v>-62.472529999999999</v>
      </c>
      <c r="M6121">
        <v>0.99989099999999997</v>
      </c>
      <c r="N6121">
        <v>-1.4282120000000001E-2</v>
      </c>
      <c r="O6121">
        <v>-3.782353E-3</v>
      </c>
      <c r="P6121">
        <v>0.9978013</v>
      </c>
      <c r="Q6121">
        <v>-5.736861E-2</v>
      </c>
      <c r="R6121">
        <v>3.3195410000000002E-2</v>
      </c>
      <c r="S6121">
        <v>2.995987</v>
      </c>
      <c r="T6121">
        <v>-0.16151389999999999</v>
      </c>
      <c r="U6121">
        <v>3.9916989999999999E-2</v>
      </c>
      <c r="V6121">
        <v>-3.6690189999999998E-2</v>
      </c>
      <c r="W6121">
        <v>-4.3352269999999998E-2</v>
      </c>
      <c r="X6121">
        <v>0.99838590000000005</v>
      </c>
      <c r="Y6121">
        <v>-1.707028E-2</v>
      </c>
      <c r="Z6121">
        <v>7.3155889999999997E-4</v>
      </c>
      <c r="AA6121">
        <v>0.99985400000000002</v>
      </c>
      <c r="AB6121">
        <v>36</v>
      </c>
      <c r="AC6121">
        <v>20.447800000000001</v>
      </c>
      <c r="AD6121">
        <v>-1.1116911983140001</v>
      </c>
      <c r="AE6121">
        <v>0.27455000000000401</v>
      </c>
      <c r="AF6121">
        <v>-0.35085982623620998</v>
      </c>
      <c r="AG6121">
        <v>-1.1116911983140001</v>
      </c>
      <c r="AH6121">
        <v>20.3863679731747</v>
      </c>
      <c r="AI6121">
        <v>93.120849551758496</v>
      </c>
      <c r="AJ6121">
        <v>90.985992345299394</v>
      </c>
      <c r="AK6121">
        <v>20.419670885588701</v>
      </c>
      <c r="AL6121">
        <v>92.484680817625303</v>
      </c>
      <c r="AM6121">
        <v>92.104644553759201</v>
      </c>
      <c r="AN6121">
        <v>0.99999999733759903</v>
      </c>
    </row>
    <row r="6122" spans="1:40" x14ac:dyDescent="0.25">
      <c r="A6122" t="str">
        <f>"20190305135353294"</f>
        <v>20190305135353294</v>
      </c>
      <c r="B6122" t="str">
        <f>"1551765233286195"</f>
        <v>1551765233286195</v>
      </c>
      <c r="C6122" t="s">
        <v>40</v>
      </c>
      <c r="D6122">
        <v>4.4525139999999999</v>
      </c>
      <c r="E6122">
        <v>0.50846340000000001</v>
      </c>
      <c r="F6122" t="s">
        <v>94</v>
      </c>
      <c r="G6122">
        <v>-213.77250000000001</v>
      </c>
      <c r="H6122" s="1">
        <v>-1.0758369999999999E-6</v>
      </c>
      <c r="I6122">
        <v>-62.219320000000003</v>
      </c>
      <c r="J6122">
        <v>-234.33600000000001</v>
      </c>
      <c r="K6122">
        <v>1.111729</v>
      </c>
      <c r="L6122">
        <v>-62.471890000000002</v>
      </c>
      <c r="M6122">
        <v>0.99989479999999997</v>
      </c>
      <c r="N6122">
        <v>-1.4320609999999999E-2</v>
      </c>
      <c r="O6122">
        <v>-2.3116690000000001E-3</v>
      </c>
      <c r="P6122">
        <v>0.99778840000000002</v>
      </c>
      <c r="Q6122">
        <v>-5.7307990000000003E-2</v>
      </c>
      <c r="R6122">
        <v>3.3678239999999998E-2</v>
      </c>
      <c r="S6122">
        <v>2.9961850000000001</v>
      </c>
      <c r="T6122">
        <v>-0.16054860000000001</v>
      </c>
      <c r="U6122">
        <v>3.6560059999999998E-2</v>
      </c>
      <c r="V6122">
        <v>-3.5703440000000003E-2</v>
      </c>
      <c r="W6122">
        <v>-4.3248210000000002E-2</v>
      </c>
      <c r="X6122">
        <v>0.99842620000000004</v>
      </c>
      <c r="Y6122">
        <v>-1.448488E-2</v>
      </c>
      <c r="Z6122">
        <v>5.822968E-4</v>
      </c>
      <c r="AA6122">
        <v>0.99989490000000003</v>
      </c>
      <c r="AB6122">
        <v>36</v>
      </c>
      <c r="AC6122">
        <v>20.563499999999902</v>
      </c>
      <c r="AD6122">
        <v>-1.1117300758369999</v>
      </c>
      <c r="AE6122">
        <v>0.25257000000000501</v>
      </c>
      <c r="AF6122">
        <v>-0.299235719367134</v>
      </c>
      <c r="AG6122">
        <v>-1.1117300758369999</v>
      </c>
      <c r="AH6122">
        <v>20.502943398469601</v>
      </c>
      <c r="AI6122">
        <v>93.103376949351698</v>
      </c>
      <c r="AJ6122">
        <v>90.836159291330503</v>
      </c>
      <c r="AK6122">
        <v>20.5352422381163</v>
      </c>
      <c r="AL6122">
        <v>92.478712990040506</v>
      </c>
      <c r="AM6122">
        <v>92.048008283794502</v>
      </c>
      <c r="AN6122">
        <v>1.0000000100712301</v>
      </c>
    </row>
    <row r="6123" spans="1:40" x14ac:dyDescent="0.25">
      <c r="A6123" t="str">
        <f>"20190305135353305"</f>
        <v>20190305135353305</v>
      </c>
      <c r="B6123" t="str">
        <f>"1551765233295955"</f>
        <v>1551765233295955</v>
      </c>
      <c r="C6123" t="s">
        <v>40</v>
      </c>
      <c r="D6123">
        <v>4.4533310000000004</v>
      </c>
      <c r="E6123">
        <v>0.50897530000000002</v>
      </c>
      <c r="F6123" t="s">
        <v>94</v>
      </c>
      <c r="G6123">
        <v>-213.51300000000001</v>
      </c>
      <c r="H6123" s="1">
        <v>-9.6935759999999992E-7</v>
      </c>
      <c r="I6123">
        <v>-62.237479999999998</v>
      </c>
      <c r="J6123">
        <v>-234.15649999999999</v>
      </c>
      <c r="K6123">
        <v>1.1117589999999999</v>
      </c>
      <c r="L6123">
        <v>-62.471130000000002</v>
      </c>
      <c r="M6123">
        <v>0.99989660000000002</v>
      </c>
      <c r="N6123">
        <v>-1.4357119999999999E-2</v>
      </c>
      <c r="O6123">
        <v>-8.661462E-4</v>
      </c>
      <c r="P6123">
        <v>0.9977956</v>
      </c>
      <c r="Q6123">
        <v>-5.6977159999999999E-2</v>
      </c>
      <c r="R6123">
        <v>3.4025109999999997E-2</v>
      </c>
      <c r="S6123">
        <v>2.9963069999999998</v>
      </c>
      <c r="T6123">
        <v>-0.159971</v>
      </c>
      <c r="U6123">
        <v>3.3721920000000002E-2</v>
      </c>
      <c r="V6123">
        <v>-3.4608510000000002E-2</v>
      </c>
      <c r="W6123">
        <v>-4.287469E-2</v>
      </c>
      <c r="X6123">
        <v>0.9984809</v>
      </c>
      <c r="Y6123">
        <v>-1.2097429999999999E-2</v>
      </c>
      <c r="Z6123">
        <v>4.4340459999999999E-4</v>
      </c>
      <c r="AA6123">
        <v>0.99992669999999995</v>
      </c>
      <c r="AB6123">
        <v>36</v>
      </c>
      <c r="AC6123">
        <v>20.6434999999999</v>
      </c>
      <c r="AD6123">
        <v>-1.1117599693575999</v>
      </c>
      <c r="AE6123">
        <v>0.233649999999997</v>
      </c>
      <c r="AF6123">
        <v>-0.25080470710355801</v>
      </c>
      <c r="AG6123">
        <v>-1.1117599693575999</v>
      </c>
      <c r="AH6123">
        <v>20.583597183578501</v>
      </c>
      <c r="AI6123">
        <v>93.091422963129602</v>
      </c>
      <c r="AJ6123">
        <v>90.698096643487403</v>
      </c>
      <c r="AK6123">
        <v>20.615125181438799</v>
      </c>
      <c r="AL6123">
        <v>92.457291908149898</v>
      </c>
      <c r="AM6123">
        <v>91.9851436703823</v>
      </c>
      <c r="AN6123">
        <v>1.0000000478359099</v>
      </c>
    </row>
    <row r="6124" spans="1:40" x14ac:dyDescent="0.25">
      <c r="A6124" t="str">
        <f>"20190305135353316"</f>
        <v>20190305135353316</v>
      </c>
      <c r="B6124" t="str">
        <f>"1551765233305716"</f>
        <v>1551765233305716</v>
      </c>
      <c r="C6124" t="s">
        <v>40</v>
      </c>
      <c r="D6124">
        <v>4.3869669999999896</v>
      </c>
      <c r="E6124">
        <v>0.5094767</v>
      </c>
      <c r="F6124" t="s">
        <v>94</v>
      </c>
      <c r="G6124">
        <v>-213.13990000000001</v>
      </c>
      <c r="H6124" s="1">
        <v>-8.1414330000000002E-7</v>
      </c>
      <c r="I6124">
        <v>-62.255749999999999</v>
      </c>
      <c r="J6124">
        <v>-233.98159999999999</v>
      </c>
      <c r="K6124">
        <v>1.1117840000000001</v>
      </c>
      <c r="L6124">
        <v>-62.469970000000004</v>
      </c>
      <c r="M6124">
        <v>0.99989640000000002</v>
      </c>
      <c r="N6124">
        <v>-1.438818E-2</v>
      </c>
      <c r="O6124">
        <v>5.5156859999999999E-4</v>
      </c>
      <c r="P6124">
        <v>0.99780990000000003</v>
      </c>
      <c r="Q6124">
        <v>-5.6431200000000001E-2</v>
      </c>
      <c r="R6124">
        <v>3.4515469999999999E-2</v>
      </c>
      <c r="S6124">
        <v>2.9965359999999999</v>
      </c>
      <c r="T6124">
        <v>-0.1585135</v>
      </c>
      <c r="U6124">
        <v>3.0700680000000001E-2</v>
      </c>
      <c r="V6124">
        <v>-3.368662E-2</v>
      </c>
      <c r="W6124">
        <v>-4.2291969999999998E-2</v>
      </c>
      <c r="X6124">
        <v>0.99853720000000001</v>
      </c>
      <c r="Y6124">
        <v>-9.6764510000000008E-3</v>
      </c>
      <c r="Z6124">
        <v>3.0420799999999998E-4</v>
      </c>
      <c r="AA6124">
        <v>0.99995319999999999</v>
      </c>
      <c r="AB6124">
        <v>36</v>
      </c>
      <c r="AC6124">
        <v>20.8416999999999</v>
      </c>
      <c r="AD6124">
        <v>-1.1117848141433</v>
      </c>
      <c r="AE6124">
        <v>0.214219999999997</v>
      </c>
      <c r="AF6124">
        <v>-0.20214797749722399</v>
      </c>
      <c r="AG6124">
        <v>-1.1117848141433</v>
      </c>
      <c r="AH6124">
        <v>20.782681863118299</v>
      </c>
      <c r="AI6124">
        <v>93.062016327935396</v>
      </c>
      <c r="AJ6124">
        <v>90.557284222561194</v>
      </c>
      <c r="AK6124">
        <v>20.813380184423501</v>
      </c>
      <c r="AL6124">
        <v>92.423874390193404</v>
      </c>
      <c r="AM6124">
        <v>91.932195841668104</v>
      </c>
      <c r="AN6124">
        <v>0.99999996943867198</v>
      </c>
    </row>
    <row r="6125" spans="1:40" x14ac:dyDescent="0.25">
      <c r="A6125" t="str">
        <f>"20190305135353329"</f>
        <v>20190305135353329</v>
      </c>
      <c r="B6125" t="str">
        <f>"1551765233316483"</f>
        <v>1551765233316483</v>
      </c>
      <c r="C6125" t="s">
        <v>40</v>
      </c>
      <c r="D6125">
        <v>4.4330249999999998</v>
      </c>
      <c r="E6125">
        <v>0.50997250000000005</v>
      </c>
      <c r="F6125" t="s">
        <v>94</v>
      </c>
      <c r="G6125">
        <v>-212.6892</v>
      </c>
      <c r="H6125" s="1">
        <v>-6.2453489999999998E-7</v>
      </c>
      <c r="I6125">
        <v>-62.269779999999997</v>
      </c>
      <c r="J6125">
        <v>-233.79079999999999</v>
      </c>
      <c r="K6125">
        <v>1.11181</v>
      </c>
      <c r="L6125">
        <v>-62.4685699999999</v>
      </c>
      <c r="M6125">
        <v>0.99989380000000005</v>
      </c>
      <c r="N6125">
        <v>-1.44209E-2</v>
      </c>
      <c r="O6125">
        <v>2.0987950000000001E-3</v>
      </c>
      <c r="P6125">
        <v>0.99781410000000004</v>
      </c>
      <c r="Q6125">
        <v>-5.5825489999999998E-2</v>
      </c>
      <c r="R6125">
        <v>3.5366429999999997E-2</v>
      </c>
      <c r="S6125">
        <v>2.9967959999999998</v>
      </c>
      <c r="T6125">
        <v>-0.156477799999999</v>
      </c>
      <c r="U6125">
        <v>2.816772E-2</v>
      </c>
      <c r="V6125">
        <v>-3.2996150000000002E-2</v>
      </c>
      <c r="W6125">
        <v>-4.1649459999999999E-2</v>
      </c>
      <c r="X6125">
        <v>0.99858729999999996</v>
      </c>
      <c r="Y6125">
        <v>-7.2887469999999999E-3</v>
      </c>
      <c r="Z6125">
        <v>1.6350340000000001E-4</v>
      </c>
      <c r="AA6125">
        <v>0.99997340000000001</v>
      </c>
      <c r="AB6125">
        <v>36</v>
      </c>
      <c r="AC6125">
        <v>21.101599999999902</v>
      </c>
      <c r="AD6125">
        <v>-1.1118106245349</v>
      </c>
      <c r="AE6125">
        <v>0.198789999999988</v>
      </c>
      <c r="AF6125">
        <v>-0.15406935340060199</v>
      </c>
      <c r="AG6125">
        <v>-1.1118106245349</v>
      </c>
      <c r="AH6125">
        <v>21.043557511746801</v>
      </c>
      <c r="AI6125">
        <v>93.024259568460195</v>
      </c>
      <c r="AJ6125">
        <v>90.419480687768896</v>
      </c>
      <c r="AK6125">
        <v>21.073470833744501</v>
      </c>
      <c r="AL6125">
        <v>92.387028714463895</v>
      </c>
      <c r="AM6125">
        <v>91.8925261086126</v>
      </c>
      <c r="AN6125">
        <v>1.0000000095771999</v>
      </c>
    </row>
    <row r="6126" spans="1:40" x14ac:dyDescent="0.25">
      <c r="A6126" t="str">
        <f>"20190305135353341"</f>
        <v>20190305135353341</v>
      </c>
      <c r="B6126" t="str">
        <f>"1551765233336001"</f>
        <v>1551765233336001</v>
      </c>
      <c r="C6126" t="s">
        <v>40</v>
      </c>
      <c r="D6126">
        <v>4.4223710000000001</v>
      </c>
      <c r="E6126">
        <v>0.51091299999999995</v>
      </c>
      <c r="F6126" t="s">
        <v>94</v>
      </c>
      <c r="G6126">
        <v>-212.20099999999999</v>
      </c>
      <c r="H6126" s="1">
        <v>-4.1673499999999998E-7</v>
      </c>
      <c r="I6126">
        <v>-62.2759199999999</v>
      </c>
      <c r="J6126">
        <v>-233.5761</v>
      </c>
      <c r="K6126">
        <v>1.111829</v>
      </c>
      <c r="L6126">
        <v>-62.466549999999998</v>
      </c>
      <c r="M6126">
        <v>0.9998882</v>
      </c>
      <c r="N6126">
        <v>-1.445404E-2</v>
      </c>
      <c r="O6126">
        <v>3.845729E-3</v>
      </c>
      <c r="P6126">
        <v>0.99779770000000001</v>
      </c>
      <c r="Q6126">
        <v>-5.5436560000000003E-2</v>
      </c>
      <c r="R6126">
        <v>3.6425020000000002E-2</v>
      </c>
      <c r="S6126">
        <v>2.9969790000000001</v>
      </c>
      <c r="T6126">
        <v>-0.1543349</v>
      </c>
      <c r="U6126">
        <v>2.6733400000000001E-2</v>
      </c>
      <c r="V6126">
        <v>-3.2312470000000003E-2</v>
      </c>
      <c r="W6126">
        <v>-4.1223320000000001E-2</v>
      </c>
      <c r="X6126">
        <v>0.9986273</v>
      </c>
      <c r="Y6126">
        <v>-5.0677509999999997E-3</v>
      </c>
      <c r="Z6126" s="1">
        <v>2.4711459999999999E-5</v>
      </c>
      <c r="AA6126">
        <v>0.99998719999999996</v>
      </c>
      <c r="AB6126">
        <v>36</v>
      </c>
      <c r="AC6126">
        <v>21.3751</v>
      </c>
      <c r="AD6126">
        <v>-1.111829416735</v>
      </c>
      <c r="AE6126">
        <v>0.19063000000000499</v>
      </c>
      <c r="AF6126">
        <v>-0.108124648473667</v>
      </c>
      <c r="AG6126">
        <v>-1.111829416735</v>
      </c>
      <c r="AH6126">
        <v>21.318002165215201</v>
      </c>
      <c r="AI6126">
        <v>92.985488515233499</v>
      </c>
      <c r="AJ6126">
        <v>90.290601007012597</v>
      </c>
      <c r="AK6126">
        <v>21.347249750439602</v>
      </c>
      <c r="AL6126">
        <v>92.362591794190806</v>
      </c>
      <c r="AM6126">
        <v>91.853266433250397</v>
      </c>
      <c r="AN6126">
        <v>0.99999997106730598</v>
      </c>
    </row>
    <row r="6127" spans="1:40" x14ac:dyDescent="0.25">
      <c r="A6127" t="str">
        <f>"20190305135353352"</f>
        <v>20190305135353352</v>
      </c>
      <c r="B6127" t="str">
        <f>"1551765233345761"</f>
        <v>1551765233345761</v>
      </c>
      <c r="C6127" t="s">
        <v>40</v>
      </c>
      <c r="D6127">
        <v>4.4398220000000004</v>
      </c>
      <c r="E6127">
        <v>0.51137330000000003</v>
      </c>
      <c r="F6127" t="s">
        <v>94</v>
      </c>
      <c r="G6127">
        <v>-211.73740000000001</v>
      </c>
      <c r="H6127" s="1">
        <v>-2.2513249999999999E-7</v>
      </c>
      <c r="I6127">
        <v>-62.303289999999997</v>
      </c>
      <c r="J6127">
        <v>-233.39340000000001</v>
      </c>
      <c r="K6127">
        <v>1.1118479999999999</v>
      </c>
      <c r="L6127">
        <v>-62.46454</v>
      </c>
      <c r="M6127">
        <v>0.99988100000000002</v>
      </c>
      <c r="N6127">
        <v>-1.447966E-2</v>
      </c>
      <c r="O6127">
        <v>5.3297939999999997E-3</v>
      </c>
      <c r="P6127">
        <v>0.99780720000000001</v>
      </c>
      <c r="Q6127">
        <v>-5.458785E-2</v>
      </c>
      <c r="R6127">
        <v>3.7432819999999999E-2</v>
      </c>
      <c r="S6127">
        <v>2.9973299999999998</v>
      </c>
      <c r="T6127">
        <v>-0.1525967</v>
      </c>
      <c r="U6127">
        <v>2.23999E-2</v>
      </c>
      <c r="V6127">
        <v>-3.1844089999999999E-2</v>
      </c>
      <c r="W6127">
        <v>-4.0345640000000002E-2</v>
      </c>
      <c r="X6127">
        <v>0.99867819999999996</v>
      </c>
      <c r="Y6127">
        <v>-2.1427360000000001E-3</v>
      </c>
      <c r="Z6127">
        <v>-1.2398610000000001E-4</v>
      </c>
      <c r="AA6127">
        <v>0.99999769999999999</v>
      </c>
      <c r="AB6127">
        <v>36</v>
      </c>
      <c r="AC6127">
        <v>21.655999999999999</v>
      </c>
      <c r="AD6127">
        <v>-1.1118482251324999</v>
      </c>
      <c r="AE6127">
        <v>0.16124999999999501</v>
      </c>
      <c r="AF6127">
        <v>-4.5693155959082903E-2</v>
      </c>
      <c r="AG6127">
        <v>-1.1118482251324999</v>
      </c>
      <c r="AH6127">
        <v>21.599619849427999</v>
      </c>
      <c r="AI6127">
        <v>92.9467135239843</v>
      </c>
      <c r="AJ6127">
        <v>90.121206812989101</v>
      </c>
      <c r="AK6127">
        <v>21.628265579561301</v>
      </c>
      <c r="AL6127">
        <v>92.312262530590203</v>
      </c>
      <c r="AM6127">
        <v>91.826328023343606</v>
      </c>
      <c r="AN6127">
        <v>0.99999998194508799</v>
      </c>
    </row>
    <row r="6128" spans="1:40" x14ac:dyDescent="0.25">
      <c r="A6128" t="str">
        <f>"20190305135353362"</f>
        <v>20190305135353362</v>
      </c>
      <c r="B6128" t="str">
        <f>"1551765233356497"</f>
        <v>1551765233356497</v>
      </c>
      <c r="C6128" t="s">
        <v>40</v>
      </c>
      <c r="D6128">
        <v>4.4321029999999997</v>
      </c>
      <c r="E6128">
        <v>0.51182799999999995</v>
      </c>
      <c r="F6128" t="s">
        <v>94</v>
      </c>
      <c r="G6128">
        <v>-211.15469999999999</v>
      </c>
      <c r="H6128" s="1">
        <v>2.4966200000000001E-8</v>
      </c>
      <c r="I6128">
        <v>-62.30283</v>
      </c>
      <c r="J6128">
        <v>-233.2338</v>
      </c>
      <c r="K6128">
        <v>1.111866</v>
      </c>
      <c r="L6128">
        <v>-62.462620000000001</v>
      </c>
      <c r="M6128">
        <v>0.99987300000000001</v>
      </c>
      <c r="N6128">
        <v>-1.450098E-2</v>
      </c>
      <c r="O6128">
        <v>6.6249739999999996E-3</v>
      </c>
      <c r="P6128">
        <v>0.99779989999999996</v>
      </c>
      <c r="Q6128">
        <v>-5.4155500000000002E-2</v>
      </c>
      <c r="R6128">
        <v>3.8244710000000001E-2</v>
      </c>
      <c r="S6128">
        <v>2.9975740000000002</v>
      </c>
      <c r="T6128">
        <v>-0.14986669999999999</v>
      </c>
      <c r="U6128">
        <v>2.1789550000000001E-2</v>
      </c>
      <c r="V6128">
        <v>-3.1366070000000003E-2</v>
      </c>
      <c r="W6128">
        <v>-3.9888670000000001E-2</v>
      </c>
      <c r="X6128">
        <v>0.99871169999999998</v>
      </c>
      <c r="Y6128">
        <v>-6.4634419999999896E-4</v>
      </c>
      <c r="Z6128">
        <v>-2.1413899999999999E-4</v>
      </c>
      <c r="AA6128">
        <v>0.99999979999999999</v>
      </c>
      <c r="AB6128">
        <v>36</v>
      </c>
      <c r="AC6128">
        <v>22.0791</v>
      </c>
      <c r="AD6128">
        <v>-1.1118659750338</v>
      </c>
      <c r="AE6128">
        <v>0.159789999999986</v>
      </c>
      <c r="AF6128">
        <v>-1.34635200467815E-2</v>
      </c>
      <c r="AG6128">
        <v>-1.1118659750338</v>
      </c>
      <c r="AH6128">
        <v>22.0238254967168</v>
      </c>
      <c r="AI6128">
        <v>92.890105380887405</v>
      </c>
      <c r="AJ6128">
        <v>90.035025830552996</v>
      </c>
      <c r="AK6128">
        <v>22.051877850256801</v>
      </c>
      <c r="AL6128">
        <v>92.286058946430998</v>
      </c>
      <c r="AM6128">
        <v>91.798870382173206</v>
      </c>
      <c r="AN6128">
        <v>0.99999999802925099</v>
      </c>
    </row>
    <row r="6129" spans="1:40" x14ac:dyDescent="0.25">
      <c r="A6129" t="str">
        <f>"20190305135353374"</f>
        <v>20190305135353374</v>
      </c>
      <c r="B6129" t="str">
        <f>"1551765233366258"</f>
        <v>1551765233366258</v>
      </c>
      <c r="C6129" t="s">
        <v>40</v>
      </c>
      <c r="D6129">
        <v>4.4293290000000001</v>
      </c>
      <c r="E6129">
        <v>0.51227739999999999</v>
      </c>
      <c r="F6129" t="s">
        <v>94</v>
      </c>
      <c r="G6129">
        <v>-210.7501</v>
      </c>
      <c r="H6129" s="1">
        <v>1.9714619999999999E-7</v>
      </c>
      <c r="I6129">
        <v>-62.308059999999998</v>
      </c>
      <c r="J6129">
        <v>-233.06399999999999</v>
      </c>
      <c r="K6129">
        <v>1.1118749999999999</v>
      </c>
      <c r="L6129">
        <v>-62.460239999999999</v>
      </c>
      <c r="M6129">
        <v>0.99986280000000005</v>
      </c>
      <c r="N6129">
        <v>-1.452122E-2</v>
      </c>
      <c r="O6129">
        <v>7.9922789999999997E-3</v>
      </c>
      <c r="P6129">
        <v>0.99779240000000002</v>
      </c>
      <c r="Q6129">
        <v>-5.3442440000000001E-2</v>
      </c>
      <c r="R6129">
        <v>3.9426070000000001E-2</v>
      </c>
      <c r="S6129">
        <v>2.9977870000000002</v>
      </c>
      <c r="T6129">
        <v>-0.1482464</v>
      </c>
      <c r="U6129">
        <v>2.0599369999999999E-2</v>
      </c>
      <c r="V6129">
        <v>-3.118746E-2</v>
      </c>
      <c r="W6129">
        <v>-3.9153550000000002E-2</v>
      </c>
      <c r="X6129">
        <v>0.99874640000000003</v>
      </c>
      <c r="Y6129">
        <v>1.1151550000000001E-3</v>
      </c>
      <c r="Z6129">
        <v>-3.146275E-4</v>
      </c>
      <c r="AA6129">
        <v>0.99999930000000004</v>
      </c>
      <c r="AB6129">
        <v>36</v>
      </c>
      <c r="AC6129">
        <v>22.3139</v>
      </c>
      <c r="AD6129">
        <v>-1.1118748028537999</v>
      </c>
      <c r="AE6129">
        <v>0.15218000000000101</v>
      </c>
      <c r="AF6129">
        <v>2.6117704524428399E-2</v>
      </c>
      <c r="AG6129">
        <v>-1.1118748028537999</v>
      </c>
      <c r="AH6129">
        <v>22.259138717879701</v>
      </c>
      <c r="AI6129">
        <v>92.859624753190602</v>
      </c>
      <c r="AJ6129">
        <v>89.932772171823402</v>
      </c>
      <c r="AK6129">
        <v>22.286906563574899</v>
      </c>
      <c r="AL6129">
        <v>92.243906702236302</v>
      </c>
      <c r="AM6129">
        <v>91.788571518762893</v>
      </c>
      <c r="AN6129">
        <v>1.0000000148259001</v>
      </c>
    </row>
    <row r="6130" spans="1:40" x14ac:dyDescent="0.25">
      <c r="A6130" t="str">
        <f>"20190305135353383"</f>
        <v>20190305135353383</v>
      </c>
      <c r="B6130" t="str">
        <f>"1551765233376017"</f>
        <v>1551765233376017</v>
      </c>
      <c r="C6130" t="s">
        <v>40</v>
      </c>
      <c r="D6130">
        <v>4.4197610000000003</v>
      </c>
      <c r="E6130">
        <v>0.51271409999999995</v>
      </c>
      <c r="F6130" t="s">
        <v>94</v>
      </c>
      <c r="G6130">
        <v>-210.2363</v>
      </c>
      <c r="H6130" s="1">
        <v>4.1874029999999998E-7</v>
      </c>
      <c r="I6130">
        <v>-62.303559999999997</v>
      </c>
      <c r="J6130">
        <v>-232.89230000000001</v>
      </c>
      <c r="K6130">
        <v>1.111883</v>
      </c>
      <c r="L6130">
        <v>-62.45776</v>
      </c>
      <c r="M6130">
        <v>0.99985049999999998</v>
      </c>
      <c r="N6130">
        <v>-1.454099E-2</v>
      </c>
      <c r="O6130">
        <v>9.3701759999999992E-3</v>
      </c>
      <c r="P6130">
        <v>0.99776790000000004</v>
      </c>
      <c r="Q6130">
        <v>-5.2995090000000002E-2</v>
      </c>
      <c r="R6130">
        <v>4.0632969999999997E-2</v>
      </c>
      <c r="S6130">
        <v>2.9980009999999999</v>
      </c>
      <c r="T6130">
        <v>-0.14602470000000001</v>
      </c>
      <c r="U6130">
        <v>2.056885E-2</v>
      </c>
      <c r="V6130">
        <v>-3.1022750000000002E-2</v>
      </c>
      <c r="W6130">
        <v>-3.8684759999999999E-2</v>
      </c>
      <c r="X6130">
        <v>0.99876980000000004</v>
      </c>
      <c r="Y6130">
        <v>2.5012379999999998E-3</v>
      </c>
      <c r="Z6130">
        <v>-3.9898690000000003E-4</v>
      </c>
      <c r="AA6130">
        <v>0.99999680000000002</v>
      </c>
      <c r="AB6130">
        <v>36</v>
      </c>
      <c r="AC6130">
        <v>22.655999999999999</v>
      </c>
      <c r="AD6130">
        <v>-1.1118825812597</v>
      </c>
      <c r="AE6130">
        <v>0.154200000000003</v>
      </c>
      <c r="AF6130">
        <v>5.7980256984529403E-2</v>
      </c>
      <c r="AG6130">
        <v>-1.1118825812597</v>
      </c>
      <c r="AH6130">
        <v>22.602015176268502</v>
      </c>
      <c r="AI6130">
        <v>92.816326486508302</v>
      </c>
      <c r="AJ6130">
        <v>89.853021214814603</v>
      </c>
      <c r="AK6130">
        <v>22.6294218797781</v>
      </c>
      <c r="AL6130">
        <v>92.217026642573401</v>
      </c>
      <c r="AM6130">
        <v>91.779089985745003</v>
      </c>
      <c r="AN6130">
        <v>1.00000001753293</v>
      </c>
    </row>
    <row r="6131" spans="1:40" x14ac:dyDescent="0.25">
      <c r="A6131" t="str">
        <f>"20190305135353394"</f>
        <v>20190305135353394</v>
      </c>
      <c r="B6131" t="str">
        <f>"1551765233385777"</f>
        <v>1551765233385777</v>
      </c>
      <c r="C6131" t="s">
        <v>40</v>
      </c>
      <c r="D6131">
        <v>4.4334150000000001</v>
      </c>
      <c r="E6131">
        <v>0.5131578</v>
      </c>
      <c r="F6131" t="s">
        <v>81</v>
      </c>
      <c r="G6131">
        <v>-209.81729999999999</v>
      </c>
      <c r="H6131" s="1">
        <v>-5.6148719999999999E-7</v>
      </c>
      <c r="I6131">
        <v>-62.298290000000001</v>
      </c>
      <c r="J6131">
        <v>-232.72489999999999</v>
      </c>
      <c r="K6131">
        <v>1.111877</v>
      </c>
      <c r="L6131">
        <v>-62.45496</v>
      </c>
      <c r="M6131">
        <v>0.99983699999999998</v>
      </c>
      <c r="N6131">
        <v>-1.4557560000000001E-2</v>
      </c>
      <c r="O6131">
        <v>1.0690720000000001E-2</v>
      </c>
      <c r="P6131">
        <v>0.99776169999999997</v>
      </c>
      <c r="Q6131">
        <v>-5.2371340000000002E-2</v>
      </c>
      <c r="R6131">
        <v>4.1581020000000003E-2</v>
      </c>
      <c r="S6131">
        <v>2.9982150000000001</v>
      </c>
      <c r="T6131">
        <v>-0.14447079999999901</v>
      </c>
      <c r="U6131">
        <v>2.0721440000000001E-2</v>
      </c>
      <c r="V6131">
        <v>-3.0657759999999999E-2</v>
      </c>
      <c r="W6131">
        <v>-3.804051E-2</v>
      </c>
      <c r="X6131">
        <v>0.99880579999999997</v>
      </c>
      <c r="Y6131">
        <v>3.769161E-3</v>
      </c>
      <c r="Z6131">
        <v>-4.7745740000000001E-4</v>
      </c>
      <c r="AA6131">
        <v>0.99999280000000002</v>
      </c>
      <c r="AB6131">
        <v>36</v>
      </c>
      <c r="AC6131">
        <v>22.907599999999999</v>
      </c>
      <c r="AD6131">
        <v>-1.1118775614872001</v>
      </c>
      <c r="AE6131">
        <v>0.15666999999999801</v>
      </c>
      <c r="AF6131">
        <v>8.8056176244848294E-2</v>
      </c>
      <c r="AG6131">
        <v>-1.1118775614872001</v>
      </c>
      <c r="AH6131">
        <v>22.854126448383902</v>
      </c>
      <c r="AI6131">
        <v>92.785283825612396</v>
      </c>
      <c r="AJ6131">
        <v>89.779242391768605</v>
      </c>
      <c r="AK6131">
        <v>22.8813269134601</v>
      </c>
      <c r="AL6131">
        <v>92.1800866775218</v>
      </c>
      <c r="AM6131">
        <v>91.758108456004805</v>
      </c>
      <c r="AN6131">
        <v>1.0000000023814499</v>
      </c>
    </row>
    <row r="6132" spans="1:40" x14ac:dyDescent="0.25">
      <c r="A6132" t="str">
        <f>"20190305135353404"</f>
        <v>20190305135353404</v>
      </c>
      <c r="B6132" t="str">
        <f>"1551765233396513"</f>
        <v>1551765233396513</v>
      </c>
      <c r="C6132" t="s">
        <v>40</v>
      </c>
      <c r="D6132">
        <v>5.0283559999999996</v>
      </c>
      <c r="E6132">
        <v>0.5131578</v>
      </c>
      <c r="F6132" t="s">
        <v>81</v>
      </c>
      <c r="G6132">
        <v>-209.31649999999999</v>
      </c>
      <c r="H6132" s="1">
        <v>-7.528652E-7</v>
      </c>
      <c r="I6132">
        <v>-62.298659999999998</v>
      </c>
      <c r="J6132">
        <v>-232.55629999999999</v>
      </c>
      <c r="K6132">
        <v>1.1118760000000001</v>
      </c>
      <c r="L6132">
        <v>-62.452089999999998</v>
      </c>
      <c r="M6132">
        <v>0.99982159999999998</v>
      </c>
      <c r="N6132">
        <v>-1.457399E-2</v>
      </c>
      <c r="O6132">
        <v>1.20184E-2</v>
      </c>
      <c r="P6132">
        <v>0.99775800000000003</v>
      </c>
      <c r="Q6132">
        <v>-5.1879290000000002E-2</v>
      </c>
      <c r="R6132">
        <v>4.2281680000000002E-2</v>
      </c>
      <c r="S6132">
        <v>2.9984130000000002</v>
      </c>
      <c r="T6132">
        <v>-0.1424221</v>
      </c>
      <c r="U6132">
        <v>2.0019530000000001E-2</v>
      </c>
      <c r="V6132">
        <v>-3.0037749999999998E-2</v>
      </c>
      <c r="W6132">
        <v>-3.7526339999999998E-2</v>
      </c>
      <c r="X6132">
        <v>0.99884410000000001</v>
      </c>
      <c r="Y6132">
        <v>5.3289649999999997E-3</v>
      </c>
      <c r="Z6132">
        <v>-5.6077099999999995E-4</v>
      </c>
      <c r="AA6132">
        <v>0.99998560000000003</v>
      </c>
      <c r="AB6132">
        <v>36</v>
      </c>
      <c r="AC6132">
        <v>23.239799999999999</v>
      </c>
      <c r="AD6132">
        <v>-1.1118767528651901</v>
      </c>
      <c r="AE6132">
        <v>0.15343000000000701</v>
      </c>
      <c r="AF6132">
        <v>0.125628399886897</v>
      </c>
      <c r="AG6132">
        <v>-1.1118767528651901</v>
      </c>
      <c r="AH6132">
        <v>23.186892542940399</v>
      </c>
      <c r="AI6132">
        <v>92.745350614792201</v>
      </c>
      <c r="AJ6132">
        <v>89.689570016558605</v>
      </c>
      <c r="AK6132">
        <v>23.213875984124002</v>
      </c>
      <c r="AL6132">
        <v>92.150605829798494</v>
      </c>
      <c r="AM6132">
        <v>91.722508820564698</v>
      </c>
      <c r="AN6132">
        <v>1.0000000143618299</v>
      </c>
    </row>
    <row r="6133" spans="1:40" x14ac:dyDescent="0.25">
      <c r="A6133" t="str">
        <f>"20190305135353417"</f>
        <v>20190305135353417</v>
      </c>
      <c r="B6133" t="str">
        <f>"1551765233406273"</f>
        <v>1551765233406273</v>
      </c>
      <c r="C6133" t="s">
        <v>40</v>
      </c>
      <c r="D6133">
        <v>4.4098369999999996</v>
      </c>
      <c r="E6133">
        <v>0.55648799999999998</v>
      </c>
      <c r="F6133" t="s">
        <v>81</v>
      </c>
      <c r="G6133">
        <v>-208.90690000000001</v>
      </c>
      <c r="H6133" s="1">
        <v>-9.3009490000000003E-7</v>
      </c>
      <c r="I6133">
        <v>-62.27758</v>
      </c>
      <c r="J6133">
        <v>-232.37270000000001</v>
      </c>
      <c r="K6133">
        <v>1.111856</v>
      </c>
      <c r="L6133">
        <v>-62.448549999999997</v>
      </c>
      <c r="M6133">
        <v>0.99980349999999996</v>
      </c>
      <c r="N6133">
        <v>-1.458893E-2</v>
      </c>
      <c r="O6133">
        <v>1.3423549999999999E-2</v>
      </c>
      <c r="P6133">
        <v>0.99773789999999996</v>
      </c>
      <c r="Q6133">
        <v>-5.1696609999999997E-2</v>
      </c>
      <c r="R6133">
        <v>4.297285E-2</v>
      </c>
      <c r="S6133">
        <v>2.998459</v>
      </c>
      <c r="T6133">
        <v>-0.1409726</v>
      </c>
      <c r="U6133">
        <v>2.2125240000000001E-2</v>
      </c>
      <c r="V6133">
        <v>-2.9329729999999998E-2</v>
      </c>
      <c r="W6133">
        <v>-3.7321630000000001E-2</v>
      </c>
      <c r="X6133">
        <v>0.99887280000000001</v>
      </c>
      <c r="Y6133">
        <v>6.0308219999999999E-3</v>
      </c>
      <c r="Z6133">
        <v>-6.2067019999999999E-4</v>
      </c>
      <c r="AA6133">
        <v>0.99998160000000003</v>
      </c>
      <c r="AB6133">
        <v>36</v>
      </c>
      <c r="AC6133">
        <v>23.465800000000002</v>
      </c>
      <c r="AD6133">
        <v>-1.1118569300948999</v>
      </c>
      <c r="AE6133">
        <v>0.17096999999998899</v>
      </c>
      <c r="AF6133">
        <v>0.14375055238267201</v>
      </c>
      <c r="AG6133">
        <v>-1.1118569300948999</v>
      </c>
      <c r="AH6133">
        <v>23.413418917091501</v>
      </c>
      <c r="AI6133">
        <v>92.718769496665701</v>
      </c>
      <c r="AJ6133">
        <v>89.648227518789199</v>
      </c>
      <c r="AK6133">
        <v>23.440244782031002</v>
      </c>
      <c r="AL6133">
        <v>92.138868611204501</v>
      </c>
      <c r="AM6133">
        <v>91.681882857928997</v>
      </c>
      <c r="AN6133">
        <v>1.00000000385378</v>
      </c>
    </row>
    <row r="6134" spans="1:40" x14ac:dyDescent="0.25">
      <c r="A6134" t="str">
        <f>"20190305135353427"</f>
        <v>20190305135353427</v>
      </c>
      <c r="B6134" t="str">
        <f>"1551765233416034"</f>
        <v>1551765233416034</v>
      </c>
      <c r="C6134" t="s">
        <v>40</v>
      </c>
      <c r="D6134">
        <v>4.4149479999999999</v>
      </c>
      <c r="E6134">
        <v>0.55672299999999997</v>
      </c>
      <c r="F6134" t="s">
        <v>81</v>
      </c>
      <c r="G6134">
        <v>-190.04259999999999</v>
      </c>
      <c r="H6134" s="1">
        <v>-1.0336779999999999E-5</v>
      </c>
      <c r="I6134">
        <v>-66.947739999999996</v>
      </c>
      <c r="J6134">
        <v>-232.19329999999999</v>
      </c>
      <c r="K6134">
        <v>1.1118319999999999</v>
      </c>
      <c r="L6134">
        <v>-62.444949999999999</v>
      </c>
      <c r="M6134">
        <v>0.99978409999999995</v>
      </c>
      <c r="N6134">
        <v>-1.460296E-2</v>
      </c>
      <c r="O6134">
        <v>1.478457E-2</v>
      </c>
      <c r="P6134">
        <v>0.99769830000000004</v>
      </c>
      <c r="Q6134">
        <v>-5.1618030000000002E-2</v>
      </c>
      <c r="R6134">
        <v>4.3975930000000003E-2</v>
      </c>
      <c r="S6134">
        <v>3.0164949999999999</v>
      </c>
      <c r="T6134">
        <v>-7.9232929999999993E-2</v>
      </c>
      <c r="U6134">
        <v>-0.32061770000000001</v>
      </c>
      <c r="V6134">
        <v>-2.8977849999999999E-2</v>
      </c>
      <c r="W6134">
        <v>-3.7224420000000001E-2</v>
      </c>
      <c r="X6134">
        <v>0.99888670000000002</v>
      </c>
      <c r="Y6134">
        <v>0.1203195</v>
      </c>
      <c r="Z6134">
        <v>-2.6287379999999998E-3</v>
      </c>
      <c r="AA6134">
        <v>0.99273180000000005</v>
      </c>
      <c r="AB6134">
        <v>36</v>
      </c>
      <c r="AC6134">
        <v>42.150700000000001</v>
      </c>
      <c r="AD6134">
        <v>-1.1118423367800001</v>
      </c>
      <c r="AE6134">
        <v>-4.5027899999999903</v>
      </c>
      <c r="AF6134">
        <v>5.1220205286024498</v>
      </c>
      <c r="AG6134">
        <v>-1.1118423367800001</v>
      </c>
      <c r="AH6134">
        <v>42.050584967954997</v>
      </c>
      <c r="AI6134">
        <v>91.503474304921596</v>
      </c>
      <c r="AJ6134">
        <v>83.055231844408297</v>
      </c>
      <c r="AK6134">
        <v>42.375971774396902</v>
      </c>
      <c r="AL6134">
        <v>92.133295010216102</v>
      </c>
      <c r="AM6134">
        <v>91.661692936572095</v>
      </c>
      <c r="AN6134">
        <v>1.00000000633592</v>
      </c>
    </row>
    <row r="6135" spans="1:40" x14ac:dyDescent="0.25">
      <c r="A6135" t="str">
        <f>"20190305135353439"</f>
        <v>20190305135353439</v>
      </c>
      <c r="B6135" t="str">
        <f>"1551765233436529"</f>
        <v>1551765233436529</v>
      </c>
      <c r="C6135" t="s">
        <v>40</v>
      </c>
      <c r="D6135">
        <v>4.6898780000000002</v>
      </c>
      <c r="E6135">
        <v>0.55664209999999903</v>
      </c>
      <c r="F6135" t="s">
        <v>81</v>
      </c>
      <c r="G6135">
        <v>-191.0455</v>
      </c>
      <c r="H6135" s="1">
        <v>-9.8857090000000005E-6</v>
      </c>
      <c r="I6135">
        <v>-66.8035</v>
      </c>
      <c r="J6135">
        <v>-232.01249999999999</v>
      </c>
      <c r="K6135">
        <v>1.1118030000000001</v>
      </c>
      <c r="L6135">
        <v>-62.441070000000003</v>
      </c>
      <c r="M6135">
        <v>0.99976330000000002</v>
      </c>
      <c r="N6135">
        <v>-1.4615090000000001E-2</v>
      </c>
      <c r="O6135">
        <v>1.611694E-2</v>
      </c>
      <c r="P6135">
        <v>0.997641</v>
      </c>
      <c r="Q6135">
        <v>-5.1826469999999999E-2</v>
      </c>
      <c r="R6135">
        <v>4.5017439999999999E-2</v>
      </c>
      <c r="S6135">
        <v>3.016769</v>
      </c>
      <c r="T6135">
        <v>-8.1515309999999994E-2</v>
      </c>
      <c r="U6135">
        <v>-0.31954959999999999</v>
      </c>
      <c r="V6135">
        <v>-2.869234E-2</v>
      </c>
      <c r="W6135">
        <v>-3.7416079999999997E-2</v>
      </c>
      <c r="X6135">
        <v>0.99888779999999999</v>
      </c>
      <c r="Y6135">
        <v>0.1212815</v>
      </c>
      <c r="Z6135">
        <v>-2.7221609999999999E-3</v>
      </c>
      <c r="AA6135">
        <v>0.99261440000000001</v>
      </c>
      <c r="AB6135">
        <v>36</v>
      </c>
      <c r="AC6135">
        <v>40.966999999999899</v>
      </c>
      <c r="AD6135">
        <v>-1.1118128857089999</v>
      </c>
      <c r="AE6135">
        <v>-4.3624299999999998</v>
      </c>
      <c r="AF6135">
        <v>5.0185415617703404</v>
      </c>
      <c r="AG6135">
        <v>-1.1118128857089999</v>
      </c>
      <c r="AH6135">
        <v>40.8616026047955</v>
      </c>
      <c r="AI6135">
        <v>91.546971602633107</v>
      </c>
      <c r="AJ6135">
        <v>82.998110813081396</v>
      </c>
      <c r="AK6135">
        <v>41.183643048330197</v>
      </c>
      <c r="AL6135">
        <v>92.144283934176698</v>
      </c>
      <c r="AM6135">
        <v>91.645328011219902</v>
      </c>
      <c r="AN6135">
        <v>1.0000000252030401</v>
      </c>
    </row>
    <row r="6136" spans="1:40" x14ac:dyDescent="0.25">
      <c r="A6136" t="str">
        <f>"20190305135353450"</f>
        <v>20190305135353450</v>
      </c>
      <c r="B6136" t="str">
        <f>"1551765233446289"</f>
        <v>1551765233446289</v>
      </c>
      <c r="C6136" t="s">
        <v>40</v>
      </c>
      <c r="D6136">
        <v>4.7508480000000004</v>
      </c>
      <c r="E6136">
        <v>0.54655619999999905</v>
      </c>
      <c r="F6136" t="s">
        <v>81</v>
      </c>
      <c r="G6136">
        <v>-190.5658</v>
      </c>
      <c r="H6136" s="1">
        <v>-1.0093209999999999E-5</v>
      </c>
      <c r="I6136">
        <v>-66.77834</v>
      </c>
      <c r="J6136">
        <v>-231.8323</v>
      </c>
      <c r="K6136">
        <v>1.1117649999999999</v>
      </c>
      <c r="L6136">
        <v>-62.437010000000001</v>
      </c>
      <c r="M6136">
        <v>0.99974149999999995</v>
      </c>
      <c r="N6136">
        <v>-1.4626220000000001E-2</v>
      </c>
      <c r="O6136">
        <v>1.7418630000000001E-2</v>
      </c>
      <c r="P6136">
        <v>0.99755640000000001</v>
      </c>
      <c r="Q6136">
        <v>-5.19453E-2</v>
      </c>
      <c r="R6136">
        <v>4.6725469999999998E-2</v>
      </c>
      <c r="S6136">
        <v>3.0171510000000001</v>
      </c>
      <c r="T6136">
        <v>-8.0935480000000004E-2</v>
      </c>
      <c r="U6136">
        <v>-0.31573489999999999</v>
      </c>
      <c r="V6136">
        <v>-2.9105180000000001E-2</v>
      </c>
      <c r="W6136">
        <v>-3.7523569999999999E-2</v>
      </c>
      <c r="X6136">
        <v>0.99887179999999998</v>
      </c>
      <c r="Y6136">
        <v>0.1213202</v>
      </c>
      <c r="Z6136">
        <v>-2.7244019999999999E-3</v>
      </c>
      <c r="AA6136">
        <v>0.99260970000000004</v>
      </c>
      <c r="AB6136">
        <v>36</v>
      </c>
      <c r="AC6136">
        <v>41.266500000000001</v>
      </c>
      <c r="AD6136">
        <v>-1.1117750932099999</v>
      </c>
      <c r="AE6136">
        <v>-4.3413299999999904</v>
      </c>
      <c r="AF6136">
        <v>5.0559242572711298</v>
      </c>
      <c r="AG6136">
        <v>-1.1117750932099999</v>
      </c>
      <c r="AH6136">
        <v>41.1550649385469</v>
      </c>
      <c r="AI6136">
        <v>91.535887759589102</v>
      </c>
      <c r="AJ6136">
        <v>82.996272689375004</v>
      </c>
      <c r="AK6136">
        <v>41.479365762378201</v>
      </c>
      <c r="AL6136">
        <v>92.150447036687396</v>
      </c>
      <c r="AM6136">
        <v>91.669015252778607</v>
      </c>
      <c r="AN6136">
        <v>1.0000000013218</v>
      </c>
    </row>
    <row r="6137" spans="1:40" x14ac:dyDescent="0.25">
      <c r="A6137" t="str">
        <f>"20190305135353461"</f>
        <v>20190305135353461</v>
      </c>
      <c r="B6137" t="str">
        <f>"1551765233456049"</f>
        <v>1551765233456049</v>
      </c>
      <c r="C6137" t="s">
        <v>40</v>
      </c>
      <c r="D6137">
        <v>4.7362099999999998</v>
      </c>
      <c r="E6137">
        <v>0.54655619999999905</v>
      </c>
      <c r="F6137" t="s">
        <v>81</v>
      </c>
      <c r="G6137">
        <v>-201.18700000000001</v>
      </c>
      <c r="H6137" s="1">
        <v>-5.3530700000000001E-6</v>
      </c>
      <c r="I6137">
        <v>-64.78058</v>
      </c>
      <c r="J6137">
        <v>-231.63900000000001</v>
      </c>
      <c r="K6137">
        <v>1.1117220000000001</v>
      </c>
      <c r="L6137">
        <v>-62.432400000000001</v>
      </c>
      <c r="M6137">
        <v>0.99971659999999996</v>
      </c>
      <c r="N6137">
        <v>-1.4636929999999999E-2</v>
      </c>
      <c r="O6137">
        <v>1.878376E-2</v>
      </c>
      <c r="P6137">
        <v>0.99745300000000003</v>
      </c>
      <c r="Q6137">
        <v>-5.215239E-2</v>
      </c>
      <c r="R6137">
        <v>4.8661139999999999E-2</v>
      </c>
      <c r="S6137">
        <v>3.0124819999999999</v>
      </c>
      <c r="T6137">
        <v>-0.10928889999999999</v>
      </c>
      <c r="U6137">
        <v>-0.2303772</v>
      </c>
      <c r="V6137">
        <v>-2.9682699999999999E-2</v>
      </c>
      <c r="W6137">
        <v>-3.7720179999999999E-2</v>
      </c>
      <c r="X6137">
        <v>0.99884740000000005</v>
      </c>
      <c r="Y6137">
        <v>9.4877589999999998E-2</v>
      </c>
      <c r="Z6137">
        <v>-2.8195400000000002E-3</v>
      </c>
      <c r="AA6137">
        <v>0.99548490000000001</v>
      </c>
      <c r="AB6137">
        <v>36</v>
      </c>
      <c r="AC6137">
        <v>30.452000000000002</v>
      </c>
      <c r="AD6137">
        <v>-1.11172735306999</v>
      </c>
      <c r="AE6137">
        <v>-2.3481799999999899</v>
      </c>
      <c r="AF6137">
        <v>2.9159664358723698</v>
      </c>
      <c r="AG6137">
        <v>-1.11172735306999</v>
      </c>
      <c r="AH6137">
        <v>30.3622861711771</v>
      </c>
      <c r="AI6137">
        <v>92.087375469569494</v>
      </c>
      <c r="AJ6137">
        <v>84.514190134168203</v>
      </c>
      <c r="AK6137">
        <v>30.522241390552399</v>
      </c>
      <c r="AL6137">
        <v>92.1617199400483</v>
      </c>
      <c r="AM6137">
        <v>91.702154977591306</v>
      </c>
      <c r="AN6137">
        <v>1.00000000157264</v>
      </c>
    </row>
    <row r="6138" spans="1:40" x14ac:dyDescent="0.25">
      <c r="A6138" t="str">
        <f>"20190305135353472"</f>
        <v>20190305135353472</v>
      </c>
      <c r="B6138" t="str">
        <f>"1551765233465809"</f>
        <v>1551765233465809</v>
      </c>
      <c r="C6138" t="s">
        <v>40</v>
      </c>
      <c r="D6138">
        <v>4.500826</v>
      </c>
      <c r="E6138">
        <v>0.47511959999999998</v>
      </c>
      <c r="F6138" t="s">
        <v>81</v>
      </c>
      <c r="G6138">
        <v>-201.04560000000001</v>
      </c>
      <c r="H6138" s="1">
        <v>-5.4211700000000003E-6</v>
      </c>
      <c r="I6138">
        <v>-64.711879999999994</v>
      </c>
      <c r="J6138">
        <v>-231.46940000000001</v>
      </c>
      <c r="K6138">
        <v>1.111672</v>
      </c>
      <c r="L6138">
        <v>-62.428159999999998</v>
      </c>
      <c r="M6138">
        <v>0.99969399999999997</v>
      </c>
      <c r="N6138">
        <v>-1.464501E-2</v>
      </c>
      <c r="O6138">
        <v>1.9931040000000001E-2</v>
      </c>
      <c r="P6138">
        <v>0.99736270000000005</v>
      </c>
      <c r="Q6138">
        <v>-5.2118119999999997E-2</v>
      </c>
      <c r="R6138">
        <v>5.0506820000000001E-2</v>
      </c>
      <c r="S6138">
        <v>3.0128940000000002</v>
      </c>
      <c r="T6138">
        <v>-0.1094849</v>
      </c>
      <c r="U6138">
        <v>-0.2244873</v>
      </c>
      <c r="V6138">
        <v>-3.0389079999999999E-2</v>
      </c>
      <c r="W6138">
        <v>-3.7678530000000002E-2</v>
      </c>
      <c r="X6138">
        <v>0.99882780000000004</v>
      </c>
      <c r="Y6138">
        <v>9.4074759999999993E-2</v>
      </c>
      <c r="Z6138">
        <v>-2.8282490000000001E-3</v>
      </c>
      <c r="AA6138">
        <v>0.99556109999999998</v>
      </c>
      <c r="AB6138">
        <v>36</v>
      </c>
      <c r="AC6138">
        <v>30.4238</v>
      </c>
      <c r="AD6138">
        <v>-1.11167742117</v>
      </c>
      <c r="AE6138">
        <v>-2.2837200000000002</v>
      </c>
      <c r="AF6138">
        <v>2.8858778292658198</v>
      </c>
      <c r="AG6138">
        <v>-1.11167742117</v>
      </c>
      <c r="AH6138">
        <v>30.331962562123898</v>
      </c>
      <c r="AI6138">
        <v>92.089543835291494</v>
      </c>
      <c r="AJ6138">
        <v>84.565060268121798</v>
      </c>
      <c r="AK6138">
        <v>30.489212361166</v>
      </c>
      <c r="AL6138">
        <v>92.1593317233866</v>
      </c>
      <c r="AM6138">
        <v>91.742671839897596</v>
      </c>
      <c r="AN6138">
        <v>1.00000007092952</v>
      </c>
    </row>
    <row r="6139" spans="1:40" x14ac:dyDescent="0.25">
      <c r="A6139" t="str">
        <f>"20190305135353483"</f>
        <v>20190305135353483</v>
      </c>
      <c r="B6139" t="str">
        <f>"1551765233476545"</f>
        <v>1551765233476545</v>
      </c>
      <c r="C6139" t="s">
        <v>40</v>
      </c>
      <c r="D6139">
        <v>4.5742609999999999</v>
      </c>
      <c r="E6139">
        <v>0.47082160000000001</v>
      </c>
      <c r="F6139" t="s">
        <v>81</v>
      </c>
      <c r="G6139">
        <v>-208.1439</v>
      </c>
      <c r="H6139" s="1">
        <v>-1.3352970000000001E-6</v>
      </c>
      <c r="I6139">
        <v>-59.692320000000002</v>
      </c>
      <c r="J6139">
        <v>-231.2962</v>
      </c>
      <c r="K6139">
        <v>1.111623</v>
      </c>
      <c r="L6139">
        <v>-62.423740000000002</v>
      </c>
      <c r="M6139">
        <v>0.99967030000000001</v>
      </c>
      <c r="N6139">
        <v>-1.465291E-2</v>
      </c>
      <c r="O6139">
        <v>2.1085309999999999E-2</v>
      </c>
      <c r="P6139">
        <v>0.99722759999999999</v>
      </c>
      <c r="Q6139">
        <v>-5.2203550000000001E-2</v>
      </c>
      <c r="R6139">
        <v>5.3028079999999998E-2</v>
      </c>
      <c r="S6139">
        <v>2.9828030000000001</v>
      </c>
      <c r="T6139">
        <v>-0.14215820000000001</v>
      </c>
      <c r="U6139">
        <v>0.34985349999999998</v>
      </c>
      <c r="V6139">
        <v>-3.1764920000000002E-2</v>
      </c>
      <c r="W6139">
        <v>-3.7760660000000001E-2</v>
      </c>
      <c r="X6139">
        <v>0.99878180000000005</v>
      </c>
      <c r="Y6139">
        <v>-9.5393049999999993E-2</v>
      </c>
      <c r="Z6139">
        <v>2.2733390000000001E-3</v>
      </c>
      <c r="AA6139">
        <v>0.99543709999999996</v>
      </c>
      <c r="AB6139">
        <v>36</v>
      </c>
      <c r="AC6139">
        <v>23.1523</v>
      </c>
      <c r="AD6139">
        <v>-1.1116243352969899</v>
      </c>
      <c r="AE6139">
        <v>2.73142</v>
      </c>
      <c r="AF6139">
        <v>-2.23749947908285</v>
      </c>
      <c r="AG6139">
        <v>-1.1116243352969899</v>
      </c>
      <c r="AH6139">
        <v>23.152110757176199</v>
      </c>
      <c r="AI6139">
        <v>92.736157150090193</v>
      </c>
      <c r="AJ6139">
        <v>95.5201175798436</v>
      </c>
      <c r="AK6139">
        <v>23.286527115357298</v>
      </c>
      <c r="AL6139">
        <v>92.164040971701695</v>
      </c>
      <c r="AM6139">
        <v>91.821601674309306</v>
      </c>
      <c r="AN6139">
        <v>0.99999998079874097</v>
      </c>
    </row>
    <row r="6140" spans="1:40" x14ac:dyDescent="0.25">
      <c r="A6140" t="str">
        <f>"20190305135353495"</f>
        <v>20190305135353495</v>
      </c>
      <c r="B6140" t="str">
        <f>"1551765233486305"</f>
        <v>1551765233486305</v>
      </c>
      <c r="C6140" t="s">
        <v>40</v>
      </c>
      <c r="D6140">
        <v>4.5263159999999996</v>
      </c>
      <c r="E6140">
        <v>0.46953899999999998</v>
      </c>
      <c r="F6140" t="s">
        <v>94</v>
      </c>
      <c r="G6140">
        <v>-211.53720000000001</v>
      </c>
      <c r="H6140" s="1">
        <v>2.7289390000000002E-7</v>
      </c>
      <c r="I6140">
        <v>-59.8277</v>
      </c>
      <c r="J6140">
        <v>-231.1112</v>
      </c>
      <c r="K6140">
        <v>1.111559</v>
      </c>
      <c r="L6140">
        <v>-62.418729999999996</v>
      </c>
      <c r="M6140">
        <v>0.99964540000000002</v>
      </c>
      <c r="N6140">
        <v>-1.465965E-2</v>
      </c>
      <c r="O6140">
        <v>2.2236289999999999E-2</v>
      </c>
      <c r="P6140">
        <v>0.99712069999999997</v>
      </c>
      <c r="Q6140">
        <v>-5.1806919999999999E-2</v>
      </c>
      <c r="R6140">
        <v>5.5372520000000001E-2</v>
      </c>
      <c r="S6140">
        <v>2.9787750000000002</v>
      </c>
      <c r="T6140">
        <v>-0.16758290000000001</v>
      </c>
      <c r="U6140">
        <v>0.39135740000000002</v>
      </c>
      <c r="V6140">
        <v>-3.2970800000000001E-2</v>
      </c>
      <c r="W6140">
        <v>-3.7358889999999999E-2</v>
      </c>
      <c r="X6140">
        <v>0.99875780000000003</v>
      </c>
      <c r="Y6140">
        <v>-0.107987899999999</v>
      </c>
      <c r="Z6140">
        <v>2.8984409999999999E-3</v>
      </c>
      <c r="AA6140">
        <v>0.99414800000000003</v>
      </c>
      <c r="AB6140">
        <v>36</v>
      </c>
      <c r="AC6140">
        <v>19.573999999999899</v>
      </c>
      <c r="AD6140">
        <v>-1.1115587271061</v>
      </c>
      <c r="AE6140">
        <v>2.5910299999999999</v>
      </c>
      <c r="AF6140">
        <v>-2.14828083477836</v>
      </c>
      <c r="AG6140">
        <v>-1.1115587271061</v>
      </c>
      <c r="AH6140">
        <v>19.5647738149014</v>
      </c>
      <c r="AI6140">
        <v>93.232337422916601</v>
      </c>
      <c r="AJ6140">
        <v>96.266174791160594</v>
      </c>
      <c r="AK6140">
        <v>19.7137273943091</v>
      </c>
      <c r="AL6140">
        <v>92.141005053537896</v>
      </c>
      <c r="AM6140">
        <v>91.890750596287603</v>
      </c>
      <c r="AN6140">
        <v>0.99999995168775402</v>
      </c>
    </row>
    <row r="6141" spans="1:40" x14ac:dyDescent="0.25">
      <c r="A6141" t="str">
        <f>"20190305135353506"</f>
        <v>20190305135353506</v>
      </c>
      <c r="B6141" t="str">
        <f>"1551765233496065"</f>
        <v>1551765233496065</v>
      </c>
      <c r="C6141" t="s">
        <v>40</v>
      </c>
      <c r="D6141">
        <v>4.4646739999999996</v>
      </c>
      <c r="E6141">
        <v>0.46955350000000001</v>
      </c>
      <c r="F6141" t="s">
        <v>94</v>
      </c>
      <c r="G6141">
        <v>-212.63120000000001</v>
      </c>
      <c r="H6141" s="1">
        <v>-1.8656749999999999E-7</v>
      </c>
      <c r="I6141">
        <v>-59.883310000000002</v>
      </c>
      <c r="J6141">
        <v>-230.94309999999999</v>
      </c>
      <c r="K6141">
        <v>1.1114949999999999</v>
      </c>
      <c r="L6141">
        <v>-62.414090000000002</v>
      </c>
      <c r="M6141">
        <v>0.9996218</v>
      </c>
      <c r="N6141">
        <v>-1.4665600000000001E-2</v>
      </c>
      <c r="O6141">
        <v>2.3264409999999999E-2</v>
      </c>
      <c r="P6141">
        <v>0.99702860000000004</v>
      </c>
      <c r="Q6141">
        <v>-5.1337750000000001E-2</v>
      </c>
      <c r="R6141">
        <v>5.7432249999999997E-2</v>
      </c>
      <c r="S6141">
        <v>2.9766849999999998</v>
      </c>
      <c r="T6141">
        <v>-0.17904539999999999</v>
      </c>
      <c r="U6141">
        <v>0.40838619999999998</v>
      </c>
      <c r="V6141">
        <v>-3.401436E-2</v>
      </c>
      <c r="W6141">
        <v>-3.6884269999999997E-2</v>
      </c>
      <c r="X6141">
        <v>0.99874050000000003</v>
      </c>
      <c r="Y6141">
        <v>-0.112608399999999</v>
      </c>
      <c r="Z6141">
        <v>3.1470280000000001E-3</v>
      </c>
      <c r="AA6141">
        <v>0.99363449999999998</v>
      </c>
      <c r="AB6141">
        <v>36</v>
      </c>
      <c r="AC6141">
        <v>18.311899999999898</v>
      </c>
      <c r="AD6141">
        <v>-1.1114951865675</v>
      </c>
      <c r="AE6141">
        <v>2.53078</v>
      </c>
      <c r="AF6141">
        <v>-2.09645444494303</v>
      </c>
      <c r="AG6141">
        <v>-1.1114951865675</v>
      </c>
      <c r="AH6141">
        <v>18.299669375235801</v>
      </c>
      <c r="AI6141">
        <v>93.453259716424</v>
      </c>
      <c r="AJ6141">
        <v>96.535451040177605</v>
      </c>
      <c r="AK6141">
        <v>18.452870834437299</v>
      </c>
      <c r="AL6141">
        <v>92.113792457791405</v>
      </c>
      <c r="AM6141">
        <v>91.950583054654004</v>
      </c>
      <c r="AN6141">
        <v>1.0000000061999399</v>
      </c>
    </row>
    <row r="6142" spans="1:40" x14ac:dyDescent="0.25">
      <c r="A6142" t="str">
        <f>"20190305135353518"</f>
        <v>20190305135353518</v>
      </c>
      <c r="B6142" t="str">
        <f>"1551765233505827"</f>
        <v>1551765233505827</v>
      </c>
      <c r="C6142" t="s">
        <v>40</v>
      </c>
      <c r="D6142">
        <v>4.4257249999999999</v>
      </c>
      <c r="E6142">
        <v>0.47008830000000001</v>
      </c>
      <c r="F6142" t="s">
        <v>94</v>
      </c>
      <c r="G6142">
        <v>-212.9008</v>
      </c>
      <c r="H6142" s="1">
        <v>-2.9902240000000001E-7</v>
      </c>
      <c r="I6142">
        <v>-59.901409999999998</v>
      </c>
      <c r="J6142">
        <v>-230.74100000000001</v>
      </c>
      <c r="K6142">
        <v>1.111407</v>
      </c>
      <c r="L6142">
        <v>-62.408290000000001</v>
      </c>
      <c r="M6142">
        <v>0.99959489999999995</v>
      </c>
      <c r="N6142">
        <v>-1.467101E-2</v>
      </c>
      <c r="O6142">
        <v>2.4391889999999999E-2</v>
      </c>
      <c r="P6142">
        <v>0.99692199999999997</v>
      </c>
      <c r="Q6142">
        <v>-5.0553639999999997E-2</v>
      </c>
      <c r="R6142">
        <v>5.9926220000000002E-2</v>
      </c>
      <c r="S6142">
        <v>2.9756469999999999</v>
      </c>
      <c r="T6142">
        <v>-0.1833149</v>
      </c>
      <c r="U6142">
        <v>0.41439819999999999</v>
      </c>
      <c r="V6142">
        <v>-3.5397379999999999E-2</v>
      </c>
      <c r="W6142">
        <v>-3.6094179999999997E-2</v>
      </c>
      <c r="X6142">
        <v>0.99872130000000003</v>
      </c>
      <c r="Y6142">
        <v>-0.113493899999999</v>
      </c>
      <c r="Z6142">
        <v>3.1761749999999998E-3</v>
      </c>
      <c r="AA6142">
        <v>0.99353360000000002</v>
      </c>
      <c r="AB6142">
        <v>36</v>
      </c>
      <c r="AC6142">
        <v>17.8401999999999</v>
      </c>
      <c r="AD6142">
        <v>-1.1114072990224</v>
      </c>
      <c r="AE6142">
        <v>2.5068800000000002</v>
      </c>
      <c r="AF6142">
        <v>-2.0630791433520801</v>
      </c>
      <c r="AG6142">
        <v>-1.1114072990224</v>
      </c>
      <c r="AH6142">
        <v>17.828193054787</v>
      </c>
      <c r="AI6142">
        <v>93.543608714364794</v>
      </c>
      <c r="AJ6142">
        <v>96.600909617977706</v>
      </c>
      <c r="AK6142">
        <v>17.981545799369201</v>
      </c>
      <c r="AL6142">
        <v>92.068493480867204</v>
      </c>
      <c r="AM6142">
        <v>92.029867479343096</v>
      </c>
      <c r="AN6142">
        <v>0.99999999970721298</v>
      </c>
    </row>
    <row r="6143" spans="1:40" x14ac:dyDescent="0.25">
      <c r="A6143" t="str">
        <f>"20190305135353532"</f>
        <v>20190305135353532</v>
      </c>
      <c r="B6143" t="str">
        <f>"1551765233526321"</f>
        <v>1551765233526321</v>
      </c>
      <c r="C6143" t="s">
        <v>40</v>
      </c>
      <c r="D6143">
        <v>4.4358599999999999</v>
      </c>
      <c r="E6143">
        <v>0.47269600000000001</v>
      </c>
      <c r="F6143" t="s">
        <v>94</v>
      </c>
      <c r="G6143">
        <v>-212.83779999999999</v>
      </c>
      <c r="H6143" s="1">
        <v>-2.7296729999999999E-7</v>
      </c>
      <c r="I6143">
        <v>-59.895919999999997</v>
      </c>
      <c r="J6143">
        <v>-230.5403</v>
      </c>
      <c r="K6143">
        <v>1.1113189999999999</v>
      </c>
      <c r="L6143">
        <v>-62.4024</v>
      </c>
      <c r="M6143">
        <v>0.99956829999999997</v>
      </c>
      <c r="N6143">
        <v>-1.4675819999999999E-2</v>
      </c>
      <c r="O6143">
        <v>2.5452530000000001E-2</v>
      </c>
      <c r="P6143">
        <v>0.99680049999999998</v>
      </c>
      <c r="Q6143">
        <v>-4.9761720000000002E-2</v>
      </c>
      <c r="R6143">
        <v>6.2550239999999993E-2</v>
      </c>
      <c r="S6143">
        <v>2.9748230000000002</v>
      </c>
      <c r="T6143">
        <v>-0.18467320000000001</v>
      </c>
      <c r="U6143">
        <v>0.41744999999999999</v>
      </c>
      <c r="V6143">
        <v>-3.697756E-2</v>
      </c>
      <c r="W6143">
        <v>-3.5296870000000001E-2</v>
      </c>
      <c r="X6143">
        <v>0.99869249999999998</v>
      </c>
      <c r="Y6143">
        <v>-0.1134751</v>
      </c>
      <c r="Z6143">
        <v>3.1410740000000002E-3</v>
      </c>
      <c r="AA6143">
        <v>0.99353590000000003</v>
      </c>
      <c r="AB6143">
        <v>36</v>
      </c>
      <c r="AC6143">
        <v>17.702500000000001</v>
      </c>
      <c r="AD6143">
        <v>-1.1113192729673</v>
      </c>
      <c r="AE6143">
        <v>2.5064799999999998</v>
      </c>
      <c r="AF6143">
        <v>-2.0471366191716398</v>
      </c>
      <c r="AG6143">
        <v>-1.1113192729673</v>
      </c>
      <c r="AH6143">
        <v>17.692211854964601</v>
      </c>
      <c r="AI6143">
        <v>93.570497132445396</v>
      </c>
      <c r="AJ6143">
        <v>96.600248830718499</v>
      </c>
      <c r="AK6143">
        <v>17.8448916831953</v>
      </c>
      <c r="AL6143">
        <v>92.022781932023904</v>
      </c>
      <c r="AM6143">
        <v>92.120463253915503</v>
      </c>
      <c r="AN6143">
        <v>0.99999995926579899</v>
      </c>
    </row>
    <row r="6144" spans="1:40" x14ac:dyDescent="0.25">
      <c r="A6144" t="str">
        <f>"20190305135353543"</f>
        <v>20190305135353543</v>
      </c>
      <c r="B6144" t="str">
        <f>"1551765233536081"</f>
        <v>1551765233536081</v>
      </c>
      <c r="C6144" t="s">
        <v>40</v>
      </c>
      <c r="D6144">
        <v>4.4396529999999998</v>
      </c>
      <c r="E6144">
        <v>0.47301080000000001</v>
      </c>
      <c r="F6144" t="s">
        <v>94</v>
      </c>
      <c r="G6144">
        <v>-213.09729999999999</v>
      </c>
      <c r="H6144" s="1">
        <v>-3.6027139999999998E-7</v>
      </c>
      <c r="I6144">
        <v>-60.031170000000003</v>
      </c>
      <c r="J6144">
        <v>-230.34559999999999</v>
      </c>
      <c r="K6144">
        <v>1.111226</v>
      </c>
      <c r="L6144">
        <v>-62.396549999999998</v>
      </c>
      <c r="M6144">
        <v>0.99954299999999996</v>
      </c>
      <c r="N6144">
        <v>-1.4679950000000001E-2</v>
      </c>
      <c r="O6144">
        <v>2.642371E-2</v>
      </c>
      <c r="P6144">
        <v>0.99669470000000004</v>
      </c>
      <c r="Q6144">
        <v>-4.882131E-2</v>
      </c>
      <c r="R6144">
        <v>6.4932130000000005E-2</v>
      </c>
      <c r="S6144">
        <v>2.9748079999999999</v>
      </c>
      <c r="T6144">
        <v>-0.18952830000000001</v>
      </c>
      <c r="U6144">
        <v>0.40438839999999998</v>
      </c>
      <c r="V6144">
        <v>-3.840553E-2</v>
      </c>
      <c r="W6144">
        <v>-3.4349860000000003E-2</v>
      </c>
      <c r="X6144">
        <v>0.99867169999999905</v>
      </c>
      <c r="Y6144">
        <v>-0.10823140000000001</v>
      </c>
      <c r="Z6144">
        <v>2.9404769999999999E-3</v>
      </c>
      <c r="AA6144">
        <v>0.99412140000000004</v>
      </c>
      <c r="AB6144">
        <v>36</v>
      </c>
      <c r="AC6144">
        <v>17.2483</v>
      </c>
      <c r="AD6144">
        <v>-1.1112263602713901</v>
      </c>
      <c r="AE6144">
        <v>2.36538</v>
      </c>
      <c r="AF6144">
        <v>-1.9009960442567599</v>
      </c>
      <c r="AG6144">
        <v>-1.1112263602713901</v>
      </c>
      <c r="AH6144">
        <v>17.2345714153792</v>
      </c>
      <c r="AI6144">
        <v>93.666951737610503</v>
      </c>
      <c r="AJ6144">
        <v>96.294356115137603</v>
      </c>
      <c r="AK6144">
        <v>17.374667244464</v>
      </c>
      <c r="AL6144">
        <v>91.968489180948296</v>
      </c>
      <c r="AM6144">
        <v>92.202316308480405</v>
      </c>
      <c r="AN6144">
        <v>1.00000003099874</v>
      </c>
    </row>
    <row r="6145" spans="1:40" x14ac:dyDescent="0.25">
      <c r="A6145" t="str">
        <f>"20190305135353554"</f>
        <v>20190305135353554</v>
      </c>
      <c r="B6145" t="str">
        <f>"1551765233545840"</f>
        <v>1551765233545840</v>
      </c>
      <c r="C6145" t="s">
        <v>40</v>
      </c>
      <c r="D6145">
        <v>4.6021769999999904</v>
      </c>
      <c r="E6145">
        <v>0.47393269999999998</v>
      </c>
      <c r="F6145" t="s">
        <v>94</v>
      </c>
      <c r="G6145">
        <v>-212.76310000000001</v>
      </c>
      <c r="H6145" s="1">
        <v>-2.262392E-7</v>
      </c>
      <c r="I6145">
        <v>-59.978549999999998</v>
      </c>
      <c r="J6145">
        <v>-230.16849999999999</v>
      </c>
      <c r="K6145">
        <v>1.1111340000000001</v>
      </c>
      <c r="L6145">
        <v>-62.391080000000002</v>
      </c>
      <c r="M6145">
        <v>0.99952209999999997</v>
      </c>
      <c r="N6145">
        <v>-1.4682850000000001E-2</v>
      </c>
      <c r="O6145">
        <v>2.7206520000000001E-2</v>
      </c>
      <c r="P6145">
        <v>0.99655459999999996</v>
      </c>
      <c r="Q6145">
        <v>-4.8330079999999997E-2</v>
      </c>
      <c r="R6145">
        <v>6.7405160000000006E-2</v>
      </c>
      <c r="S6145">
        <v>2.9741059999999999</v>
      </c>
      <c r="T6145">
        <v>-0.18796560000000001</v>
      </c>
      <c r="U6145">
        <v>0.40899659999999999</v>
      </c>
      <c r="V6145">
        <v>-4.0110960000000001E-2</v>
      </c>
      <c r="W6145">
        <v>-3.3854370000000002E-2</v>
      </c>
      <c r="X6145">
        <v>0.99862150000000005</v>
      </c>
      <c r="Y6145">
        <v>-0.108998499999999</v>
      </c>
      <c r="Z6145">
        <v>2.918613E-3</v>
      </c>
      <c r="AA6145">
        <v>0.99403759999999997</v>
      </c>
      <c r="AB6145">
        <v>36</v>
      </c>
      <c r="AC6145">
        <v>17.405399999999901</v>
      </c>
      <c r="AD6145">
        <v>-1.1111342262391899</v>
      </c>
      <c r="AE6145">
        <v>2.4125299999999998</v>
      </c>
      <c r="AF6145">
        <v>-1.9303269338921201</v>
      </c>
      <c r="AG6145">
        <v>-1.1111342262391899</v>
      </c>
      <c r="AH6145">
        <v>17.395044724730099</v>
      </c>
      <c r="AI6145">
        <v>93.632649096849207</v>
      </c>
      <c r="AJ6145">
        <v>96.332201312749405</v>
      </c>
      <c r="AK6145">
        <v>17.537056831629101</v>
      </c>
      <c r="AL6145">
        <v>91.9400833231891</v>
      </c>
      <c r="AM6145">
        <v>92.300124721796706</v>
      </c>
      <c r="AN6145">
        <v>0.99999995387123297</v>
      </c>
    </row>
    <row r="6146" spans="1:40" x14ac:dyDescent="0.25">
      <c r="A6146" t="str">
        <f>"20190305135353566"</f>
        <v>20190305135353566</v>
      </c>
      <c r="B6146" t="str">
        <f>"1551765233556577"</f>
        <v>1551765233556577</v>
      </c>
      <c r="C6146" t="s">
        <v>40</v>
      </c>
      <c r="D6146">
        <v>4.6482950000000001</v>
      </c>
      <c r="E6146">
        <v>0.4748754</v>
      </c>
      <c r="F6146" t="s">
        <v>94</v>
      </c>
      <c r="G6146">
        <v>-212.88329999999999</v>
      </c>
      <c r="H6146" s="1">
        <v>-2.7153019999999998E-7</v>
      </c>
      <c r="I6146">
        <v>-60.013969999999901</v>
      </c>
      <c r="J6146">
        <v>-229.99520000000001</v>
      </c>
      <c r="K6146">
        <v>1.111038</v>
      </c>
      <c r="L6146">
        <v>-62.385710000000003</v>
      </c>
      <c r="M6146">
        <v>0.99950150000000004</v>
      </c>
      <c r="N6146">
        <v>-1.4685409999999999E-2</v>
      </c>
      <c r="O6146">
        <v>2.7951230000000001E-2</v>
      </c>
      <c r="P6146">
        <v>0.99639990000000001</v>
      </c>
      <c r="Q6146">
        <v>-4.7954839999999999E-2</v>
      </c>
      <c r="R6146">
        <v>6.9910650000000005E-2</v>
      </c>
      <c r="S6146">
        <v>2.9734340000000001</v>
      </c>
      <c r="T6146">
        <v>-0.19113920000000001</v>
      </c>
      <c r="U6146">
        <v>0.40890500000000002</v>
      </c>
      <c r="V6146">
        <v>-4.1886149999999997E-2</v>
      </c>
      <c r="W6146">
        <v>-3.3474810000000001E-2</v>
      </c>
      <c r="X6146">
        <v>0.99856140000000004</v>
      </c>
      <c r="Y6146">
        <v>-0.108254</v>
      </c>
      <c r="Z6146">
        <v>2.8822090000000002E-3</v>
      </c>
      <c r="AA6146">
        <v>0.99411910000000003</v>
      </c>
      <c r="AB6146">
        <v>36</v>
      </c>
      <c r="AC6146">
        <v>17.111899999999999</v>
      </c>
      <c r="AD6146">
        <v>-1.1110382715301901</v>
      </c>
      <c r="AE6146">
        <v>2.37174</v>
      </c>
      <c r="AF6146">
        <v>-1.8846676465646801</v>
      </c>
      <c r="AG6146">
        <v>-1.1110382715301901</v>
      </c>
      <c r="AH6146">
        <v>17.100781300752299</v>
      </c>
      <c r="AI6146">
        <v>93.6949744930252</v>
      </c>
      <c r="AJ6146">
        <v>96.289155166667598</v>
      </c>
      <c r="AK6146">
        <v>17.240159490995801</v>
      </c>
      <c r="AL6146">
        <v>91.918323827069102</v>
      </c>
      <c r="AM6146">
        <v>92.401948995140302</v>
      </c>
      <c r="AN6146">
        <v>0.99999994101815703</v>
      </c>
    </row>
    <row r="6147" spans="1:40" x14ac:dyDescent="0.25">
      <c r="A6147" t="str">
        <f>"20190305135353575"</f>
        <v>20190305135353575</v>
      </c>
      <c r="B6147" t="str">
        <f>"1551765233566338"</f>
        <v>1551765233566338</v>
      </c>
      <c r="C6147" t="s">
        <v>40</v>
      </c>
      <c r="D6147">
        <v>4.4605600000000001</v>
      </c>
      <c r="E6147">
        <v>0.47511330000000002</v>
      </c>
      <c r="F6147" t="s">
        <v>94</v>
      </c>
      <c r="G6147">
        <v>-212.93780000000001</v>
      </c>
      <c r="H6147" s="1">
        <v>-2.9030650000000002E-7</v>
      </c>
      <c r="I6147">
        <v>-60.039990000000003</v>
      </c>
      <c r="J6147">
        <v>-229.834</v>
      </c>
      <c r="K6147">
        <v>1.1109420000000001</v>
      </c>
      <c r="L6147">
        <v>-62.380580000000002</v>
      </c>
      <c r="M6147">
        <v>0.99948510000000002</v>
      </c>
      <c r="N6147">
        <v>-1.468237E-2</v>
      </c>
      <c r="O6147">
        <v>2.8527319999999998E-2</v>
      </c>
      <c r="P6147">
        <v>0.99624740000000001</v>
      </c>
      <c r="Q6147">
        <v>-4.7654059999999998E-2</v>
      </c>
      <c r="R6147">
        <v>7.2250430000000004E-2</v>
      </c>
      <c r="S6147">
        <v>2.972839</v>
      </c>
      <c r="T6147">
        <v>-0.1936368</v>
      </c>
      <c r="U6147">
        <v>0.4088135</v>
      </c>
      <c r="V6147">
        <v>-4.3664000000000001E-2</v>
      </c>
      <c r="W6147">
        <v>-3.3174090000000003E-2</v>
      </c>
      <c r="X6147">
        <v>0.99849529999999997</v>
      </c>
      <c r="Y6147">
        <v>-0.1076746</v>
      </c>
      <c r="Z6147">
        <v>2.8522650000000001E-3</v>
      </c>
      <c r="AA6147">
        <v>0.99418209999999996</v>
      </c>
      <c r="AB6147">
        <v>36</v>
      </c>
      <c r="AC6147">
        <v>16.896199999999901</v>
      </c>
      <c r="AD6147">
        <v>-1.1109422903065</v>
      </c>
      <c r="AE6147">
        <v>2.3405900000000002</v>
      </c>
      <c r="AF6147">
        <v>-1.8497357000165799</v>
      </c>
      <c r="AG6147">
        <v>-1.1109422903065</v>
      </c>
      <c r="AH6147">
        <v>16.884479426633</v>
      </c>
      <c r="AI6147">
        <v>93.742119825003996</v>
      </c>
      <c r="AJ6147">
        <v>96.251959798674704</v>
      </c>
      <c r="AK6147">
        <v>17.0217907530524</v>
      </c>
      <c r="AL6147">
        <v>91.901084219171693</v>
      </c>
      <c r="AM6147">
        <v>92.503937715708105</v>
      </c>
      <c r="AN6147">
        <v>0.99999996463270802</v>
      </c>
    </row>
    <row r="6148" spans="1:40" x14ac:dyDescent="0.25">
      <c r="A6148" t="str">
        <f>"20190305135353585"</f>
        <v>20190305135353585</v>
      </c>
      <c r="B6148" t="str">
        <f>"1551765233576099"</f>
        <v>1551765233576099</v>
      </c>
      <c r="C6148" t="s">
        <v>40</v>
      </c>
      <c r="D6148">
        <v>4.4868540000000001</v>
      </c>
      <c r="E6148">
        <v>0.47539579999999998</v>
      </c>
      <c r="F6148" t="s">
        <v>94</v>
      </c>
      <c r="G6148">
        <v>-212.81790000000001</v>
      </c>
      <c r="H6148" s="1">
        <v>-2.439569E-7</v>
      </c>
      <c r="I6148">
        <v>-60.011200000000002</v>
      </c>
      <c r="J6148">
        <v>-229.684</v>
      </c>
      <c r="K6148">
        <v>1.1108499999999999</v>
      </c>
      <c r="L6148">
        <v>-62.37585</v>
      </c>
      <c r="M6148">
        <v>0.99946990000000002</v>
      </c>
      <c r="N6148">
        <v>-1.4679499999999899E-2</v>
      </c>
      <c r="O6148">
        <v>2.9061940000000001E-2</v>
      </c>
      <c r="P6148">
        <v>0.99607279999999998</v>
      </c>
      <c r="Q6148">
        <v>-4.7435600000000001E-2</v>
      </c>
      <c r="R6148">
        <v>7.4759389999999995E-2</v>
      </c>
      <c r="S6148">
        <v>2.9719850000000001</v>
      </c>
      <c r="T6148">
        <v>-0.19403329999999999</v>
      </c>
      <c r="U6148">
        <v>0.41381839999999998</v>
      </c>
      <c r="V6148">
        <v>-4.5652039999999998E-2</v>
      </c>
      <c r="W6148">
        <v>-3.2956470000000002E-2</v>
      </c>
      <c r="X6148">
        <v>0.99841360000000001</v>
      </c>
      <c r="Y6148">
        <v>-0.108821</v>
      </c>
      <c r="Z6148">
        <v>2.874546E-3</v>
      </c>
      <c r="AA6148">
        <v>0.99405719999999997</v>
      </c>
      <c r="AB6148">
        <v>36</v>
      </c>
      <c r="AC6148">
        <v>16.866099999999999</v>
      </c>
      <c r="AD6148">
        <v>-1.1108502439568999</v>
      </c>
      <c r="AE6148">
        <v>2.3646499999999899</v>
      </c>
      <c r="AF6148">
        <v>-1.8655002278438899</v>
      </c>
      <c r="AG6148">
        <v>-1.1108502439568999</v>
      </c>
      <c r="AH6148">
        <v>16.8559927503144</v>
      </c>
      <c r="AI6148">
        <v>93.747660782558199</v>
      </c>
      <c r="AJ6148">
        <v>96.315384490265401</v>
      </c>
      <c r="AK6148">
        <v>16.995251423948901</v>
      </c>
      <c r="AL6148">
        <v>91.888608665792205</v>
      </c>
      <c r="AM6148">
        <v>92.618001807408305</v>
      </c>
      <c r="AN6148">
        <v>0.99999997716799105</v>
      </c>
    </row>
    <row r="6149" spans="1:40" x14ac:dyDescent="0.25">
      <c r="A6149" t="str">
        <f>"20190305135353594"</f>
        <v>20190305135353594</v>
      </c>
      <c r="B6149" t="str">
        <f>"1551765233585858"</f>
        <v>1551765233585858</v>
      </c>
      <c r="C6149" t="s">
        <v>40</v>
      </c>
      <c r="D6149">
        <v>4.5060129999999896</v>
      </c>
      <c r="E6149">
        <v>0.47568749999999999</v>
      </c>
      <c r="F6149" t="s">
        <v>94</v>
      </c>
      <c r="G6149">
        <v>-212.71559999999999</v>
      </c>
      <c r="H6149" s="1">
        <v>-2.050737E-7</v>
      </c>
      <c r="I6149">
        <v>-59.983150000000002</v>
      </c>
      <c r="J6149">
        <v>-229.5223</v>
      </c>
      <c r="K6149">
        <v>1.110741</v>
      </c>
      <c r="L6149">
        <v>-62.370640000000002</v>
      </c>
      <c r="M6149">
        <v>0.99945680000000003</v>
      </c>
      <c r="N6149">
        <v>-1.4659459999999999E-2</v>
      </c>
      <c r="O6149">
        <v>2.952111E-2</v>
      </c>
      <c r="P6149">
        <v>0.99588840000000001</v>
      </c>
      <c r="Q6149">
        <v>-4.7089939999999997E-2</v>
      </c>
      <c r="R6149">
        <v>7.7388509999999994E-2</v>
      </c>
      <c r="S6149">
        <v>2.9711150000000002</v>
      </c>
      <c r="T6149">
        <v>-0.1945064</v>
      </c>
      <c r="U6149">
        <v>0.41894530000000002</v>
      </c>
      <c r="V6149">
        <v>-4.783718E-2</v>
      </c>
      <c r="W6149">
        <v>-3.2627070000000001E-2</v>
      </c>
      <c r="X6149">
        <v>0.99832209999999999</v>
      </c>
      <c r="Y6149">
        <v>-0.1100826</v>
      </c>
      <c r="Z6149">
        <v>2.9044370000000002E-3</v>
      </c>
      <c r="AA6149">
        <v>0.99391819999999997</v>
      </c>
      <c r="AB6149">
        <v>36</v>
      </c>
      <c r="AC6149">
        <v>16.806699999999999</v>
      </c>
      <c r="AD6149">
        <v>-1.1107412050737</v>
      </c>
      <c r="AE6149">
        <v>2.3874900000000001</v>
      </c>
      <c r="AF6149">
        <v>-1.8821851621596399</v>
      </c>
      <c r="AG6149">
        <v>-1.1107412050737</v>
      </c>
      <c r="AH6149">
        <v>16.797943826482499</v>
      </c>
      <c r="AI6149">
        <v>93.759639125653507</v>
      </c>
      <c r="AJ6149">
        <v>96.393242256850797</v>
      </c>
      <c r="AK6149">
        <v>16.9395184054023</v>
      </c>
      <c r="AL6149">
        <v>91.869725296485001</v>
      </c>
      <c r="AM6149">
        <v>92.743376750493894</v>
      </c>
      <c r="AN6149">
        <v>0.99999996841777306</v>
      </c>
    </row>
    <row r="6150" spans="1:40" x14ac:dyDescent="0.25">
      <c r="A6150" t="str">
        <f>"20190305135353607"</f>
        <v>20190305135353607</v>
      </c>
      <c r="B6150" t="str">
        <f>"1551765233596593"</f>
        <v>1551765233596593</v>
      </c>
      <c r="C6150" t="s">
        <v>40</v>
      </c>
      <c r="D6150">
        <v>4.4894220000000002</v>
      </c>
      <c r="E6150">
        <v>0.475935</v>
      </c>
      <c r="F6150" t="s">
        <v>94</v>
      </c>
      <c r="G6150">
        <v>-212.5701</v>
      </c>
      <c r="H6150" s="1">
        <v>-1.4878720000000001E-7</v>
      </c>
      <c r="I6150">
        <v>-59.948459999999997</v>
      </c>
      <c r="J6150">
        <v>-229.3443</v>
      </c>
      <c r="K6150">
        <v>1.110622</v>
      </c>
      <c r="L6150">
        <v>-62.364930000000001</v>
      </c>
      <c r="M6150">
        <v>0.99944259999999996</v>
      </c>
      <c r="N6150">
        <v>-1.4632620000000001E-2</v>
      </c>
      <c r="O6150">
        <v>3.0008489999999999E-2</v>
      </c>
      <c r="P6150">
        <v>0.99568780000000001</v>
      </c>
      <c r="Q6150">
        <v>-4.6477039999999997E-2</v>
      </c>
      <c r="R6150">
        <v>8.0286960000000004E-2</v>
      </c>
      <c r="S6150">
        <v>2.9702000000000002</v>
      </c>
      <c r="T6150">
        <v>-0.19461239999999999</v>
      </c>
      <c r="U6150">
        <v>0.42437740000000002</v>
      </c>
      <c r="V6150">
        <v>-5.0265789999999998E-2</v>
      </c>
      <c r="W6150">
        <v>-3.2035399999999999E-2</v>
      </c>
      <c r="X6150">
        <v>0.9982219</v>
      </c>
      <c r="Y6150">
        <v>-0.11141909999999999</v>
      </c>
      <c r="Z6150">
        <v>2.9321880000000001E-3</v>
      </c>
      <c r="AA6150">
        <v>0.99376920000000002</v>
      </c>
      <c r="AB6150">
        <v>36</v>
      </c>
      <c r="AC6150">
        <v>16.7742</v>
      </c>
      <c r="AD6150">
        <v>-1.1106221487871999</v>
      </c>
      <c r="AE6150">
        <v>2.4164700000000101</v>
      </c>
      <c r="AF6150">
        <v>-1.90378312409174</v>
      </c>
      <c r="AG6150">
        <v>-1.1106221487871999</v>
      </c>
      <c r="AH6150">
        <v>16.7671572195264</v>
      </c>
      <c r="AI6150">
        <v>93.765495124478704</v>
      </c>
      <c r="AJ6150">
        <v>96.477758053374799</v>
      </c>
      <c r="AK6150">
        <v>16.911399497536198</v>
      </c>
      <c r="AL6150">
        <v>91.835807422961906</v>
      </c>
      <c r="AM6150">
        <v>92.882712821843896</v>
      </c>
      <c r="AN6150">
        <v>0.99999993906854501</v>
      </c>
    </row>
    <row r="6151" spans="1:40" x14ac:dyDescent="0.25">
      <c r="A6151" t="str">
        <f>"20190305135353618"</f>
        <v>20190305135353618</v>
      </c>
      <c r="B6151" t="str">
        <f>"1551765233606353"</f>
        <v>1551765233606353</v>
      </c>
      <c r="C6151" t="s">
        <v>40</v>
      </c>
      <c r="D6151">
        <v>4.4812699999999897</v>
      </c>
      <c r="E6151">
        <v>0.47620050000000003</v>
      </c>
      <c r="F6151" t="s">
        <v>94</v>
      </c>
      <c r="G6151">
        <v>-212.2227</v>
      </c>
      <c r="H6151" s="1">
        <v>-1.197009E-8</v>
      </c>
      <c r="I6151">
        <v>-59.879579999999997</v>
      </c>
      <c r="J6151">
        <v>-229.16759999999999</v>
      </c>
      <c r="K6151">
        <v>1.110492</v>
      </c>
      <c r="L6151">
        <v>-62.359160000000003</v>
      </c>
      <c r="M6151">
        <v>0.99943219999999999</v>
      </c>
      <c r="N6151">
        <v>-1.457491E-2</v>
      </c>
      <c r="O6151">
        <v>3.0377560000000001E-2</v>
      </c>
      <c r="P6151">
        <v>0.9954847</v>
      </c>
      <c r="Q6151">
        <v>-4.5999249999999998E-2</v>
      </c>
      <c r="R6151">
        <v>8.3033209999999996E-2</v>
      </c>
      <c r="S6151">
        <v>2.9692379999999998</v>
      </c>
      <c r="T6151">
        <v>-0.19260430000000001</v>
      </c>
      <c r="U6151">
        <v>0.43099979999999899</v>
      </c>
      <c r="V6151">
        <v>-5.2660110000000003E-2</v>
      </c>
      <c r="W6151">
        <v>-3.160789E-2</v>
      </c>
      <c r="X6151">
        <v>0.99811209999999995</v>
      </c>
      <c r="Y6151">
        <v>-0.1132688</v>
      </c>
      <c r="Z6151">
        <v>2.9650990000000001E-3</v>
      </c>
      <c r="AA6151">
        <v>0.99356</v>
      </c>
      <c r="AB6151">
        <v>36</v>
      </c>
      <c r="AC6151">
        <v>16.944899999999901</v>
      </c>
      <c r="AD6151">
        <v>-1.1104920119700901</v>
      </c>
      <c r="AE6151">
        <v>2.4795799999999901</v>
      </c>
      <c r="AF6151">
        <v>-1.9554137675933301</v>
      </c>
      <c r="AG6151">
        <v>-1.1104920119700901</v>
      </c>
      <c r="AH6151">
        <v>16.941174528642101</v>
      </c>
      <c r="AI6151">
        <v>93.725700680060598</v>
      </c>
      <c r="AJ6151">
        <v>96.584157013189596</v>
      </c>
      <c r="AK6151">
        <v>17.089769744530098</v>
      </c>
      <c r="AL6151">
        <v>91.811300462446994</v>
      </c>
      <c r="AM6151">
        <v>93.020108832884304</v>
      </c>
      <c r="AN6151">
        <v>0.99999995503093597</v>
      </c>
    </row>
    <row r="6152" spans="1:40" x14ac:dyDescent="0.25">
      <c r="A6152" t="str">
        <f>"20190305135353629"</f>
        <v>20190305135353629</v>
      </c>
      <c r="B6152" t="str">
        <f>"1551765233625874"</f>
        <v>1551765233625874</v>
      </c>
      <c r="C6152" t="s">
        <v>40</v>
      </c>
      <c r="D6152">
        <v>4.4524179999999998</v>
      </c>
      <c r="E6152">
        <v>0.47674620000000001</v>
      </c>
      <c r="F6152" t="s">
        <v>94</v>
      </c>
      <c r="G6152">
        <v>-211.87200000000001</v>
      </c>
      <c r="H6152" s="1">
        <v>1.2654439999999999E-7</v>
      </c>
      <c r="I6152">
        <v>-59.812440000000002</v>
      </c>
      <c r="J6152">
        <v>-228.9888</v>
      </c>
      <c r="K6152">
        <v>1.1103590000000001</v>
      </c>
      <c r="L6152">
        <v>-62.353389999999997</v>
      </c>
      <c r="M6152">
        <v>0.99942330000000001</v>
      </c>
      <c r="N6152">
        <v>-1.45056E-2</v>
      </c>
      <c r="O6152">
        <v>3.070792E-2</v>
      </c>
      <c r="P6152">
        <v>0.99526740000000002</v>
      </c>
      <c r="Q6152">
        <v>-4.5256820000000003E-2</v>
      </c>
      <c r="R6152">
        <v>8.5993470000000002E-2</v>
      </c>
      <c r="S6152">
        <v>2.968369</v>
      </c>
      <c r="T6152">
        <v>-0.19058929999999999</v>
      </c>
      <c r="U6152">
        <v>0.43707279999999998</v>
      </c>
      <c r="V6152">
        <v>-5.5307769999999999E-2</v>
      </c>
      <c r="W6152">
        <v>-3.0926550000000001E-2</v>
      </c>
      <c r="X6152">
        <v>0.9979903</v>
      </c>
      <c r="Y6152">
        <v>-0.114972699999999</v>
      </c>
      <c r="Z6152">
        <v>2.9921879999999998E-3</v>
      </c>
      <c r="AA6152">
        <v>0.99336420000000003</v>
      </c>
      <c r="AB6152">
        <v>36</v>
      </c>
      <c r="AC6152">
        <v>17.116799999999898</v>
      </c>
      <c r="AD6152">
        <v>-1.1103588734556</v>
      </c>
      <c r="AE6152">
        <v>2.54095</v>
      </c>
      <c r="AF6152">
        <v>-2.0058162935027202</v>
      </c>
      <c r="AG6152">
        <v>-1.1103588734556</v>
      </c>
      <c r="AH6152">
        <v>17.116288207960999</v>
      </c>
      <c r="AI6152">
        <v>93.686504335718894</v>
      </c>
      <c r="AJ6152">
        <v>96.683868298828799</v>
      </c>
      <c r="AK6152">
        <v>17.269149308785501</v>
      </c>
      <c r="AL6152">
        <v>91.772243342012501</v>
      </c>
      <c r="AM6152">
        <v>93.172038409366294</v>
      </c>
      <c r="AN6152">
        <v>1.00000001990568</v>
      </c>
    </row>
    <row r="6153" spans="1:40" x14ac:dyDescent="0.25">
      <c r="A6153" t="str">
        <f>"20190305135353640"</f>
        <v>20190305135353640</v>
      </c>
      <c r="B6153" t="str">
        <f>"1551765233636610"</f>
        <v>1551765233636610</v>
      </c>
      <c r="C6153" t="s">
        <v>40</v>
      </c>
      <c r="D6153">
        <v>4.4850680000000001</v>
      </c>
      <c r="E6153">
        <v>0.47706920000000003</v>
      </c>
      <c r="F6153" t="s">
        <v>94</v>
      </c>
      <c r="G6153">
        <v>-211.55969999999999</v>
      </c>
      <c r="H6153" s="1">
        <v>2.5129929999999998E-7</v>
      </c>
      <c r="I6153">
        <v>-59.760280000000002</v>
      </c>
      <c r="J6153">
        <v>-228.8023</v>
      </c>
      <c r="K6153">
        <v>1.1102160000000001</v>
      </c>
      <c r="L6153">
        <v>-62.347349999999999</v>
      </c>
      <c r="M6153">
        <v>0.99941659999999999</v>
      </c>
      <c r="N6153">
        <v>-1.4411770000000001E-2</v>
      </c>
      <c r="O6153">
        <v>3.0968619999999999E-2</v>
      </c>
      <c r="P6153">
        <v>0.99506209999999995</v>
      </c>
      <c r="Q6153">
        <v>-4.4159759999999999E-2</v>
      </c>
      <c r="R6153">
        <v>8.8890549999999999E-2</v>
      </c>
      <c r="S6153">
        <v>2.967514</v>
      </c>
      <c r="T6153">
        <v>-0.18905159999999999</v>
      </c>
      <c r="U6153">
        <v>0.4414978</v>
      </c>
      <c r="V6153">
        <v>-5.796192E-2</v>
      </c>
      <c r="W6153">
        <v>-2.9912870000000001E-2</v>
      </c>
      <c r="X6153">
        <v>0.99787060000000005</v>
      </c>
      <c r="Y6153">
        <v>-0.1162053</v>
      </c>
      <c r="Z6153">
        <v>3.0056850000000001E-3</v>
      </c>
      <c r="AA6153">
        <v>0.99322069999999996</v>
      </c>
      <c r="AB6153">
        <v>36</v>
      </c>
      <c r="AC6153">
        <v>17.242599999999999</v>
      </c>
      <c r="AD6153">
        <v>-1.1102157487007001</v>
      </c>
      <c r="AE6153">
        <v>2.58706999999999</v>
      </c>
      <c r="AF6153">
        <v>-2.0435084884472099</v>
      </c>
      <c r="AG6153">
        <v>-1.1102157487007001</v>
      </c>
      <c r="AH6153">
        <v>17.244535741586201</v>
      </c>
      <c r="AI6153">
        <v>93.658134886673196</v>
      </c>
      <c r="AJ6153">
        <v>96.758136371930505</v>
      </c>
      <c r="AK6153">
        <v>17.400647082619201</v>
      </c>
      <c r="AL6153">
        <v>91.714136813856499</v>
      </c>
      <c r="AM6153">
        <v>93.324324829210099</v>
      </c>
      <c r="AN6153">
        <v>1.0000000491530401</v>
      </c>
    </row>
    <row r="6154" spans="1:40" x14ac:dyDescent="0.25">
      <c r="A6154" t="str">
        <f>"20190305135353652"</f>
        <v>20190305135353652</v>
      </c>
      <c r="B6154" t="str">
        <f>"1551765233646372"</f>
        <v>1551765233646372</v>
      </c>
      <c r="C6154" t="s">
        <v>40</v>
      </c>
      <c r="D6154">
        <v>4.5186799999999998</v>
      </c>
      <c r="E6154">
        <v>0.47734870000000001</v>
      </c>
      <c r="F6154" t="s">
        <v>94</v>
      </c>
      <c r="G6154">
        <v>-211.0703</v>
      </c>
      <c r="H6154" s="1">
        <v>4.4559029999999998E-7</v>
      </c>
      <c r="I6154">
        <v>-59.6721199999999</v>
      </c>
      <c r="J6154">
        <v>-228.61340000000001</v>
      </c>
      <c r="K6154">
        <v>1.1100760000000001</v>
      </c>
      <c r="L6154">
        <v>-62.341250000000002</v>
      </c>
      <c r="M6154">
        <v>0.99941210000000003</v>
      </c>
      <c r="N6154">
        <v>-1.430706E-2</v>
      </c>
      <c r="O6154">
        <v>3.1161310000000001E-2</v>
      </c>
      <c r="P6154">
        <v>0.99482349999999997</v>
      </c>
      <c r="Q6154">
        <v>-4.267423E-2</v>
      </c>
      <c r="R6154">
        <v>9.2225860000000007E-2</v>
      </c>
      <c r="S6154">
        <v>2.9666600000000001</v>
      </c>
      <c r="T6154">
        <v>-0.1857454</v>
      </c>
      <c r="U6154">
        <v>0.44757079999999999</v>
      </c>
      <c r="V6154">
        <v>-6.1122620000000003E-2</v>
      </c>
      <c r="W6154">
        <v>-2.852182E-2</v>
      </c>
      <c r="X6154">
        <v>0.99772269999999996</v>
      </c>
      <c r="Y6154">
        <v>-0.1180475</v>
      </c>
      <c r="Z6154">
        <v>3.0279529999999999E-3</v>
      </c>
      <c r="AA6154">
        <v>0.99300330000000003</v>
      </c>
      <c r="AB6154">
        <v>36</v>
      </c>
      <c r="AC6154">
        <v>17.543099999999999</v>
      </c>
      <c r="AD6154">
        <v>-1.1100755544096901</v>
      </c>
      <c r="AE6154">
        <v>2.66913</v>
      </c>
      <c r="AF6154">
        <v>-2.11284326908065</v>
      </c>
      <c r="AG6154">
        <v>-1.1100755544096901</v>
      </c>
      <c r="AH6154">
        <v>17.549084373389899</v>
      </c>
      <c r="AI6154">
        <v>93.593566696153601</v>
      </c>
      <c r="AJ6154">
        <v>96.865151336578705</v>
      </c>
      <c r="AK6154">
        <v>17.710639083910898</v>
      </c>
      <c r="AL6154">
        <v>91.634401512216797</v>
      </c>
      <c r="AM6154">
        <v>93.505680339548107</v>
      </c>
      <c r="AN6154">
        <v>1.0000000274935299</v>
      </c>
    </row>
    <row r="6155" spans="1:40" x14ac:dyDescent="0.25">
      <c r="A6155" t="str">
        <f>"20190305135353663"</f>
        <v>20190305135353663</v>
      </c>
      <c r="B6155" t="str">
        <f>"1551765233656129"</f>
        <v>1551765233656129</v>
      </c>
      <c r="C6155" t="s">
        <v>40</v>
      </c>
      <c r="D6155">
        <v>4.4738300000000004</v>
      </c>
      <c r="E6155">
        <v>0.47760560000000002</v>
      </c>
      <c r="F6155" t="s">
        <v>94</v>
      </c>
      <c r="G6155">
        <v>-210.5155</v>
      </c>
      <c r="H6155" s="1">
        <v>6.3350589999999996E-7</v>
      </c>
      <c r="I6155">
        <v>-59.563319999999997</v>
      </c>
      <c r="J6155">
        <v>-228.4385</v>
      </c>
      <c r="K6155">
        <v>1.10995</v>
      </c>
      <c r="L6155">
        <v>-62.335630000000002</v>
      </c>
      <c r="M6155">
        <v>0.99940910000000005</v>
      </c>
      <c r="N6155">
        <v>-1.4204949999999999E-2</v>
      </c>
      <c r="O6155">
        <v>3.130177E-2</v>
      </c>
      <c r="P6155">
        <v>0.99454880000000001</v>
      </c>
      <c r="Q6155">
        <v>-4.1522969999999999E-2</v>
      </c>
      <c r="R6155">
        <v>9.5649629999999999E-2</v>
      </c>
      <c r="S6155">
        <v>2.9656370000000001</v>
      </c>
      <c r="T6155">
        <v>-0.18190429999999999</v>
      </c>
      <c r="U6155">
        <v>0.4552002</v>
      </c>
      <c r="V6155">
        <v>-6.4422579999999993E-2</v>
      </c>
      <c r="W6155">
        <v>-2.7463189999999998E-2</v>
      </c>
      <c r="X6155">
        <v>0.99754480000000001</v>
      </c>
      <c r="Y6155">
        <v>-0.1204585</v>
      </c>
      <c r="Z6155">
        <v>3.0673789999999999E-3</v>
      </c>
      <c r="AA6155">
        <v>0.99271359999999997</v>
      </c>
      <c r="AB6155">
        <v>36</v>
      </c>
      <c r="AC6155">
        <v>17.922999999999998</v>
      </c>
      <c r="AD6155">
        <v>-1.1099493664941</v>
      </c>
      <c r="AE6155">
        <v>2.7723100000000001</v>
      </c>
      <c r="AF6155">
        <v>-2.2016267192025998</v>
      </c>
      <c r="AG6155">
        <v>-1.1099493664941</v>
      </c>
      <c r="AH6155">
        <v>17.933830348351702</v>
      </c>
      <c r="AI6155">
        <v>93.515273623744307</v>
      </c>
      <c r="AJ6155">
        <v>96.998833052517597</v>
      </c>
      <c r="AK6155">
        <v>18.102525204245602</v>
      </c>
      <c r="AL6155">
        <v>91.573722647935597</v>
      </c>
      <c r="AM6155">
        <v>93.695095363191001</v>
      </c>
      <c r="AN6155">
        <v>1.0000000618129301</v>
      </c>
    </row>
    <row r="6156" spans="1:40" x14ac:dyDescent="0.25">
      <c r="A6156" t="str">
        <f>"20190305135353674"</f>
        <v>20190305135353674</v>
      </c>
      <c r="B6156" t="str">
        <f>"1551765233665891"</f>
        <v>1551765233665891</v>
      </c>
      <c r="C6156" t="s">
        <v>40</v>
      </c>
      <c r="D6156">
        <v>4.50793</v>
      </c>
      <c r="E6156">
        <v>0.47791460000000002</v>
      </c>
      <c r="F6156" t="s">
        <v>47</v>
      </c>
      <c r="G6156">
        <v>-209.18639999999999</v>
      </c>
      <c r="H6156">
        <v>-0.05</v>
      </c>
      <c r="I6156">
        <v>-59.326860000000003</v>
      </c>
      <c r="J6156">
        <v>-228.26900000000001</v>
      </c>
      <c r="K6156">
        <v>1.1098330000000001</v>
      </c>
      <c r="L6156">
        <v>-62.330199999999998</v>
      </c>
      <c r="M6156">
        <v>0.99940859999999998</v>
      </c>
      <c r="N6156">
        <v>-1.410516E-2</v>
      </c>
      <c r="O6156">
        <v>3.1364400000000001E-2</v>
      </c>
      <c r="P6156">
        <v>0.99428589999999994</v>
      </c>
      <c r="Q6156">
        <v>-4.0635829999999998E-2</v>
      </c>
      <c r="R6156">
        <v>9.8715430000000007E-2</v>
      </c>
      <c r="S6156">
        <v>2.9644170000000001</v>
      </c>
      <c r="T6156">
        <v>-0.17860709999999999</v>
      </c>
      <c r="U6156">
        <v>0.46328740000000002</v>
      </c>
      <c r="V6156">
        <v>-6.744087E-2</v>
      </c>
      <c r="W6156">
        <v>-2.6666450000000001E-2</v>
      </c>
      <c r="X6156">
        <v>0.9973668</v>
      </c>
      <c r="Y6156">
        <v>-0.1231039</v>
      </c>
      <c r="Z6156">
        <v>3.121815E-3</v>
      </c>
      <c r="AA6156">
        <v>0.99238879999999996</v>
      </c>
      <c r="AB6156">
        <v>36</v>
      </c>
      <c r="AC6156">
        <v>19.082599999999999</v>
      </c>
      <c r="AD6156">
        <v>-1.1598329999999999</v>
      </c>
      <c r="AE6156">
        <v>3.0033400000000001</v>
      </c>
      <c r="AF6156">
        <v>-2.3946559176100801</v>
      </c>
      <c r="AG6156">
        <v>-1.1598329999999999</v>
      </c>
      <c r="AH6156">
        <v>19.098569320823898</v>
      </c>
      <c r="AI6156">
        <v>93.448301305149002</v>
      </c>
      <c r="AJ6156">
        <v>97.146681081373202</v>
      </c>
      <c r="AK6156">
        <v>19.283022057082999</v>
      </c>
      <c r="AL6156">
        <v>91.528056249286394</v>
      </c>
      <c r="AM6156">
        <v>93.868390302577296</v>
      </c>
      <c r="AN6156">
        <v>0.99999995212209802</v>
      </c>
    </row>
    <row r="6157" spans="1:40" x14ac:dyDescent="0.25">
      <c r="A6157" t="str">
        <f>"20190305135353686"</f>
        <v>20190305135353686</v>
      </c>
      <c r="B6157" t="str">
        <f>"1551765233676626"</f>
        <v>1551765233676626</v>
      </c>
      <c r="C6157" t="s">
        <v>40</v>
      </c>
      <c r="D6157">
        <v>4.4857239999999896</v>
      </c>
      <c r="E6157">
        <v>0.47822769999999998</v>
      </c>
      <c r="F6157" t="s">
        <v>81</v>
      </c>
      <c r="G6157">
        <v>-209.6208</v>
      </c>
      <c r="H6157" s="1">
        <v>-4.8165740000000003E-7</v>
      </c>
      <c r="I6157">
        <v>-59.372529999999998</v>
      </c>
      <c r="J6157">
        <v>-228.0932</v>
      </c>
      <c r="K6157">
        <v>1.109718</v>
      </c>
      <c r="L6157">
        <v>-62.324579999999997</v>
      </c>
      <c r="M6157">
        <v>0.99940839999999997</v>
      </c>
      <c r="N6157">
        <v>-1.4001700000000001E-2</v>
      </c>
      <c r="O6157">
        <v>3.1415770000000003E-2</v>
      </c>
      <c r="P6157">
        <v>0.99397849999999999</v>
      </c>
      <c r="Q6157">
        <v>-3.9786120000000001E-2</v>
      </c>
      <c r="R6157">
        <v>0.1020981</v>
      </c>
      <c r="S6157">
        <v>2.9633790000000002</v>
      </c>
      <c r="T6157">
        <v>-0.17636299999999999</v>
      </c>
      <c r="U6157">
        <v>0.47000120000000001</v>
      </c>
      <c r="V6157">
        <v>-7.0788100000000007E-2</v>
      </c>
      <c r="W6157">
        <v>-2.5909930000000001E-2</v>
      </c>
      <c r="X6157">
        <v>0.99715480000000001</v>
      </c>
      <c r="Y6157">
        <v>-0.12530050000000001</v>
      </c>
      <c r="Z6157">
        <v>3.167965E-3</v>
      </c>
      <c r="AA6157">
        <v>0.99211380000000005</v>
      </c>
      <c r="AB6157">
        <v>36</v>
      </c>
      <c r="AC6157">
        <v>18.4724</v>
      </c>
      <c r="AD6157">
        <v>-1.10971848165739</v>
      </c>
      <c r="AE6157">
        <v>2.9520499999999998</v>
      </c>
      <c r="AF6157">
        <v>-2.3618994004943401</v>
      </c>
      <c r="AG6157">
        <v>-1.10971848165739</v>
      </c>
      <c r="AH6157">
        <v>18.490959470618598</v>
      </c>
      <c r="AI6157">
        <v>93.406822132259805</v>
      </c>
      <c r="AJ6157">
        <v>97.279125145670406</v>
      </c>
      <c r="AK6157">
        <v>18.674196797470302</v>
      </c>
      <c r="AL6157">
        <v>91.484695805614805</v>
      </c>
      <c r="AM6157">
        <v>94.060619881690997</v>
      </c>
      <c r="AN6157">
        <v>0.99999998736862705</v>
      </c>
    </row>
    <row r="6158" spans="1:40" x14ac:dyDescent="0.25">
      <c r="A6158" t="str">
        <f>"20190305135353697"</f>
        <v>20190305135353697</v>
      </c>
      <c r="B6158" t="str">
        <f>"1551765233686386"</f>
        <v>1551765233686386</v>
      </c>
      <c r="C6158" t="s">
        <v>40</v>
      </c>
      <c r="D6158">
        <v>4.5128510000000004</v>
      </c>
      <c r="E6158">
        <v>0.47848390000000002</v>
      </c>
      <c r="F6158" t="s">
        <v>81</v>
      </c>
      <c r="G6158">
        <v>-209.20079999999999</v>
      </c>
      <c r="H6158" s="1">
        <v>-7.7358279999999996E-7</v>
      </c>
      <c r="I6158">
        <v>-59.278680000000001</v>
      </c>
      <c r="J6158">
        <v>-227.90280000000001</v>
      </c>
      <c r="K6158">
        <v>1.109613</v>
      </c>
      <c r="L6158">
        <v>-62.318539999999999</v>
      </c>
      <c r="M6158">
        <v>0.99941029999999997</v>
      </c>
      <c r="N6158">
        <v>-1.389409E-2</v>
      </c>
      <c r="O6158">
        <v>3.140043E-2</v>
      </c>
      <c r="P6158">
        <v>0.99363380000000001</v>
      </c>
      <c r="Q6158">
        <v>-3.951474E-2</v>
      </c>
      <c r="R6158">
        <v>0.1055019</v>
      </c>
      <c r="S6158">
        <v>2.9621580000000001</v>
      </c>
      <c r="T6158">
        <v>-0.1739936</v>
      </c>
      <c r="U6158">
        <v>0.47756959999999998</v>
      </c>
      <c r="V6158">
        <v>-7.4221919999999997E-2</v>
      </c>
      <c r="W6158">
        <v>-2.5736530000000001E-2</v>
      </c>
      <c r="X6158">
        <v>0.99690959999999995</v>
      </c>
      <c r="Y6158">
        <v>-0.12785070000000001</v>
      </c>
      <c r="Z6158">
        <v>3.2263980000000001E-3</v>
      </c>
      <c r="AA6158">
        <v>0.99178809999999995</v>
      </c>
      <c r="AB6158">
        <v>36</v>
      </c>
      <c r="AC6158">
        <v>18.702000000000002</v>
      </c>
      <c r="AD6158">
        <v>-1.1096137735828</v>
      </c>
      <c r="AE6158">
        <v>3.03986</v>
      </c>
      <c r="AF6158">
        <v>-2.44267578832123</v>
      </c>
      <c r="AG6158">
        <v>-1.1096137735828</v>
      </c>
      <c r="AH6158">
        <v>18.724022341932901</v>
      </c>
      <c r="AI6158">
        <v>93.363036988628394</v>
      </c>
      <c r="AJ6158">
        <v>97.432647617241898</v>
      </c>
      <c r="AK6158">
        <v>18.915256286780199</v>
      </c>
      <c r="AL6158">
        <v>91.474757374909601</v>
      </c>
      <c r="AM6158">
        <v>94.257929964238699</v>
      </c>
      <c r="AN6158">
        <v>1.0000000064785399</v>
      </c>
    </row>
    <row r="6159" spans="1:40" x14ac:dyDescent="0.25">
      <c r="A6159" t="str">
        <f>"20190305135353707"</f>
        <v>20190305135353707</v>
      </c>
      <c r="B6159" t="str">
        <f>"1551765233696146"</f>
        <v>1551765233696146</v>
      </c>
      <c r="C6159" t="s">
        <v>40</v>
      </c>
      <c r="D6159">
        <v>5.0343289999999996</v>
      </c>
      <c r="E6159">
        <v>0.47848390000000002</v>
      </c>
      <c r="F6159" t="s">
        <v>81</v>
      </c>
      <c r="G6159">
        <v>-209.1377</v>
      </c>
      <c r="H6159" s="1">
        <v>-8.237893E-7</v>
      </c>
      <c r="I6159">
        <v>-59.240760000000002</v>
      </c>
      <c r="J6159">
        <v>-227.74100000000001</v>
      </c>
      <c r="K6159">
        <v>1.1095330000000001</v>
      </c>
      <c r="L6159">
        <v>-62.313450000000003</v>
      </c>
      <c r="M6159">
        <v>0.99941239999999998</v>
      </c>
      <c r="N6159">
        <v>-1.3803889999999999E-2</v>
      </c>
      <c r="O6159">
        <v>3.1376969999999997E-2</v>
      </c>
      <c r="P6159">
        <v>0.99325759999999996</v>
      </c>
      <c r="Q6159">
        <v>-3.9674380000000002E-2</v>
      </c>
      <c r="R6159">
        <v>0.1089291</v>
      </c>
      <c r="S6159">
        <v>2.9606629999999998</v>
      </c>
      <c r="T6159">
        <v>-0.17506930000000001</v>
      </c>
      <c r="U6159">
        <v>0.48559570000000002</v>
      </c>
      <c r="V6159">
        <v>-7.7687329999999999E-2</v>
      </c>
      <c r="W6159">
        <v>-2.597901E-2</v>
      </c>
      <c r="X6159">
        <v>0.99663930000000001</v>
      </c>
      <c r="Y6159">
        <v>-0.13056379999999901</v>
      </c>
      <c r="Z6159">
        <v>3.3296910000000001E-3</v>
      </c>
      <c r="AA6159">
        <v>0.99143429999999999</v>
      </c>
      <c r="AB6159">
        <v>36</v>
      </c>
      <c r="AC6159">
        <v>18.603299999999901</v>
      </c>
      <c r="AD6159">
        <v>-1.1095338237893</v>
      </c>
      <c r="AE6159">
        <v>3.0726900000000001</v>
      </c>
      <c r="AF6159">
        <v>-2.4788226783919902</v>
      </c>
      <c r="AG6159">
        <v>-1.1095338237893</v>
      </c>
      <c r="AH6159">
        <v>18.626063239394998</v>
      </c>
      <c r="AI6159">
        <v>93.379292864036699</v>
      </c>
      <c r="AJ6159">
        <v>97.580581542264895</v>
      </c>
      <c r="AK6159">
        <v>18.823014077851202</v>
      </c>
      <c r="AL6159">
        <v>91.488655019377006</v>
      </c>
      <c r="AM6159">
        <v>94.4571527963531</v>
      </c>
      <c r="AN6159">
        <v>1.0000000622537899</v>
      </c>
    </row>
    <row r="6160" spans="1:40" x14ac:dyDescent="0.25">
      <c r="A6160" t="str">
        <f>"20190305135353721"</f>
        <v>20190305135353721</v>
      </c>
      <c r="B6160" t="str">
        <f>"1551765233716642"</f>
        <v>1551765233716642</v>
      </c>
      <c r="C6160" t="s">
        <v>40</v>
      </c>
      <c r="D6160">
        <v>4.4797900000000004</v>
      </c>
      <c r="E6160">
        <v>0.42693209999999998</v>
      </c>
      <c r="F6160" t="s">
        <v>81</v>
      </c>
      <c r="G6160">
        <v>-209.0438</v>
      </c>
      <c r="H6160" s="1">
        <v>-8.9945639999999899E-7</v>
      </c>
      <c r="I6160">
        <v>-59.180680000000002</v>
      </c>
      <c r="J6160">
        <v>-227.5258</v>
      </c>
      <c r="K6160">
        <v>1.1094349999999999</v>
      </c>
      <c r="L6160">
        <v>-62.306699999999999</v>
      </c>
      <c r="M6160">
        <v>0.99941639999999998</v>
      </c>
      <c r="N6160">
        <v>-1.3689089999999999E-2</v>
      </c>
      <c r="O6160">
        <v>3.1301269999999999E-2</v>
      </c>
      <c r="P6160">
        <v>0.99280849999999998</v>
      </c>
      <c r="Q6160">
        <v>-4.0051120000000003E-2</v>
      </c>
      <c r="R6160">
        <v>0.112816</v>
      </c>
      <c r="S6160">
        <v>2.9590000000000001</v>
      </c>
      <c r="T6160">
        <v>-0.175594</v>
      </c>
      <c r="U6160">
        <v>0.49578860000000002</v>
      </c>
      <c r="V6160">
        <v>-8.1667180000000006E-2</v>
      </c>
      <c r="W6160">
        <v>-2.6461430000000001E-2</v>
      </c>
      <c r="X6160">
        <v>0.99630830000000004</v>
      </c>
      <c r="Y6160">
        <v>-0.13404269999999999</v>
      </c>
      <c r="Z6160">
        <v>3.455072E-3</v>
      </c>
      <c r="AA6160">
        <v>0.99096949999999995</v>
      </c>
      <c r="AB6160">
        <v>36</v>
      </c>
      <c r="AC6160">
        <v>18.481999999999999</v>
      </c>
      <c r="AD6160">
        <v>-1.10943589945639</v>
      </c>
      <c r="AE6160">
        <v>3.1260199999999898</v>
      </c>
      <c r="AF6160">
        <v>-2.5370361763331499</v>
      </c>
      <c r="AG6160">
        <v>-1.10943589945639</v>
      </c>
      <c r="AH6160">
        <v>18.505970705909199</v>
      </c>
      <c r="AI6160">
        <v>93.399067438682593</v>
      </c>
      <c r="AJ6160">
        <v>97.806179864641805</v>
      </c>
      <c r="AK6160">
        <v>18.711984190432499</v>
      </c>
      <c r="AL6160">
        <v>91.516305275797905</v>
      </c>
      <c r="AM6160">
        <v>94.6860463773112</v>
      </c>
      <c r="AN6160">
        <v>0.99999998210784302</v>
      </c>
    </row>
    <row r="6161" spans="1:40" x14ac:dyDescent="0.25">
      <c r="A6161" t="str">
        <f>"20190305135353734"</f>
        <v>20190305135353734</v>
      </c>
      <c r="B6161" t="str">
        <f>"1551765233726402"</f>
        <v>1551765233726402</v>
      </c>
      <c r="C6161" t="s">
        <v>40</v>
      </c>
      <c r="D6161">
        <v>4.5027210000000002</v>
      </c>
      <c r="E6161">
        <v>0.416134</v>
      </c>
      <c r="F6161" t="s">
        <v>94</v>
      </c>
      <c r="G6161">
        <v>-212.51949999999999</v>
      </c>
      <c r="H6161" s="1">
        <v>-5.7417910000000004E-7</v>
      </c>
      <c r="I6161">
        <v>-57.58746</v>
      </c>
      <c r="J6161">
        <v>-227.3212</v>
      </c>
      <c r="K6161">
        <v>1.1093569999999999</v>
      </c>
      <c r="L6161">
        <v>-62.300289999999997</v>
      </c>
      <c r="M6161">
        <v>0.99942050000000004</v>
      </c>
      <c r="N6161">
        <v>-1.3584870000000001E-2</v>
      </c>
      <c r="O6161">
        <v>3.121357E-2</v>
      </c>
      <c r="P6161">
        <v>0.99233950000000004</v>
      </c>
      <c r="Q6161">
        <v>-4.0982949999999997E-2</v>
      </c>
      <c r="R6161">
        <v>0.1165458</v>
      </c>
      <c r="S6161">
        <v>2.909103</v>
      </c>
      <c r="T6161">
        <v>-0.21507390000000001</v>
      </c>
      <c r="U6161">
        <v>0.914856</v>
      </c>
      <c r="V6161">
        <v>-8.5500439999999997E-2</v>
      </c>
      <c r="W6161">
        <v>-2.749132E-2</v>
      </c>
      <c r="X6161">
        <v>0.99595880000000003</v>
      </c>
      <c r="Y6161">
        <v>-0.26932209999999901</v>
      </c>
      <c r="Z6161">
        <v>9.7507029999999995E-3</v>
      </c>
      <c r="AA6161">
        <v>0.96300079999999999</v>
      </c>
      <c r="AB6161">
        <v>36</v>
      </c>
      <c r="AC6161">
        <v>14.8017</v>
      </c>
      <c r="AD6161">
        <v>-1.1093575741791</v>
      </c>
      <c r="AE6161">
        <v>4.7128300000000003</v>
      </c>
      <c r="AF6161">
        <v>-4.22691873223736</v>
      </c>
      <c r="AG6161">
        <v>-1.1093575741791</v>
      </c>
      <c r="AH6161">
        <v>14.8657862808031</v>
      </c>
      <c r="AI6161">
        <v>94.105628713352203</v>
      </c>
      <c r="AJ6161">
        <v>105.872503897786</v>
      </c>
      <c r="AK6161">
        <v>15.494809387108999</v>
      </c>
      <c r="AL6161">
        <v>91.575335061270806</v>
      </c>
      <c r="AM6161">
        <v>94.906661716797998</v>
      </c>
      <c r="AN6161">
        <v>1.00000001460648</v>
      </c>
    </row>
    <row r="6162" spans="1:40" x14ac:dyDescent="0.25">
      <c r="A6162" t="str">
        <f>"20190305135353746"</f>
        <v>20190305135353746</v>
      </c>
      <c r="B6162" t="str">
        <f>"1551765233736161"</f>
        <v>1551765233736161</v>
      </c>
      <c r="C6162" t="s">
        <v>40</v>
      </c>
      <c r="D6162">
        <v>4.4942190000000002</v>
      </c>
      <c r="E6162">
        <v>0.4103832</v>
      </c>
      <c r="F6162" t="s">
        <v>94</v>
      </c>
      <c r="G6162">
        <v>-210.73670000000001</v>
      </c>
      <c r="H6162" s="1">
        <v>-2.5542520000000001E-7</v>
      </c>
      <c r="I6162">
        <v>-56.505270000000003</v>
      </c>
      <c r="J6162">
        <v>-227.12540000000001</v>
      </c>
      <c r="K6162">
        <v>1.109297</v>
      </c>
      <c r="L6162">
        <v>-62.294159999999998</v>
      </c>
      <c r="M6162">
        <v>0.9994246</v>
      </c>
      <c r="N6162">
        <v>-1.348888E-2</v>
      </c>
      <c r="O6162">
        <v>3.1123789999999998E-2</v>
      </c>
      <c r="P6162">
        <v>0.99184859999999997</v>
      </c>
      <c r="Q6162">
        <v>-4.1670619999999998E-2</v>
      </c>
      <c r="R6162">
        <v>0.120416</v>
      </c>
      <c r="S6162">
        <v>2.8963009999999998</v>
      </c>
      <c r="T6162">
        <v>-0.19373660000000001</v>
      </c>
      <c r="U6162">
        <v>1.012024</v>
      </c>
      <c r="V6162">
        <v>-8.9476120000000006E-2</v>
      </c>
      <c r="W6162">
        <v>-2.8270610000000002E-2</v>
      </c>
      <c r="X6162">
        <v>0.99558760000000002</v>
      </c>
      <c r="Y6162">
        <v>-0.2996298</v>
      </c>
      <c r="Z6162">
        <v>1.019542E-2</v>
      </c>
      <c r="AA6162">
        <v>0.95400110000000005</v>
      </c>
      <c r="AB6162">
        <v>36</v>
      </c>
      <c r="AC6162">
        <v>16.3887</v>
      </c>
      <c r="AD6162">
        <v>-1.1092972554252001</v>
      </c>
      <c r="AE6162">
        <v>5.7888900000000003</v>
      </c>
      <c r="AF6162">
        <v>-5.2545568925449899</v>
      </c>
      <c r="AG6162">
        <v>-1.1092972554252001</v>
      </c>
      <c r="AH6162">
        <v>16.493763728497999</v>
      </c>
      <c r="AI6162">
        <v>93.666626419285706</v>
      </c>
      <c r="AJ6162">
        <v>107.67075549448001</v>
      </c>
      <c r="AK6162">
        <v>17.346041348659401</v>
      </c>
      <c r="AL6162">
        <v>91.620002581000705</v>
      </c>
      <c r="AM6162">
        <v>95.135527860569198</v>
      </c>
      <c r="AN6162">
        <v>0.99999993635689099</v>
      </c>
    </row>
    <row r="6163" spans="1:40" x14ac:dyDescent="0.25">
      <c r="A6163" t="str">
        <f>"20190305135353757"</f>
        <v>20190305135353757</v>
      </c>
      <c r="B6163" t="str">
        <f>"1551765233745921"</f>
        <v>1551765233745921</v>
      </c>
      <c r="C6163" t="s">
        <v>40</v>
      </c>
      <c r="D6163">
        <v>4.4358079999999998</v>
      </c>
      <c r="E6163">
        <v>0.40757579999999999</v>
      </c>
      <c r="F6163" t="s">
        <v>81</v>
      </c>
      <c r="G6163">
        <v>-208.61959999999999</v>
      </c>
      <c r="H6163" s="1">
        <v>-2.164494E-6</v>
      </c>
      <c r="I6163">
        <v>-55.439579999999999</v>
      </c>
      <c r="J6163">
        <v>-226.94309999999999</v>
      </c>
      <c r="K6163">
        <v>1.1092649999999999</v>
      </c>
      <c r="L6163">
        <v>-62.288510000000002</v>
      </c>
      <c r="M6163">
        <v>0.99942799999999998</v>
      </c>
      <c r="N6163">
        <v>-1.341406E-2</v>
      </c>
      <c r="O6163">
        <v>3.1048240000000001E-2</v>
      </c>
      <c r="P6163">
        <v>0.99135669999999998</v>
      </c>
      <c r="Q6163">
        <v>-4.231683E-2</v>
      </c>
      <c r="R6163">
        <v>0.1241831</v>
      </c>
      <c r="S6163">
        <v>2.887543</v>
      </c>
      <c r="T6163">
        <v>-0.17308889999999999</v>
      </c>
      <c r="U6163">
        <v>1.06955</v>
      </c>
      <c r="V6163">
        <v>-9.3334039999999993E-2</v>
      </c>
      <c r="W6163">
        <v>-2.899156E-2</v>
      </c>
      <c r="X6163">
        <v>0.99521269999999995</v>
      </c>
      <c r="Y6163">
        <v>-0.31745980000000001</v>
      </c>
      <c r="Z6163">
        <v>1.0007780000000001E-2</v>
      </c>
      <c r="AA6163">
        <v>0.94821889999999998</v>
      </c>
      <c r="AB6163">
        <v>36</v>
      </c>
      <c r="AC6163">
        <v>18.323499999999999</v>
      </c>
      <c r="AD6163">
        <v>-1.109267164494</v>
      </c>
      <c r="AE6163">
        <v>6.8489299999999798</v>
      </c>
      <c r="AF6163">
        <v>-6.2565454078294103</v>
      </c>
      <c r="AG6163">
        <v>-1.109267164494</v>
      </c>
      <c r="AH6163">
        <v>18.467945367190001</v>
      </c>
      <c r="AI6163">
        <v>93.255963567653097</v>
      </c>
      <c r="AJ6163">
        <v>108.715282392503</v>
      </c>
      <c r="AK6163">
        <v>19.5304848933141</v>
      </c>
      <c r="AL6163">
        <v>91.661326752394999</v>
      </c>
      <c r="AM6163">
        <v>95.357699744397607</v>
      </c>
      <c r="AN6163">
        <v>1.00000003590762</v>
      </c>
    </row>
    <row r="6164" spans="1:40" x14ac:dyDescent="0.25">
      <c r="A6164" t="str">
        <f>"20190305135353768"</f>
        <v>20190305135353768</v>
      </c>
      <c r="B6164" t="str">
        <f>"1551765233766418"</f>
        <v>1551765233766418</v>
      </c>
      <c r="C6164" t="s">
        <v>40</v>
      </c>
      <c r="D6164">
        <v>4.3831069999999999</v>
      </c>
      <c r="E6164">
        <v>0.40522039999999998</v>
      </c>
      <c r="F6164" t="s">
        <v>81</v>
      </c>
      <c r="G6164">
        <v>-207.21559999999999</v>
      </c>
      <c r="H6164" s="1">
        <v>-3.1941320000000001E-6</v>
      </c>
      <c r="I6164">
        <v>-54.735100000000003</v>
      </c>
      <c r="J6164">
        <v>-226.77189999999999</v>
      </c>
      <c r="K6164">
        <v>1.1092360000000001</v>
      </c>
      <c r="L6164">
        <v>-62.283200000000001</v>
      </c>
      <c r="M6164">
        <v>0.99943059999999995</v>
      </c>
      <c r="N6164">
        <v>-1.335096E-2</v>
      </c>
      <c r="O6164">
        <v>3.098913E-2</v>
      </c>
      <c r="P6164">
        <v>0.99089280000000002</v>
      </c>
      <c r="Q6164">
        <v>-4.2202610000000002E-2</v>
      </c>
      <c r="R6164">
        <v>0.12786900000000001</v>
      </c>
      <c r="S6164">
        <v>2.8810579999999999</v>
      </c>
      <c r="T6164">
        <v>-0.16200030000000001</v>
      </c>
      <c r="U6164">
        <v>1.103119</v>
      </c>
      <c r="V6164">
        <v>-9.7092440000000002E-2</v>
      </c>
      <c r="W6164">
        <v>-2.894147E-2</v>
      </c>
      <c r="X6164">
        <v>0.99485449999999997</v>
      </c>
      <c r="Y6164">
        <v>-0.32791199999999998</v>
      </c>
      <c r="Z6164">
        <v>9.8843899999999998E-3</v>
      </c>
      <c r="AA6164">
        <v>0.94465659999999896</v>
      </c>
      <c r="AB6164">
        <v>36</v>
      </c>
      <c r="AC6164">
        <v>19.5563</v>
      </c>
      <c r="AD6164">
        <v>-1.1092391941319999</v>
      </c>
      <c r="AE6164">
        <v>7.54809999999999</v>
      </c>
      <c r="AF6164">
        <v>-6.9190137712185296</v>
      </c>
      <c r="AG6164">
        <v>-1.1092391941319999</v>
      </c>
      <c r="AH6164">
        <v>19.7256027992665</v>
      </c>
      <c r="AI6164">
        <v>93.037482809152195</v>
      </c>
      <c r="AJ6164">
        <v>109.328988344821</v>
      </c>
      <c r="AK6164">
        <v>20.933288536456502</v>
      </c>
      <c r="AL6164">
        <v>91.658455639487599</v>
      </c>
      <c r="AM6164">
        <v>95.574106911706394</v>
      </c>
      <c r="AN6164">
        <v>1.00000001338058</v>
      </c>
    </row>
    <row r="6165" spans="1:40" x14ac:dyDescent="0.25">
      <c r="A6165" t="str">
        <f>"20190305135353778"</f>
        <v>20190305135353778</v>
      </c>
      <c r="B6165" t="str">
        <f>"1551765233766418"</f>
        <v>1551765233766418</v>
      </c>
      <c r="C6165" t="s">
        <v>40</v>
      </c>
      <c r="D6165">
        <v>4.3831069999999999</v>
      </c>
      <c r="E6165">
        <v>0.40522039999999998</v>
      </c>
      <c r="F6165" t="s">
        <v>81</v>
      </c>
      <c r="G6165">
        <v>-205.22290000000001</v>
      </c>
      <c r="H6165" s="1">
        <v>-4.4930120000000003E-6</v>
      </c>
      <c r="I6165">
        <v>-53.7924199999999</v>
      </c>
      <c r="J6165">
        <v>-226.61250000000001</v>
      </c>
      <c r="K6165">
        <v>1.109221</v>
      </c>
      <c r="L6165">
        <v>-62.278230000000001</v>
      </c>
      <c r="M6165">
        <v>0.99943210000000005</v>
      </c>
      <c r="N6165">
        <v>-1.330665E-2</v>
      </c>
      <c r="O6165">
        <v>3.0957660000000001E-2</v>
      </c>
      <c r="P6165">
        <v>0.99045989999999995</v>
      </c>
      <c r="Q6165">
        <v>-4.1993030000000001E-2</v>
      </c>
      <c r="R6165">
        <v>0.131247</v>
      </c>
      <c r="S6165">
        <v>2.875076</v>
      </c>
      <c r="T6165">
        <v>-0.1479954</v>
      </c>
      <c r="U6165">
        <v>1.132843</v>
      </c>
      <c r="V6165">
        <v>-0.10051359999999999</v>
      </c>
      <c r="W6165">
        <v>-2.878008E-2</v>
      </c>
      <c r="X6165">
        <v>0.99451940000000005</v>
      </c>
      <c r="Y6165">
        <v>-0.33713189999999998</v>
      </c>
      <c r="Z6165">
        <v>9.5496750000000005E-3</v>
      </c>
      <c r="AA6165">
        <v>0.94140900000000005</v>
      </c>
      <c r="AB6165">
        <v>36</v>
      </c>
      <c r="AC6165">
        <v>21.389600000000002</v>
      </c>
      <c r="AD6165">
        <v>-1.109225493012</v>
      </c>
      <c r="AE6165">
        <v>8.4858100000000096</v>
      </c>
      <c r="AF6165">
        <v>-7.8013844034417197</v>
      </c>
      <c r="AG6165">
        <v>-1.109225493012</v>
      </c>
      <c r="AH6165">
        <v>21.591900069706501</v>
      </c>
      <c r="AI6165">
        <v>92.766113603968606</v>
      </c>
      <c r="AJ6165">
        <v>109.86532983944799</v>
      </c>
      <c r="AK6165">
        <v>22.9848238719553</v>
      </c>
      <c r="AL6165">
        <v>91.649204748470098</v>
      </c>
      <c r="AM6165">
        <v>95.771144984172494</v>
      </c>
      <c r="AN6165">
        <v>1.00000005688306</v>
      </c>
    </row>
    <row r="6166" spans="1:40" x14ac:dyDescent="0.25">
      <c r="A6166" t="str">
        <f>"20190305135353788"</f>
        <v>20190305135353788</v>
      </c>
      <c r="B6166" t="str">
        <f>"1551765233776178"</f>
        <v>1551765233776178</v>
      </c>
      <c r="C6166" t="s">
        <v>40</v>
      </c>
      <c r="D6166">
        <v>4.3873870000000004</v>
      </c>
      <c r="E6166">
        <v>0.40480909999999998</v>
      </c>
      <c r="F6166" t="s">
        <v>81</v>
      </c>
      <c r="G6166">
        <v>-204.8877</v>
      </c>
      <c r="H6166" s="1">
        <v>-4.7092889999999999E-6</v>
      </c>
      <c r="I6166">
        <v>-53.632179999999998</v>
      </c>
      <c r="J6166">
        <v>-226.45769999999999</v>
      </c>
      <c r="K6166">
        <v>1.1092249999999999</v>
      </c>
      <c r="L6166">
        <v>-62.273409999999998</v>
      </c>
      <c r="M6166">
        <v>0.99943269999999995</v>
      </c>
      <c r="N6166">
        <v>-1.3276110000000001E-2</v>
      </c>
      <c r="O6166">
        <v>3.094947E-2</v>
      </c>
      <c r="P6166">
        <v>0.99003649999999999</v>
      </c>
      <c r="Q6166">
        <v>-4.1909740000000001E-2</v>
      </c>
      <c r="R6166">
        <v>0.13442889999999999</v>
      </c>
      <c r="S6166">
        <v>2.8712460000000002</v>
      </c>
      <c r="T6166">
        <v>-0.14660020000000001</v>
      </c>
      <c r="U6166">
        <v>1.1427</v>
      </c>
      <c r="V6166">
        <v>-0.10371560000000001</v>
      </c>
      <c r="W6166">
        <v>-2.8733129999999999E-2</v>
      </c>
      <c r="X6166">
        <v>0.99419190000000002</v>
      </c>
      <c r="Y6166">
        <v>-0.340362</v>
      </c>
      <c r="Z6166">
        <v>9.5865780000000001E-3</v>
      </c>
      <c r="AA6166">
        <v>0.94024560000000001</v>
      </c>
      <c r="AB6166">
        <v>36</v>
      </c>
      <c r="AC6166">
        <v>21.57</v>
      </c>
      <c r="AD6166">
        <v>-1.109229709289</v>
      </c>
      <c r="AE6166">
        <v>8.6412299999999895</v>
      </c>
      <c r="AF6166">
        <v>-7.9513314601994596</v>
      </c>
      <c r="AG6166">
        <v>-1.109229709289</v>
      </c>
      <c r="AH6166">
        <v>21.7775041885414</v>
      </c>
      <c r="AI6166">
        <v>92.739242937134094</v>
      </c>
      <c r="AJ6166">
        <v>110.057984582119</v>
      </c>
      <c r="AK6166">
        <v>23.2102079098802</v>
      </c>
      <c r="AL6166">
        <v>91.646513649309398</v>
      </c>
      <c r="AM6166">
        <v>95.955639537189199</v>
      </c>
      <c r="AN6166">
        <v>1.0000000262342801</v>
      </c>
    </row>
    <row r="6167" spans="1:40" x14ac:dyDescent="0.25">
      <c r="A6167" t="str">
        <f>"20190305135353798"</f>
        <v>20190305135353798</v>
      </c>
      <c r="B6167" t="str">
        <f>"1551765233795697"</f>
        <v>1551765233795697</v>
      </c>
      <c r="C6167" t="s">
        <v>40</v>
      </c>
      <c r="D6167">
        <v>4.3938300000000003</v>
      </c>
      <c r="E6167">
        <v>0.40438099999999999</v>
      </c>
      <c r="F6167" t="s">
        <v>81</v>
      </c>
      <c r="G6167">
        <v>-203.8588</v>
      </c>
      <c r="H6167" s="1">
        <v>-5.3364539999999996E-6</v>
      </c>
      <c r="I6167">
        <v>-53.168039999999998</v>
      </c>
      <c r="J6167">
        <v>-226.28749999999999</v>
      </c>
      <c r="K6167">
        <v>1.1092569999999999</v>
      </c>
      <c r="L6167">
        <v>-62.268099999999997</v>
      </c>
      <c r="M6167">
        <v>0.99943159999999998</v>
      </c>
      <c r="N6167">
        <v>-1.327091E-2</v>
      </c>
      <c r="O6167">
        <v>3.0990699999999999E-2</v>
      </c>
      <c r="P6167">
        <v>0.98957989999999996</v>
      </c>
      <c r="Q6167">
        <v>-4.2045199999999998E-2</v>
      </c>
      <c r="R6167">
        <v>0.13770979999999999</v>
      </c>
      <c r="S6167">
        <v>2.8673860000000002</v>
      </c>
      <c r="T6167">
        <v>-0.140740899999999</v>
      </c>
      <c r="U6167">
        <v>1.1553040000000001</v>
      </c>
      <c r="V6167">
        <v>-0.1069662</v>
      </c>
      <c r="W6167">
        <v>-2.8884989999999999E-2</v>
      </c>
      <c r="X6167">
        <v>0.99384300000000003</v>
      </c>
      <c r="Y6167">
        <v>-0.34434290000000001</v>
      </c>
      <c r="Z6167">
        <v>9.4367140000000006E-3</v>
      </c>
      <c r="AA6167">
        <v>0.93879650000000003</v>
      </c>
      <c r="AB6167">
        <v>36</v>
      </c>
      <c r="AC6167">
        <v>22.4286999999999</v>
      </c>
      <c r="AD6167">
        <v>-1.109262336454</v>
      </c>
      <c r="AE6167">
        <v>9.1000599999999903</v>
      </c>
      <c r="AF6167">
        <v>-8.3829394296927795</v>
      </c>
      <c r="AG6167">
        <v>-1.109262336454</v>
      </c>
      <c r="AH6167">
        <v>22.652390770762899</v>
      </c>
      <c r="AI6167">
        <v>92.629462451557401</v>
      </c>
      <c r="AJ6167">
        <v>110.307932813675</v>
      </c>
      <c r="AK6167">
        <v>24.179225464111099</v>
      </c>
      <c r="AL6167">
        <v>91.655218226647506</v>
      </c>
      <c r="AM6167">
        <v>96.143032648417503</v>
      </c>
      <c r="AN6167">
        <v>1.00000000961937</v>
      </c>
    </row>
    <row r="6168" spans="1:40" x14ac:dyDescent="0.25">
      <c r="A6168" t="str">
        <f>"20190305135353809"</f>
        <v>20190305135353809</v>
      </c>
      <c r="B6168" t="str">
        <f>"1551765233806434"</f>
        <v>1551765233806434</v>
      </c>
      <c r="C6168" t="s">
        <v>40</v>
      </c>
      <c r="D6168">
        <v>4.3781850000000002</v>
      </c>
      <c r="E6168">
        <v>0.40448669999999998</v>
      </c>
      <c r="F6168" t="s">
        <v>81</v>
      </c>
      <c r="G6168">
        <v>-202.96780000000001</v>
      </c>
      <c r="H6168" s="1">
        <v>-5.7769999999999999E-6</v>
      </c>
      <c r="I6168">
        <v>-52.752319999999997</v>
      </c>
      <c r="J6168">
        <v>-226.12540000000001</v>
      </c>
      <c r="K6168">
        <v>1.1092979999999999</v>
      </c>
      <c r="L6168">
        <v>-62.262970000000003</v>
      </c>
      <c r="M6168">
        <v>0.99942900000000001</v>
      </c>
      <c r="N6168">
        <v>-1.3280480000000001E-2</v>
      </c>
      <c r="O6168">
        <v>3.1070520000000001E-2</v>
      </c>
      <c r="P6168">
        <v>0.9891181</v>
      </c>
      <c r="Q6168">
        <v>-4.2375250000000003E-2</v>
      </c>
      <c r="R6168">
        <v>0.14089009999999999</v>
      </c>
      <c r="S6168">
        <v>2.863235</v>
      </c>
      <c r="T6168">
        <v>-0.13619729999999999</v>
      </c>
      <c r="U6168">
        <v>1.1683650000000001</v>
      </c>
      <c r="V6168">
        <v>-0.1100772</v>
      </c>
      <c r="W6168">
        <v>-2.9220340000000001E-2</v>
      </c>
      <c r="X6168">
        <v>0.99349339999999997</v>
      </c>
      <c r="Y6168">
        <v>-0.34843239999999998</v>
      </c>
      <c r="Z6168">
        <v>9.3477290000000008E-3</v>
      </c>
      <c r="AA6168">
        <v>0.93728730000000005</v>
      </c>
      <c r="AB6168">
        <v>36</v>
      </c>
      <c r="AC6168">
        <v>23.157599999999999</v>
      </c>
      <c r="AD6168">
        <v>-1.1093037769999901</v>
      </c>
      <c r="AE6168">
        <v>9.5106499999999894</v>
      </c>
      <c r="AF6168">
        <v>-8.76925718348601</v>
      </c>
      <c r="AG6168">
        <v>-1.1093037769999901</v>
      </c>
      <c r="AH6168">
        <v>23.396007125342098</v>
      </c>
      <c r="AI6168">
        <v>92.542147389724207</v>
      </c>
      <c r="AJ6168">
        <v>110.54692948695499</v>
      </c>
      <c r="AK6168">
        <v>25.010069488684898</v>
      </c>
      <c r="AL6168">
        <v>91.674440534840798</v>
      </c>
      <c r="AM6168">
        <v>96.322476709937007</v>
      </c>
      <c r="AN6168">
        <v>0.99999997703655696</v>
      </c>
    </row>
    <row r="6169" spans="1:40" x14ac:dyDescent="0.25">
      <c r="A6169" t="str">
        <f>"20190305135353821"</f>
        <v>20190305135353821</v>
      </c>
      <c r="B6169" t="str">
        <f>"1551765233816194"</f>
        <v>1551765233816194</v>
      </c>
      <c r="C6169" t="s">
        <v>40</v>
      </c>
      <c r="D6169">
        <v>4.3967210000000003</v>
      </c>
      <c r="E6169">
        <v>0.40455190000000002</v>
      </c>
      <c r="F6169" t="s">
        <v>81</v>
      </c>
      <c r="G6169">
        <v>-202.6097</v>
      </c>
      <c r="H6169" s="1">
        <v>-5.9384200000000003E-6</v>
      </c>
      <c r="I6169">
        <v>-52.586599999999997</v>
      </c>
      <c r="J6169">
        <v>-225.94730000000001</v>
      </c>
      <c r="K6169">
        <v>1.109375</v>
      </c>
      <c r="L6169">
        <v>-62.257289999999998</v>
      </c>
      <c r="M6169">
        <v>0.99942379999999997</v>
      </c>
      <c r="N6169">
        <v>-1.3314670000000001E-2</v>
      </c>
      <c r="O6169">
        <v>3.1224229999999999E-2</v>
      </c>
      <c r="P6169">
        <v>0.98858699999999999</v>
      </c>
      <c r="Q6169">
        <v>-4.313546E-2</v>
      </c>
      <c r="R6169">
        <v>0.14434530000000001</v>
      </c>
      <c r="S6169">
        <v>2.8596339999999998</v>
      </c>
      <c r="T6169">
        <v>-0.13489719999999999</v>
      </c>
      <c r="U6169">
        <v>1.1766970000000001</v>
      </c>
      <c r="V6169">
        <v>-0.1133898</v>
      </c>
      <c r="W6169">
        <v>-2.9969539999999999E-2</v>
      </c>
      <c r="X6169">
        <v>0.9930985</v>
      </c>
      <c r="Y6169">
        <v>-0.35104049999999998</v>
      </c>
      <c r="Z6169">
        <v>9.3699409999999997E-3</v>
      </c>
      <c r="AA6169">
        <v>0.93631339999999996</v>
      </c>
      <c r="AB6169">
        <v>36</v>
      </c>
      <c r="AC6169">
        <v>23.337599999999998</v>
      </c>
      <c r="AD6169">
        <v>-1.10938093842</v>
      </c>
      <c r="AE6169">
        <v>9.6706900000000005</v>
      </c>
      <c r="AF6169">
        <v>-8.9200080914145108</v>
      </c>
      <c r="AG6169">
        <v>-1.10938093842</v>
      </c>
      <c r="AH6169">
        <v>23.582725130633701</v>
      </c>
      <c r="AI6169">
        <v>92.519377702048203</v>
      </c>
      <c r="AJ6169">
        <v>110.71878909356801</v>
      </c>
      <c r="AK6169">
        <v>25.237713743611</v>
      </c>
      <c r="AL6169">
        <v>91.717385262735803</v>
      </c>
      <c r="AM6169">
        <v>96.513698252075898</v>
      </c>
      <c r="AN6169">
        <v>1.00000002538705</v>
      </c>
    </row>
    <row r="6170" spans="1:40" x14ac:dyDescent="0.25">
      <c r="A6170" t="str">
        <f>"20190305135353830"</f>
        <v>20190305135353830</v>
      </c>
      <c r="B6170" t="str">
        <f>"1551765233825953"</f>
        <v>1551765233825953</v>
      </c>
      <c r="C6170" t="s">
        <v>40</v>
      </c>
      <c r="D6170">
        <v>4.3865030000000003</v>
      </c>
      <c r="E6170">
        <v>0.4047481</v>
      </c>
      <c r="F6170" t="s">
        <v>81</v>
      </c>
      <c r="G6170">
        <v>-202.2955</v>
      </c>
      <c r="H6170" s="1">
        <v>-6.0815250000000002E-6</v>
      </c>
      <c r="I6170">
        <v>-52.431750000000001</v>
      </c>
      <c r="J6170">
        <v>-225.79040000000001</v>
      </c>
      <c r="K6170">
        <v>1.1094599999999999</v>
      </c>
      <c r="L6170">
        <v>-62.252200000000002</v>
      </c>
      <c r="M6170">
        <v>0.99941690000000005</v>
      </c>
      <c r="N6170">
        <v>-1.3354069999999999E-2</v>
      </c>
      <c r="O6170">
        <v>3.142665E-2</v>
      </c>
      <c r="P6170">
        <v>0.98799219999999999</v>
      </c>
      <c r="Q6170">
        <v>-4.3825429999999999E-2</v>
      </c>
      <c r="R6170">
        <v>0.1481577</v>
      </c>
      <c r="S6170">
        <v>2.8555760000000001</v>
      </c>
      <c r="T6170">
        <v>-0.13394010000000001</v>
      </c>
      <c r="U6170">
        <v>1.1862790000000001</v>
      </c>
      <c r="V6170">
        <v>-0.11701250000000001</v>
      </c>
      <c r="W6170">
        <v>-3.06483E-2</v>
      </c>
      <c r="X6170">
        <v>0.99265740000000002</v>
      </c>
      <c r="Y6170">
        <v>-0.35400090000000001</v>
      </c>
      <c r="Z6170">
        <v>9.4185620000000001E-3</v>
      </c>
      <c r="AA6170">
        <v>0.93519770000000002</v>
      </c>
      <c r="AB6170">
        <v>36</v>
      </c>
      <c r="AC6170">
        <v>23.494900000000001</v>
      </c>
      <c r="AD6170">
        <v>-1.1094660815249999</v>
      </c>
      <c r="AE6170">
        <v>9.8204499999999992</v>
      </c>
      <c r="AF6170">
        <v>-9.0599686536010502</v>
      </c>
      <c r="AG6170">
        <v>-1.1094660815249999</v>
      </c>
      <c r="AH6170">
        <v>23.746867040583499</v>
      </c>
      <c r="AI6170">
        <v>92.499458260385794</v>
      </c>
      <c r="AJ6170">
        <v>110.88298789969301</v>
      </c>
      <c r="AK6170">
        <v>25.4406690406019</v>
      </c>
      <c r="AL6170">
        <v>91.756293303103007</v>
      </c>
      <c r="AM6170">
        <v>96.722889536435204</v>
      </c>
      <c r="AN6170">
        <v>0.999999978611949</v>
      </c>
    </row>
    <row r="6171" spans="1:40" x14ac:dyDescent="0.25">
      <c r="A6171" t="str">
        <f>"20190305135353842"</f>
        <v>20190305135353842</v>
      </c>
      <c r="B6171" t="str">
        <f>"1551765233835713"</f>
        <v>1551765233835713</v>
      </c>
      <c r="C6171" t="s">
        <v>40</v>
      </c>
      <c r="D6171">
        <v>4.3778129999999997</v>
      </c>
      <c r="E6171">
        <v>0.40498269999999997</v>
      </c>
      <c r="F6171" t="s">
        <v>81</v>
      </c>
      <c r="G6171">
        <v>-202.3245</v>
      </c>
      <c r="H6171" s="1">
        <v>-6.0736879999999996E-6</v>
      </c>
      <c r="I6171">
        <v>-52.411540000000002</v>
      </c>
      <c r="J6171">
        <v>-225.60120000000001</v>
      </c>
      <c r="K6171">
        <v>1.1095900000000001</v>
      </c>
      <c r="L6171">
        <v>-62.246000000000002</v>
      </c>
      <c r="M6171">
        <v>0.99940620000000002</v>
      </c>
      <c r="N6171">
        <v>-1.341145E-2</v>
      </c>
      <c r="O6171">
        <v>3.1741930000000002E-2</v>
      </c>
      <c r="P6171">
        <v>0.98733820000000005</v>
      </c>
      <c r="Q6171">
        <v>-4.4905920000000002E-2</v>
      </c>
      <c r="R6171">
        <v>0.15214140000000001</v>
      </c>
      <c r="S6171">
        <v>2.8511959999999998</v>
      </c>
      <c r="T6171">
        <v>-0.13480449999999999</v>
      </c>
      <c r="U6171">
        <v>1.1956789999999999</v>
      </c>
      <c r="V6171">
        <v>-0.1206931</v>
      </c>
      <c r="W6171">
        <v>-3.1711530000000002E-2</v>
      </c>
      <c r="X6171">
        <v>0.99218320000000004</v>
      </c>
      <c r="Y6171">
        <v>-0.3568289</v>
      </c>
      <c r="Z6171">
        <v>9.5535480000000002E-3</v>
      </c>
      <c r="AA6171">
        <v>0.93412090000000003</v>
      </c>
      <c r="AB6171">
        <v>35</v>
      </c>
      <c r="AC6171">
        <v>23.276700000000002</v>
      </c>
      <c r="AD6171">
        <v>-1.109596073688</v>
      </c>
      <c r="AE6171">
        <v>9.83446</v>
      </c>
      <c r="AF6171">
        <v>-9.0730948948264594</v>
      </c>
      <c r="AG6171">
        <v>-1.109596073688</v>
      </c>
      <c r="AH6171">
        <v>23.531787273994301</v>
      </c>
      <c r="AI6171">
        <v>92.519164058815505</v>
      </c>
      <c r="AJ6171">
        <v>111.08502344073599</v>
      </c>
      <c r="AK6171">
        <v>25.244747309604598</v>
      </c>
      <c r="AL6171">
        <v>91.817241541173402</v>
      </c>
      <c r="AM6171">
        <v>96.935610506934196</v>
      </c>
      <c r="AN6171">
        <v>0.99999997394239504</v>
      </c>
    </row>
    <row r="6172" spans="1:40" x14ac:dyDescent="0.25">
      <c r="A6172" t="str">
        <f>"20190305135353853"</f>
        <v>20190305135353853</v>
      </c>
      <c r="B6172" t="str">
        <f>"1551765233846449"</f>
        <v>1551765233846449</v>
      </c>
      <c r="C6172" t="s">
        <v>40</v>
      </c>
      <c r="D6172">
        <v>4.3928560000000001</v>
      </c>
      <c r="E6172">
        <v>0.4051844</v>
      </c>
      <c r="F6172" t="s">
        <v>81</v>
      </c>
      <c r="G6172">
        <v>-202.54769999999999</v>
      </c>
      <c r="H6172" s="1">
        <v>-5.9780040000000003E-6</v>
      </c>
      <c r="I6172">
        <v>-52.483469999999997</v>
      </c>
      <c r="J6172">
        <v>-225.42429999999999</v>
      </c>
      <c r="K6172">
        <v>1.109729</v>
      </c>
      <c r="L6172">
        <v>-62.240020000000001</v>
      </c>
      <c r="M6172">
        <v>0.9993919</v>
      </c>
      <c r="N6172">
        <v>-1.346953E-2</v>
      </c>
      <c r="O6172">
        <v>3.2164039999999998E-2</v>
      </c>
      <c r="P6172">
        <v>0.98661650000000001</v>
      </c>
      <c r="Q6172">
        <v>-4.5357679999999997E-2</v>
      </c>
      <c r="R6172">
        <v>0.1566234</v>
      </c>
      <c r="S6172">
        <v>2.8464969999999998</v>
      </c>
      <c r="T6172">
        <v>-0.13700570000000001</v>
      </c>
      <c r="U6172">
        <v>1.205414</v>
      </c>
      <c r="V6172">
        <v>-0.12476760000000001</v>
      </c>
      <c r="W6172">
        <v>-3.215411E-2</v>
      </c>
      <c r="X6172">
        <v>0.99166480000000001</v>
      </c>
      <c r="Y6172">
        <v>-0.359678</v>
      </c>
      <c r="Z6172">
        <v>9.7539020000000001E-3</v>
      </c>
      <c r="AA6172">
        <v>0.93302549999999995</v>
      </c>
      <c r="AB6172">
        <v>35</v>
      </c>
      <c r="AC6172">
        <v>22.8766</v>
      </c>
      <c r="AD6172">
        <v>-1.109734978004</v>
      </c>
      <c r="AE6172">
        <v>9.7565499999999901</v>
      </c>
      <c r="AF6172">
        <v>-8.9977157425883298</v>
      </c>
      <c r="AG6172">
        <v>-1.109734978004</v>
      </c>
      <c r="AH6172">
        <v>23.132542443418899</v>
      </c>
      <c r="AI6172">
        <v>92.559979840651494</v>
      </c>
      <c r="AJ6172">
        <v>111.25422103477899</v>
      </c>
      <c r="AK6172">
        <v>24.845621751173901</v>
      </c>
      <c r="AL6172">
        <v>91.842612475913597</v>
      </c>
      <c r="AM6172">
        <v>97.171062939648394</v>
      </c>
      <c r="AN6172">
        <v>0.99999995817934495</v>
      </c>
    </row>
    <row r="6173" spans="1:40" x14ac:dyDescent="0.25">
      <c r="A6173" t="str">
        <f>"20190305135353864"</f>
        <v>20190305135353864</v>
      </c>
      <c r="B6173" t="str">
        <f>"1551765233856210"</f>
        <v>1551765233856210</v>
      </c>
      <c r="C6173" t="s">
        <v>40</v>
      </c>
      <c r="D6173">
        <v>4.4600359999999997</v>
      </c>
      <c r="E6173">
        <v>0.40540310000000002</v>
      </c>
      <c r="F6173" t="s">
        <v>81</v>
      </c>
      <c r="G6173">
        <v>-202.32149999999999</v>
      </c>
      <c r="H6173" s="1">
        <v>-6.0850210000000001E-6</v>
      </c>
      <c r="I6173">
        <v>-52.346310000000003</v>
      </c>
      <c r="J6173">
        <v>-225.2604</v>
      </c>
      <c r="K6173">
        <v>1.1098699999999999</v>
      </c>
      <c r="L6173">
        <v>-62.234409999999997</v>
      </c>
      <c r="M6173">
        <v>0.99937730000000002</v>
      </c>
      <c r="N6173">
        <v>-1.352456E-2</v>
      </c>
      <c r="O6173">
        <v>3.2593810000000001E-2</v>
      </c>
      <c r="P6173">
        <v>0.98581180000000002</v>
      </c>
      <c r="Q6173">
        <v>-4.5385090000000003E-2</v>
      </c>
      <c r="R6173">
        <v>0.16160369999999999</v>
      </c>
      <c r="S6173">
        <v>2.8412630000000001</v>
      </c>
      <c r="T6173">
        <v>-0.1364795</v>
      </c>
      <c r="U6173">
        <v>1.216766</v>
      </c>
      <c r="V6173">
        <v>-0.12933539999999999</v>
      </c>
      <c r="W6173">
        <v>-3.217909E-2</v>
      </c>
      <c r="X6173">
        <v>0.99107860000000003</v>
      </c>
      <c r="Y6173">
        <v>-0.36304389999999997</v>
      </c>
      <c r="Z6173">
        <v>9.8349519999999992E-3</v>
      </c>
      <c r="AA6173">
        <v>0.93172010000000005</v>
      </c>
      <c r="AB6173">
        <v>35</v>
      </c>
      <c r="AC6173">
        <v>22.9389</v>
      </c>
      <c r="AD6173">
        <v>-1.1098760850210001</v>
      </c>
      <c r="AE6173">
        <v>9.8880999999999997</v>
      </c>
      <c r="AF6173">
        <v>-9.1171120335414493</v>
      </c>
      <c r="AG6173">
        <v>-1.1098760850210001</v>
      </c>
      <c r="AH6173">
        <v>23.2032228261168</v>
      </c>
      <c r="AI6173">
        <v>92.549094539017801</v>
      </c>
      <c r="AJ6173">
        <v>111.45107377615101</v>
      </c>
      <c r="AK6173">
        <v>24.9548213032006</v>
      </c>
      <c r="AL6173">
        <v>91.844044452154293</v>
      </c>
      <c r="AM6173">
        <v>97.435061801993797</v>
      </c>
      <c r="AN6173">
        <v>0.99999996545217296</v>
      </c>
    </row>
    <row r="6174" spans="1:40" x14ac:dyDescent="0.25">
      <c r="A6174" t="str">
        <f>"20190305135353875"</f>
        <v>20190305135353875</v>
      </c>
      <c r="B6174" t="str">
        <f>"1551765233865970"</f>
        <v>1551765233865970</v>
      </c>
      <c r="C6174" t="s">
        <v>40</v>
      </c>
      <c r="D6174">
        <v>4.4904029999999997</v>
      </c>
      <c r="E6174">
        <v>0.40540310000000002</v>
      </c>
      <c r="F6174" t="s">
        <v>81</v>
      </c>
      <c r="G6174">
        <v>-202.44149999999999</v>
      </c>
      <c r="H6174" s="1">
        <v>-6.0404060000000004E-6</v>
      </c>
      <c r="I6174">
        <v>-52.34111</v>
      </c>
      <c r="J6174">
        <v>-225.07929999999999</v>
      </c>
      <c r="K6174">
        <v>1.110047</v>
      </c>
      <c r="L6174">
        <v>-62.227910000000001</v>
      </c>
      <c r="M6174">
        <v>0.99935490000000005</v>
      </c>
      <c r="N6174">
        <v>-1.358648E-2</v>
      </c>
      <c r="O6174">
        <v>3.324618E-2</v>
      </c>
      <c r="P6174">
        <v>0.98494340000000002</v>
      </c>
      <c r="Q6174">
        <v>-4.5363609999999999E-2</v>
      </c>
      <c r="R6174">
        <v>0.16681969999999999</v>
      </c>
      <c r="S6174">
        <v>2.8353269999999999</v>
      </c>
      <c r="T6174">
        <v>-0.13790620000000001</v>
      </c>
      <c r="U6174">
        <v>1.229279</v>
      </c>
      <c r="V6174">
        <v>-0.1339176</v>
      </c>
      <c r="W6174">
        <v>-3.216484E-2</v>
      </c>
      <c r="X6174">
        <v>0.99047030000000003</v>
      </c>
      <c r="Y6174">
        <v>-0.36659150000000001</v>
      </c>
      <c r="Z6174">
        <v>1.0015649999999999E-2</v>
      </c>
      <c r="AA6174">
        <v>0.93032809999999999</v>
      </c>
      <c r="AB6174">
        <v>35</v>
      </c>
      <c r="AC6174">
        <v>22.637799999999999</v>
      </c>
      <c r="AD6174">
        <v>-1.1100530404060001</v>
      </c>
      <c r="AE6174">
        <v>9.8867999999999903</v>
      </c>
      <c r="AF6174">
        <v>-9.1102473293963495</v>
      </c>
      <c r="AG6174">
        <v>-1.1100530404060001</v>
      </c>
      <c r="AH6174">
        <v>22.907754272178501</v>
      </c>
      <c r="AI6174">
        <v>92.578139485593795</v>
      </c>
      <c r="AJ6174">
        <v>111.687356096198</v>
      </c>
      <c r="AK6174">
        <v>24.677804398888501</v>
      </c>
      <c r="AL6174">
        <v>91.843227578418293</v>
      </c>
      <c r="AM6174">
        <v>97.700043250844303</v>
      </c>
      <c r="AN6174">
        <v>0.99999995785203699</v>
      </c>
    </row>
    <row r="6175" spans="1:40" x14ac:dyDescent="0.25">
      <c r="A6175" t="str">
        <f>"20190305135353886"</f>
        <v>20190305135353886</v>
      </c>
      <c r="B6175" t="str">
        <f>"1551765233875730"</f>
        <v>1551765233875730</v>
      </c>
      <c r="C6175" t="s">
        <v>40</v>
      </c>
      <c r="D6175">
        <v>4.4482200000000001</v>
      </c>
      <c r="E6175">
        <v>0.40150330000000001</v>
      </c>
      <c r="F6175" t="s">
        <v>81</v>
      </c>
      <c r="G6175">
        <v>-202.28399999999999</v>
      </c>
      <c r="H6175" s="1">
        <v>-6.1220309999999998E-6</v>
      </c>
      <c r="I6175">
        <v>-52.200380000000003</v>
      </c>
      <c r="J6175">
        <v>-224.91</v>
      </c>
      <c r="K6175">
        <v>1.11022</v>
      </c>
      <c r="L6175">
        <v>-62.221739999999997</v>
      </c>
      <c r="M6175">
        <v>0.99933240000000001</v>
      </c>
      <c r="N6175">
        <v>-1.364433E-2</v>
      </c>
      <c r="O6175">
        <v>3.3895399999999999E-2</v>
      </c>
      <c r="P6175">
        <v>0.98394409999999999</v>
      </c>
      <c r="Q6175">
        <v>-4.5136160000000002E-2</v>
      </c>
      <c r="R6175">
        <v>0.17267589999999999</v>
      </c>
      <c r="S6175">
        <v>2.8287659999999999</v>
      </c>
      <c r="T6175">
        <v>-0.13775090000000001</v>
      </c>
      <c r="U6175">
        <v>1.244354</v>
      </c>
      <c r="V6175">
        <v>-0.13914969999999999</v>
      </c>
      <c r="W6175">
        <v>-3.195336E-2</v>
      </c>
      <c r="X6175">
        <v>0.98975570000000002</v>
      </c>
      <c r="Y6175">
        <v>-0.37092700000000001</v>
      </c>
      <c r="Z6175">
        <v>1.0141000000000001E-2</v>
      </c>
      <c r="AA6175">
        <v>0.92860659999999895</v>
      </c>
      <c r="AB6175">
        <v>35</v>
      </c>
      <c r="AC6175">
        <v>22.625999999999902</v>
      </c>
      <c r="AD6175">
        <v>-1.1102261220309999</v>
      </c>
      <c r="AE6175">
        <v>10.02136</v>
      </c>
      <c r="AF6175">
        <v>-9.2300331511264098</v>
      </c>
      <c r="AG6175">
        <v>-1.1102261220309999</v>
      </c>
      <c r="AH6175">
        <v>22.906598163730699</v>
      </c>
      <c r="AI6175">
        <v>92.574011007561793</v>
      </c>
      <c r="AJ6175">
        <v>111.946581611585</v>
      </c>
      <c r="AK6175">
        <v>24.721212620896299</v>
      </c>
      <c r="AL6175">
        <v>91.831104355882502</v>
      </c>
      <c r="AM6175">
        <v>98.002759325497394</v>
      </c>
      <c r="AN6175">
        <v>1.00000000095393</v>
      </c>
    </row>
    <row r="6176" spans="1:40" x14ac:dyDescent="0.25">
      <c r="A6176" t="str">
        <f>"20190305135353897"</f>
        <v>20190305135353897</v>
      </c>
      <c r="B6176" t="str">
        <f>"1551765233886466"</f>
        <v>1551765233886466</v>
      </c>
      <c r="C6176" t="s">
        <v>40</v>
      </c>
      <c r="D6176">
        <v>4.3958329999999997</v>
      </c>
      <c r="E6176">
        <v>0.40150330000000001</v>
      </c>
      <c r="F6176" t="s">
        <v>41</v>
      </c>
      <c r="G6176">
        <v>-223.8947</v>
      </c>
      <c r="H6176">
        <v>1.059194</v>
      </c>
      <c r="I6176">
        <v>-61.756100000000004</v>
      </c>
      <c r="J6176">
        <v>-224.73509999999999</v>
      </c>
      <c r="K6176">
        <v>1.110414</v>
      </c>
      <c r="L6176">
        <v>-62.214970000000001</v>
      </c>
      <c r="M6176">
        <v>0.99930169999999996</v>
      </c>
      <c r="N6176">
        <v>-1.3704300000000001E-2</v>
      </c>
      <c r="O6176">
        <v>3.4760100000000002E-2</v>
      </c>
      <c r="P6176">
        <v>0.98281070000000004</v>
      </c>
      <c r="Q6176">
        <v>-4.4906099999999997E-2</v>
      </c>
      <c r="R6176">
        <v>0.1790717</v>
      </c>
      <c r="S6176">
        <v>2.8157960000000002</v>
      </c>
      <c r="T6176">
        <v>-0.14151540000000001</v>
      </c>
      <c r="U6176">
        <v>1.2916559999999999</v>
      </c>
      <c r="V6176">
        <v>-0.14471129999999999</v>
      </c>
      <c r="W6176">
        <v>-3.175161E-2</v>
      </c>
      <c r="X6176">
        <v>0.98896430000000002</v>
      </c>
      <c r="Y6176">
        <v>-0.38458579999999998</v>
      </c>
      <c r="Z6176">
        <v>1.075623E-2</v>
      </c>
      <c r="AA6176">
        <v>0.92302660000000003</v>
      </c>
      <c r="AB6176">
        <v>35</v>
      </c>
      <c r="AC6176">
        <v>0.84039999999998805</v>
      </c>
      <c r="AD6176">
        <v>-5.1220000000000002E-2</v>
      </c>
      <c r="AE6176">
        <v>0.45886999999999001</v>
      </c>
      <c r="AF6176">
        <v>-0.42815237050916</v>
      </c>
      <c r="AG6176">
        <v>-5.1220000000000002E-2</v>
      </c>
      <c r="AH6176">
        <v>0.85340192358232003</v>
      </c>
      <c r="AI6176">
        <v>93.070730757640206</v>
      </c>
      <c r="AJ6176">
        <v>116.642953985535</v>
      </c>
      <c r="AK6176">
        <v>0.956155209130096</v>
      </c>
      <c r="AL6176">
        <v>91.819539145948198</v>
      </c>
      <c r="AM6176">
        <v>98.324789146549804</v>
      </c>
      <c r="AN6176">
        <v>0.99999995587988499</v>
      </c>
    </row>
    <row r="6177" spans="1:40" x14ac:dyDescent="0.25">
      <c r="A6177" t="str">
        <f>"20190305135353909"</f>
        <v>20190305135353909</v>
      </c>
      <c r="B6177" t="str">
        <f>"1551765233905985"</f>
        <v>1551765233905985</v>
      </c>
      <c r="C6177" t="s">
        <v>40</v>
      </c>
      <c r="D6177">
        <v>4.4131159999999996</v>
      </c>
      <c r="E6177">
        <v>0.31960909999999998</v>
      </c>
      <c r="F6177" t="s">
        <v>81</v>
      </c>
      <c r="G6177">
        <v>-202.6396</v>
      </c>
      <c r="H6177" s="1">
        <v>-6.0335160000000004E-6</v>
      </c>
      <c r="I6177">
        <v>-51.905270000000002</v>
      </c>
      <c r="J6177">
        <v>-224.54310000000001</v>
      </c>
      <c r="K6177">
        <v>1.1106240000000001</v>
      </c>
      <c r="L6177">
        <v>-62.2074</v>
      </c>
      <c r="M6177">
        <v>0.99926440000000005</v>
      </c>
      <c r="N6177">
        <v>-1.3769719999999999E-2</v>
      </c>
      <c r="O6177">
        <v>3.5791419999999997E-2</v>
      </c>
      <c r="P6177">
        <v>0.98152660000000003</v>
      </c>
      <c r="Q6177">
        <v>-4.496621E-2</v>
      </c>
      <c r="R6177">
        <v>0.18596699999999999</v>
      </c>
      <c r="S6177">
        <v>2.8073579999999998</v>
      </c>
      <c r="T6177">
        <v>-0.1410853</v>
      </c>
      <c r="U6177">
        <v>1.309906</v>
      </c>
      <c r="V6177">
        <v>-0.15061229999999901</v>
      </c>
      <c r="W6177">
        <v>-3.18494E-2</v>
      </c>
      <c r="X6177">
        <v>0.98807970000000001</v>
      </c>
      <c r="Y6177">
        <v>-0.38961259999999998</v>
      </c>
      <c r="Z6177">
        <v>1.088363E-2</v>
      </c>
      <c r="AA6177">
        <v>0.92091449999999997</v>
      </c>
      <c r="AB6177">
        <v>35</v>
      </c>
      <c r="AC6177">
        <v>21.903500000000001</v>
      </c>
      <c r="AD6177">
        <v>-1.110630033516</v>
      </c>
      <c r="AE6177">
        <v>10.302129999999901</v>
      </c>
      <c r="AF6177">
        <v>-9.4915136345364193</v>
      </c>
      <c r="AG6177">
        <v>-1.110630033516</v>
      </c>
      <c r="AH6177">
        <v>22.211464032698899</v>
      </c>
      <c r="AI6177">
        <v>92.632624522396299</v>
      </c>
      <c r="AJ6177">
        <v>113.138229343185</v>
      </c>
      <c r="AK6177">
        <v>24.179980658011601</v>
      </c>
      <c r="AL6177">
        <v>91.825144907398098</v>
      </c>
      <c r="AM6177">
        <v>98.666842835009206</v>
      </c>
      <c r="AN6177">
        <v>0.99999997137186902</v>
      </c>
    </row>
    <row r="6178" spans="1:40" x14ac:dyDescent="0.25">
      <c r="A6178" t="str">
        <f>"20190305135353926"</f>
        <v>20190305135353926</v>
      </c>
      <c r="B6178" t="str">
        <f>"1551765233916722"</f>
        <v>1551765233916722</v>
      </c>
      <c r="C6178" t="s">
        <v>40</v>
      </c>
      <c r="D6178">
        <v>4.3186249999999999</v>
      </c>
      <c r="E6178">
        <v>0.32114480000000001</v>
      </c>
      <c r="F6178" t="s">
        <v>81</v>
      </c>
      <c r="G6178">
        <v>-203.72929999999999</v>
      </c>
      <c r="H6178">
        <v>7.9987630000000004E-2</v>
      </c>
      <c r="I6178">
        <v>-46.877609999999997</v>
      </c>
      <c r="J6178">
        <v>-224.28190000000001</v>
      </c>
      <c r="K6178">
        <v>1.110919</v>
      </c>
      <c r="L6178">
        <v>-62.19659</v>
      </c>
      <c r="M6178">
        <v>0.99920390000000003</v>
      </c>
      <c r="N6178">
        <v>-1.3857629999999999E-2</v>
      </c>
      <c r="O6178">
        <v>3.741357E-2</v>
      </c>
      <c r="P6178">
        <v>0.98004349999999996</v>
      </c>
      <c r="Q6178">
        <v>-4.4976370000000002E-2</v>
      </c>
      <c r="R6178">
        <v>0.193629</v>
      </c>
      <c r="S6178">
        <v>2.6768489999999998</v>
      </c>
      <c r="T6178">
        <v>-0.1325498</v>
      </c>
      <c r="U6178">
        <v>1.9715579999999999</v>
      </c>
      <c r="V6178">
        <v>-0.1566997</v>
      </c>
      <c r="W6178">
        <v>-3.1912360000000001E-2</v>
      </c>
      <c r="X6178">
        <v>0.98713059999999997</v>
      </c>
      <c r="Y6178">
        <v>-0.56188309999999997</v>
      </c>
      <c r="Z6178">
        <v>1.553799E-2</v>
      </c>
      <c r="AA6178">
        <v>0.82707070000000005</v>
      </c>
      <c r="AB6178">
        <v>35</v>
      </c>
      <c r="AC6178">
        <v>20.552600000000002</v>
      </c>
      <c r="AD6178">
        <v>-1.03093137</v>
      </c>
      <c r="AE6178">
        <v>15.31898</v>
      </c>
      <c r="AF6178">
        <v>-14.515753685643899</v>
      </c>
      <c r="AG6178">
        <v>-1.03093137</v>
      </c>
      <c r="AH6178">
        <v>21.0773081096794</v>
      </c>
      <c r="AI6178">
        <v>92.306801594171702</v>
      </c>
      <c r="AJ6178">
        <v>124.554837143169</v>
      </c>
      <c r="AK6178">
        <v>25.612942855171699</v>
      </c>
      <c r="AL6178">
        <v>91.828754017262796</v>
      </c>
      <c r="AM6178">
        <v>99.020018990170001</v>
      </c>
      <c r="AN6178">
        <v>1.0000000080786</v>
      </c>
    </row>
    <row r="6179" spans="1:40" x14ac:dyDescent="0.25">
      <c r="A6179" t="str">
        <f>"20190305135353943"</f>
        <v>20190305135353943</v>
      </c>
      <c r="B6179" t="str">
        <f>"1551765233936241"</f>
        <v>1551765233936241</v>
      </c>
      <c r="C6179" t="s">
        <v>40</v>
      </c>
      <c r="D6179">
        <v>4.2998690000000002</v>
      </c>
      <c r="E6179">
        <v>0.32478699999999999</v>
      </c>
      <c r="F6179" t="s">
        <v>81</v>
      </c>
      <c r="G6179">
        <v>-201.34909999999999</v>
      </c>
      <c r="H6179">
        <v>7.9987219999999998E-2</v>
      </c>
      <c r="I6179">
        <v>-45.146340000000002</v>
      </c>
      <c r="J6179">
        <v>-224.0154</v>
      </c>
      <c r="K6179">
        <v>1.1112229999999901</v>
      </c>
      <c r="L6179">
        <v>-62.184809999999999</v>
      </c>
      <c r="M6179">
        <v>0.99912730000000005</v>
      </c>
      <c r="N6179">
        <v>-1.3943880000000001E-2</v>
      </c>
      <c r="O6179">
        <v>3.9373459999999999E-2</v>
      </c>
      <c r="P6179">
        <v>0.97830150000000005</v>
      </c>
      <c r="Q6179">
        <v>-4.4948380000000003E-2</v>
      </c>
      <c r="R6179">
        <v>0.2022523</v>
      </c>
      <c r="S6179">
        <v>2.6642459999999999</v>
      </c>
      <c r="T6179">
        <v>-0.1197698</v>
      </c>
      <c r="U6179">
        <v>1.9808349999999999</v>
      </c>
      <c r="V6179">
        <v>-0.1634273</v>
      </c>
      <c r="W6179">
        <v>-3.1955030000000002E-2</v>
      </c>
      <c r="X6179">
        <v>0.98603770000000002</v>
      </c>
      <c r="Y6179">
        <v>-0.56407149999999995</v>
      </c>
      <c r="Z6179">
        <v>1.457195E-2</v>
      </c>
      <c r="AA6179">
        <v>0.82559729999999998</v>
      </c>
      <c r="AB6179">
        <v>35</v>
      </c>
      <c r="AC6179">
        <v>22.6663</v>
      </c>
      <c r="AD6179">
        <v>-1.0312357799999901</v>
      </c>
      <c r="AE6179">
        <v>17.038469999999901</v>
      </c>
      <c r="AF6179">
        <v>-16.111409179562699</v>
      </c>
      <c r="AG6179">
        <v>-1.0312357799999901</v>
      </c>
      <c r="AH6179">
        <v>23.288847705788299</v>
      </c>
      <c r="AI6179">
        <v>92.085526245469794</v>
      </c>
      <c r="AJ6179">
        <v>124.67579166423999</v>
      </c>
      <c r="AK6179">
        <v>28.337455433553799</v>
      </c>
      <c r="AL6179">
        <v>91.831200134296495</v>
      </c>
      <c r="AM6179">
        <v>99.410735175519903</v>
      </c>
      <c r="AN6179">
        <v>0.99999997607444002</v>
      </c>
    </row>
    <row r="6180" spans="1:40" x14ac:dyDescent="0.25">
      <c r="A6180" t="str">
        <f>"20190305135353954"</f>
        <v>20190305135353954</v>
      </c>
      <c r="B6180" t="str">
        <f>"1551765233946001"</f>
        <v>1551765233946001</v>
      </c>
      <c r="C6180" t="s">
        <v>40</v>
      </c>
      <c r="D6180">
        <v>4.3432709999999997</v>
      </c>
      <c r="E6180">
        <v>0.326499599999999</v>
      </c>
      <c r="F6180" t="s">
        <v>81</v>
      </c>
      <c r="G6180">
        <v>-197.17189999999999</v>
      </c>
      <c r="H6180" s="1">
        <v>-6.3681489999999999E-6</v>
      </c>
      <c r="I6180">
        <v>-42.191360000000003</v>
      </c>
      <c r="J6180">
        <v>-223.83840000000001</v>
      </c>
      <c r="K6180">
        <v>1.1114269999999999</v>
      </c>
      <c r="L6180">
        <v>-62.176419999999901</v>
      </c>
      <c r="M6180">
        <v>0.99906779999999995</v>
      </c>
      <c r="N6180">
        <v>-1.399851E-2</v>
      </c>
      <c r="O6180">
        <v>4.0839010000000002E-2</v>
      </c>
      <c r="P6180">
        <v>0.97503609999999996</v>
      </c>
      <c r="Q6180">
        <v>-4.379719E-2</v>
      </c>
      <c r="R6180">
        <v>0.21768460000000001</v>
      </c>
      <c r="S6180">
        <v>2.6529850000000001</v>
      </c>
      <c r="T6180">
        <v>-0.1098244</v>
      </c>
      <c r="U6180">
        <v>1.975983</v>
      </c>
      <c r="V6180">
        <v>-0.1775254</v>
      </c>
      <c r="W6180">
        <v>-3.0928730000000001E-2</v>
      </c>
      <c r="X6180">
        <v>0.98363009999999995</v>
      </c>
      <c r="Y6180">
        <v>-0.56363129999999995</v>
      </c>
      <c r="Z6180">
        <v>1.3773540000000001E-2</v>
      </c>
      <c r="AA6180">
        <v>0.82591159999999997</v>
      </c>
      <c r="AB6180">
        <v>35</v>
      </c>
      <c r="AC6180">
        <v>26.666499999999999</v>
      </c>
      <c r="AD6180">
        <v>-1.1114333681489901</v>
      </c>
      <c r="AE6180">
        <v>19.985060000000001</v>
      </c>
      <c r="AF6180">
        <v>-18.8582667185958</v>
      </c>
      <c r="AG6180">
        <v>-1.1114333681489901</v>
      </c>
      <c r="AH6180">
        <v>27.429986688050999</v>
      </c>
      <c r="AI6180">
        <v>91.912349857210202</v>
      </c>
      <c r="AJ6180">
        <v>124.508736980408</v>
      </c>
      <c r="AK6180">
        <v>33.305760424710101</v>
      </c>
      <c r="AL6180">
        <v>91.772368317404698</v>
      </c>
      <c r="AM6180">
        <v>100.230601314097</v>
      </c>
      <c r="AN6180">
        <v>1.00000001380529</v>
      </c>
    </row>
    <row r="6181" spans="1:40" x14ac:dyDescent="0.25">
      <c r="A6181" t="str">
        <f>"20190305135353966"</f>
        <v>20190305135353966</v>
      </c>
      <c r="B6181" t="str">
        <f>"1551765233955762"</f>
        <v>1551765233955762</v>
      </c>
      <c r="C6181" t="s">
        <v>40</v>
      </c>
      <c r="D6181">
        <v>4.3355569999999997</v>
      </c>
      <c r="E6181">
        <v>0.3282429</v>
      </c>
      <c r="F6181" t="s">
        <v>81</v>
      </c>
      <c r="G6181">
        <v>-200.5395</v>
      </c>
      <c r="H6181">
        <v>7.9986959999999996E-2</v>
      </c>
      <c r="I6181">
        <v>-44.383009999999999</v>
      </c>
      <c r="J6181">
        <v>-223.6541</v>
      </c>
      <c r="K6181">
        <v>1.111634</v>
      </c>
      <c r="L6181">
        <v>-62.1676</v>
      </c>
      <c r="M6181">
        <v>0.99900089999999997</v>
      </c>
      <c r="N6181">
        <v>-1.4053970000000001E-2</v>
      </c>
      <c r="O6181">
        <v>4.2422149999999999E-2</v>
      </c>
      <c r="P6181">
        <v>0.97308300000000003</v>
      </c>
      <c r="Q6181">
        <v>-4.2858390000000003E-2</v>
      </c>
      <c r="R6181">
        <v>0.22643450000000001</v>
      </c>
      <c r="S6181">
        <v>2.6241759999999998</v>
      </c>
      <c r="T6181">
        <v>-0.1161721</v>
      </c>
      <c r="U6181">
        <v>2.004089</v>
      </c>
      <c r="V6181">
        <v>-0.18478310000000001</v>
      </c>
      <c r="W6181">
        <v>-3.0076990000000001E-2</v>
      </c>
      <c r="X6181">
        <v>0.98231900000000005</v>
      </c>
      <c r="Y6181">
        <v>-0.57217890000000005</v>
      </c>
      <c r="Z6181">
        <v>1.4569520000000001E-2</v>
      </c>
      <c r="AA6181">
        <v>0.81999940000000004</v>
      </c>
      <c r="AB6181">
        <v>35</v>
      </c>
      <c r="AC6181">
        <v>23.114599999999999</v>
      </c>
      <c r="AD6181">
        <v>-1.03164704</v>
      </c>
      <c r="AE6181">
        <v>17.784589999999898</v>
      </c>
      <c r="AF6181">
        <v>-16.766928949427001</v>
      </c>
      <c r="AG6181">
        <v>-1.03164704</v>
      </c>
      <c r="AH6181">
        <v>23.818519380772202</v>
      </c>
      <c r="AI6181">
        <v>92.028423785023406</v>
      </c>
      <c r="AJ6181">
        <v>125.14344057132701</v>
      </c>
      <c r="AK6181">
        <v>29.1464589187519</v>
      </c>
      <c r="AL6181">
        <v>91.723544482419101</v>
      </c>
      <c r="AM6181">
        <v>100.65336274564601</v>
      </c>
      <c r="AN6181">
        <v>1.0000000185670299</v>
      </c>
    </row>
    <row r="6182" spans="1:40" x14ac:dyDescent="0.25">
      <c r="A6182" t="str">
        <f>"20190305135353975"</f>
        <v>20190305135353975</v>
      </c>
      <c r="B6182" t="str">
        <f>"1551765233966498"</f>
        <v>1551765233966498</v>
      </c>
      <c r="C6182" t="s">
        <v>40</v>
      </c>
      <c r="D6182">
        <v>4.3021820000000002</v>
      </c>
      <c r="E6182">
        <v>0.32955959999999901</v>
      </c>
      <c r="F6182" t="s">
        <v>81</v>
      </c>
      <c r="G6182">
        <v>-201.17179999999999</v>
      </c>
      <c r="H6182">
        <v>7.9987130000000004E-2</v>
      </c>
      <c r="I6182">
        <v>-44.813850000000002</v>
      </c>
      <c r="J6182">
        <v>-223.5009</v>
      </c>
      <c r="K6182">
        <v>1.1118159999999999</v>
      </c>
      <c r="L6182">
        <v>-62.159700000000001</v>
      </c>
      <c r="M6182">
        <v>0.99893620000000005</v>
      </c>
      <c r="N6182">
        <v>-1.409724E-2</v>
      </c>
      <c r="O6182">
        <v>4.3905949999999999E-2</v>
      </c>
      <c r="P6182">
        <v>0.97117169999999997</v>
      </c>
      <c r="Q6182">
        <v>-4.1643649999999997E-2</v>
      </c>
      <c r="R6182">
        <v>0.2347157</v>
      </c>
      <c r="S6182">
        <v>2.6090849999999999</v>
      </c>
      <c r="T6182">
        <v>-0.11972339999999999</v>
      </c>
      <c r="U6182">
        <v>2.013916</v>
      </c>
      <c r="V6182">
        <v>-0.19167699999999999</v>
      </c>
      <c r="W6182">
        <v>-2.895182E-2</v>
      </c>
      <c r="X6182">
        <v>0.98103090000000004</v>
      </c>
      <c r="Y6182">
        <v>-0.57514790000000005</v>
      </c>
      <c r="Z6182">
        <v>1.496143E-2</v>
      </c>
      <c r="AA6182">
        <v>0.81791259999999999</v>
      </c>
      <c r="AB6182">
        <v>35</v>
      </c>
      <c r="AC6182">
        <v>22.3291</v>
      </c>
      <c r="AD6182">
        <v>-1.03182887</v>
      </c>
      <c r="AE6182">
        <v>17.345849999999999</v>
      </c>
      <c r="AF6182">
        <v>-16.3268988020899</v>
      </c>
      <c r="AG6182">
        <v>-1.03182887</v>
      </c>
      <c r="AH6182">
        <v>23.038543767179799</v>
      </c>
      <c r="AI6182">
        <v>92.092737536764304</v>
      </c>
      <c r="AJ6182">
        <v>125.324344297648</v>
      </c>
      <c r="AK6182">
        <v>28.256093045977</v>
      </c>
      <c r="AL6182">
        <v>91.659048998799904</v>
      </c>
      <c r="AM6182">
        <v>101.055361383115</v>
      </c>
      <c r="AN6182">
        <v>0.99999995348255999</v>
      </c>
    </row>
    <row r="6183" spans="1:40" x14ac:dyDescent="0.25">
      <c r="A6183" t="str">
        <f>"20190305135353986"</f>
        <v>20190305135353986</v>
      </c>
      <c r="B6183" t="str">
        <f>"1551765233976258"</f>
        <v>1551765233976258</v>
      </c>
      <c r="C6183" t="s">
        <v>40</v>
      </c>
      <c r="D6183">
        <v>4.3172199999999998</v>
      </c>
      <c r="E6183">
        <v>0.33070169999999999</v>
      </c>
      <c r="F6183" t="s">
        <v>81</v>
      </c>
      <c r="G6183">
        <v>-200.4751</v>
      </c>
      <c r="H6183">
        <v>7.9986899999999903E-2</v>
      </c>
      <c r="I6183">
        <v>-44.179920000000003</v>
      </c>
      <c r="J6183">
        <v>-223.3271</v>
      </c>
      <c r="K6183">
        <v>1.1120110000000001</v>
      </c>
      <c r="L6183">
        <v>-62.150669999999998</v>
      </c>
      <c r="M6183">
        <v>0.99885869999999999</v>
      </c>
      <c r="N6183">
        <v>-1.4145329999999999E-2</v>
      </c>
      <c r="O6183">
        <v>4.5622940000000001E-2</v>
      </c>
      <c r="P6183">
        <v>0.96915890000000005</v>
      </c>
      <c r="Q6183">
        <v>-4.0662589999999998E-2</v>
      </c>
      <c r="R6183">
        <v>0.24305930000000001</v>
      </c>
      <c r="S6183">
        <v>2.594452</v>
      </c>
      <c r="T6183">
        <v>-0.1162618</v>
      </c>
      <c r="U6183">
        <v>2.0258790000000002</v>
      </c>
      <c r="V6183">
        <v>-0.19841130000000001</v>
      </c>
      <c r="W6183">
        <v>-2.807103E-2</v>
      </c>
      <c r="X6183">
        <v>0.97971680000000005</v>
      </c>
      <c r="Y6183">
        <v>-0.57833219999999996</v>
      </c>
      <c r="Z6183">
        <v>1.477377E-2</v>
      </c>
      <c r="AA6183">
        <v>0.81566759999999905</v>
      </c>
      <c r="AB6183">
        <v>35</v>
      </c>
      <c r="AC6183">
        <v>22.852</v>
      </c>
      <c r="AD6183">
        <v>-1.0320240999999899</v>
      </c>
      <c r="AE6183">
        <v>17.970749999999899</v>
      </c>
      <c r="AF6183">
        <v>-16.888071899597701</v>
      </c>
      <c r="AG6183">
        <v>-1.0320240999999899</v>
      </c>
      <c r="AH6183">
        <v>23.618396631790301</v>
      </c>
      <c r="AI6183">
        <v>92.035666891306207</v>
      </c>
      <c r="AJ6183">
        <v>125.56624208102301</v>
      </c>
      <c r="AK6183">
        <v>29.053411257295199</v>
      </c>
      <c r="AL6183">
        <v>91.608562817985202</v>
      </c>
      <c r="AM6183">
        <v>101.4486438731</v>
      </c>
      <c r="AN6183">
        <v>1.00000001744759</v>
      </c>
    </row>
    <row r="6184" spans="1:40" x14ac:dyDescent="0.25">
      <c r="A6184" t="str">
        <f>"20190305135353997"</f>
        <v>20190305135353997</v>
      </c>
      <c r="B6184" t="str">
        <f>"1551765233986017"</f>
        <v>1551765233986017</v>
      </c>
      <c r="C6184" t="s">
        <v>40</v>
      </c>
      <c r="D6184">
        <v>4.3099540000000003</v>
      </c>
      <c r="E6184">
        <v>0.33186270000000001</v>
      </c>
      <c r="F6184" t="s">
        <v>81</v>
      </c>
      <c r="G6184">
        <v>-196.7826</v>
      </c>
      <c r="H6184" s="1">
        <v>-6.6686510000000003E-6</v>
      </c>
      <c r="I6184">
        <v>-41.16283</v>
      </c>
      <c r="J6184">
        <v>-223.16329999999999</v>
      </c>
      <c r="K6184">
        <v>1.1121939999999999</v>
      </c>
      <c r="L6184">
        <v>-62.141570000000002</v>
      </c>
      <c r="M6184">
        <v>0.99877579999999999</v>
      </c>
      <c r="N6184">
        <v>-1.4188650000000001E-2</v>
      </c>
      <c r="O6184">
        <v>4.7388399999999997E-2</v>
      </c>
      <c r="P6184">
        <v>0.9671092</v>
      </c>
      <c r="Q6184">
        <v>-3.9867369999999999E-2</v>
      </c>
      <c r="R6184">
        <v>0.251218</v>
      </c>
      <c r="S6184">
        <v>2.5794220000000001</v>
      </c>
      <c r="T6184">
        <v>-0.1080586</v>
      </c>
      <c r="U6184">
        <v>2.0394589999999999</v>
      </c>
      <c r="V6184">
        <v>-0.2049203</v>
      </c>
      <c r="W6184">
        <v>-2.7379589999999999E-2</v>
      </c>
      <c r="X6184">
        <v>0.97839560000000003</v>
      </c>
      <c r="Y6184">
        <v>-0.58188719999999905</v>
      </c>
      <c r="Z6184">
        <v>1.4198570000000001E-2</v>
      </c>
      <c r="AA6184">
        <v>0.81314560000000002</v>
      </c>
      <c r="AB6184">
        <v>35</v>
      </c>
      <c r="AC6184">
        <v>26.380699999999901</v>
      </c>
      <c r="AD6184">
        <v>-1.112200668651</v>
      </c>
      <c r="AE6184">
        <v>20.978739999999899</v>
      </c>
      <c r="AF6184">
        <v>-19.683469071918601</v>
      </c>
      <c r="AG6184">
        <v>-1.112200668651</v>
      </c>
      <c r="AH6184">
        <v>27.3155626696879</v>
      </c>
      <c r="AI6184">
        <v>91.892003813706197</v>
      </c>
      <c r="AJ6184">
        <v>125.776348285542</v>
      </c>
      <c r="AK6184">
        <v>33.687028794391601</v>
      </c>
      <c r="AL6184">
        <v>91.568931077874694</v>
      </c>
      <c r="AM6184">
        <v>101.82933278031599</v>
      </c>
      <c r="AN6184">
        <v>0.99999996070000796</v>
      </c>
    </row>
    <row r="6185" spans="1:40" x14ac:dyDescent="0.25">
      <c r="A6185" t="str">
        <f>"20190305135354009"</f>
        <v>20190305135354009</v>
      </c>
      <c r="B6185" t="str">
        <f>"1551765234006514"</f>
        <v>1551765234006514</v>
      </c>
      <c r="C6185" t="s">
        <v>40</v>
      </c>
      <c r="D6185">
        <v>4.3009589999999998</v>
      </c>
      <c r="E6185">
        <v>0.33447349999999998</v>
      </c>
      <c r="F6185" t="s">
        <v>42</v>
      </c>
      <c r="G6185">
        <v>-195.80629999999999</v>
      </c>
      <c r="H6185" s="1">
        <v>-1.612799E-6</v>
      </c>
      <c r="I6185">
        <v>-40.252650000000003</v>
      </c>
      <c r="J6185">
        <v>-222.99039999999999</v>
      </c>
      <c r="K6185">
        <v>1.1123780000000001</v>
      </c>
      <c r="L6185">
        <v>-62.131770000000003</v>
      </c>
      <c r="M6185">
        <v>0.99868239999999997</v>
      </c>
      <c r="N6185">
        <v>-1.4233020000000001E-2</v>
      </c>
      <c r="O6185">
        <v>4.9306099999999999E-2</v>
      </c>
      <c r="P6185">
        <v>0.96502549999999998</v>
      </c>
      <c r="Q6185">
        <v>-3.8870420000000003E-2</v>
      </c>
      <c r="R6185">
        <v>0.25925860000000001</v>
      </c>
      <c r="S6185">
        <v>2.5646819999999999</v>
      </c>
      <c r="T6185">
        <v>-0.1042671</v>
      </c>
      <c r="U6185">
        <v>2.052063</v>
      </c>
      <c r="V6185">
        <v>-0.21117079999999999</v>
      </c>
      <c r="W6185">
        <v>-2.649317E-2</v>
      </c>
      <c r="X6185">
        <v>0.97709009999999996</v>
      </c>
      <c r="Y6185">
        <v>-0.58505359999999995</v>
      </c>
      <c r="Z6185">
        <v>1.3973569999999999E-2</v>
      </c>
      <c r="AA6185">
        <v>0.81087430000000005</v>
      </c>
      <c r="AB6185">
        <v>35</v>
      </c>
      <c r="AC6185">
        <v>27.184100000000001</v>
      </c>
      <c r="AD6185">
        <v>-1.112379612799</v>
      </c>
      <c r="AE6185">
        <v>21.87912</v>
      </c>
      <c r="AF6185">
        <v>-20.491202749920699</v>
      </c>
      <c r="AG6185">
        <v>-1.112379612799</v>
      </c>
      <c r="AH6185">
        <v>28.2012550254438</v>
      </c>
      <c r="AI6185">
        <v>91.827697838896896</v>
      </c>
      <c r="AJ6185">
        <v>126.002382346281</v>
      </c>
      <c r="AK6185">
        <v>34.877464981724899</v>
      </c>
      <c r="AL6185">
        <v>91.518124410190396</v>
      </c>
      <c r="AM6185">
        <v>102.195319000908</v>
      </c>
      <c r="AN6185">
        <v>1.0000000291736399</v>
      </c>
    </row>
    <row r="6186" spans="1:40" x14ac:dyDescent="0.25">
      <c r="A6186" t="str">
        <f>"20190305135354022"</f>
        <v>20190305135354022</v>
      </c>
      <c r="B6186" t="str">
        <f>"1551765234016274"</f>
        <v>1551765234016274</v>
      </c>
      <c r="C6186" t="s">
        <v>40</v>
      </c>
      <c r="D6186">
        <v>4.3433080000000004</v>
      </c>
      <c r="E6186">
        <v>0.33576349999999999</v>
      </c>
      <c r="F6186" t="s">
        <v>42</v>
      </c>
      <c r="G6186">
        <v>-194.9392</v>
      </c>
      <c r="H6186" s="1">
        <v>-1.6741870000000001E-6</v>
      </c>
      <c r="I6186">
        <v>-39.571759999999998</v>
      </c>
      <c r="J6186">
        <v>-222.77340000000001</v>
      </c>
      <c r="K6186">
        <v>1.1126039999999999</v>
      </c>
      <c r="L6186">
        <v>-62.1188</v>
      </c>
      <c r="M6186">
        <v>0.998552</v>
      </c>
      <c r="N6186">
        <v>-1.4286109999999999E-2</v>
      </c>
      <c r="O6186">
        <v>5.1863230000000003E-2</v>
      </c>
      <c r="P6186">
        <v>0.96261140000000001</v>
      </c>
      <c r="Q6186">
        <v>-3.838797E-2</v>
      </c>
      <c r="R6186">
        <v>0.26815209999999901</v>
      </c>
      <c r="S6186">
        <v>2.5530550000000001</v>
      </c>
      <c r="T6186">
        <v>-0.1012424</v>
      </c>
      <c r="U6186">
        <v>2.0532840000000001</v>
      </c>
      <c r="V6186">
        <v>-0.2176652</v>
      </c>
      <c r="W6186">
        <v>-2.6144879999999999E-2</v>
      </c>
      <c r="X6186">
        <v>0.97567329999999997</v>
      </c>
      <c r="Y6186">
        <v>-0.58502909999999997</v>
      </c>
      <c r="Z6186">
        <v>1.371783E-2</v>
      </c>
      <c r="AA6186">
        <v>0.81089630000000001</v>
      </c>
      <c r="AB6186">
        <v>35</v>
      </c>
      <c r="AC6186">
        <v>27.834199999999999</v>
      </c>
      <c r="AD6186">
        <v>-1.1126056741869901</v>
      </c>
      <c r="AE6186">
        <v>22.547039999999999</v>
      </c>
      <c r="AF6186">
        <v>-21.052660359569799</v>
      </c>
      <c r="AG6186">
        <v>-1.1126056741869901</v>
      </c>
      <c r="AH6186">
        <v>28.938296245716401</v>
      </c>
      <c r="AI6186">
        <v>91.780781284746993</v>
      </c>
      <c r="AJ6186">
        <v>126.035953933472</v>
      </c>
      <c r="AK6186">
        <v>35.803315338198502</v>
      </c>
      <c r="AL6186">
        <v>91.498161930515806</v>
      </c>
      <c r="AM6186">
        <v>102.576304734517</v>
      </c>
      <c r="AN6186">
        <v>1.00000004118707</v>
      </c>
    </row>
    <row r="6187" spans="1:40" x14ac:dyDescent="0.25">
      <c r="A6187" t="str">
        <f>"20190305135354033"</f>
        <v>20190305135354033</v>
      </c>
      <c r="B6187" t="str">
        <f>"1551765234026033"</f>
        <v>1551765234026033</v>
      </c>
      <c r="C6187" t="s">
        <v>40</v>
      </c>
      <c r="D6187">
        <v>4.3397249999999996</v>
      </c>
      <c r="E6187">
        <v>0.33709090000000003</v>
      </c>
      <c r="F6187" t="s">
        <v>42</v>
      </c>
      <c r="G6187">
        <v>-194.14840000000001</v>
      </c>
      <c r="H6187" s="1">
        <v>-1.796251E-6</v>
      </c>
      <c r="I6187">
        <v>-38.796750000000003</v>
      </c>
      <c r="J6187">
        <v>-222.61080000000001</v>
      </c>
      <c r="K6187">
        <v>1.1127689999999999</v>
      </c>
      <c r="L6187">
        <v>-62.108519999999999</v>
      </c>
      <c r="M6187">
        <v>0.99844370000000005</v>
      </c>
      <c r="N6187">
        <v>-1.432368E-2</v>
      </c>
      <c r="O6187">
        <v>5.3899330000000002E-2</v>
      </c>
      <c r="P6187">
        <v>0.96032079999999997</v>
      </c>
      <c r="Q6187">
        <v>-3.8006619999999998E-2</v>
      </c>
      <c r="R6187">
        <v>0.2762965</v>
      </c>
      <c r="S6187">
        <v>2.5368189999999999</v>
      </c>
      <c r="T6187">
        <v>-9.8602179999999998E-2</v>
      </c>
      <c r="U6187">
        <v>2.0668639999999998</v>
      </c>
      <c r="V6187">
        <v>-0.22392529999999999</v>
      </c>
      <c r="W6187">
        <v>-2.5885829999999999E-2</v>
      </c>
      <c r="X6187">
        <v>0.97426250000000003</v>
      </c>
      <c r="Y6187">
        <v>-0.58852680000000002</v>
      </c>
      <c r="Z6187">
        <v>1.359613E-2</v>
      </c>
      <c r="AA6187">
        <v>0.80836339999999995</v>
      </c>
      <c r="AB6187">
        <v>35</v>
      </c>
      <c r="AC6187">
        <v>28.462399999999999</v>
      </c>
      <c r="AD6187">
        <v>-1.1127707962510001</v>
      </c>
      <c r="AE6187">
        <v>23.311769999999999</v>
      </c>
      <c r="AF6187">
        <v>-21.723741445943499</v>
      </c>
      <c r="AG6187">
        <v>-1.1127707962510001</v>
      </c>
      <c r="AH6187">
        <v>29.650510424336101</v>
      </c>
      <c r="AI6187">
        <v>91.734028398743206</v>
      </c>
      <c r="AJ6187">
        <v>126.228740164789</v>
      </c>
      <c r="AK6187">
        <v>36.773794605382498</v>
      </c>
      <c r="AL6187">
        <v>91.483314469252605</v>
      </c>
      <c r="AM6187">
        <v>102.944102548717</v>
      </c>
      <c r="AN6187">
        <v>1.0000000175405599</v>
      </c>
    </row>
    <row r="6188" spans="1:40" x14ac:dyDescent="0.25">
      <c r="A6188" t="str">
        <f>"20190305135354042"</f>
        <v>20190305135354042</v>
      </c>
      <c r="B6188" t="str">
        <f>"1551765234035794"</f>
        <v>1551765234035794</v>
      </c>
      <c r="C6188" t="s">
        <v>40</v>
      </c>
      <c r="D6188">
        <v>4.3439579999999998</v>
      </c>
      <c r="E6188">
        <v>0.3383196</v>
      </c>
      <c r="F6188" t="s">
        <v>42</v>
      </c>
      <c r="G6188">
        <v>-193.92410000000001</v>
      </c>
      <c r="H6188" s="1">
        <v>-1.874662E-6</v>
      </c>
      <c r="I6188">
        <v>-38.474820000000001</v>
      </c>
      <c r="J6188">
        <v>-222.45189999999999</v>
      </c>
      <c r="K6188">
        <v>1.1129290000000001</v>
      </c>
      <c r="L6188">
        <v>-62.098300000000002</v>
      </c>
      <c r="M6188">
        <v>0.99833170000000004</v>
      </c>
      <c r="N6188">
        <v>-1.4359179999999999E-2</v>
      </c>
      <c r="O6188">
        <v>5.592623E-2</v>
      </c>
      <c r="P6188">
        <v>0.95799400000000001</v>
      </c>
      <c r="Q6188">
        <v>-3.8074410000000003E-2</v>
      </c>
      <c r="R6188">
        <v>0.28424969999999999</v>
      </c>
      <c r="S6188">
        <v>2.5222169999999999</v>
      </c>
      <c r="T6188">
        <v>-9.7837919999999995E-2</v>
      </c>
      <c r="U6188">
        <v>2.0779420000000002</v>
      </c>
      <c r="V6188">
        <v>-0.23000689999999999</v>
      </c>
      <c r="W6188">
        <v>-2.6079209999999999E-2</v>
      </c>
      <c r="X6188">
        <v>0.97283949999999997</v>
      </c>
      <c r="Y6188">
        <v>-0.59128959999999997</v>
      </c>
      <c r="Z6188">
        <v>1.360746E-2</v>
      </c>
      <c r="AA6188">
        <v>0.80634450000000002</v>
      </c>
      <c r="AB6188">
        <v>35</v>
      </c>
      <c r="AC6188">
        <v>28.5277999999999</v>
      </c>
      <c r="AD6188">
        <v>-1.1129308746619999</v>
      </c>
      <c r="AE6188">
        <v>23.623479999999901</v>
      </c>
      <c r="AF6188">
        <v>-21.9710462087228</v>
      </c>
      <c r="AG6188">
        <v>-1.1129308746619999</v>
      </c>
      <c r="AH6188">
        <v>29.777565870549001</v>
      </c>
      <c r="AI6188">
        <v>91.7226219299029</v>
      </c>
      <c r="AJ6188">
        <v>126.421349125882</v>
      </c>
      <c r="AK6188">
        <v>37.022546047138597</v>
      </c>
      <c r="AL6188">
        <v>91.494398100966293</v>
      </c>
      <c r="AM6188">
        <v>103.30208538023</v>
      </c>
      <c r="AN6188">
        <v>0.99999999600104195</v>
      </c>
    </row>
    <row r="6189" spans="1:40" x14ac:dyDescent="0.25">
      <c r="A6189" t="str">
        <f>"20190305135354055"</f>
        <v>20190305135354055</v>
      </c>
      <c r="B6189" t="str">
        <f>"1551765234046530"</f>
        <v>1551765234046530</v>
      </c>
      <c r="C6189" t="s">
        <v>40</v>
      </c>
      <c r="D6189">
        <v>4.3510330000000002</v>
      </c>
      <c r="E6189">
        <v>0.3397174</v>
      </c>
      <c r="F6189" t="s">
        <v>42</v>
      </c>
      <c r="G6189">
        <v>-194.7944</v>
      </c>
      <c r="H6189" s="1">
        <v>-1.8578630000000001E-6</v>
      </c>
      <c r="I6189">
        <v>-39.053759999999997</v>
      </c>
      <c r="J6189">
        <v>-222.2748</v>
      </c>
      <c r="K6189">
        <v>1.1131</v>
      </c>
      <c r="L6189">
        <v>-62.086179999999999</v>
      </c>
      <c r="M6189">
        <v>0.99819360000000001</v>
      </c>
      <c r="N6189">
        <v>-1.4396549999999999E-2</v>
      </c>
      <c r="O6189">
        <v>5.8328030000000003E-2</v>
      </c>
      <c r="P6189">
        <v>0.9555266</v>
      </c>
      <c r="Q6189">
        <v>-3.8060829999999997E-2</v>
      </c>
      <c r="R6189">
        <v>0.2924387</v>
      </c>
      <c r="S6189">
        <v>2.5075989999999999</v>
      </c>
      <c r="T6189">
        <v>-0.10090490000000001</v>
      </c>
      <c r="U6189">
        <v>2.0893549999999999</v>
      </c>
      <c r="V6189">
        <v>-0.23597480000000001</v>
      </c>
      <c r="W6189">
        <v>-2.6202159999999999E-2</v>
      </c>
      <c r="X6189">
        <v>0.97140590000000004</v>
      </c>
      <c r="Y6189">
        <v>-0.59379559999999998</v>
      </c>
      <c r="Z6189">
        <v>1.3922479999999999E-2</v>
      </c>
      <c r="AA6189">
        <v>0.80449550000000003</v>
      </c>
      <c r="AB6189">
        <v>35</v>
      </c>
      <c r="AC6189">
        <v>27.480399999999999</v>
      </c>
      <c r="AD6189">
        <v>-1.1131018578630001</v>
      </c>
      <c r="AE6189">
        <v>23.032419999999998</v>
      </c>
      <c r="AF6189">
        <v>-21.369560821794298</v>
      </c>
      <c r="AG6189">
        <v>-1.1131018578630001</v>
      </c>
      <c r="AH6189">
        <v>28.749473238188099</v>
      </c>
      <c r="AI6189">
        <v>91.7798044101269</v>
      </c>
      <c r="AJ6189">
        <v>126.623521505368</v>
      </c>
      <c r="AK6189">
        <v>35.838936046367799</v>
      </c>
      <c r="AL6189">
        <v>91.501444957645106</v>
      </c>
      <c r="AM6189">
        <v>103.65386889679</v>
      </c>
      <c r="AN6189">
        <v>1.00000004098925</v>
      </c>
    </row>
    <row r="6190" spans="1:40" x14ac:dyDescent="0.25">
      <c r="A6190" t="str">
        <f>"20190305135354066"</f>
        <v>20190305135354066</v>
      </c>
      <c r="B6190" t="str">
        <f>"1551765234056291"</f>
        <v>1551765234056291</v>
      </c>
      <c r="C6190" t="s">
        <v>40</v>
      </c>
      <c r="D6190">
        <v>4.3669719999999996</v>
      </c>
      <c r="E6190">
        <v>0.34096470000000001</v>
      </c>
      <c r="F6190" t="s">
        <v>42</v>
      </c>
      <c r="G6190">
        <v>-195.50640000000001</v>
      </c>
      <c r="H6190" s="1">
        <v>-1.840093E-6</v>
      </c>
      <c r="I6190">
        <v>-39.536799999999999</v>
      </c>
      <c r="J6190">
        <v>-222.11170000000001</v>
      </c>
      <c r="K6190">
        <v>1.113254</v>
      </c>
      <c r="L6190">
        <v>-62.074860000000001</v>
      </c>
      <c r="M6190">
        <v>0.99805969999999999</v>
      </c>
      <c r="N6190">
        <v>-1.4429829999999999E-2</v>
      </c>
      <c r="O6190">
        <v>6.0566950000000001E-2</v>
      </c>
      <c r="P6190">
        <v>0.95311440000000003</v>
      </c>
      <c r="Q6190">
        <v>-3.8252349999999997E-2</v>
      </c>
      <c r="R6190">
        <v>0.30018230000000001</v>
      </c>
      <c r="S6190">
        <v>2.4928129999999999</v>
      </c>
      <c r="T6190">
        <v>-0.10365770000000001</v>
      </c>
      <c r="U6190">
        <v>2.0999150000000002</v>
      </c>
      <c r="V6190">
        <v>-0.2416595</v>
      </c>
      <c r="W6190">
        <v>-2.65279E-2</v>
      </c>
      <c r="X6190">
        <v>0.96999840000000004</v>
      </c>
      <c r="Y6190">
        <v>-0.5963041</v>
      </c>
      <c r="Z6190">
        <v>1.421419E-2</v>
      </c>
      <c r="AA6190">
        <v>0.80263280000000004</v>
      </c>
      <c r="AB6190">
        <v>35</v>
      </c>
      <c r="AC6190">
        <v>26.6053</v>
      </c>
      <c r="AD6190">
        <v>-1.1132558400929999</v>
      </c>
      <c r="AE6190">
        <v>22.538060000000002</v>
      </c>
      <c r="AF6190">
        <v>-20.863837036888999</v>
      </c>
      <c r="AG6190">
        <v>-1.1132558400929999</v>
      </c>
      <c r="AH6190">
        <v>27.893216889695498</v>
      </c>
      <c r="AI6190">
        <v>91.830543785917996</v>
      </c>
      <c r="AJ6190">
        <v>126.79610769631</v>
      </c>
      <c r="AK6190">
        <v>34.850689848594897</v>
      </c>
      <c r="AL6190">
        <v>91.520115082588603</v>
      </c>
      <c r="AM6190">
        <v>103.98953000365699</v>
      </c>
      <c r="AN6190">
        <v>0.999999969710609</v>
      </c>
    </row>
    <row r="6191" spans="1:40" x14ac:dyDescent="0.25">
      <c r="A6191" t="str">
        <f>"20190305135354075"</f>
        <v>20190305135354075</v>
      </c>
      <c r="B6191" t="str">
        <f>"1551765234066050"</f>
        <v>1551765234066050</v>
      </c>
      <c r="C6191" t="s">
        <v>40</v>
      </c>
      <c r="D6191">
        <v>4.3793889999999998</v>
      </c>
      <c r="E6191">
        <v>0.34096470000000001</v>
      </c>
      <c r="F6191" t="s">
        <v>42</v>
      </c>
      <c r="G6191">
        <v>-196.55950000000001</v>
      </c>
      <c r="H6191" s="1">
        <v>-1.7858140000000001E-6</v>
      </c>
      <c r="I6191">
        <v>-40.316459999999999</v>
      </c>
      <c r="J6191">
        <v>-221.94649999999999</v>
      </c>
      <c r="K6191">
        <v>1.113407</v>
      </c>
      <c r="L6191">
        <v>-62.06259</v>
      </c>
      <c r="M6191">
        <v>0.99790970000000001</v>
      </c>
      <c r="N6191">
        <v>-1.446185E-2</v>
      </c>
      <c r="O6191">
        <v>6.2986410000000007E-2</v>
      </c>
      <c r="P6191">
        <v>0.95056759999999996</v>
      </c>
      <c r="Q6191">
        <v>-3.8446590000000003E-2</v>
      </c>
      <c r="R6191">
        <v>0.30812869999999998</v>
      </c>
      <c r="S6191">
        <v>2.4785309999999998</v>
      </c>
      <c r="T6191">
        <v>-0.10798430000000001</v>
      </c>
      <c r="U6191">
        <v>2.110535</v>
      </c>
      <c r="V6191">
        <v>-0.247387</v>
      </c>
      <c r="W6191">
        <v>-2.6862190000000001E-2</v>
      </c>
      <c r="X6191">
        <v>0.96854430000000002</v>
      </c>
      <c r="Y6191">
        <v>-0.59859340000000005</v>
      </c>
      <c r="Z6191">
        <v>1.462342E-2</v>
      </c>
      <c r="AA6191">
        <v>0.80091950000000001</v>
      </c>
      <c r="AB6191">
        <v>35</v>
      </c>
      <c r="AC6191">
        <v>25.386999999999901</v>
      </c>
      <c r="AD6191">
        <v>-1.113408785814</v>
      </c>
      <c r="AE6191">
        <v>21.746129999999901</v>
      </c>
      <c r="AF6191">
        <v>-20.081459318262301</v>
      </c>
      <c r="AG6191">
        <v>-1.113408785814</v>
      </c>
      <c r="AH6191">
        <v>26.676838124542201</v>
      </c>
      <c r="AI6191">
        <v>91.909830346044401</v>
      </c>
      <c r="AJ6191">
        <v>126.9712487252</v>
      </c>
      <c r="AK6191">
        <v>33.408956580509702</v>
      </c>
      <c r="AL6191">
        <v>91.539275297119204</v>
      </c>
      <c r="AM6191">
        <v>104.328223135935</v>
      </c>
      <c r="AN6191">
        <v>0.99999998304154203</v>
      </c>
    </row>
    <row r="6192" spans="1:40" x14ac:dyDescent="0.25">
      <c r="A6192" t="str">
        <f>"20190305135354088"</f>
        <v>20190305135354088</v>
      </c>
      <c r="B6192" t="str">
        <f>"1551765234075809"</f>
        <v>1551765234075809</v>
      </c>
      <c r="C6192" t="s">
        <v>40</v>
      </c>
      <c r="D6192">
        <v>4.3503809999999996</v>
      </c>
      <c r="E6192">
        <v>0.36609599999999998</v>
      </c>
      <c r="F6192" t="s">
        <v>42</v>
      </c>
      <c r="G6192">
        <v>-196.4469</v>
      </c>
      <c r="H6192" s="1">
        <v>-1.900459E-6</v>
      </c>
      <c r="I6192">
        <v>-39.979419999999998</v>
      </c>
      <c r="J6192">
        <v>-221.7705</v>
      </c>
      <c r="K6192">
        <v>1.113567</v>
      </c>
      <c r="L6192">
        <v>-62.049349999999997</v>
      </c>
      <c r="M6192">
        <v>0.9977414</v>
      </c>
      <c r="N6192">
        <v>-1.449483E-2</v>
      </c>
      <c r="O6192">
        <v>6.5590629999999997E-2</v>
      </c>
      <c r="P6192">
        <v>0.94797240000000005</v>
      </c>
      <c r="Q6192">
        <v>-3.9031160000000002E-2</v>
      </c>
      <c r="R6192">
        <v>0.31595089999999998</v>
      </c>
      <c r="S6192">
        <v>2.4608310000000002</v>
      </c>
      <c r="T6192">
        <v>-0.1074494</v>
      </c>
      <c r="U6192">
        <v>2.1311339999999999</v>
      </c>
      <c r="V6192">
        <v>-0.25281809999999999</v>
      </c>
      <c r="W6192">
        <v>-2.7592309999999998E-2</v>
      </c>
      <c r="X6192">
        <v>0.96712030000000004</v>
      </c>
      <c r="Y6192">
        <v>-0.60317379999999998</v>
      </c>
      <c r="Z6192">
        <v>1.4692490000000001E-2</v>
      </c>
      <c r="AA6192">
        <v>0.79747440000000003</v>
      </c>
      <c r="AB6192">
        <v>35</v>
      </c>
      <c r="AC6192">
        <v>25.323599999999999</v>
      </c>
      <c r="AD6192">
        <v>-1.1135689004589999</v>
      </c>
      <c r="AE6192">
        <v>22.0699299999999</v>
      </c>
      <c r="AF6192">
        <v>-20.3388779718107</v>
      </c>
      <c r="AG6192">
        <v>-1.1135689004589999</v>
      </c>
      <c r="AH6192">
        <v>26.687461117667301</v>
      </c>
      <c r="AI6192">
        <v>91.900781848055004</v>
      </c>
      <c r="AJ6192">
        <v>127.311519481472</v>
      </c>
      <c r="AK6192">
        <v>33.572765357582398</v>
      </c>
      <c r="AL6192">
        <v>91.581123579388503</v>
      </c>
      <c r="AM6192">
        <v>104.650038300289</v>
      </c>
      <c r="AN6192">
        <v>1.00000000096541</v>
      </c>
    </row>
    <row r="6193" spans="1:40" x14ac:dyDescent="0.25">
      <c r="A6193" t="str">
        <f>"20190305135354098"</f>
        <v>20190305135354098</v>
      </c>
      <c r="B6193" t="str">
        <f>"1551765234086546"</f>
        <v>1551765234086546</v>
      </c>
      <c r="C6193" t="s">
        <v>40</v>
      </c>
      <c r="D6193">
        <v>4.3954139999999997</v>
      </c>
      <c r="E6193">
        <v>0.36690390000000001</v>
      </c>
      <c r="F6193" t="s">
        <v>81</v>
      </c>
      <c r="G6193">
        <v>-206.86160000000001</v>
      </c>
      <c r="H6193">
        <v>3.1562510000000002E-2</v>
      </c>
      <c r="I6193">
        <v>-50.383670000000002</v>
      </c>
      <c r="J6193">
        <v>-221.60140000000001</v>
      </c>
      <c r="K6193">
        <v>1.1137140000000001</v>
      </c>
      <c r="L6193">
        <v>-62.03586</v>
      </c>
      <c r="M6193">
        <v>0.99756540000000005</v>
      </c>
      <c r="N6193">
        <v>-1.452518E-2</v>
      </c>
      <c r="O6193">
        <v>6.8206760000000005E-2</v>
      </c>
      <c r="P6193">
        <v>0.94542380000000004</v>
      </c>
      <c r="Q6193">
        <v>-3.9589939999999997E-2</v>
      </c>
      <c r="R6193">
        <v>0.32342949999999998</v>
      </c>
      <c r="S6193">
        <v>2.5041199999999999</v>
      </c>
      <c r="T6193">
        <v>-0.1817347</v>
      </c>
      <c r="U6193">
        <v>1.959381</v>
      </c>
      <c r="V6193">
        <v>-0.25790069999999998</v>
      </c>
      <c r="W6193">
        <v>-2.829019E-2</v>
      </c>
      <c r="X6193">
        <v>0.96575719999999998</v>
      </c>
      <c r="Y6193">
        <v>-0.55998000000000003</v>
      </c>
      <c r="Z6193">
        <v>1.899321E-2</v>
      </c>
      <c r="AA6193">
        <v>0.82828829999999998</v>
      </c>
      <c r="AB6193">
        <v>35</v>
      </c>
      <c r="AC6193">
        <v>14.739800000000001</v>
      </c>
      <c r="AD6193">
        <v>-1.08215148999999</v>
      </c>
      <c r="AE6193">
        <v>11.6521899999999</v>
      </c>
      <c r="AF6193">
        <v>-10.5844788554431</v>
      </c>
      <c r="AG6193">
        <v>-1.08215148999999</v>
      </c>
      <c r="AH6193">
        <v>15.4490628080497</v>
      </c>
      <c r="AI6193">
        <v>93.307175088888698</v>
      </c>
      <c r="AJ6193">
        <v>124.415865562847</v>
      </c>
      <c r="AK6193">
        <v>18.758352436599999</v>
      </c>
      <c r="AL6193">
        <v>91.621124717099804</v>
      </c>
      <c r="AM6193">
        <v>104.95165683884601</v>
      </c>
      <c r="AN6193">
        <v>1.0000000376312801</v>
      </c>
    </row>
    <row r="6194" spans="1:40" x14ac:dyDescent="0.25">
      <c r="A6194" t="str">
        <f>"20190305135354111"</f>
        <v>20190305135354111</v>
      </c>
      <c r="B6194" t="str">
        <f>"1551765234106065"</f>
        <v>1551765234106065</v>
      </c>
      <c r="C6194" t="s">
        <v>40</v>
      </c>
      <c r="D6194">
        <v>4.4338280000000001</v>
      </c>
      <c r="E6194">
        <v>0.36814459999999999</v>
      </c>
      <c r="F6194" t="s">
        <v>41</v>
      </c>
      <c r="G6194">
        <v>-220.8306</v>
      </c>
      <c r="H6194">
        <v>1.059024</v>
      </c>
      <c r="I6194">
        <v>-61.425379999999997</v>
      </c>
      <c r="J6194">
        <v>-221.3965</v>
      </c>
      <c r="K6194">
        <v>1.1138889999999999</v>
      </c>
      <c r="L6194">
        <v>-62.018979999999999</v>
      </c>
      <c r="M6194">
        <v>0.99733760000000005</v>
      </c>
      <c r="N6194">
        <v>-1.4560139999999999E-2</v>
      </c>
      <c r="O6194">
        <v>7.1454539999999997E-2</v>
      </c>
      <c r="P6194">
        <v>0.94266220000000001</v>
      </c>
      <c r="Q6194">
        <v>-4.0215239999999999E-2</v>
      </c>
      <c r="R6194">
        <v>0.33131690000000003</v>
      </c>
      <c r="S6194">
        <v>2.490723</v>
      </c>
      <c r="T6194">
        <v>-0.17672499999999999</v>
      </c>
      <c r="U6194">
        <v>1.973236</v>
      </c>
      <c r="V6194">
        <v>-0.26280140000000002</v>
      </c>
      <c r="W6194">
        <v>-2.9069210000000002E-2</v>
      </c>
      <c r="X6194">
        <v>0.96441200000000005</v>
      </c>
      <c r="Y6194">
        <v>-0.56232389999999999</v>
      </c>
      <c r="Z6194">
        <v>1.861111E-2</v>
      </c>
      <c r="AA6194">
        <v>0.82670750000000004</v>
      </c>
      <c r="AB6194">
        <v>35</v>
      </c>
      <c r="AC6194">
        <v>0.56589999999999896</v>
      </c>
      <c r="AD6194">
        <v>-5.48649999999999E-2</v>
      </c>
      <c r="AE6194">
        <v>0.59360000000000201</v>
      </c>
      <c r="AF6194">
        <v>-0.54918412494031998</v>
      </c>
      <c r="AG6194">
        <v>-5.48649999999999E-2</v>
      </c>
      <c r="AH6194">
        <v>0.60416918634214301</v>
      </c>
      <c r="AI6194">
        <v>93.844370662770999</v>
      </c>
      <c r="AJ6194">
        <v>132.27054285781301</v>
      </c>
      <c r="AK6194">
        <v>0.81831154032971598</v>
      </c>
      <c r="AL6194">
        <v>91.665777621490705</v>
      </c>
      <c r="AM6194">
        <v>105.242949628898</v>
      </c>
      <c r="AN6194">
        <v>1.00000005027799</v>
      </c>
    </row>
    <row r="6195" spans="1:40" x14ac:dyDescent="0.25">
      <c r="A6195" t="str">
        <f>"20190305135354123"</f>
        <v>20190305135354123</v>
      </c>
      <c r="B6195" t="str">
        <f>"1551765234115826"</f>
        <v>1551765234115826</v>
      </c>
      <c r="C6195" t="s">
        <v>40</v>
      </c>
      <c r="D6195">
        <v>4.3873930000000003</v>
      </c>
      <c r="E6195">
        <v>0.36925459999999999</v>
      </c>
      <c r="F6195" t="s">
        <v>81</v>
      </c>
      <c r="G6195">
        <v>-206.84559999999999</v>
      </c>
      <c r="H6195">
        <v>7.1144810000000003E-2</v>
      </c>
      <c r="I6195">
        <v>-50.36251</v>
      </c>
      <c r="J6195">
        <v>-221.20140000000001</v>
      </c>
      <c r="K6195">
        <v>1.114055</v>
      </c>
      <c r="L6195">
        <v>-62.00235</v>
      </c>
      <c r="M6195">
        <v>0.99710489999999996</v>
      </c>
      <c r="N6195">
        <v>-1.459161E-2</v>
      </c>
      <c r="O6195">
        <v>7.4626670000000006E-2</v>
      </c>
      <c r="P6195">
        <v>0.93994929999999999</v>
      </c>
      <c r="Q6195">
        <v>-4.0439320000000001E-2</v>
      </c>
      <c r="R6195">
        <v>0.33891019999999999</v>
      </c>
      <c r="S6195">
        <v>2.4773860000000001</v>
      </c>
      <c r="T6195">
        <v>-0.177534</v>
      </c>
      <c r="U6195">
        <v>1.9845889999999999</v>
      </c>
      <c r="V6195">
        <v>-0.26749329999999999</v>
      </c>
      <c r="W6195">
        <v>-2.9442429999999999E-2</v>
      </c>
      <c r="X6195">
        <v>0.96310980000000002</v>
      </c>
      <c r="Y6195">
        <v>-0.56415479999999996</v>
      </c>
      <c r="Z6195">
        <v>1.8646119999999999E-2</v>
      </c>
      <c r="AA6195">
        <v>0.82545849999999898</v>
      </c>
      <c r="AB6195">
        <v>35</v>
      </c>
      <c r="AC6195">
        <v>14.3558</v>
      </c>
      <c r="AD6195">
        <v>-1.04291019</v>
      </c>
      <c r="AE6195">
        <v>11.63984</v>
      </c>
      <c r="AF6195">
        <v>-10.502493769446801</v>
      </c>
      <c r="AG6195">
        <v>-1.04291019</v>
      </c>
      <c r="AH6195">
        <v>15.136297975367899</v>
      </c>
      <c r="AI6195">
        <v>93.239992687435802</v>
      </c>
      <c r="AJ6195">
        <v>124.75529011857</v>
      </c>
      <c r="AK6195">
        <v>18.4525757942029</v>
      </c>
      <c r="AL6195">
        <v>91.687170785718294</v>
      </c>
      <c r="AM6195">
        <v>105.522056461115</v>
      </c>
      <c r="AN6195">
        <v>1.0000000045426101</v>
      </c>
    </row>
    <row r="6196" spans="1:40" x14ac:dyDescent="0.25">
      <c r="A6196" t="str">
        <f>"20190305135354135"</f>
        <v>20190305135354135</v>
      </c>
      <c r="B6196" t="str">
        <f>"1551765234126562"</f>
        <v>1551765234126562</v>
      </c>
      <c r="C6196" t="s">
        <v>40</v>
      </c>
      <c r="D6196">
        <v>4.3852129999999896</v>
      </c>
      <c r="E6196">
        <v>0.3703477</v>
      </c>
      <c r="F6196" t="s">
        <v>41</v>
      </c>
      <c r="G6196">
        <v>-220.51130000000001</v>
      </c>
      <c r="H6196">
        <v>1.06251299999999</v>
      </c>
      <c r="I6196">
        <v>-61.443420000000003</v>
      </c>
      <c r="J6196">
        <v>-221.02539999999999</v>
      </c>
      <c r="K6196">
        <v>1.1141970000000001</v>
      </c>
      <c r="L6196">
        <v>-61.98639</v>
      </c>
      <c r="M6196">
        <v>0.9968764</v>
      </c>
      <c r="N6196">
        <v>-1.4618259999999999E-2</v>
      </c>
      <c r="O6196">
        <v>7.7612860000000006E-2</v>
      </c>
      <c r="P6196">
        <v>0.93735559999999996</v>
      </c>
      <c r="Q6196">
        <v>-4.0433549999999999E-2</v>
      </c>
      <c r="R6196">
        <v>0.34601999999999999</v>
      </c>
      <c r="S6196">
        <v>2.464035</v>
      </c>
      <c r="T6196">
        <v>-0.18403420000000001</v>
      </c>
      <c r="U6196">
        <v>1.996094</v>
      </c>
      <c r="V6196">
        <v>-0.27188859999999998</v>
      </c>
      <c r="W6196">
        <v>-2.9574409999999999E-2</v>
      </c>
      <c r="X6196">
        <v>0.96187420000000001</v>
      </c>
      <c r="Y6196">
        <v>-0.56611880000000003</v>
      </c>
      <c r="Z6196">
        <v>1.9107550000000001E-2</v>
      </c>
      <c r="AA6196">
        <v>0.82410219999999901</v>
      </c>
      <c r="AB6196">
        <v>35</v>
      </c>
      <c r="AC6196">
        <v>0.51409999999998401</v>
      </c>
      <c r="AD6196">
        <v>-5.1684000000000001E-2</v>
      </c>
      <c r="AE6196">
        <v>0.54297000000000395</v>
      </c>
      <c r="AF6196">
        <v>-0.49904255277394999</v>
      </c>
      <c r="AG6196">
        <v>-5.1684000000000001E-2</v>
      </c>
      <c r="AH6196">
        <v>0.55205736446098796</v>
      </c>
      <c r="AI6196">
        <v>93.972841501838403</v>
      </c>
      <c r="AJ6196">
        <v>132.11259312451801</v>
      </c>
      <c r="AK6196">
        <v>0.74597723758218903</v>
      </c>
      <c r="AL6196">
        <v>91.694735956662001</v>
      </c>
      <c r="AM6196">
        <v>105.783764347581</v>
      </c>
      <c r="AN6196">
        <v>1.00000001658122</v>
      </c>
    </row>
    <row r="6197" spans="1:40" x14ac:dyDescent="0.25">
      <c r="A6197" t="str">
        <f>"20190305135354148"</f>
        <v>20190305135354148</v>
      </c>
      <c r="B6197" t="str">
        <f>"1551765234136322"</f>
        <v>1551765234136322</v>
      </c>
      <c r="C6197" t="s">
        <v>40</v>
      </c>
      <c r="D6197">
        <v>4.3915800000000003</v>
      </c>
      <c r="E6197">
        <v>0.371332</v>
      </c>
      <c r="F6197" t="s">
        <v>41</v>
      </c>
      <c r="G6197">
        <v>-220.2296</v>
      </c>
      <c r="H6197">
        <v>1.0537209999999999</v>
      </c>
      <c r="I6197">
        <v>-61.335160000000002</v>
      </c>
      <c r="J6197">
        <v>-220.84440000000001</v>
      </c>
      <c r="K6197">
        <v>1.1143419999999999</v>
      </c>
      <c r="L6197">
        <v>-61.969700000000003</v>
      </c>
      <c r="M6197">
        <v>0.99662899999999999</v>
      </c>
      <c r="N6197">
        <v>-1.4644539999999999E-2</v>
      </c>
      <c r="O6197">
        <v>8.0722589999999997E-2</v>
      </c>
      <c r="P6197">
        <v>0.93473810000000002</v>
      </c>
      <c r="Q6197">
        <v>-4.0326260000000003E-2</v>
      </c>
      <c r="R6197">
        <v>0.35304170000000001</v>
      </c>
      <c r="S6197">
        <v>2.4517359999999999</v>
      </c>
      <c r="T6197">
        <v>-0.18631229999999999</v>
      </c>
      <c r="U6197">
        <v>2.006561</v>
      </c>
      <c r="V6197">
        <v>-0.2760879</v>
      </c>
      <c r="W6197">
        <v>-2.9607370000000001E-2</v>
      </c>
      <c r="X6197">
        <v>0.96067630000000004</v>
      </c>
      <c r="Y6197">
        <v>-0.56764879999999995</v>
      </c>
      <c r="Z6197">
        <v>1.922836E-2</v>
      </c>
      <c r="AA6197">
        <v>0.82304619999999995</v>
      </c>
      <c r="AB6197">
        <v>35</v>
      </c>
      <c r="AC6197">
        <v>0.61480000000000201</v>
      </c>
      <c r="AD6197">
        <v>-6.0621000000000001E-2</v>
      </c>
      <c r="AE6197">
        <v>0.63454000000000799</v>
      </c>
      <c r="AF6197">
        <v>-0.58010428715337203</v>
      </c>
      <c r="AG6197">
        <v>-6.0621000000000001E-2</v>
      </c>
      <c r="AH6197">
        <v>0.66090909606445403</v>
      </c>
      <c r="AI6197">
        <v>93.943474820878095</v>
      </c>
      <c r="AJ6197">
        <v>131.274618449607</v>
      </c>
      <c r="AK6197">
        <v>0.88147417595494904</v>
      </c>
      <c r="AL6197">
        <v>91.6966252145846</v>
      </c>
      <c r="AM6197">
        <v>106.03407429182199</v>
      </c>
      <c r="AN6197">
        <v>1.0000000391332</v>
      </c>
    </row>
    <row r="6198" spans="1:40" x14ac:dyDescent="0.25">
      <c r="A6198" t="str">
        <f>"20190305135354160"</f>
        <v>20190305135354160</v>
      </c>
      <c r="B6198" t="str">
        <f>"1551765234155842"</f>
        <v>1551765234155842</v>
      </c>
      <c r="C6198" t="s">
        <v>40</v>
      </c>
      <c r="D6198">
        <v>4.4455309999999999</v>
      </c>
      <c r="E6198">
        <v>0.38311250000000002</v>
      </c>
      <c r="F6198" t="s">
        <v>81</v>
      </c>
      <c r="G6198">
        <v>-206.83539999999999</v>
      </c>
      <c r="H6198">
        <v>3.8636429999999999E-2</v>
      </c>
      <c r="I6198">
        <v>-50.383670000000002</v>
      </c>
      <c r="J6198">
        <v>-220.63579999999999</v>
      </c>
      <c r="K6198">
        <v>1.1145099999999999</v>
      </c>
      <c r="L6198">
        <v>-61.94943</v>
      </c>
      <c r="M6198">
        <v>0.99632080000000001</v>
      </c>
      <c r="N6198">
        <v>-1.467355E-2</v>
      </c>
      <c r="O6198">
        <v>8.4436910000000004E-2</v>
      </c>
      <c r="P6198">
        <v>0.93172779999999999</v>
      </c>
      <c r="Q6198">
        <v>-4.0439070000000001E-2</v>
      </c>
      <c r="R6198">
        <v>0.36089900000000003</v>
      </c>
      <c r="S6198">
        <v>2.4393919999999998</v>
      </c>
      <c r="T6198">
        <v>-0.1873137</v>
      </c>
      <c r="U6198">
        <v>2.017487</v>
      </c>
      <c r="V6198">
        <v>-0.28057739999999998</v>
      </c>
      <c r="W6198">
        <v>-2.9879470000000002E-2</v>
      </c>
      <c r="X6198">
        <v>0.95936619999999995</v>
      </c>
      <c r="Y6198">
        <v>-0.56879959999999996</v>
      </c>
      <c r="Z6198">
        <v>1.9207510000000001E-2</v>
      </c>
      <c r="AA6198">
        <v>0.82225190000000004</v>
      </c>
      <c r="AB6198">
        <v>35</v>
      </c>
      <c r="AC6198">
        <v>13.8003999999999</v>
      </c>
      <c r="AD6198">
        <v>-1.0758735699999999</v>
      </c>
      <c r="AE6198">
        <v>11.565759999999999</v>
      </c>
      <c r="AF6198">
        <v>-10.3222074367857</v>
      </c>
      <c r="AG6198">
        <v>-1.0758735699999999</v>
      </c>
      <c r="AH6198">
        <v>14.6753946762298</v>
      </c>
      <c r="AI6198">
        <v>93.431574464122093</v>
      </c>
      <c r="AJ6198">
        <v>125.12133849479</v>
      </c>
      <c r="AK6198">
        <v>17.974222631584698</v>
      </c>
      <c r="AL6198">
        <v>91.712222392592196</v>
      </c>
      <c r="AM6198">
        <v>106.302150659248</v>
      </c>
      <c r="AN6198">
        <v>0.99999998291033998</v>
      </c>
    </row>
    <row r="6199" spans="1:40" x14ac:dyDescent="0.25">
      <c r="A6199" t="str">
        <f>"20190305135354172"</f>
        <v>20190305135354172</v>
      </c>
      <c r="B6199" t="str">
        <f>"1551765234166578"</f>
        <v>1551765234166578</v>
      </c>
      <c r="C6199" t="s">
        <v>40</v>
      </c>
      <c r="D6199">
        <v>4.4313019999999996</v>
      </c>
      <c r="E6199">
        <v>0.38396639999999999</v>
      </c>
      <c r="F6199" t="s">
        <v>41</v>
      </c>
      <c r="G6199">
        <v>-219.90549999999999</v>
      </c>
      <c r="H6199">
        <v>1.046583</v>
      </c>
      <c r="I6199">
        <v>-61.369590000000002</v>
      </c>
      <c r="J6199">
        <v>-220.46</v>
      </c>
      <c r="K6199">
        <v>1.1146480000000001</v>
      </c>
      <c r="L6199">
        <v>-61.931699999999999</v>
      </c>
      <c r="M6199">
        <v>0.99604329999999996</v>
      </c>
      <c r="N6199">
        <v>-1.4697389999999999E-2</v>
      </c>
      <c r="O6199">
        <v>8.7646360000000006E-2</v>
      </c>
      <c r="P6199">
        <v>0.92899140000000002</v>
      </c>
      <c r="Q6199">
        <v>-4.0261529999999997E-2</v>
      </c>
      <c r="R6199">
        <v>0.36790489999999998</v>
      </c>
      <c r="S6199">
        <v>2.4548649999999999</v>
      </c>
      <c r="T6199">
        <v>-0.22834160000000001</v>
      </c>
      <c r="U6199">
        <v>1.9493100000000001</v>
      </c>
      <c r="V6199">
        <v>-0.28469729999999999</v>
      </c>
      <c r="W6199">
        <v>-2.984326E-2</v>
      </c>
      <c r="X6199">
        <v>0.95815280000000003</v>
      </c>
      <c r="Y6199">
        <v>-0.54920869999999999</v>
      </c>
      <c r="Z6199">
        <v>2.0989239999999999E-2</v>
      </c>
      <c r="AA6199">
        <v>0.83542159999999999</v>
      </c>
      <c r="AB6199">
        <v>35</v>
      </c>
      <c r="AC6199">
        <v>0.55450000000001798</v>
      </c>
      <c r="AD6199">
        <v>-6.8064999999999806E-2</v>
      </c>
      <c r="AE6199">
        <v>0.562109999999997</v>
      </c>
      <c r="AF6199">
        <v>-0.50756937395308699</v>
      </c>
      <c r="AG6199">
        <v>-6.8064999999999806E-2</v>
      </c>
      <c r="AH6199">
        <v>0.59719997662506497</v>
      </c>
      <c r="AI6199">
        <v>94.963373790785298</v>
      </c>
      <c r="AJ6199">
        <v>130.36171776622899</v>
      </c>
      <c r="AK6199">
        <v>0.78670663253916195</v>
      </c>
      <c r="AL6199">
        <v>91.710146790936506</v>
      </c>
      <c r="AM6199">
        <v>106.548338605778</v>
      </c>
      <c r="AN6199">
        <v>0.99999998047127803</v>
      </c>
    </row>
    <row r="6200" spans="1:40" x14ac:dyDescent="0.25">
      <c r="A6200" t="str">
        <f>"20190305135354189"</f>
        <v>20190305135354189</v>
      </c>
      <c r="B6200" t="str">
        <f>"1551765234176338"</f>
        <v>1551765234176338</v>
      </c>
      <c r="C6200" t="s">
        <v>40</v>
      </c>
      <c r="D6200">
        <v>4.4102209999999999</v>
      </c>
      <c r="E6200">
        <v>0.3847351</v>
      </c>
      <c r="F6200" t="s">
        <v>41</v>
      </c>
      <c r="G6200">
        <v>-219.6251</v>
      </c>
      <c r="H6200">
        <v>1.040054</v>
      </c>
      <c r="I6200">
        <v>-61.261409999999998</v>
      </c>
      <c r="J6200">
        <v>-220.21639999999999</v>
      </c>
      <c r="K6200">
        <v>1.114832</v>
      </c>
      <c r="L6200">
        <v>-61.906190000000002</v>
      </c>
      <c r="M6200">
        <v>0.99563230000000003</v>
      </c>
      <c r="N6200">
        <v>-1.4729300000000001E-2</v>
      </c>
      <c r="O6200">
        <v>9.2192529999999995E-2</v>
      </c>
      <c r="P6200">
        <v>0.92406580000000005</v>
      </c>
      <c r="Q6200">
        <v>-4.0205930000000001E-2</v>
      </c>
      <c r="R6200">
        <v>0.38011309999999998</v>
      </c>
      <c r="S6200">
        <v>2.4430390000000002</v>
      </c>
      <c r="T6200">
        <v>-0.21826699999999999</v>
      </c>
      <c r="U6200">
        <v>1.9615480000000001</v>
      </c>
      <c r="V6200">
        <v>-0.29291899999999998</v>
      </c>
      <c r="W6200">
        <v>-3.003231E-2</v>
      </c>
      <c r="X6200">
        <v>0.95566549999999995</v>
      </c>
      <c r="Y6200">
        <v>-0.55003519999999995</v>
      </c>
      <c r="Z6200">
        <v>2.0119379999999999E-2</v>
      </c>
      <c r="AA6200">
        <v>0.83489899999999995</v>
      </c>
      <c r="AB6200">
        <v>35</v>
      </c>
      <c r="AC6200">
        <v>0.59129999999998895</v>
      </c>
      <c r="AD6200">
        <v>-7.4777999999999997E-2</v>
      </c>
      <c r="AE6200">
        <v>0.64478000000000402</v>
      </c>
      <c r="AF6200">
        <v>-0.58325288571529899</v>
      </c>
      <c r="AG6200">
        <v>-7.4777999999999997E-2</v>
      </c>
      <c r="AH6200">
        <v>0.64353001948197297</v>
      </c>
      <c r="AI6200">
        <v>94.920966931091002</v>
      </c>
      <c r="AJ6200">
        <v>132.18707348704899</v>
      </c>
      <c r="AK6200">
        <v>0.87172619781310501</v>
      </c>
      <c r="AL6200">
        <v>91.720983357844304</v>
      </c>
      <c r="AM6200">
        <v>107.040714496337</v>
      </c>
      <c r="AN6200">
        <v>1.00000001404759</v>
      </c>
    </row>
    <row r="6201" spans="1:40" x14ac:dyDescent="0.25">
      <c r="A6201" t="str">
        <f>"20190305135354198"</f>
        <v>20190305135354198</v>
      </c>
      <c r="B6201" t="str">
        <f>"1551765234195858"</f>
        <v>1551765234195858</v>
      </c>
      <c r="C6201" t="s">
        <v>40</v>
      </c>
      <c r="D6201">
        <v>4.4127650000000003</v>
      </c>
      <c r="E6201">
        <v>0.38635419999999998</v>
      </c>
      <c r="F6201" t="s">
        <v>81</v>
      </c>
      <c r="G6201">
        <v>-207.8871</v>
      </c>
      <c r="H6201" s="1">
        <v>-3.4831959999999998E-6</v>
      </c>
      <c r="I6201">
        <v>-51.774970000000003</v>
      </c>
      <c r="J6201">
        <v>-220.05680000000001</v>
      </c>
      <c r="K6201">
        <v>1.114954</v>
      </c>
      <c r="L6201">
        <v>-61.8887</v>
      </c>
      <c r="M6201">
        <v>0.99534279999999997</v>
      </c>
      <c r="N6201">
        <v>-1.474961E-2</v>
      </c>
      <c r="O6201">
        <v>9.5262990000000006E-2</v>
      </c>
      <c r="P6201">
        <v>0.92123440000000001</v>
      </c>
      <c r="Q6201">
        <v>-3.9879049999999999E-2</v>
      </c>
      <c r="R6201">
        <v>0.38695849999999998</v>
      </c>
      <c r="S6201">
        <v>2.4192809999999998</v>
      </c>
      <c r="T6201">
        <v>-0.21875620000000001</v>
      </c>
      <c r="U6201">
        <v>1.987976</v>
      </c>
      <c r="V6201">
        <v>-0.29705100000000001</v>
      </c>
      <c r="W6201">
        <v>-2.9846790000000002E-2</v>
      </c>
      <c r="X6201">
        <v>0.95439499999999999</v>
      </c>
      <c r="Y6201">
        <v>-0.55687310000000001</v>
      </c>
      <c r="Z6201">
        <v>2.036868E-2</v>
      </c>
      <c r="AA6201">
        <v>0.83034779999999997</v>
      </c>
      <c r="AB6201">
        <v>35</v>
      </c>
      <c r="AC6201">
        <v>12.169700000000001</v>
      </c>
      <c r="AD6201">
        <v>-1.1149574831960001</v>
      </c>
      <c r="AE6201">
        <v>10.113729999999901</v>
      </c>
      <c r="AF6201">
        <v>-8.8642666782574793</v>
      </c>
      <c r="AG6201">
        <v>-1.1149574831960001</v>
      </c>
      <c r="AH6201">
        <v>13.013302513983501</v>
      </c>
      <c r="AI6201">
        <v>94.050417018978806</v>
      </c>
      <c r="AJ6201">
        <v>124.26150313590701</v>
      </c>
      <c r="AK6201">
        <v>15.784942073161099</v>
      </c>
      <c r="AL6201">
        <v>91.7103491501002</v>
      </c>
      <c r="AM6201">
        <v>107.288510360488</v>
      </c>
      <c r="AN6201">
        <v>0.99999997174965105</v>
      </c>
    </row>
    <row r="6202" spans="1:40" x14ac:dyDescent="0.25">
      <c r="A6202" t="str">
        <f>"20190305135354211"</f>
        <v>20190305135354211</v>
      </c>
      <c r="B6202" t="str">
        <f>"1551765234206595"</f>
        <v>1551765234206595</v>
      </c>
      <c r="C6202" t="s">
        <v>40</v>
      </c>
      <c r="D6202">
        <v>4.4147290000000003</v>
      </c>
      <c r="E6202">
        <v>0.38706819999999997</v>
      </c>
      <c r="F6202" t="s">
        <v>41</v>
      </c>
      <c r="G6202">
        <v>-219.30869999999999</v>
      </c>
      <c r="H6202">
        <v>1.0501590000000001</v>
      </c>
      <c r="I6202">
        <v>-61.269640000000003</v>
      </c>
      <c r="J6202">
        <v>-219.86789999999999</v>
      </c>
      <c r="K6202">
        <v>1.1150910000000001</v>
      </c>
      <c r="L6202">
        <v>-61.867370000000001</v>
      </c>
      <c r="M6202">
        <v>0.99498180000000003</v>
      </c>
      <c r="N6202">
        <v>-1.477289E-2</v>
      </c>
      <c r="O6202">
        <v>9.8958649999999995E-2</v>
      </c>
      <c r="P6202">
        <v>0.91817939999999998</v>
      </c>
      <c r="Q6202">
        <v>-3.949428E-2</v>
      </c>
      <c r="R6202">
        <v>0.39419130000000002</v>
      </c>
      <c r="S6202">
        <v>2.4098660000000001</v>
      </c>
      <c r="T6202">
        <v>-0.20871719999999999</v>
      </c>
      <c r="U6202">
        <v>1.99411</v>
      </c>
      <c r="V6202">
        <v>-0.30100070000000001</v>
      </c>
      <c r="W6202">
        <v>-2.9613859999999999E-2</v>
      </c>
      <c r="X6202">
        <v>0.95316400000000001</v>
      </c>
      <c r="Y6202">
        <v>-0.55675520000000001</v>
      </c>
      <c r="Z6202">
        <v>1.9521179999999999E-2</v>
      </c>
      <c r="AA6202">
        <v>0.8304473</v>
      </c>
      <c r="AB6202">
        <v>35</v>
      </c>
      <c r="AC6202">
        <v>0.55920000000000403</v>
      </c>
      <c r="AD6202">
        <v>-6.4931999999999906E-2</v>
      </c>
      <c r="AE6202">
        <v>0.59772999999999099</v>
      </c>
      <c r="AF6202">
        <v>-0.53607821105805697</v>
      </c>
      <c r="AG6202">
        <v>-6.4931999999999906E-2</v>
      </c>
      <c r="AH6202">
        <v>0.61176183973519704</v>
      </c>
      <c r="AI6202">
        <v>94.564078169250806</v>
      </c>
      <c r="AJ6202">
        <v>131.227623596233</v>
      </c>
      <c r="AK6202">
        <v>0.81599544211435404</v>
      </c>
      <c r="AL6202">
        <v>91.696997282697296</v>
      </c>
      <c r="AM6202">
        <v>107.525652665558</v>
      </c>
      <c r="AN6202">
        <v>1.0000000065002901</v>
      </c>
    </row>
    <row r="6203" spans="1:40" x14ac:dyDescent="0.25">
      <c r="A6203" t="str">
        <f>"20190305135354222"</f>
        <v>20190305135354222</v>
      </c>
      <c r="B6203" t="str">
        <f>"1551765234216354"</f>
        <v>1551765234216354</v>
      </c>
      <c r="C6203" t="s">
        <v>40</v>
      </c>
      <c r="D6203">
        <v>4.4675209999999996</v>
      </c>
      <c r="E6203">
        <v>0.38788210000000001</v>
      </c>
      <c r="F6203" t="s">
        <v>81</v>
      </c>
      <c r="G6203">
        <v>-206.8947</v>
      </c>
      <c r="H6203" s="1">
        <v>-4.1981240000000003E-6</v>
      </c>
      <c r="I6203">
        <v>-50.99879</v>
      </c>
      <c r="J6203">
        <v>-219.6961</v>
      </c>
      <c r="K6203">
        <v>1.1152150000000001</v>
      </c>
      <c r="L6203">
        <v>-61.847349999999999</v>
      </c>
      <c r="M6203">
        <v>0.99463579999999996</v>
      </c>
      <c r="N6203">
        <v>-1.479336E-2</v>
      </c>
      <c r="O6203">
        <v>0.10237590000000001</v>
      </c>
      <c r="P6203">
        <v>0.91523140000000003</v>
      </c>
      <c r="Q6203">
        <v>-3.9424349999999997E-2</v>
      </c>
      <c r="R6203">
        <v>0.4009955</v>
      </c>
      <c r="S6203">
        <v>2.3965000000000001</v>
      </c>
      <c r="T6203">
        <v>-0.20598820000000001</v>
      </c>
      <c r="U6203">
        <v>2.0077210000000001</v>
      </c>
      <c r="V6203">
        <v>-0.30478870000000002</v>
      </c>
      <c r="W6203">
        <v>-2.968695E-2</v>
      </c>
      <c r="X6203">
        <v>0.95195719999999995</v>
      </c>
      <c r="Y6203">
        <v>-0.55897619999999903</v>
      </c>
      <c r="Z6203">
        <v>1.9293080000000001E-2</v>
      </c>
      <c r="AA6203">
        <v>0.82895919999999901</v>
      </c>
      <c r="AB6203">
        <v>35</v>
      </c>
      <c r="AC6203">
        <v>12.801399999999999</v>
      </c>
      <c r="AD6203">
        <v>-1.1152191981240001</v>
      </c>
      <c r="AE6203">
        <v>10.848560000000001</v>
      </c>
      <c r="AF6203">
        <v>-9.4391547527440203</v>
      </c>
      <c r="AG6203">
        <v>-1.1152191981240001</v>
      </c>
      <c r="AH6203">
        <v>13.783991084341499</v>
      </c>
      <c r="AI6203">
        <v>93.8191099403506</v>
      </c>
      <c r="AJ6203">
        <v>124.40299700852999</v>
      </c>
      <c r="AK6203">
        <v>16.743349919276</v>
      </c>
      <c r="AL6203">
        <v>91.701186903625299</v>
      </c>
      <c r="AM6203">
        <v>107.753537463725</v>
      </c>
      <c r="AN6203">
        <v>0.99999998863991602</v>
      </c>
    </row>
    <row r="6204" spans="1:40" x14ac:dyDescent="0.25">
      <c r="A6204" t="str">
        <f>"20190305135354233"</f>
        <v>20190305135354233</v>
      </c>
      <c r="B6204" t="str">
        <f>"1551765234226114"</f>
        <v>1551765234226114</v>
      </c>
      <c r="C6204" t="s">
        <v>40</v>
      </c>
      <c r="D6204">
        <v>4.4643889999999997</v>
      </c>
      <c r="E6204">
        <v>0.38858100000000001</v>
      </c>
      <c r="F6204" t="s">
        <v>41</v>
      </c>
      <c r="G6204">
        <v>-218.99870000000001</v>
      </c>
      <c r="H6204">
        <v>1.0554269999999999</v>
      </c>
      <c r="I6204">
        <v>-61.256819999999998</v>
      </c>
      <c r="J6204">
        <v>-219.52529999999999</v>
      </c>
      <c r="K6204">
        <v>1.1153329999999999</v>
      </c>
      <c r="L6204">
        <v>-61.826599999999999</v>
      </c>
      <c r="M6204">
        <v>0.99427069999999995</v>
      </c>
      <c r="N6204">
        <v>-1.4813160000000001E-2</v>
      </c>
      <c r="O6204">
        <v>0.1058611</v>
      </c>
      <c r="P6204">
        <v>0.91224039999999995</v>
      </c>
      <c r="Q6204">
        <v>-3.9272250000000002E-2</v>
      </c>
      <c r="R6204">
        <v>0.40776859999999998</v>
      </c>
      <c r="S6204">
        <v>2.3842319999999999</v>
      </c>
      <c r="T6204">
        <v>-0.20441709999999999</v>
      </c>
      <c r="U6204">
        <v>2.0194399999999999</v>
      </c>
      <c r="V6204">
        <v>-0.30849729999999997</v>
      </c>
      <c r="W6204">
        <v>-2.9676629999999999E-2</v>
      </c>
      <c r="X6204">
        <v>0.9507622</v>
      </c>
      <c r="Y6204">
        <v>-0.56055909999999998</v>
      </c>
      <c r="Z6204">
        <v>1.9105819999999999E-2</v>
      </c>
      <c r="AA6204">
        <v>0.82789400000000002</v>
      </c>
      <c r="AB6204">
        <v>35</v>
      </c>
      <c r="AC6204">
        <v>0.52659999999997298</v>
      </c>
      <c r="AD6204">
        <v>-5.9905999999999703E-2</v>
      </c>
      <c r="AE6204">
        <v>0.56978000000000095</v>
      </c>
      <c r="AF6204">
        <v>-0.50779772047002003</v>
      </c>
      <c r="AG6204">
        <v>-5.9905999999999703E-2</v>
      </c>
      <c r="AH6204">
        <v>0.58050366486170701</v>
      </c>
      <c r="AI6204">
        <v>94.441407941715497</v>
      </c>
      <c r="AJ6204">
        <v>131.17793112068199</v>
      </c>
      <c r="AK6204">
        <v>0.77358371148080796</v>
      </c>
      <c r="AL6204">
        <v>91.700595290873693</v>
      </c>
      <c r="AM6204">
        <v>107.97688185761</v>
      </c>
      <c r="AN6204">
        <v>1.00000002371214</v>
      </c>
    </row>
    <row r="6205" spans="1:40" x14ac:dyDescent="0.25">
      <c r="A6205" t="str">
        <f>"20190305135354244"</f>
        <v>20190305135354244</v>
      </c>
      <c r="B6205" t="str">
        <f>"1551765234235874"</f>
        <v>1551765234235874</v>
      </c>
      <c r="C6205" t="s">
        <v>40</v>
      </c>
      <c r="D6205">
        <v>4.445252</v>
      </c>
      <c r="E6205">
        <v>0.38932109999999998</v>
      </c>
      <c r="F6205" t="s">
        <v>41</v>
      </c>
      <c r="G6205">
        <v>-218.72329999999999</v>
      </c>
      <c r="H6205">
        <v>1.047952</v>
      </c>
      <c r="I6205">
        <v>-61.139429999999997</v>
      </c>
      <c r="J6205">
        <v>-219.3612</v>
      </c>
      <c r="K6205">
        <v>1.115448</v>
      </c>
      <c r="L6205">
        <v>-61.806399999999996</v>
      </c>
      <c r="M6205">
        <v>0.9939055</v>
      </c>
      <c r="N6205">
        <v>-1.483136E-2</v>
      </c>
      <c r="O6205">
        <v>0.1092331</v>
      </c>
      <c r="P6205">
        <v>0.90930909999999998</v>
      </c>
      <c r="Q6205">
        <v>-3.9179779999999997E-2</v>
      </c>
      <c r="R6205">
        <v>0.41427310000000001</v>
      </c>
      <c r="S6205">
        <v>2.3717190000000001</v>
      </c>
      <c r="T6205">
        <v>-0.1992651</v>
      </c>
      <c r="U6205">
        <v>2.0321039999999999</v>
      </c>
      <c r="V6205">
        <v>-0.31205040000000001</v>
      </c>
      <c r="W6205">
        <v>-2.9722559999999999E-2</v>
      </c>
      <c r="X6205">
        <v>0.94960049999999996</v>
      </c>
      <c r="Y6205">
        <v>-0.56250900000000004</v>
      </c>
      <c r="Z6205">
        <v>1.8717810000000001E-2</v>
      </c>
      <c r="AA6205">
        <v>0.82657930000000002</v>
      </c>
      <c r="AB6205">
        <v>35</v>
      </c>
      <c r="AC6205">
        <v>0.63790000000000102</v>
      </c>
      <c r="AD6205">
        <v>-6.7496E-2</v>
      </c>
      <c r="AE6205">
        <v>0.66696999999999196</v>
      </c>
      <c r="AF6205">
        <v>-0.59013425579020196</v>
      </c>
      <c r="AG6205">
        <v>-6.7496E-2</v>
      </c>
      <c r="AH6205">
        <v>0.70318426639504295</v>
      </c>
      <c r="AI6205">
        <v>94.2051023441757</v>
      </c>
      <c r="AJ6205">
        <v>130.00442722051901</v>
      </c>
      <c r="AK6205">
        <v>0.92047936553656096</v>
      </c>
      <c r="AL6205">
        <v>91.703228094300101</v>
      </c>
      <c r="AM6205">
        <v>108.19115901516901</v>
      </c>
      <c r="AN6205">
        <v>0.999999996156681</v>
      </c>
    </row>
    <row r="6206" spans="1:40" x14ac:dyDescent="0.25">
      <c r="A6206" t="str">
        <f>"20190305135354255"</f>
        <v>20190305135354255</v>
      </c>
      <c r="B6206" t="str">
        <f>"1551765234246610"</f>
        <v>1551765234246610</v>
      </c>
      <c r="C6206" t="s">
        <v>40</v>
      </c>
      <c r="D6206">
        <v>4.4310169999999998</v>
      </c>
      <c r="E6206">
        <v>0.38996760000000003</v>
      </c>
      <c r="F6206" t="s">
        <v>41</v>
      </c>
      <c r="G6206">
        <v>-218.69370000000001</v>
      </c>
      <c r="H6206">
        <v>1.0601769999999999</v>
      </c>
      <c r="I6206">
        <v>-61.228259999999999</v>
      </c>
      <c r="J6206">
        <v>-219.1969</v>
      </c>
      <c r="K6206">
        <v>1.1155550000000001</v>
      </c>
      <c r="L6206">
        <v>-61.7851</v>
      </c>
      <c r="M6206">
        <v>0.99351639999999997</v>
      </c>
      <c r="N6206">
        <v>-1.484952E-2</v>
      </c>
      <c r="O6206">
        <v>0.1127158</v>
      </c>
      <c r="P6206">
        <v>0.90645560000000003</v>
      </c>
      <c r="Q6206">
        <v>-3.9559459999999998E-2</v>
      </c>
      <c r="R6206">
        <v>0.42044429999999999</v>
      </c>
      <c r="S6206">
        <v>2.3597109999999999</v>
      </c>
      <c r="T6206">
        <v>-0.1953887</v>
      </c>
      <c r="U6206">
        <v>2.043701</v>
      </c>
      <c r="V6206">
        <v>-0.31516100000000002</v>
      </c>
      <c r="W6206">
        <v>-3.0233070000000001E-2</v>
      </c>
      <c r="X6206">
        <v>0.94855650000000002</v>
      </c>
      <c r="Y6206">
        <v>-0.5640522</v>
      </c>
      <c r="Z6206">
        <v>1.8390589999999998E-2</v>
      </c>
      <c r="AA6206">
        <v>0.82553430000000005</v>
      </c>
      <c r="AB6206">
        <v>35</v>
      </c>
      <c r="AC6206">
        <v>0.50319999999999199</v>
      </c>
      <c r="AD6206">
        <v>-5.5377999999999698E-2</v>
      </c>
      <c r="AE6206">
        <v>0.556840000000001</v>
      </c>
      <c r="AF6206">
        <v>-0.49387692444164499</v>
      </c>
      <c r="AG6206">
        <v>-5.5377999999999698E-2</v>
      </c>
      <c r="AH6206">
        <v>0.55971679581199396</v>
      </c>
      <c r="AI6206">
        <v>94.242877827390103</v>
      </c>
      <c r="AJ6206">
        <v>131.424193029229</v>
      </c>
      <c r="AK6206">
        <v>0.74850786962728999</v>
      </c>
      <c r="AL6206">
        <v>91.732491370677806</v>
      </c>
      <c r="AM6206">
        <v>108.37923608450301</v>
      </c>
      <c r="AN6206">
        <v>0.99999996406743596</v>
      </c>
    </row>
    <row r="6207" spans="1:40" x14ac:dyDescent="0.25">
      <c r="A6207" t="str">
        <f>"20190305135354267"</f>
        <v>20190305135354267</v>
      </c>
      <c r="B6207" t="str">
        <f>"1551765234256370"</f>
        <v>1551765234256370</v>
      </c>
      <c r="C6207" t="s">
        <v>40</v>
      </c>
      <c r="D6207">
        <v>4.4375549999999997</v>
      </c>
      <c r="E6207">
        <v>0.38996760000000003</v>
      </c>
      <c r="F6207" t="s">
        <v>41</v>
      </c>
      <c r="G6207">
        <v>-218.42070000000001</v>
      </c>
      <c r="H6207">
        <v>1.0515600000000001</v>
      </c>
      <c r="I6207">
        <v>-61.1057699999999</v>
      </c>
      <c r="J6207">
        <v>-219.03450000000001</v>
      </c>
      <c r="K6207">
        <v>1.115659</v>
      </c>
      <c r="L6207">
        <v>-61.763890000000004</v>
      </c>
      <c r="M6207">
        <v>0.99311769999999999</v>
      </c>
      <c r="N6207">
        <v>-1.486669E-2</v>
      </c>
      <c r="O6207">
        <v>0.1161741</v>
      </c>
      <c r="P6207">
        <v>0.90364460000000002</v>
      </c>
      <c r="Q6207">
        <v>-3.9832329999999999E-2</v>
      </c>
      <c r="R6207">
        <v>0.42642720000000001</v>
      </c>
      <c r="S6207">
        <v>2.3479459999999999</v>
      </c>
      <c r="T6207">
        <v>-0.19356809999999999</v>
      </c>
      <c r="U6207">
        <v>2.0550540000000002</v>
      </c>
      <c r="V6207">
        <v>-0.31811499999999998</v>
      </c>
      <c r="W6207">
        <v>-3.063519E-2</v>
      </c>
      <c r="X6207">
        <v>0.94755699999999998</v>
      </c>
      <c r="Y6207">
        <v>-0.5655036</v>
      </c>
      <c r="Z6207">
        <v>1.8191220000000001E-2</v>
      </c>
      <c r="AA6207">
        <v>0.82454519999999998</v>
      </c>
      <c r="AB6207">
        <v>35</v>
      </c>
      <c r="AC6207">
        <v>0.61379999999999701</v>
      </c>
      <c r="AD6207">
        <v>-6.4098999999999906E-2</v>
      </c>
      <c r="AE6207">
        <v>0.65812000000001003</v>
      </c>
      <c r="AF6207">
        <v>-0.57940777824622602</v>
      </c>
      <c r="AG6207">
        <v>-6.4098999999999906E-2</v>
      </c>
      <c r="AH6207">
        <v>0.68264467333939505</v>
      </c>
      <c r="AI6207">
        <v>94.094709073899196</v>
      </c>
      <c r="AJ6207">
        <v>130.32357165434499</v>
      </c>
      <c r="AK6207">
        <v>0.89767800760176697</v>
      </c>
      <c r="AL6207">
        <v>91.755541820873205</v>
      </c>
      <c r="AM6207">
        <v>108.557995164378</v>
      </c>
      <c r="AN6207">
        <v>0.99999996817016701</v>
      </c>
    </row>
    <row r="6208" spans="1:40" x14ac:dyDescent="0.25">
      <c r="A6208" t="str">
        <f>"20190305135354277"</f>
        <v>20190305135354277</v>
      </c>
      <c r="B6208" t="str">
        <f>"1551765234266130"</f>
        <v>1551765234266130</v>
      </c>
      <c r="C6208" t="s">
        <v>40</v>
      </c>
      <c r="D6208">
        <v>4.6248630000000004</v>
      </c>
      <c r="E6208">
        <v>0.4052037</v>
      </c>
      <c r="F6208" t="s">
        <v>81</v>
      </c>
      <c r="G6208">
        <v>-206.2046</v>
      </c>
      <c r="H6208">
        <v>4.4891359999999998E-2</v>
      </c>
      <c r="I6208">
        <v>-50.383670000000002</v>
      </c>
      <c r="J6208">
        <v>-218.85489999999999</v>
      </c>
      <c r="K6208">
        <v>1.1157760000000001</v>
      </c>
      <c r="L6208">
        <v>-61.739199999999997</v>
      </c>
      <c r="M6208">
        <v>0.9926488</v>
      </c>
      <c r="N6208">
        <v>-1.488599E-2</v>
      </c>
      <c r="O6208">
        <v>0.1201122</v>
      </c>
      <c r="P6208">
        <v>0.90061440000000004</v>
      </c>
      <c r="Q6208">
        <v>-4.0292599999999998E-2</v>
      </c>
      <c r="R6208">
        <v>0.4327474</v>
      </c>
      <c r="S6208">
        <v>2.334244</v>
      </c>
      <c r="T6208">
        <v>-0.1948135</v>
      </c>
      <c r="U6208">
        <v>2.0704959999999999</v>
      </c>
      <c r="V6208">
        <v>-0.32097769999999998</v>
      </c>
      <c r="W6208">
        <v>-3.123099E-2</v>
      </c>
      <c r="X6208">
        <v>0.94657170000000002</v>
      </c>
      <c r="Y6208">
        <v>-0.56767129999999999</v>
      </c>
      <c r="Z6208">
        <v>1.818846E-2</v>
      </c>
      <c r="AA6208">
        <v>0.82305439999999996</v>
      </c>
      <c r="AB6208">
        <v>35</v>
      </c>
      <c r="AC6208">
        <v>12.6502999999999</v>
      </c>
      <c r="AD6208">
        <v>-1.0708846400000001</v>
      </c>
      <c r="AE6208">
        <v>11.3555299999999</v>
      </c>
      <c r="AF6208">
        <v>-9.71512381518518</v>
      </c>
      <c r="AG6208">
        <v>-1.0708846400000001</v>
      </c>
      <c r="AH6208">
        <v>13.867750869670299</v>
      </c>
      <c r="AI6208">
        <v>93.618885326815899</v>
      </c>
      <c r="AJ6208">
        <v>125.01336079821699</v>
      </c>
      <c r="AK6208">
        <v>16.965993600134599</v>
      </c>
      <c r="AL6208">
        <v>91.789694897178506</v>
      </c>
      <c r="AM6208">
        <v>108.731539112788</v>
      </c>
      <c r="AN6208">
        <v>1.0000000209372799</v>
      </c>
    </row>
    <row r="6209" spans="1:40" x14ac:dyDescent="0.25">
      <c r="A6209" t="str">
        <f>"20190305135354289"</f>
        <v>20190305135354289</v>
      </c>
      <c r="B6209" t="str">
        <f>"1551765234286625"</f>
        <v>1551765234286625</v>
      </c>
      <c r="C6209" t="s">
        <v>40</v>
      </c>
      <c r="D6209">
        <v>4.5934889999999999</v>
      </c>
      <c r="E6209">
        <v>0.4258884</v>
      </c>
      <c r="F6209" t="s">
        <v>41</v>
      </c>
      <c r="G6209">
        <v>-218.1037</v>
      </c>
      <c r="H6209">
        <v>1.070136</v>
      </c>
      <c r="I6209">
        <v>-61.113039999999998</v>
      </c>
      <c r="J6209">
        <v>-218.68950000000001</v>
      </c>
      <c r="K6209">
        <v>1.115877</v>
      </c>
      <c r="L6209">
        <v>-61.716090000000001</v>
      </c>
      <c r="M6209">
        <v>0.99219900000000005</v>
      </c>
      <c r="N6209">
        <v>-1.490321E-2</v>
      </c>
      <c r="O6209">
        <v>0.1237703</v>
      </c>
      <c r="P6209">
        <v>0.89782989999999996</v>
      </c>
      <c r="Q6209">
        <v>-4.0750969999999997E-2</v>
      </c>
      <c r="R6209">
        <v>0.43845289999999998</v>
      </c>
      <c r="S6209">
        <v>2.3737029999999999</v>
      </c>
      <c r="T6209">
        <v>-0.14422989999999999</v>
      </c>
      <c r="U6209">
        <v>1.9789730000000001</v>
      </c>
      <c r="V6209">
        <v>-0.3234784</v>
      </c>
      <c r="W6209">
        <v>-3.1812319999999998E-2</v>
      </c>
      <c r="X6209">
        <v>0.9457006</v>
      </c>
      <c r="Y6209">
        <v>-0.53963430000000001</v>
      </c>
      <c r="Z6209">
        <v>1.397027E-2</v>
      </c>
      <c r="AA6209">
        <v>0.84178359999999997</v>
      </c>
      <c r="AB6209">
        <v>35</v>
      </c>
      <c r="AC6209">
        <v>0.58580000000000598</v>
      </c>
      <c r="AD6209">
        <v>-4.5740999999999997E-2</v>
      </c>
      <c r="AE6209">
        <v>0.60304999999999598</v>
      </c>
      <c r="AF6209">
        <v>-0.52434727593513697</v>
      </c>
      <c r="AG6209">
        <v>-4.5740999999999997E-2</v>
      </c>
      <c r="AH6209">
        <v>0.65400680788281096</v>
      </c>
      <c r="AI6209">
        <v>93.123371494706802</v>
      </c>
      <c r="AJ6209">
        <v>128.72075183189301</v>
      </c>
      <c r="AK6209">
        <v>0.83949818916937702</v>
      </c>
      <c r="AL6209">
        <v>91.823019319988205</v>
      </c>
      <c r="AM6209">
        <v>108.883334615107</v>
      </c>
      <c r="AN6209">
        <v>0.99999996190535001</v>
      </c>
    </row>
    <row r="6210" spans="1:40" x14ac:dyDescent="0.25">
      <c r="A6210" t="str">
        <f>"20190305135354301"</f>
        <v>20190305135354301</v>
      </c>
      <c r="B6210" t="str">
        <f>"1551765234296386"</f>
        <v>1551765234296386</v>
      </c>
      <c r="C6210" t="s">
        <v>40</v>
      </c>
      <c r="D6210">
        <v>4.5331449999999904</v>
      </c>
      <c r="E6210">
        <v>0.43270690000000001</v>
      </c>
      <c r="F6210" t="s">
        <v>41</v>
      </c>
      <c r="G6210">
        <v>-217.81129999999999</v>
      </c>
      <c r="H6210">
        <v>1.0480309999999999</v>
      </c>
      <c r="I6210">
        <v>-61.050269999999998</v>
      </c>
      <c r="J6210">
        <v>-218.49639999999999</v>
      </c>
      <c r="K6210">
        <v>1.1159939999999999</v>
      </c>
      <c r="L6210">
        <v>-61.6881699999999</v>
      </c>
      <c r="M6210">
        <v>0.99164589999999997</v>
      </c>
      <c r="N6210">
        <v>-1.4923229999999999E-2</v>
      </c>
      <c r="O6210">
        <v>0.1281235</v>
      </c>
      <c r="P6210">
        <v>0.89494719999999905</v>
      </c>
      <c r="Q6210">
        <v>-4.1040849999999997E-2</v>
      </c>
      <c r="R6210">
        <v>0.44428060000000003</v>
      </c>
      <c r="S6210">
        <v>2.43222</v>
      </c>
      <c r="T6210">
        <v>-0.1879132</v>
      </c>
      <c r="U6210">
        <v>1.8442689999999999</v>
      </c>
      <c r="V6210">
        <v>-0.32546199999999997</v>
      </c>
      <c r="W6210">
        <v>-3.2224790000000003E-2</v>
      </c>
      <c r="X6210">
        <v>0.94500580000000001</v>
      </c>
      <c r="Y6210">
        <v>-0.49609799999999998</v>
      </c>
      <c r="Z6210">
        <v>1.416604E-2</v>
      </c>
      <c r="AA6210">
        <v>0.86815100000000001</v>
      </c>
      <c r="AB6210">
        <v>34</v>
      </c>
      <c r="AC6210">
        <v>0.68510000000000504</v>
      </c>
      <c r="AD6210">
        <v>-6.7963000000000204E-2</v>
      </c>
      <c r="AE6210">
        <v>0.63789999999999403</v>
      </c>
      <c r="AF6210">
        <v>-0.54199727077580195</v>
      </c>
      <c r="AG6210">
        <v>-6.7963000000000204E-2</v>
      </c>
      <c r="AH6210">
        <v>0.75720008662419902</v>
      </c>
      <c r="AI6210">
        <v>94.174341324910898</v>
      </c>
      <c r="AJ6210">
        <v>125.59475951098401</v>
      </c>
      <c r="AK6210">
        <v>0.93366588353710001</v>
      </c>
      <c r="AL6210">
        <v>91.846664244965297</v>
      </c>
      <c r="AM6210">
        <v>109.003816299408</v>
      </c>
      <c r="AN6210">
        <v>0.999999956284091</v>
      </c>
    </row>
    <row r="6211" spans="1:40" x14ac:dyDescent="0.25">
      <c r="A6211" t="str">
        <f>"20190305135354312"</f>
        <v>20190305135354312</v>
      </c>
      <c r="B6211" t="str">
        <f>"1551765234306146"</f>
        <v>1551765234306146</v>
      </c>
      <c r="C6211" t="s">
        <v>40</v>
      </c>
      <c r="D6211">
        <v>4.5152029999999996</v>
      </c>
      <c r="E6211">
        <v>0.43707000000000001</v>
      </c>
      <c r="F6211" t="s">
        <v>41</v>
      </c>
      <c r="G6211">
        <v>-217.7747</v>
      </c>
      <c r="H6211">
        <v>1.0574049999999999</v>
      </c>
      <c r="I6211">
        <v>-61.153500000000001</v>
      </c>
      <c r="J6211">
        <v>-218.33760000000001</v>
      </c>
      <c r="K6211">
        <v>1.1160870000000001</v>
      </c>
      <c r="L6211">
        <v>-61.664369999999998</v>
      </c>
      <c r="M6211">
        <v>0.9911681</v>
      </c>
      <c r="N6211">
        <v>-1.493938E-2</v>
      </c>
      <c r="O6211">
        <v>0.13176740000000001</v>
      </c>
      <c r="P6211">
        <v>0.89255890000000004</v>
      </c>
      <c r="Q6211">
        <v>-4.1193779999999999E-2</v>
      </c>
      <c r="R6211">
        <v>0.44904549999999999</v>
      </c>
      <c r="S6211">
        <v>2.4440309999999998</v>
      </c>
      <c r="T6211">
        <v>-0.19842119999999999</v>
      </c>
      <c r="U6211">
        <v>1.8109440000000001</v>
      </c>
      <c r="V6211">
        <v>-0.32701580000000002</v>
      </c>
      <c r="W6211">
        <v>-3.2475990000000003E-2</v>
      </c>
      <c r="X6211">
        <v>0.94446070000000004</v>
      </c>
      <c r="Y6211">
        <v>-0.4831799</v>
      </c>
      <c r="Z6211">
        <v>1.384529E-2</v>
      </c>
      <c r="AA6211">
        <v>0.87541159999999996</v>
      </c>
      <c r="AB6211">
        <v>34</v>
      </c>
      <c r="AC6211">
        <v>0.56290000000001295</v>
      </c>
      <c r="AD6211">
        <v>-5.8682000000000102E-2</v>
      </c>
      <c r="AE6211">
        <v>0.51086999999999705</v>
      </c>
      <c r="AF6211">
        <v>-0.42967383091881201</v>
      </c>
      <c r="AG6211">
        <v>-5.8682000000000102E-2</v>
      </c>
      <c r="AH6211">
        <v>0.62160991831143397</v>
      </c>
      <c r="AI6211">
        <v>94.440498311722806</v>
      </c>
      <c r="AJ6211">
        <v>124.65329200078401</v>
      </c>
      <c r="AK6211">
        <v>0.75793275997518195</v>
      </c>
      <c r="AL6211">
        <v>91.861064366653494</v>
      </c>
      <c r="AM6211">
        <v>109.098210198396</v>
      </c>
      <c r="AN6211">
        <v>1.0000000186103</v>
      </c>
    </row>
    <row r="6212" spans="1:40" x14ac:dyDescent="0.25">
      <c r="A6212" t="str">
        <f>"20190305135354323"</f>
        <v>20190305135354323</v>
      </c>
      <c r="B6212" t="str">
        <f>"1551765234315906"</f>
        <v>1551765234315906</v>
      </c>
      <c r="C6212" t="s">
        <v>40</v>
      </c>
      <c r="D6212">
        <v>4.5211579999999998</v>
      </c>
      <c r="E6212">
        <v>0.44021130000000003</v>
      </c>
      <c r="F6212" t="s">
        <v>41</v>
      </c>
      <c r="G6212">
        <v>-217.49680000000001</v>
      </c>
      <c r="H6212">
        <v>1.0457299999999901</v>
      </c>
      <c r="I6212">
        <v>-61.049050000000001</v>
      </c>
      <c r="J6212">
        <v>-218.16659999999999</v>
      </c>
      <c r="K6212">
        <v>1.1161840000000001</v>
      </c>
      <c r="L6212">
        <v>-61.638309999999997</v>
      </c>
      <c r="M6212">
        <v>0.9906334</v>
      </c>
      <c r="N6212">
        <v>-1.495616E-2</v>
      </c>
      <c r="O6212">
        <v>0.1357274</v>
      </c>
      <c r="P6212">
        <v>0.89008259999999995</v>
      </c>
      <c r="Q6212">
        <v>-4.0988990000000003E-2</v>
      </c>
      <c r="R6212">
        <v>0.45395279999999999</v>
      </c>
      <c r="S6212">
        <v>2.449738</v>
      </c>
      <c r="T6212">
        <v>-0.2049918</v>
      </c>
      <c r="U6212">
        <v>1.7927249999999999</v>
      </c>
      <c r="V6212">
        <v>-0.3284338</v>
      </c>
      <c r="W6212">
        <v>-3.2371490000000003E-2</v>
      </c>
      <c r="X6212">
        <v>0.94397209999999998</v>
      </c>
      <c r="Y6212">
        <v>-0.47442669999999998</v>
      </c>
      <c r="Z6212">
        <v>1.348209E-2</v>
      </c>
      <c r="AA6212">
        <v>0.88019179999999997</v>
      </c>
      <c r="AB6212">
        <v>34</v>
      </c>
      <c r="AC6212">
        <v>0.66979999999997997</v>
      </c>
      <c r="AD6212">
        <v>-7.0454000000000197E-2</v>
      </c>
      <c r="AE6212">
        <v>0.58925999999999501</v>
      </c>
      <c r="AF6212">
        <v>-0.48983045053003299</v>
      </c>
      <c r="AG6212">
        <v>-7.0454000000000197E-2</v>
      </c>
      <c r="AH6212">
        <v>0.73897909008120999</v>
      </c>
      <c r="AI6212">
        <v>94.543585356097594</v>
      </c>
      <c r="AJ6212">
        <v>123.538308567672</v>
      </c>
      <c r="AK6212">
        <v>0.889374910799551</v>
      </c>
      <c r="AL6212">
        <v>91.855073842645794</v>
      </c>
      <c r="AM6212">
        <v>109.184188435008</v>
      </c>
      <c r="AN6212">
        <v>0.99999999996283495</v>
      </c>
    </row>
    <row r="6213" spans="1:40" x14ac:dyDescent="0.25">
      <c r="A6213" t="str">
        <f>"20190305135354335"</f>
        <v>20190305135354335</v>
      </c>
      <c r="B6213" t="str">
        <f>"1551765234326644"</f>
        <v>1551765234326644</v>
      </c>
      <c r="C6213" t="s">
        <v>40</v>
      </c>
      <c r="D6213">
        <v>4.532197</v>
      </c>
      <c r="E6213">
        <v>0.44257770000000002</v>
      </c>
      <c r="F6213" t="s">
        <v>41</v>
      </c>
      <c r="G6213">
        <v>-217.42490000000001</v>
      </c>
      <c r="H6213">
        <v>1.0534190000000001</v>
      </c>
      <c r="I6213">
        <v>-61.098519999999901</v>
      </c>
      <c r="J6213">
        <v>-217.9881</v>
      </c>
      <c r="K6213">
        <v>1.116282</v>
      </c>
      <c r="L6213">
        <v>-61.609949999999998</v>
      </c>
      <c r="M6213">
        <v>0.99004479999999995</v>
      </c>
      <c r="N6213">
        <v>-1.4973520000000001E-2</v>
      </c>
      <c r="O6213">
        <v>0.1399541</v>
      </c>
      <c r="P6213">
        <v>0.88760749999999999</v>
      </c>
      <c r="Q6213">
        <v>-4.0976480000000003E-2</v>
      </c>
      <c r="R6213">
        <v>0.45877430000000002</v>
      </c>
      <c r="S6213">
        <v>2.4511720000000001</v>
      </c>
      <c r="T6213">
        <v>-0.2074184</v>
      </c>
      <c r="U6213">
        <v>1.783722</v>
      </c>
      <c r="V6213">
        <v>-0.32951609999999998</v>
      </c>
      <c r="W6213">
        <v>-3.245352E-2</v>
      </c>
      <c r="X6213">
        <v>0.94359199999999999</v>
      </c>
      <c r="Y6213">
        <v>-0.46830579999999999</v>
      </c>
      <c r="Z6213">
        <v>1.3048010000000001E-2</v>
      </c>
      <c r="AA6213">
        <v>0.88347009999999904</v>
      </c>
      <c r="AB6213">
        <v>34</v>
      </c>
      <c r="AC6213">
        <v>0.56319999999999404</v>
      </c>
      <c r="AD6213">
        <v>-6.2862999999999794E-2</v>
      </c>
      <c r="AE6213">
        <v>0.51143000000000405</v>
      </c>
      <c r="AF6213">
        <v>-0.42466475911342699</v>
      </c>
      <c r="AG6213">
        <v>-6.2862999999999794E-2</v>
      </c>
      <c r="AH6213">
        <v>0.62497314436326501</v>
      </c>
      <c r="AI6213">
        <v>94.755834010741793</v>
      </c>
      <c r="AJ6213">
        <v>124.19582617399401</v>
      </c>
      <c r="AK6213">
        <v>0.75821062085489899</v>
      </c>
      <c r="AL6213">
        <v>91.859776329322102</v>
      </c>
      <c r="AM6213">
        <v>109.249947071374</v>
      </c>
      <c r="AN6213">
        <v>0.99999997679179997</v>
      </c>
    </row>
    <row r="6214" spans="1:40" x14ac:dyDescent="0.25">
      <c r="A6214" t="str">
        <f>"20190305135354348"</f>
        <v>20190305135354348</v>
      </c>
      <c r="B6214" t="str">
        <f>"1551765234336402"</f>
        <v>1551765234336402</v>
      </c>
      <c r="C6214" t="s">
        <v>40</v>
      </c>
      <c r="D6214">
        <v>4.4951429999999997</v>
      </c>
      <c r="E6214">
        <v>0.44464870000000001</v>
      </c>
      <c r="F6214" t="s">
        <v>41</v>
      </c>
      <c r="G6214">
        <v>-217.18860000000001</v>
      </c>
      <c r="H6214">
        <v>1.047971</v>
      </c>
      <c r="I6214">
        <v>-61.02901</v>
      </c>
      <c r="J6214">
        <v>-217.80369999999999</v>
      </c>
      <c r="K6214">
        <v>1.116377</v>
      </c>
      <c r="L6214">
        <v>-61.58014</v>
      </c>
      <c r="M6214">
        <v>0.98941159999999995</v>
      </c>
      <c r="N6214">
        <v>-1.4990760000000001E-2</v>
      </c>
      <c r="O6214">
        <v>0.14436019999999999</v>
      </c>
      <c r="P6214">
        <v>0.88533909999999905</v>
      </c>
      <c r="Q6214">
        <v>-4.1601560000000003E-2</v>
      </c>
      <c r="R6214">
        <v>0.46308080000000001</v>
      </c>
      <c r="S6214">
        <v>2.450043</v>
      </c>
      <c r="T6214">
        <v>-0.20931240000000001</v>
      </c>
      <c r="U6214">
        <v>1.7803040000000001</v>
      </c>
      <c r="V6214">
        <v>-0.3298837</v>
      </c>
      <c r="W6214">
        <v>-3.3160149999999999E-2</v>
      </c>
      <c r="X6214">
        <v>0.94343900000000003</v>
      </c>
      <c r="Y6214">
        <v>-0.4637578</v>
      </c>
      <c r="Z6214">
        <v>1.2649530000000001E-2</v>
      </c>
      <c r="AA6214">
        <v>0.88587169999999904</v>
      </c>
      <c r="AB6214">
        <v>34</v>
      </c>
      <c r="AC6214">
        <v>0.61509999999998399</v>
      </c>
      <c r="AD6214">
        <v>-6.8405999999999897E-2</v>
      </c>
      <c r="AE6214">
        <v>0.55113000000000001</v>
      </c>
      <c r="AF6214">
        <v>-0.453439036187964</v>
      </c>
      <c r="AG6214">
        <v>-6.8405999999999897E-2</v>
      </c>
      <c r="AH6214">
        <v>0.68353639157069601</v>
      </c>
      <c r="AI6214">
        <v>94.767170710348296</v>
      </c>
      <c r="AJ6214">
        <v>123.559189204117</v>
      </c>
      <c r="AK6214">
        <v>0.82310894720963701</v>
      </c>
      <c r="AL6214">
        <v>91.900285011167895</v>
      </c>
      <c r="AM6214">
        <v>109.272734089984</v>
      </c>
      <c r="AN6214">
        <v>0.99999999889735602</v>
      </c>
    </row>
    <row r="6215" spans="1:40" x14ac:dyDescent="0.25">
      <c r="A6215" t="str">
        <f>"20190305135354361"</f>
        <v>20190305135354361</v>
      </c>
      <c r="B6215" t="str">
        <f>"1551765234355922"</f>
        <v>1551765234355922</v>
      </c>
      <c r="C6215" t="s">
        <v>40</v>
      </c>
      <c r="D6215">
        <v>4.516966</v>
      </c>
      <c r="E6215">
        <v>0.4478857</v>
      </c>
      <c r="F6215" t="s">
        <v>41</v>
      </c>
      <c r="G6215">
        <v>-216.90940000000001</v>
      </c>
      <c r="H6215">
        <v>1.038597</v>
      </c>
      <c r="I6215">
        <v>-60.931060000000002</v>
      </c>
      <c r="J6215">
        <v>-217.6003</v>
      </c>
      <c r="K6215">
        <v>1.116487</v>
      </c>
      <c r="L6215">
        <v>-61.545960000000001</v>
      </c>
      <c r="M6215">
        <v>0.98867570000000005</v>
      </c>
      <c r="N6215">
        <v>-1.5009740000000001E-2</v>
      </c>
      <c r="O6215">
        <v>0.14931559999999999</v>
      </c>
      <c r="P6215">
        <v>0.88274259999999904</v>
      </c>
      <c r="Q6215">
        <v>-4.2642060000000002E-2</v>
      </c>
      <c r="R6215">
        <v>0.46791769999999999</v>
      </c>
      <c r="S6215">
        <v>2.4489290000000001</v>
      </c>
      <c r="T6215">
        <v>-0.21298159999999999</v>
      </c>
      <c r="U6215">
        <v>1.7772220000000001</v>
      </c>
      <c r="V6215">
        <v>-0.33029760000000002</v>
      </c>
      <c r="W6215">
        <v>-3.428875E-2</v>
      </c>
      <c r="X6215">
        <v>0.94325380000000003</v>
      </c>
      <c r="Y6215">
        <v>-0.45876489999999998</v>
      </c>
      <c r="Z6215">
        <v>1.2241419999999999E-2</v>
      </c>
      <c r="AA6215">
        <v>0.88847339999999997</v>
      </c>
      <c r="AB6215">
        <v>34</v>
      </c>
      <c r="AC6215">
        <v>0.69089999999999896</v>
      </c>
      <c r="AD6215">
        <v>-7.7890000000000001E-2</v>
      </c>
      <c r="AE6215">
        <v>0.614900000000005</v>
      </c>
      <c r="AF6215">
        <v>-0.501276316516717</v>
      </c>
      <c r="AG6215">
        <v>-7.7890000000000001E-2</v>
      </c>
      <c r="AH6215">
        <v>0.76952000597157999</v>
      </c>
      <c r="AI6215">
        <v>94.847741344293198</v>
      </c>
      <c r="AJ6215">
        <v>123.08079522491801</v>
      </c>
      <c r="AK6215">
        <v>0.92168640935573598</v>
      </c>
      <c r="AL6215">
        <v>91.964985878173593</v>
      </c>
      <c r="AM6215">
        <v>109.298637410064</v>
      </c>
      <c r="AN6215">
        <v>0.99999997707838095</v>
      </c>
    </row>
    <row r="6216" spans="1:40" x14ac:dyDescent="0.25">
      <c r="A6216" t="str">
        <f>"20190305135354374"</f>
        <v>20190305135354374</v>
      </c>
      <c r="B6216" t="str">
        <f>"1551765234366657"</f>
        <v>1551765234366657</v>
      </c>
      <c r="C6216" t="s">
        <v>40</v>
      </c>
      <c r="D6216">
        <v>4.5385600000000004</v>
      </c>
      <c r="E6216">
        <v>0.44904640000000001</v>
      </c>
      <c r="F6216" t="s">
        <v>41</v>
      </c>
      <c r="G6216">
        <v>-216.8246</v>
      </c>
      <c r="H6216">
        <v>1.047736</v>
      </c>
      <c r="I6216">
        <v>-60.986519999999999</v>
      </c>
      <c r="J6216">
        <v>-217.39789999999999</v>
      </c>
      <c r="K6216">
        <v>1.1165909999999999</v>
      </c>
      <c r="L6216">
        <v>-61.510800000000003</v>
      </c>
      <c r="M6216">
        <v>0.98790630000000001</v>
      </c>
      <c r="N6216">
        <v>-1.502831E-2</v>
      </c>
      <c r="O6216">
        <v>0.15432279999999901</v>
      </c>
      <c r="P6216">
        <v>0.88006549999999995</v>
      </c>
      <c r="Q6216">
        <v>-4.3410289999999997E-2</v>
      </c>
      <c r="R6216">
        <v>0.47286410000000001</v>
      </c>
      <c r="S6216">
        <v>2.4510040000000002</v>
      </c>
      <c r="T6216">
        <v>-0.21724550000000001</v>
      </c>
      <c r="U6216">
        <v>1.7676700000000001</v>
      </c>
      <c r="V6216">
        <v>-0.33079500000000001</v>
      </c>
      <c r="W6216">
        <v>-3.5142319999999998E-2</v>
      </c>
      <c r="X6216">
        <v>0.94304809999999994</v>
      </c>
      <c r="Y6216">
        <v>-0.4516116</v>
      </c>
      <c r="Z6216">
        <v>1.171932E-2</v>
      </c>
      <c r="AA6216">
        <v>0.89213759999999998</v>
      </c>
      <c r="AB6216">
        <v>34</v>
      </c>
      <c r="AC6216">
        <v>0.57329999999998904</v>
      </c>
      <c r="AD6216">
        <v>-6.8854999999999805E-2</v>
      </c>
      <c r="AE6216">
        <v>0.52428000000000397</v>
      </c>
      <c r="AF6216">
        <v>-0.42616703612754497</v>
      </c>
      <c r="AG6216">
        <v>-6.8854999999999805E-2</v>
      </c>
      <c r="AH6216">
        <v>0.64230258535429596</v>
      </c>
      <c r="AI6216">
        <v>95.104477253218604</v>
      </c>
      <c r="AJ6216">
        <v>123.564228729495</v>
      </c>
      <c r="AK6216">
        <v>0.77389402689228004</v>
      </c>
      <c r="AL6216">
        <v>92.013921255906794</v>
      </c>
      <c r="AM6216">
        <v>109.329449068118</v>
      </c>
      <c r="AN6216">
        <v>1.00000001679679</v>
      </c>
    </row>
    <row r="6217" spans="1:40" x14ac:dyDescent="0.25">
      <c r="A6217" t="str">
        <f>"20190305135354390"</f>
        <v>20190305135354390</v>
      </c>
      <c r="B6217" t="str">
        <f>"1551765234386178"</f>
        <v>1551765234386178</v>
      </c>
      <c r="C6217" t="s">
        <v>40</v>
      </c>
      <c r="D6217">
        <v>4.5382689999999997</v>
      </c>
      <c r="E6217">
        <v>0.45112720000000001</v>
      </c>
      <c r="F6217" t="s">
        <v>41</v>
      </c>
      <c r="G6217">
        <v>-216.5941</v>
      </c>
      <c r="H6217">
        <v>1.044386</v>
      </c>
      <c r="I6217">
        <v>-60.928100000000001</v>
      </c>
      <c r="J6217">
        <v>-217.18090000000001</v>
      </c>
      <c r="K6217">
        <v>1.1167020000000001</v>
      </c>
      <c r="L6217">
        <v>-61.472079999999998</v>
      </c>
      <c r="M6217">
        <v>0.9870428</v>
      </c>
      <c r="N6217">
        <v>-1.5047420000000001E-2</v>
      </c>
      <c r="O6217">
        <v>0.1597507</v>
      </c>
      <c r="P6217">
        <v>0.87730109999999994</v>
      </c>
      <c r="Q6217">
        <v>-4.47655E-2</v>
      </c>
      <c r="R6217">
        <v>0.4778483</v>
      </c>
      <c r="S6217">
        <v>2.4452210000000001</v>
      </c>
      <c r="T6217">
        <v>-0.21966930000000001</v>
      </c>
      <c r="U6217">
        <v>1.7732239999999999</v>
      </c>
      <c r="V6217">
        <v>-0.33093719999999999</v>
      </c>
      <c r="W6217">
        <v>-3.6576459999999998E-2</v>
      </c>
      <c r="X6217">
        <v>0.94294359999999999</v>
      </c>
      <c r="Y6217">
        <v>-0.44903280000000001</v>
      </c>
      <c r="Z6217">
        <v>1.133178E-2</v>
      </c>
      <c r="AA6217">
        <v>0.8934434</v>
      </c>
      <c r="AB6217">
        <v>34</v>
      </c>
      <c r="AC6217">
        <v>0.58680000000000998</v>
      </c>
      <c r="AD6217">
        <v>-7.2316000000000005E-2</v>
      </c>
      <c r="AE6217">
        <v>0.54398000000000402</v>
      </c>
      <c r="AF6217">
        <v>-0.43964888103519301</v>
      </c>
      <c r="AG6217">
        <v>-7.2316000000000005E-2</v>
      </c>
      <c r="AH6217">
        <v>0.66077598331030296</v>
      </c>
      <c r="AI6217">
        <v>95.206167661259599</v>
      </c>
      <c r="AJ6217">
        <v>123.637903471188</v>
      </c>
      <c r="AK6217">
        <v>0.79696025156289696</v>
      </c>
      <c r="AL6217">
        <v>92.096144452484097</v>
      </c>
      <c r="AM6217">
        <v>109.33912556791699</v>
      </c>
      <c r="AN6217">
        <v>0.99999995027546396</v>
      </c>
    </row>
    <row r="6218" spans="1:40" x14ac:dyDescent="0.25">
      <c r="A6218" t="str">
        <f>"20190305135354400"</f>
        <v>20190305135354400</v>
      </c>
      <c r="B6218" t="str">
        <f>"1551765234395938"</f>
        <v>1551765234395938</v>
      </c>
      <c r="C6218" t="s">
        <v>40</v>
      </c>
      <c r="D6218">
        <v>4.553363</v>
      </c>
      <c r="E6218">
        <v>0.451959</v>
      </c>
      <c r="F6218" t="s">
        <v>41</v>
      </c>
      <c r="G6218">
        <v>-216.31129999999999</v>
      </c>
      <c r="H6218">
        <v>1.0374810000000001</v>
      </c>
      <c r="I6218">
        <v>-60.841209999999997</v>
      </c>
      <c r="J6218">
        <v>-217.01429999999999</v>
      </c>
      <c r="K6218">
        <v>1.1167819999999999</v>
      </c>
      <c r="L6218">
        <v>-61.44135</v>
      </c>
      <c r="M6218">
        <v>0.98634999999999995</v>
      </c>
      <c r="N6218">
        <v>-1.506153E-2</v>
      </c>
      <c r="O6218">
        <v>0.163972799999999</v>
      </c>
      <c r="P6218">
        <v>0.87521579999999999</v>
      </c>
      <c r="Q6218">
        <v>-4.4940769999999998E-2</v>
      </c>
      <c r="R6218">
        <v>0.48164079999999898</v>
      </c>
      <c r="S6218">
        <v>2.4429020000000001</v>
      </c>
      <c r="T6218">
        <v>-0.22253510000000001</v>
      </c>
      <c r="U6218">
        <v>1.7722469999999999</v>
      </c>
      <c r="V6218">
        <v>-0.3309745</v>
      </c>
      <c r="W6218">
        <v>-3.6804770000000001E-2</v>
      </c>
      <c r="X6218">
        <v>0.94292169999999997</v>
      </c>
      <c r="Y6218">
        <v>-0.4453703</v>
      </c>
      <c r="Z6218">
        <v>1.096083E-2</v>
      </c>
      <c r="AA6218">
        <v>0.8952793</v>
      </c>
      <c r="AB6218">
        <v>34</v>
      </c>
      <c r="AC6218">
        <v>0.70300000000000296</v>
      </c>
      <c r="AD6218">
        <v>-7.9300999999999996E-2</v>
      </c>
      <c r="AE6218">
        <v>0.600140000000003</v>
      </c>
      <c r="AF6218">
        <v>-0.47324589664132399</v>
      </c>
      <c r="AG6218">
        <v>-7.9300999999999996E-2</v>
      </c>
      <c r="AH6218">
        <v>0.78611421325108599</v>
      </c>
      <c r="AI6218">
        <v>94.939507344666694</v>
      </c>
      <c r="AJ6218">
        <v>121.048215679544</v>
      </c>
      <c r="AK6218">
        <v>0.920991793429358</v>
      </c>
      <c r="AL6218">
        <v>92.109234316071095</v>
      </c>
      <c r="AM6218">
        <v>109.34155929236201</v>
      </c>
      <c r="AN6218">
        <v>1.0000000215379401</v>
      </c>
    </row>
    <row r="6219" spans="1:40" x14ac:dyDescent="0.25">
      <c r="A6219" t="str">
        <f>"20190305135354412"</f>
        <v>20190305135354412</v>
      </c>
      <c r="B6219" t="str">
        <f>"1551765234405698"</f>
        <v>1551765234405698</v>
      </c>
      <c r="C6219" t="s">
        <v>40</v>
      </c>
      <c r="D6219">
        <v>4.5381309999999999</v>
      </c>
      <c r="E6219">
        <v>0.45272050000000003</v>
      </c>
      <c r="F6219" t="s">
        <v>41</v>
      </c>
      <c r="G6219">
        <v>-216.21700000000001</v>
      </c>
      <c r="H6219">
        <v>1.0439769999999999</v>
      </c>
      <c r="I6219">
        <v>-60.860439999999997</v>
      </c>
      <c r="J6219">
        <v>-216.84530000000001</v>
      </c>
      <c r="K6219">
        <v>1.116862</v>
      </c>
      <c r="L6219">
        <v>-61.409390000000002</v>
      </c>
      <c r="M6219">
        <v>0.98562190000000005</v>
      </c>
      <c r="N6219">
        <v>-1.507493E-2</v>
      </c>
      <c r="O6219">
        <v>0.16829160000000001</v>
      </c>
      <c r="P6219">
        <v>0.87320069999999905</v>
      </c>
      <c r="Q6219">
        <v>-4.4998209999999997E-2</v>
      </c>
      <c r="R6219">
        <v>0.48527910000000002</v>
      </c>
      <c r="S6219">
        <v>2.438507</v>
      </c>
      <c r="T6219">
        <v>-0.22267629999999999</v>
      </c>
      <c r="U6219">
        <v>1.77679399999999</v>
      </c>
      <c r="V6219">
        <v>-0.3307619</v>
      </c>
      <c r="W6219">
        <v>-3.690471E-2</v>
      </c>
      <c r="X6219">
        <v>0.94299239999999995</v>
      </c>
      <c r="Y6219">
        <v>-0.44331949999999998</v>
      </c>
      <c r="Z6219">
        <v>1.059644E-2</v>
      </c>
      <c r="AA6219">
        <v>0.89630100000000001</v>
      </c>
      <c r="AB6219">
        <v>34</v>
      </c>
      <c r="AC6219">
        <v>0.62829999999999497</v>
      </c>
      <c r="AD6219">
        <v>-7.2885000000000005E-2</v>
      </c>
      <c r="AE6219">
        <v>0.54894999999999705</v>
      </c>
      <c r="AF6219">
        <v>-0.432071752874015</v>
      </c>
      <c r="AG6219">
        <v>-7.2885000000000005E-2</v>
      </c>
      <c r="AH6219">
        <v>0.70634052598493702</v>
      </c>
      <c r="AI6219">
        <v>95.030446443204994</v>
      </c>
      <c r="AJ6219">
        <v>121.454317577016</v>
      </c>
      <c r="AK6219">
        <v>0.83121306625034497</v>
      </c>
      <c r="AL6219">
        <v>92.114964332556397</v>
      </c>
      <c r="AM6219">
        <v>109.328715324697</v>
      </c>
      <c r="AN6219">
        <v>1.0000000292847699</v>
      </c>
    </row>
    <row r="6220" spans="1:40" x14ac:dyDescent="0.25">
      <c r="A6220" t="str">
        <f>"20190305135354423"</f>
        <v>20190305135354423</v>
      </c>
      <c r="B6220" t="str">
        <f>"1551765234416434"</f>
        <v>1551765234416434</v>
      </c>
      <c r="C6220" t="s">
        <v>40</v>
      </c>
      <c r="D6220">
        <v>4.553267</v>
      </c>
      <c r="E6220">
        <v>0.45353300000000002</v>
      </c>
      <c r="F6220" t="s">
        <v>41</v>
      </c>
      <c r="G6220">
        <v>-216.01089999999999</v>
      </c>
      <c r="H6220">
        <v>1.040281</v>
      </c>
      <c r="I6220">
        <v>-60.798650000000002</v>
      </c>
      <c r="J6220">
        <v>-216.6694</v>
      </c>
      <c r="K6220">
        <v>1.11694</v>
      </c>
      <c r="L6220">
        <v>-61.375520000000002</v>
      </c>
      <c r="M6220">
        <v>0.98483960000000004</v>
      </c>
      <c r="N6220">
        <v>-1.5088000000000001E-2</v>
      </c>
      <c r="O6220">
        <v>0.17281089999999999</v>
      </c>
      <c r="P6220">
        <v>0.87121349999999997</v>
      </c>
      <c r="Q6220">
        <v>-4.3986150000000002E-2</v>
      </c>
      <c r="R6220">
        <v>0.48892989999999997</v>
      </c>
      <c r="S6220">
        <v>2.4340670000000002</v>
      </c>
      <c r="T6220">
        <v>-0.22339310000000001</v>
      </c>
      <c r="U6220">
        <v>1.781525</v>
      </c>
      <c r="V6220">
        <v>-0.3303874</v>
      </c>
      <c r="W6220">
        <v>-3.5928509999999997E-2</v>
      </c>
      <c r="X6220">
        <v>0.94316140000000004</v>
      </c>
      <c r="Y6220">
        <v>-0.44113000000000002</v>
      </c>
      <c r="Z6220">
        <v>1.022211E-2</v>
      </c>
      <c r="AA6220">
        <v>0.89738499999999999</v>
      </c>
      <c r="AB6220">
        <v>34</v>
      </c>
      <c r="AC6220">
        <v>0.65850000000000297</v>
      </c>
      <c r="AD6220">
        <v>-7.6659000000000005E-2</v>
      </c>
      <c r="AE6220">
        <v>0.576869999999992</v>
      </c>
      <c r="AF6220">
        <v>-0.45092251987255</v>
      </c>
      <c r="AG6220">
        <v>-7.6659000000000005E-2</v>
      </c>
      <c r="AH6220">
        <v>0.74259729066179703</v>
      </c>
      <c r="AI6220">
        <v>95.042567576815401</v>
      </c>
      <c r="AJ6220">
        <v>121.267107251333</v>
      </c>
      <c r="AK6220">
        <v>0.87215735811116801</v>
      </c>
      <c r="AL6220">
        <v>92.058995005744706</v>
      </c>
      <c r="AM6220">
        <v>109.305247392971</v>
      </c>
      <c r="AN6220">
        <v>1.00000005917976</v>
      </c>
    </row>
    <row r="6221" spans="1:40" x14ac:dyDescent="0.25">
      <c r="A6221" t="str">
        <f>"20190305135354434"</f>
        <v>20190305135354434</v>
      </c>
      <c r="B6221" t="str">
        <f>"1551765234426194"</f>
        <v>1551765234426194</v>
      </c>
      <c r="C6221" t="s">
        <v>40</v>
      </c>
      <c r="D6221">
        <v>4.5423400000000003</v>
      </c>
      <c r="E6221">
        <v>0.45423079999999999</v>
      </c>
      <c r="F6221" t="s">
        <v>81</v>
      </c>
      <c r="G6221">
        <v>-204.37360000000001</v>
      </c>
      <c r="H6221" s="1">
        <v>-5.2579990000000001E-6</v>
      </c>
      <c r="I6221">
        <v>-52.338970000000003</v>
      </c>
      <c r="J6221">
        <v>-216.5009</v>
      </c>
      <c r="K6221">
        <v>1.1170040000000001</v>
      </c>
      <c r="L6221">
        <v>-61.341830000000002</v>
      </c>
      <c r="M6221">
        <v>0.98406269999999996</v>
      </c>
      <c r="N6221">
        <v>-1.5099069999999999E-2</v>
      </c>
      <c r="O6221">
        <v>0.17718010000000001</v>
      </c>
      <c r="P6221">
        <v>0.86929109999999998</v>
      </c>
      <c r="Q6221">
        <v>-4.3183399999999997E-2</v>
      </c>
      <c r="R6221">
        <v>0.49241059999999998</v>
      </c>
      <c r="S6221">
        <v>2.430069</v>
      </c>
      <c r="T6221">
        <v>-0.220745</v>
      </c>
      <c r="U6221">
        <v>1.78591899999999</v>
      </c>
      <c r="V6221">
        <v>-0.32997729999999997</v>
      </c>
      <c r="W6221">
        <v>-3.5149279999999998E-2</v>
      </c>
      <c r="X6221">
        <v>0.94333420000000001</v>
      </c>
      <c r="Y6221">
        <v>-0.43894159999999999</v>
      </c>
      <c r="Z6221">
        <v>9.7971470000000008E-3</v>
      </c>
      <c r="AA6221">
        <v>0.89846219999999999</v>
      </c>
      <c r="AB6221">
        <v>34</v>
      </c>
      <c r="AC6221">
        <v>12.1272999999999</v>
      </c>
      <c r="AD6221">
        <v>-1.1170092579989901</v>
      </c>
      <c r="AE6221">
        <v>9.0028599999999894</v>
      </c>
      <c r="AF6221">
        <v>-6.6749187966442296</v>
      </c>
      <c r="AG6221">
        <v>-1.1170092579989901</v>
      </c>
      <c r="AH6221">
        <v>13.4570894988868</v>
      </c>
      <c r="AI6221">
        <v>94.252705366279699</v>
      </c>
      <c r="AJ6221">
        <v>116.382103105981</v>
      </c>
      <c r="AK6221">
        <v>15.063051098808</v>
      </c>
      <c r="AL6221">
        <v>92.014320412336204</v>
      </c>
      <c r="AM6221">
        <v>109.27978269357899</v>
      </c>
      <c r="AN6221">
        <v>0.999999951644723</v>
      </c>
    </row>
    <row r="6222" spans="1:40" x14ac:dyDescent="0.25">
      <c r="A6222" t="str">
        <f>"20190305135354446"</f>
        <v>20190305135354446</v>
      </c>
      <c r="B6222" t="str">
        <f>"1551765234435954"</f>
        <v>1551765234435954</v>
      </c>
      <c r="C6222" t="s">
        <v>40</v>
      </c>
      <c r="D6222">
        <v>4.5408679999999997</v>
      </c>
      <c r="E6222">
        <v>0.4548469</v>
      </c>
      <c r="F6222" t="s">
        <v>41</v>
      </c>
      <c r="G6222">
        <v>-215.70949999999999</v>
      </c>
      <c r="H6222">
        <v>1.0459099999999999</v>
      </c>
      <c r="I6222">
        <v>-60.757599999999996</v>
      </c>
      <c r="J6222">
        <v>-216.33750000000001</v>
      </c>
      <c r="K6222">
        <v>1.117062</v>
      </c>
      <c r="L6222">
        <v>-61.308869999999999</v>
      </c>
      <c r="M6222">
        <v>0.98328959999999999</v>
      </c>
      <c r="N6222">
        <v>-1.5109020000000001E-2</v>
      </c>
      <c r="O6222">
        <v>0.18142040000000001</v>
      </c>
      <c r="P6222">
        <v>0.86729389999999995</v>
      </c>
      <c r="Q6222">
        <v>-4.2363480000000002E-2</v>
      </c>
      <c r="R6222">
        <v>0.4959906</v>
      </c>
      <c r="S6222">
        <v>2.4258730000000002</v>
      </c>
      <c r="T6222">
        <v>-0.21792300000000001</v>
      </c>
      <c r="U6222">
        <v>1.7907709999999999</v>
      </c>
      <c r="V6222">
        <v>-0.32980470000000001</v>
      </c>
      <c r="W6222">
        <v>-3.4355289999999997E-2</v>
      </c>
      <c r="X6222">
        <v>0.94342389999999998</v>
      </c>
      <c r="Y6222">
        <v>-0.43701000000000001</v>
      </c>
      <c r="Z6222">
        <v>9.3997999999999998E-3</v>
      </c>
      <c r="AA6222">
        <v>0.89940759999999897</v>
      </c>
      <c r="AB6222">
        <v>34</v>
      </c>
      <c r="AC6222">
        <v>0.62800000000001399</v>
      </c>
      <c r="AD6222">
        <v>-7.1151999999999799E-2</v>
      </c>
      <c r="AE6222">
        <v>0.55127000000000204</v>
      </c>
      <c r="AF6222">
        <v>-0.42509294509103901</v>
      </c>
      <c r="AG6222">
        <v>-7.1151999999999799E-2</v>
      </c>
      <c r="AH6222">
        <v>0.71243416876306398</v>
      </c>
      <c r="AI6222">
        <v>94.901962563354203</v>
      </c>
      <c r="AJ6222">
        <v>120.82354762620101</v>
      </c>
      <c r="AK6222">
        <v>0.832663836065486</v>
      </c>
      <c r="AL6222">
        <v>91.968800461862998</v>
      </c>
      <c r="AM6222">
        <v>109.26874459583701</v>
      </c>
      <c r="AN6222">
        <v>1.0000000405921401</v>
      </c>
    </row>
    <row r="6223" spans="1:40" x14ac:dyDescent="0.25">
      <c r="A6223" t="str">
        <f>"20190305135354456"</f>
        <v>20190305135354456</v>
      </c>
      <c r="B6223" t="str">
        <f>"1551765234445714"</f>
        <v>1551765234445714</v>
      </c>
      <c r="C6223" t="s">
        <v>40</v>
      </c>
      <c r="D6223">
        <v>4.8351350000000002</v>
      </c>
      <c r="E6223">
        <v>0.45509300000000003</v>
      </c>
      <c r="F6223" t="s">
        <v>41</v>
      </c>
      <c r="G6223">
        <v>-215.4391</v>
      </c>
      <c r="H6223">
        <v>1.0373410000000001</v>
      </c>
      <c r="I6223">
        <v>-60.642429999999997</v>
      </c>
      <c r="J6223">
        <v>-216.18049999999999</v>
      </c>
      <c r="K6223">
        <v>1.1171009999999999</v>
      </c>
      <c r="L6223">
        <v>-61.276029999999999</v>
      </c>
      <c r="M6223">
        <v>0.98252499999999998</v>
      </c>
      <c r="N6223">
        <v>-1.511696E-2</v>
      </c>
      <c r="O6223">
        <v>0.18551590000000001</v>
      </c>
      <c r="P6223">
        <v>0.86538289999999995</v>
      </c>
      <c r="Q6223">
        <v>-4.112739E-2</v>
      </c>
      <c r="R6223">
        <v>0.4994207</v>
      </c>
      <c r="S6223">
        <v>2.4211269999999998</v>
      </c>
      <c r="T6223">
        <v>-0.21485480000000001</v>
      </c>
      <c r="U6223">
        <v>1.7965089999999999</v>
      </c>
      <c r="V6223">
        <v>-0.329619</v>
      </c>
      <c r="W6223">
        <v>-3.3131199999999902E-2</v>
      </c>
      <c r="X6223">
        <v>0.9435325</v>
      </c>
      <c r="Y6223">
        <v>-0.43551590000000001</v>
      </c>
      <c r="Z6223">
        <v>9.0388619999999999E-3</v>
      </c>
      <c r="AA6223">
        <v>0.90013559999999904</v>
      </c>
      <c r="AB6223">
        <v>34</v>
      </c>
      <c r="AC6223">
        <v>0.74139999999999795</v>
      </c>
      <c r="AD6223">
        <v>-7.9759999999999998E-2</v>
      </c>
      <c r="AE6223">
        <v>0.63360000000000105</v>
      </c>
      <c r="AF6223">
        <v>-0.48181908154276298</v>
      </c>
      <c r="AG6223">
        <v>-7.9759999999999998E-2</v>
      </c>
      <c r="AH6223">
        <v>0.84046207515904703</v>
      </c>
      <c r="AI6223">
        <v>94.706588159750297</v>
      </c>
      <c r="AJ6223">
        <v>119.82473262129299</v>
      </c>
      <c r="AK6223">
        <v>0.97205338573525102</v>
      </c>
      <c r="AL6223">
        <v>91.898625441198206</v>
      </c>
      <c r="AM6223">
        <v>109.25664079255399</v>
      </c>
      <c r="AN6223">
        <v>0.99999997006534402</v>
      </c>
    </row>
    <row r="6224" spans="1:40" x14ac:dyDescent="0.25">
      <c r="A6224" t="str">
        <f>"20190305135354468"</f>
        <v>20190305135354468</v>
      </c>
      <c r="B6224" t="str">
        <f>"1551765234456451"</f>
        <v>1551765234456451</v>
      </c>
      <c r="C6224" t="s">
        <v>40</v>
      </c>
      <c r="D6224">
        <v>5.0053130000000001</v>
      </c>
      <c r="E6224">
        <v>0.45509300000000003</v>
      </c>
      <c r="F6224" t="s">
        <v>41</v>
      </c>
      <c r="G6224">
        <v>-215.38939999999999</v>
      </c>
      <c r="H6224">
        <v>1.0489409999999999</v>
      </c>
      <c r="I6224">
        <v>-60.685250000000003</v>
      </c>
      <c r="J6224">
        <v>-216.02</v>
      </c>
      <c r="K6224">
        <v>1.117135</v>
      </c>
      <c r="L6224">
        <v>-61.242130000000003</v>
      </c>
      <c r="M6224">
        <v>0.98172619999999999</v>
      </c>
      <c r="N6224">
        <v>-1.512428E-2</v>
      </c>
      <c r="O6224">
        <v>0.189697</v>
      </c>
      <c r="P6224">
        <v>0.86339529999999998</v>
      </c>
      <c r="Q6224">
        <v>-3.9948879999999999E-2</v>
      </c>
      <c r="R6224">
        <v>0.50294410000000001</v>
      </c>
      <c r="S6224">
        <v>2.4154209999999998</v>
      </c>
      <c r="T6224">
        <v>-0.20812320000000001</v>
      </c>
      <c r="U6224">
        <v>1.804443</v>
      </c>
      <c r="V6224">
        <v>-0.32945839999999998</v>
      </c>
      <c r="W6224">
        <v>-3.1963079999999998E-2</v>
      </c>
      <c r="X6224">
        <v>0.94362889999999999</v>
      </c>
      <c r="Y6224">
        <v>-0.43466199999999999</v>
      </c>
      <c r="Z6224">
        <v>8.6714419999999997E-3</v>
      </c>
      <c r="AA6224">
        <v>0.90055189999999996</v>
      </c>
      <c r="AB6224">
        <v>34</v>
      </c>
      <c r="AC6224">
        <v>0.63060000000001504</v>
      </c>
      <c r="AD6224">
        <v>-6.8194000000000005E-2</v>
      </c>
      <c r="AE6224">
        <v>0.55687999999999904</v>
      </c>
      <c r="AF6224">
        <v>-0.42434146639528902</v>
      </c>
      <c r="AG6224">
        <v>-6.8194000000000005E-2</v>
      </c>
      <c r="AH6224">
        <v>0.72006669235771203</v>
      </c>
      <c r="AI6224">
        <v>94.6645038396628</v>
      </c>
      <c r="AJ6224">
        <v>120.511209020574</v>
      </c>
      <c r="AK6224">
        <v>0.83857745210653001</v>
      </c>
      <c r="AL6224">
        <v>91.831661578540803</v>
      </c>
      <c r="AM6224">
        <v>109.246126956959</v>
      </c>
      <c r="AN6224">
        <v>0.99999998836442805</v>
      </c>
    </row>
    <row r="6225" spans="1:40" x14ac:dyDescent="0.25">
      <c r="A6225" t="str">
        <f>"20190305135354477"</f>
        <v>20190305135354477</v>
      </c>
      <c r="B6225" t="str">
        <f>"1551765234466211"</f>
        <v>1551765234466211</v>
      </c>
      <c r="C6225" t="s">
        <v>40</v>
      </c>
      <c r="D6225">
        <v>4.6714769999999897</v>
      </c>
      <c r="E6225">
        <v>0.50366659999999996</v>
      </c>
      <c r="F6225" t="s">
        <v>41</v>
      </c>
      <c r="G6225">
        <v>-215.14529999999999</v>
      </c>
      <c r="H6225">
        <v>1.042665</v>
      </c>
      <c r="I6225">
        <v>-60.583159999999999</v>
      </c>
      <c r="J6225">
        <v>-215.86369999999999</v>
      </c>
      <c r="K6225">
        <v>1.1171500000000001</v>
      </c>
      <c r="L6225">
        <v>-61.208190000000002</v>
      </c>
      <c r="M6225">
        <v>0.98093059999999999</v>
      </c>
      <c r="N6225">
        <v>-1.512959E-2</v>
      </c>
      <c r="O6225">
        <v>0.1937682</v>
      </c>
      <c r="P6225">
        <v>0.86147619999999903</v>
      </c>
      <c r="Q6225">
        <v>-3.922581E-2</v>
      </c>
      <c r="R6225">
        <v>0.50628070000000003</v>
      </c>
      <c r="S6225">
        <v>2.408401</v>
      </c>
      <c r="T6225">
        <v>-0.2050437</v>
      </c>
      <c r="U6225">
        <v>1.8141480000000001</v>
      </c>
      <c r="V6225">
        <v>-0.32920090000000002</v>
      </c>
      <c r="W6225">
        <v>-3.1238439999999999E-2</v>
      </c>
      <c r="X6225">
        <v>0.94374309999999995</v>
      </c>
      <c r="Y6225">
        <v>-0.43453199999999997</v>
      </c>
      <c r="Z6225">
        <v>8.401571E-3</v>
      </c>
      <c r="AA6225">
        <v>0.90061719999999901</v>
      </c>
      <c r="AB6225">
        <v>34</v>
      </c>
      <c r="AC6225">
        <v>0.71840000000000204</v>
      </c>
      <c r="AD6225">
        <v>-7.4485000000000107E-2</v>
      </c>
      <c r="AE6225">
        <v>0.62503000000000197</v>
      </c>
      <c r="AF6225">
        <v>-0.47107995841586803</v>
      </c>
      <c r="AG6225">
        <v>-7.4485000000000107E-2</v>
      </c>
      <c r="AH6225">
        <v>0.82088349679174599</v>
      </c>
      <c r="AI6225">
        <v>94.499869708869895</v>
      </c>
      <c r="AJ6225">
        <v>119.850197239734</v>
      </c>
      <c r="AK6225">
        <v>0.94937561468111298</v>
      </c>
      <c r="AL6225">
        <v>91.790121896767999</v>
      </c>
      <c r="AM6225">
        <v>109.23003319602</v>
      </c>
      <c r="AN6225">
        <v>1.00000005574602</v>
      </c>
    </row>
    <row r="6226" spans="1:40" x14ac:dyDescent="0.25">
      <c r="A6226" t="str">
        <f>"20190305135354489"</f>
        <v>20190305135354489</v>
      </c>
      <c r="B6226" t="str">
        <f>"1551765234485731"</f>
        <v>1551765234485731</v>
      </c>
      <c r="C6226" t="s">
        <v>40</v>
      </c>
      <c r="D6226">
        <v>4.697775</v>
      </c>
      <c r="E6226">
        <v>0.52262819999999999</v>
      </c>
      <c r="F6226" t="s">
        <v>81</v>
      </c>
      <c r="G6226">
        <v>-202.76419999999999</v>
      </c>
      <c r="H6226" s="1">
        <v>-5.7056909999999998E-6</v>
      </c>
      <c r="I6226">
        <v>-53.702260000000003</v>
      </c>
      <c r="J6226">
        <v>-215.69669999999999</v>
      </c>
      <c r="K6226">
        <v>1.117157</v>
      </c>
      <c r="L6226">
        <v>-61.17136</v>
      </c>
      <c r="M6226">
        <v>0.98006309999999996</v>
      </c>
      <c r="N6226">
        <v>-1.5134170000000001E-2</v>
      </c>
      <c r="O6226">
        <v>0.1981096</v>
      </c>
      <c r="P6226">
        <v>0.85934339999999998</v>
      </c>
      <c r="Q6226">
        <v>-3.8809900000000001E-2</v>
      </c>
      <c r="R6226">
        <v>0.50992440000000006</v>
      </c>
      <c r="S6226">
        <v>2.5975950000000001</v>
      </c>
      <c r="T6226">
        <v>-0.22152849999999999</v>
      </c>
      <c r="U6226">
        <v>1.4884029999999999</v>
      </c>
      <c r="V6226">
        <v>-0.32902290000000001</v>
      </c>
      <c r="W6226">
        <v>-3.0818209999999999E-2</v>
      </c>
      <c r="X6226">
        <v>0.94381890000000002</v>
      </c>
      <c r="Y6226">
        <v>-0.31471510000000003</v>
      </c>
      <c r="Z6226">
        <v>2.4494170000000002E-3</v>
      </c>
      <c r="AA6226">
        <v>0.949183</v>
      </c>
      <c r="AB6226">
        <v>34</v>
      </c>
      <c r="AC6226">
        <v>12.932499999999999</v>
      </c>
      <c r="AD6226">
        <v>-1.1171627056909901</v>
      </c>
      <c r="AE6226">
        <v>7.4691000000000001</v>
      </c>
      <c r="AF6226">
        <v>-4.7322015043652597</v>
      </c>
      <c r="AG6226">
        <v>-1.1171627056909901</v>
      </c>
      <c r="AH6226">
        <v>14.077214603193701</v>
      </c>
      <c r="AI6226">
        <v>94.301865784038597</v>
      </c>
      <c r="AJ6226">
        <v>108.580603915094</v>
      </c>
      <c r="AK6226">
        <v>14.8932788389015</v>
      </c>
      <c r="AL6226">
        <v>91.766033039270297</v>
      </c>
      <c r="AM6226">
        <v>109.218967912094</v>
      </c>
      <c r="AN6226">
        <v>0.999999973394611</v>
      </c>
    </row>
    <row r="6227" spans="1:40" x14ac:dyDescent="0.25">
      <c r="A6227" t="str">
        <f>"20190305135354501"</f>
        <v>20190305135354501</v>
      </c>
      <c r="B6227" t="str">
        <f>"1551765234496466"</f>
        <v>1551765234496466</v>
      </c>
      <c r="C6227" t="s">
        <v>40</v>
      </c>
      <c r="D6227">
        <v>4.6019769999999998</v>
      </c>
      <c r="E6227">
        <v>0.52643099999999998</v>
      </c>
      <c r="F6227" t="s">
        <v>81</v>
      </c>
      <c r="G6227">
        <v>-202.46250000000001</v>
      </c>
      <c r="H6227" s="1">
        <v>-5.7136459999999998E-6</v>
      </c>
      <c r="I6227">
        <v>-54.382350000000002</v>
      </c>
      <c r="J6227">
        <v>-215.52080000000001</v>
      </c>
      <c r="K6227">
        <v>1.117151</v>
      </c>
      <c r="L6227">
        <v>-61.131709999999998</v>
      </c>
      <c r="M6227">
        <v>0.97913059999999996</v>
      </c>
      <c r="N6227">
        <v>-1.5137380000000001E-2</v>
      </c>
      <c r="O6227">
        <v>0.2026676</v>
      </c>
      <c r="P6227">
        <v>0.85706510000000002</v>
      </c>
      <c r="Q6227">
        <v>-3.8921499999999998E-2</v>
      </c>
      <c r="R6227">
        <v>0.51373610000000003</v>
      </c>
      <c r="S6227">
        <v>2.668533</v>
      </c>
      <c r="T6227">
        <v>-0.22526360000000001</v>
      </c>
      <c r="U6227">
        <v>1.368927</v>
      </c>
      <c r="V6227">
        <v>-0.32882339999999999</v>
      </c>
      <c r="W6227">
        <v>-3.0916389999999998E-2</v>
      </c>
      <c r="X6227">
        <v>0.94388519999999998</v>
      </c>
      <c r="Y6227">
        <v>-0.26608900000000002</v>
      </c>
      <c r="Z6227">
        <v>-1.734886E-4</v>
      </c>
      <c r="AA6227">
        <v>0.96394840000000004</v>
      </c>
      <c r="AB6227">
        <v>34</v>
      </c>
      <c r="AC6227">
        <v>13.058299999999999</v>
      </c>
      <c r="AD6227">
        <v>-1.1171567136460001</v>
      </c>
      <c r="AE6227">
        <v>6.7493599999999896</v>
      </c>
      <c r="AF6227">
        <v>-3.9397087571058602</v>
      </c>
      <c r="AG6227">
        <v>-1.1171567136460001</v>
      </c>
      <c r="AH6227">
        <v>14.0739879440526</v>
      </c>
      <c r="AI6227">
        <v>94.371132552976505</v>
      </c>
      <c r="AJ6227">
        <v>105.638441612139</v>
      </c>
      <c r="AK6227">
        <v>14.6576424046639</v>
      </c>
      <c r="AL6227">
        <v>91.771661042504107</v>
      </c>
      <c r="AM6227">
        <v>109.20691823823699</v>
      </c>
      <c r="AN6227">
        <v>0.999999961168615</v>
      </c>
    </row>
    <row r="6228" spans="1:40" x14ac:dyDescent="0.25">
      <c r="A6228" t="str">
        <f>"20190305135354514"</f>
        <v>20190305135354514</v>
      </c>
      <c r="B6228" t="str">
        <f>"1551765234506226"</f>
        <v>1551765234506226</v>
      </c>
      <c r="C6228" t="s">
        <v>40</v>
      </c>
      <c r="D6228">
        <v>4.6352379999999904</v>
      </c>
      <c r="E6228">
        <v>0.52857949999999998</v>
      </c>
      <c r="F6228" t="s">
        <v>81</v>
      </c>
      <c r="G6228">
        <v>-202.6558</v>
      </c>
      <c r="H6228" s="1">
        <v>-5.6024550000000004E-6</v>
      </c>
      <c r="I6228">
        <v>-54.625830000000001</v>
      </c>
      <c r="J6228">
        <v>-215.3458</v>
      </c>
      <c r="K6228">
        <v>1.1171260000000001</v>
      </c>
      <c r="L6228">
        <v>-61.09131</v>
      </c>
      <c r="M6228">
        <v>0.97818919999999998</v>
      </c>
      <c r="N6228">
        <v>-1.513859E-2</v>
      </c>
      <c r="O6228">
        <v>0.20716370000000001</v>
      </c>
      <c r="P6228">
        <v>0.85472139999999996</v>
      </c>
      <c r="Q6228">
        <v>-3.9184879999999998E-2</v>
      </c>
      <c r="R6228">
        <v>0.51760600000000001</v>
      </c>
      <c r="S6228">
        <v>2.677994</v>
      </c>
      <c r="T6228">
        <v>-0.2325497</v>
      </c>
      <c r="U6228">
        <v>1.354279</v>
      </c>
      <c r="V6228">
        <v>-0.32875389999999999</v>
      </c>
      <c r="W6228">
        <v>-3.1158700000000001E-2</v>
      </c>
      <c r="X6228">
        <v>0.94390149999999995</v>
      </c>
      <c r="Y6228">
        <v>-0.25609480000000001</v>
      </c>
      <c r="Z6228">
        <v>-1.107886E-3</v>
      </c>
      <c r="AA6228">
        <v>0.96665109999999999</v>
      </c>
      <c r="AB6228">
        <v>34</v>
      </c>
      <c r="AC6228">
        <v>12.6899999999999</v>
      </c>
      <c r="AD6228">
        <v>-1.117131602455</v>
      </c>
      <c r="AE6228">
        <v>6.4654799999999897</v>
      </c>
      <c r="AF6228">
        <v>-3.67337793574361</v>
      </c>
      <c r="AG6228">
        <v>-1.117131602455</v>
      </c>
      <c r="AH6228">
        <v>13.6701026919896</v>
      </c>
      <c r="AI6228">
        <v>94.512490947376804</v>
      </c>
      <c r="AJ6228">
        <v>105.040994142367</v>
      </c>
      <c r="AK6228">
        <v>14.1990632115486</v>
      </c>
      <c r="AL6228">
        <v>91.785550976484302</v>
      </c>
      <c r="AM6228">
        <v>109.202848618191</v>
      </c>
      <c r="AN6228">
        <v>1.0000000165265699</v>
      </c>
    </row>
    <row r="6229" spans="1:40" x14ac:dyDescent="0.25">
      <c r="A6229" t="str">
        <f>"20190305135354524"</f>
        <v>20190305135354524</v>
      </c>
      <c r="B6229" t="str">
        <f>"1551765234515986"</f>
        <v>1551765234515986</v>
      </c>
      <c r="C6229" t="s">
        <v>40</v>
      </c>
      <c r="D6229">
        <v>4.6106239999999996</v>
      </c>
      <c r="E6229">
        <v>0.52990009999999999</v>
      </c>
      <c r="F6229" t="s">
        <v>81</v>
      </c>
      <c r="G6229">
        <v>-202.57210000000001</v>
      </c>
      <c r="H6229" s="1">
        <v>-5.6301859999999999E-6</v>
      </c>
      <c r="I6229">
        <v>-54.651130000000002</v>
      </c>
      <c r="J6229">
        <v>-215.18639999999999</v>
      </c>
      <c r="K6229">
        <v>1.1170960000000001</v>
      </c>
      <c r="L6229">
        <v>-61.054110000000001</v>
      </c>
      <c r="M6229">
        <v>0.97731630000000003</v>
      </c>
      <c r="N6229">
        <v>-1.5139140000000001E-2</v>
      </c>
      <c r="O6229">
        <v>0.21124309999999999</v>
      </c>
      <c r="P6229">
        <v>0.85239519999999902</v>
      </c>
      <c r="Q6229">
        <v>-3.901139E-2</v>
      </c>
      <c r="R6229">
        <v>0.52144089999999998</v>
      </c>
      <c r="S6229">
        <v>2.680679</v>
      </c>
      <c r="T6229">
        <v>-0.23444029999999999</v>
      </c>
      <c r="U6229">
        <v>1.351532</v>
      </c>
      <c r="V6229">
        <v>-0.32906000000000002</v>
      </c>
      <c r="W6229">
        <v>-3.0970109999999999E-2</v>
      </c>
      <c r="X6229">
        <v>0.943801</v>
      </c>
      <c r="Y6229">
        <v>-0.25090050000000003</v>
      </c>
      <c r="Z6229">
        <v>-1.6708139999999901E-3</v>
      </c>
      <c r="AA6229">
        <v>0.96801139999999997</v>
      </c>
      <c r="AB6229">
        <v>34</v>
      </c>
      <c r="AC6229">
        <v>12.614299999999901</v>
      </c>
      <c r="AD6229">
        <v>-1.1171016301859999</v>
      </c>
      <c r="AE6229">
        <v>6.4029799999999897</v>
      </c>
      <c r="AF6229">
        <v>-3.5711951852363799</v>
      </c>
      <c r="AG6229">
        <v>-1.1171016301859999</v>
      </c>
      <c r="AH6229">
        <v>13.5975219495877</v>
      </c>
      <c r="AI6229">
        <v>94.543177687164203</v>
      </c>
      <c r="AJ6229">
        <v>104.71557941297</v>
      </c>
      <c r="AK6229">
        <v>14.1029767876409</v>
      </c>
      <c r="AL6229">
        <v>91.7747404140258</v>
      </c>
      <c r="AM6229">
        <v>109.221313846104</v>
      </c>
      <c r="AN6229">
        <v>0.99999997945720498</v>
      </c>
    </row>
    <row r="6230" spans="1:40" x14ac:dyDescent="0.25">
      <c r="A6230" t="str">
        <f>"20190305135354537"</f>
        <v>20190305135354537</v>
      </c>
      <c r="B6230" t="str">
        <f>"1551765234525745"</f>
        <v>1551765234525745</v>
      </c>
      <c r="C6230" t="s">
        <v>40</v>
      </c>
      <c r="D6230">
        <v>4.6686059999999996</v>
      </c>
      <c r="E6230">
        <v>0.53101529999999997</v>
      </c>
      <c r="F6230" t="s">
        <v>81</v>
      </c>
      <c r="G6230">
        <v>-202.46680000000001</v>
      </c>
      <c r="H6230" s="1">
        <v>-5.6738289999999898E-6</v>
      </c>
      <c r="I6230">
        <v>-54.626820000000002</v>
      </c>
      <c r="J6230">
        <v>-215.00380000000001</v>
      </c>
      <c r="K6230">
        <v>1.117041</v>
      </c>
      <c r="L6230">
        <v>-61.010190000000001</v>
      </c>
      <c r="M6230">
        <v>0.97631230000000002</v>
      </c>
      <c r="N6230">
        <v>-1.513659E-2</v>
      </c>
      <c r="O6230">
        <v>0.21583659999999999</v>
      </c>
      <c r="P6230">
        <v>0.84962859999999996</v>
      </c>
      <c r="Q6230">
        <v>-3.9381029999999997E-2</v>
      </c>
      <c r="R6230">
        <v>0.52590930000000002</v>
      </c>
      <c r="S6230">
        <v>2.680237</v>
      </c>
      <c r="T6230">
        <v>-0.23539270000000001</v>
      </c>
      <c r="U6230">
        <v>1.3543400000000001</v>
      </c>
      <c r="V6230">
        <v>-0.32957769999999997</v>
      </c>
      <c r="W6230">
        <v>-3.1310129999999999E-2</v>
      </c>
      <c r="X6230">
        <v>0.94360920000000004</v>
      </c>
      <c r="Y6230">
        <v>-0.2472394</v>
      </c>
      <c r="Z6230">
        <v>-2.1742910000000001E-3</v>
      </c>
      <c r="AA6230">
        <v>0.96895200000000004</v>
      </c>
      <c r="AB6230">
        <v>34</v>
      </c>
      <c r="AC6230">
        <v>12.537000000000001</v>
      </c>
      <c r="AD6230">
        <v>-1.1170466738289999</v>
      </c>
      <c r="AE6230">
        <v>6.3833700000000002</v>
      </c>
      <c r="AF6230">
        <v>-3.5045287610549298</v>
      </c>
      <c r="AG6230">
        <v>-1.1170466738289999</v>
      </c>
      <c r="AH6230">
        <v>13.534026605694899</v>
      </c>
      <c r="AI6230">
        <v>94.568279686223207</v>
      </c>
      <c r="AJ6230">
        <v>104.51742436178699</v>
      </c>
      <c r="AK6230">
        <v>14.0249560167663</v>
      </c>
      <c r="AL6230">
        <v>91.794231445316797</v>
      </c>
      <c r="AM6230">
        <v>109.252955728949</v>
      </c>
      <c r="AN6230">
        <v>1.0000000534512701</v>
      </c>
    </row>
    <row r="6231" spans="1:40" x14ac:dyDescent="0.25">
      <c r="A6231" t="str">
        <f>"20190305135354551"</f>
        <v>20190305135354551</v>
      </c>
      <c r="B6231" t="str">
        <f>"1551765234546242"</f>
        <v>1551765234546242</v>
      </c>
      <c r="C6231" t="s">
        <v>40</v>
      </c>
      <c r="D6231">
        <v>4.6740000000000004</v>
      </c>
      <c r="E6231">
        <v>0.53250090000000005</v>
      </c>
      <c r="F6231" t="s">
        <v>81</v>
      </c>
      <c r="G6231">
        <v>-202.29079999999999</v>
      </c>
      <c r="H6231" s="1">
        <v>-5.7524430000000003E-6</v>
      </c>
      <c r="I6231">
        <v>-54.550060000000002</v>
      </c>
      <c r="J6231">
        <v>-214.8056</v>
      </c>
      <c r="K6231">
        <v>1.116973</v>
      </c>
      <c r="L6231">
        <v>-60.961880000000001</v>
      </c>
      <c r="M6231">
        <v>0.97520949999999995</v>
      </c>
      <c r="N6231">
        <v>-1.5132400000000001E-2</v>
      </c>
      <c r="O6231">
        <v>0.22076570000000001</v>
      </c>
      <c r="P6231">
        <v>0.84676430000000003</v>
      </c>
      <c r="Q6231">
        <v>-3.9231490000000001E-2</v>
      </c>
      <c r="R6231">
        <v>0.53051969999999904</v>
      </c>
      <c r="S6231">
        <v>2.6777799999999998</v>
      </c>
      <c r="T6231">
        <v>-0.2352873</v>
      </c>
      <c r="U6231">
        <v>1.3607180000000001</v>
      </c>
      <c r="V6231">
        <v>-0.32994679999999998</v>
      </c>
      <c r="W6231">
        <v>-3.1114289999999999E-2</v>
      </c>
      <c r="X6231">
        <v>0.94348659999999995</v>
      </c>
      <c r="Y6231">
        <v>-0.24455769999999999</v>
      </c>
      <c r="Z6231">
        <v>-2.6226499999999998E-3</v>
      </c>
      <c r="AA6231">
        <v>0.96963120000000003</v>
      </c>
      <c r="AB6231">
        <v>34</v>
      </c>
      <c r="AC6231">
        <v>12.514799999999999</v>
      </c>
      <c r="AD6231">
        <v>-1.1169787524429999</v>
      </c>
      <c r="AE6231">
        <v>6.4118200000000103</v>
      </c>
      <c r="AF6231">
        <v>-3.46854304701731</v>
      </c>
      <c r="AG6231">
        <v>-1.1169787524429999</v>
      </c>
      <c r="AH6231">
        <v>13.5362107208736</v>
      </c>
      <c r="AI6231">
        <v>94.570236646495601</v>
      </c>
      <c r="AJ6231">
        <v>104.372337993466</v>
      </c>
      <c r="AK6231">
        <v>14.0181108956348</v>
      </c>
      <c r="AL6231">
        <v>91.783005306909203</v>
      </c>
      <c r="AM6231">
        <v>109.275247879104</v>
      </c>
      <c r="AN6231">
        <v>0.99999997712600097</v>
      </c>
    </row>
    <row r="6232" spans="1:40" x14ac:dyDescent="0.25">
      <c r="A6232" t="str">
        <f>"20190305135354565"</f>
        <v>20190305135354565</v>
      </c>
      <c r="B6232" t="str">
        <f>"1551765234556003"</f>
        <v>1551765234556003</v>
      </c>
      <c r="C6232" t="s">
        <v>40</v>
      </c>
      <c r="D6232">
        <v>4.6754069999999999</v>
      </c>
      <c r="E6232">
        <v>0.53302989999999995</v>
      </c>
      <c r="F6232" t="s">
        <v>81</v>
      </c>
      <c r="G6232">
        <v>-202.2353</v>
      </c>
      <c r="H6232" s="1">
        <v>-5.7731410000000003E-6</v>
      </c>
      <c r="I6232">
        <v>-54.55209</v>
      </c>
      <c r="J6232">
        <v>-214.59020000000001</v>
      </c>
      <c r="K6232">
        <v>1.116876</v>
      </c>
      <c r="L6232">
        <v>-60.908360000000002</v>
      </c>
      <c r="M6232">
        <v>0.97400059999999999</v>
      </c>
      <c r="N6232">
        <v>-1.512575E-2</v>
      </c>
      <c r="O6232">
        <v>0.22604009999999999</v>
      </c>
      <c r="P6232">
        <v>0.84367510000000001</v>
      </c>
      <c r="Q6232">
        <v>-3.8875880000000002E-2</v>
      </c>
      <c r="R6232">
        <v>0.535444699999999</v>
      </c>
      <c r="S6232">
        <v>2.6767270000000001</v>
      </c>
      <c r="T6232">
        <v>-0.237849</v>
      </c>
      <c r="U6232">
        <v>1.3648990000000001</v>
      </c>
      <c r="V6232">
        <v>-0.33034790000000003</v>
      </c>
      <c r="W6232">
        <v>-3.0694860000000001E-2</v>
      </c>
      <c r="X6232">
        <v>0.94335999999999998</v>
      </c>
      <c r="Y6232">
        <v>-0.24068490000000001</v>
      </c>
      <c r="Z6232">
        <v>-3.2442880000000001E-3</v>
      </c>
      <c r="AA6232">
        <v>0.97059790000000001</v>
      </c>
      <c r="AB6232">
        <v>34</v>
      </c>
      <c r="AC6232">
        <v>12.354900000000001</v>
      </c>
      <c r="AD6232">
        <v>-1.1168817731409999</v>
      </c>
      <c r="AE6232">
        <v>6.3562699999999897</v>
      </c>
      <c r="AF6232">
        <v>-3.3768759004238502</v>
      </c>
      <c r="AG6232">
        <v>-1.1168817731409999</v>
      </c>
      <c r="AH6232">
        <v>13.385498006459899</v>
      </c>
      <c r="AI6232">
        <v>94.625430406015795</v>
      </c>
      <c r="AJ6232">
        <v>104.159056785068</v>
      </c>
      <c r="AK6232">
        <v>13.8499917914409</v>
      </c>
      <c r="AL6232">
        <v>91.758962213540499</v>
      </c>
      <c r="AM6232">
        <v>109.299346798988</v>
      </c>
      <c r="AN6232">
        <v>0.99999999953241403</v>
      </c>
    </row>
    <row r="6233" spans="1:40" x14ac:dyDescent="0.25">
      <c r="A6233" t="str">
        <f>"20190305135354579"</f>
        <v>20190305135354579</v>
      </c>
      <c r="B6233" t="str">
        <f>"1551765234576498"</f>
        <v>1551765234576498</v>
      </c>
      <c r="C6233" t="s">
        <v>40</v>
      </c>
      <c r="D6233">
        <v>4.6120939999999999</v>
      </c>
      <c r="E6233">
        <v>0.5342093</v>
      </c>
      <c r="F6233" t="s">
        <v>81</v>
      </c>
      <c r="G6233">
        <v>-202.05090000000001</v>
      </c>
      <c r="H6233" s="1">
        <v>-5.8596520000000004E-6</v>
      </c>
      <c r="I6233">
        <v>-54.444890000000001</v>
      </c>
      <c r="J6233">
        <v>-214.38679999999999</v>
      </c>
      <c r="K6233">
        <v>1.1167670000000001</v>
      </c>
      <c r="L6233">
        <v>-60.856409999999997</v>
      </c>
      <c r="M6233">
        <v>0.97286360000000005</v>
      </c>
      <c r="N6233">
        <v>-1.511592E-2</v>
      </c>
      <c r="O6233">
        <v>0.23088539999999999</v>
      </c>
      <c r="P6233">
        <v>0.84088549999999995</v>
      </c>
      <c r="Q6233">
        <v>-3.8635349999999999E-2</v>
      </c>
      <c r="R6233">
        <v>0.53983230000000004</v>
      </c>
      <c r="S6233">
        <v>2.6710820000000002</v>
      </c>
      <c r="T6233">
        <v>-0.2379153</v>
      </c>
      <c r="U6233">
        <v>1.3768309999999999</v>
      </c>
      <c r="V6233">
        <v>-0.33057639999999999</v>
      </c>
      <c r="W6233">
        <v>-3.0378059999999998E-2</v>
      </c>
      <c r="X6233">
        <v>0.94329019999999997</v>
      </c>
      <c r="Y6233">
        <v>-0.24012749999999999</v>
      </c>
      <c r="Z6233">
        <v>-3.5984810000000002E-3</v>
      </c>
      <c r="AA6233">
        <v>0.97073469999999995</v>
      </c>
      <c r="AB6233">
        <v>34</v>
      </c>
      <c r="AC6233">
        <v>12.335899999999899</v>
      </c>
      <c r="AD6233">
        <v>-1.1167728596519999</v>
      </c>
      <c r="AE6233">
        <v>6.4115199999999897</v>
      </c>
      <c r="AF6233">
        <v>-3.36800967036889</v>
      </c>
      <c r="AG6233">
        <v>-1.1167728596519999</v>
      </c>
      <c r="AH6233">
        <v>13.3965705304106</v>
      </c>
      <c r="AI6233">
        <v>94.622123710962896</v>
      </c>
      <c r="AJ6233">
        <v>104.112164068059</v>
      </c>
      <c r="AK6233">
        <v>13.8585270767142</v>
      </c>
      <c r="AL6233">
        <v>91.740802454718903</v>
      </c>
      <c r="AM6233">
        <v>109.313031252204</v>
      </c>
      <c r="AN6233">
        <v>0.99999999209118096</v>
      </c>
    </row>
    <row r="6234" spans="1:40" x14ac:dyDescent="0.25">
      <c r="A6234" t="str">
        <f>"20190305135354592"</f>
        <v>20190305135354592</v>
      </c>
      <c r="B6234" t="str">
        <f>"1551765234586258"</f>
        <v>1551765234586258</v>
      </c>
      <c r="C6234" t="s">
        <v>40</v>
      </c>
      <c r="D6234">
        <v>4.6437439999999999</v>
      </c>
      <c r="E6234">
        <v>0.53462169999999998</v>
      </c>
      <c r="F6234" t="s">
        <v>81</v>
      </c>
      <c r="G6234">
        <v>-202.02600000000001</v>
      </c>
      <c r="H6234" s="1">
        <v>-5.8676859999999998E-6</v>
      </c>
      <c r="I6234">
        <v>-54.45391</v>
      </c>
      <c r="J6234">
        <v>-214.2046</v>
      </c>
      <c r="K6234">
        <v>1.1166609999999999</v>
      </c>
      <c r="L6234">
        <v>-60.809170000000002</v>
      </c>
      <c r="M6234">
        <v>0.97183869999999895</v>
      </c>
      <c r="N6234">
        <v>-1.51066E-2</v>
      </c>
      <c r="O6234">
        <v>0.23516280000000001</v>
      </c>
      <c r="P6234">
        <v>0.83859259999999902</v>
      </c>
      <c r="Q6234">
        <v>-3.8360569999999997E-2</v>
      </c>
      <c r="R6234">
        <v>0.54340669999999902</v>
      </c>
      <c r="S6234">
        <v>2.6690520000000002</v>
      </c>
      <c r="T6234">
        <v>-0.24114189999999999</v>
      </c>
      <c r="U6234">
        <v>1.382477</v>
      </c>
      <c r="V6234">
        <v>-0.33045180000000002</v>
      </c>
      <c r="W6234">
        <v>-3.002463E-2</v>
      </c>
      <c r="X6234">
        <v>0.94334519999999999</v>
      </c>
      <c r="Y6234">
        <v>-0.23778930000000001</v>
      </c>
      <c r="Z6234">
        <v>-4.1224859999999999E-3</v>
      </c>
      <c r="AA6234">
        <v>0.97130799999999995</v>
      </c>
      <c r="AB6234">
        <v>34</v>
      </c>
      <c r="AC6234">
        <v>12.178599999999999</v>
      </c>
      <c r="AD6234">
        <v>-1.1166668676860001</v>
      </c>
      <c r="AE6234">
        <v>6.3552599999999897</v>
      </c>
      <c r="AF6234">
        <v>-3.29096552108158</v>
      </c>
      <c r="AG6234">
        <v>-1.1166668676860001</v>
      </c>
      <c r="AH6234">
        <v>13.2441604687378</v>
      </c>
      <c r="AI6234">
        <v>94.677840083107796</v>
      </c>
      <c r="AJ6234">
        <v>103.954477855024</v>
      </c>
      <c r="AK6234">
        <v>13.6925229770124</v>
      </c>
      <c r="AL6234">
        <v>91.720543120168699</v>
      </c>
      <c r="AM6234">
        <v>109.305248218364</v>
      </c>
      <c r="AN6234">
        <v>1.0000000184464499</v>
      </c>
    </row>
    <row r="6235" spans="1:40" x14ac:dyDescent="0.25">
      <c r="A6235" t="str">
        <f>"20190305135354601"</f>
        <v>20190305135354601</v>
      </c>
      <c r="B6235" t="str">
        <f>"1551765234596018"</f>
        <v>1551765234596018</v>
      </c>
      <c r="C6235" t="s">
        <v>40</v>
      </c>
      <c r="D6235">
        <v>4.6385430000000003</v>
      </c>
      <c r="E6235">
        <v>0.53510619999999998</v>
      </c>
      <c r="F6235" t="s">
        <v>81</v>
      </c>
      <c r="G6235">
        <v>-201.98050000000001</v>
      </c>
      <c r="H6235" s="1">
        <v>-5.8888219999999996E-6</v>
      </c>
      <c r="I6235">
        <v>-54.428789999999999</v>
      </c>
      <c r="J6235">
        <v>-214.05279999999999</v>
      </c>
      <c r="K6235">
        <v>1.1165700000000001</v>
      </c>
      <c r="L6235">
        <v>-60.769350000000003</v>
      </c>
      <c r="M6235">
        <v>0.97098180000000001</v>
      </c>
      <c r="N6235">
        <v>-1.5098459999999999E-2</v>
      </c>
      <c r="O6235">
        <v>0.23867640000000001</v>
      </c>
      <c r="P6235">
        <v>0.83665159999999905</v>
      </c>
      <c r="Q6235">
        <v>-3.8078840000000003E-2</v>
      </c>
      <c r="R6235">
        <v>0.54641039999999996</v>
      </c>
      <c r="S6235">
        <v>2.6649319999999999</v>
      </c>
      <c r="T6235">
        <v>-0.2434402</v>
      </c>
      <c r="U6235">
        <v>1.3909609999999999</v>
      </c>
      <c r="V6235">
        <v>-0.33043099999999997</v>
      </c>
      <c r="W6235">
        <v>-2.9677470000000001E-2</v>
      </c>
      <c r="X6235">
        <v>0.94336350000000002</v>
      </c>
      <c r="Y6235">
        <v>-0.2373277</v>
      </c>
      <c r="Z6235">
        <v>-4.4777619999999997E-3</v>
      </c>
      <c r="AA6235">
        <v>0.97141929999999999</v>
      </c>
      <c r="AB6235">
        <v>34</v>
      </c>
      <c r="AC6235">
        <v>12.072299999999901</v>
      </c>
      <c r="AD6235">
        <v>-1.1165758888220001</v>
      </c>
      <c r="AE6235">
        <v>6.34056</v>
      </c>
      <c r="AF6235">
        <v>-3.2537522761887998</v>
      </c>
      <c r="AG6235">
        <v>-1.1165758888220001</v>
      </c>
      <c r="AH6235">
        <v>13.148672816476299</v>
      </c>
      <c r="AI6235">
        <v>94.712400600066701</v>
      </c>
      <c r="AJ6235">
        <v>103.89911606656</v>
      </c>
      <c r="AK6235">
        <v>13.591219313403901</v>
      </c>
      <c r="AL6235">
        <v>91.700643403369995</v>
      </c>
      <c r="AM6235">
        <v>109.30377619005</v>
      </c>
      <c r="AN6235">
        <v>1.00000004555942</v>
      </c>
    </row>
    <row r="6236" spans="1:40" x14ac:dyDescent="0.25">
      <c r="A6236" t="str">
        <f>"20190305135354614"</f>
        <v>20190305135354614</v>
      </c>
      <c r="B6236" t="str">
        <f>"1551765234605778"</f>
        <v>1551765234605778</v>
      </c>
      <c r="C6236" t="s">
        <v>40</v>
      </c>
      <c r="D6236">
        <v>4.6548530000000001</v>
      </c>
      <c r="E6236">
        <v>0.53554009999999996</v>
      </c>
      <c r="F6236" t="s">
        <v>81</v>
      </c>
      <c r="G6236">
        <v>-201.91579999999999</v>
      </c>
      <c r="H6236" s="1">
        <v>-5.9178959999999996E-6</v>
      </c>
      <c r="I6236">
        <v>-54.399389999999997</v>
      </c>
      <c r="J6236">
        <v>-213.88130000000001</v>
      </c>
      <c r="K6236">
        <v>1.116458</v>
      </c>
      <c r="L6236">
        <v>-60.72345</v>
      </c>
      <c r="M6236">
        <v>0.97002089999999996</v>
      </c>
      <c r="N6236">
        <v>-1.508868E-2</v>
      </c>
      <c r="O6236">
        <v>0.2425523</v>
      </c>
      <c r="P6236">
        <v>0.8346384</v>
      </c>
      <c r="Q6236">
        <v>-3.8403680000000003E-2</v>
      </c>
      <c r="R6236">
        <v>0.54945809999999995</v>
      </c>
      <c r="S6236">
        <v>2.6620789999999999</v>
      </c>
      <c r="T6236">
        <v>-0.24490429999999999</v>
      </c>
      <c r="U6236">
        <v>1.3971559999999901</v>
      </c>
      <c r="V6236">
        <v>-0.330109599999999</v>
      </c>
      <c r="W6236">
        <v>-2.9918779999999999E-2</v>
      </c>
      <c r="X6236">
        <v>0.94346830000000004</v>
      </c>
      <c r="Y6236">
        <v>-0.2356616</v>
      </c>
      <c r="Z6236">
        <v>-4.8884540000000004E-3</v>
      </c>
      <c r="AA6236">
        <v>0.97182290000000005</v>
      </c>
      <c r="AB6236">
        <v>34</v>
      </c>
      <c r="AC6236">
        <v>11.9655</v>
      </c>
      <c r="AD6236">
        <v>-1.1164639178960001</v>
      </c>
      <c r="AE6236">
        <v>6.3240599999999896</v>
      </c>
      <c r="AF6236">
        <v>-3.2107293683056</v>
      </c>
      <c r="AG6236">
        <v>-1.1164639178960001</v>
      </c>
      <c r="AH6236">
        <v>13.0533665274429</v>
      </c>
      <c r="AI6236">
        <v>94.747813141820302</v>
      </c>
      <c r="AJ6236">
        <v>103.81868894039199</v>
      </c>
      <c r="AK6236">
        <v>13.488723158854899</v>
      </c>
      <c r="AL6236">
        <v>91.714475741123593</v>
      </c>
      <c r="AM6236">
        <v>109.284402972088</v>
      </c>
      <c r="AN6236">
        <v>0.99999995725686797</v>
      </c>
    </row>
    <row r="6237" spans="1:40" x14ac:dyDescent="0.25">
      <c r="A6237" t="str">
        <f>"20190305135354624"</f>
        <v>20190305135354624</v>
      </c>
      <c r="B6237" t="str">
        <f>"1551765234616515"</f>
        <v>1551765234616515</v>
      </c>
      <c r="C6237" t="s">
        <v>40</v>
      </c>
      <c r="D6237">
        <v>4.6387090000000004</v>
      </c>
      <c r="E6237">
        <v>0.53598519999999905</v>
      </c>
      <c r="F6237" t="s">
        <v>81</v>
      </c>
      <c r="G6237">
        <v>-201.9581</v>
      </c>
      <c r="H6237" s="1">
        <v>-5.8973420000000002E-6</v>
      </c>
      <c r="I6237">
        <v>-54.428469999999997</v>
      </c>
      <c r="J6237">
        <v>-213.7261</v>
      </c>
      <c r="K6237">
        <v>1.1163559999999999</v>
      </c>
      <c r="L6237">
        <v>-60.681669999999997</v>
      </c>
      <c r="M6237">
        <v>0.96914520000000004</v>
      </c>
      <c r="N6237">
        <v>-1.508028E-2</v>
      </c>
      <c r="O6237">
        <v>0.246029</v>
      </c>
      <c r="P6237">
        <v>0.83287140000000004</v>
      </c>
      <c r="Q6237">
        <v>-3.852622E-2</v>
      </c>
      <c r="R6237">
        <v>0.55212419999999995</v>
      </c>
      <c r="S6237">
        <v>2.6588129999999999</v>
      </c>
      <c r="T6237">
        <v>-0.24896570000000001</v>
      </c>
      <c r="U6237">
        <v>1.403748</v>
      </c>
      <c r="V6237">
        <v>-0.32975009999999999</v>
      </c>
      <c r="W6237">
        <v>-2.9962699999999998E-2</v>
      </c>
      <c r="X6237">
        <v>0.94359269999999995</v>
      </c>
      <c r="Y6237">
        <v>-0.23455980000000001</v>
      </c>
      <c r="Z6237">
        <v>-5.3607990000000003E-3</v>
      </c>
      <c r="AA6237">
        <v>0.97208689999999998</v>
      </c>
      <c r="AB6237">
        <v>34</v>
      </c>
      <c r="AC6237">
        <v>11.767999999999899</v>
      </c>
      <c r="AD6237">
        <v>-1.116361897342</v>
      </c>
      <c r="AE6237">
        <v>6.2531999999999996</v>
      </c>
      <c r="AF6237">
        <v>-3.1432905650614802</v>
      </c>
      <c r="AG6237">
        <v>-1.116361897342</v>
      </c>
      <c r="AH6237">
        <v>12.8546304998354</v>
      </c>
      <c r="AI6237">
        <v>94.822036202913196</v>
      </c>
      <c r="AJ6237">
        <v>103.74067412406001</v>
      </c>
      <c r="AK6237">
        <v>13.2803638786571</v>
      </c>
      <c r="AL6237">
        <v>91.716993162445604</v>
      </c>
      <c r="AM6237">
        <v>109.262597133884</v>
      </c>
      <c r="AN6237">
        <v>1.00000003766729</v>
      </c>
    </row>
    <row r="6238" spans="1:40" x14ac:dyDescent="0.25">
      <c r="A6238" t="str">
        <f>"20190305135354636"</f>
        <v>20190305135354636</v>
      </c>
      <c r="B6238" t="str">
        <f>"1551765234626275"</f>
        <v>1551765234626275</v>
      </c>
      <c r="C6238" t="s">
        <v>40</v>
      </c>
      <c r="D6238">
        <v>4.6454899999999997</v>
      </c>
      <c r="E6238">
        <v>0.53642539999999905</v>
      </c>
      <c r="F6238" t="s">
        <v>81</v>
      </c>
      <c r="G6238">
        <v>-201.93510000000001</v>
      </c>
      <c r="H6238" s="1">
        <v>-5.9064589999999996E-6</v>
      </c>
      <c r="I6238">
        <v>-54.425739999999998</v>
      </c>
      <c r="J6238">
        <v>-213.57210000000001</v>
      </c>
      <c r="K6238">
        <v>1.116252</v>
      </c>
      <c r="L6238">
        <v>-60.639249999999997</v>
      </c>
      <c r="M6238">
        <v>0.96829129999999997</v>
      </c>
      <c r="N6238">
        <v>-1.507063E-2</v>
      </c>
      <c r="O6238">
        <v>0.24936939999999999</v>
      </c>
      <c r="P6238">
        <v>0.83141419999999999</v>
      </c>
      <c r="Q6238">
        <v>-3.8556689999999998E-2</v>
      </c>
      <c r="R6238">
        <v>0.55431390000000003</v>
      </c>
      <c r="S6238">
        <v>2.6561430000000001</v>
      </c>
      <c r="T6238">
        <v>-0.25148209999999999</v>
      </c>
      <c r="U6238">
        <v>1.4092709999999999</v>
      </c>
      <c r="V6238">
        <v>-0.32898660000000002</v>
      </c>
      <c r="W6238">
        <v>-2.9905230000000001E-2</v>
      </c>
      <c r="X6238">
        <v>0.9438609</v>
      </c>
      <c r="Y6238">
        <v>-0.2331995</v>
      </c>
      <c r="Z6238">
        <v>-5.7787139999999999E-3</v>
      </c>
      <c r="AA6238">
        <v>0.97241180000000005</v>
      </c>
      <c r="AB6238">
        <v>34</v>
      </c>
      <c r="AC6238">
        <v>11.637</v>
      </c>
      <c r="AD6238">
        <v>-1.1162579064589999</v>
      </c>
      <c r="AE6238">
        <v>6.2135099999999897</v>
      </c>
      <c r="AF6238">
        <v>-3.0927850632098401</v>
      </c>
      <c r="AG6238">
        <v>-1.1162579064589999</v>
      </c>
      <c r="AH6238">
        <v>12.727788655306</v>
      </c>
      <c r="AI6238">
        <v>94.8711175879709</v>
      </c>
      <c r="AJ6238">
        <v>103.65786086695201</v>
      </c>
      <c r="AK6238">
        <v>13.1456439634992</v>
      </c>
      <c r="AL6238">
        <v>91.713699044476101</v>
      </c>
      <c r="AM6238">
        <v>109.216210612073</v>
      </c>
      <c r="AN6238">
        <v>0.99999995215486004</v>
      </c>
    </row>
    <row r="6239" spans="1:40" x14ac:dyDescent="0.25">
      <c r="A6239" t="str">
        <f>"20190305135354646"</f>
        <v>20190305135354646</v>
      </c>
      <c r="B6239" t="str">
        <f>"1551765234636035"</f>
        <v>1551765234636035</v>
      </c>
      <c r="C6239" t="s">
        <v>40</v>
      </c>
      <c r="D6239">
        <v>4.732202</v>
      </c>
      <c r="E6239">
        <v>0.53682180000000002</v>
      </c>
      <c r="F6239" t="s">
        <v>81</v>
      </c>
      <c r="G6239">
        <v>-201.8545</v>
      </c>
      <c r="H6239" s="1">
        <v>-5.9409579999999996E-6</v>
      </c>
      <c r="I6239">
        <v>-54.400359999999999</v>
      </c>
      <c r="J6239">
        <v>-213.41409999999999</v>
      </c>
      <c r="K6239">
        <v>1.1161430000000001</v>
      </c>
      <c r="L6239">
        <v>-60.595550000000003</v>
      </c>
      <c r="M6239">
        <v>0.96740780000000004</v>
      </c>
      <c r="N6239">
        <v>-1.506126E-2</v>
      </c>
      <c r="O6239">
        <v>0.25277559999999999</v>
      </c>
      <c r="P6239">
        <v>0.829901</v>
      </c>
      <c r="Q6239">
        <v>-3.8772809999999998E-2</v>
      </c>
      <c r="R6239">
        <v>0.55656169999999905</v>
      </c>
      <c r="S6239">
        <v>2.6543429999999999</v>
      </c>
      <c r="T6239">
        <v>-0.252861</v>
      </c>
      <c r="U6239">
        <v>1.4132690000000001</v>
      </c>
      <c r="V6239">
        <v>-0.32822600000000002</v>
      </c>
      <c r="W6239">
        <v>-3.0031639999999998E-2</v>
      </c>
      <c r="X6239">
        <v>0.94412169999999895</v>
      </c>
      <c r="Y6239">
        <v>-0.23120599999999999</v>
      </c>
      <c r="Z6239">
        <v>-6.1871309999999898E-3</v>
      </c>
      <c r="AA6239">
        <v>0.97288509999999995</v>
      </c>
      <c r="AB6239">
        <v>34</v>
      </c>
      <c r="AC6239">
        <v>11.5595999999999</v>
      </c>
      <c r="AD6239">
        <v>-1.1161489409579901</v>
      </c>
      <c r="AE6239">
        <v>6.1951900000000002</v>
      </c>
      <c r="AF6239">
        <v>-3.0495512490683701</v>
      </c>
      <c r="AG6239">
        <v>-1.1161489409579901</v>
      </c>
      <c r="AH6239">
        <v>12.6586018710529</v>
      </c>
      <c r="AI6239">
        <v>94.899461765955195</v>
      </c>
      <c r="AJ6239">
        <v>103.544883445918</v>
      </c>
      <c r="AK6239">
        <v>13.0685023093284</v>
      </c>
      <c r="AL6239">
        <v>91.720944984374796</v>
      </c>
      <c r="AM6239">
        <v>109.170120575201</v>
      </c>
      <c r="AN6239">
        <v>0.99999999544398899</v>
      </c>
    </row>
    <row r="6240" spans="1:40" x14ac:dyDescent="0.25">
      <c r="A6240" t="str">
        <f>"20190305135354657"</f>
        <v>20190305135354657</v>
      </c>
      <c r="B6240" t="str">
        <f>"1551765234645794"</f>
        <v>1551765234645794</v>
      </c>
      <c r="C6240" t="s">
        <v>40</v>
      </c>
      <c r="D6240">
        <v>4.6887670000000004</v>
      </c>
      <c r="E6240">
        <v>0.53728089999999995</v>
      </c>
      <c r="F6240" t="s">
        <v>81</v>
      </c>
      <c r="G6240">
        <v>-201.7039</v>
      </c>
      <c r="H6240" s="1">
        <v>-6.0081769999999898E-6</v>
      </c>
      <c r="I6240">
        <v>-54.334859999999999</v>
      </c>
      <c r="J6240">
        <v>-213.25909999999999</v>
      </c>
      <c r="K6240">
        <v>1.1160399999999999</v>
      </c>
      <c r="L6240">
        <v>-60.551879999999997</v>
      </c>
      <c r="M6240">
        <v>0.96655360000000001</v>
      </c>
      <c r="N6240">
        <v>-1.505108E-2</v>
      </c>
      <c r="O6240">
        <v>0.25602329999999901</v>
      </c>
      <c r="P6240">
        <v>0.82866629999999997</v>
      </c>
      <c r="Q6240">
        <v>-3.9189849999999998E-2</v>
      </c>
      <c r="R6240">
        <v>0.55836949999999996</v>
      </c>
      <c r="S6240">
        <v>2.652161</v>
      </c>
      <c r="T6240">
        <v>-0.25278820000000002</v>
      </c>
      <c r="U6240">
        <v>1.4179379999999999</v>
      </c>
      <c r="V6240">
        <v>-0.32711869999999998</v>
      </c>
      <c r="W6240">
        <v>-3.0354510000000001E-2</v>
      </c>
      <c r="X6240">
        <v>0.94449559999999999</v>
      </c>
      <c r="Y6240">
        <v>-0.22961760000000001</v>
      </c>
      <c r="Z6240">
        <v>-6.4991600000000004E-3</v>
      </c>
      <c r="AA6240">
        <v>0.97325919999999999</v>
      </c>
      <c r="AB6240">
        <v>34</v>
      </c>
      <c r="AC6240">
        <v>11.5551999999999</v>
      </c>
      <c r="AD6240">
        <v>-1.1160460081769901</v>
      </c>
      <c r="AE6240">
        <v>6.2170199999999998</v>
      </c>
      <c r="AF6240">
        <v>-3.0291142008395799</v>
      </c>
      <c r="AG6240">
        <v>-1.1160460081769901</v>
      </c>
      <c r="AH6240">
        <v>12.670205536248799</v>
      </c>
      <c r="AI6240">
        <v>94.896574395403405</v>
      </c>
      <c r="AJ6240">
        <v>103.445545668416</v>
      </c>
      <c r="AK6240">
        <v>13.074983742432901</v>
      </c>
      <c r="AL6240">
        <v>91.739452521429001</v>
      </c>
      <c r="AM6240">
        <v>109.103129441257</v>
      </c>
      <c r="AN6240">
        <v>0.999999989293194</v>
      </c>
    </row>
    <row r="6241" spans="1:40" x14ac:dyDescent="0.25">
      <c r="A6241" t="str">
        <f>"20190305135354670"</f>
        <v>20190305135354670</v>
      </c>
      <c r="B6241" t="str">
        <f>"1551765234666291"</f>
        <v>1551765234666291</v>
      </c>
      <c r="C6241" t="s">
        <v>40</v>
      </c>
      <c r="D6241">
        <v>4.6641789999999999</v>
      </c>
      <c r="E6241">
        <v>0.53815480000000004</v>
      </c>
      <c r="F6241" t="s">
        <v>81</v>
      </c>
      <c r="G6241">
        <v>-201.5814</v>
      </c>
      <c r="H6241" s="1">
        <v>-6.0611119999999998E-6</v>
      </c>
      <c r="I6241">
        <v>-54.292740000000002</v>
      </c>
      <c r="J6241">
        <v>-213.08959999999999</v>
      </c>
      <c r="K6241">
        <v>1.115928</v>
      </c>
      <c r="L6241">
        <v>-60.503660000000004</v>
      </c>
      <c r="M6241">
        <v>0.96561520000000001</v>
      </c>
      <c r="N6241">
        <v>-1.504026E-2</v>
      </c>
      <c r="O6241">
        <v>0.2595403</v>
      </c>
      <c r="P6241">
        <v>0.82726409999999995</v>
      </c>
      <c r="Q6241">
        <v>-4.0070410000000001E-2</v>
      </c>
      <c r="R6241">
        <v>0.56038259999999995</v>
      </c>
      <c r="S6241">
        <v>2.6508639999999999</v>
      </c>
      <c r="T6241">
        <v>-0.25334449999999997</v>
      </c>
      <c r="U6241">
        <v>1.4208369999999999</v>
      </c>
      <c r="V6241">
        <v>-0.32598199999999999</v>
      </c>
      <c r="W6241">
        <v>-3.1135909999999999E-2</v>
      </c>
      <c r="X6241">
        <v>0.94486309999999996</v>
      </c>
      <c r="Y6241">
        <v>-0.22711690000000001</v>
      </c>
      <c r="Z6241">
        <v>-6.9069800000000001E-3</v>
      </c>
      <c r="AA6241">
        <v>0.97384300000000001</v>
      </c>
      <c r="AB6241">
        <v>34</v>
      </c>
      <c r="AC6241">
        <v>11.508199999999899</v>
      </c>
      <c r="AD6241">
        <v>-1.1159340611120001</v>
      </c>
      <c r="AE6241">
        <v>6.21091999999999</v>
      </c>
      <c r="AF6241">
        <v>-2.98909122830888</v>
      </c>
      <c r="AG6241">
        <v>-1.1159340611120001</v>
      </c>
      <c r="AH6241">
        <v>12.6339167862171</v>
      </c>
      <c r="AI6241">
        <v>94.912809847123299</v>
      </c>
      <c r="AJ6241">
        <v>103.310994246296</v>
      </c>
      <c r="AK6241">
        <v>13.030572840860099</v>
      </c>
      <c r="AL6241">
        <v>91.784244612966305</v>
      </c>
      <c r="AM6241">
        <v>109.03466360257001</v>
      </c>
      <c r="AN6241">
        <v>0.99999999347856805</v>
      </c>
    </row>
    <row r="6242" spans="1:40" x14ac:dyDescent="0.25">
      <c r="A6242" t="str">
        <f>"20190305135354681"</f>
        <v>20190305135354681</v>
      </c>
      <c r="B6242" t="str">
        <f>"1551765234676050"</f>
        <v>1551765234676050</v>
      </c>
      <c r="C6242" t="s">
        <v>40</v>
      </c>
      <c r="D6242">
        <v>4.7154989999999897</v>
      </c>
      <c r="E6242">
        <v>0.53846309999999997</v>
      </c>
      <c r="F6242" t="s">
        <v>81</v>
      </c>
      <c r="G6242">
        <v>-201.66050000000001</v>
      </c>
      <c r="H6242" s="1">
        <v>-6.0181759999999996E-6</v>
      </c>
      <c r="I6242">
        <v>-54.375970000000002</v>
      </c>
      <c r="J6242">
        <v>-212.90889999999999</v>
      </c>
      <c r="K6242">
        <v>1.1158159999999999</v>
      </c>
      <c r="L6242">
        <v>-60.451599999999999</v>
      </c>
      <c r="M6242">
        <v>0.96461989999999997</v>
      </c>
      <c r="N6242">
        <v>-1.5028430000000001E-2</v>
      </c>
      <c r="O6242">
        <v>0.26321620000000001</v>
      </c>
      <c r="P6242">
        <v>0.82559450000000001</v>
      </c>
      <c r="Q6242">
        <v>-4.0915819999999999E-2</v>
      </c>
      <c r="R6242">
        <v>0.56277860000000002</v>
      </c>
      <c r="S6242">
        <v>2.6510470000000002</v>
      </c>
      <c r="T6242">
        <v>-0.25884800000000002</v>
      </c>
      <c r="U6242">
        <v>1.4213559999999901</v>
      </c>
      <c r="V6242">
        <v>-0.325129</v>
      </c>
      <c r="W6242">
        <v>-3.1887400000000003E-2</v>
      </c>
      <c r="X6242">
        <v>0.94513199999999997</v>
      </c>
      <c r="Y6242">
        <v>-0.22354540000000001</v>
      </c>
      <c r="Z6242">
        <v>-7.6327610000000001E-3</v>
      </c>
      <c r="AA6242">
        <v>0.97466359999999996</v>
      </c>
      <c r="AB6242">
        <v>34</v>
      </c>
      <c r="AC6242">
        <v>11.248399999999901</v>
      </c>
      <c r="AD6242">
        <v>-1.1158220181759999</v>
      </c>
      <c r="AE6242">
        <v>6.0756300000000003</v>
      </c>
      <c r="AF6242">
        <v>-2.87831323990111</v>
      </c>
      <c r="AG6242">
        <v>-1.1158220181759999</v>
      </c>
      <c r="AH6242">
        <v>12.356906793554399</v>
      </c>
      <c r="AI6242">
        <v>95.025954986569801</v>
      </c>
      <c r="AJ6242">
        <v>103.112187565146</v>
      </c>
      <c r="AK6242">
        <v>12.736675052297899</v>
      </c>
      <c r="AL6242">
        <v>91.827323045501899</v>
      </c>
      <c r="AM6242">
        <v>108.983411771657</v>
      </c>
      <c r="AN6242">
        <v>1.00000008517187</v>
      </c>
    </row>
    <row r="6243" spans="1:40" x14ac:dyDescent="0.25">
      <c r="A6243" t="str">
        <f>"20190305135354693"</f>
        <v>20190305135354693</v>
      </c>
      <c r="B6243" t="str">
        <f>"1551765234685810"</f>
        <v>1551765234685810</v>
      </c>
      <c r="C6243" t="s">
        <v>40</v>
      </c>
      <c r="D6243">
        <v>5.3699669999999999</v>
      </c>
      <c r="E6243">
        <v>0.53873899999999997</v>
      </c>
      <c r="F6243" t="s">
        <v>81</v>
      </c>
      <c r="G6243">
        <v>-201.5752</v>
      </c>
      <c r="H6243" s="1">
        <v>-6.0553840000000001E-6</v>
      </c>
      <c r="I6243">
        <v>-54.344499999999996</v>
      </c>
      <c r="J6243">
        <v>-212.75280000000001</v>
      </c>
      <c r="K6243">
        <v>1.1157170000000001</v>
      </c>
      <c r="L6243">
        <v>-60.40598</v>
      </c>
      <c r="M6243">
        <v>0.96376439999999997</v>
      </c>
      <c r="N6243">
        <v>-1.5018409999999999E-2</v>
      </c>
      <c r="O6243">
        <v>0.26633200000000001</v>
      </c>
      <c r="P6243">
        <v>0.82440849999999899</v>
      </c>
      <c r="Q6243">
        <v>-4.236405E-2</v>
      </c>
      <c r="R6243">
        <v>0.56440760000000001</v>
      </c>
      <c r="S6243">
        <v>2.6481629999999998</v>
      </c>
      <c r="T6243">
        <v>-0.26071499999999997</v>
      </c>
      <c r="U6243">
        <v>1.426941</v>
      </c>
      <c r="V6243">
        <v>-0.32394479999999998</v>
      </c>
      <c r="W6243">
        <v>-3.3248920000000001E-2</v>
      </c>
      <c r="X6243">
        <v>0.94549159999999999</v>
      </c>
      <c r="Y6243">
        <v>-0.2224431</v>
      </c>
      <c r="Z6243">
        <v>-8.0197740000000003E-3</v>
      </c>
      <c r="AA6243">
        <v>0.97491269999999997</v>
      </c>
      <c r="AB6243">
        <v>34</v>
      </c>
      <c r="AC6243">
        <v>11.1776</v>
      </c>
      <c r="AD6243">
        <v>-1.1157230553839901</v>
      </c>
      <c r="AE6243">
        <v>6.0614800000000004</v>
      </c>
      <c r="AF6243">
        <v>-2.8433172863831899</v>
      </c>
      <c r="AG6243">
        <v>-1.1157230553839901</v>
      </c>
      <c r="AH6243">
        <v>12.2936818555104</v>
      </c>
      <c r="AI6243">
        <v>95.053048774064905</v>
      </c>
      <c r="AJ6243">
        <v>103.02255174818799</v>
      </c>
      <c r="AK6243">
        <v>12.6674348110368</v>
      </c>
      <c r="AL6243">
        <v>91.905373876002599</v>
      </c>
      <c r="AM6243">
        <v>108.91251082385</v>
      </c>
      <c r="AN6243">
        <v>1.00000004489938</v>
      </c>
    </row>
    <row r="6244" spans="1:40" x14ac:dyDescent="0.25">
      <c r="A6244" t="str">
        <f>"20190305135354704"</f>
        <v>20190305135354704</v>
      </c>
      <c r="B6244" t="str">
        <f>"1551765234696546"</f>
        <v>1551765234696546</v>
      </c>
      <c r="C6244" t="s">
        <v>40</v>
      </c>
      <c r="D6244">
        <v>4.7071459999999998</v>
      </c>
      <c r="E6244">
        <v>0.53896309999999903</v>
      </c>
      <c r="F6244" t="s">
        <v>81</v>
      </c>
      <c r="G6244">
        <v>-201.59800000000001</v>
      </c>
      <c r="H6244" s="1">
        <v>-6.0415940000000001E-6</v>
      </c>
      <c r="I6244">
        <v>-54.377450000000003</v>
      </c>
      <c r="J6244">
        <v>-212.58690000000001</v>
      </c>
      <c r="K6244">
        <v>1.1156159999999999</v>
      </c>
      <c r="L6244">
        <v>-60.357120000000002</v>
      </c>
      <c r="M6244">
        <v>0.96285140000000002</v>
      </c>
      <c r="N6244">
        <v>-1.5008229999999999E-2</v>
      </c>
      <c r="O6244">
        <v>0.26961479999999999</v>
      </c>
      <c r="P6244">
        <v>0.82296950000000002</v>
      </c>
      <c r="Q6244">
        <v>-4.3989760000000003E-2</v>
      </c>
      <c r="R6244">
        <v>0.56637979999999999</v>
      </c>
      <c r="S6244">
        <v>2.646255</v>
      </c>
      <c r="T6244">
        <v>-0.26468269999999999</v>
      </c>
      <c r="U6244">
        <v>1.430145</v>
      </c>
      <c r="V6244">
        <v>-0.32299260000000002</v>
      </c>
      <c r="W6244">
        <v>-3.4790389999999997E-2</v>
      </c>
      <c r="X6244">
        <v>0.94576179999999999</v>
      </c>
      <c r="Y6244">
        <v>-0.22034300000000001</v>
      </c>
      <c r="Z6244">
        <v>-8.5889060000000003E-3</v>
      </c>
      <c r="AA6244">
        <v>0.97538469999999999</v>
      </c>
      <c r="AB6244">
        <v>34</v>
      </c>
      <c r="AC6244">
        <v>10.988899999999999</v>
      </c>
      <c r="AD6244">
        <v>-1.1156220415939999</v>
      </c>
      <c r="AE6244">
        <v>5.9796699999999898</v>
      </c>
      <c r="AF6244">
        <v>-2.77302650719309</v>
      </c>
      <c r="AG6244">
        <v>-1.1156220415939999</v>
      </c>
      <c r="AH6244">
        <v>12.098051736027699</v>
      </c>
      <c r="AI6244">
        <v>95.136174816037894</v>
      </c>
      <c r="AJ6244">
        <v>102.909911876428</v>
      </c>
      <c r="AK6244">
        <v>12.4618274886507</v>
      </c>
      <c r="AL6244">
        <v>91.993744874561003</v>
      </c>
      <c r="AM6244">
        <v>108.855846886189</v>
      </c>
      <c r="AN6244">
        <v>0.99999998661517597</v>
      </c>
    </row>
    <row r="6245" spans="1:40" x14ac:dyDescent="0.25">
      <c r="A6245" t="str">
        <f>"20190305135354717"</f>
        <v>20190305135354717</v>
      </c>
      <c r="B6245" t="str">
        <f>"1551765234706306"</f>
        <v>1551765234706306</v>
      </c>
      <c r="C6245" t="s">
        <v>40</v>
      </c>
      <c r="D6245">
        <v>4.6486589999999897</v>
      </c>
      <c r="E6245">
        <v>0.53923730000000003</v>
      </c>
      <c r="F6245" t="s">
        <v>81</v>
      </c>
      <c r="G6245">
        <v>-201.631</v>
      </c>
      <c r="H6245" s="1">
        <v>-6.0240040000000004E-6</v>
      </c>
      <c r="I6245">
        <v>-54.41019</v>
      </c>
      <c r="J6245">
        <v>-212.4033</v>
      </c>
      <c r="K6245">
        <v>1.1155109999999999</v>
      </c>
      <c r="L6245">
        <v>-60.302030000000002</v>
      </c>
      <c r="M6245">
        <v>0.96185290000000001</v>
      </c>
      <c r="N6245">
        <v>-1.499676E-2</v>
      </c>
      <c r="O6245">
        <v>0.2731557</v>
      </c>
      <c r="P6245">
        <v>0.8211484</v>
      </c>
      <c r="Q6245">
        <v>-4.5559420000000003E-2</v>
      </c>
      <c r="R6245">
        <v>0.56889330000000005</v>
      </c>
      <c r="S6245">
        <v>2.6434479999999998</v>
      </c>
      <c r="T6245">
        <v>-0.26917720000000001</v>
      </c>
      <c r="U6245">
        <v>1.4348749999999999</v>
      </c>
      <c r="V6245">
        <v>-0.32241320000000001</v>
      </c>
      <c r="W6245">
        <v>-3.6278739999999997E-2</v>
      </c>
      <c r="X6245">
        <v>0.94590359999999996</v>
      </c>
      <c r="Y6245">
        <v>-0.21855160000000001</v>
      </c>
      <c r="Z6245">
        <v>-9.2033810000000001E-3</v>
      </c>
      <c r="AA6245">
        <v>0.97578200000000004</v>
      </c>
      <c r="AB6245">
        <v>34</v>
      </c>
      <c r="AC6245">
        <v>10.7723</v>
      </c>
      <c r="AD6245">
        <v>-1.115517024004</v>
      </c>
      <c r="AE6245">
        <v>5.8918400000000002</v>
      </c>
      <c r="AF6245">
        <v>-2.7025671170519101</v>
      </c>
      <c r="AG6245">
        <v>-1.115517024004</v>
      </c>
      <c r="AH6245">
        <v>11.8740927619675</v>
      </c>
      <c r="AI6245">
        <v>95.233845843343701</v>
      </c>
      <c r="AJ6245">
        <v>102.822203448561</v>
      </c>
      <c r="AK6245">
        <v>12.2287499840671</v>
      </c>
      <c r="AL6245">
        <v>92.079074879034906</v>
      </c>
      <c r="AM6245">
        <v>108.821783066469</v>
      </c>
      <c r="AN6245">
        <v>1.0000000195015899</v>
      </c>
    </row>
    <row r="6246" spans="1:40" x14ac:dyDescent="0.25">
      <c r="A6246" t="str">
        <f>"20190305135354732"</f>
        <v>20190305135354732</v>
      </c>
      <c r="B6246" t="str">
        <f>"1551765234726603"</f>
        <v>1551765234726603</v>
      </c>
      <c r="C6246" t="s">
        <v>40</v>
      </c>
      <c r="D6246">
        <v>5.2731329999999996</v>
      </c>
      <c r="E6246">
        <v>0.53919910000000004</v>
      </c>
      <c r="F6246" t="s">
        <v>81</v>
      </c>
      <c r="G6246">
        <v>-201.61879999999999</v>
      </c>
      <c r="H6246" s="1">
        <v>-6.0277550000000004E-6</v>
      </c>
      <c r="I6246">
        <v>-54.415680000000002</v>
      </c>
      <c r="J6246">
        <v>-212.19970000000001</v>
      </c>
      <c r="K6246">
        <v>1.1153979999999999</v>
      </c>
      <c r="L6246">
        <v>-60.240360000000003</v>
      </c>
      <c r="M6246">
        <v>0.96074559999999998</v>
      </c>
      <c r="N6246">
        <v>-1.498421E-2</v>
      </c>
      <c r="O6246">
        <v>0.27702579999999999</v>
      </c>
      <c r="P6246">
        <v>0.81918530000000001</v>
      </c>
      <c r="Q6246">
        <v>-4.6396519999999997E-2</v>
      </c>
      <c r="R6246">
        <v>0.57164930000000003</v>
      </c>
      <c r="S6246">
        <v>2.639999</v>
      </c>
      <c r="T6246">
        <v>-0.2730728</v>
      </c>
      <c r="U6246">
        <v>1.4409479999999999</v>
      </c>
      <c r="V6246">
        <v>-0.32179400000000002</v>
      </c>
      <c r="W6246">
        <v>-3.7024899999999999E-2</v>
      </c>
      <c r="X6246">
        <v>0.94608550000000002</v>
      </c>
      <c r="Y6246">
        <v>-0.2169055</v>
      </c>
      <c r="Z6246">
        <v>-9.8157269999999998E-3</v>
      </c>
      <c r="AA6246">
        <v>0.97614319999999999</v>
      </c>
      <c r="AB6246">
        <v>34</v>
      </c>
      <c r="AC6246">
        <v>10.5809</v>
      </c>
      <c r="AD6246">
        <v>-1.1154040277549999</v>
      </c>
      <c r="AE6246">
        <v>5.8246799999999901</v>
      </c>
      <c r="AF6246">
        <v>-2.6426157259904501</v>
      </c>
      <c r="AG6246">
        <v>-1.1154040277549999</v>
      </c>
      <c r="AH6246">
        <v>11.6808451921457</v>
      </c>
      <c r="AI6246">
        <v>95.320966345654895</v>
      </c>
      <c r="AJ6246">
        <v>102.747714977965</v>
      </c>
      <c r="AK6246">
        <v>12.0278713172056</v>
      </c>
      <c r="AL6246">
        <v>92.121855489198097</v>
      </c>
      <c r="AM6246">
        <v>108.78481483541501</v>
      </c>
      <c r="AN6246">
        <v>0.99999999748312995</v>
      </c>
    </row>
    <row r="6247" spans="1:40" x14ac:dyDescent="0.25">
      <c r="A6247" t="str">
        <f>"20190305135354746"</f>
        <v>20190305135354746</v>
      </c>
      <c r="B6247" t="str">
        <f>"1551765234736363"</f>
        <v>1551765234736363</v>
      </c>
      <c r="C6247" t="s">
        <v>40</v>
      </c>
      <c r="D6247">
        <v>5.276802</v>
      </c>
      <c r="E6247">
        <v>0.51349239999999996</v>
      </c>
      <c r="F6247" t="s">
        <v>81</v>
      </c>
      <c r="G6247">
        <v>-201.53360000000001</v>
      </c>
      <c r="H6247" s="1">
        <v>-6.0669679999999996E-6</v>
      </c>
      <c r="I6247">
        <v>-54.371040000000001</v>
      </c>
      <c r="J6247">
        <v>-211.99610000000001</v>
      </c>
      <c r="K6247">
        <v>1.115289</v>
      </c>
      <c r="L6247">
        <v>-60.177950000000003</v>
      </c>
      <c r="M6247">
        <v>0.95964119999999997</v>
      </c>
      <c r="N6247">
        <v>-1.4971669999999999E-2</v>
      </c>
      <c r="O6247">
        <v>0.28082879999999999</v>
      </c>
      <c r="P6247">
        <v>0.81718639999999998</v>
      </c>
      <c r="Q6247">
        <v>-4.703007E-2</v>
      </c>
      <c r="R6247">
        <v>0.57445170000000001</v>
      </c>
      <c r="S6247">
        <v>2.634827</v>
      </c>
      <c r="T6247">
        <v>-0.27553670000000002</v>
      </c>
      <c r="U6247">
        <v>1.4498899999999999</v>
      </c>
      <c r="V6247">
        <v>-0.32129930000000001</v>
      </c>
      <c r="W6247">
        <v>-3.756901E-2</v>
      </c>
      <c r="X6247">
        <v>0.94623219999999997</v>
      </c>
      <c r="Y6247">
        <v>-0.21640400000000001</v>
      </c>
      <c r="Z6247">
        <v>-1.0291710000000001E-2</v>
      </c>
      <c r="AA6247">
        <v>0.97624960000000005</v>
      </c>
      <c r="AB6247">
        <v>34</v>
      </c>
      <c r="AC6247">
        <v>10.4625</v>
      </c>
      <c r="AD6247">
        <v>-1.115295066968</v>
      </c>
      <c r="AE6247">
        <v>5.8069100000000002</v>
      </c>
      <c r="AF6247">
        <v>-2.6119827246253902</v>
      </c>
      <c r="AG6247">
        <v>-1.115295066968</v>
      </c>
      <c r="AH6247">
        <v>11.5717732676718</v>
      </c>
      <c r="AI6247">
        <v>95.370897540236498</v>
      </c>
      <c r="AJ6247">
        <v>102.71965231231</v>
      </c>
      <c r="AK6247">
        <v>11.9152118486642</v>
      </c>
      <c r="AL6247">
        <v>92.153052346186399</v>
      </c>
      <c r="AM6247">
        <v>108.75525288026699</v>
      </c>
      <c r="AN6247">
        <v>1.0000000235048501</v>
      </c>
    </row>
    <row r="6248" spans="1:40" x14ac:dyDescent="0.25">
      <c r="A6248" t="str">
        <f>"20190305135354758"</f>
        <v>20190305135354758</v>
      </c>
      <c r="B6248" t="str">
        <f>"1551765234746124"</f>
        <v>1551765234746124</v>
      </c>
      <c r="C6248" t="s">
        <v>40</v>
      </c>
      <c r="D6248">
        <v>4.6765230000000004</v>
      </c>
      <c r="E6248">
        <v>0.50458190000000003</v>
      </c>
      <c r="F6248" t="s">
        <v>81</v>
      </c>
      <c r="G6248">
        <v>-203.68340000000001</v>
      </c>
      <c r="H6248" s="1">
        <v>-5.0625609999999996E-6</v>
      </c>
      <c r="I6248">
        <v>-54.806379999999997</v>
      </c>
      <c r="J6248">
        <v>-211.8115</v>
      </c>
      <c r="K6248">
        <v>1.115192</v>
      </c>
      <c r="L6248">
        <v>-60.12039</v>
      </c>
      <c r="M6248">
        <v>0.95865069999999997</v>
      </c>
      <c r="N6248">
        <v>-1.495956E-2</v>
      </c>
      <c r="O6248">
        <v>0.2841921</v>
      </c>
      <c r="P6248">
        <v>0.81540299999999999</v>
      </c>
      <c r="Q6248">
        <v>-4.6449030000000002E-2</v>
      </c>
      <c r="R6248">
        <v>0.57702730000000002</v>
      </c>
      <c r="S6248">
        <v>2.5110779999999999</v>
      </c>
      <c r="T6248">
        <v>-0.33690310000000001</v>
      </c>
      <c r="U6248">
        <v>1.62262</v>
      </c>
      <c r="V6248">
        <v>-0.32097560000000003</v>
      </c>
      <c r="W6248">
        <v>-3.6908240000000002E-2</v>
      </c>
      <c r="X6248">
        <v>0.94636799999999999</v>
      </c>
      <c r="Y6248">
        <v>-0.28097919999999998</v>
      </c>
      <c r="Z6248">
        <v>-1.0177769999999999E-2</v>
      </c>
      <c r="AA6248">
        <v>0.95965990000000001</v>
      </c>
      <c r="AB6248">
        <v>34</v>
      </c>
      <c r="AC6248">
        <v>8.1280999999999892</v>
      </c>
      <c r="AD6248">
        <v>-1.1151970625609999</v>
      </c>
      <c r="AE6248">
        <v>5.3140099999999899</v>
      </c>
      <c r="AF6248">
        <v>-2.7484038678331202</v>
      </c>
      <c r="AG6248">
        <v>-1.1151970625609999</v>
      </c>
      <c r="AH6248">
        <v>9.1821572231530695</v>
      </c>
      <c r="AI6248">
        <v>96.636652374343001</v>
      </c>
      <c r="AJ6248">
        <v>106.663496643307</v>
      </c>
      <c r="AK6248">
        <v>9.6493211978753592</v>
      </c>
      <c r="AL6248">
        <v>92.115166844278406</v>
      </c>
      <c r="AM6248">
        <v>108.735175649645</v>
      </c>
      <c r="AN6248">
        <v>0.99999997269962804</v>
      </c>
    </row>
    <row r="6249" spans="1:40" x14ac:dyDescent="0.25">
      <c r="A6249" t="str">
        <f>"20190305135354772"</f>
        <v>20190305135354772</v>
      </c>
      <c r="B6249" t="str">
        <f>"1551765234766620"</f>
        <v>1551765234766620</v>
      </c>
      <c r="C6249" t="s">
        <v>40</v>
      </c>
      <c r="D6249">
        <v>4.6022480000000003</v>
      </c>
      <c r="E6249">
        <v>0.49955060000000001</v>
      </c>
      <c r="F6249" t="s">
        <v>81</v>
      </c>
      <c r="G6249">
        <v>-201.83539999999999</v>
      </c>
      <c r="H6249" s="1">
        <v>-6.124003E-6</v>
      </c>
      <c r="I6249">
        <v>-53.274549999999998</v>
      </c>
      <c r="J6249">
        <v>-211.6207</v>
      </c>
      <c r="K6249">
        <v>1.11501299999999</v>
      </c>
      <c r="L6249">
        <v>-60.060419999999901</v>
      </c>
      <c r="M6249">
        <v>0.95751540000000002</v>
      </c>
      <c r="N6249">
        <v>-1.477409E-2</v>
      </c>
      <c r="O6249">
        <v>0.28800379999999998</v>
      </c>
      <c r="P6249">
        <v>0.81319140000000001</v>
      </c>
      <c r="Q6249">
        <v>-4.5449650000000001E-2</v>
      </c>
      <c r="R6249">
        <v>0.58021909999999999</v>
      </c>
      <c r="S6249">
        <v>2.4659580000000001</v>
      </c>
      <c r="T6249">
        <v>-0.27566180000000001</v>
      </c>
      <c r="U6249">
        <v>1.6921999999999999</v>
      </c>
      <c r="V6249">
        <v>-0.32092920000000003</v>
      </c>
      <c r="W6249">
        <v>-3.5970830000000002E-2</v>
      </c>
      <c r="X6249">
        <v>0.94641980000000003</v>
      </c>
      <c r="Y6249">
        <v>-0.30372650000000001</v>
      </c>
      <c r="Z6249">
        <v>-6.3367010000000001E-3</v>
      </c>
      <c r="AA6249">
        <v>0.95273819999999998</v>
      </c>
      <c r="AB6249">
        <v>34</v>
      </c>
      <c r="AC6249">
        <v>9.7852999999999994</v>
      </c>
      <c r="AD6249">
        <v>-1.1150191240030001</v>
      </c>
      <c r="AE6249">
        <v>6.7858699999999903</v>
      </c>
      <c r="AF6249">
        <v>-3.6477897910000201</v>
      </c>
      <c r="AG6249">
        <v>-1.1150191240030001</v>
      </c>
      <c r="AH6249">
        <v>11.2267335370456</v>
      </c>
      <c r="AI6249">
        <v>95.3959904984617</v>
      </c>
      <c r="AJ6249">
        <v>108.000013573643</v>
      </c>
      <c r="AK6249">
        <v>11.857030990852699</v>
      </c>
      <c r="AL6249">
        <v>92.061421566986198</v>
      </c>
      <c r="AM6249">
        <v>108.73170246421201</v>
      </c>
      <c r="AN6249">
        <v>0.99999994492778199</v>
      </c>
    </row>
    <row r="6250" spans="1:40" x14ac:dyDescent="0.25">
      <c r="A6250" t="str">
        <f>"20190305135354792"</f>
        <v>20190305135354792</v>
      </c>
      <c r="B6250" t="str">
        <f>"1551765234786139"</f>
        <v>1551765234786139</v>
      </c>
      <c r="C6250" t="s">
        <v>40</v>
      </c>
      <c r="D6250">
        <v>4.5317819999999998</v>
      </c>
      <c r="E6250">
        <v>0.49906729999999999</v>
      </c>
      <c r="F6250" t="s">
        <v>81</v>
      </c>
      <c r="G6250">
        <v>-199.27340000000001</v>
      </c>
      <c r="H6250" s="1">
        <v>-1.041481E-5</v>
      </c>
      <c r="I6250">
        <v>-51.253149999999998</v>
      </c>
      <c r="J6250">
        <v>-211.33</v>
      </c>
      <c r="K6250">
        <v>1.114771</v>
      </c>
      <c r="L6250">
        <v>-59.967860000000002</v>
      </c>
      <c r="M6250">
        <v>0.9557542</v>
      </c>
      <c r="N6250">
        <v>-1.453306E-2</v>
      </c>
      <c r="O6250">
        <v>0.29380729999999999</v>
      </c>
      <c r="P6250">
        <v>0.80987219999999904</v>
      </c>
      <c r="Q6250">
        <v>-4.2842119999999997E-2</v>
      </c>
      <c r="R6250">
        <v>0.58503989999999995</v>
      </c>
      <c r="S6250">
        <v>2.4367070000000002</v>
      </c>
      <c r="T6250">
        <v>-0.22004770000000001</v>
      </c>
      <c r="U6250">
        <v>1.7380979999999999</v>
      </c>
      <c r="V6250">
        <v>-0.32081799999999999</v>
      </c>
      <c r="W6250">
        <v>-3.3441190000000003E-2</v>
      </c>
      <c r="X6250">
        <v>0.94655029999999996</v>
      </c>
      <c r="Y6250">
        <v>-0.31536219999999998</v>
      </c>
      <c r="Z6250">
        <v>-3.699E-3</v>
      </c>
      <c r="AA6250">
        <v>0.94896420000000004</v>
      </c>
      <c r="AB6250">
        <v>33</v>
      </c>
      <c r="AC6250">
        <v>12.0566</v>
      </c>
      <c r="AD6250">
        <v>-1.1147814148099999</v>
      </c>
      <c r="AE6250">
        <v>8.7147099999999895</v>
      </c>
      <c r="AF6250">
        <v>-4.7605764404379496</v>
      </c>
      <c r="AG6250">
        <v>-1.1147814148099999</v>
      </c>
      <c r="AH6250">
        <v>14.0064267585688</v>
      </c>
      <c r="AI6250">
        <v>94.309490111863994</v>
      </c>
      <c r="AJ6250">
        <v>108.772134396876</v>
      </c>
      <c r="AK6250">
        <v>14.8352895553545</v>
      </c>
      <c r="AL6250">
        <v>91.916396376817204</v>
      </c>
      <c r="AM6250">
        <v>108.723262749245</v>
      </c>
      <c r="AN6250">
        <v>0.99999998637135201</v>
      </c>
    </row>
    <row r="6251" spans="1:40" x14ac:dyDescent="0.25">
      <c r="A6251" t="str">
        <f>"20190305135354804"</f>
        <v>20190305135354804</v>
      </c>
      <c r="B6251" t="str">
        <f>"1551765234795899"</f>
        <v>1551765234795899</v>
      </c>
      <c r="C6251" t="s">
        <v>40</v>
      </c>
      <c r="D6251">
        <v>4.5323979999999997</v>
      </c>
      <c r="E6251">
        <v>0.49910789999999999</v>
      </c>
      <c r="F6251" t="s">
        <v>81</v>
      </c>
      <c r="G6251">
        <v>-196.95500000000001</v>
      </c>
      <c r="H6251" s="1">
        <v>-2.9225509999999999E-6</v>
      </c>
      <c r="I6251">
        <v>-49.549959999999999</v>
      </c>
      <c r="J6251">
        <v>-211.16130000000001</v>
      </c>
      <c r="K6251">
        <v>1.11476</v>
      </c>
      <c r="L6251">
        <v>-59.913539999999998</v>
      </c>
      <c r="M6251">
        <v>0.95485730000000002</v>
      </c>
      <c r="N6251">
        <v>-1.4678449999999999E-2</v>
      </c>
      <c r="O6251">
        <v>0.29670210000000002</v>
      </c>
      <c r="P6251">
        <v>0.80829689999999998</v>
      </c>
      <c r="Q6251">
        <v>-4.197128E-2</v>
      </c>
      <c r="R6251">
        <v>0.5872773</v>
      </c>
      <c r="S6251">
        <v>2.4248500000000002</v>
      </c>
      <c r="T6251">
        <v>-0.18804689999999999</v>
      </c>
      <c r="U6251">
        <v>1.757355</v>
      </c>
      <c r="V6251">
        <v>-0.3205694</v>
      </c>
      <c r="W6251">
        <v>-3.240258E-2</v>
      </c>
      <c r="X6251">
        <v>0.94667069999999998</v>
      </c>
      <c r="Y6251">
        <v>-0.31970490000000001</v>
      </c>
      <c r="Z6251">
        <v>-2.1226470000000001E-3</v>
      </c>
      <c r="AA6251">
        <v>0.94751479999999999</v>
      </c>
      <c r="AB6251">
        <v>34</v>
      </c>
      <c r="AC6251">
        <v>14.206300000000001</v>
      </c>
      <c r="AD6251">
        <v>-1.1147629225510001</v>
      </c>
      <c r="AE6251">
        <v>10.363580000000001</v>
      </c>
      <c r="AF6251">
        <v>-5.6585723617088002</v>
      </c>
      <c r="AG6251">
        <v>-1.1147629225510001</v>
      </c>
      <c r="AH6251">
        <v>16.5750661734758</v>
      </c>
      <c r="AI6251">
        <v>93.641881636670703</v>
      </c>
      <c r="AJ6251">
        <v>108.849424137713</v>
      </c>
      <c r="AK6251">
        <v>17.5497850756439</v>
      </c>
      <c r="AL6251">
        <v>91.856856027503099</v>
      </c>
      <c r="AM6251">
        <v>108.70755017280101</v>
      </c>
      <c r="AN6251">
        <v>1.0000000408227501</v>
      </c>
    </row>
    <row r="6252" spans="1:40" x14ac:dyDescent="0.25">
      <c r="A6252" t="str">
        <f>"20190305135354816"</f>
        <v>20190305135354816</v>
      </c>
      <c r="B6252" t="str">
        <f>"1551765234806636"</f>
        <v>1551765234806636</v>
      </c>
      <c r="C6252" t="s">
        <v>40</v>
      </c>
      <c r="D6252">
        <v>4.5379569999999996</v>
      </c>
      <c r="E6252">
        <v>0.49906470000000003</v>
      </c>
      <c r="F6252" t="s">
        <v>81</v>
      </c>
      <c r="G6252">
        <v>-196.1413</v>
      </c>
      <c r="H6252" s="1">
        <v>-3.0874650000000002E-6</v>
      </c>
      <c r="I6252">
        <v>-48.96564</v>
      </c>
      <c r="J6252">
        <v>-211.01050000000001</v>
      </c>
      <c r="K6252">
        <v>1.1147910000000001</v>
      </c>
      <c r="L6252">
        <v>-59.864260000000002</v>
      </c>
      <c r="M6252">
        <v>0.95417229999999997</v>
      </c>
      <c r="N6252">
        <v>-1.49208E-2</v>
      </c>
      <c r="O6252">
        <v>0.29888579999999998</v>
      </c>
      <c r="P6252">
        <v>0.80712490000000003</v>
      </c>
      <c r="Q6252">
        <v>-4.154791E-2</v>
      </c>
      <c r="R6252">
        <v>0.58891709999999997</v>
      </c>
      <c r="S6252">
        <v>2.4203800000000002</v>
      </c>
      <c r="T6252">
        <v>-0.17963770000000001</v>
      </c>
      <c r="U6252">
        <v>1.7641910000000001</v>
      </c>
      <c r="V6252">
        <v>-0.32032699999999997</v>
      </c>
      <c r="W6252">
        <v>-3.1743149999999998E-2</v>
      </c>
      <c r="X6252">
        <v>0.94677500000000003</v>
      </c>
      <c r="Y6252">
        <v>-0.32013509999999901</v>
      </c>
      <c r="Z6252">
        <v>-1.7096450000000001E-3</v>
      </c>
      <c r="AA6252">
        <v>0.94737039999999995</v>
      </c>
      <c r="AB6252">
        <v>34</v>
      </c>
      <c r="AC6252">
        <v>14.869199999999999</v>
      </c>
      <c r="AD6252">
        <v>-1.114794087465</v>
      </c>
      <c r="AE6252">
        <v>10.8986199999999</v>
      </c>
      <c r="AF6252">
        <v>-5.9339333980687403</v>
      </c>
      <c r="AG6252">
        <v>-1.114794087465</v>
      </c>
      <c r="AH6252">
        <v>17.383598471978601</v>
      </c>
      <c r="AI6252">
        <v>93.473055285459907</v>
      </c>
      <c r="AJ6252">
        <v>108.847463095398</v>
      </c>
      <c r="AK6252">
        <v>18.402277773828501</v>
      </c>
      <c r="AL6252">
        <v>91.819054176109702</v>
      </c>
      <c r="AM6252">
        <v>108.69247111983501</v>
      </c>
      <c r="AN6252">
        <v>0.99999995756296001</v>
      </c>
    </row>
    <row r="6253" spans="1:40" x14ac:dyDescent="0.25">
      <c r="A6253" t="str">
        <f>"20190305135354826"</f>
        <v>20190305135354826</v>
      </c>
      <c r="B6253" t="str">
        <f>"1551765234816493"</f>
        <v>1551765234816493</v>
      </c>
      <c r="C6253" t="s">
        <v>40</v>
      </c>
      <c r="D6253">
        <v>4.5515129999999999</v>
      </c>
      <c r="E6253">
        <v>0.4990753</v>
      </c>
      <c r="F6253" t="s">
        <v>81</v>
      </c>
      <c r="G6253">
        <v>-195.63249999999999</v>
      </c>
      <c r="H6253" s="1">
        <v>-3.188162E-6</v>
      </c>
      <c r="I6253">
        <v>-48.604390000000002</v>
      </c>
      <c r="J6253">
        <v>-210.85669999999999</v>
      </c>
      <c r="K6253">
        <v>1.114816</v>
      </c>
      <c r="L6253">
        <v>-59.813839999999999</v>
      </c>
      <c r="M6253">
        <v>0.95347800000000005</v>
      </c>
      <c r="N6253">
        <v>-1.5161279999999999E-2</v>
      </c>
      <c r="O6253">
        <v>0.3010813</v>
      </c>
      <c r="P6253">
        <v>0.80595190000000005</v>
      </c>
      <c r="Q6253">
        <v>-4.1351239999999997E-2</v>
      </c>
      <c r="R6253">
        <v>0.59053520000000004</v>
      </c>
      <c r="S6253">
        <v>2.4167179999999999</v>
      </c>
      <c r="T6253">
        <v>-0.17519409999999999</v>
      </c>
      <c r="U6253">
        <v>1.769531</v>
      </c>
      <c r="V6253">
        <v>-0.32004959999999999</v>
      </c>
      <c r="W6253">
        <v>-3.131188E-2</v>
      </c>
      <c r="X6253">
        <v>0.94688320000000004</v>
      </c>
      <c r="Y6253">
        <v>-0.3200094</v>
      </c>
      <c r="Z6253">
        <v>-1.4974669999999999E-3</v>
      </c>
      <c r="AA6253">
        <v>0.94741319999999996</v>
      </c>
      <c r="AB6253">
        <v>33</v>
      </c>
      <c r="AC6253">
        <v>15.2241999999999</v>
      </c>
      <c r="AD6253">
        <v>-1.114819188162</v>
      </c>
      <c r="AE6253">
        <v>11.209449999999901</v>
      </c>
      <c r="AF6253">
        <v>-6.0837893048343696</v>
      </c>
      <c r="AG6253">
        <v>-1.114819188162</v>
      </c>
      <c r="AH6253">
        <v>17.830950717410101</v>
      </c>
      <c r="AI6253">
        <v>93.386367855062105</v>
      </c>
      <c r="AJ6253">
        <v>108.839263846508</v>
      </c>
      <c r="AK6253">
        <v>18.873211640169199</v>
      </c>
      <c r="AL6253">
        <v>91.794331880729899</v>
      </c>
      <c r="AM6253">
        <v>108.67542043435201</v>
      </c>
      <c r="AN6253">
        <v>0.99999998736576701</v>
      </c>
    </row>
    <row r="6254" spans="1:40" x14ac:dyDescent="0.25">
      <c r="A6254" t="str">
        <f>"20190305135354836"</f>
        <v>20190305135354836</v>
      </c>
      <c r="B6254" t="str">
        <f>"1551765234825784"</f>
        <v>1551765234825784</v>
      </c>
      <c r="C6254" t="s">
        <v>40</v>
      </c>
      <c r="D6254">
        <v>4.534681</v>
      </c>
      <c r="E6254">
        <v>0.49921300000000002</v>
      </c>
      <c r="F6254" t="s">
        <v>81</v>
      </c>
      <c r="G6254">
        <v>-195.17769999999999</v>
      </c>
      <c r="H6254" s="1">
        <v>-3.276633E-6</v>
      </c>
      <c r="I6254">
        <v>-48.28407</v>
      </c>
      <c r="J6254">
        <v>-210.70400000000001</v>
      </c>
      <c r="K6254">
        <v>1.114787</v>
      </c>
      <c r="L6254">
        <v>-59.763089999999998</v>
      </c>
      <c r="M6254">
        <v>0.95280960000000003</v>
      </c>
      <c r="N6254">
        <v>-1.528125E-2</v>
      </c>
      <c r="O6254">
        <v>0.303183799999999</v>
      </c>
      <c r="P6254">
        <v>0.80480649999999998</v>
      </c>
      <c r="Q6254">
        <v>-4.145501E-2</v>
      </c>
      <c r="R6254">
        <v>0.59208780000000005</v>
      </c>
      <c r="S6254">
        <v>2.4132229999999999</v>
      </c>
      <c r="T6254">
        <v>-0.17158660000000001</v>
      </c>
      <c r="U6254">
        <v>1.774597</v>
      </c>
      <c r="V6254">
        <v>-0.31978849999999998</v>
      </c>
      <c r="W6254">
        <v>-3.1286080000000001E-2</v>
      </c>
      <c r="X6254">
        <v>0.94697229999999999</v>
      </c>
      <c r="Y6254">
        <v>-0.31987379999999999</v>
      </c>
      <c r="Z6254">
        <v>-1.369772E-3</v>
      </c>
      <c r="AA6254">
        <v>0.94745919999999895</v>
      </c>
      <c r="AB6254">
        <v>33</v>
      </c>
      <c r="AC6254">
        <v>15.526300000000001</v>
      </c>
      <c r="AD6254">
        <v>-1.114790276633</v>
      </c>
      <c r="AE6254">
        <v>11.47902</v>
      </c>
      <c r="AF6254">
        <v>-6.2100254294553201</v>
      </c>
      <c r="AG6254">
        <v>-1.114790276633</v>
      </c>
      <c r="AH6254">
        <v>18.215277479152601</v>
      </c>
      <c r="AI6254">
        <v>93.315265156488394</v>
      </c>
      <c r="AJ6254">
        <v>108.825475781317</v>
      </c>
      <c r="AK6254">
        <v>19.277020175273002</v>
      </c>
      <c r="AL6254">
        <v>91.7928528660334</v>
      </c>
      <c r="AM6254">
        <v>108.659605766805</v>
      </c>
      <c r="AN6254">
        <v>1.00000002025065</v>
      </c>
    </row>
    <row r="6255" spans="1:40" x14ac:dyDescent="0.25">
      <c r="A6255" t="str">
        <f>"20190305135354849"</f>
        <v>20190305135354849</v>
      </c>
      <c r="B6255" t="str">
        <f>"1551765234836520"</f>
        <v>1551765234836520</v>
      </c>
      <c r="C6255" t="s">
        <v>40</v>
      </c>
      <c r="D6255">
        <v>4.5284190000000004</v>
      </c>
      <c r="E6255">
        <v>0.49933509999999998</v>
      </c>
      <c r="F6255" t="s">
        <v>81</v>
      </c>
      <c r="G6255">
        <v>-194.75810000000001</v>
      </c>
      <c r="H6255" s="1">
        <v>-3.3533609999999999E-6</v>
      </c>
      <c r="I6255">
        <v>-47.9968</v>
      </c>
      <c r="J6255">
        <v>-210.55090000000001</v>
      </c>
      <c r="K6255">
        <v>1.1147320000000001</v>
      </c>
      <c r="L6255">
        <v>-59.711910000000003</v>
      </c>
      <c r="M6255">
        <v>0.95212649999999999</v>
      </c>
      <c r="N6255">
        <v>-1.536647E-2</v>
      </c>
      <c r="O6255">
        <v>0.30531829999999999</v>
      </c>
      <c r="P6255">
        <v>0.8035139</v>
      </c>
      <c r="Q6255">
        <v>-4.1397150000000001E-2</v>
      </c>
      <c r="R6255">
        <v>0.59384499999999996</v>
      </c>
      <c r="S6255">
        <v>2.410431</v>
      </c>
      <c r="T6255">
        <v>-0.16851479999999999</v>
      </c>
      <c r="U6255">
        <v>1.7786249999999999</v>
      </c>
      <c r="V6255">
        <v>-0.31973810000000003</v>
      </c>
      <c r="W6255">
        <v>-3.1127479999999999E-2</v>
      </c>
      <c r="X6255">
        <v>0.94699449999999996</v>
      </c>
      <c r="Y6255">
        <v>-0.319308799999999</v>
      </c>
      <c r="Z6255">
        <v>-1.296197E-3</v>
      </c>
      <c r="AA6255">
        <v>0.94764979999999999</v>
      </c>
      <c r="AB6255">
        <v>33</v>
      </c>
      <c r="AC6255">
        <v>15.7928</v>
      </c>
      <c r="AD6255">
        <v>-1.114735353361</v>
      </c>
      <c r="AE6255">
        <v>11.7151099999999</v>
      </c>
      <c r="AF6255">
        <v>-6.3128944009971004</v>
      </c>
      <c r="AG6255">
        <v>-1.114735353361</v>
      </c>
      <c r="AH6255">
        <v>18.556140714427102</v>
      </c>
      <c r="AI6255">
        <v>93.2550506736562</v>
      </c>
      <c r="AJ6255">
        <v>108.78856815539</v>
      </c>
      <c r="AK6255">
        <v>19.632259901493601</v>
      </c>
      <c r="AL6255">
        <v>91.783761403258794</v>
      </c>
      <c r="AM6255">
        <v>108.656461365553</v>
      </c>
      <c r="AN6255">
        <v>0.99999997781650496</v>
      </c>
    </row>
    <row r="6256" spans="1:40" x14ac:dyDescent="0.25">
      <c r="A6256" t="str">
        <f>"20190305135354859"</f>
        <v>20190305135354859</v>
      </c>
      <c r="B6256" t="str">
        <f>"1551765234846280"</f>
        <v>1551765234846280</v>
      </c>
      <c r="C6256" t="s">
        <v>40</v>
      </c>
      <c r="D6256">
        <v>4.5296209999999997</v>
      </c>
      <c r="E6256">
        <v>0.49951830000000003</v>
      </c>
      <c r="F6256" t="s">
        <v>81</v>
      </c>
      <c r="G6256">
        <v>-194.49299999999999</v>
      </c>
      <c r="H6256" s="1">
        <v>-3.4014970000000001E-6</v>
      </c>
      <c r="I6256">
        <v>-47.81588</v>
      </c>
      <c r="J6256">
        <v>-210.3818</v>
      </c>
      <c r="K6256">
        <v>1.1146199999999999</v>
      </c>
      <c r="L6256">
        <v>-59.654789999999998</v>
      </c>
      <c r="M6256">
        <v>0.95134099999999999</v>
      </c>
      <c r="N6256">
        <v>-1.5352640000000001E-2</v>
      </c>
      <c r="O6256">
        <v>0.30775760000000002</v>
      </c>
      <c r="P6256">
        <v>0.80212930000000005</v>
      </c>
      <c r="Q6256">
        <v>-4.1740020000000003E-2</v>
      </c>
      <c r="R6256">
        <v>0.59568980000000005</v>
      </c>
      <c r="S6256">
        <v>2.4071039999999999</v>
      </c>
      <c r="T6256">
        <v>-0.16710050000000001</v>
      </c>
      <c r="U6256">
        <v>1.783234</v>
      </c>
      <c r="V6256">
        <v>-0.31949250000000001</v>
      </c>
      <c r="W6256">
        <v>-3.1433759999999998E-2</v>
      </c>
      <c r="X6256">
        <v>0.94706729999999995</v>
      </c>
      <c r="Y6256">
        <v>-0.31868489999999999</v>
      </c>
      <c r="Z6256">
        <v>-1.362666E-3</v>
      </c>
      <c r="AA6256">
        <v>0.94785980000000003</v>
      </c>
      <c r="AB6256">
        <v>33</v>
      </c>
      <c r="AC6256">
        <v>15.8888</v>
      </c>
      <c r="AD6256">
        <v>-1.114623401497</v>
      </c>
      <c r="AE6256">
        <v>11.83891</v>
      </c>
      <c r="AF6256">
        <v>-6.3535870012983002</v>
      </c>
      <c r="AG6256">
        <v>-1.114623401497</v>
      </c>
      <c r="AH6256">
        <v>18.7022100731864</v>
      </c>
      <c r="AI6256">
        <v>93.229830871879898</v>
      </c>
      <c r="AJ6256">
        <v>108.76384984716699</v>
      </c>
      <c r="AK6256">
        <v>19.783405033811199</v>
      </c>
      <c r="AL6256">
        <v>91.801318498221207</v>
      </c>
      <c r="AM6256">
        <v>108.64178737822</v>
      </c>
      <c r="AN6256">
        <v>1.00000000477663</v>
      </c>
    </row>
    <row r="6257" spans="1:40" x14ac:dyDescent="0.25">
      <c r="A6257" t="str">
        <f>"20190305135354870"</f>
        <v>20190305135354870</v>
      </c>
      <c r="B6257" t="str">
        <f>"1551765234865801"</f>
        <v>1551765234865801</v>
      </c>
      <c r="C6257" t="s">
        <v>40</v>
      </c>
      <c r="D6257">
        <v>4.476299</v>
      </c>
      <c r="E6257">
        <v>0.49978610000000001</v>
      </c>
      <c r="F6257" t="s">
        <v>81</v>
      </c>
      <c r="G6257">
        <v>-194.32740000000001</v>
      </c>
      <c r="H6257" s="1">
        <v>-3.424737E-6</v>
      </c>
      <c r="I6257">
        <v>-47.714410000000001</v>
      </c>
      <c r="J6257">
        <v>-210.24780000000001</v>
      </c>
      <c r="K6257">
        <v>1.1145119999999999</v>
      </c>
      <c r="L6257">
        <v>-59.609189999999998</v>
      </c>
      <c r="M6257">
        <v>0.95070109999999997</v>
      </c>
      <c r="N6257">
        <v>-1.533173E-2</v>
      </c>
      <c r="O6257">
        <v>0.30972949999999999</v>
      </c>
      <c r="P6257">
        <v>0.80114229999999997</v>
      </c>
      <c r="Q6257">
        <v>-4.1967619999999997E-2</v>
      </c>
      <c r="R6257">
        <v>0.59700050000000005</v>
      </c>
      <c r="S6257">
        <v>2.4037169999999999</v>
      </c>
      <c r="T6257">
        <v>-0.1668849</v>
      </c>
      <c r="U6257">
        <v>1.78775</v>
      </c>
      <c r="V6257">
        <v>-0.3190828</v>
      </c>
      <c r="W6257">
        <v>-3.1623650000000003E-2</v>
      </c>
      <c r="X6257">
        <v>0.94719909999999996</v>
      </c>
      <c r="Y6257">
        <v>-0.31850899999999999</v>
      </c>
      <c r="Z6257">
        <v>-1.4549280000000001E-3</v>
      </c>
      <c r="AA6257">
        <v>0.9479187</v>
      </c>
      <c r="AB6257">
        <v>33</v>
      </c>
      <c r="AC6257">
        <v>15.920400000000001</v>
      </c>
      <c r="AD6257">
        <v>-1.1145154247369999</v>
      </c>
      <c r="AE6257">
        <v>11.894780000000001</v>
      </c>
      <c r="AF6257">
        <v>-6.35811558394985</v>
      </c>
      <c r="AG6257">
        <v>-1.1145154247369999</v>
      </c>
      <c r="AH6257">
        <v>18.762906902959202</v>
      </c>
      <c r="AI6257">
        <v>93.219931725515707</v>
      </c>
      <c r="AJ6257">
        <v>108.71978430654499</v>
      </c>
      <c r="AK6257">
        <v>19.8422391342297</v>
      </c>
      <c r="AL6257">
        <v>91.812203792748704</v>
      </c>
      <c r="AM6257">
        <v>108.617118646709</v>
      </c>
      <c r="AN6257">
        <v>1.0000000117679799</v>
      </c>
    </row>
    <row r="6258" spans="1:40" x14ac:dyDescent="0.25">
      <c r="A6258" t="str">
        <f>"20190305135354881"</f>
        <v>20190305135354881</v>
      </c>
      <c r="B6258" t="str">
        <f>"1551765234876536"</f>
        <v>1551765234876536</v>
      </c>
      <c r="C6258" t="s">
        <v>40</v>
      </c>
      <c r="D6258">
        <v>4.4976690000000001</v>
      </c>
      <c r="E6258">
        <v>0.49998530000000002</v>
      </c>
      <c r="F6258" t="s">
        <v>81</v>
      </c>
      <c r="G6258">
        <v>-193.9571</v>
      </c>
      <c r="H6258" s="1">
        <v>-3.4877749999999998E-6</v>
      </c>
      <c r="I6258">
        <v>-47.468800000000002</v>
      </c>
      <c r="J6258">
        <v>-210.08160000000001</v>
      </c>
      <c r="K6258">
        <v>1.1143540000000001</v>
      </c>
      <c r="L6258">
        <v>-59.552250000000001</v>
      </c>
      <c r="M6258">
        <v>0.94988360000000005</v>
      </c>
      <c r="N6258">
        <v>-1.5292160000000001E-2</v>
      </c>
      <c r="O6258">
        <v>0.3122298</v>
      </c>
      <c r="P6258">
        <v>0.79982889999999995</v>
      </c>
      <c r="Q6258">
        <v>-4.2751249999999998E-2</v>
      </c>
      <c r="R6258">
        <v>0.59870380000000001</v>
      </c>
      <c r="S6258">
        <v>2.402069</v>
      </c>
      <c r="T6258">
        <v>-0.16433539999999999</v>
      </c>
      <c r="U6258">
        <v>1.7901</v>
      </c>
      <c r="V6258">
        <v>-0.31861729999999999</v>
      </c>
      <c r="W6258">
        <v>-3.2354979999999998E-2</v>
      </c>
      <c r="X6258">
        <v>0.94733109999999998</v>
      </c>
      <c r="Y6258">
        <v>-0.31693470000000001</v>
      </c>
      <c r="Z6258">
        <v>-1.5070750000000001E-3</v>
      </c>
      <c r="AA6258">
        <v>0.94844620000000002</v>
      </c>
      <c r="AB6258">
        <v>33</v>
      </c>
      <c r="AC6258">
        <v>16.124500000000001</v>
      </c>
      <c r="AD6258">
        <v>-1.114357487775</v>
      </c>
      <c r="AE6258">
        <v>12.083449999999999</v>
      </c>
      <c r="AF6258">
        <v>-6.4244252905945203</v>
      </c>
      <c r="AG6258">
        <v>-1.114357487775</v>
      </c>
      <c r="AH6258">
        <v>19.033228483834701</v>
      </c>
      <c r="AI6258">
        <v>93.175123230331806</v>
      </c>
      <c r="AJ6258">
        <v>108.651459319276</v>
      </c>
      <c r="AK6258">
        <v>20.119115771893298</v>
      </c>
      <c r="AL6258">
        <v>91.854127354886401</v>
      </c>
      <c r="AM6258">
        <v>108.58941413266599</v>
      </c>
      <c r="AN6258">
        <v>1.0000000208086499</v>
      </c>
    </row>
    <row r="6259" spans="1:40" x14ac:dyDescent="0.25">
      <c r="A6259" t="str">
        <f>"20190305135354893"</f>
        <v>20190305135354893</v>
      </c>
      <c r="B6259" t="str">
        <f>"1551765234886296"</f>
        <v>1551765234886296</v>
      </c>
      <c r="C6259" t="s">
        <v>40</v>
      </c>
      <c r="D6259">
        <v>4.47316</v>
      </c>
      <c r="E6259">
        <v>0.50022460000000002</v>
      </c>
      <c r="F6259" t="s">
        <v>81</v>
      </c>
      <c r="G6259">
        <v>-193.96870000000001</v>
      </c>
      <c r="H6259" s="1">
        <v>-3.4705780000000001E-6</v>
      </c>
      <c r="I6259">
        <v>-47.502220000000001</v>
      </c>
      <c r="J6259">
        <v>-209.9212</v>
      </c>
      <c r="K6259">
        <v>1.114201</v>
      </c>
      <c r="L6259">
        <v>-59.496769999999998</v>
      </c>
      <c r="M6259">
        <v>0.94907649999999999</v>
      </c>
      <c r="N6259">
        <v>-1.526513E-2</v>
      </c>
      <c r="O6259">
        <v>0.3146757</v>
      </c>
      <c r="P6259">
        <v>0.79862670000000002</v>
      </c>
      <c r="Q6259">
        <v>-4.3962370000000001E-2</v>
      </c>
      <c r="R6259">
        <v>0.60021880000000005</v>
      </c>
      <c r="S6259">
        <v>2.3989720000000001</v>
      </c>
      <c r="T6259">
        <v>-0.16591110000000001</v>
      </c>
      <c r="U6259">
        <v>1.7940670000000001</v>
      </c>
      <c r="V6259">
        <v>-0.31798789999999999</v>
      </c>
      <c r="W6259">
        <v>-3.3487530000000001E-2</v>
      </c>
      <c r="X6259">
        <v>0.94750319999999999</v>
      </c>
      <c r="Y6259">
        <v>-0.31608520000000001</v>
      </c>
      <c r="Z6259">
        <v>-1.7409210000000001E-3</v>
      </c>
      <c r="AA6259">
        <v>0.94872920000000005</v>
      </c>
      <c r="AB6259">
        <v>33</v>
      </c>
      <c r="AC6259">
        <v>15.952499999999899</v>
      </c>
      <c r="AD6259">
        <v>-1.1142044705779901</v>
      </c>
      <c r="AE6259">
        <v>11.994549999999901</v>
      </c>
      <c r="AF6259">
        <v>-6.3448494026213504</v>
      </c>
      <c r="AG6259">
        <v>-1.1142044705779901</v>
      </c>
      <c r="AH6259">
        <v>18.8579698699</v>
      </c>
      <c r="AI6259">
        <v>93.205179189381695</v>
      </c>
      <c r="AJ6259">
        <v>108.595746129101</v>
      </c>
      <c r="AK6259">
        <v>19.9279099044094</v>
      </c>
      <c r="AL6259">
        <v>91.919052893139806</v>
      </c>
      <c r="AM6259">
        <v>108.55206926613501</v>
      </c>
      <c r="AN6259">
        <v>1.0000000166110701</v>
      </c>
    </row>
    <row r="6260" spans="1:40" x14ac:dyDescent="0.25">
      <c r="A6260" t="str">
        <f>"20190305135354904"</f>
        <v>20190305135354904</v>
      </c>
      <c r="B6260" t="str">
        <f>"1551765234896057"</f>
        <v>1551765234896057</v>
      </c>
      <c r="C6260" t="s">
        <v>40</v>
      </c>
      <c r="D6260">
        <v>4.4805539999999997</v>
      </c>
      <c r="E6260">
        <v>0.50035719999999995</v>
      </c>
      <c r="F6260" t="s">
        <v>81</v>
      </c>
      <c r="G6260">
        <v>-194.04220000000001</v>
      </c>
      <c r="H6260" s="1">
        <v>-3.4350210000000001E-6</v>
      </c>
      <c r="I6260">
        <v>-47.589910000000003</v>
      </c>
      <c r="J6260">
        <v>-209.7517</v>
      </c>
      <c r="K6260">
        <v>1.1140380000000001</v>
      </c>
      <c r="L6260">
        <v>-59.437869999999997</v>
      </c>
      <c r="M6260">
        <v>0.94821160000000004</v>
      </c>
      <c r="N6260">
        <v>-1.5242550000000001E-2</v>
      </c>
      <c r="O6260">
        <v>0.31727339999999998</v>
      </c>
      <c r="P6260">
        <v>0.79708669999999904</v>
      </c>
      <c r="Q6260">
        <v>-4.5513530000000003E-2</v>
      </c>
      <c r="R6260">
        <v>0.60214730000000005</v>
      </c>
      <c r="S6260">
        <v>2.3965610000000002</v>
      </c>
      <c r="T6260">
        <v>-0.1681628</v>
      </c>
      <c r="U6260">
        <v>1.797058</v>
      </c>
      <c r="V6260">
        <v>-0.31770359999999997</v>
      </c>
      <c r="W6260">
        <v>-3.4950120000000001E-2</v>
      </c>
      <c r="X6260">
        <v>0.94754570000000005</v>
      </c>
      <c r="Y6260">
        <v>-0.31470310000000001</v>
      </c>
      <c r="Z6260">
        <v>-2.0392019999999999E-3</v>
      </c>
      <c r="AA6260">
        <v>0.94918800000000003</v>
      </c>
      <c r="AB6260">
        <v>33</v>
      </c>
      <c r="AC6260">
        <v>15.709499999999901</v>
      </c>
      <c r="AD6260">
        <v>-1.1140414350209999</v>
      </c>
      <c r="AE6260">
        <v>11.84796</v>
      </c>
      <c r="AF6260">
        <v>-6.2309190396561904</v>
      </c>
      <c r="AG6260">
        <v>-1.1140414350209999</v>
      </c>
      <c r="AH6260">
        <v>18.597524087476</v>
      </c>
      <c r="AI6260">
        <v>93.250879478931495</v>
      </c>
      <c r="AJ6260">
        <v>108.52292269172899</v>
      </c>
      <c r="AK6260">
        <v>19.6451862445217</v>
      </c>
      <c r="AL6260">
        <v>92.002902330022394</v>
      </c>
      <c r="AM6260">
        <v>108.535841873153</v>
      </c>
      <c r="AN6260">
        <v>0.99999997096473103</v>
      </c>
    </row>
    <row r="6261" spans="1:40" x14ac:dyDescent="0.25">
      <c r="A6261" t="str">
        <f>"20190305135354915"</f>
        <v>20190305135354915</v>
      </c>
      <c r="B6261" t="str">
        <f>"1551765234905816"</f>
        <v>1551765234905816</v>
      </c>
      <c r="C6261" t="s">
        <v>40</v>
      </c>
      <c r="D6261">
        <v>4.4692889999999998</v>
      </c>
      <c r="E6261">
        <v>0.50058239999999998</v>
      </c>
      <c r="F6261" t="s">
        <v>81</v>
      </c>
      <c r="G6261">
        <v>-194.21950000000001</v>
      </c>
      <c r="H6261" s="1">
        <v>-3.3859320000000001E-6</v>
      </c>
      <c r="I6261">
        <v>-47.739449999999998</v>
      </c>
      <c r="J6261">
        <v>-209.60919999999999</v>
      </c>
      <c r="K6261">
        <v>1.113918</v>
      </c>
      <c r="L6261">
        <v>-59.38776</v>
      </c>
      <c r="M6261">
        <v>0.94748250000000001</v>
      </c>
      <c r="N6261">
        <v>-1.522811E-2</v>
      </c>
      <c r="O6261">
        <v>0.31944499999999998</v>
      </c>
      <c r="P6261">
        <v>0.79581359999999901</v>
      </c>
      <c r="Q6261">
        <v>-4.6658909999999998E-2</v>
      </c>
      <c r="R6261">
        <v>0.60374150000000004</v>
      </c>
      <c r="S6261">
        <v>2.3925930000000002</v>
      </c>
      <c r="T6261">
        <v>-0.1716077</v>
      </c>
      <c r="U6261">
        <v>1.8020320000000001</v>
      </c>
      <c r="V6261">
        <v>-0.31744620000000001</v>
      </c>
      <c r="W6261">
        <v>-3.6015970000000001E-2</v>
      </c>
      <c r="X6261">
        <v>0.94759210000000005</v>
      </c>
      <c r="Y6261">
        <v>-0.31453880000000001</v>
      </c>
      <c r="Z6261">
        <v>-2.3408589999999998E-3</v>
      </c>
      <c r="AA6261">
        <v>0.94924180000000002</v>
      </c>
      <c r="AB6261">
        <v>33</v>
      </c>
      <c r="AC6261">
        <v>15.3896999999999</v>
      </c>
      <c r="AD6261">
        <v>-1.1139213859320001</v>
      </c>
      <c r="AE6261">
        <v>11.64831</v>
      </c>
      <c r="AF6261">
        <v>-6.1007959385283401</v>
      </c>
      <c r="AG6261">
        <v>-1.1139213859320001</v>
      </c>
      <c r="AH6261">
        <v>18.243820411553799</v>
      </c>
      <c r="AI6261">
        <v>93.314044541464497</v>
      </c>
      <c r="AJ6261">
        <v>108.490111399277</v>
      </c>
      <c r="AK6261">
        <v>19.269081844930401</v>
      </c>
      <c r="AL6261">
        <v>92.064009432975794</v>
      </c>
      <c r="AM6261">
        <v>108.52100422343899</v>
      </c>
      <c r="AN6261">
        <v>1.00000001398594</v>
      </c>
    </row>
    <row r="6262" spans="1:40" x14ac:dyDescent="0.25">
      <c r="A6262" t="str">
        <f>"20190305135354925"</f>
        <v>20190305135354925</v>
      </c>
      <c r="B6262" t="str">
        <f>"1551765234916552"</f>
        <v>1551765234916552</v>
      </c>
      <c r="C6262" t="s">
        <v>40</v>
      </c>
      <c r="D6262">
        <v>4.4850859999999999</v>
      </c>
      <c r="E6262">
        <v>0.50075170000000002</v>
      </c>
      <c r="F6262" t="s">
        <v>81</v>
      </c>
      <c r="G6262">
        <v>-194.405</v>
      </c>
      <c r="H6262" s="1">
        <v>-3.3313670000000001E-6</v>
      </c>
      <c r="I6262">
        <v>-47.901330000000002</v>
      </c>
      <c r="J6262">
        <v>-209.47049999999999</v>
      </c>
      <c r="K6262">
        <v>1.113796</v>
      </c>
      <c r="L6262">
        <v>-59.338929999999998</v>
      </c>
      <c r="M6262">
        <v>0.94676830000000001</v>
      </c>
      <c r="N6262">
        <v>-1.5214510000000001E-2</v>
      </c>
      <c r="O6262">
        <v>0.32155630000000002</v>
      </c>
      <c r="P6262">
        <v>0.79452419999999901</v>
      </c>
      <c r="Q6262">
        <v>-4.758503E-2</v>
      </c>
      <c r="R6262">
        <v>0.60536519999999905</v>
      </c>
      <c r="S6262">
        <v>2.3897710000000001</v>
      </c>
      <c r="T6262">
        <v>-0.1750845</v>
      </c>
      <c r="U6262">
        <v>1.80542</v>
      </c>
      <c r="V6262">
        <v>-0.31728590000000001</v>
      </c>
      <c r="W6262">
        <v>-3.6866080000000002E-2</v>
      </c>
      <c r="X6262">
        <v>0.94761309999999999</v>
      </c>
      <c r="Y6262">
        <v>-0.3138147</v>
      </c>
      <c r="Z6262">
        <v>-2.667839E-3</v>
      </c>
      <c r="AA6262">
        <v>0.94948049999999995</v>
      </c>
      <c r="AB6262">
        <v>33</v>
      </c>
      <c r="AC6262">
        <v>15.065499999999901</v>
      </c>
      <c r="AD6262">
        <v>-1.113799331367</v>
      </c>
      <c r="AE6262">
        <v>11.4376</v>
      </c>
      <c r="AF6262">
        <v>-5.9643628965881099</v>
      </c>
      <c r="AG6262">
        <v>-1.113799331367</v>
      </c>
      <c r="AH6262">
        <v>17.881445856469</v>
      </c>
      <c r="AI6262">
        <v>93.381545692235207</v>
      </c>
      <c r="AJ6262">
        <v>108.446139893951</v>
      </c>
      <c r="AK6262">
        <v>18.882803807448202</v>
      </c>
      <c r="AL6262">
        <v>92.112749511746202</v>
      </c>
      <c r="AM6262">
        <v>108.511907014157</v>
      </c>
      <c r="AN6262">
        <v>1.00000001874249</v>
      </c>
    </row>
    <row r="6263" spans="1:40" x14ac:dyDescent="0.25">
      <c r="A6263" t="str">
        <f>"20190305135354938"</f>
        <v>20190305135354938</v>
      </c>
      <c r="B6263" t="str">
        <f>"1551765234925997"</f>
        <v>1551765234925997</v>
      </c>
      <c r="C6263" t="s">
        <v>40</v>
      </c>
      <c r="D6263">
        <v>4.446923</v>
      </c>
      <c r="E6263">
        <v>0.50099349999999998</v>
      </c>
      <c r="F6263" t="s">
        <v>81</v>
      </c>
      <c r="G6263">
        <v>-194.46520000000001</v>
      </c>
      <c r="H6263" s="1">
        <v>-3.307418E-6</v>
      </c>
      <c r="I6263">
        <v>-47.964399999999998</v>
      </c>
      <c r="J6263">
        <v>-209.28819999999999</v>
      </c>
      <c r="K6263">
        <v>1.113667</v>
      </c>
      <c r="L6263">
        <v>-59.274050000000003</v>
      </c>
      <c r="M6263">
        <v>0.94584570000000001</v>
      </c>
      <c r="N6263">
        <v>-1.519038E-2</v>
      </c>
      <c r="O6263">
        <v>0.32426100000000002</v>
      </c>
      <c r="P6263">
        <v>0.79281499999999905</v>
      </c>
      <c r="Q6263">
        <v>-4.8089519999999997E-2</v>
      </c>
      <c r="R6263">
        <v>0.60756219999999905</v>
      </c>
      <c r="S6263">
        <v>2.3867340000000001</v>
      </c>
      <c r="T6263">
        <v>-0.17716119999999999</v>
      </c>
      <c r="U6263">
        <v>1.8092349999999999</v>
      </c>
      <c r="V6263">
        <v>-0.31721579999999999</v>
      </c>
      <c r="W6263">
        <v>-3.7293739999999999E-2</v>
      </c>
      <c r="X6263">
        <v>0.94761980000000001</v>
      </c>
      <c r="Y6263">
        <v>-0.31264720000000001</v>
      </c>
      <c r="Z6263">
        <v>-2.9708299999999998E-3</v>
      </c>
      <c r="AA6263">
        <v>0.94986470000000001</v>
      </c>
      <c r="AB6263">
        <v>33</v>
      </c>
      <c r="AC6263">
        <v>14.822999999999899</v>
      </c>
      <c r="AD6263">
        <v>-1.1136703074180001</v>
      </c>
      <c r="AE6263">
        <v>11.30965</v>
      </c>
      <c r="AF6263">
        <v>-5.8703984482517404</v>
      </c>
      <c r="AG6263">
        <v>-1.1136703074180001</v>
      </c>
      <c r="AH6263">
        <v>17.626701991665701</v>
      </c>
      <c r="AI6263">
        <v>93.430427830563005</v>
      </c>
      <c r="AJ6263">
        <v>108.419826137415</v>
      </c>
      <c r="AK6263">
        <v>18.611890355303899</v>
      </c>
      <c r="AL6263">
        <v>92.137269556673203</v>
      </c>
      <c r="AM6263">
        <v>108.507973780244</v>
      </c>
      <c r="AN6263">
        <v>0.99999998608243301</v>
      </c>
    </row>
    <row r="6264" spans="1:40" x14ac:dyDescent="0.25">
      <c r="A6264" t="str">
        <f>"20190305135354952"</f>
        <v>20190305135354952</v>
      </c>
      <c r="B6264" t="str">
        <f>"1551765234946494"</f>
        <v>1551765234946494</v>
      </c>
      <c r="C6264" t="s">
        <v>40</v>
      </c>
      <c r="D6264">
        <v>4.4243410000000001</v>
      </c>
      <c r="E6264">
        <v>0.50155349999999999</v>
      </c>
      <c r="F6264" t="s">
        <v>81</v>
      </c>
      <c r="G6264">
        <v>-194.39940000000001</v>
      </c>
      <c r="H6264" s="1">
        <v>-3.3080919999999999E-6</v>
      </c>
      <c r="I6264">
        <v>-47.93853</v>
      </c>
      <c r="J6264">
        <v>-209.11619999999999</v>
      </c>
      <c r="K6264">
        <v>1.113559</v>
      </c>
      <c r="L6264">
        <v>-59.212429999999998</v>
      </c>
      <c r="M6264">
        <v>0.94498309999999996</v>
      </c>
      <c r="N6264">
        <v>-1.51653E-2</v>
      </c>
      <c r="O6264">
        <v>0.32676749999999999</v>
      </c>
      <c r="P6264">
        <v>0.79128989999999999</v>
      </c>
      <c r="Q6264">
        <v>-4.8147049999999997E-2</v>
      </c>
      <c r="R6264">
        <v>0.60954259999999905</v>
      </c>
      <c r="S6264">
        <v>2.3829039999999999</v>
      </c>
      <c r="T6264">
        <v>-0.17823889999999901</v>
      </c>
      <c r="U6264">
        <v>1.814209</v>
      </c>
      <c r="V6264">
        <v>-0.31708340000000002</v>
      </c>
      <c r="W6264">
        <v>-3.7286220000000002E-2</v>
      </c>
      <c r="X6264">
        <v>0.94766439999999996</v>
      </c>
      <c r="Y6264">
        <v>-0.31212200000000001</v>
      </c>
      <c r="Z6264">
        <v>-3.1862370000000002E-3</v>
      </c>
      <c r="AA6264">
        <v>0.95003669999999996</v>
      </c>
      <c r="AB6264">
        <v>33</v>
      </c>
      <c r="AC6264">
        <v>14.7167999999999</v>
      </c>
      <c r="AD6264">
        <v>-1.1135623080920001</v>
      </c>
      <c r="AE6264">
        <v>11.273899999999999</v>
      </c>
      <c r="AF6264">
        <v>-5.8243308319098102</v>
      </c>
      <c r="AG6264">
        <v>-1.1135623080920001</v>
      </c>
      <c r="AH6264">
        <v>17.529846250026701</v>
      </c>
      <c r="AI6264">
        <v>93.449814232011704</v>
      </c>
      <c r="AJ6264">
        <v>108.379183314397</v>
      </c>
      <c r="AK6264">
        <v>18.505630500015702</v>
      </c>
      <c r="AL6264">
        <v>92.136838405758098</v>
      </c>
      <c r="AM6264">
        <v>108.499963423517</v>
      </c>
      <c r="AN6264">
        <v>0.99999997989240397</v>
      </c>
    </row>
    <row r="6265" spans="1:40" x14ac:dyDescent="0.25">
      <c r="A6265" t="str">
        <f>"20190305135354964"</f>
        <v>20190305135354964</v>
      </c>
      <c r="B6265" t="str">
        <f>"1551765234956253"</f>
        <v>1551765234956253</v>
      </c>
      <c r="C6265" t="s">
        <v>40</v>
      </c>
      <c r="D6265">
        <v>4.464766</v>
      </c>
      <c r="E6265">
        <v>0.50156309999999904</v>
      </c>
      <c r="F6265" t="s">
        <v>81</v>
      </c>
      <c r="G6265">
        <v>-194.149</v>
      </c>
      <c r="H6265" s="1">
        <v>-3.3385330000000002E-6</v>
      </c>
      <c r="I6265">
        <v>-47.793030000000002</v>
      </c>
      <c r="J6265">
        <v>-208.9281</v>
      </c>
      <c r="K6265">
        <v>1.1134550000000001</v>
      </c>
      <c r="L6265">
        <v>-59.144649999999999</v>
      </c>
      <c r="M6265">
        <v>0.94405190000000005</v>
      </c>
      <c r="N6265">
        <v>-1.513484E-2</v>
      </c>
      <c r="O6265">
        <v>0.32944959999999901</v>
      </c>
      <c r="P6265">
        <v>0.78991029999999995</v>
      </c>
      <c r="Q6265">
        <v>-4.743033E-2</v>
      </c>
      <c r="R6265">
        <v>0.61138530000000002</v>
      </c>
      <c r="S6265">
        <v>2.3810880000000001</v>
      </c>
      <c r="T6265">
        <v>-0.17715359999999999</v>
      </c>
      <c r="U6265">
        <v>1.816681</v>
      </c>
      <c r="V6265">
        <v>-0.31660500000000003</v>
      </c>
      <c r="W6265">
        <v>-3.65037E-2</v>
      </c>
      <c r="X6265">
        <v>0.9478548</v>
      </c>
      <c r="Y6265">
        <v>-0.31040590000000001</v>
      </c>
      <c r="Z6265">
        <v>-3.3310710000000001E-3</v>
      </c>
      <c r="AA6265">
        <v>0.95059830000000001</v>
      </c>
      <c r="AB6265">
        <v>33</v>
      </c>
      <c r="AC6265">
        <v>14.7791</v>
      </c>
      <c r="AD6265">
        <v>-1.1134583385329999</v>
      </c>
      <c r="AE6265">
        <v>11.351619999999899</v>
      </c>
      <c r="AF6265">
        <v>-5.8274156135764903</v>
      </c>
      <c r="AG6265">
        <v>-1.1134583385329999</v>
      </c>
      <c r="AH6265">
        <v>17.631107082025299</v>
      </c>
      <c r="AI6265">
        <v>93.431500101139605</v>
      </c>
      <c r="AJ6265">
        <v>108.28970123665</v>
      </c>
      <c r="AK6265">
        <v>18.602540126091601</v>
      </c>
      <c r="AL6265">
        <v>92.091972754891898</v>
      </c>
      <c r="AM6265">
        <v>108.47048842804401</v>
      </c>
      <c r="AN6265">
        <v>0.99999998401086498</v>
      </c>
    </row>
    <row r="6266" spans="1:40" x14ac:dyDescent="0.25">
      <c r="A6266" t="str">
        <f>"20190305135354977"</f>
        <v>20190305135354977</v>
      </c>
      <c r="B6266" t="str">
        <f>"1551765234966013"</f>
        <v>1551765234966013</v>
      </c>
      <c r="C6266" t="s">
        <v>40</v>
      </c>
      <c r="D6266">
        <v>4.4012209999999996</v>
      </c>
      <c r="E6266">
        <v>0.50156309999999904</v>
      </c>
      <c r="F6266" t="s">
        <v>81</v>
      </c>
      <c r="G6266">
        <v>-193.6797</v>
      </c>
      <c r="H6266" s="1">
        <v>-3.4345790000000002E-6</v>
      </c>
      <c r="I6266">
        <v>-47.454470000000001</v>
      </c>
      <c r="J6266">
        <v>-208.755</v>
      </c>
      <c r="K6266">
        <v>1.1133710000000001</v>
      </c>
      <c r="L6266">
        <v>-59.0815699999999</v>
      </c>
      <c r="M6266">
        <v>0.94322300000000003</v>
      </c>
      <c r="N6266">
        <v>-1.510449E-2</v>
      </c>
      <c r="O6266">
        <v>0.33181660000000002</v>
      </c>
      <c r="P6266">
        <v>0.78881000000000001</v>
      </c>
      <c r="Q6266">
        <v>-4.6631640000000002E-2</v>
      </c>
      <c r="R6266">
        <v>0.61286569999999996</v>
      </c>
      <c r="S6266">
        <v>2.3769990000000001</v>
      </c>
      <c r="T6266">
        <v>-0.1735717</v>
      </c>
      <c r="U6266">
        <v>1.822327</v>
      </c>
      <c r="V6266">
        <v>-0.31600640000000002</v>
      </c>
      <c r="W6266">
        <v>-3.5650279999999999E-2</v>
      </c>
      <c r="X6266">
        <v>0.94808700000000001</v>
      </c>
      <c r="Y6266">
        <v>-0.31024380000000001</v>
      </c>
      <c r="Z6266">
        <v>-3.24815E-3</v>
      </c>
      <c r="AA6266">
        <v>0.95065149999999998</v>
      </c>
      <c r="AB6266">
        <v>33</v>
      </c>
      <c r="AC6266">
        <v>15.0753</v>
      </c>
      <c r="AD6266">
        <v>-1.113374434579</v>
      </c>
      <c r="AE6266">
        <v>11.627099999999899</v>
      </c>
      <c r="AF6266">
        <v>-5.9450615270479004</v>
      </c>
      <c r="AG6266">
        <v>-1.113374434579</v>
      </c>
      <c r="AH6266">
        <v>18.017875106340298</v>
      </c>
      <c r="AI6266">
        <v>93.358322267034296</v>
      </c>
      <c r="AJ6266">
        <v>108.26048894301699</v>
      </c>
      <c r="AK6266">
        <v>19.005977547593801</v>
      </c>
      <c r="AL6266">
        <v>92.043043557816802</v>
      </c>
      <c r="AM6266">
        <v>108.433719606099</v>
      </c>
      <c r="AN6266">
        <v>0.99999997343701796</v>
      </c>
    </row>
    <row r="6267" spans="1:40" x14ac:dyDescent="0.25">
      <c r="A6267" t="str">
        <f>"20190305135355015"</f>
        <v>20190305135355015</v>
      </c>
      <c r="B6267" t="str">
        <f>"1551765235006029"</f>
        <v>1551765235006029</v>
      </c>
      <c r="C6267" t="s">
        <v>40</v>
      </c>
      <c r="D6267">
        <v>4.4435729999999998</v>
      </c>
      <c r="E6267">
        <v>0.50204499999999996</v>
      </c>
      <c r="F6267" t="s">
        <v>81</v>
      </c>
      <c r="G6267">
        <v>-193.31630000000001</v>
      </c>
      <c r="H6267" s="1">
        <v>-3.5045410000000001E-6</v>
      </c>
      <c r="I6267">
        <v>-47.199750000000002</v>
      </c>
      <c r="J6267">
        <v>-208.22989999999999</v>
      </c>
      <c r="K6267">
        <v>1.1131180000000001</v>
      </c>
      <c r="L6267">
        <v>-58.88794</v>
      </c>
      <c r="M6267">
        <v>0.94079210000000002</v>
      </c>
      <c r="N6267">
        <v>-1.5012609999999999E-2</v>
      </c>
      <c r="O6267">
        <v>0.33865149999999999</v>
      </c>
      <c r="P6267">
        <v>0.78481420000000002</v>
      </c>
      <c r="Q6267">
        <v>-4.614675E-2</v>
      </c>
      <c r="R6267">
        <v>0.61801059999999997</v>
      </c>
      <c r="S6267">
        <v>2.3737180000000002</v>
      </c>
      <c r="T6267">
        <v>-0.17118249999999999</v>
      </c>
      <c r="U6267">
        <v>1.826843</v>
      </c>
      <c r="V6267">
        <v>-0.31534839999999997</v>
      </c>
      <c r="W6267">
        <v>-3.5010220000000002E-2</v>
      </c>
      <c r="X6267">
        <v>0.94832989999999995</v>
      </c>
      <c r="Y6267">
        <v>-0.30513659999999998</v>
      </c>
      <c r="Z6267">
        <v>-3.6495099999999999E-3</v>
      </c>
      <c r="AA6267">
        <v>0.95230159999999997</v>
      </c>
      <c r="AB6267">
        <v>33</v>
      </c>
      <c r="AC6267">
        <v>14.913599999999899</v>
      </c>
      <c r="AD6267">
        <v>-1.1131215045409999</v>
      </c>
      <c r="AE6267">
        <v>11.688190000000001</v>
      </c>
      <c r="AF6267">
        <v>-5.9258633091375303</v>
      </c>
      <c r="AG6267">
        <v>-1.1131215045409999</v>
      </c>
      <c r="AH6267">
        <v>17.928973334167502</v>
      </c>
      <c r="AI6267">
        <v>93.373604763819799</v>
      </c>
      <c r="AJ6267">
        <v>108.289693297521</v>
      </c>
      <c r="AK6267">
        <v>18.915680803495899</v>
      </c>
      <c r="AL6267">
        <v>92.006347929005003</v>
      </c>
      <c r="AM6267">
        <v>108.393528050679</v>
      </c>
      <c r="AN6267">
        <v>0.99999996406050795</v>
      </c>
    </row>
    <row r="6268" spans="1:40" x14ac:dyDescent="0.25">
      <c r="A6268" t="str">
        <f>"20190305135355026"</f>
        <v>20190305135355026</v>
      </c>
      <c r="B6268" t="str">
        <f>"1551765235015790"</f>
        <v>1551765235015790</v>
      </c>
      <c r="C6268" t="s">
        <v>40</v>
      </c>
      <c r="D6268">
        <v>4.4468249999999996</v>
      </c>
      <c r="E6268">
        <v>0.50212049999999997</v>
      </c>
      <c r="F6268" t="s">
        <v>81</v>
      </c>
      <c r="G6268">
        <v>-191.38890000000001</v>
      </c>
      <c r="H6268" s="1">
        <v>-3.8871560000000003E-6</v>
      </c>
      <c r="I6268">
        <v>-45.781700000000001</v>
      </c>
      <c r="J6268">
        <v>-208.0789</v>
      </c>
      <c r="K6268">
        <v>1.1130420000000001</v>
      </c>
      <c r="L6268">
        <v>-58.831670000000003</v>
      </c>
      <c r="M6268">
        <v>0.94011549999999999</v>
      </c>
      <c r="N6268">
        <v>-1.498679E-2</v>
      </c>
      <c r="O6268">
        <v>0.34052650000000001</v>
      </c>
      <c r="P6268">
        <v>0.78331390000000001</v>
      </c>
      <c r="Q6268">
        <v>-4.6173239999999997E-2</v>
      </c>
      <c r="R6268">
        <v>0.61990919999999905</v>
      </c>
      <c r="S6268">
        <v>2.3644099999999999</v>
      </c>
      <c r="T6268">
        <v>-0.15627729999999901</v>
      </c>
      <c r="U6268">
        <v>1.8400570000000001</v>
      </c>
      <c r="V6268">
        <v>-0.31576140000000003</v>
      </c>
      <c r="W6268">
        <v>-3.4995989999999998E-2</v>
      </c>
      <c r="X6268">
        <v>0.94819299999999995</v>
      </c>
      <c r="Y6268">
        <v>-0.308392</v>
      </c>
      <c r="Z6268">
        <v>-2.6742739999999999E-3</v>
      </c>
      <c r="AA6268">
        <v>0.95125559999999998</v>
      </c>
      <c r="AB6268">
        <v>33</v>
      </c>
      <c r="AC6268">
        <v>16.689999999999898</v>
      </c>
      <c r="AD6268">
        <v>-1.1130458871560001</v>
      </c>
      <c r="AE6268">
        <v>13.049969999999901</v>
      </c>
      <c r="AF6268">
        <v>-6.5677040424028297</v>
      </c>
      <c r="AG6268">
        <v>-1.1130458871560001</v>
      </c>
      <c r="AH6268">
        <v>20.081224035058799</v>
      </c>
      <c r="AI6268">
        <v>93.015622984312401</v>
      </c>
      <c r="AJ6268">
        <v>108.11069288831099</v>
      </c>
      <c r="AK6268">
        <v>21.157248551778501</v>
      </c>
      <c r="AL6268">
        <v>92.005532091870606</v>
      </c>
      <c r="AM6268">
        <v>108.418472622134</v>
      </c>
      <c r="AN6268">
        <v>0.99999997314751898</v>
      </c>
    </row>
    <row r="6269" spans="1:40" x14ac:dyDescent="0.25">
      <c r="A6269" t="str">
        <f>"20190305135355038"</f>
        <v>20190305135355038</v>
      </c>
      <c r="B6269" t="str">
        <f>"1551765235026525"</f>
        <v>1551765235026525</v>
      </c>
      <c r="C6269" t="s">
        <v>40</v>
      </c>
      <c r="D6269">
        <v>4.4102550000000003</v>
      </c>
      <c r="E6269">
        <v>0.50238139999999998</v>
      </c>
      <c r="F6269" t="s">
        <v>81</v>
      </c>
      <c r="G6269">
        <v>-190.9134</v>
      </c>
      <c r="H6269" s="1">
        <v>-3.989144E-6</v>
      </c>
      <c r="I6269">
        <v>-45.41084</v>
      </c>
      <c r="J6269">
        <v>-207.9178</v>
      </c>
      <c r="K6269">
        <v>1.1129519999999999</v>
      </c>
      <c r="L6269">
        <v>-58.771090000000001</v>
      </c>
      <c r="M6269">
        <v>0.93942230000000004</v>
      </c>
      <c r="N6269">
        <v>-1.495985E-2</v>
      </c>
      <c r="O6269">
        <v>0.3424355</v>
      </c>
      <c r="P6269">
        <v>0.7818022</v>
      </c>
      <c r="Q6269">
        <v>-4.6024759999999998E-2</v>
      </c>
      <c r="R6269">
        <v>0.62182559999999998</v>
      </c>
      <c r="S6269">
        <v>2.360382</v>
      </c>
      <c r="T6269">
        <v>-0.15305170000000001</v>
      </c>
      <c r="U6269">
        <v>1.845459</v>
      </c>
      <c r="V6269">
        <v>-0.31616509999999998</v>
      </c>
      <c r="W6269">
        <v>-3.4793190000000002E-2</v>
      </c>
      <c r="X6269">
        <v>0.94806599999999996</v>
      </c>
      <c r="Y6269">
        <v>-0.30860599999999999</v>
      </c>
      <c r="Z6269">
        <v>-2.5497060000000001E-3</v>
      </c>
      <c r="AA6269">
        <v>0.95118650000000005</v>
      </c>
      <c r="AB6269">
        <v>33</v>
      </c>
      <c r="AC6269">
        <v>17.0044</v>
      </c>
      <c r="AD6269">
        <v>-1.112955989144</v>
      </c>
      <c r="AE6269">
        <v>13.360250000000001</v>
      </c>
      <c r="AF6269">
        <v>-6.7109834914495803</v>
      </c>
      <c r="AG6269">
        <v>-1.112955989144</v>
      </c>
      <c r="AH6269">
        <v>20.497342901648199</v>
      </c>
      <c r="AI6269">
        <v>92.953968332743699</v>
      </c>
      <c r="AJ6269">
        <v>108.128834051073</v>
      </c>
      <c r="AK6269">
        <v>21.596690405801301</v>
      </c>
      <c r="AL6269">
        <v>91.993905296550807</v>
      </c>
      <c r="AM6269">
        <v>108.442731814057</v>
      </c>
      <c r="AN6269">
        <v>1.0000000384421901</v>
      </c>
    </row>
    <row r="6270" spans="1:40" x14ac:dyDescent="0.25">
      <c r="A6270" t="str">
        <f>"20190305135355048"</f>
        <v>20190305135355048</v>
      </c>
      <c r="B6270" t="str">
        <f>"1551765235036285"</f>
        <v>1551765235036285</v>
      </c>
      <c r="C6270" t="s">
        <v>40</v>
      </c>
      <c r="D6270">
        <v>4.4044230000000004</v>
      </c>
      <c r="E6270">
        <v>0.50274129999999995</v>
      </c>
      <c r="F6270" t="s">
        <v>81</v>
      </c>
      <c r="G6270">
        <v>-190.39449999999999</v>
      </c>
      <c r="H6270" s="1">
        <v>-4.0797010000000003E-6</v>
      </c>
      <c r="I6270">
        <v>-45.020299999999999</v>
      </c>
      <c r="J6270">
        <v>-207.77610000000001</v>
      </c>
      <c r="K6270">
        <v>1.112868</v>
      </c>
      <c r="L6270">
        <v>-58.717680000000001</v>
      </c>
      <c r="M6270">
        <v>0.93881950000000003</v>
      </c>
      <c r="N6270">
        <v>-1.4936680000000001E-2</v>
      </c>
      <c r="O6270">
        <v>0.34408549999999999</v>
      </c>
      <c r="P6270">
        <v>0.78029349999999997</v>
      </c>
      <c r="Q6270">
        <v>-4.5555730000000003E-2</v>
      </c>
      <c r="R6270">
        <v>0.62375219999999998</v>
      </c>
      <c r="S6270">
        <v>2.3572389999999999</v>
      </c>
      <c r="T6270">
        <v>-0.149715299999999</v>
      </c>
      <c r="U6270">
        <v>1.8497619999999999</v>
      </c>
      <c r="V6270">
        <v>-0.31684059999999997</v>
      </c>
      <c r="W6270">
        <v>-3.4278419999999997E-2</v>
      </c>
      <c r="X6270">
        <v>0.94785920000000001</v>
      </c>
      <c r="Y6270">
        <v>-0.3086332</v>
      </c>
      <c r="Z6270">
        <v>-2.4080659999999999E-3</v>
      </c>
      <c r="AA6270">
        <v>0.95117810000000003</v>
      </c>
      <c r="AB6270">
        <v>33</v>
      </c>
      <c r="AC6270">
        <v>17.381599999999999</v>
      </c>
      <c r="AD6270">
        <v>-1.1128720797010001</v>
      </c>
      <c r="AE6270">
        <v>13.697380000000001</v>
      </c>
      <c r="AF6270">
        <v>-6.8620252367851604</v>
      </c>
      <c r="AG6270">
        <v>-1.1128720797010001</v>
      </c>
      <c r="AH6270">
        <v>20.980544388972799</v>
      </c>
      <c r="AI6270">
        <v>92.886125549036805</v>
      </c>
      <c r="AJ6270">
        <v>108.111167084778</v>
      </c>
      <c r="AK6270">
        <v>22.1022423630208</v>
      </c>
      <c r="AL6270">
        <v>91.964393581344297</v>
      </c>
      <c r="AM6270">
        <v>108.483219556978</v>
      </c>
      <c r="AN6270">
        <v>1.00000001945534</v>
      </c>
    </row>
    <row r="6271" spans="1:40" x14ac:dyDescent="0.25">
      <c r="A6271" t="str">
        <f>"20190305135355059"</f>
        <v>20190305135355059</v>
      </c>
      <c r="B6271" t="str">
        <f>"1551765235056782"</f>
        <v>1551765235056782</v>
      </c>
      <c r="C6271" t="s">
        <v>40</v>
      </c>
      <c r="D6271">
        <v>4.413367</v>
      </c>
      <c r="E6271">
        <v>0.5029323</v>
      </c>
      <c r="F6271" t="s">
        <v>81</v>
      </c>
      <c r="G6271">
        <v>-189.80019999999999</v>
      </c>
      <c r="H6271" s="1">
        <v>-6.3059389999999899E-6</v>
      </c>
      <c r="I6271">
        <v>-44.566119999999998</v>
      </c>
      <c r="J6271">
        <v>-207.61760000000001</v>
      </c>
      <c r="K6271">
        <v>1.1127689999999999</v>
      </c>
      <c r="L6271">
        <v>-58.657589999999999</v>
      </c>
      <c r="M6271">
        <v>0.93816699999999997</v>
      </c>
      <c r="N6271">
        <v>-1.491147E-2</v>
      </c>
      <c r="O6271">
        <v>0.34586159999999999</v>
      </c>
      <c r="P6271">
        <v>0.77879109999999996</v>
      </c>
      <c r="Q6271">
        <v>-4.5309149999999999E-2</v>
      </c>
      <c r="R6271">
        <v>0.6256448</v>
      </c>
      <c r="S6271">
        <v>2.354492</v>
      </c>
      <c r="T6271">
        <v>-0.1457647</v>
      </c>
      <c r="U6271">
        <v>1.853577</v>
      </c>
      <c r="V6271">
        <v>-0.31735409999999997</v>
      </c>
      <c r="W6271">
        <v>-3.3972429999999998E-2</v>
      </c>
      <c r="X6271">
        <v>0.94769840000000005</v>
      </c>
      <c r="Y6271">
        <v>-0.30833310000000003</v>
      </c>
      <c r="Z6271">
        <v>-2.2384900000000001E-3</v>
      </c>
      <c r="AA6271">
        <v>0.9512758</v>
      </c>
      <c r="AB6271">
        <v>33</v>
      </c>
      <c r="AC6271">
        <v>17.817399999999999</v>
      </c>
      <c r="AD6271">
        <v>-1.112775305939</v>
      </c>
      <c r="AE6271">
        <v>14.091469999999999</v>
      </c>
      <c r="AF6271">
        <v>-7.0416854435937601</v>
      </c>
      <c r="AG6271">
        <v>-1.112775305939</v>
      </c>
      <c r="AH6271">
        <v>21.540108716591401</v>
      </c>
      <c r="AI6271">
        <v>92.811157308606695</v>
      </c>
      <c r="AJ6271">
        <v>108.10310656016701</v>
      </c>
      <c r="AK6271">
        <v>22.689201975622801</v>
      </c>
      <c r="AL6271">
        <v>91.946851458713894</v>
      </c>
      <c r="AM6271">
        <v>108.51406190767</v>
      </c>
      <c r="AN6271">
        <v>1.0000000040747301</v>
      </c>
    </row>
    <row r="6272" spans="1:40" x14ac:dyDescent="0.25">
      <c r="A6272" t="str">
        <f>"20190305135355071"</f>
        <v>20190305135355071</v>
      </c>
      <c r="B6272" t="str">
        <f>"1551765235066541"</f>
        <v>1551765235066541</v>
      </c>
      <c r="C6272" t="s">
        <v>40</v>
      </c>
      <c r="D6272">
        <v>4.5216260000000004</v>
      </c>
      <c r="E6272">
        <v>0.50280449999999999</v>
      </c>
      <c r="F6272" t="s">
        <v>81</v>
      </c>
      <c r="G6272">
        <v>-189.07089999999999</v>
      </c>
      <c r="H6272" s="1">
        <v>-6.41398699999999E-6</v>
      </c>
      <c r="I6272">
        <v>-43.998280000000001</v>
      </c>
      <c r="J6272">
        <v>-207.4624</v>
      </c>
      <c r="K6272">
        <v>1.1126689999999999</v>
      </c>
      <c r="L6272">
        <v>-58.598480000000002</v>
      </c>
      <c r="M6272">
        <v>0.9375464</v>
      </c>
      <c r="N6272">
        <v>-1.4887589999999999E-2</v>
      </c>
      <c r="O6272">
        <v>0.34754180000000001</v>
      </c>
      <c r="P6272">
        <v>0.77710500000000005</v>
      </c>
      <c r="Q6272">
        <v>-4.4600920000000002E-2</v>
      </c>
      <c r="R6272">
        <v>0.62778869999999998</v>
      </c>
      <c r="S6272">
        <v>2.3510589999999998</v>
      </c>
      <c r="T6272">
        <v>-0.14106009999999999</v>
      </c>
      <c r="U6272">
        <v>1.858276</v>
      </c>
      <c r="V6272">
        <v>-0.31826870000000002</v>
      </c>
      <c r="W6272">
        <v>-3.3207760000000003E-2</v>
      </c>
      <c r="X6272">
        <v>0.94741869999999995</v>
      </c>
      <c r="Y6272">
        <v>-0.30848490000000001</v>
      </c>
      <c r="Z6272">
        <v>-1.9952239999999999E-3</v>
      </c>
      <c r="AA6272">
        <v>0.95122709999999999</v>
      </c>
      <c r="AB6272">
        <v>33</v>
      </c>
      <c r="AC6272">
        <v>18.391500000000001</v>
      </c>
      <c r="AD6272">
        <v>-1.1126754139870001</v>
      </c>
      <c r="AE6272">
        <v>14.600199999999999</v>
      </c>
      <c r="AF6272">
        <v>-7.2810104537521303</v>
      </c>
      <c r="AG6272">
        <v>-1.1126754139870001</v>
      </c>
      <c r="AH6272">
        <v>22.269535695522599</v>
      </c>
      <c r="AI6272">
        <v>92.718944879895702</v>
      </c>
      <c r="AJ6272">
        <v>108.105123549415</v>
      </c>
      <c r="AK6272">
        <v>23.455988145859301</v>
      </c>
      <c r="AL6272">
        <v>91.903014446315296</v>
      </c>
      <c r="AM6272">
        <v>108.56887154067699</v>
      </c>
      <c r="AN6272">
        <v>0.99999995691679699</v>
      </c>
    </row>
    <row r="6273" spans="1:40" x14ac:dyDescent="0.25">
      <c r="A6273" t="str">
        <f>"20190305135355083"</f>
        <v>20190305135355083</v>
      </c>
      <c r="B6273" t="str">
        <f>"1551765235076301"</f>
        <v>1551765235076301</v>
      </c>
      <c r="C6273" t="s">
        <v>40</v>
      </c>
      <c r="D6273">
        <v>4.5050089999999896</v>
      </c>
      <c r="E6273">
        <v>0.50263679999999999</v>
      </c>
      <c r="F6273" t="s">
        <v>81</v>
      </c>
      <c r="G6273">
        <v>-188.97120000000001</v>
      </c>
      <c r="H6273" s="1">
        <v>-6.4383069999999998E-6</v>
      </c>
      <c r="I6273">
        <v>-43.892139999999998</v>
      </c>
      <c r="J6273">
        <v>-207.30109999999999</v>
      </c>
      <c r="K6273">
        <v>1.1125609999999999</v>
      </c>
      <c r="L6273">
        <v>-58.536869999999901</v>
      </c>
      <c r="M6273">
        <v>0.93691749999999996</v>
      </c>
      <c r="N6273">
        <v>-1.486356E-2</v>
      </c>
      <c r="O6273">
        <v>0.34923470000000001</v>
      </c>
      <c r="P6273">
        <v>0.77552169999999998</v>
      </c>
      <c r="Q6273">
        <v>-4.4184630000000003E-2</v>
      </c>
      <c r="R6273">
        <v>0.62977299999999903</v>
      </c>
      <c r="S6273">
        <v>2.3454280000000001</v>
      </c>
      <c r="T6273">
        <v>-0.14113210000000001</v>
      </c>
      <c r="U6273">
        <v>1.865356</v>
      </c>
      <c r="V6273">
        <v>-0.31898379999999998</v>
      </c>
      <c r="W6273">
        <v>-3.2726329999999998E-2</v>
      </c>
      <c r="X6273">
        <v>0.94719500000000001</v>
      </c>
      <c r="Y6273">
        <v>-0.30963750000000001</v>
      </c>
      <c r="Z6273">
        <v>-2.036604E-3</v>
      </c>
      <c r="AA6273">
        <v>0.95085249999999999</v>
      </c>
      <c r="AB6273">
        <v>33</v>
      </c>
      <c r="AC6273">
        <v>18.329899999999899</v>
      </c>
      <c r="AD6273">
        <v>-1.1125674383069999</v>
      </c>
      <c r="AE6273">
        <v>14.6447299999999</v>
      </c>
      <c r="AF6273">
        <v>-7.3038504184728001</v>
      </c>
      <c r="AG6273">
        <v>-1.1125674383069999</v>
      </c>
      <c r="AH6273">
        <v>22.240499829118601</v>
      </c>
      <c r="AI6273">
        <v>92.721056387454198</v>
      </c>
      <c r="AJ6273">
        <v>108.180343597584</v>
      </c>
      <c r="AK6273">
        <v>23.435525807825002</v>
      </c>
      <c r="AL6273">
        <v>91.875415412662605</v>
      </c>
      <c r="AM6273">
        <v>108.61181533115101</v>
      </c>
      <c r="AN6273">
        <v>1.0000000226813499</v>
      </c>
    </row>
    <row r="6274" spans="1:40" x14ac:dyDescent="0.25">
      <c r="A6274" t="str">
        <f>"20190305135355094"</f>
        <v>20190305135355094</v>
      </c>
      <c r="B6274" t="str">
        <f>"1551765235086061"</f>
        <v>1551765235086061</v>
      </c>
      <c r="C6274" t="s">
        <v>40</v>
      </c>
      <c r="D6274">
        <v>4.5016449999999999</v>
      </c>
      <c r="E6274">
        <v>0.50245439999999997</v>
      </c>
      <c r="F6274" t="s">
        <v>81</v>
      </c>
      <c r="G6274">
        <v>-188.89590000000001</v>
      </c>
      <c r="H6274" s="1">
        <v>-6.4575630000000003E-6</v>
      </c>
      <c r="I6274">
        <v>-43.8093</v>
      </c>
      <c r="J6274">
        <v>-207.1454</v>
      </c>
      <c r="K6274">
        <v>1.1124559999999999</v>
      </c>
      <c r="L6274">
        <v>-58.477080000000001</v>
      </c>
      <c r="M6274">
        <v>0.93634410000000001</v>
      </c>
      <c r="N6274">
        <v>-1.484129E-2</v>
      </c>
      <c r="O6274">
        <v>0.35077000000000003</v>
      </c>
      <c r="P6274">
        <v>0.77404099999999998</v>
      </c>
      <c r="Q6274">
        <v>-4.3735910000000003E-2</v>
      </c>
      <c r="R6274">
        <v>0.63162309999999999</v>
      </c>
      <c r="S6274">
        <v>2.3398590000000001</v>
      </c>
      <c r="T6274">
        <v>-0.1414406</v>
      </c>
      <c r="U6274">
        <v>1.872314</v>
      </c>
      <c r="V6274">
        <v>-0.3196968</v>
      </c>
      <c r="W6274">
        <v>-3.2210330000000002E-2</v>
      </c>
      <c r="X6274">
        <v>0.94697229999999999</v>
      </c>
      <c r="Y6274">
        <v>-0.3109055</v>
      </c>
      <c r="Z6274">
        <v>-2.0839309999999998E-3</v>
      </c>
      <c r="AA6274">
        <v>0.95043860000000002</v>
      </c>
      <c r="AB6274">
        <v>33</v>
      </c>
      <c r="AC6274">
        <v>18.249499999999902</v>
      </c>
      <c r="AD6274">
        <v>-1.112462457563</v>
      </c>
      <c r="AE6274">
        <v>14.66778</v>
      </c>
      <c r="AF6274">
        <v>-7.3170007292774901</v>
      </c>
      <c r="AG6274">
        <v>-1.112462457563</v>
      </c>
      <c r="AH6274">
        <v>22.185191723958901</v>
      </c>
      <c r="AI6274">
        <v>92.726431551887401</v>
      </c>
      <c r="AJ6274">
        <v>108.253311362579</v>
      </c>
      <c r="AK6274">
        <v>23.387150408302102</v>
      </c>
      <c r="AL6274">
        <v>91.845835157289002</v>
      </c>
      <c r="AM6274">
        <v>108.65462533180001</v>
      </c>
      <c r="AN6274">
        <v>1.00000004312811</v>
      </c>
    </row>
    <row r="6275" spans="1:40" x14ac:dyDescent="0.25">
      <c r="A6275" t="str">
        <f>"20190305135355105"</f>
        <v>20190305135355105</v>
      </c>
      <c r="B6275" t="str">
        <f>"1551765235095821"</f>
        <v>1551765235095821</v>
      </c>
      <c r="C6275" t="s">
        <v>40</v>
      </c>
      <c r="D6275">
        <v>4.423216</v>
      </c>
      <c r="E6275">
        <v>0.50265649999999995</v>
      </c>
      <c r="F6275" t="s">
        <v>81</v>
      </c>
      <c r="G6275">
        <v>-188.8734</v>
      </c>
      <c r="H6275" s="1">
        <v>-6.4676809999999996E-6</v>
      </c>
      <c r="I6275">
        <v>-43.771529999999998</v>
      </c>
      <c r="J6275">
        <v>-206.98859999999999</v>
      </c>
      <c r="K6275">
        <v>1.1123529999999999</v>
      </c>
      <c r="L6275">
        <v>-58.416719999999998</v>
      </c>
      <c r="M6275">
        <v>0.93577549999999998</v>
      </c>
      <c r="N6275">
        <v>-1.4819489999999999E-2</v>
      </c>
      <c r="O6275">
        <v>0.35228480000000001</v>
      </c>
      <c r="P6275">
        <v>0.7726151</v>
      </c>
      <c r="Q6275">
        <v>-4.3442559999999998E-2</v>
      </c>
      <c r="R6275">
        <v>0.63338669999999997</v>
      </c>
      <c r="S6275">
        <v>2.334549</v>
      </c>
      <c r="T6275">
        <v>-0.1421354</v>
      </c>
      <c r="U6275">
        <v>1.878876</v>
      </c>
      <c r="V6275">
        <v>-0.32033010000000001</v>
      </c>
      <c r="W6275">
        <v>-3.1846149999999997E-2</v>
      </c>
      <c r="X6275">
        <v>0.94677049999999996</v>
      </c>
      <c r="Y6275">
        <v>-0.31204270000000001</v>
      </c>
      <c r="Z6275">
        <v>-2.160861E-3</v>
      </c>
      <c r="AA6275">
        <v>0.95006559999999995</v>
      </c>
      <c r="AB6275">
        <v>33</v>
      </c>
      <c r="AC6275">
        <v>18.115199999999898</v>
      </c>
      <c r="AD6275">
        <v>-1.112359467681</v>
      </c>
      <c r="AE6275">
        <v>14.645189999999999</v>
      </c>
      <c r="AF6275">
        <v>-7.3070430249763696</v>
      </c>
      <c r="AG6275">
        <v>-1.112359467681</v>
      </c>
      <c r="AH6275">
        <v>22.063157861574599</v>
      </c>
      <c r="AI6275">
        <v>92.740115989133798</v>
      </c>
      <c r="AJ6275">
        <v>108.32422738618099</v>
      </c>
      <c r="AK6275">
        <v>23.268286489962101</v>
      </c>
      <c r="AL6275">
        <v>91.824958613320305</v>
      </c>
      <c r="AM6275">
        <v>108.69272212708699</v>
      </c>
      <c r="AN6275">
        <v>0.99999996495304</v>
      </c>
    </row>
    <row r="6276" spans="1:40" x14ac:dyDescent="0.25">
      <c r="A6276" t="str">
        <f>"20190305135355116"</f>
        <v>20190305135355116</v>
      </c>
      <c r="B6276" t="str">
        <f>"1551765235106558"</f>
        <v>1551765235106558</v>
      </c>
      <c r="C6276" t="s">
        <v>40</v>
      </c>
      <c r="D6276">
        <v>4.5452170000000001</v>
      </c>
      <c r="E6276">
        <v>0.50252959999999902</v>
      </c>
      <c r="F6276" t="s">
        <v>81</v>
      </c>
      <c r="G6276">
        <v>-188.79390000000001</v>
      </c>
      <c r="H6276" s="1">
        <v>-6.4752159999999999E-6</v>
      </c>
      <c r="I6276">
        <v>-43.722299999999997</v>
      </c>
      <c r="J6276">
        <v>-206.84540000000001</v>
      </c>
      <c r="K6276">
        <v>1.112247</v>
      </c>
      <c r="L6276">
        <v>-58.3613</v>
      </c>
      <c r="M6276">
        <v>0.9352954</v>
      </c>
      <c r="N6276">
        <v>-1.480042E-2</v>
      </c>
      <c r="O6276">
        <v>0.35355819999999999</v>
      </c>
      <c r="P6276">
        <v>0.77149789999999996</v>
      </c>
      <c r="Q6276">
        <v>-4.332896E-2</v>
      </c>
      <c r="R6276">
        <v>0.63475490000000001</v>
      </c>
      <c r="S6276">
        <v>2.3313449999999998</v>
      </c>
      <c r="T6276">
        <v>-0.1425302</v>
      </c>
      <c r="U6276">
        <v>1.882843</v>
      </c>
      <c r="V6276">
        <v>-0.32072689999999998</v>
      </c>
      <c r="W6276">
        <v>-3.1661889999999998E-2</v>
      </c>
      <c r="X6276">
        <v>0.94664239999999999</v>
      </c>
      <c r="Y6276">
        <v>-0.31236619999999998</v>
      </c>
      <c r="Z6276">
        <v>-2.2334E-3</v>
      </c>
      <c r="AA6276">
        <v>0.9499592</v>
      </c>
      <c r="AB6276">
        <v>33</v>
      </c>
      <c r="AC6276">
        <v>18.051500000000001</v>
      </c>
      <c r="AD6276">
        <v>-1.1122534752159901</v>
      </c>
      <c r="AE6276">
        <v>14.638999999999999</v>
      </c>
      <c r="AF6276">
        <v>-7.2936300397267102</v>
      </c>
      <c r="AG6276">
        <v>-1.1122534752159901</v>
      </c>
      <c r="AH6276">
        <v>22.011228783845699</v>
      </c>
      <c r="AI6276">
        <v>92.746168533552506</v>
      </c>
      <c r="AJ6276">
        <v>108.33310618234199</v>
      </c>
      <c r="AK6276">
        <v>23.214830163590101</v>
      </c>
      <c r="AL6276">
        <v>91.814395854171494</v>
      </c>
      <c r="AM6276">
        <v>108.71662211283299</v>
      </c>
      <c r="AN6276">
        <v>1.0000000265698701</v>
      </c>
    </row>
    <row r="6277" spans="1:40" x14ac:dyDescent="0.25">
      <c r="A6277" t="str">
        <f>"20190305135355128"</f>
        <v>20190305135355128</v>
      </c>
      <c r="B6277" t="str">
        <f>"1551765235116318"</f>
        <v>1551765235116318</v>
      </c>
      <c r="C6277" t="s">
        <v>40</v>
      </c>
      <c r="D6277">
        <v>4.5392349999999997</v>
      </c>
      <c r="E6277">
        <v>0.50240689999999999</v>
      </c>
      <c r="F6277" t="s">
        <v>81</v>
      </c>
      <c r="G6277">
        <v>-188.8349</v>
      </c>
      <c r="H6277" s="1">
        <v>-6.469077E-6</v>
      </c>
      <c r="I6277">
        <v>-43.754429999999999</v>
      </c>
      <c r="J6277">
        <v>-206.7013</v>
      </c>
      <c r="K6277">
        <v>1.112142</v>
      </c>
      <c r="L6277">
        <v>-58.305480000000003</v>
      </c>
      <c r="M6277">
        <v>0.93481769999999997</v>
      </c>
      <c r="N6277">
        <v>-1.478175E-2</v>
      </c>
      <c r="O6277">
        <v>0.35482029999999998</v>
      </c>
      <c r="P6277">
        <v>0.77046329999999996</v>
      </c>
      <c r="Q6277">
        <v>-4.3472579999999997E-2</v>
      </c>
      <c r="R6277">
        <v>0.63600040000000002</v>
      </c>
      <c r="S6277">
        <v>2.3274379999999999</v>
      </c>
      <c r="T6277">
        <v>-0.14373329999999901</v>
      </c>
      <c r="U6277">
        <v>1.8876040000000001</v>
      </c>
      <c r="V6277">
        <v>-0.32098929999999998</v>
      </c>
      <c r="W6277">
        <v>-3.173285E-2</v>
      </c>
      <c r="X6277">
        <v>0.94655100000000003</v>
      </c>
      <c r="Y6277">
        <v>-0.31303429999999999</v>
      </c>
      <c r="Z6277">
        <v>-2.3500999999999999E-3</v>
      </c>
      <c r="AA6277">
        <v>0.94973890000000005</v>
      </c>
      <c r="AB6277">
        <v>33</v>
      </c>
      <c r="AC6277">
        <v>17.866399999999999</v>
      </c>
      <c r="AD6277">
        <v>-1.112148469077</v>
      </c>
      <c r="AE6277">
        <v>14.55105</v>
      </c>
      <c r="AF6277">
        <v>-7.2471282214467401</v>
      </c>
      <c r="AG6277">
        <v>-1.112148469077</v>
      </c>
      <c r="AH6277">
        <v>21.816399946323799</v>
      </c>
      <c r="AI6277">
        <v>92.769709510884297</v>
      </c>
      <c r="AJ6277">
        <v>108.37582537548199</v>
      </c>
      <c r="AK6277">
        <v>23.015495829838599</v>
      </c>
      <c r="AL6277">
        <v>91.818463745784101</v>
      </c>
      <c r="AM6277">
        <v>108.732549922459</v>
      </c>
      <c r="AN6277">
        <v>0.99999995004230502</v>
      </c>
    </row>
    <row r="6278" spans="1:40" x14ac:dyDescent="0.25">
      <c r="A6278" t="str">
        <f>"20190305135355140"</f>
        <v>20190305135355140</v>
      </c>
      <c r="B6278" t="str">
        <f>"1551765235126078"</f>
        <v>1551765235126078</v>
      </c>
      <c r="C6278" t="s">
        <v>40</v>
      </c>
      <c r="D6278">
        <v>4.53111</v>
      </c>
      <c r="E6278">
        <v>0.50224360000000001</v>
      </c>
      <c r="F6278" t="s">
        <v>81</v>
      </c>
      <c r="G6278">
        <v>-189.01349999999999</v>
      </c>
      <c r="H6278" s="1">
        <v>-6.4394009999999999E-6</v>
      </c>
      <c r="I6278">
        <v>-43.903080000000003</v>
      </c>
      <c r="J6278">
        <v>-206.5196</v>
      </c>
      <c r="K6278">
        <v>1.112012</v>
      </c>
      <c r="L6278">
        <v>-58.234769999999997</v>
      </c>
      <c r="M6278">
        <v>0.93425369999999996</v>
      </c>
      <c r="N6278">
        <v>-1.4759339999999999E-2</v>
      </c>
      <c r="O6278">
        <v>0.3563037</v>
      </c>
      <c r="P6278">
        <v>0.769347</v>
      </c>
      <c r="Q6278">
        <v>-4.3710909999999999E-2</v>
      </c>
      <c r="R6278">
        <v>0.63733399999999996</v>
      </c>
      <c r="S6278">
        <v>2.3236690000000002</v>
      </c>
      <c r="T6278">
        <v>-0.14610409999999999</v>
      </c>
      <c r="U6278">
        <v>1.8920589999999999</v>
      </c>
      <c r="V6278">
        <v>-0.32114029999999999</v>
      </c>
      <c r="W6278">
        <v>-3.1879860000000003E-2</v>
      </c>
      <c r="X6278">
        <v>0.94649490000000003</v>
      </c>
      <c r="Y6278">
        <v>-0.3133727</v>
      </c>
      <c r="Z6278">
        <v>-2.5688210000000002E-3</v>
      </c>
      <c r="AA6278">
        <v>0.94962670000000005</v>
      </c>
      <c r="AB6278">
        <v>33</v>
      </c>
      <c r="AC6278">
        <v>17.5061</v>
      </c>
      <c r="AD6278">
        <v>-1.112018439401</v>
      </c>
      <c r="AE6278">
        <v>14.33169</v>
      </c>
      <c r="AF6278">
        <v>-7.1354864669492901</v>
      </c>
      <c r="AG6278">
        <v>-1.112018439401</v>
      </c>
      <c r="AH6278">
        <v>21.4121804541168</v>
      </c>
      <c r="AI6278">
        <v>92.820691105676602</v>
      </c>
      <c r="AJ6278">
        <v>108.430356096388</v>
      </c>
      <c r="AK6278">
        <v>22.597195045607901</v>
      </c>
      <c r="AL6278">
        <v>91.826890958941902</v>
      </c>
      <c r="AM6278">
        <v>108.741780254481</v>
      </c>
      <c r="AN6278">
        <v>1.00000000674185</v>
      </c>
    </row>
    <row r="6279" spans="1:40" x14ac:dyDescent="0.25">
      <c r="A6279" t="str">
        <f>"20190305135355154"</f>
        <v>20190305135355154</v>
      </c>
      <c r="B6279" t="str">
        <f>"1551765235146574"</f>
        <v>1551765235146574</v>
      </c>
      <c r="C6279" t="s">
        <v>40</v>
      </c>
      <c r="D6279">
        <v>4.5531139999999999</v>
      </c>
      <c r="E6279">
        <v>0.50201660000000004</v>
      </c>
      <c r="F6279" t="s">
        <v>81</v>
      </c>
      <c r="G6279">
        <v>-189.11449999999999</v>
      </c>
      <c r="H6279" s="1">
        <v>-6.418084E-6</v>
      </c>
      <c r="I6279">
        <v>-44.000709999999998</v>
      </c>
      <c r="J6279">
        <v>-206.34059999999999</v>
      </c>
      <c r="K6279">
        <v>1.1118950000000001</v>
      </c>
      <c r="L6279">
        <v>-58.164949999999997</v>
      </c>
      <c r="M6279">
        <v>0.93372370000000005</v>
      </c>
      <c r="N6279">
        <v>-1.473853E-2</v>
      </c>
      <c r="O6279">
        <v>0.35769099999999998</v>
      </c>
      <c r="P6279">
        <v>0.76833490000000004</v>
      </c>
      <c r="Q6279">
        <v>-4.3733090000000002E-2</v>
      </c>
      <c r="R6279">
        <v>0.63855229999999996</v>
      </c>
      <c r="S6279">
        <v>2.319534</v>
      </c>
      <c r="T6279">
        <v>-0.1481962</v>
      </c>
      <c r="U6279">
        <v>1.8969419999999999</v>
      </c>
      <c r="V6279">
        <v>-0.32124580000000003</v>
      </c>
      <c r="W6279">
        <v>-3.1816270000000001E-2</v>
      </c>
      <c r="X6279">
        <v>0.94646129999999995</v>
      </c>
      <c r="Y6279">
        <v>-0.3139863</v>
      </c>
      <c r="Z6279">
        <v>-2.7571760000000001E-3</v>
      </c>
      <c r="AA6279">
        <v>0.94942349999999998</v>
      </c>
      <c r="AB6279">
        <v>33</v>
      </c>
      <c r="AC6279">
        <v>17.226099999999999</v>
      </c>
      <c r="AD6279">
        <v>-1.1119014180839999</v>
      </c>
      <c r="AE6279">
        <v>14.164239999999999</v>
      </c>
      <c r="AF6279">
        <v>-7.0471155172567199</v>
      </c>
      <c r="AG6279">
        <v>-1.1119014180839999</v>
      </c>
      <c r="AH6279">
        <v>21.1006852609109</v>
      </c>
      <c r="AI6279">
        <v>92.861334347060094</v>
      </c>
      <c r="AJ6279">
        <v>108.468065348011</v>
      </c>
      <c r="AK6279">
        <v>22.274134783580699</v>
      </c>
      <c r="AL6279">
        <v>91.823245563592394</v>
      </c>
      <c r="AM6279">
        <v>108.748126212404</v>
      </c>
      <c r="AN6279">
        <v>1.00000006572601</v>
      </c>
    </row>
    <row r="6280" spans="1:40" x14ac:dyDescent="0.25">
      <c r="A6280" t="str">
        <f>"20190305135355168"</f>
        <v>20190305135355168</v>
      </c>
      <c r="B6280" t="str">
        <f>"1551765235156332"</f>
        <v>1551765235156332</v>
      </c>
      <c r="C6280" t="s">
        <v>40</v>
      </c>
      <c r="D6280">
        <v>4.5258219999999998</v>
      </c>
      <c r="E6280">
        <v>0.50192519999999996</v>
      </c>
      <c r="F6280" t="s">
        <v>81</v>
      </c>
      <c r="G6280">
        <v>-189.4188</v>
      </c>
      <c r="H6280" s="1">
        <v>-6.3637590000000003E-6</v>
      </c>
      <c r="I6280">
        <v>-44.265230000000003</v>
      </c>
      <c r="J6280">
        <v>-206.14840000000001</v>
      </c>
      <c r="K6280">
        <v>1.1117709999999901</v>
      </c>
      <c r="L6280">
        <v>-58.089689999999997</v>
      </c>
      <c r="M6280">
        <v>0.93317660000000002</v>
      </c>
      <c r="N6280">
        <v>-1.471739E-2</v>
      </c>
      <c r="O6280">
        <v>0.35911690000000002</v>
      </c>
      <c r="P6280">
        <v>0.76749789999999996</v>
      </c>
      <c r="Q6280">
        <v>-4.3740880000000003E-2</v>
      </c>
      <c r="R6280">
        <v>0.6395575</v>
      </c>
      <c r="S6280">
        <v>2.3153229999999998</v>
      </c>
      <c r="T6280">
        <v>-0.15213560000000001</v>
      </c>
      <c r="U6280">
        <v>1.9018250000000001</v>
      </c>
      <c r="V6280">
        <v>-0.32104929999999998</v>
      </c>
      <c r="W6280">
        <v>-3.1733980000000002E-2</v>
      </c>
      <c r="X6280">
        <v>0.9465306</v>
      </c>
      <c r="Y6280">
        <v>-0.31457230000000003</v>
      </c>
      <c r="Z6280">
        <v>-3.078356E-3</v>
      </c>
      <c r="AA6280">
        <v>0.94922850000000003</v>
      </c>
      <c r="AB6280">
        <v>33</v>
      </c>
      <c r="AC6280">
        <v>16.729600000000001</v>
      </c>
      <c r="AD6280">
        <v>-1.1117773637589901</v>
      </c>
      <c r="AE6280">
        <v>13.82446</v>
      </c>
      <c r="AF6280">
        <v>-6.8754831370170502</v>
      </c>
      <c r="AG6280">
        <v>-1.1117773637589901</v>
      </c>
      <c r="AH6280">
        <v>20.524632560605699</v>
      </c>
      <c r="AI6280">
        <v>92.940281987132394</v>
      </c>
      <c r="AJ6280">
        <v>108.520174889857</v>
      </c>
      <c r="AK6280">
        <v>21.674151863956499</v>
      </c>
      <c r="AL6280">
        <v>91.818528545227494</v>
      </c>
      <c r="AM6280">
        <v>108.73618276699899</v>
      </c>
      <c r="AN6280">
        <v>0.999999937626743</v>
      </c>
    </row>
    <row r="6281" spans="1:40" x14ac:dyDescent="0.25">
      <c r="A6281" t="str">
        <f>"20190305135355184"</f>
        <v>20190305135355184</v>
      </c>
      <c r="B6281" t="str">
        <f>"1551765235175853"</f>
        <v>1551765235175853</v>
      </c>
      <c r="C6281" t="s">
        <v>40</v>
      </c>
      <c r="D6281">
        <v>4.5333329999999998</v>
      </c>
      <c r="E6281">
        <v>0.50177039999999995</v>
      </c>
      <c r="F6281" t="s">
        <v>81</v>
      </c>
      <c r="G6281">
        <v>-189.4427</v>
      </c>
      <c r="H6281" s="1">
        <v>-6.3467209999999997E-6</v>
      </c>
      <c r="I6281">
        <v>-44.324179999999998</v>
      </c>
      <c r="J6281">
        <v>-205.91749999999999</v>
      </c>
      <c r="K6281">
        <v>1.11164</v>
      </c>
      <c r="L6281">
        <v>-57.998989999999999</v>
      </c>
      <c r="M6281">
        <v>0.93255449999999995</v>
      </c>
      <c r="N6281">
        <v>-1.469385E-2</v>
      </c>
      <c r="O6281">
        <v>0.3607303</v>
      </c>
      <c r="P6281">
        <v>0.76676199999999906</v>
      </c>
      <c r="Q6281">
        <v>-4.3168749999999999E-2</v>
      </c>
      <c r="R6281">
        <v>0.64047829999999994</v>
      </c>
      <c r="S6281">
        <v>2.3123320000000001</v>
      </c>
      <c r="T6281">
        <v>-0.15388760000000001</v>
      </c>
      <c r="U6281">
        <v>1.905365</v>
      </c>
      <c r="V6281">
        <v>-0.3205519</v>
      </c>
      <c r="W6281">
        <v>-3.1064609999999999E-2</v>
      </c>
      <c r="X6281">
        <v>0.94672140000000005</v>
      </c>
      <c r="Y6281">
        <v>-0.314397599999999</v>
      </c>
      <c r="Z6281">
        <v>-3.283841E-3</v>
      </c>
      <c r="AA6281">
        <v>0.94928570000000001</v>
      </c>
      <c r="AB6281">
        <v>33</v>
      </c>
      <c r="AC6281">
        <v>16.474799999999899</v>
      </c>
      <c r="AD6281">
        <v>-1.1116463467209901</v>
      </c>
      <c r="AE6281">
        <v>13.674810000000001</v>
      </c>
      <c r="AF6281">
        <v>-6.7919717094437297</v>
      </c>
      <c r="AG6281">
        <v>-1.1116463467209901</v>
      </c>
      <c r="AH6281">
        <v>20.244185005568799</v>
      </c>
      <c r="AI6281">
        <v>92.980128659292504</v>
      </c>
      <c r="AJ6281">
        <v>108.546724067564</v>
      </c>
      <c r="AK6281">
        <v>21.382087452860102</v>
      </c>
      <c r="AL6281">
        <v>91.780157488755904</v>
      </c>
      <c r="AM6281">
        <v>108.70566785154</v>
      </c>
      <c r="AN6281">
        <v>0.99999996990300999</v>
      </c>
    </row>
    <row r="6282" spans="1:40" x14ac:dyDescent="0.25">
      <c r="A6282" t="str">
        <f>"20190305135355196"</f>
        <v>20190305135355196</v>
      </c>
      <c r="B6282" t="str">
        <f>"1551765235186590"</f>
        <v>1551765235186590</v>
      </c>
      <c r="C6282" t="s">
        <v>40</v>
      </c>
      <c r="D6282">
        <v>4.5553410000000003</v>
      </c>
      <c r="E6282">
        <v>0.50167779999999995</v>
      </c>
      <c r="F6282" t="s">
        <v>81</v>
      </c>
      <c r="G6282">
        <v>-189.3417</v>
      </c>
      <c r="H6282" s="1">
        <v>-6.3439810000000003E-6</v>
      </c>
      <c r="I6282">
        <v>-44.29842</v>
      </c>
      <c r="J6282">
        <v>-205.76429999999999</v>
      </c>
      <c r="K6282">
        <v>1.1115649999999999</v>
      </c>
      <c r="L6282">
        <v>-57.938510000000001</v>
      </c>
      <c r="M6282">
        <v>0.93216180000000004</v>
      </c>
      <c r="N6282">
        <v>-1.4679599999999999E-2</v>
      </c>
      <c r="O6282">
        <v>0.36174420000000002</v>
      </c>
      <c r="P6282">
        <v>0.76673780000000002</v>
      </c>
      <c r="Q6282">
        <v>-4.270699E-2</v>
      </c>
      <c r="R6282">
        <v>0.6405383</v>
      </c>
      <c r="S6282">
        <v>2.309402</v>
      </c>
      <c r="T6282">
        <v>-0.15487860000000001</v>
      </c>
      <c r="U6282">
        <v>1.9088130000000001</v>
      </c>
      <c r="V6282">
        <v>-0.31959579999999999</v>
      </c>
      <c r="W6282">
        <v>-3.0545510000000001E-2</v>
      </c>
      <c r="X6282">
        <v>0.9470615</v>
      </c>
      <c r="Y6282">
        <v>-0.31479750000000001</v>
      </c>
      <c r="Z6282">
        <v>-3.3891239999999999E-3</v>
      </c>
      <c r="AA6282">
        <v>0.94915280000000002</v>
      </c>
      <c r="AB6282">
        <v>33</v>
      </c>
      <c r="AC6282">
        <v>16.4225999999999</v>
      </c>
      <c r="AD6282">
        <v>-1.111571343981</v>
      </c>
      <c r="AE6282">
        <v>13.640089999999899</v>
      </c>
      <c r="AF6282">
        <v>-6.7564033702955797</v>
      </c>
      <c r="AG6282">
        <v>-1.111571343981</v>
      </c>
      <c r="AH6282">
        <v>20.190187987240201</v>
      </c>
      <c r="AI6282">
        <v>92.988659830811997</v>
      </c>
      <c r="AJ6282">
        <v>108.502197241697</v>
      </c>
      <c r="AK6282">
        <v>21.319668578920201</v>
      </c>
      <c r="AL6282">
        <v>91.750401083861604</v>
      </c>
      <c r="AM6282">
        <v>108.647504405758</v>
      </c>
      <c r="AN6282">
        <v>0.99999999417052499</v>
      </c>
    </row>
    <row r="6283" spans="1:40" x14ac:dyDescent="0.25">
      <c r="A6283" t="str">
        <f>"20190305135355207"</f>
        <v>20190305135355207</v>
      </c>
      <c r="B6283" t="str">
        <f>"1551765235196350"</f>
        <v>1551765235196350</v>
      </c>
      <c r="C6283" t="s">
        <v>40</v>
      </c>
      <c r="D6283">
        <v>4.5464640000000003</v>
      </c>
      <c r="E6283">
        <v>0.50152209999999997</v>
      </c>
      <c r="F6283" t="s">
        <v>81</v>
      </c>
      <c r="G6283">
        <v>-189.2226</v>
      </c>
      <c r="H6283" s="1">
        <v>-6.3437440000000003E-6</v>
      </c>
      <c r="I6283">
        <v>-44.259120000000003</v>
      </c>
      <c r="J6283">
        <v>-205.6206</v>
      </c>
      <c r="K6283">
        <v>1.1115010000000001</v>
      </c>
      <c r="L6283">
        <v>-57.881740000000001</v>
      </c>
      <c r="M6283">
        <v>0.93179480000000003</v>
      </c>
      <c r="N6283">
        <v>-1.466662E-2</v>
      </c>
      <c r="O6283">
        <v>0.36268919999999999</v>
      </c>
      <c r="P6283">
        <v>0.76693290000000003</v>
      </c>
      <c r="Q6283">
        <v>-4.2230759999999999E-2</v>
      </c>
      <c r="R6283">
        <v>0.64033629999999997</v>
      </c>
      <c r="S6283">
        <v>2.3089140000000001</v>
      </c>
      <c r="T6283">
        <v>-0.15515519999999999</v>
      </c>
      <c r="U6283">
        <v>1.9093929999999999</v>
      </c>
      <c r="V6283">
        <v>-0.31838440000000001</v>
      </c>
      <c r="W6283">
        <v>-3.0015500000000001E-2</v>
      </c>
      <c r="X6283">
        <v>0.9474863</v>
      </c>
      <c r="Y6283">
        <v>-0.31407689999999999</v>
      </c>
      <c r="Z6283">
        <v>-3.4783560000000002E-3</v>
      </c>
      <c r="AA6283">
        <v>0.94939119999999999</v>
      </c>
      <c r="AB6283">
        <v>33</v>
      </c>
      <c r="AC6283">
        <v>16.3979999999999</v>
      </c>
      <c r="AD6283">
        <v>-1.111507343744</v>
      </c>
      <c r="AE6283">
        <v>13.6226199999999</v>
      </c>
      <c r="AF6283">
        <v>-6.7285431621963303</v>
      </c>
      <c r="AG6283">
        <v>-1.111507343744</v>
      </c>
      <c r="AH6283">
        <v>20.167697649963301</v>
      </c>
      <c r="AI6283">
        <v>92.992719852236405</v>
      </c>
      <c r="AJ6283">
        <v>108.450230594906</v>
      </c>
      <c r="AK6283">
        <v>21.2895460299432</v>
      </c>
      <c r="AL6283">
        <v>91.720019938838107</v>
      </c>
      <c r="AM6283">
        <v>108.573924440742</v>
      </c>
      <c r="AN6283">
        <v>0.99999992254564696</v>
      </c>
    </row>
    <row r="6284" spans="1:40" x14ac:dyDescent="0.25">
      <c r="A6284" t="str">
        <f>"20190305135355217"</f>
        <v>20190305135355217</v>
      </c>
      <c r="B6284" t="str">
        <f>"1551765235206109"</f>
        <v>1551765235206109</v>
      </c>
      <c r="C6284" t="s">
        <v>40</v>
      </c>
      <c r="D6284">
        <v>4.5679400000000001</v>
      </c>
      <c r="E6284">
        <v>0.5014092</v>
      </c>
      <c r="F6284" t="s">
        <v>81</v>
      </c>
      <c r="G6284">
        <v>-189.10509999999999</v>
      </c>
      <c r="H6284" s="1">
        <v>-6.3430339999999998E-6</v>
      </c>
      <c r="I6284">
        <v>-44.221739999999997</v>
      </c>
      <c r="J6284">
        <v>-205.46719999999999</v>
      </c>
      <c r="K6284">
        <v>1.111453</v>
      </c>
      <c r="L6284">
        <v>-57.820889999999999</v>
      </c>
      <c r="M6284">
        <v>0.93141039999999997</v>
      </c>
      <c r="N6284">
        <v>-1.4653889999999999E-2</v>
      </c>
      <c r="O6284">
        <v>0.36367579999999999</v>
      </c>
      <c r="P6284">
        <v>0.76726930000000004</v>
      </c>
      <c r="Q6284">
        <v>-4.2366029999999999E-2</v>
      </c>
      <c r="R6284">
        <v>0.6399243</v>
      </c>
      <c r="S6284">
        <v>2.3087620000000002</v>
      </c>
      <c r="T6284">
        <v>-0.1553812</v>
      </c>
      <c r="U6284">
        <v>1.9095759999999999</v>
      </c>
      <c r="V6284">
        <v>-0.3168782</v>
      </c>
      <c r="W6284">
        <v>-3.010792E-2</v>
      </c>
      <c r="X6284">
        <v>0.94798830000000001</v>
      </c>
      <c r="Y6284">
        <v>-0.31314910000000001</v>
      </c>
      <c r="Z6284">
        <v>-3.572731E-3</v>
      </c>
      <c r="AA6284">
        <v>0.94969729999999997</v>
      </c>
      <c r="AB6284">
        <v>33</v>
      </c>
      <c r="AC6284">
        <v>16.362099999999899</v>
      </c>
      <c r="AD6284">
        <v>-1.1114593430339901</v>
      </c>
      <c r="AE6284">
        <v>13.59915</v>
      </c>
      <c r="AF6284">
        <v>-6.69833017397539</v>
      </c>
      <c r="AG6284">
        <v>-1.1114593430339901</v>
      </c>
      <c r="AH6284">
        <v>20.1327336373263</v>
      </c>
      <c r="AI6284">
        <v>92.998605348989003</v>
      </c>
      <c r="AJ6284">
        <v>108.402718826005</v>
      </c>
      <c r="AK6284">
        <v>21.246880540501401</v>
      </c>
      <c r="AL6284">
        <v>91.725317391765202</v>
      </c>
      <c r="AM6284">
        <v>108.482917602486</v>
      </c>
      <c r="AN6284">
        <v>1.0000000487094201</v>
      </c>
    </row>
    <row r="6285" spans="1:40" x14ac:dyDescent="0.25">
      <c r="A6285" t="str">
        <f>"20190305135355230"</f>
        <v>20190305135355230</v>
      </c>
      <c r="B6285" t="str">
        <f>"1551765235226606"</f>
        <v>1551765235226606</v>
      </c>
      <c r="C6285" t="s">
        <v>40</v>
      </c>
      <c r="D6285">
        <v>4.5837519999999996</v>
      </c>
      <c r="E6285">
        <v>0.50111260000000002</v>
      </c>
      <c r="F6285" t="s">
        <v>81</v>
      </c>
      <c r="G6285">
        <v>-189.1781</v>
      </c>
      <c r="H6285" s="1">
        <v>-6.306381E-6</v>
      </c>
      <c r="I6285">
        <v>-44.35577</v>
      </c>
      <c r="J6285">
        <v>-205.3092</v>
      </c>
      <c r="K6285">
        <v>1.111413</v>
      </c>
      <c r="L6285">
        <v>-57.758000000000003</v>
      </c>
      <c r="M6285">
        <v>0.93101270000000003</v>
      </c>
      <c r="N6285">
        <v>-1.464149E-2</v>
      </c>
      <c r="O6285">
        <v>0.3646932</v>
      </c>
      <c r="P6285">
        <v>0.76754169999999999</v>
      </c>
      <c r="Q6285">
        <v>-4.2889289999999997E-2</v>
      </c>
      <c r="R6285">
        <v>0.63956269999999904</v>
      </c>
      <c r="S6285">
        <v>2.3092190000000001</v>
      </c>
      <c r="T6285">
        <v>-0.15756519999999999</v>
      </c>
      <c r="U6285">
        <v>1.9088750000000001</v>
      </c>
      <c r="V6285">
        <v>-0.3154072</v>
      </c>
      <c r="W6285">
        <v>-3.0595750000000001E-2</v>
      </c>
      <c r="X6285">
        <v>0.9484631</v>
      </c>
      <c r="Y6285">
        <v>-0.31184699999999999</v>
      </c>
      <c r="Z6285">
        <v>-3.8220620000000002E-3</v>
      </c>
      <c r="AA6285">
        <v>0.95012459999999999</v>
      </c>
      <c r="AB6285">
        <v>33</v>
      </c>
      <c r="AC6285">
        <v>16.1311</v>
      </c>
      <c r="AD6285">
        <v>-1.1114193063810001</v>
      </c>
      <c r="AE6285">
        <v>13.402229999999999</v>
      </c>
      <c r="AF6285">
        <v>-6.5769791333624701</v>
      </c>
      <c r="AG6285">
        <v>-1.1114193063810001</v>
      </c>
      <c r="AH6285">
        <v>19.8523390200702</v>
      </c>
      <c r="AI6285">
        <v>93.042052585272401</v>
      </c>
      <c r="AJ6285">
        <v>108.329771561025</v>
      </c>
      <c r="AK6285">
        <v>20.942952799523798</v>
      </c>
      <c r="AL6285">
        <v>91.753280912479696</v>
      </c>
      <c r="AM6285">
        <v>108.394317144087</v>
      </c>
      <c r="AN6285">
        <v>1.0000000268957501</v>
      </c>
    </row>
    <row r="6286" spans="1:40" x14ac:dyDescent="0.25">
      <c r="A6286" t="str">
        <f>"20190305135355241"</f>
        <v>20190305135355241</v>
      </c>
      <c r="B6286" t="str">
        <f>"1551765235236366"</f>
        <v>1551765235236366</v>
      </c>
      <c r="C6286" t="s">
        <v>40</v>
      </c>
      <c r="D6286">
        <v>4.5938749999999997</v>
      </c>
      <c r="E6286">
        <v>0.50095719999999999</v>
      </c>
      <c r="F6286" t="s">
        <v>81</v>
      </c>
      <c r="G6286">
        <v>-189.5368</v>
      </c>
      <c r="H6286" s="1">
        <v>-6.2280060000000001E-6</v>
      </c>
      <c r="I6286">
        <v>-44.710430000000002</v>
      </c>
      <c r="J6286">
        <v>-205.16079999999999</v>
      </c>
      <c r="K6286">
        <v>1.111389</v>
      </c>
      <c r="L6286">
        <v>-57.698819999999998</v>
      </c>
      <c r="M6286">
        <v>0.93063770000000001</v>
      </c>
      <c r="N6286">
        <v>-1.463077E-2</v>
      </c>
      <c r="O6286">
        <v>0.36564940000000001</v>
      </c>
      <c r="P6286">
        <v>0.76777090000000003</v>
      </c>
      <c r="Q6286">
        <v>-4.3631629999999998E-2</v>
      </c>
      <c r="R6286">
        <v>0.63923719999999995</v>
      </c>
      <c r="S6286">
        <v>2.3083339999999999</v>
      </c>
      <c r="T6286">
        <v>-0.1626592</v>
      </c>
      <c r="U6286">
        <v>1.909546</v>
      </c>
      <c r="V6286">
        <v>-0.31404490000000002</v>
      </c>
      <c r="W6286">
        <v>-3.1316139999999999E-2</v>
      </c>
      <c r="X6286">
        <v>0.9488915</v>
      </c>
      <c r="Y6286">
        <v>-0.31120819999999999</v>
      </c>
      <c r="Z6286">
        <v>-4.2588950000000004E-3</v>
      </c>
      <c r="AA6286">
        <v>0.95033219999999996</v>
      </c>
      <c r="AB6286">
        <v>33</v>
      </c>
      <c r="AC6286">
        <v>15.623999999999899</v>
      </c>
      <c r="AD6286">
        <v>-1.111395228006</v>
      </c>
      <c r="AE6286">
        <v>12.9883899999999</v>
      </c>
      <c r="AF6286">
        <v>-6.3562422296604604</v>
      </c>
      <c r="AG6286">
        <v>-1.111395228006</v>
      </c>
      <c r="AH6286">
        <v>19.233992840554102</v>
      </c>
      <c r="AI6286">
        <v>93.140361542600203</v>
      </c>
      <c r="AJ6286">
        <v>108.28712966932</v>
      </c>
      <c r="AK6286">
        <v>20.287520677141401</v>
      </c>
      <c r="AL6286">
        <v>91.794576077026505</v>
      </c>
      <c r="AM6286">
        <v>108.312465462555</v>
      </c>
      <c r="AN6286">
        <v>0.99999998930637901</v>
      </c>
    </row>
    <row r="6287" spans="1:40" x14ac:dyDescent="0.25">
      <c r="A6287" t="str">
        <f>"20190305135355251"</f>
        <v>20190305135355251</v>
      </c>
      <c r="B6287" t="str">
        <f>"1551765235246125"</f>
        <v>1551765235246125</v>
      </c>
      <c r="C6287" t="s">
        <v>40</v>
      </c>
      <c r="D6287">
        <v>4.5816410000000003</v>
      </c>
      <c r="E6287">
        <v>0.50079669999999998</v>
      </c>
      <c r="F6287" t="s">
        <v>81</v>
      </c>
      <c r="G6287">
        <v>-189.73939999999999</v>
      </c>
      <c r="H6287" s="1">
        <v>-6.1731570000000003E-6</v>
      </c>
      <c r="I6287">
        <v>-44.942360000000001</v>
      </c>
      <c r="J6287">
        <v>-205.02170000000001</v>
      </c>
      <c r="K6287">
        <v>1.11138</v>
      </c>
      <c r="L6287">
        <v>-57.643160000000002</v>
      </c>
      <c r="M6287">
        <v>0.93027850000000001</v>
      </c>
      <c r="N6287">
        <v>-1.462158E-2</v>
      </c>
      <c r="O6287">
        <v>0.36656270000000002</v>
      </c>
      <c r="P6287">
        <v>0.767899199999999</v>
      </c>
      <c r="Q6287">
        <v>-4.486014E-2</v>
      </c>
      <c r="R6287">
        <v>0.63899799999999995</v>
      </c>
      <c r="S6287">
        <v>2.308243</v>
      </c>
      <c r="T6287">
        <v>-0.16635139999999901</v>
      </c>
      <c r="U6287">
        <v>1.9093629999999999</v>
      </c>
      <c r="V6287">
        <v>-0.31283939999999999</v>
      </c>
      <c r="W6287">
        <v>-3.2535309999999998E-2</v>
      </c>
      <c r="X6287">
        <v>0.94924869999999995</v>
      </c>
      <c r="Y6287">
        <v>-0.31024639999999998</v>
      </c>
      <c r="Z6287">
        <v>-4.6066429999999997E-3</v>
      </c>
      <c r="AA6287">
        <v>0.95064499999999996</v>
      </c>
      <c r="AB6287">
        <v>33</v>
      </c>
      <c r="AC6287">
        <v>15.282299999999999</v>
      </c>
      <c r="AD6287">
        <v>-1.1113861731569901</v>
      </c>
      <c r="AE6287">
        <v>12.7007999999999</v>
      </c>
      <c r="AF6287">
        <v>-6.1946462263847799</v>
      </c>
      <c r="AG6287">
        <v>-1.1113861731569901</v>
      </c>
      <c r="AH6287">
        <v>18.8155934516295</v>
      </c>
      <c r="AI6287">
        <v>93.211204389240706</v>
      </c>
      <c r="AJ6287">
        <v>108.22306379754301</v>
      </c>
      <c r="AK6287">
        <v>19.840246420671001</v>
      </c>
      <c r="AL6287">
        <v>91.864464861770202</v>
      </c>
      <c r="AM6287">
        <v>108.240424738751</v>
      </c>
      <c r="AN6287">
        <v>1.00000006552042</v>
      </c>
    </row>
    <row r="6288" spans="1:40" x14ac:dyDescent="0.25">
      <c r="A6288" t="str">
        <f>"20190305135355261"</f>
        <v>20190305135355261</v>
      </c>
      <c r="B6288" t="str">
        <f>"1551765235255886"</f>
        <v>1551765235255886</v>
      </c>
      <c r="C6288" t="s">
        <v>40</v>
      </c>
      <c r="D6288">
        <v>4.5832369999999996</v>
      </c>
      <c r="E6288">
        <v>0.50066350000000004</v>
      </c>
      <c r="F6288" t="s">
        <v>81</v>
      </c>
      <c r="G6288">
        <v>-190.08199999999999</v>
      </c>
      <c r="H6288" s="1">
        <v>-3.9026039999999998E-6</v>
      </c>
      <c r="I6288">
        <v>-45.28105</v>
      </c>
      <c r="J6288">
        <v>-204.87610000000001</v>
      </c>
      <c r="K6288">
        <v>1.1113869999999999</v>
      </c>
      <c r="L6288">
        <v>-57.584719999999997</v>
      </c>
      <c r="M6288">
        <v>0.92989560000000004</v>
      </c>
      <c r="N6288">
        <v>-1.461258E-2</v>
      </c>
      <c r="O6288">
        <v>0.36753330000000001</v>
      </c>
      <c r="P6288">
        <v>0.76800849999999998</v>
      </c>
      <c r="Q6288">
        <v>-4.6008720000000003E-2</v>
      </c>
      <c r="R6288">
        <v>0.63878480000000004</v>
      </c>
      <c r="S6288">
        <v>2.307709</v>
      </c>
      <c r="T6288">
        <v>-0.17167279999999999</v>
      </c>
      <c r="U6288">
        <v>1.909546</v>
      </c>
      <c r="V6288">
        <v>-0.31160460000000001</v>
      </c>
      <c r="W6288">
        <v>-3.3682259999999999E-2</v>
      </c>
      <c r="X6288">
        <v>0.94961470000000003</v>
      </c>
      <c r="Y6288">
        <v>-0.30940200000000001</v>
      </c>
      <c r="Z6288">
        <v>-5.0761859999999999E-3</v>
      </c>
      <c r="AA6288">
        <v>0.95091780000000004</v>
      </c>
      <c r="AB6288">
        <v>33</v>
      </c>
      <c r="AC6288">
        <v>14.7941</v>
      </c>
      <c r="AD6288">
        <v>-1.1113909026039901</v>
      </c>
      <c r="AE6288">
        <v>12.303669999999901</v>
      </c>
      <c r="AF6288">
        <v>-5.9844800160069598</v>
      </c>
      <c r="AG6288">
        <v>-1.1113909026039901</v>
      </c>
      <c r="AH6288">
        <v>18.220143173404399</v>
      </c>
      <c r="AI6288">
        <v>93.316694273421206</v>
      </c>
      <c r="AJ6288">
        <v>108.182976067555</v>
      </c>
      <c r="AK6288">
        <v>19.209966373206701</v>
      </c>
      <c r="AL6288">
        <v>91.930216430037007</v>
      </c>
      <c r="AM6288">
        <v>108.166625244877</v>
      </c>
      <c r="AN6288">
        <v>0.99999999991797806</v>
      </c>
    </row>
    <row r="6289" spans="1:40" x14ac:dyDescent="0.25">
      <c r="A6289" t="str">
        <f>"20190305135355274"</f>
        <v>20190305135355274</v>
      </c>
      <c r="B6289" t="str">
        <f>"1551765235266622"</f>
        <v>1551765235266622</v>
      </c>
      <c r="C6289" t="s">
        <v>40</v>
      </c>
      <c r="D6289">
        <v>4.579663</v>
      </c>
      <c r="E6289">
        <v>0.50051299999999999</v>
      </c>
      <c r="F6289" t="s">
        <v>81</v>
      </c>
      <c r="G6289">
        <v>-190.3493</v>
      </c>
      <c r="H6289" s="1">
        <v>-3.8124959999999998E-6</v>
      </c>
      <c r="I6289">
        <v>-45.5623</v>
      </c>
      <c r="J6289">
        <v>-204.70760000000001</v>
      </c>
      <c r="K6289">
        <v>1.111415</v>
      </c>
      <c r="L6289">
        <v>-57.516750000000002</v>
      </c>
      <c r="M6289">
        <v>0.92943019999999998</v>
      </c>
      <c r="N6289">
        <v>-1.460357E-2</v>
      </c>
      <c r="O6289">
        <v>0.36870900000000001</v>
      </c>
      <c r="P6289">
        <v>0.76752569999999998</v>
      </c>
      <c r="Q6289">
        <v>-4.7000220000000002E-2</v>
      </c>
      <c r="R6289">
        <v>0.63929279999999999</v>
      </c>
      <c r="S6289">
        <v>2.3073579999999998</v>
      </c>
      <c r="T6289">
        <v>-0.1765274</v>
      </c>
      <c r="U6289">
        <v>1.9095759999999999</v>
      </c>
      <c r="V6289">
        <v>-0.31104720000000002</v>
      </c>
      <c r="W6289">
        <v>-3.4695780000000002E-2</v>
      </c>
      <c r="X6289">
        <v>0.94976090000000002</v>
      </c>
      <c r="Y6289">
        <v>-0.30827470000000001</v>
      </c>
      <c r="Z6289">
        <v>-5.5367150000000002E-3</v>
      </c>
      <c r="AA6289">
        <v>0.9512813</v>
      </c>
      <c r="AB6289">
        <v>33</v>
      </c>
      <c r="AC6289">
        <v>14.3583</v>
      </c>
      <c r="AD6289">
        <v>-1.1114188124959901</v>
      </c>
      <c r="AE6289">
        <v>11.95445</v>
      </c>
      <c r="AF6289">
        <v>-5.7968990510340701</v>
      </c>
      <c r="AG6289">
        <v>-1.1114188124959901</v>
      </c>
      <c r="AH6289">
        <v>17.692036724926702</v>
      </c>
      <c r="AI6289">
        <v>93.416357703327293</v>
      </c>
      <c r="AJ6289">
        <v>108.141684810814</v>
      </c>
      <c r="AK6289">
        <v>18.650668992312401</v>
      </c>
      <c r="AL6289">
        <v>91.988320894195894</v>
      </c>
      <c r="AM6289">
        <v>108.1336489583</v>
      </c>
      <c r="AN6289">
        <v>0.99999996247322798</v>
      </c>
    </row>
    <row r="6290" spans="1:40" x14ac:dyDescent="0.25">
      <c r="A6290" t="str">
        <f>"20190305135355285"</f>
        <v>20190305135355285</v>
      </c>
      <c r="B6290" t="str">
        <f>"1551765235276384"</f>
        <v>1551765235276384</v>
      </c>
      <c r="C6290" t="s">
        <v>40</v>
      </c>
      <c r="D6290">
        <v>4.6249019999999996</v>
      </c>
      <c r="E6290">
        <v>0.50034869999999998</v>
      </c>
      <c r="F6290" t="s">
        <v>81</v>
      </c>
      <c r="G6290">
        <v>-190.5292</v>
      </c>
      <c r="H6290" s="1">
        <v>-3.7388460000000001E-6</v>
      </c>
      <c r="I6290">
        <v>-45.756869999999999</v>
      </c>
      <c r="J6290">
        <v>-204.56200000000001</v>
      </c>
      <c r="K6290">
        <v>1.111451</v>
      </c>
      <c r="L6290">
        <v>-57.457949999999997</v>
      </c>
      <c r="M6290">
        <v>0.92901979999999995</v>
      </c>
      <c r="N6290">
        <v>-1.459616E-2</v>
      </c>
      <c r="O6290">
        <v>0.36974220000000002</v>
      </c>
      <c r="P6290">
        <v>0.76707530000000002</v>
      </c>
      <c r="Q6290">
        <v>-4.782927E-2</v>
      </c>
      <c r="R6290">
        <v>0.6397718</v>
      </c>
      <c r="S6290">
        <v>2.3050989999999998</v>
      </c>
      <c r="T6290">
        <v>-0.18069199999999999</v>
      </c>
      <c r="U6290">
        <v>1.911896</v>
      </c>
      <c r="V6290">
        <v>-0.31059730000000002</v>
      </c>
      <c r="W6290">
        <v>-3.5549070000000002E-2</v>
      </c>
      <c r="X6290">
        <v>0.94987659999999996</v>
      </c>
      <c r="Y6290">
        <v>-0.3082376</v>
      </c>
      <c r="Z6290">
        <v>-5.9028780000000003E-3</v>
      </c>
      <c r="AA6290">
        <v>0.95129109999999995</v>
      </c>
      <c r="AB6290">
        <v>33</v>
      </c>
      <c r="AC6290">
        <v>14.0328</v>
      </c>
      <c r="AD6290">
        <v>-1.1114547388460001</v>
      </c>
      <c r="AE6290">
        <v>11.7010799999999</v>
      </c>
      <c r="AF6290">
        <v>-5.6616710429147599</v>
      </c>
      <c r="AG6290">
        <v>-1.1114547388460001</v>
      </c>
      <c r="AH6290">
        <v>17.300959891108501</v>
      </c>
      <c r="AI6290">
        <v>93.493928067362404</v>
      </c>
      <c r="AJ6290">
        <v>108.120480386395</v>
      </c>
      <c r="AK6290">
        <v>18.2376825224157</v>
      </c>
      <c r="AL6290">
        <v>92.037240945712995</v>
      </c>
      <c r="AM6290">
        <v>108.10707185704101</v>
      </c>
      <c r="AN6290">
        <v>0.99999998718635696</v>
      </c>
    </row>
    <row r="6291" spans="1:40" x14ac:dyDescent="0.25">
      <c r="A6291" t="str">
        <f>"20190305135355295"</f>
        <v>20190305135355295</v>
      </c>
      <c r="B6291" t="str">
        <f>"1551765235286142"</f>
        <v>1551765235286142</v>
      </c>
      <c r="C6291" t="s">
        <v>40</v>
      </c>
      <c r="D6291">
        <v>4.6026629999999997</v>
      </c>
      <c r="E6291">
        <v>0.50019559999999996</v>
      </c>
      <c r="F6291" t="s">
        <v>81</v>
      </c>
      <c r="G6291">
        <v>-190.69839999999999</v>
      </c>
      <c r="H6291" s="1">
        <v>-3.6705810000000002E-6</v>
      </c>
      <c r="I6291">
        <v>-45.935780000000001</v>
      </c>
      <c r="J6291">
        <v>-204.422</v>
      </c>
      <c r="K6291">
        <v>1.111513</v>
      </c>
      <c r="L6291">
        <v>-57.400939999999999</v>
      </c>
      <c r="M6291">
        <v>0.9285909</v>
      </c>
      <c r="N6291">
        <v>-1.4590779999999999E-2</v>
      </c>
      <c r="O6291">
        <v>0.37081799999999998</v>
      </c>
      <c r="P6291">
        <v>0.76645240000000003</v>
      </c>
      <c r="Q6291">
        <v>-4.7893440000000002E-2</v>
      </c>
      <c r="R6291">
        <v>0.64051309999999995</v>
      </c>
      <c r="S6291">
        <v>2.3030240000000002</v>
      </c>
      <c r="T6291">
        <v>-0.18463479999999999</v>
      </c>
      <c r="U6291">
        <v>1.9140630000000001</v>
      </c>
      <c r="V6291">
        <v>-0.31041170000000001</v>
      </c>
      <c r="W6291">
        <v>-3.5654320000000003E-2</v>
      </c>
      <c r="X6291">
        <v>0.94993340000000004</v>
      </c>
      <c r="Y6291">
        <v>-0.30808289999999999</v>
      </c>
      <c r="Z6291">
        <v>-6.2610849999999996E-3</v>
      </c>
      <c r="AA6291">
        <v>0.95133889999999999</v>
      </c>
      <c r="AB6291">
        <v>32</v>
      </c>
      <c r="AC6291">
        <v>13.723599999999999</v>
      </c>
      <c r="AD6291">
        <v>-1.111516670581</v>
      </c>
      <c r="AE6291">
        <v>11.465159999999999</v>
      </c>
      <c r="AF6291">
        <v>-5.5366866675252604</v>
      </c>
      <c r="AG6291">
        <v>-1.111516670581</v>
      </c>
      <c r="AH6291">
        <v>16.931494289837101</v>
      </c>
      <c r="AI6291">
        <v>93.570426583215706</v>
      </c>
      <c r="AJ6291">
        <v>108.10801387161401</v>
      </c>
      <c r="AK6291">
        <v>17.8484135835686</v>
      </c>
      <c r="AL6291">
        <v>92.043275004644698</v>
      </c>
      <c r="AM6291">
        <v>108.09594586794501</v>
      </c>
      <c r="AN6291">
        <v>1.0000000592335501</v>
      </c>
    </row>
    <row r="6292" spans="1:40" x14ac:dyDescent="0.25">
      <c r="A6292" t="str">
        <f>"20190305135355306"</f>
        <v>20190305135355306</v>
      </c>
      <c r="B6292" t="str">
        <f>"1551765235295902"</f>
        <v>1551765235295902</v>
      </c>
      <c r="C6292" t="s">
        <v>40</v>
      </c>
      <c r="D6292">
        <v>4.4998250000000004</v>
      </c>
      <c r="E6292">
        <v>0.50017120000000004</v>
      </c>
      <c r="F6292" t="s">
        <v>81</v>
      </c>
      <c r="G6292">
        <v>-190.685</v>
      </c>
      <c r="H6292" s="1">
        <v>-3.6587560000000001E-6</v>
      </c>
      <c r="I6292">
        <v>-45.950710000000001</v>
      </c>
      <c r="J6292">
        <v>-204.28290000000001</v>
      </c>
      <c r="K6292">
        <v>1.111575</v>
      </c>
      <c r="L6292">
        <v>-57.344270000000002</v>
      </c>
      <c r="M6292">
        <v>0.92816030000000005</v>
      </c>
      <c r="N6292">
        <v>-1.458546E-2</v>
      </c>
      <c r="O6292">
        <v>0.37189499999999998</v>
      </c>
      <c r="P6292">
        <v>0.76570150000000003</v>
      </c>
      <c r="Q6292">
        <v>-4.7450770000000003E-2</v>
      </c>
      <c r="R6292">
        <v>0.6414434</v>
      </c>
      <c r="S6292">
        <v>2.300217</v>
      </c>
      <c r="T6292">
        <v>-0.18611910000000001</v>
      </c>
      <c r="U6292">
        <v>1.917297</v>
      </c>
      <c r="V6292">
        <v>-0.31045089999999997</v>
      </c>
      <c r="W6292">
        <v>-3.525532E-2</v>
      </c>
      <c r="X6292">
        <v>0.94993539999999999</v>
      </c>
      <c r="Y6292">
        <v>-0.30833860000000002</v>
      </c>
      <c r="Z6292">
        <v>-6.4216539999999997E-3</v>
      </c>
      <c r="AA6292">
        <v>0.95125499999999996</v>
      </c>
      <c r="AB6292">
        <v>32</v>
      </c>
      <c r="AC6292">
        <v>13.597899999999999</v>
      </c>
      <c r="AD6292">
        <v>-1.1115786587559999</v>
      </c>
      <c r="AE6292">
        <v>11.3935599999999</v>
      </c>
      <c r="AF6292">
        <v>-5.4970635919926103</v>
      </c>
      <c r="AG6292">
        <v>-1.1115786587559999</v>
      </c>
      <c r="AH6292">
        <v>16.794095660752902</v>
      </c>
      <c r="AI6292">
        <v>93.599425994845802</v>
      </c>
      <c r="AJ6292">
        <v>108.12436895167301</v>
      </c>
      <c r="AK6292">
        <v>17.705789005619899</v>
      </c>
      <c r="AL6292">
        <v>92.020399764652794</v>
      </c>
      <c r="AM6292">
        <v>108.09804648319501</v>
      </c>
      <c r="AN6292">
        <v>0.99999998153613601</v>
      </c>
    </row>
    <row r="6293" spans="1:40" x14ac:dyDescent="0.25">
      <c r="A6293" t="str">
        <f>"20190305135355317"</f>
        <v>20190305135355317</v>
      </c>
      <c r="B6293" t="str">
        <f>"1551765235306638"</f>
        <v>1551765235306638</v>
      </c>
      <c r="C6293" t="s">
        <v>40</v>
      </c>
      <c r="D6293">
        <v>4.5095720000000004</v>
      </c>
      <c r="E6293">
        <v>0.5001447</v>
      </c>
      <c r="F6293" t="s">
        <v>81</v>
      </c>
      <c r="G6293">
        <v>-190.37029999999999</v>
      </c>
      <c r="H6293" s="1">
        <v>-3.7267089999999999E-6</v>
      </c>
      <c r="I6293">
        <v>-45.717680000000001</v>
      </c>
      <c r="J6293">
        <v>-204.12620000000001</v>
      </c>
      <c r="K6293">
        <v>1.1116619999999999</v>
      </c>
      <c r="L6293">
        <v>-57.279969999999999</v>
      </c>
      <c r="M6293">
        <v>0.92763629999999997</v>
      </c>
      <c r="N6293">
        <v>-1.458125E-2</v>
      </c>
      <c r="O6293">
        <v>0.37320019999999998</v>
      </c>
      <c r="P6293">
        <v>0.76458899999999996</v>
      </c>
      <c r="Q6293">
        <v>-4.641837E-2</v>
      </c>
      <c r="R6293">
        <v>0.64284439999999998</v>
      </c>
      <c r="S6293">
        <v>2.2978969999999999</v>
      </c>
      <c r="T6293">
        <v>-0.18359519999999999</v>
      </c>
      <c r="U6293">
        <v>1.9203190000000001</v>
      </c>
      <c r="V6293">
        <v>-0.31082979999999999</v>
      </c>
      <c r="W6293">
        <v>-3.4285009999999998E-2</v>
      </c>
      <c r="X6293">
        <v>0.949847</v>
      </c>
      <c r="Y6293">
        <v>-0.3082145</v>
      </c>
      <c r="Z6293">
        <v>-6.3056989999999997E-3</v>
      </c>
      <c r="AA6293">
        <v>0.95129600000000003</v>
      </c>
      <c r="AB6293">
        <v>32</v>
      </c>
      <c r="AC6293">
        <v>13.7559</v>
      </c>
      <c r="AD6293">
        <v>-1.111665726709</v>
      </c>
      <c r="AE6293">
        <v>11.5622899999999</v>
      </c>
      <c r="AF6293">
        <v>-5.5711683440873996</v>
      </c>
      <c r="AG6293">
        <v>-1.111665726709</v>
      </c>
      <c r="AH6293">
        <v>17.012228929530298</v>
      </c>
      <c r="AI6293">
        <v>93.553503606355605</v>
      </c>
      <c r="AJ6293">
        <v>108.132597503659</v>
      </c>
      <c r="AK6293">
        <v>17.935708811107801</v>
      </c>
      <c r="AL6293">
        <v>91.964771470081203</v>
      </c>
      <c r="AM6293">
        <v>108.120268272529</v>
      </c>
      <c r="AN6293">
        <v>0.99999997494386905</v>
      </c>
    </row>
    <row r="6294" spans="1:40" x14ac:dyDescent="0.25">
      <c r="A6294" t="str">
        <f>"20190305135355328"</f>
        <v>20190305135355328</v>
      </c>
      <c r="B6294" t="str">
        <f>"1551765235316398"</f>
        <v>1551765235316398</v>
      </c>
      <c r="C6294" t="s">
        <v>40</v>
      </c>
      <c r="D6294">
        <v>4.5145790000000003</v>
      </c>
      <c r="E6294">
        <v>0.50012429999999997</v>
      </c>
      <c r="F6294" t="s">
        <v>81</v>
      </c>
      <c r="G6294">
        <v>-189.9143</v>
      </c>
      <c r="H6294" s="1">
        <v>-6.053501E-6</v>
      </c>
      <c r="I6294">
        <v>-45.35859</v>
      </c>
      <c r="J6294">
        <v>-203.988</v>
      </c>
      <c r="K6294">
        <v>1.111748</v>
      </c>
      <c r="L6294">
        <v>-57.223140000000001</v>
      </c>
      <c r="M6294">
        <v>0.92716019999999999</v>
      </c>
      <c r="N6294">
        <v>-1.457782E-2</v>
      </c>
      <c r="O6294">
        <v>0.37438159999999998</v>
      </c>
      <c r="P6294">
        <v>0.76359650000000001</v>
      </c>
      <c r="Q6294">
        <v>-4.4586510000000003E-2</v>
      </c>
      <c r="R6294">
        <v>0.64415239999999996</v>
      </c>
      <c r="S6294">
        <v>2.2945250000000001</v>
      </c>
      <c r="T6294">
        <v>-0.17947939999999901</v>
      </c>
      <c r="U6294">
        <v>1.9247129999999999</v>
      </c>
      <c r="V6294">
        <v>-0.31120959999999998</v>
      </c>
      <c r="W6294">
        <v>-3.2510490000000003E-2</v>
      </c>
      <c r="X6294">
        <v>0.94978510000000005</v>
      </c>
      <c r="Y6294">
        <v>-0.30876589999999998</v>
      </c>
      <c r="Z6294">
        <v>-6.0342919999999897E-3</v>
      </c>
      <c r="AA6294">
        <v>0.95111889999999999</v>
      </c>
      <c r="AB6294">
        <v>32</v>
      </c>
      <c r="AC6294">
        <v>14.073700000000001</v>
      </c>
      <c r="AD6294">
        <v>-1.111754053501</v>
      </c>
      <c r="AE6294">
        <v>11.864549999999999</v>
      </c>
      <c r="AF6294">
        <v>-5.7111798882990596</v>
      </c>
      <c r="AG6294">
        <v>-1.111754053501</v>
      </c>
      <c r="AH6294">
        <v>17.428725395967</v>
      </c>
      <c r="AI6294">
        <v>93.468857425850402</v>
      </c>
      <c r="AJ6294">
        <v>108.143336382811</v>
      </c>
      <c r="AK6294">
        <v>18.374276631204101</v>
      </c>
      <c r="AL6294">
        <v>91.863042072434695</v>
      </c>
      <c r="AM6294">
        <v>108.142064554146</v>
      </c>
      <c r="AN6294">
        <v>1.0000000416371</v>
      </c>
    </row>
    <row r="6295" spans="1:40" x14ac:dyDescent="0.25">
      <c r="A6295" t="str">
        <f>"20190305135355340"</f>
        <v>20190305135355340</v>
      </c>
      <c r="B6295" t="str">
        <f>"1551765235335918"</f>
        <v>1551765235335918</v>
      </c>
      <c r="C6295" t="s">
        <v>40</v>
      </c>
      <c r="D6295">
        <v>4.5233369999999997</v>
      </c>
      <c r="E6295">
        <v>0.49996049999999997</v>
      </c>
      <c r="F6295" t="s">
        <v>81</v>
      </c>
      <c r="G6295">
        <v>-189.2612</v>
      </c>
      <c r="H6295" s="1">
        <v>-6.1579370000000003E-6</v>
      </c>
      <c r="I6295">
        <v>-44.827150000000003</v>
      </c>
      <c r="J6295">
        <v>-203.81389999999999</v>
      </c>
      <c r="K6295">
        <v>1.1118629999999901</v>
      </c>
      <c r="L6295">
        <v>-57.151060000000001</v>
      </c>
      <c r="M6295">
        <v>0.92651989999999995</v>
      </c>
      <c r="N6295">
        <v>-1.457463E-2</v>
      </c>
      <c r="O6295">
        <v>0.37596350000000001</v>
      </c>
      <c r="P6295">
        <v>0.76238139999999999</v>
      </c>
      <c r="Q6295">
        <v>-4.270082E-2</v>
      </c>
      <c r="R6295">
        <v>0.64571769999999995</v>
      </c>
      <c r="S6295">
        <v>2.29155</v>
      </c>
      <c r="T6295">
        <v>-0.17299320000000001</v>
      </c>
      <c r="U6295">
        <v>1.9288639999999999</v>
      </c>
      <c r="V6295">
        <v>-0.3115</v>
      </c>
      <c r="W6295">
        <v>-3.070314E-2</v>
      </c>
      <c r="X6295">
        <v>0.94974999999999998</v>
      </c>
      <c r="Y6295">
        <v>-0.30876920000000002</v>
      </c>
      <c r="Z6295">
        <v>-5.617833E-3</v>
      </c>
      <c r="AA6295">
        <v>0.95112039999999998</v>
      </c>
      <c r="AB6295">
        <v>32</v>
      </c>
      <c r="AC6295">
        <v>14.5526999999999</v>
      </c>
      <c r="AD6295">
        <v>-1.1118691579369999</v>
      </c>
      <c r="AE6295">
        <v>12.3239099999999</v>
      </c>
      <c r="AF6295">
        <v>-5.9275447314954297</v>
      </c>
      <c r="AG6295">
        <v>-1.1118691579369999</v>
      </c>
      <c r="AH6295">
        <v>18.057244898364502</v>
      </c>
      <c r="AI6295">
        <v>93.348172109952102</v>
      </c>
      <c r="AJ6295">
        <v>108.17314992961499</v>
      </c>
      <c r="AK6295">
        <v>19.037755458240401</v>
      </c>
      <c r="AL6295">
        <v>91.759436849609401</v>
      </c>
      <c r="AM6295">
        <v>108.158510048056</v>
      </c>
      <c r="AN6295">
        <v>0.99999999765292902</v>
      </c>
    </row>
    <row r="6296" spans="1:40" x14ac:dyDescent="0.25">
      <c r="A6296" t="str">
        <f>"20190305135355354"</f>
        <v>20190305135355354</v>
      </c>
      <c r="B6296" t="str">
        <f>"1551765235346654"</f>
        <v>1551765235346654</v>
      </c>
      <c r="C6296" t="s">
        <v>40</v>
      </c>
      <c r="D6296">
        <v>4.5378499999999997</v>
      </c>
      <c r="E6296">
        <v>0.4999189</v>
      </c>
      <c r="F6296" t="s">
        <v>81</v>
      </c>
      <c r="G6296">
        <v>-188.63130000000001</v>
      </c>
      <c r="H6296" s="1">
        <v>-6.2609429999999998E-6</v>
      </c>
      <c r="I6296">
        <v>-44.307760000000002</v>
      </c>
      <c r="J6296">
        <v>-203.65270000000001</v>
      </c>
      <c r="K6296">
        <v>1.1119840000000001</v>
      </c>
      <c r="L6296">
        <v>-57.083889999999997</v>
      </c>
      <c r="M6296">
        <v>0.92588530000000002</v>
      </c>
      <c r="N6296">
        <v>-1.4572730000000001E-2</v>
      </c>
      <c r="O6296">
        <v>0.37752360000000001</v>
      </c>
      <c r="P6296">
        <v>0.76124069999999899</v>
      </c>
      <c r="Q6296">
        <v>-4.002675E-2</v>
      </c>
      <c r="R6296">
        <v>0.6472329</v>
      </c>
      <c r="S6296">
        <v>2.287048</v>
      </c>
      <c r="T6296">
        <v>-0.16748750000000001</v>
      </c>
      <c r="U6296">
        <v>1.9346620000000001</v>
      </c>
      <c r="V6296">
        <v>-0.31174350000000001</v>
      </c>
      <c r="W6296">
        <v>-2.8107960000000001E-2</v>
      </c>
      <c r="X6296">
        <v>0.94975050000000005</v>
      </c>
      <c r="Y6296">
        <v>-0.30950290000000003</v>
      </c>
      <c r="Z6296">
        <v>-5.2426620000000004E-3</v>
      </c>
      <c r="AA6296">
        <v>0.95088399999999995</v>
      </c>
      <c r="AB6296">
        <v>32</v>
      </c>
      <c r="AC6296">
        <v>15.0214</v>
      </c>
      <c r="AD6296">
        <v>-1.1119902609429999</v>
      </c>
      <c r="AE6296">
        <v>12.77613</v>
      </c>
      <c r="AF6296">
        <v>-6.1394299330360598</v>
      </c>
      <c r="AG6296">
        <v>-1.1119902609429999</v>
      </c>
      <c r="AH6296">
        <v>18.673994133604602</v>
      </c>
      <c r="AI6296">
        <v>93.237698909313494</v>
      </c>
      <c r="AJ6296">
        <v>108.19926086179299</v>
      </c>
      <c r="AK6296">
        <v>19.688757684145301</v>
      </c>
      <c r="AL6296">
        <v>91.610679550439102</v>
      </c>
      <c r="AM6296">
        <v>108.171763064232</v>
      </c>
      <c r="AN6296">
        <v>1.0000000397289299</v>
      </c>
    </row>
    <row r="6297" spans="1:40" x14ac:dyDescent="0.25">
      <c r="A6297" t="str">
        <f>"20190305135355368"</f>
        <v>20190305135355368</v>
      </c>
      <c r="B6297" t="str">
        <f>"1551765235356413"</f>
        <v>1551765235356413</v>
      </c>
      <c r="C6297" t="s">
        <v>40</v>
      </c>
      <c r="D6297">
        <v>4.5216320000000003</v>
      </c>
      <c r="E6297">
        <v>0.49989899999999998</v>
      </c>
      <c r="F6297" t="s">
        <v>81</v>
      </c>
      <c r="G6297">
        <v>-187.63980000000001</v>
      </c>
      <c r="H6297" s="1">
        <v>-6.4258249999999996E-6</v>
      </c>
      <c r="I6297">
        <v>-43.482059999999997</v>
      </c>
      <c r="J6297">
        <v>-203.47210000000001</v>
      </c>
      <c r="K6297">
        <v>1.112125</v>
      </c>
      <c r="L6297">
        <v>-57.008330000000001</v>
      </c>
      <c r="M6297">
        <v>0.92514059999999998</v>
      </c>
      <c r="N6297">
        <v>-1.4571229999999999E-2</v>
      </c>
      <c r="O6297">
        <v>0.37934489999999998</v>
      </c>
      <c r="P6297">
        <v>0.76029290000000005</v>
      </c>
      <c r="Q6297">
        <v>-3.7147590000000001E-2</v>
      </c>
      <c r="R6297">
        <v>0.64851740000000002</v>
      </c>
      <c r="S6297">
        <v>2.2834469999999998</v>
      </c>
      <c r="T6297">
        <v>-0.15857099999999999</v>
      </c>
      <c r="U6297">
        <v>1.9396359999999999</v>
      </c>
      <c r="V6297">
        <v>-0.31143300000000002</v>
      </c>
      <c r="W6297">
        <v>-2.5316729999999999E-2</v>
      </c>
      <c r="X6297">
        <v>0.94993079999999996</v>
      </c>
      <c r="Y6297">
        <v>-0.30958829999999998</v>
      </c>
      <c r="Z6297">
        <v>-4.6313539999999999E-3</v>
      </c>
      <c r="AA6297">
        <v>0.95085940000000002</v>
      </c>
      <c r="AB6297">
        <v>32</v>
      </c>
      <c r="AC6297">
        <v>15.8323</v>
      </c>
      <c r="AD6297">
        <v>-1.1121314258249999</v>
      </c>
      <c r="AE6297">
        <v>13.52627</v>
      </c>
      <c r="AF6297">
        <v>-6.4899786294449902</v>
      </c>
      <c r="AG6297">
        <v>-1.1121314258249999</v>
      </c>
      <c r="AH6297">
        <v>19.724065293416899</v>
      </c>
      <c r="AI6297">
        <v>93.065811646352998</v>
      </c>
      <c r="AJ6297">
        <v>108.21320061292801</v>
      </c>
      <c r="AK6297">
        <v>20.7941196163227</v>
      </c>
      <c r="AL6297">
        <v>91.4506967937875</v>
      </c>
      <c r="AM6297">
        <v>108.151631832494</v>
      </c>
      <c r="AN6297">
        <v>0.99999998754776598</v>
      </c>
    </row>
    <row r="6298" spans="1:40" x14ac:dyDescent="0.25">
      <c r="A6298" t="str">
        <f>"20190305135355381"</f>
        <v>20190305135355381</v>
      </c>
      <c r="B6298" t="str">
        <f>"1551765235375933"</f>
        <v>1551765235375933</v>
      </c>
      <c r="C6298" t="s">
        <v>40</v>
      </c>
      <c r="D6298">
        <v>4.5463380000000004</v>
      </c>
      <c r="E6298">
        <v>0.49972719999999998</v>
      </c>
      <c r="F6298" t="s">
        <v>81</v>
      </c>
      <c r="G6298">
        <v>-186.45959999999999</v>
      </c>
      <c r="H6298" s="1">
        <v>-6.619083E-6</v>
      </c>
      <c r="I6298">
        <v>-42.508159999999997</v>
      </c>
      <c r="J6298">
        <v>-203.27610000000001</v>
      </c>
      <c r="K6298">
        <v>1.112296</v>
      </c>
      <c r="L6298">
        <v>-56.925569999999901</v>
      </c>
      <c r="M6298">
        <v>0.92425710000000005</v>
      </c>
      <c r="N6298">
        <v>-1.4571529999999999E-2</v>
      </c>
      <c r="O6298">
        <v>0.38149260000000002</v>
      </c>
      <c r="P6298">
        <v>0.75933019999999996</v>
      </c>
      <c r="Q6298">
        <v>-3.3920270000000002E-2</v>
      </c>
      <c r="R6298">
        <v>0.64982090000000003</v>
      </c>
      <c r="S6298">
        <v>2.2805330000000001</v>
      </c>
      <c r="T6298">
        <v>-0.14908189999999999</v>
      </c>
      <c r="U6298">
        <v>1.943756</v>
      </c>
      <c r="V6298">
        <v>-0.31081229999999999</v>
      </c>
      <c r="W6298">
        <v>-2.2195019999999999E-2</v>
      </c>
      <c r="X6298">
        <v>0.9502121</v>
      </c>
      <c r="Y6298">
        <v>-0.30898999999999999</v>
      </c>
      <c r="Z6298">
        <v>-3.9980140000000003E-3</v>
      </c>
      <c r="AA6298">
        <v>0.95105680000000004</v>
      </c>
      <c r="AB6298">
        <v>32</v>
      </c>
      <c r="AC6298">
        <v>16.816500000000001</v>
      </c>
      <c r="AD6298">
        <v>-1.1123026190830001</v>
      </c>
      <c r="AE6298">
        <v>14.417409999999901</v>
      </c>
      <c r="AF6298">
        <v>-6.8933745264881896</v>
      </c>
      <c r="AG6298">
        <v>-1.1123026190830001</v>
      </c>
      <c r="AH6298">
        <v>20.992204851541398</v>
      </c>
      <c r="AI6298">
        <v>92.881934534699397</v>
      </c>
      <c r="AJ6298">
        <v>108.179033213368</v>
      </c>
      <c r="AK6298">
        <v>22.123030850404199</v>
      </c>
      <c r="AL6298">
        <v>91.271785442707994</v>
      </c>
      <c r="AM6298">
        <v>108.11280750820799</v>
      </c>
      <c r="AN6298">
        <v>0.99999996986524897</v>
      </c>
    </row>
    <row r="6299" spans="1:40" x14ac:dyDescent="0.25">
      <c r="A6299" t="str">
        <f>"20190305135355395"</f>
        <v>20190305135355395</v>
      </c>
      <c r="B6299" t="str">
        <f>"1551765235386670"</f>
        <v>1551765235386670</v>
      </c>
      <c r="C6299" t="s">
        <v>40</v>
      </c>
      <c r="D6299">
        <v>4.5523030000000002</v>
      </c>
      <c r="E6299">
        <v>0.499691</v>
      </c>
      <c r="F6299" t="s">
        <v>81</v>
      </c>
      <c r="G6299">
        <v>-185.1977</v>
      </c>
      <c r="H6299" s="1">
        <v>-6.8309769999999999E-6</v>
      </c>
      <c r="I6299">
        <v>-41.451129999999999</v>
      </c>
      <c r="J6299">
        <v>-203.09280000000001</v>
      </c>
      <c r="K6299">
        <v>1.112473</v>
      </c>
      <c r="L6299">
        <v>-56.847529999999999</v>
      </c>
      <c r="M6299">
        <v>0.92336929999999995</v>
      </c>
      <c r="N6299">
        <v>-1.45737E-2</v>
      </c>
      <c r="O6299">
        <v>0.38363589999999997</v>
      </c>
      <c r="P6299">
        <v>0.75961429999999996</v>
      </c>
      <c r="Q6299">
        <v>-2.9293030000000001E-2</v>
      </c>
      <c r="R6299">
        <v>0.6497136</v>
      </c>
      <c r="S6299">
        <v>2.2767940000000002</v>
      </c>
      <c r="T6299">
        <v>-0.1400836</v>
      </c>
      <c r="U6299">
        <v>1.9488529999999999</v>
      </c>
      <c r="V6299">
        <v>-0.30842419999999998</v>
      </c>
      <c r="W6299">
        <v>-1.765013E-2</v>
      </c>
      <c r="X6299">
        <v>0.95108519999999996</v>
      </c>
      <c r="Y6299">
        <v>-0.30879759999999901</v>
      </c>
      <c r="Z6299">
        <v>-3.3736339999999999E-3</v>
      </c>
      <c r="AA6299">
        <v>0.95112180000000002</v>
      </c>
      <c r="AB6299">
        <v>32</v>
      </c>
      <c r="AC6299">
        <v>17.895099999999999</v>
      </c>
      <c r="AD6299">
        <v>-1.1124798309770001</v>
      </c>
      <c r="AE6299">
        <v>15.3964</v>
      </c>
      <c r="AF6299">
        <v>-7.33585058874948</v>
      </c>
      <c r="AG6299">
        <v>-1.1124798309770001</v>
      </c>
      <c r="AH6299">
        <v>22.3830746647178</v>
      </c>
      <c r="AI6299">
        <v>92.704066649307705</v>
      </c>
      <c r="AJ6299">
        <v>108.14608967869501</v>
      </c>
      <c r="AK6299">
        <v>23.580804623276101</v>
      </c>
      <c r="AL6299">
        <v>91.0113304346078</v>
      </c>
      <c r="AM6299">
        <v>107.96718476279101</v>
      </c>
      <c r="AN6299">
        <v>1.0000000359468399</v>
      </c>
    </row>
    <row r="6300" spans="1:40" x14ac:dyDescent="0.25">
      <c r="A6300" t="str">
        <f>"20190305135355407"</f>
        <v>20190305135355407</v>
      </c>
      <c r="B6300" t="str">
        <f>"1551765235396431"</f>
        <v>1551765235396431</v>
      </c>
      <c r="C6300" t="s">
        <v>40</v>
      </c>
      <c r="D6300">
        <v>4.5664999999999996</v>
      </c>
      <c r="E6300">
        <v>0.49965920000000003</v>
      </c>
      <c r="F6300" t="s">
        <v>42</v>
      </c>
      <c r="G6300">
        <v>-182.91890000000001</v>
      </c>
      <c r="H6300" s="1">
        <v>-2.1457839999999998E-6</v>
      </c>
      <c r="I6300">
        <v>-39.582979999999999</v>
      </c>
      <c r="J6300">
        <v>-202.9426</v>
      </c>
      <c r="K6300">
        <v>1.112617</v>
      </c>
      <c r="L6300">
        <v>-56.783230000000003</v>
      </c>
      <c r="M6300">
        <v>0.92261210000000005</v>
      </c>
      <c r="N6300">
        <v>-1.4575960000000001E-2</v>
      </c>
      <c r="O6300">
        <v>0.38545360000000001</v>
      </c>
      <c r="P6300">
        <v>0.75957129999999995</v>
      </c>
      <c r="Q6300">
        <v>-2.7813850000000001E-2</v>
      </c>
      <c r="R6300">
        <v>0.6498292</v>
      </c>
      <c r="S6300">
        <v>2.2774809999999999</v>
      </c>
      <c r="T6300">
        <v>-0.12559000000000001</v>
      </c>
      <c r="U6300">
        <v>1.949036</v>
      </c>
      <c r="V6300">
        <v>-0.30668000000000001</v>
      </c>
      <c r="W6300">
        <v>-1.6244249999999998E-2</v>
      </c>
      <c r="X6300">
        <v>0.95167400000000002</v>
      </c>
      <c r="Y6300">
        <v>-0.30684990000000001</v>
      </c>
      <c r="Z6300">
        <v>-2.3343460000000002E-3</v>
      </c>
      <c r="AA6300">
        <v>0.95175500000000002</v>
      </c>
      <c r="AB6300">
        <v>32</v>
      </c>
      <c r="AC6300">
        <v>20.023699999999899</v>
      </c>
      <c r="AD6300">
        <v>-1.112619145784</v>
      </c>
      <c r="AE6300">
        <v>17.20025</v>
      </c>
      <c r="AF6300">
        <v>-8.1373606990431497</v>
      </c>
      <c r="AG6300">
        <v>-1.112619145784</v>
      </c>
      <c r="AH6300">
        <v>25.062147994794099</v>
      </c>
      <c r="AI6300">
        <v>92.417847747213401</v>
      </c>
      <c r="AJ6300">
        <v>107.987954391556</v>
      </c>
      <c r="AK6300">
        <v>26.373581907334</v>
      </c>
      <c r="AL6300">
        <v>90.930767950302098</v>
      </c>
      <c r="AM6300">
        <v>107.861702447599</v>
      </c>
      <c r="AN6300">
        <v>0.99999995016703003</v>
      </c>
    </row>
    <row r="6301" spans="1:40" x14ac:dyDescent="0.25">
      <c r="A6301" t="str">
        <f>"20190305135355418"</f>
        <v>20190305135355418</v>
      </c>
      <c r="B6301" t="str">
        <f>"1551765235406189"</f>
        <v>1551765235406189</v>
      </c>
      <c r="C6301" t="s">
        <v>40</v>
      </c>
      <c r="D6301">
        <v>4.5815939999999999</v>
      </c>
      <c r="E6301">
        <v>0.49961719999999998</v>
      </c>
      <c r="F6301" t="s">
        <v>42</v>
      </c>
      <c r="G6301">
        <v>-181.91800000000001</v>
      </c>
      <c r="H6301" s="1">
        <v>-2.6849950000000002E-6</v>
      </c>
      <c r="I6301">
        <v>-38.781039999999997</v>
      </c>
      <c r="J6301">
        <v>-202.78960000000001</v>
      </c>
      <c r="K6301">
        <v>1.1127670000000001</v>
      </c>
      <c r="L6301">
        <v>-56.717100000000002</v>
      </c>
      <c r="M6301">
        <v>0.9217767</v>
      </c>
      <c r="N6301">
        <v>-1.45798E-2</v>
      </c>
      <c r="O6301">
        <v>0.38744689999999998</v>
      </c>
      <c r="P6301">
        <v>0.75939279999999998</v>
      </c>
      <c r="Q6301">
        <v>-2.689745E-2</v>
      </c>
      <c r="R6301">
        <v>0.65007619999999999</v>
      </c>
      <c r="S6301">
        <v>2.2771149999999998</v>
      </c>
      <c r="T6301">
        <v>-0.12050470000000001</v>
      </c>
      <c r="U6301">
        <v>1.9497679999999999</v>
      </c>
      <c r="V6301">
        <v>-0.30492140000000001</v>
      </c>
      <c r="W6301">
        <v>-1.5410099999999999E-2</v>
      </c>
      <c r="X6301">
        <v>0.95225280000000001</v>
      </c>
      <c r="Y6301">
        <v>-0.305054299999999</v>
      </c>
      <c r="Z6301">
        <v>-2.0313179999999998E-3</v>
      </c>
      <c r="AA6301">
        <v>0.95233279999999998</v>
      </c>
      <c r="AB6301">
        <v>32</v>
      </c>
      <c r="AC6301">
        <v>20.871600000000001</v>
      </c>
      <c r="AD6301">
        <v>-1.112769684995</v>
      </c>
      <c r="AE6301">
        <v>17.936059999999902</v>
      </c>
      <c r="AF6301">
        <v>-8.4335144261872994</v>
      </c>
      <c r="AG6301">
        <v>-1.112769684995</v>
      </c>
      <c r="AH6301">
        <v>26.148256483677699</v>
      </c>
      <c r="AI6301">
        <v>92.319309512882299</v>
      </c>
      <c r="AJ6301">
        <v>107.875904083842</v>
      </c>
      <c r="AK6301">
        <v>27.497158745673101</v>
      </c>
      <c r="AL6301">
        <v>90.882968673293107</v>
      </c>
      <c r="AM6301">
        <v>107.75561440491001</v>
      </c>
      <c r="AN6301">
        <v>0.99999996323390405</v>
      </c>
    </row>
    <row r="6302" spans="1:40" x14ac:dyDescent="0.25">
      <c r="A6302" t="str">
        <f>"20190305135355429"</f>
        <v>20190305135355429</v>
      </c>
      <c r="B6302" t="str">
        <f>"1551765235426686"</f>
        <v>1551765235426686</v>
      </c>
      <c r="C6302" t="s">
        <v>40</v>
      </c>
      <c r="D6302">
        <v>4.5717559999999997</v>
      </c>
      <c r="E6302">
        <v>0.49955119999999997</v>
      </c>
      <c r="F6302" t="s">
        <v>42</v>
      </c>
      <c r="G6302">
        <v>-181.22229999999999</v>
      </c>
      <c r="H6302" s="1">
        <v>-3.0557350000000001E-6</v>
      </c>
      <c r="I6302">
        <v>-38.235529999999997</v>
      </c>
      <c r="J6302">
        <v>-202.6541</v>
      </c>
      <c r="K6302">
        <v>1.1128990000000001</v>
      </c>
      <c r="L6302">
        <v>-56.658230000000003</v>
      </c>
      <c r="M6302">
        <v>0.92100979999999999</v>
      </c>
      <c r="N6302">
        <v>-1.458361E-2</v>
      </c>
      <c r="O6302">
        <v>0.38926650000000002</v>
      </c>
      <c r="P6302">
        <v>0.75958049999999999</v>
      </c>
      <c r="Q6302">
        <v>-2.6875880000000001E-2</v>
      </c>
      <c r="R6302">
        <v>0.64985789999999999</v>
      </c>
      <c r="S6302">
        <v>2.276443</v>
      </c>
      <c r="T6302">
        <v>-0.1174538</v>
      </c>
      <c r="U6302">
        <v>1.950745</v>
      </c>
      <c r="V6302">
        <v>-0.30276219999999998</v>
      </c>
      <c r="W6302">
        <v>-1.545474E-2</v>
      </c>
      <c r="X6302">
        <v>0.95294080000000003</v>
      </c>
      <c r="Y6302">
        <v>-0.30355399999999999</v>
      </c>
      <c r="Z6302">
        <v>-1.8725370000000001E-3</v>
      </c>
      <c r="AA6302">
        <v>0.9528124</v>
      </c>
      <c r="AB6302">
        <v>32</v>
      </c>
      <c r="AC6302">
        <v>21.431799999999999</v>
      </c>
      <c r="AD6302">
        <v>-1.112902055735</v>
      </c>
      <c r="AE6302">
        <v>18.422699999999999</v>
      </c>
      <c r="AF6302">
        <v>-8.6123672007556191</v>
      </c>
      <c r="AG6302">
        <v>-1.112902055735</v>
      </c>
      <c r="AH6302">
        <v>26.8714291699204</v>
      </c>
      <c r="AI6302">
        <v>92.258555465627396</v>
      </c>
      <c r="AJ6302">
        <v>107.77079806949401</v>
      </c>
      <c r="AK6302">
        <v>28.239779131932998</v>
      </c>
      <c r="AL6302">
        <v>90.885526643641597</v>
      </c>
      <c r="AM6302">
        <v>107.62575741657599</v>
      </c>
      <c r="AN6302">
        <v>0.99999998352097297</v>
      </c>
    </row>
    <row r="6303" spans="1:40" x14ac:dyDescent="0.25">
      <c r="A6303" t="str">
        <f>"20190305135355439"</f>
        <v>20190305135355439</v>
      </c>
      <c r="B6303" t="str">
        <f>"1551765235436446"</f>
        <v>1551765235436446</v>
      </c>
      <c r="C6303" t="s">
        <v>40</v>
      </c>
      <c r="D6303">
        <v>4.5898779999999997</v>
      </c>
      <c r="E6303">
        <v>0.49950450000000002</v>
      </c>
      <c r="F6303" t="s">
        <v>42</v>
      </c>
      <c r="G6303">
        <v>-180.9418</v>
      </c>
      <c r="H6303" s="1">
        <v>-3.19152E-6</v>
      </c>
      <c r="I6303">
        <v>-38.055889999999998</v>
      </c>
      <c r="J6303">
        <v>-202.51300000000001</v>
      </c>
      <c r="K6303">
        <v>1.113038</v>
      </c>
      <c r="L6303">
        <v>-56.596440000000001</v>
      </c>
      <c r="M6303">
        <v>0.9201648</v>
      </c>
      <c r="N6303">
        <v>-1.458871E-2</v>
      </c>
      <c r="O6303">
        <v>0.39125949999999998</v>
      </c>
      <c r="P6303">
        <v>0.75975780000000004</v>
      </c>
      <c r="Q6303">
        <v>-2.7244870000000001E-2</v>
      </c>
      <c r="R6303">
        <v>0.64963510000000002</v>
      </c>
      <c r="S6303">
        <v>2.276627</v>
      </c>
      <c r="T6303">
        <v>-0.1166923</v>
      </c>
      <c r="U6303">
        <v>1.950531</v>
      </c>
      <c r="V6303">
        <v>-0.30041639999999997</v>
      </c>
      <c r="W6303">
        <v>-1.589289E-2</v>
      </c>
      <c r="X6303">
        <v>0.95367570000000002</v>
      </c>
      <c r="Y6303">
        <v>-0.30140489999999998</v>
      </c>
      <c r="Z6303">
        <v>-1.9197120000000001E-3</v>
      </c>
      <c r="AA6303">
        <v>0.95349430000000002</v>
      </c>
      <c r="AB6303">
        <v>32</v>
      </c>
      <c r="AC6303">
        <v>21.571200000000001</v>
      </c>
      <c r="AD6303">
        <v>-1.11304119152</v>
      </c>
      <c r="AE6303">
        <v>18.54055</v>
      </c>
      <c r="AF6303">
        <v>-8.6081607038672505</v>
      </c>
      <c r="AG6303">
        <v>-1.11304119152</v>
      </c>
      <c r="AH6303">
        <v>27.0646668361656</v>
      </c>
      <c r="AI6303">
        <v>92.244313242698297</v>
      </c>
      <c r="AJ6303">
        <v>107.64373363713401</v>
      </c>
      <c r="AK6303">
        <v>28.422446804423199</v>
      </c>
      <c r="AL6303">
        <v>90.910633887440397</v>
      </c>
      <c r="AM6303">
        <v>107.48489487405099</v>
      </c>
      <c r="AN6303">
        <v>0.99999996905599997</v>
      </c>
    </row>
    <row r="6304" spans="1:40" x14ac:dyDescent="0.25">
      <c r="A6304" t="str">
        <f>"20190305135355453"</f>
        <v>20190305135355453</v>
      </c>
      <c r="B6304" t="str">
        <f>"1551765235446206"</f>
        <v>1551765235446206</v>
      </c>
      <c r="C6304" t="s">
        <v>40</v>
      </c>
      <c r="D6304">
        <v>4.5937219999999996</v>
      </c>
      <c r="E6304">
        <v>0.4995251</v>
      </c>
      <c r="F6304" t="s">
        <v>42</v>
      </c>
      <c r="G6304">
        <v>-180.98830000000001</v>
      </c>
      <c r="H6304" s="1">
        <v>-3.1436930000000001E-6</v>
      </c>
      <c r="I6304">
        <v>-38.160040000000002</v>
      </c>
      <c r="J6304">
        <v>-202.34989999999999</v>
      </c>
      <c r="K6304">
        <v>1.113202</v>
      </c>
      <c r="L6304">
        <v>-56.524439999999998</v>
      </c>
      <c r="M6304">
        <v>0.91913670000000003</v>
      </c>
      <c r="N6304">
        <v>-1.4595510000000001E-2</v>
      </c>
      <c r="O6304">
        <v>0.39366820000000002</v>
      </c>
      <c r="P6304">
        <v>0.75942169999999998</v>
      </c>
      <c r="Q6304">
        <v>-2.8393169999999999E-2</v>
      </c>
      <c r="R6304">
        <v>0.64997890000000003</v>
      </c>
      <c r="S6304">
        <v>2.2768709999999999</v>
      </c>
      <c r="T6304">
        <v>-0.1177372</v>
      </c>
      <c r="U6304">
        <v>1.9501949999999999</v>
      </c>
      <c r="V6304">
        <v>-0.29835</v>
      </c>
      <c r="W6304">
        <v>-1.7130699999999999E-2</v>
      </c>
      <c r="X6304">
        <v>0.95430280000000001</v>
      </c>
      <c r="Y6304">
        <v>-0.29877670000000001</v>
      </c>
      <c r="Z6304">
        <v>-2.1407499999999999E-3</v>
      </c>
      <c r="AA6304">
        <v>0.95432059999999996</v>
      </c>
      <c r="AB6304">
        <v>32</v>
      </c>
      <c r="AC6304">
        <v>21.3615999999999</v>
      </c>
      <c r="AD6304">
        <v>-1.1132051436929999</v>
      </c>
      <c r="AE6304">
        <v>18.3644</v>
      </c>
      <c r="AF6304">
        <v>-8.4577064826941495</v>
      </c>
      <c r="AG6304">
        <v>-1.1132051436929999</v>
      </c>
      <c r="AH6304">
        <v>26.824684247787001</v>
      </c>
      <c r="AI6304">
        <v>92.266504022990603</v>
      </c>
      <c r="AJ6304">
        <v>107.499836858108</v>
      </c>
      <c r="AK6304">
        <v>28.148458388210599</v>
      </c>
      <c r="AL6304">
        <v>90.981564814001999</v>
      </c>
      <c r="AM6304">
        <v>107.361155588168</v>
      </c>
      <c r="AN6304">
        <v>1.0000000087351599</v>
      </c>
    </row>
    <row r="6305" spans="1:40" x14ac:dyDescent="0.25">
      <c r="A6305" t="str">
        <f>"20190305135355462"</f>
        <v>20190305135355462</v>
      </c>
      <c r="B6305" t="str">
        <f>"1551765235455966"</f>
        <v>1551765235455966</v>
      </c>
      <c r="C6305" t="s">
        <v>40</v>
      </c>
      <c r="D6305">
        <v>4.5983390000000002</v>
      </c>
      <c r="E6305">
        <v>0.49954660000000001</v>
      </c>
      <c r="F6305" t="s">
        <v>42</v>
      </c>
      <c r="G6305">
        <v>-181.3433</v>
      </c>
      <c r="H6305" s="1">
        <v>-2.9282620000000002E-6</v>
      </c>
      <c r="I6305">
        <v>-38.515500000000003</v>
      </c>
      <c r="J6305">
        <v>-202.20359999999999</v>
      </c>
      <c r="K6305">
        <v>1.1133519999999999</v>
      </c>
      <c r="L6305">
        <v>-56.459440000000001</v>
      </c>
      <c r="M6305">
        <v>0.91817749999999998</v>
      </c>
      <c r="N6305">
        <v>-1.4601919999999999E-2</v>
      </c>
      <c r="O6305">
        <v>0.39590019999999998</v>
      </c>
      <c r="P6305">
        <v>0.75927389999999995</v>
      </c>
      <c r="Q6305">
        <v>-2.9215789999999998E-2</v>
      </c>
      <c r="R6305">
        <v>0.650115</v>
      </c>
      <c r="S6305">
        <v>2.275909</v>
      </c>
      <c r="T6305">
        <v>-0.1206079</v>
      </c>
      <c r="U6305">
        <v>1.951141</v>
      </c>
      <c r="V6305">
        <v>-0.29620079999999999</v>
      </c>
      <c r="W6305">
        <v>-1.8030029999999999E-2</v>
      </c>
      <c r="X6305">
        <v>0.95495549999999996</v>
      </c>
      <c r="Y6305">
        <v>-0.29688439999999999</v>
      </c>
      <c r="Z6305">
        <v>-2.4961319999999999E-3</v>
      </c>
      <c r="AA6305">
        <v>0.95491020000000004</v>
      </c>
      <c r="AB6305">
        <v>32</v>
      </c>
      <c r="AC6305">
        <v>20.860299999999899</v>
      </c>
      <c r="AD6305">
        <v>-1.1133549282619899</v>
      </c>
      <c r="AE6305">
        <v>17.943939999999898</v>
      </c>
      <c r="AF6305">
        <v>-8.2045685020955901</v>
      </c>
      <c r="AG6305">
        <v>-1.1133549282619899</v>
      </c>
      <c r="AH6305">
        <v>26.217343704995699</v>
      </c>
      <c r="AI6305">
        <v>92.320821954353306</v>
      </c>
      <c r="AJ6305">
        <v>107.37721385694999</v>
      </c>
      <c r="AK6305">
        <v>27.493701359543099</v>
      </c>
      <c r="AL6305">
        <v>91.033100600893306</v>
      </c>
      <c r="AM6305">
        <v>107.232445361195</v>
      </c>
      <c r="AN6305">
        <v>1.0000000014413399</v>
      </c>
    </row>
    <row r="6306" spans="1:40" x14ac:dyDescent="0.25">
      <c r="A6306" t="str">
        <f>"20190305135355474"</f>
        <v>20190305135355474</v>
      </c>
      <c r="B6306" t="str">
        <f>"1551765235466702"</f>
        <v>1551765235466702</v>
      </c>
      <c r="C6306" t="s">
        <v>40</v>
      </c>
      <c r="D6306">
        <v>4.6001219999999998</v>
      </c>
      <c r="E6306">
        <v>0.49954569999999998</v>
      </c>
      <c r="F6306" t="s">
        <v>42</v>
      </c>
      <c r="G6306">
        <v>-181.54159999999999</v>
      </c>
      <c r="H6306" s="1">
        <v>-2.799008E-6</v>
      </c>
      <c r="I6306">
        <v>-38.740340000000003</v>
      </c>
      <c r="J6306">
        <v>-202.06559999999999</v>
      </c>
      <c r="K6306">
        <v>1.113494</v>
      </c>
      <c r="L6306">
        <v>-56.397399999999998</v>
      </c>
      <c r="M6306">
        <v>0.91720550000000001</v>
      </c>
      <c r="N6306">
        <v>-1.460962E-2</v>
      </c>
      <c r="O6306">
        <v>0.39814660000000002</v>
      </c>
      <c r="P6306">
        <v>0.75909110000000002</v>
      </c>
      <c r="Q6306">
        <v>-3.0894850000000001E-2</v>
      </c>
      <c r="R6306">
        <v>0.65025089999999997</v>
      </c>
      <c r="S6306">
        <v>2.2755580000000002</v>
      </c>
      <c r="T6306">
        <v>-0.1226164</v>
      </c>
      <c r="U6306">
        <v>1.9514469999999999</v>
      </c>
      <c r="V6306">
        <v>-0.29403790000000002</v>
      </c>
      <c r="W6306">
        <v>-1.9781E-2</v>
      </c>
      <c r="X6306">
        <v>0.95558909999999997</v>
      </c>
      <c r="Y6306">
        <v>-0.29469329999999999</v>
      </c>
      <c r="Z6306">
        <v>-2.7908400000000002E-3</v>
      </c>
      <c r="AA6306">
        <v>0.95558779999999999</v>
      </c>
      <c r="AB6306">
        <v>32</v>
      </c>
      <c r="AC6306">
        <v>20.524000000000001</v>
      </c>
      <c r="AD6306">
        <v>-1.113496799008</v>
      </c>
      <c r="AE6306">
        <v>17.657059999999898</v>
      </c>
      <c r="AF6306">
        <v>-8.0108974266866806</v>
      </c>
      <c r="AG6306">
        <v>-1.113496799008</v>
      </c>
      <c r="AH6306">
        <v>25.813918601799902</v>
      </c>
      <c r="AI6306">
        <v>92.3590992193473</v>
      </c>
      <c r="AJ6306">
        <v>107.240814182771</v>
      </c>
      <c r="AK6306">
        <v>27.051298421381698</v>
      </c>
      <c r="AL6306">
        <v>91.133441681588906</v>
      </c>
      <c r="AM6306">
        <v>107.10330324097799</v>
      </c>
      <c r="AN6306">
        <v>1.0000000513181</v>
      </c>
    </row>
    <row r="6307" spans="1:40" x14ac:dyDescent="0.25">
      <c r="A6307" t="str">
        <f>"20190305135355484"</f>
        <v>20190305135355484</v>
      </c>
      <c r="B6307" t="str">
        <f>"1551765235476462"</f>
        <v>1551765235476462</v>
      </c>
      <c r="C6307" t="s">
        <v>40</v>
      </c>
      <c r="D6307">
        <v>4.6216949999999999</v>
      </c>
      <c r="E6307">
        <v>0.49953180000000003</v>
      </c>
      <c r="F6307" t="s">
        <v>42</v>
      </c>
      <c r="G6307">
        <v>-182.13800000000001</v>
      </c>
      <c r="H6307" s="1">
        <v>-2.4504580000000002E-6</v>
      </c>
      <c r="I6307">
        <v>-39.298220000000001</v>
      </c>
      <c r="J6307">
        <v>-201.92240000000001</v>
      </c>
      <c r="K6307">
        <v>1.11364</v>
      </c>
      <c r="L6307">
        <v>-56.332889999999999</v>
      </c>
      <c r="M6307">
        <v>0.91617910000000002</v>
      </c>
      <c r="N6307">
        <v>-1.4617120000000001E-2</v>
      </c>
      <c r="O6307">
        <v>0.40050239999999998</v>
      </c>
      <c r="P6307">
        <v>0.75871940000000004</v>
      </c>
      <c r="Q6307">
        <v>-3.2721430000000003E-2</v>
      </c>
      <c r="R6307">
        <v>0.65059519999999904</v>
      </c>
      <c r="S6307">
        <v>2.2748409999999999</v>
      </c>
      <c r="T6307">
        <v>-0.12711169999999999</v>
      </c>
      <c r="U6307">
        <v>1.951965</v>
      </c>
      <c r="V6307">
        <v>-0.29202080000000002</v>
      </c>
      <c r="W6307">
        <v>-2.168517E-2</v>
      </c>
      <c r="X6307">
        <v>0.95616610000000002</v>
      </c>
      <c r="Y6307">
        <v>-0.29250930000000003</v>
      </c>
      <c r="Z6307">
        <v>-3.3121489999999999E-3</v>
      </c>
      <c r="AA6307">
        <v>0.95625689999999997</v>
      </c>
      <c r="AB6307">
        <v>32</v>
      </c>
      <c r="AC6307">
        <v>19.784400000000002</v>
      </c>
      <c r="AD6307">
        <v>-1.113642450458</v>
      </c>
      <c r="AE6307">
        <v>17.034669999999998</v>
      </c>
      <c r="AF6307">
        <v>-7.6699741722939203</v>
      </c>
      <c r="AG6307">
        <v>-1.113642450458</v>
      </c>
      <c r="AH6307">
        <v>24.9058289547424</v>
      </c>
      <c r="AI6307">
        <v>92.446967347877305</v>
      </c>
      <c r="AJ6307">
        <v>107.116686708651</v>
      </c>
      <c r="AK6307">
        <v>26.083884281947</v>
      </c>
      <c r="AL6307">
        <v>91.242566114297802</v>
      </c>
      <c r="AM6307">
        <v>106.983091891016</v>
      </c>
      <c r="AN6307">
        <v>1.0000000025098801</v>
      </c>
    </row>
    <row r="6308" spans="1:40" x14ac:dyDescent="0.25">
      <c r="A6308" t="str">
        <f>"20190305135355495"</f>
        <v>20190305135355495</v>
      </c>
      <c r="B6308" t="str">
        <f>"1551765235486222"</f>
        <v>1551765235486222</v>
      </c>
      <c r="C6308" t="s">
        <v>40</v>
      </c>
      <c r="D6308">
        <v>4.6238289999999997</v>
      </c>
      <c r="E6308">
        <v>0.49950270000000002</v>
      </c>
      <c r="F6308" t="s">
        <v>42</v>
      </c>
      <c r="G6308">
        <v>-182.75649999999999</v>
      </c>
      <c r="H6308" s="1">
        <v>-2.0907039999999998E-6</v>
      </c>
      <c r="I6308">
        <v>-39.8718</v>
      </c>
      <c r="J6308">
        <v>-201.7851</v>
      </c>
      <c r="K6308">
        <v>1.113783</v>
      </c>
      <c r="L6308">
        <v>-56.27008</v>
      </c>
      <c r="M6308">
        <v>0.91511169999999997</v>
      </c>
      <c r="N6308">
        <v>-1.4626709999999999E-2</v>
      </c>
      <c r="O6308">
        <v>0.40293499999999999</v>
      </c>
      <c r="P6308">
        <v>0.75820759999999998</v>
      </c>
      <c r="Q6308">
        <v>-3.4828360000000003E-2</v>
      </c>
      <c r="R6308">
        <v>0.6510823</v>
      </c>
      <c r="S6308">
        <v>2.2737729999999998</v>
      </c>
      <c r="T6308">
        <v>-0.13211819999999999</v>
      </c>
      <c r="U6308">
        <v>1.9528810000000001</v>
      </c>
      <c r="V6308">
        <v>-0.29010229999999998</v>
      </c>
      <c r="W6308">
        <v>-2.3868150000000001E-2</v>
      </c>
      <c r="X6308">
        <v>0.95669789999999999</v>
      </c>
      <c r="Y6308">
        <v>-0.2904099</v>
      </c>
      <c r="Z6308">
        <v>-3.8885970000000001E-3</v>
      </c>
      <c r="AA6308">
        <v>0.95689449999999998</v>
      </c>
      <c r="AB6308">
        <v>32</v>
      </c>
      <c r="AC6308">
        <v>19.028600000000001</v>
      </c>
      <c r="AD6308">
        <v>-1.1137850907039999</v>
      </c>
      <c r="AE6308">
        <v>16.39828</v>
      </c>
      <c r="AF6308">
        <v>-7.3253526941054696</v>
      </c>
      <c r="AG6308">
        <v>-1.1137850907039999</v>
      </c>
      <c r="AH6308">
        <v>23.9761689129001</v>
      </c>
      <c r="AI6308">
        <v>92.5437819145058</v>
      </c>
      <c r="AJ6308">
        <v>106.98929569827099</v>
      </c>
      <c r="AK6308">
        <v>25.094979279952199</v>
      </c>
      <c r="AL6308">
        <v>91.3676742038448</v>
      </c>
      <c r="AM6308">
        <v>106.869031014106</v>
      </c>
      <c r="AN6308">
        <v>0.99999995245705997</v>
      </c>
    </row>
    <row r="6309" spans="1:40" x14ac:dyDescent="0.25">
      <c r="A6309" t="str">
        <f>"20190305135355506"</f>
        <v>20190305135355506</v>
      </c>
      <c r="B6309" t="str">
        <f>"1551765235495982"</f>
        <v>1551765235495982</v>
      </c>
      <c r="C6309" t="s">
        <v>40</v>
      </c>
      <c r="D6309">
        <v>4.617483</v>
      </c>
      <c r="E6309">
        <v>0.49948189999999998</v>
      </c>
      <c r="F6309" t="s">
        <v>81</v>
      </c>
      <c r="G6309">
        <v>-183.453</v>
      </c>
      <c r="H6309" s="1">
        <v>-6.953491E-6</v>
      </c>
      <c r="I6309">
        <v>-40.498860000000001</v>
      </c>
      <c r="J6309">
        <v>-201.6456</v>
      </c>
      <c r="K6309">
        <v>1.1139289999999999</v>
      </c>
      <c r="L6309">
        <v>-56.206090000000003</v>
      </c>
      <c r="M6309">
        <v>0.91401049999999995</v>
      </c>
      <c r="N6309">
        <v>-1.46359E-2</v>
      </c>
      <c r="O6309">
        <v>0.40542669999999997</v>
      </c>
      <c r="P6309">
        <v>0.75737559999999904</v>
      </c>
      <c r="Q6309">
        <v>-3.6870840000000002E-2</v>
      </c>
      <c r="R6309">
        <v>0.65193769999999995</v>
      </c>
      <c r="S6309">
        <v>2.2719420000000001</v>
      </c>
      <c r="T6309">
        <v>-0.138034299999999</v>
      </c>
      <c r="U6309">
        <v>1.9545589999999999</v>
      </c>
      <c r="V6309">
        <v>-0.2885839</v>
      </c>
      <c r="W6309">
        <v>-2.5993990000000002E-2</v>
      </c>
      <c r="X6309">
        <v>0.95710170000000006</v>
      </c>
      <c r="Y6309">
        <v>-0.2885876</v>
      </c>
      <c r="Z6309">
        <v>-4.553479E-3</v>
      </c>
      <c r="AA6309">
        <v>0.95744260000000003</v>
      </c>
      <c r="AB6309">
        <v>32</v>
      </c>
      <c r="AC6309">
        <v>18.192599999999999</v>
      </c>
      <c r="AD6309">
        <v>-1.1139359534910001</v>
      </c>
      <c r="AE6309">
        <v>15.707229999999999</v>
      </c>
      <c r="AF6309">
        <v>-6.9665904238674603</v>
      </c>
      <c r="AG6309">
        <v>-1.1139359534910001</v>
      </c>
      <c r="AH6309">
        <v>22.949524033693798</v>
      </c>
      <c r="AI6309">
        <v>92.659231344005406</v>
      </c>
      <c r="AJ6309">
        <v>106.88626679216701</v>
      </c>
      <c r="AK6309">
        <v>24.009474980005098</v>
      </c>
      <c r="AL6309">
        <v>91.489513678645196</v>
      </c>
      <c r="AM6309">
        <v>106.779032395972</v>
      </c>
      <c r="AN6309">
        <v>1.0000000094991099</v>
      </c>
    </row>
    <row r="6310" spans="1:40" x14ac:dyDescent="0.25">
      <c r="A6310" t="str">
        <f>"20190305135355519"</f>
        <v>20190305135355519</v>
      </c>
      <c r="B6310" t="str">
        <f>"1551765235506718"</f>
        <v>1551765235506718</v>
      </c>
      <c r="C6310" t="s">
        <v>40</v>
      </c>
      <c r="D6310">
        <v>4.6134599999999999</v>
      </c>
      <c r="E6310">
        <v>0.49944840000000001</v>
      </c>
      <c r="F6310" t="s">
        <v>81</v>
      </c>
      <c r="G6310">
        <v>-184.0779</v>
      </c>
      <c r="H6310" s="1">
        <v>-6.8379430000000003E-6</v>
      </c>
      <c r="I6310">
        <v>-41.054040000000001</v>
      </c>
      <c r="J6310">
        <v>-201.49549999999999</v>
      </c>
      <c r="K6310">
        <v>1.1140909999999999</v>
      </c>
      <c r="L6310">
        <v>-56.136229999999998</v>
      </c>
      <c r="M6310">
        <v>0.91274129999999998</v>
      </c>
      <c r="N6310">
        <v>-1.4648130000000001E-2</v>
      </c>
      <c r="O6310">
        <v>0.40827530000000001</v>
      </c>
      <c r="P6310">
        <v>0.75598959999999904</v>
      </c>
      <c r="Q6310">
        <v>-3.9323240000000002E-2</v>
      </c>
      <c r="R6310">
        <v>0.65340159999999903</v>
      </c>
      <c r="S6310">
        <v>2.2692869999999998</v>
      </c>
      <c r="T6310">
        <v>-0.14389109999999999</v>
      </c>
      <c r="U6310">
        <v>1.9572449999999999</v>
      </c>
      <c r="V6310">
        <v>-0.28746250000000001</v>
      </c>
      <c r="W6310">
        <v>-2.8543760000000001E-2</v>
      </c>
      <c r="X6310">
        <v>0.95736650000000001</v>
      </c>
      <c r="Y6310">
        <v>-0.28680349999999999</v>
      </c>
      <c r="Z6310">
        <v>-5.2372340000000003E-3</v>
      </c>
      <c r="AA6310">
        <v>0.95797509999999997</v>
      </c>
      <c r="AB6310">
        <v>32</v>
      </c>
      <c r="AC6310">
        <v>17.417599999999901</v>
      </c>
      <c r="AD6310">
        <v>-1.114097837943</v>
      </c>
      <c r="AE6310">
        <v>15.082190000000001</v>
      </c>
      <c r="AF6310">
        <v>-6.64015013565992</v>
      </c>
      <c r="AG6310">
        <v>-1.114097837943</v>
      </c>
      <c r="AH6310">
        <v>22.006360504266201</v>
      </c>
      <c r="AI6310">
        <v>92.774831061627793</v>
      </c>
      <c r="AJ6310">
        <v>106.790546235138</v>
      </c>
      <c r="AK6310">
        <v>23.0133159379596</v>
      </c>
      <c r="AL6310">
        <v>91.635659097300604</v>
      </c>
      <c r="AM6310">
        <v>106.71310967673</v>
      </c>
      <c r="AN6310">
        <v>1.0000000252317101</v>
      </c>
    </row>
    <row r="6311" spans="1:40" x14ac:dyDescent="0.25">
      <c r="A6311" t="str">
        <f>"20190305135355530"</f>
        <v>20190305135355530</v>
      </c>
      <c r="B6311" t="str">
        <f>"1551765235526237"</f>
        <v>1551765235526237</v>
      </c>
      <c r="C6311" t="s">
        <v>40</v>
      </c>
      <c r="D6311">
        <v>4.6635179999999998</v>
      </c>
      <c r="E6311">
        <v>0.49926589999999998</v>
      </c>
      <c r="F6311" t="s">
        <v>81</v>
      </c>
      <c r="G6311">
        <v>-184.77799999999999</v>
      </c>
      <c r="H6311" s="1">
        <v>-6.7153909999999997E-6</v>
      </c>
      <c r="I6311">
        <v>-41.6554</v>
      </c>
      <c r="J6311">
        <v>-201.34350000000001</v>
      </c>
      <c r="K6311">
        <v>1.1142570000000001</v>
      </c>
      <c r="L6311">
        <v>-56.064999999999998</v>
      </c>
      <c r="M6311">
        <v>0.91141470000000002</v>
      </c>
      <c r="N6311">
        <v>-1.466071E-2</v>
      </c>
      <c r="O6311">
        <v>0.41122789999999998</v>
      </c>
      <c r="P6311">
        <v>0.7541196</v>
      </c>
      <c r="Q6311">
        <v>-4.1936910000000001E-2</v>
      </c>
      <c r="R6311">
        <v>0.65539669999999906</v>
      </c>
      <c r="S6311">
        <v>2.2648320000000002</v>
      </c>
      <c r="T6311">
        <v>-0.15093480000000001</v>
      </c>
      <c r="U6311">
        <v>1.9618230000000001</v>
      </c>
      <c r="V6311">
        <v>-0.28690769999999999</v>
      </c>
      <c r="W6311">
        <v>-3.1262789999999999E-2</v>
      </c>
      <c r="X6311">
        <v>0.95744790000000002</v>
      </c>
      <c r="Y6311">
        <v>-0.28573880000000002</v>
      </c>
      <c r="Z6311">
        <v>-6.0280539999999997E-3</v>
      </c>
      <c r="AA6311">
        <v>0.95828860000000005</v>
      </c>
      <c r="AB6311">
        <v>32</v>
      </c>
      <c r="AC6311">
        <v>16.5655</v>
      </c>
      <c r="AD6311">
        <v>-1.114263715391</v>
      </c>
      <c r="AE6311">
        <v>14.4095999999999</v>
      </c>
      <c r="AF6311">
        <v>-6.3053644249206604</v>
      </c>
      <c r="AG6311">
        <v>-1.114263715391</v>
      </c>
      <c r="AH6311">
        <v>20.9719130106511</v>
      </c>
      <c r="AI6311">
        <v>92.912770651076002</v>
      </c>
      <c r="AJ6311">
        <v>106.733803152109</v>
      </c>
      <c r="AK6311">
        <v>21.927615909733799</v>
      </c>
      <c r="AL6311">
        <v>91.791517945654505</v>
      </c>
      <c r="AM6311">
        <v>106.681308010523</v>
      </c>
      <c r="AN6311">
        <v>0.99999993578613999</v>
      </c>
    </row>
    <row r="6312" spans="1:40" x14ac:dyDescent="0.25">
      <c r="A6312" t="str">
        <f>"20190305135355541"</f>
        <v>20190305135355541</v>
      </c>
      <c r="B6312" t="str">
        <f>"1551765235535999"</f>
        <v>1551765235535999</v>
      </c>
      <c r="C6312" t="s">
        <v>40</v>
      </c>
      <c r="D6312">
        <v>4.6516690000000001</v>
      </c>
      <c r="E6312">
        <v>0.49913419999999997</v>
      </c>
      <c r="F6312" t="s">
        <v>81</v>
      </c>
      <c r="G6312">
        <v>-185.4692</v>
      </c>
      <c r="H6312" s="1">
        <v>-6.6024770000000003E-6</v>
      </c>
      <c r="I6312">
        <v>-42.22495</v>
      </c>
      <c r="J6312">
        <v>-201.19399999999999</v>
      </c>
      <c r="K6312">
        <v>1.114406</v>
      </c>
      <c r="L6312">
        <v>-55.994259999999997</v>
      </c>
      <c r="M6312">
        <v>0.91005340000000001</v>
      </c>
      <c r="N6312">
        <v>-1.467395E-2</v>
      </c>
      <c r="O6312">
        <v>0.41423130000000002</v>
      </c>
      <c r="P6312">
        <v>0.75206980000000001</v>
      </c>
      <c r="Q6312">
        <v>-4.361553E-2</v>
      </c>
      <c r="R6312">
        <v>0.65763879999999997</v>
      </c>
      <c r="S6312">
        <v>2.2582239999999998</v>
      </c>
      <c r="T6312">
        <v>-0.1585116</v>
      </c>
      <c r="U6312">
        <v>1.968842</v>
      </c>
      <c r="V6312">
        <v>-0.28660730000000001</v>
      </c>
      <c r="W6312">
        <v>-3.3044879999999999E-2</v>
      </c>
      <c r="X6312">
        <v>0.9574781</v>
      </c>
      <c r="Y6312">
        <v>-0.28565659999999998</v>
      </c>
      <c r="Z6312">
        <v>-6.855814E-3</v>
      </c>
      <c r="AA6312">
        <v>0.95830749999999998</v>
      </c>
      <c r="AB6312">
        <v>32</v>
      </c>
      <c r="AC6312">
        <v>15.7248</v>
      </c>
      <c r="AD6312">
        <v>-1.114412602477</v>
      </c>
      <c r="AE6312">
        <v>13.7693099999999</v>
      </c>
      <c r="AF6312">
        <v>-6.0006919219118897</v>
      </c>
      <c r="AG6312">
        <v>-1.114412602477</v>
      </c>
      <c r="AH6312">
        <v>19.959500245007401</v>
      </c>
      <c r="AI6312">
        <v>93.060662143650305</v>
      </c>
      <c r="AJ6312">
        <v>106.733058273944</v>
      </c>
      <c r="AK6312">
        <v>20.871796018088801</v>
      </c>
      <c r="AL6312">
        <v>91.893676883662494</v>
      </c>
      <c r="AM6312">
        <v>106.664314721049</v>
      </c>
      <c r="AN6312">
        <v>1.00000001024355</v>
      </c>
    </row>
    <row r="6313" spans="1:40" x14ac:dyDescent="0.25">
      <c r="A6313" t="str">
        <f>"20190305135355553"</f>
        <v>20190305135355553</v>
      </c>
      <c r="B6313" t="str">
        <f>"1551765235545759"</f>
        <v>1551765235545759</v>
      </c>
      <c r="C6313" t="s">
        <v>40</v>
      </c>
      <c r="D6313">
        <v>4.6756739999999999</v>
      </c>
      <c r="E6313">
        <v>0.49898940000000003</v>
      </c>
      <c r="F6313" t="s">
        <v>81</v>
      </c>
      <c r="G6313">
        <v>-185.8614</v>
      </c>
      <c r="H6313" s="1">
        <v>-6.5429319999999997E-6</v>
      </c>
      <c r="I6313">
        <v>-42.534619999999997</v>
      </c>
      <c r="J6313">
        <v>-201.05029999999999</v>
      </c>
      <c r="K6313">
        <v>1.114554</v>
      </c>
      <c r="L6313">
        <v>-55.92548</v>
      </c>
      <c r="M6313">
        <v>0.90868439999999995</v>
      </c>
      <c r="N6313">
        <v>-1.4686980000000001E-2</v>
      </c>
      <c r="O6313">
        <v>0.41722550000000003</v>
      </c>
      <c r="P6313">
        <v>0.74968539999999995</v>
      </c>
      <c r="Q6313">
        <v>-4.5688109999999997E-2</v>
      </c>
      <c r="R6313">
        <v>0.66021549999999996</v>
      </c>
      <c r="S6313">
        <v>2.251328</v>
      </c>
      <c r="T6313">
        <v>-0.16363239999999901</v>
      </c>
      <c r="U6313">
        <v>1.976318</v>
      </c>
      <c r="V6313">
        <v>-0.28675260000000002</v>
      </c>
      <c r="W6313">
        <v>-3.5220439999999999E-2</v>
      </c>
      <c r="X6313">
        <v>0.95735700000000001</v>
      </c>
      <c r="Y6313">
        <v>-0.28575309999999998</v>
      </c>
      <c r="Z6313">
        <v>-7.4602239999999997E-3</v>
      </c>
      <c r="AA6313">
        <v>0.95827419999999996</v>
      </c>
      <c r="AB6313">
        <v>32</v>
      </c>
      <c r="AC6313">
        <v>15.188899999999901</v>
      </c>
      <c r="AD6313">
        <v>-1.114560542932</v>
      </c>
      <c r="AE6313">
        <v>13.39086</v>
      </c>
      <c r="AF6313">
        <v>-5.8138831681494301</v>
      </c>
      <c r="AG6313">
        <v>-1.114560542932</v>
      </c>
      <c r="AH6313">
        <v>19.332442484838701</v>
      </c>
      <c r="AI6313">
        <v>93.160079890747497</v>
      </c>
      <c r="AJ6313">
        <v>106.73771149584201</v>
      </c>
      <c r="AK6313">
        <v>20.218477072379802</v>
      </c>
      <c r="AL6313">
        <v>92.0184000505743</v>
      </c>
      <c r="AM6313">
        <v>106.674286058872</v>
      </c>
      <c r="AN6313">
        <v>0.99999997922477601</v>
      </c>
    </row>
    <row r="6314" spans="1:40" x14ac:dyDescent="0.25">
      <c r="A6314" t="str">
        <f>"20190305135355566"</f>
        <v>20190305135355566</v>
      </c>
      <c r="B6314" t="str">
        <f>"1551765235556494"</f>
        <v>1551765235556494</v>
      </c>
      <c r="C6314" t="s">
        <v>40</v>
      </c>
      <c r="D6314">
        <v>4.6793129999999996</v>
      </c>
      <c r="E6314">
        <v>0.4988514</v>
      </c>
      <c r="F6314" t="s">
        <v>81</v>
      </c>
      <c r="G6314">
        <v>-186.3289</v>
      </c>
      <c r="H6314" s="1">
        <v>-6.4730170000000004E-6</v>
      </c>
      <c r="I6314">
        <v>-42.900590000000001</v>
      </c>
      <c r="J6314">
        <v>-200.87819999999999</v>
      </c>
      <c r="K6314">
        <v>1.1147309999999999</v>
      </c>
      <c r="L6314">
        <v>-55.842469999999999</v>
      </c>
      <c r="M6314">
        <v>0.9069933</v>
      </c>
      <c r="N6314">
        <v>-1.4702059999999999E-2</v>
      </c>
      <c r="O6314">
        <v>0.4208885</v>
      </c>
      <c r="P6314">
        <v>0.74657309999999999</v>
      </c>
      <c r="Q6314">
        <v>-4.6896699999999999E-2</v>
      </c>
      <c r="R6314">
        <v>0.66364869999999898</v>
      </c>
      <c r="S6314">
        <v>2.2433619999999999</v>
      </c>
      <c r="T6314">
        <v>-0.1698453</v>
      </c>
      <c r="U6314">
        <v>1.9848330000000001</v>
      </c>
      <c r="V6314">
        <v>-0.2872825</v>
      </c>
      <c r="W6314">
        <v>-3.6556100000000001E-2</v>
      </c>
      <c r="X6314">
        <v>0.95714809999999995</v>
      </c>
      <c r="Y6314">
        <v>-0.28561500000000001</v>
      </c>
      <c r="Z6314">
        <v>-8.2188450000000007E-3</v>
      </c>
      <c r="AA6314">
        <v>0.95830919999999997</v>
      </c>
      <c r="AB6314">
        <v>32</v>
      </c>
      <c r="AC6314">
        <v>14.549299999999899</v>
      </c>
      <c r="AD6314">
        <v>-1.1147374730170001</v>
      </c>
      <c r="AE6314">
        <v>12.9418799999999</v>
      </c>
      <c r="AF6314">
        <v>-5.5968298674419703</v>
      </c>
      <c r="AG6314">
        <v>-1.1147374730170001</v>
      </c>
      <c r="AH6314">
        <v>18.584315124652299</v>
      </c>
      <c r="AI6314">
        <v>93.287152318482001</v>
      </c>
      <c r="AJ6314">
        <v>106.76013654448801</v>
      </c>
      <c r="AK6314">
        <v>19.440779635889601</v>
      </c>
      <c r="AL6314">
        <v>92.094976953590205</v>
      </c>
      <c r="AM6314">
        <v>106.706826500986</v>
      </c>
      <c r="AN6314">
        <v>1.00000003429353</v>
      </c>
    </row>
    <row r="6315" spans="1:40" x14ac:dyDescent="0.25">
      <c r="A6315" t="str">
        <f>"20190305135355578"</f>
        <v>20190305135355578</v>
      </c>
      <c r="B6315" t="str">
        <f>"1551765235566256"</f>
        <v>1551765235566256</v>
      </c>
      <c r="C6315" t="s">
        <v>40</v>
      </c>
      <c r="D6315">
        <v>4.6675779999999998</v>
      </c>
      <c r="E6315">
        <v>0.4987125</v>
      </c>
      <c r="F6315" t="s">
        <v>81</v>
      </c>
      <c r="G6315">
        <v>-186.5248</v>
      </c>
      <c r="H6315" s="1">
        <v>-6.4568069999999997E-6</v>
      </c>
      <c r="I6315">
        <v>-43.01484</v>
      </c>
      <c r="J6315">
        <v>-200.7182</v>
      </c>
      <c r="K6315">
        <v>1.114892</v>
      </c>
      <c r="L6315">
        <v>-55.764069999999997</v>
      </c>
      <c r="M6315">
        <v>0.90532970000000001</v>
      </c>
      <c r="N6315">
        <v>-1.4716740000000001E-2</v>
      </c>
      <c r="O6315">
        <v>0.42445460000000002</v>
      </c>
      <c r="P6315">
        <v>0.74327310000000002</v>
      </c>
      <c r="Q6315">
        <v>-4.7840250000000001E-2</v>
      </c>
      <c r="R6315">
        <v>0.66727539999999996</v>
      </c>
      <c r="S6315">
        <v>2.233276</v>
      </c>
      <c r="T6315">
        <v>-0.1734445</v>
      </c>
      <c r="U6315">
        <v>1.9958800000000001</v>
      </c>
      <c r="V6315">
        <v>-0.2881724</v>
      </c>
      <c r="W6315">
        <v>-3.7620729999999998E-2</v>
      </c>
      <c r="X6315">
        <v>0.95683929999999995</v>
      </c>
      <c r="Y6315">
        <v>-0.28662870000000001</v>
      </c>
      <c r="Z6315">
        <v>-8.6937319999999992E-3</v>
      </c>
      <c r="AA6315">
        <v>0.95800229999999997</v>
      </c>
      <c r="AB6315">
        <v>32</v>
      </c>
      <c r="AC6315">
        <v>14.193399999999899</v>
      </c>
      <c r="AD6315">
        <v>-1.1148984568069999</v>
      </c>
      <c r="AE6315">
        <v>12.749229999999899</v>
      </c>
      <c r="AF6315">
        <v>-5.4996193430436398</v>
      </c>
      <c r="AG6315">
        <v>-1.1148984568069999</v>
      </c>
      <c r="AH6315">
        <v>18.200998198239201</v>
      </c>
      <c r="AI6315">
        <v>93.355780116968305</v>
      </c>
      <c r="AJ6315">
        <v>106.81273340823699</v>
      </c>
      <c r="AK6315">
        <v>19.046394590569601</v>
      </c>
      <c r="AL6315">
        <v>92.156017725783997</v>
      </c>
      <c r="AM6315">
        <v>106.760786217541</v>
      </c>
      <c r="AN6315">
        <v>1.0000000487359899</v>
      </c>
    </row>
    <row r="6316" spans="1:40" x14ac:dyDescent="0.25">
      <c r="A6316" t="str">
        <f>"20190305135355592"</f>
        <v>20190305135355592</v>
      </c>
      <c r="B6316" t="str">
        <f>"1551765235586750"</f>
        <v>1551765235586750</v>
      </c>
      <c r="C6316" t="s">
        <v>40</v>
      </c>
      <c r="D6316">
        <v>4.6638159999999997</v>
      </c>
      <c r="E6316">
        <v>0.49843939999999998</v>
      </c>
      <c r="F6316" t="s">
        <v>81</v>
      </c>
      <c r="G6316">
        <v>-186.65690000000001</v>
      </c>
      <c r="H6316" s="1">
        <v>-6.4557150000000001E-6</v>
      </c>
      <c r="I6316">
        <v>-43.062480000000001</v>
      </c>
      <c r="J6316">
        <v>-200.5549</v>
      </c>
      <c r="K6316">
        <v>1.1150500000000001</v>
      </c>
      <c r="L6316">
        <v>-55.683259999999997</v>
      </c>
      <c r="M6316">
        <v>0.90357390000000004</v>
      </c>
      <c r="N6316">
        <v>-1.473179E-2</v>
      </c>
      <c r="O6316">
        <v>0.42817889999999997</v>
      </c>
      <c r="P6316">
        <v>0.7397475</v>
      </c>
      <c r="Q6316">
        <v>-4.8460860000000001E-2</v>
      </c>
      <c r="R6316">
        <v>0.67113730000000005</v>
      </c>
      <c r="S6316">
        <v>2.2225190000000001</v>
      </c>
      <c r="T6316">
        <v>-0.1762195</v>
      </c>
      <c r="U6316">
        <v>2.0075989999999999</v>
      </c>
      <c r="V6316">
        <v>-0.28920790000000002</v>
      </c>
      <c r="W6316">
        <v>-3.83644E-2</v>
      </c>
      <c r="X6316">
        <v>0.95649729999999999</v>
      </c>
      <c r="Y6316">
        <v>-0.28777129999999901</v>
      </c>
      <c r="Z6316">
        <v>-9.0986060000000004E-3</v>
      </c>
      <c r="AA6316">
        <v>0.95765599999999995</v>
      </c>
      <c r="AB6316">
        <v>32</v>
      </c>
      <c r="AC6316">
        <v>13.8979999999999</v>
      </c>
      <c r="AD6316">
        <v>-1.115056455715</v>
      </c>
      <c r="AE6316">
        <v>12.6207799999999</v>
      </c>
      <c r="AF6316">
        <v>-5.4343971484264797</v>
      </c>
      <c r="AG6316">
        <v>-1.115056455715</v>
      </c>
      <c r="AH6316">
        <v>17.9006205225222</v>
      </c>
      <c r="AI6316">
        <v>93.411094284587804</v>
      </c>
      <c r="AJ6316">
        <v>106.887612311962</v>
      </c>
      <c r="AK6316">
        <v>18.740550641792801</v>
      </c>
      <c r="AL6316">
        <v>92.198657635697202</v>
      </c>
      <c r="AM6316">
        <v>106.82329230338399</v>
      </c>
      <c r="AN6316">
        <v>1.00000006075852</v>
      </c>
    </row>
    <row r="6317" spans="1:40" x14ac:dyDescent="0.25">
      <c r="A6317" t="str">
        <f>"20190305135355607"</f>
        <v>20190305135355607</v>
      </c>
      <c r="B6317" t="str">
        <f>"1551765235596512"</f>
        <v>1551765235596512</v>
      </c>
      <c r="C6317" t="s">
        <v>40</v>
      </c>
      <c r="D6317">
        <v>4.6779739999999999</v>
      </c>
      <c r="E6317">
        <v>0.49832340000000003</v>
      </c>
      <c r="F6317" t="s">
        <v>81</v>
      </c>
      <c r="G6317">
        <v>-186.68450000000001</v>
      </c>
      <c r="H6317" s="1">
        <v>-6.4786369999999996E-6</v>
      </c>
      <c r="I6317">
        <v>-43.003279999999997</v>
      </c>
      <c r="J6317">
        <v>-200.363</v>
      </c>
      <c r="K6317">
        <v>1.1152340000000001</v>
      </c>
      <c r="L6317">
        <v>-55.587249999999997</v>
      </c>
      <c r="M6317">
        <v>0.90143070000000003</v>
      </c>
      <c r="N6317">
        <v>-1.4749709999999999E-2</v>
      </c>
      <c r="O6317">
        <v>0.43267230000000001</v>
      </c>
      <c r="P6317">
        <v>0.73416389999999998</v>
      </c>
      <c r="Q6317">
        <v>-4.8251269999999999E-2</v>
      </c>
      <c r="R6317">
        <v>0.67725559999999996</v>
      </c>
      <c r="S6317">
        <v>2.210464</v>
      </c>
      <c r="T6317">
        <v>-0.17770169999999999</v>
      </c>
      <c r="U6317">
        <v>2.0207519999999999</v>
      </c>
      <c r="V6317">
        <v>-0.2923615</v>
      </c>
      <c r="W6317">
        <v>-3.8332110000000003E-2</v>
      </c>
      <c r="X6317">
        <v>0.95553929999999998</v>
      </c>
      <c r="Y6317">
        <v>-0.2887093</v>
      </c>
      <c r="Z6317">
        <v>-9.4248179999999997E-3</v>
      </c>
      <c r="AA6317">
        <v>0.95737039999999995</v>
      </c>
      <c r="AB6317">
        <v>32</v>
      </c>
      <c r="AC6317">
        <v>13.6784999999999</v>
      </c>
      <c r="AD6317">
        <v>-1.115240478637</v>
      </c>
      <c r="AE6317">
        <v>12.5839699999999</v>
      </c>
      <c r="AF6317">
        <v>-5.4063937848149797</v>
      </c>
      <c r="AG6317">
        <v>-1.115240478637</v>
      </c>
      <c r="AH6317">
        <v>17.7131142506171</v>
      </c>
      <c r="AI6317">
        <v>93.446120017468203</v>
      </c>
      <c r="AJ6317">
        <v>106.97322874006601</v>
      </c>
      <c r="AK6317">
        <v>18.5533628093964</v>
      </c>
      <c r="AL6317">
        <v>92.196806380419503</v>
      </c>
      <c r="AM6317">
        <v>107.012272542221</v>
      </c>
      <c r="AN6317">
        <v>0.99999997559189502</v>
      </c>
    </row>
    <row r="6318" spans="1:40" x14ac:dyDescent="0.25">
      <c r="A6318" t="str">
        <f>"20190305135355618"</f>
        <v>20190305135355618</v>
      </c>
      <c r="B6318" t="str">
        <f>"1551765235616030"</f>
        <v>1551765235616030</v>
      </c>
      <c r="C6318" t="s">
        <v>40</v>
      </c>
      <c r="D6318">
        <v>4.7807130000000004</v>
      </c>
      <c r="E6318">
        <v>0.49804090000000001</v>
      </c>
      <c r="F6318" t="s">
        <v>81</v>
      </c>
      <c r="G6318">
        <v>-186.53290000000001</v>
      </c>
      <c r="H6318" s="1">
        <v>-6.555273E-6</v>
      </c>
      <c r="I6318">
        <v>-42.723390000000002</v>
      </c>
      <c r="J6318">
        <v>-200.2141</v>
      </c>
      <c r="K6318">
        <v>1.115378</v>
      </c>
      <c r="L6318">
        <v>-55.511600000000001</v>
      </c>
      <c r="M6318">
        <v>0.89968499999999996</v>
      </c>
      <c r="N6318">
        <v>-1.476451E-2</v>
      </c>
      <c r="O6318">
        <v>0.43629000000000001</v>
      </c>
      <c r="P6318">
        <v>0.73012460000000001</v>
      </c>
      <c r="Q6318">
        <v>-4.7941320000000003E-2</v>
      </c>
      <c r="R6318">
        <v>0.68163009999999902</v>
      </c>
      <c r="S6318">
        <v>2.1929780000000001</v>
      </c>
      <c r="T6318">
        <v>-0.17683859999999901</v>
      </c>
      <c r="U6318">
        <v>2.0397639999999999</v>
      </c>
      <c r="V6318">
        <v>-0.29421239999999999</v>
      </c>
      <c r="W6318">
        <v>-3.8147970000000003E-2</v>
      </c>
      <c r="X6318">
        <v>0.95497840000000001</v>
      </c>
      <c r="Y6318">
        <v>-0.29311179999999998</v>
      </c>
      <c r="Z6318">
        <v>-9.3530379999999993E-3</v>
      </c>
      <c r="AA6318">
        <v>0.9560324</v>
      </c>
      <c r="AB6318">
        <v>32</v>
      </c>
      <c r="AC6318">
        <v>13.681199999999899</v>
      </c>
      <c r="AD6318">
        <v>-1.115384555273</v>
      </c>
      <c r="AE6318">
        <v>12.788209999999999</v>
      </c>
      <c r="AF6318">
        <v>-5.5174214610385697</v>
      </c>
      <c r="AG6318">
        <v>-1.115384555273</v>
      </c>
      <c r="AH6318">
        <v>17.8268511094346</v>
      </c>
      <c r="AI6318">
        <v>93.420522535880295</v>
      </c>
      <c r="AJ6318">
        <v>107.19732868441</v>
      </c>
      <c r="AK6318">
        <v>18.694454866693</v>
      </c>
      <c r="AL6318">
        <v>92.186248215924806</v>
      </c>
      <c r="AM6318">
        <v>107.12316421189099</v>
      </c>
      <c r="AN6318">
        <v>0.99999997419772002</v>
      </c>
    </row>
    <row r="6319" spans="1:40" x14ac:dyDescent="0.25">
      <c r="A6319" t="str">
        <f>"20190305135355629"</f>
        <v>20190305135355629</v>
      </c>
      <c r="B6319" t="str">
        <f>"1551765235625790"</f>
        <v>1551765235625790</v>
      </c>
      <c r="C6319" t="s">
        <v>40</v>
      </c>
      <c r="D6319">
        <v>4.7299829999999998</v>
      </c>
      <c r="E6319">
        <v>0.49804090000000001</v>
      </c>
      <c r="F6319" t="s">
        <v>81</v>
      </c>
      <c r="G6319">
        <v>-186.39099999999999</v>
      </c>
      <c r="H6319" s="1">
        <v>-6.6207379999999998E-6</v>
      </c>
      <c r="I6319">
        <v>-42.480159999999998</v>
      </c>
      <c r="J6319">
        <v>-200.08170000000001</v>
      </c>
      <c r="K6319">
        <v>1.1155040000000001</v>
      </c>
      <c r="L6319">
        <v>-55.443759999999997</v>
      </c>
      <c r="M6319">
        <v>0.89809219999999901</v>
      </c>
      <c r="N6319">
        <v>-1.4777709999999999E-2</v>
      </c>
      <c r="O6319">
        <v>0.43955899999999998</v>
      </c>
      <c r="P6319">
        <v>0.72624460000000002</v>
      </c>
      <c r="Q6319">
        <v>-4.7658239999999998E-2</v>
      </c>
      <c r="R6319">
        <v>0.68578240000000001</v>
      </c>
      <c r="S6319">
        <v>2.1792910000000001</v>
      </c>
      <c r="T6319">
        <v>-0.17584620000000001</v>
      </c>
      <c r="U6319">
        <v>2.0544739999999999</v>
      </c>
      <c r="V6319">
        <v>-0.29616720000000002</v>
      </c>
      <c r="W6319">
        <v>-3.79829E-2</v>
      </c>
      <c r="X6319">
        <v>0.95438060000000002</v>
      </c>
      <c r="Y6319">
        <v>-0.29604419999999998</v>
      </c>
      <c r="Z6319">
        <v>-9.3029640000000004E-3</v>
      </c>
      <c r="AA6319">
        <v>0.95512900000000001</v>
      </c>
      <c r="AB6319">
        <v>32</v>
      </c>
      <c r="AC6319">
        <v>13.6907</v>
      </c>
      <c r="AD6319">
        <v>-1.1155106207379999</v>
      </c>
      <c r="AE6319">
        <v>12.9636</v>
      </c>
      <c r="AF6319">
        <v>-5.6056295907806302</v>
      </c>
      <c r="AG6319">
        <v>-1.1155106207379999</v>
      </c>
      <c r="AH6319">
        <v>17.932969277475301</v>
      </c>
      <c r="AI6319">
        <v>93.397743378760495</v>
      </c>
      <c r="AJ6319">
        <v>107.358613867564</v>
      </c>
      <c r="AK6319">
        <v>18.821764905578998</v>
      </c>
      <c r="AL6319">
        <v>92.176783441293594</v>
      </c>
      <c r="AM6319">
        <v>107.240370605975</v>
      </c>
      <c r="AN6319">
        <v>1.0000000203523001</v>
      </c>
    </row>
    <row r="6320" spans="1:40" x14ac:dyDescent="0.25">
      <c r="A6320" t="str">
        <f>"20190305135355641"</f>
        <v>20190305135355641</v>
      </c>
      <c r="B6320" t="str">
        <f>"1551765235636526"</f>
        <v>1551765235636526</v>
      </c>
      <c r="C6320" t="s">
        <v>40</v>
      </c>
      <c r="D6320">
        <v>4.6182480000000004</v>
      </c>
      <c r="E6320">
        <v>0.43823000000000001</v>
      </c>
      <c r="F6320" t="s">
        <v>81</v>
      </c>
      <c r="G6320">
        <v>-186.26419999999999</v>
      </c>
      <c r="H6320" s="1">
        <v>-6.6776290000000004E-6</v>
      </c>
      <c r="I6320">
        <v>-42.267589999999998</v>
      </c>
      <c r="J6320">
        <v>-199.93620000000001</v>
      </c>
      <c r="K6320">
        <v>1.1156429999999999</v>
      </c>
      <c r="L6320">
        <v>-55.368380000000002</v>
      </c>
      <c r="M6320">
        <v>0.89628509999999995</v>
      </c>
      <c r="N6320">
        <v>-1.479283E-2</v>
      </c>
      <c r="O6320">
        <v>0.4432316</v>
      </c>
      <c r="P6320">
        <v>0.72188209999999997</v>
      </c>
      <c r="Q6320">
        <v>-4.6899339999999998E-2</v>
      </c>
      <c r="R6320">
        <v>0.69042499999999996</v>
      </c>
      <c r="S6320">
        <v>2.1675719999999998</v>
      </c>
      <c r="T6320">
        <v>-0.17499100000000001</v>
      </c>
      <c r="U6320">
        <v>2.0669559999999998</v>
      </c>
      <c r="V6320">
        <v>-0.29835430000000002</v>
      </c>
      <c r="W6320">
        <v>-3.7353310000000001E-2</v>
      </c>
      <c r="X6320">
        <v>0.95372400000000002</v>
      </c>
      <c r="Y6320">
        <v>-0.29759370000000002</v>
      </c>
      <c r="Z6320">
        <v>-9.3329439999999993E-3</v>
      </c>
      <c r="AA6320">
        <v>0.95464700000000002</v>
      </c>
      <c r="AB6320">
        <v>32</v>
      </c>
      <c r="AC6320">
        <v>13.672000000000001</v>
      </c>
      <c r="AD6320">
        <v>-1.1156496776289999</v>
      </c>
      <c r="AE6320">
        <v>13.1007899999999</v>
      </c>
      <c r="AF6320">
        <v>-5.6631432229095697</v>
      </c>
      <c r="AG6320">
        <v>-1.1156496776289999</v>
      </c>
      <c r="AH6320">
        <v>18.000184595959499</v>
      </c>
      <c r="AI6320">
        <v>93.383551125366594</v>
      </c>
      <c r="AJ6320">
        <v>107.46440131758899</v>
      </c>
      <c r="AK6320">
        <v>18.902976243306199</v>
      </c>
      <c r="AL6320">
        <v>92.140684988161397</v>
      </c>
      <c r="AM6320">
        <v>107.37129338342901</v>
      </c>
      <c r="AN6320">
        <v>1.0000000131362199</v>
      </c>
    </row>
    <row r="6321" spans="1:40" x14ac:dyDescent="0.25">
      <c r="A6321" t="str">
        <f>"20190305135355653"</f>
        <v>20190305135355653</v>
      </c>
      <c r="B6321" t="str">
        <f>"1551765235646285"</f>
        <v>1551765235646285</v>
      </c>
      <c r="C6321" t="s">
        <v>40</v>
      </c>
      <c r="D6321">
        <v>4.6383130000000001</v>
      </c>
      <c r="E6321">
        <v>0.4267687</v>
      </c>
      <c r="F6321" t="s">
        <v>41</v>
      </c>
      <c r="G6321">
        <v>-199.3408</v>
      </c>
      <c r="H6321">
        <v>1.053175</v>
      </c>
      <c r="I6321">
        <v>-54.576860000000003</v>
      </c>
      <c r="J6321">
        <v>-199.78899999999999</v>
      </c>
      <c r="K6321">
        <v>1.1157840000000001</v>
      </c>
      <c r="L6321">
        <v>-55.291080000000001</v>
      </c>
      <c r="M6321">
        <v>0.89438809999999902</v>
      </c>
      <c r="N6321">
        <v>-1.4808740000000001E-2</v>
      </c>
      <c r="O6321">
        <v>0.44704660000000002</v>
      </c>
      <c r="P6321">
        <v>0.71705730000000001</v>
      </c>
      <c r="Q6321">
        <v>-4.6261469999999999E-2</v>
      </c>
      <c r="R6321">
        <v>0.69547740000000002</v>
      </c>
      <c r="S6321">
        <v>1.824341</v>
      </c>
      <c r="T6321">
        <v>-0.19137940000000001</v>
      </c>
      <c r="U6321">
        <v>2.4247130000000001</v>
      </c>
      <c r="V6321">
        <v>-0.30096279999999997</v>
      </c>
      <c r="W6321">
        <v>-3.6855819999999997E-2</v>
      </c>
      <c r="X6321">
        <v>0.95292339999999998</v>
      </c>
      <c r="Y6321">
        <v>-0.44543769999999999</v>
      </c>
      <c r="Z6321">
        <v>-5.1899859999999997E-3</v>
      </c>
      <c r="AA6321">
        <v>0.89529789999999998</v>
      </c>
      <c r="AB6321">
        <v>32</v>
      </c>
      <c r="AC6321">
        <v>0.44820000000001398</v>
      </c>
      <c r="AD6321">
        <v>-6.2609000000000095E-2</v>
      </c>
      <c r="AE6321">
        <v>0.71422000000001096</v>
      </c>
      <c r="AF6321">
        <v>-0.436067505269011</v>
      </c>
      <c r="AG6321">
        <v>-6.2609000000000095E-2</v>
      </c>
      <c r="AH6321">
        <v>0.71628427746304602</v>
      </c>
      <c r="AI6321">
        <v>94.269818278180793</v>
      </c>
      <c r="AJ6321">
        <v>121.332683710884</v>
      </c>
      <c r="AK6321">
        <v>0.840914931591357</v>
      </c>
      <c r="AL6321">
        <v>92.112161334165506</v>
      </c>
      <c r="AM6321">
        <v>107.527734591721</v>
      </c>
      <c r="AN6321">
        <v>0.99999998235963605</v>
      </c>
    </row>
    <row r="6322" spans="1:40" x14ac:dyDescent="0.25">
      <c r="A6322" t="str">
        <f>"20190305135355665"</f>
        <v>20190305135355665</v>
      </c>
      <c r="B6322" t="str">
        <f>"1551765235656046"</f>
        <v>1551765235656046</v>
      </c>
      <c r="C6322" t="s">
        <v>40</v>
      </c>
      <c r="D6322">
        <v>4.6863279999999996</v>
      </c>
      <c r="E6322">
        <v>0.4195585</v>
      </c>
      <c r="F6322" t="s">
        <v>41</v>
      </c>
      <c r="G6322">
        <v>-199.2106</v>
      </c>
      <c r="H6322">
        <v>1.0542119999999999</v>
      </c>
      <c r="I6322">
        <v>-54.460990000000002</v>
      </c>
      <c r="J6322">
        <v>-199.6327</v>
      </c>
      <c r="K6322">
        <v>1.115934</v>
      </c>
      <c r="L6322">
        <v>-55.208500000000001</v>
      </c>
      <c r="M6322">
        <v>0.89232659999999997</v>
      </c>
      <c r="N6322">
        <v>-1.482523E-2</v>
      </c>
      <c r="O6322">
        <v>0.45114700000000002</v>
      </c>
      <c r="P6322">
        <v>0.71218959999999998</v>
      </c>
      <c r="Q6322">
        <v>-4.5914139999999999E-2</v>
      </c>
      <c r="R6322">
        <v>0.70048409999999905</v>
      </c>
      <c r="S6322">
        <v>1.7437739999999999</v>
      </c>
      <c r="T6322">
        <v>-0.1856652</v>
      </c>
      <c r="U6322">
        <v>2.5033569999999998</v>
      </c>
      <c r="V6322">
        <v>-0.30324469999999998</v>
      </c>
      <c r="W6322">
        <v>-3.6650299999999997E-2</v>
      </c>
      <c r="X6322">
        <v>0.95220760000000004</v>
      </c>
      <c r="Y6322">
        <v>-0.47383029999999998</v>
      </c>
      <c r="Z6322">
        <v>-3.7386989999999998E-3</v>
      </c>
      <c r="AA6322">
        <v>0.88060819999999995</v>
      </c>
      <c r="AB6322">
        <v>32</v>
      </c>
      <c r="AC6322">
        <v>0.42209999999999998</v>
      </c>
      <c r="AD6322">
        <v>-6.1721999999999798E-2</v>
      </c>
      <c r="AE6322">
        <v>0.74750999999999801</v>
      </c>
      <c r="AF6322">
        <v>-0.47419490429285699</v>
      </c>
      <c r="AG6322">
        <v>-6.1721999999999798E-2</v>
      </c>
      <c r="AH6322">
        <v>0.71029449446293103</v>
      </c>
      <c r="AI6322">
        <v>94.133629615070106</v>
      </c>
      <c r="AJ6322">
        <v>123.72720178874501</v>
      </c>
      <c r="AK6322">
        <v>0.85626437588262605</v>
      </c>
      <c r="AL6322">
        <v>92.100378005839005</v>
      </c>
      <c r="AM6322">
        <v>107.664851422873</v>
      </c>
      <c r="AN6322">
        <v>0.99999995303296896</v>
      </c>
    </row>
    <row r="6323" spans="1:40" x14ac:dyDescent="0.25">
      <c r="A6323" t="str">
        <f>"20190305135355678"</f>
        <v>20190305135355678</v>
      </c>
      <c r="B6323" t="str">
        <f>"1551765235665807"</f>
        <v>1551765235665807</v>
      </c>
      <c r="C6323" t="s">
        <v>40</v>
      </c>
      <c r="D6323">
        <v>4.6707799999999997</v>
      </c>
      <c r="E6323">
        <v>0.41618870000000002</v>
      </c>
      <c r="F6323" t="s">
        <v>41</v>
      </c>
      <c r="G6323">
        <v>-199.01419999999999</v>
      </c>
      <c r="H6323">
        <v>1.054173</v>
      </c>
      <c r="I6323">
        <v>-54.270539999999997</v>
      </c>
      <c r="J6323">
        <v>-199.4742</v>
      </c>
      <c r="K6323">
        <v>1.1160890000000001</v>
      </c>
      <c r="L6323">
        <v>-55.123109999999997</v>
      </c>
      <c r="M6323">
        <v>0.89013379999999998</v>
      </c>
      <c r="N6323">
        <v>-1.4844059999999999E-2</v>
      </c>
      <c r="O6323">
        <v>0.45545740000000001</v>
      </c>
      <c r="P6323">
        <v>0.70715269999999997</v>
      </c>
      <c r="Q6323">
        <v>-4.5476349999999999E-2</v>
      </c>
      <c r="R6323">
        <v>0.70559689999999997</v>
      </c>
      <c r="S6323">
        <v>1.686234</v>
      </c>
      <c r="T6323">
        <v>-0.16838499999999901</v>
      </c>
      <c r="U6323">
        <v>2.557312</v>
      </c>
      <c r="V6323">
        <v>-0.30547790000000002</v>
      </c>
      <c r="W6323">
        <v>-3.6354820000000003E-2</v>
      </c>
      <c r="X6323">
        <v>0.95150489999999999</v>
      </c>
      <c r="Y6323">
        <v>-0.49193900000000002</v>
      </c>
      <c r="Z6323">
        <v>-1.923098E-3</v>
      </c>
      <c r="AA6323">
        <v>0.8706275</v>
      </c>
      <c r="AB6323">
        <v>32</v>
      </c>
      <c r="AC6323">
        <v>0.46000000000000801</v>
      </c>
      <c r="AD6323">
        <v>-6.1915999999999798E-2</v>
      </c>
      <c r="AE6323">
        <v>0.85256999999999195</v>
      </c>
      <c r="AF6323">
        <v>-0.54721618543207196</v>
      </c>
      <c r="AG6323">
        <v>-6.1915999999999798E-2</v>
      </c>
      <c r="AH6323">
        <v>0.79461285810660298</v>
      </c>
      <c r="AI6323">
        <v>93.671887274313207</v>
      </c>
      <c r="AJ6323">
        <v>124.553536801726</v>
      </c>
      <c r="AK6323">
        <v>0.96679301762226899</v>
      </c>
      <c r="AL6323">
        <v>92.083436865112802</v>
      </c>
      <c r="AM6323">
        <v>107.799077320123</v>
      </c>
      <c r="AN6323">
        <v>0.99999999752482605</v>
      </c>
    </row>
    <row r="6324" spans="1:40" x14ac:dyDescent="0.25">
      <c r="A6324" t="str">
        <f>"20190305135355692"</f>
        <v>20190305135355692</v>
      </c>
      <c r="B6324" t="str">
        <f>"1551765235686304"</f>
        <v>1551765235686304</v>
      </c>
      <c r="C6324" t="s">
        <v>40</v>
      </c>
      <c r="D6324">
        <v>4.5769449999999896</v>
      </c>
      <c r="E6324">
        <v>0.41359190000000001</v>
      </c>
      <c r="F6324" t="s">
        <v>41</v>
      </c>
      <c r="G6324">
        <v>-198.9674</v>
      </c>
      <c r="H6324">
        <v>1.0667799999999901</v>
      </c>
      <c r="I6324">
        <v>-54.327509999999997</v>
      </c>
      <c r="J6324">
        <v>-199.31809999999999</v>
      </c>
      <c r="K6324">
        <v>1.116239</v>
      </c>
      <c r="L6324">
        <v>-55.038209999999999</v>
      </c>
      <c r="M6324">
        <v>0.88791559999999903</v>
      </c>
      <c r="N6324">
        <v>-1.486262E-2</v>
      </c>
      <c r="O6324">
        <v>0.45976630000000002</v>
      </c>
      <c r="P6324">
        <v>0.70195399999999997</v>
      </c>
      <c r="Q6324">
        <v>-4.4750499999999999E-2</v>
      </c>
      <c r="R6324">
        <v>0.71081510000000003</v>
      </c>
      <c r="S6324">
        <v>1.648911</v>
      </c>
      <c r="T6324">
        <v>-0.16044829999999999</v>
      </c>
      <c r="U6324">
        <v>2.5888369999999998</v>
      </c>
      <c r="V6324">
        <v>-0.3078882</v>
      </c>
      <c r="W6324">
        <v>-3.577309E-2</v>
      </c>
      <c r="X6324">
        <v>0.95074979999999998</v>
      </c>
      <c r="Y6324">
        <v>-0.50146570000000001</v>
      </c>
      <c r="Z6324">
        <v>-1.164668E-3</v>
      </c>
      <c r="AA6324">
        <v>0.86517670000000002</v>
      </c>
      <c r="AB6324">
        <v>32</v>
      </c>
      <c r="AC6324">
        <v>0.35069999999998902</v>
      </c>
      <c r="AD6324">
        <v>-4.94590000000001E-2</v>
      </c>
      <c r="AE6324">
        <v>0.710700000000002</v>
      </c>
      <c r="AF6324">
        <v>-0.46803062729515299</v>
      </c>
      <c r="AG6324">
        <v>-4.94590000000001E-2</v>
      </c>
      <c r="AH6324">
        <v>0.63574236943459395</v>
      </c>
      <c r="AI6324">
        <v>93.584921620557097</v>
      </c>
      <c r="AJ6324">
        <v>126.360330614175</v>
      </c>
      <c r="AK6324">
        <v>0.79099129013005298</v>
      </c>
      <c r="AL6324">
        <v>92.050084448530797</v>
      </c>
      <c r="AM6324">
        <v>107.943884874069</v>
      </c>
      <c r="AN6324">
        <v>1.00000001993371</v>
      </c>
    </row>
    <row r="6325" spans="1:40" x14ac:dyDescent="0.25">
      <c r="A6325" t="str">
        <f>"20190305135355708"</f>
        <v>20190305135355708</v>
      </c>
      <c r="B6325" t="str">
        <f>"1551765235705822"</f>
        <v>1551765235705822</v>
      </c>
      <c r="C6325" t="s">
        <v>40</v>
      </c>
      <c r="D6325">
        <v>4.5308599999999997</v>
      </c>
      <c r="E6325">
        <v>0.41295660000000001</v>
      </c>
      <c r="F6325" t="s">
        <v>41</v>
      </c>
      <c r="G6325">
        <v>-198.76589999999999</v>
      </c>
      <c r="H6325">
        <v>1.065372</v>
      </c>
      <c r="I6325">
        <v>-54.144109999999998</v>
      </c>
      <c r="J6325">
        <v>-199.10749999999999</v>
      </c>
      <c r="K6325">
        <v>1.116441</v>
      </c>
      <c r="L6325">
        <v>-54.922060000000002</v>
      </c>
      <c r="M6325">
        <v>0.88481290000000001</v>
      </c>
      <c r="N6325">
        <v>-1.4888190000000001E-2</v>
      </c>
      <c r="O6325">
        <v>0.46570850000000003</v>
      </c>
      <c r="P6325">
        <v>0.69427879999999997</v>
      </c>
      <c r="Q6325">
        <v>-4.2522360000000002E-2</v>
      </c>
      <c r="R6325">
        <v>0.71844889999999995</v>
      </c>
      <c r="S6325">
        <v>1.6152340000000001</v>
      </c>
      <c r="T6325">
        <v>-0.14881749999999999</v>
      </c>
      <c r="U6325">
        <v>2.6160580000000002</v>
      </c>
      <c r="V6325">
        <v>-0.31186199999999997</v>
      </c>
      <c r="W6325">
        <v>-3.3752119999999997E-2</v>
      </c>
      <c r="X6325">
        <v>0.94952769999999997</v>
      </c>
      <c r="Y6325">
        <v>-0.50779659999999904</v>
      </c>
      <c r="Z6325">
        <v>-3.2407790000000002E-4</v>
      </c>
      <c r="AA6325">
        <v>0.86147700000000005</v>
      </c>
      <c r="AB6325">
        <v>32</v>
      </c>
      <c r="AC6325">
        <v>0.34159999999999902</v>
      </c>
      <c r="AD6325">
        <v>-5.1069000000000003E-2</v>
      </c>
      <c r="AE6325">
        <v>0.77794999999999703</v>
      </c>
      <c r="AF6325">
        <v>-0.52740745739302797</v>
      </c>
      <c r="AG6325">
        <v>-5.1069000000000003E-2</v>
      </c>
      <c r="AH6325">
        <v>0.66223121494342196</v>
      </c>
      <c r="AI6325">
        <v>93.452094351496996</v>
      </c>
      <c r="AJ6325">
        <v>128.53416103784099</v>
      </c>
      <c r="AK6325">
        <v>0.84812549243624302</v>
      </c>
      <c r="AL6325">
        <v>91.934221423370204</v>
      </c>
      <c r="AM6325">
        <v>108.18220107298001</v>
      </c>
      <c r="AN6325">
        <v>0.99999998285789204</v>
      </c>
    </row>
    <row r="6326" spans="1:40" x14ac:dyDescent="0.25">
      <c r="A6326" t="str">
        <f>"20190305135355722"</f>
        <v>20190305135355722</v>
      </c>
      <c r="B6326" t="str">
        <f>"1551765235716558"</f>
        <v>1551765235716558</v>
      </c>
      <c r="C6326" t="s">
        <v>40</v>
      </c>
      <c r="D6326">
        <v>4.5450679999999997</v>
      </c>
      <c r="E6326">
        <v>0.41286289999999998</v>
      </c>
      <c r="F6326" t="s">
        <v>41</v>
      </c>
      <c r="G6326">
        <v>-198.54509999999999</v>
      </c>
      <c r="H6326">
        <v>1.0673790000000001</v>
      </c>
      <c r="I6326">
        <v>-53.98518</v>
      </c>
      <c r="J6326">
        <v>-198.94139999999999</v>
      </c>
      <c r="K6326">
        <v>1.116592</v>
      </c>
      <c r="L6326">
        <v>-54.828949999999999</v>
      </c>
      <c r="M6326">
        <v>0.88227029999999995</v>
      </c>
      <c r="N6326">
        <v>-1.490841E-2</v>
      </c>
      <c r="O6326">
        <v>0.47050710000000001</v>
      </c>
      <c r="P6326">
        <v>0.6892007</v>
      </c>
      <c r="Q6326">
        <v>-4.1646589999999997E-2</v>
      </c>
      <c r="R6326">
        <v>0.72337259999999903</v>
      </c>
      <c r="S6326">
        <v>1.583267</v>
      </c>
      <c r="T6326">
        <v>-0.13812669999999999</v>
      </c>
      <c r="U6326">
        <v>2.6375120000000001</v>
      </c>
      <c r="V6326">
        <v>-0.31344050000000001</v>
      </c>
      <c r="W6326">
        <v>-3.300314E-2</v>
      </c>
      <c r="X6326">
        <v>0.94903419999999905</v>
      </c>
      <c r="Y6326">
        <v>-0.51391049999999905</v>
      </c>
      <c r="Z6326">
        <v>4.9121400000000002E-4</v>
      </c>
      <c r="AA6326">
        <v>0.85784359999999904</v>
      </c>
      <c r="AB6326">
        <v>32</v>
      </c>
      <c r="AC6326">
        <v>0.39629999999999599</v>
      </c>
      <c r="AD6326">
        <v>-4.9212999999999903E-2</v>
      </c>
      <c r="AE6326">
        <v>0.84376999999999203</v>
      </c>
      <c r="AF6326">
        <v>-0.55648232046895596</v>
      </c>
      <c r="AG6326">
        <v>-4.9212999999999903E-2</v>
      </c>
      <c r="AH6326">
        <v>0.744651103504121</v>
      </c>
      <c r="AI6326">
        <v>93.030370212237102</v>
      </c>
      <c r="AJ6326">
        <v>126.77098683748</v>
      </c>
      <c r="AK6326">
        <v>0.93091340000744405</v>
      </c>
      <c r="AL6326">
        <v>91.891284008644007</v>
      </c>
      <c r="AM6326">
        <v>108.27700138862799</v>
      </c>
      <c r="AN6326">
        <v>1.00000003352987</v>
      </c>
    </row>
    <row r="6327" spans="1:40" x14ac:dyDescent="0.25">
      <c r="A6327" t="str">
        <f>"20190305135355735"</f>
        <v>20190305135355735</v>
      </c>
      <c r="B6327" t="str">
        <f>"1551765235726318"</f>
        <v>1551765235726318</v>
      </c>
      <c r="C6327" t="s">
        <v>40</v>
      </c>
      <c r="D6327">
        <v>4.5423460000000002</v>
      </c>
      <c r="E6327">
        <v>0.4130877</v>
      </c>
      <c r="F6327" t="s">
        <v>41</v>
      </c>
      <c r="G6327">
        <v>-198.4846</v>
      </c>
      <c r="H6327">
        <v>1.077183</v>
      </c>
      <c r="I6327">
        <v>-54.055149999999998</v>
      </c>
      <c r="J6327">
        <v>-198.79329999999999</v>
      </c>
      <c r="K6327">
        <v>1.116716</v>
      </c>
      <c r="L6327">
        <v>-54.744599999999998</v>
      </c>
      <c r="M6327">
        <v>0.87992649999999994</v>
      </c>
      <c r="N6327">
        <v>-1.492631E-2</v>
      </c>
      <c r="O6327">
        <v>0.4748752</v>
      </c>
      <c r="P6327">
        <v>0.68453710000000001</v>
      </c>
      <c r="Q6327">
        <v>-4.0432969999999999E-2</v>
      </c>
      <c r="R6327">
        <v>0.7278559</v>
      </c>
      <c r="S6327">
        <v>1.564163</v>
      </c>
      <c r="T6327">
        <v>-0.13492760000000001</v>
      </c>
      <c r="U6327">
        <v>2.6492</v>
      </c>
      <c r="V6327">
        <v>-0.31490629999999997</v>
      </c>
      <c r="W6327">
        <v>-3.1898200000000002E-2</v>
      </c>
      <c r="X6327">
        <v>0.94858659999999995</v>
      </c>
      <c r="Y6327">
        <v>-0.51591149999999997</v>
      </c>
      <c r="Z6327">
        <v>6.4066699999999895E-4</v>
      </c>
      <c r="AA6327">
        <v>0.85664169999999995</v>
      </c>
      <c r="AB6327">
        <v>32</v>
      </c>
      <c r="AC6327">
        <v>0.30869999999998698</v>
      </c>
      <c r="AD6327">
        <v>-3.9532999999999999E-2</v>
      </c>
      <c r="AE6327">
        <v>0.68945000000000001</v>
      </c>
      <c r="AF6327">
        <v>-0.45886589458878702</v>
      </c>
      <c r="AG6327">
        <v>-3.9532999999999999E-2</v>
      </c>
      <c r="AH6327">
        <v>0.59746645212919003</v>
      </c>
      <c r="AI6327">
        <v>93.003945718611405</v>
      </c>
      <c r="AJ6327">
        <v>127.524965897966</v>
      </c>
      <c r="AK6327">
        <v>0.75437850494669501</v>
      </c>
      <c r="AL6327">
        <v>91.827942300823594</v>
      </c>
      <c r="AM6327">
        <v>108.364836141354</v>
      </c>
      <c r="AN6327">
        <v>1.0000000053212399</v>
      </c>
    </row>
    <row r="6328" spans="1:40" x14ac:dyDescent="0.25">
      <c r="A6328" t="str">
        <f>"20190305135355747"</f>
        <v>20190305135355747</v>
      </c>
      <c r="B6328" t="str">
        <f>"1551765235736078"</f>
        <v>1551765235736078</v>
      </c>
      <c r="C6328" t="s">
        <v>40</v>
      </c>
      <c r="D6328">
        <v>4.5436870000000003</v>
      </c>
      <c r="E6328">
        <v>0.4132074</v>
      </c>
      <c r="F6328" t="s">
        <v>41</v>
      </c>
      <c r="G6328">
        <v>-198.2851</v>
      </c>
      <c r="H6328">
        <v>1.0734250000000001</v>
      </c>
      <c r="I6328">
        <v>-53.872590000000002</v>
      </c>
      <c r="J6328">
        <v>-198.6361</v>
      </c>
      <c r="K6328">
        <v>1.116838</v>
      </c>
      <c r="L6328">
        <v>-54.654330000000002</v>
      </c>
      <c r="M6328">
        <v>0.87738559999999999</v>
      </c>
      <c r="N6328">
        <v>-1.4944499999999999E-2</v>
      </c>
      <c r="O6328">
        <v>0.47955320000000001</v>
      </c>
      <c r="P6328">
        <v>0.67955019999999999</v>
      </c>
      <c r="Q6328">
        <v>-3.9791130000000001E-2</v>
      </c>
      <c r="R6328">
        <v>0.73254909999999995</v>
      </c>
      <c r="S6328">
        <v>1.548462</v>
      </c>
      <c r="T6328">
        <v>-0.13193429999999901</v>
      </c>
      <c r="U6328">
        <v>2.6580810000000001</v>
      </c>
      <c r="V6328">
        <v>-0.31636599999999998</v>
      </c>
      <c r="W6328">
        <v>-3.1367869999999999E-2</v>
      </c>
      <c r="X6328">
        <v>0.94811840000000003</v>
      </c>
      <c r="Y6328">
        <v>-0.51638490000000004</v>
      </c>
      <c r="Z6328">
        <v>7.2033000000000004E-4</v>
      </c>
      <c r="AA6328">
        <v>0.85635629999999996</v>
      </c>
      <c r="AB6328">
        <v>32</v>
      </c>
      <c r="AC6328">
        <v>0.35099999999999898</v>
      </c>
      <c r="AD6328">
        <v>-4.3412999999999903E-2</v>
      </c>
      <c r="AE6328">
        <v>0.78173999999999899</v>
      </c>
      <c r="AF6328">
        <v>-0.51629690681059004</v>
      </c>
      <c r="AG6328">
        <v>-4.3412999999999903E-2</v>
      </c>
      <c r="AH6328">
        <v>0.68117620084850306</v>
      </c>
      <c r="AI6328">
        <v>92.907638415049405</v>
      </c>
      <c r="AJ6328">
        <v>127.16027610390999</v>
      </c>
      <c r="AK6328">
        <v>0.85583187668699501</v>
      </c>
      <c r="AL6328">
        <v>91.797541524552202</v>
      </c>
      <c r="AM6328">
        <v>108.45270646121401</v>
      </c>
      <c r="AN6328">
        <v>0.99999994482144705</v>
      </c>
    </row>
    <row r="6329" spans="1:40" x14ac:dyDescent="0.25">
      <c r="A6329" t="str">
        <f>"20190305135355760"</f>
        <v>20190305135355760</v>
      </c>
      <c r="B6329" t="str">
        <f>"1551765235756574"</f>
        <v>1551765235756574</v>
      </c>
      <c r="C6329" t="s">
        <v>40</v>
      </c>
      <c r="D6329">
        <v>4.5357880000000002</v>
      </c>
      <c r="E6329">
        <v>0.41365809999999997</v>
      </c>
      <c r="F6329" t="s">
        <v>41</v>
      </c>
      <c r="G6329">
        <v>-198.0838</v>
      </c>
      <c r="H6329">
        <v>1.070352</v>
      </c>
      <c r="I6329">
        <v>-53.692059999999998</v>
      </c>
      <c r="J6329">
        <v>-198.47730000000001</v>
      </c>
      <c r="K6329">
        <v>1.1169549999999999</v>
      </c>
      <c r="L6329">
        <v>-54.561579999999999</v>
      </c>
      <c r="M6329">
        <v>0.87473060000000002</v>
      </c>
      <c r="N6329">
        <v>-1.496258E-2</v>
      </c>
      <c r="O6329">
        <v>0.48437849999999999</v>
      </c>
      <c r="P6329">
        <v>0.67464880000000005</v>
      </c>
      <c r="Q6329">
        <v>-3.9348729999999998E-2</v>
      </c>
      <c r="R6329">
        <v>0.73708929999999995</v>
      </c>
      <c r="S6329">
        <v>1.5309600000000001</v>
      </c>
      <c r="T6329">
        <v>-0.12888169999999999</v>
      </c>
      <c r="U6329">
        <v>2.668091</v>
      </c>
      <c r="V6329">
        <v>-0.31748720000000002</v>
      </c>
      <c r="W6329">
        <v>-3.1023709999999999E-2</v>
      </c>
      <c r="X6329">
        <v>0.94775489999999996</v>
      </c>
      <c r="Y6329">
        <v>-0.51729179999999997</v>
      </c>
      <c r="Z6329">
        <v>8.2301490000000004E-4</v>
      </c>
      <c r="AA6329">
        <v>0.85580869999999998</v>
      </c>
      <c r="AB6329">
        <v>32</v>
      </c>
      <c r="AC6329">
        <v>0.393500000000017</v>
      </c>
      <c r="AD6329">
        <v>-4.6602999999999901E-2</v>
      </c>
      <c r="AE6329">
        <v>0.86952000000000795</v>
      </c>
      <c r="AF6329">
        <v>-0.56870068743914604</v>
      </c>
      <c r="AG6329">
        <v>-4.6602999999999901E-2</v>
      </c>
      <c r="AH6329">
        <v>0.76364822709128199</v>
      </c>
      <c r="AI6329">
        <v>92.802123120895004</v>
      </c>
      <c r="AJ6329">
        <v>126.675627479287</v>
      </c>
      <c r="AK6329">
        <v>0.95328428406347698</v>
      </c>
      <c r="AL6329">
        <v>91.777812958237803</v>
      </c>
      <c r="AM6329">
        <v>108.520268346452</v>
      </c>
      <c r="AN6329">
        <v>0.99999997161000598</v>
      </c>
    </row>
    <row r="6330" spans="1:40" x14ac:dyDescent="0.25">
      <c r="A6330" t="str">
        <f>"20190305135355778"</f>
        <v>20190305135355778</v>
      </c>
      <c r="B6330" t="str">
        <f>"1551765235766334"</f>
        <v>1551765235766334</v>
      </c>
      <c r="C6330" t="s">
        <v>40</v>
      </c>
      <c r="D6330">
        <v>4.490774</v>
      </c>
      <c r="E6330">
        <v>0.41403570000000001</v>
      </c>
      <c r="F6330" t="s">
        <v>41</v>
      </c>
      <c r="G6330">
        <v>-198.0231</v>
      </c>
      <c r="H6330">
        <v>1.078451</v>
      </c>
      <c r="I6330">
        <v>-53.76003</v>
      </c>
      <c r="J6330">
        <v>-198.27869999999999</v>
      </c>
      <c r="K6330">
        <v>1.117092</v>
      </c>
      <c r="L6330">
        <v>-54.44388</v>
      </c>
      <c r="M6330">
        <v>0.87131229999999904</v>
      </c>
      <c r="N6330">
        <v>-1.4984320000000001E-2</v>
      </c>
      <c r="O6330">
        <v>0.49050009999999999</v>
      </c>
      <c r="P6330">
        <v>0.66830389999999995</v>
      </c>
      <c r="Q6330">
        <v>-3.8295790000000003E-2</v>
      </c>
      <c r="R6330">
        <v>0.7429019</v>
      </c>
      <c r="S6330">
        <v>1.5158389999999999</v>
      </c>
      <c r="T6330">
        <v>-0.12851569999999901</v>
      </c>
      <c r="U6330">
        <v>2.6757810000000002</v>
      </c>
      <c r="V6330">
        <v>-0.31902429999999998</v>
      </c>
      <c r="W6330">
        <v>-3.0088469999999999E-2</v>
      </c>
      <c r="X6330">
        <v>0.94726880000000002</v>
      </c>
      <c r="Y6330">
        <v>-0.51601049999999904</v>
      </c>
      <c r="Z6330">
        <v>6.0681530000000002E-4</v>
      </c>
      <c r="AA6330">
        <v>0.85658199999999995</v>
      </c>
      <c r="AB6330">
        <v>32</v>
      </c>
      <c r="AC6330">
        <v>0.25559999999998601</v>
      </c>
      <c r="AD6330">
        <v>-3.8640999999999898E-2</v>
      </c>
      <c r="AE6330">
        <v>0.68384999999999896</v>
      </c>
      <c r="AF6330">
        <v>-0.46921343559918099</v>
      </c>
      <c r="AG6330">
        <v>-3.8640999999999898E-2</v>
      </c>
      <c r="AH6330">
        <v>0.55663918535766499</v>
      </c>
      <c r="AI6330">
        <v>93.038241346238195</v>
      </c>
      <c r="AJ6330">
        <v>130.128879080312</v>
      </c>
      <c r="AK6330">
        <v>0.72904153359286195</v>
      </c>
      <c r="AL6330">
        <v>91.724202568261902</v>
      </c>
      <c r="AM6330">
        <v>108.61266531703301</v>
      </c>
      <c r="AN6330">
        <v>0.99999999973543496</v>
      </c>
    </row>
    <row r="6331" spans="1:40" x14ac:dyDescent="0.25">
      <c r="A6331" t="str">
        <f>"20190305135355797"</f>
        <v>20190305135355797</v>
      </c>
      <c r="B6331" t="str">
        <f>"1551765235785853"</f>
        <v>1551765235785853</v>
      </c>
      <c r="C6331" t="s">
        <v>40</v>
      </c>
      <c r="D6331">
        <v>4.5276949999999996</v>
      </c>
      <c r="E6331">
        <v>0.4149022</v>
      </c>
      <c r="F6331" t="s">
        <v>41</v>
      </c>
      <c r="G6331">
        <v>-197.8075</v>
      </c>
      <c r="H6331">
        <v>1.0771109999999999</v>
      </c>
      <c r="I6331">
        <v>-53.597259999999999</v>
      </c>
      <c r="J6331">
        <v>-198.0361</v>
      </c>
      <c r="K6331">
        <v>1.117246</v>
      </c>
      <c r="L6331">
        <v>-54.297449999999998</v>
      </c>
      <c r="M6331">
        <v>0.86699130000000002</v>
      </c>
      <c r="N6331">
        <v>-1.5009430000000001E-2</v>
      </c>
      <c r="O6331">
        <v>0.49809730000000002</v>
      </c>
      <c r="P6331">
        <v>0.66135339999999998</v>
      </c>
      <c r="Q6331">
        <v>-3.7540619999999997E-2</v>
      </c>
      <c r="R6331">
        <v>0.74913450000000004</v>
      </c>
      <c r="S6331">
        <v>1.49501</v>
      </c>
      <c r="T6331">
        <v>-0.12686919999999999</v>
      </c>
      <c r="U6331">
        <v>2.686798</v>
      </c>
      <c r="V6331">
        <v>-0.31960729999999998</v>
      </c>
      <c r="W6331">
        <v>-2.9434479999999999E-2</v>
      </c>
      <c r="X6331">
        <v>0.94709279999999996</v>
      </c>
      <c r="Y6331">
        <v>-0.51509399999999905</v>
      </c>
      <c r="Z6331">
        <v>4.6102049999999998E-4</v>
      </c>
      <c r="AA6331">
        <v>0.85713359999999905</v>
      </c>
      <c r="AB6331">
        <v>31</v>
      </c>
      <c r="AC6331">
        <v>0.2286</v>
      </c>
      <c r="AD6331">
        <v>-4.0134999999999803E-2</v>
      </c>
      <c r="AE6331">
        <v>0.70018999999999898</v>
      </c>
      <c r="AF6331">
        <v>-0.491788950182518</v>
      </c>
      <c r="AG6331">
        <v>-4.0134999999999803E-2</v>
      </c>
      <c r="AH6331">
        <v>0.54539919294859196</v>
      </c>
      <c r="AI6331">
        <v>93.128183086654403</v>
      </c>
      <c r="AJ6331">
        <v>132.04112547870901</v>
      </c>
      <c r="AK6331">
        <v>0.73547771510467796</v>
      </c>
      <c r="AL6331">
        <v>91.686715105707506</v>
      </c>
      <c r="AM6331">
        <v>108.647555322126</v>
      </c>
      <c r="AN6331">
        <v>0.99999999331900002</v>
      </c>
    </row>
    <row r="6332" spans="1:40" x14ac:dyDescent="0.25">
      <c r="A6332" t="str">
        <f>"20190305135355811"</f>
        <v>20190305135355811</v>
      </c>
      <c r="B6332" t="str">
        <f>"1551765235806350"</f>
        <v>1551765235806350</v>
      </c>
      <c r="C6332" t="s">
        <v>40</v>
      </c>
      <c r="D6332">
        <v>4.5362109999999998</v>
      </c>
      <c r="E6332">
        <v>0.415711</v>
      </c>
      <c r="F6332" t="s">
        <v>41</v>
      </c>
      <c r="G6332">
        <v>-197.57429999999999</v>
      </c>
      <c r="H6332">
        <v>1.0769610000000001</v>
      </c>
      <c r="I6332">
        <v>-53.453220000000002</v>
      </c>
      <c r="J6332">
        <v>-197.8854</v>
      </c>
      <c r="K6332">
        <v>1.117334</v>
      </c>
      <c r="L6332">
        <v>-54.205080000000002</v>
      </c>
      <c r="M6332">
        <v>0.86423109999999903</v>
      </c>
      <c r="N6332">
        <v>-1.5024010000000001E-2</v>
      </c>
      <c r="O6332">
        <v>0.5028707</v>
      </c>
      <c r="P6332">
        <v>0.65711839999999999</v>
      </c>
      <c r="Q6332">
        <v>-3.730079E-2</v>
      </c>
      <c r="R6332">
        <v>0.75286390000000003</v>
      </c>
      <c r="S6332">
        <v>1.474945</v>
      </c>
      <c r="T6332">
        <v>-0.12865599999999999</v>
      </c>
      <c r="U6332">
        <v>2.6960449999999998</v>
      </c>
      <c r="V6332">
        <v>-0.31973459999999998</v>
      </c>
      <c r="W6332">
        <v>-2.9245050000000002E-2</v>
      </c>
      <c r="X6332">
        <v>0.94705569999999895</v>
      </c>
      <c r="Y6332">
        <v>-0.51650490000000004</v>
      </c>
      <c r="Z6332">
        <v>1.886329E-4</v>
      </c>
      <c r="AA6332">
        <v>0.85628419999999905</v>
      </c>
      <c r="AB6332">
        <v>31</v>
      </c>
      <c r="AC6332">
        <v>0.31110000000000998</v>
      </c>
      <c r="AD6332">
        <v>-4.0372999999999902E-2</v>
      </c>
      <c r="AE6332">
        <v>0.75186000000000697</v>
      </c>
      <c r="AF6332">
        <v>-0.49218168256294098</v>
      </c>
      <c r="AG6332">
        <v>-4.0372999999999902E-2</v>
      </c>
      <c r="AH6332">
        <v>0.64543466123614002</v>
      </c>
      <c r="AI6332">
        <v>92.847538619922204</v>
      </c>
      <c r="AJ6332">
        <v>127.327639675455</v>
      </c>
      <c r="AK6332">
        <v>0.81268609542953196</v>
      </c>
      <c r="AL6332">
        <v>91.675856891897894</v>
      </c>
      <c r="AM6332">
        <v>108.655149100649</v>
      </c>
      <c r="AN6332">
        <v>0.99999999314457599</v>
      </c>
    </row>
    <row r="6333" spans="1:40" x14ac:dyDescent="0.25">
      <c r="A6333" t="str">
        <f>"20190305135355822"</f>
        <v>20190305135355822</v>
      </c>
      <c r="B6333" t="str">
        <f>"1551765235816111"</f>
        <v>1551765235816111</v>
      </c>
      <c r="C6333" t="s">
        <v>40</v>
      </c>
      <c r="D6333">
        <v>4.5013269999999999</v>
      </c>
      <c r="E6333">
        <v>0.41618709999999998</v>
      </c>
      <c r="F6333" t="s">
        <v>41</v>
      </c>
      <c r="G6333">
        <v>-197.3777</v>
      </c>
      <c r="H6333">
        <v>1.0723049999999901</v>
      </c>
      <c r="I6333">
        <v>-53.269350000000003</v>
      </c>
      <c r="J6333">
        <v>-197.7353</v>
      </c>
      <c r="K6333">
        <v>1.117407</v>
      </c>
      <c r="L6333">
        <v>-54.111910000000002</v>
      </c>
      <c r="M6333">
        <v>0.86142220000000003</v>
      </c>
      <c r="N6333">
        <v>-1.5037709999999999E-2</v>
      </c>
      <c r="O6333">
        <v>0.50766679999999997</v>
      </c>
      <c r="P6333">
        <v>0.65272529999999995</v>
      </c>
      <c r="Q6333">
        <v>-3.6826020000000001E-2</v>
      </c>
      <c r="R6333">
        <v>0.75669909999999996</v>
      </c>
      <c r="S6333">
        <v>1.4646300000000001</v>
      </c>
      <c r="T6333">
        <v>-0.12990389999999999</v>
      </c>
      <c r="U6333">
        <v>2.6999819999999999</v>
      </c>
      <c r="V6333">
        <v>-0.32000679999999998</v>
      </c>
      <c r="W6333">
        <v>-2.8818670000000001E-2</v>
      </c>
      <c r="X6333">
        <v>0.94697679999999995</v>
      </c>
      <c r="Y6333">
        <v>-0.51479350000000001</v>
      </c>
      <c r="Z6333">
        <v>-1.4150980000000001E-4</v>
      </c>
      <c r="AA6333">
        <v>0.85731420000000003</v>
      </c>
      <c r="AB6333">
        <v>31</v>
      </c>
      <c r="AC6333">
        <v>0.35759999999998998</v>
      </c>
      <c r="AD6333">
        <v>-4.5102000000000197E-2</v>
      </c>
      <c r="AE6333">
        <v>0.84255999999999098</v>
      </c>
      <c r="AF6333">
        <v>-0.54300137234694201</v>
      </c>
      <c r="AG6333">
        <v>-4.5102000000000197E-2</v>
      </c>
      <c r="AH6333">
        <v>0.73408515309201705</v>
      </c>
      <c r="AI6333">
        <v>92.827824766987902</v>
      </c>
      <c r="AJ6333">
        <v>126.490261420382</v>
      </c>
      <c r="AK6333">
        <v>0.91420221656086198</v>
      </c>
      <c r="AL6333">
        <v>91.651416863794296</v>
      </c>
      <c r="AM6333">
        <v>108.671378381783</v>
      </c>
      <c r="AN6333">
        <v>0.99999996376252298</v>
      </c>
    </row>
    <row r="6334" spans="1:40" x14ac:dyDescent="0.25">
      <c r="A6334" t="str">
        <f>"20190305135355833"</f>
        <v>20190305135355833</v>
      </c>
      <c r="B6334" t="str">
        <f>"1551765235825869"</f>
        <v>1551765235825869</v>
      </c>
      <c r="C6334" t="s">
        <v>40</v>
      </c>
      <c r="D6334">
        <v>4.5325579999999999</v>
      </c>
      <c r="E6334">
        <v>0.41665219999999997</v>
      </c>
      <c r="F6334" t="s">
        <v>41</v>
      </c>
      <c r="G6334">
        <v>-197.31739999999999</v>
      </c>
      <c r="H6334">
        <v>1.079901</v>
      </c>
      <c r="I6334">
        <v>-53.333309999999997</v>
      </c>
      <c r="J6334">
        <v>-197.61279999999999</v>
      </c>
      <c r="K6334">
        <v>1.117461</v>
      </c>
      <c r="L6334">
        <v>-54.034640000000003</v>
      </c>
      <c r="M6334">
        <v>0.85908090000000004</v>
      </c>
      <c r="N6334">
        <v>-1.504813E-2</v>
      </c>
      <c r="O6334">
        <v>0.51161859999999904</v>
      </c>
      <c r="P6334">
        <v>0.64906519999999901</v>
      </c>
      <c r="Q6334">
        <v>-3.6409879999999999E-2</v>
      </c>
      <c r="R6334">
        <v>0.75986089999999995</v>
      </c>
      <c r="S6334">
        <v>1.4517819999999999</v>
      </c>
      <c r="T6334">
        <v>-0.13032579999999999</v>
      </c>
      <c r="U6334">
        <v>2.7059630000000001</v>
      </c>
      <c r="V6334">
        <v>-0.32024920000000001</v>
      </c>
      <c r="W6334">
        <v>-2.8437400000000002E-2</v>
      </c>
      <c r="X6334">
        <v>0.94690640000000004</v>
      </c>
      <c r="Y6334">
        <v>-0.51480439999999905</v>
      </c>
      <c r="Z6334">
        <v>-3.1887929999999999E-4</v>
      </c>
      <c r="AA6334">
        <v>0.85730759999999995</v>
      </c>
      <c r="AB6334">
        <v>31</v>
      </c>
      <c r="AC6334">
        <v>0.2954</v>
      </c>
      <c r="AD6334">
        <v>-3.7560000000000003E-2</v>
      </c>
      <c r="AE6334">
        <v>0.701330000000005</v>
      </c>
      <c r="AF6334">
        <v>-0.45032119353365702</v>
      </c>
      <c r="AG6334">
        <v>-3.7560000000000003E-2</v>
      </c>
      <c r="AH6334">
        <v>0.61116652460316001</v>
      </c>
      <c r="AI6334">
        <v>92.832466300885002</v>
      </c>
      <c r="AJ6334">
        <v>126.383620559509</v>
      </c>
      <c r="AK6334">
        <v>0.76008187173559305</v>
      </c>
      <c r="AL6334">
        <v>91.629562712245303</v>
      </c>
      <c r="AM6334">
        <v>108.68583310095499</v>
      </c>
      <c r="AN6334">
        <v>0.99999998309017901</v>
      </c>
    </row>
    <row r="6335" spans="1:40" x14ac:dyDescent="0.25">
      <c r="A6335" t="str">
        <f>"20190305135355845"</f>
        <v>20190305135355845</v>
      </c>
      <c r="B6335" t="str">
        <f>"1551765235836606"</f>
        <v>1551765235836606</v>
      </c>
      <c r="C6335" t="s">
        <v>40</v>
      </c>
      <c r="D6335">
        <v>4.5657969999999999</v>
      </c>
      <c r="E6335">
        <v>0.41703820000000003</v>
      </c>
      <c r="F6335" t="s">
        <v>41</v>
      </c>
      <c r="G6335">
        <v>-197.13480000000001</v>
      </c>
      <c r="H6335">
        <v>1.0742020000000001</v>
      </c>
      <c r="I6335">
        <v>-53.135950000000001</v>
      </c>
      <c r="J6335">
        <v>-197.4716</v>
      </c>
      <c r="K6335">
        <v>1.1175109999999999</v>
      </c>
      <c r="L6335">
        <v>-53.945129999999999</v>
      </c>
      <c r="M6335">
        <v>0.85634779999999999</v>
      </c>
      <c r="N6335">
        <v>-1.505946E-2</v>
      </c>
      <c r="O6335">
        <v>0.51617990000000002</v>
      </c>
      <c r="P6335">
        <v>0.64479609999999998</v>
      </c>
      <c r="Q6335">
        <v>-3.5911609999999997E-2</v>
      </c>
      <c r="R6335">
        <v>0.76351049999999998</v>
      </c>
      <c r="S6335">
        <v>1.4415129999999901</v>
      </c>
      <c r="T6335">
        <v>-0.130468</v>
      </c>
      <c r="U6335">
        <v>2.71048</v>
      </c>
      <c r="V6335">
        <v>-0.32054729999999998</v>
      </c>
      <c r="W6335">
        <v>-2.7978590000000001E-2</v>
      </c>
      <c r="X6335">
        <v>0.94681919999999997</v>
      </c>
      <c r="Y6335">
        <v>-0.51337100000000002</v>
      </c>
      <c r="Z6335">
        <v>-5.3929539999999999E-4</v>
      </c>
      <c r="AA6335">
        <v>0.858166599999999</v>
      </c>
      <c r="AB6335">
        <v>31</v>
      </c>
      <c r="AC6335">
        <v>0.336799999999982</v>
      </c>
      <c r="AD6335">
        <v>-4.3309E-2</v>
      </c>
      <c r="AE6335">
        <v>0.80918000000000401</v>
      </c>
      <c r="AF6335">
        <v>-0.51788450805368202</v>
      </c>
      <c r="AG6335">
        <v>-4.3309E-2</v>
      </c>
      <c r="AH6335">
        <v>0.70446043479329401</v>
      </c>
      <c r="AI6335">
        <v>92.8357378141569</v>
      </c>
      <c r="AJ6335">
        <v>126.321488111435</v>
      </c>
      <c r="AK6335">
        <v>0.875411067643174</v>
      </c>
      <c r="AL6335">
        <v>91.603264366728695</v>
      </c>
      <c r="AM6335">
        <v>108.703620322343</v>
      </c>
      <c r="AN6335">
        <v>0.99999998526215805</v>
      </c>
    </row>
    <row r="6336" spans="1:40" x14ac:dyDescent="0.25">
      <c r="A6336" t="str">
        <f>"20190305135355858"</f>
        <v>20190305135355858</v>
      </c>
      <c r="B6336" t="str">
        <f>"1551765235846366"</f>
        <v>1551765235846366</v>
      </c>
      <c r="C6336" t="s">
        <v>40</v>
      </c>
      <c r="D6336">
        <v>4.5578599999999998</v>
      </c>
      <c r="E6336">
        <v>0.41742230000000002</v>
      </c>
      <c r="F6336" t="s">
        <v>41</v>
      </c>
      <c r="G6336">
        <v>-196.94579999999999</v>
      </c>
      <c r="H6336">
        <v>1.0694300000000001</v>
      </c>
      <c r="I6336">
        <v>-52.945569999999996</v>
      </c>
      <c r="J6336">
        <v>-197.32839999999999</v>
      </c>
      <c r="K6336">
        <v>1.1175580000000001</v>
      </c>
      <c r="L6336">
        <v>-53.85266</v>
      </c>
      <c r="M6336">
        <v>0.85351049999999995</v>
      </c>
      <c r="N6336">
        <v>-1.507031E-2</v>
      </c>
      <c r="O6336">
        <v>0.52085779999999904</v>
      </c>
      <c r="P6336">
        <v>0.64040379999999997</v>
      </c>
      <c r="Q6336">
        <v>-3.5505910000000002E-2</v>
      </c>
      <c r="R6336">
        <v>0.76721729999999999</v>
      </c>
      <c r="S6336">
        <v>1.428604</v>
      </c>
      <c r="T6336">
        <v>-0.13065869999999999</v>
      </c>
      <c r="U6336">
        <v>2.716583</v>
      </c>
      <c r="V6336">
        <v>-0.32082100000000002</v>
      </c>
      <c r="W6336">
        <v>-2.76075E-2</v>
      </c>
      <c r="X6336">
        <v>0.94673739999999995</v>
      </c>
      <c r="Y6336">
        <v>-0.5126655</v>
      </c>
      <c r="Z6336">
        <v>-7.4646809999999995E-4</v>
      </c>
      <c r="AA6336">
        <v>0.85858809999999997</v>
      </c>
      <c r="AB6336">
        <v>31</v>
      </c>
      <c r="AC6336">
        <v>0.382599999999996</v>
      </c>
      <c r="AD6336">
        <v>-4.8128000000000101E-2</v>
      </c>
      <c r="AE6336">
        <v>0.90709000000000295</v>
      </c>
      <c r="AF6336">
        <v>-0.573624983487386</v>
      </c>
      <c r="AG6336">
        <v>-4.8128000000000101E-2</v>
      </c>
      <c r="AH6336">
        <v>0.79720345726564201</v>
      </c>
      <c r="AI6336">
        <v>92.805461284801098</v>
      </c>
      <c r="AJ6336">
        <v>125.736772296032</v>
      </c>
      <c r="AK6336">
        <v>0.98330833330202005</v>
      </c>
      <c r="AL6336">
        <v>91.581994241292506</v>
      </c>
      <c r="AM6336">
        <v>108.719983183651</v>
      </c>
      <c r="AN6336">
        <v>0.99999999632800496</v>
      </c>
    </row>
    <row r="6337" spans="1:40" x14ac:dyDescent="0.25">
      <c r="A6337" t="str">
        <f>"20190305135355869"</f>
        <v>20190305135355869</v>
      </c>
      <c r="B6337" t="str">
        <f>"1551765235865886"</f>
        <v>1551765235865886</v>
      </c>
      <c r="C6337" t="s">
        <v>40</v>
      </c>
      <c r="D6337">
        <v>4.6618559999999896</v>
      </c>
      <c r="E6337">
        <v>0.41778389999999999</v>
      </c>
      <c r="F6337" t="s">
        <v>41</v>
      </c>
      <c r="G6337">
        <v>-196.88820000000001</v>
      </c>
      <c r="H6337">
        <v>1.0768679999999999</v>
      </c>
      <c r="I6337">
        <v>-53.005980000000001</v>
      </c>
      <c r="J6337">
        <v>-197.1977</v>
      </c>
      <c r="K6337">
        <v>1.1175980000000001</v>
      </c>
      <c r="L6337">
        <v>-53.76755</v>
      </c>
      <c r="M6337">
        <v>0.8508829</v>
      </c>
      <c r="N6337">
        <v>-1.5079739999999999E-2</v>
      </c>
      <c r="O6337">
        <v>0.52513889999999996</v>
      </c>
      <c r="P6337">
        <v>0.63631740000000003</v>
      </c>
      <c r="Q6337">
        <v>-3.5193309999999998E-2</v>
      </c>
      <c r="R6337">
        <v>0.77062419999999998</v>
      </c>
      <c r="S6337">
        <v>1.41542099999999</v>
      </c>
      <c r="T6337">
        <v>-0.1308309</v>
      </c>
      <c r="U6337">
        <v>2.7227169999999998</v>
      </c>
      <c r="V6337">
        <v>-0.32111190000000001</v>
      </c>
      <c r="W6337">
        <v>-2.7326670000000001E-2</v>
      </c>
      <c r="X6337">
        <v>0.94664689999999996</v>
      </c>
      <c r="Y6337">
        <v>-0.51241729999999996</v>
      </c>
      <c r="Z6337">
        <v>-9.2534530000000005E-4</v>
      </c>
      <c r="AA6337">
        <v>0.858736099999999</v>
      </c>
      <c r="AB6337">
        <v>31</v>
      </c>
      <c r="AC6337">
        <v>0.30949999999998501</v>
      </c>
      <c r="AD6337">
        <v>-4.0729999999999898E-2</v>
      </c>
      <c r="AE6337">
        <v>0.76156999999999098</v>
      </c>
      <c r="AF6337">
        <v>-0.48434262902334801</v>
      </c>
      <c r="AG6337">
        <v>-4.0729999999999898E-2</v>
      </c>
      <c r="AH6337">
        <v>0.66172928317644797</v>
      </c>
      <c r="AI6337">
        <v>92.843431287626004</v>
      </c>
      <c r="AJ6337">
        <v>126.201691811971</v>
      </c>
      <c r="AK6337">
        <v>0.82105563721496</v>
      </c>
      <c r="AL6337">
        <v>91.565897825818496</v>
      </c>
      <c r="AM6337">
        <v>108.737439493653</v>
      </c>
      <c r="AN6337">
        <v>0.99999997624725401</v>
      </c>
    </row>
    <row r="6338" spans="1:40" x14ac:dyDescent="0.25">
      <c r="A6338" t="str">
        <f>"20190305135355887"</f>
        <v>20190305135355887</v>
      </c>
      <c r="B6338" t="str">
        <f>"1551765235876621"</f>
        <v>1551765235876621</v>
      </c>
      <c r="C6338" t="s">
        <v>40</v>
      </c>
      <c r="D6338">
        <v>4.5169969999999999</v>
      </c>
      <c r="E6338">
        <v>0.43047609999999997</v>
      </c>
      <c r="F6338" t="s">
        <v>41</v>
      </c>
      <c r="G6338">
        <v>-196.70509999999999</v>
      </c>
      <c r="H6338">
        <v>1.071885</v>
      </c>
      <c r="I6338">
        <v>-52.809719999999999</v>
      </c>
      <c r="J6338">
        <v>-196.9931</v>
      </c>
      <c r="K6338">
        <v>1.1176600000000001</v>
      </c>
      <c r="L6338">
        <v>-53.632449999999999</v>
      </c>
      <c r="M6338">
        <v>0.84668410000000005</v>
      </c>
      <c r="N6338">
        <v>-1.5093840000000001E-2</v>
      </c>
      <c r="O6338">
        <v>0.53188190000000002</v>
      </c>
      <c r="P6338">
        <v>0.6297161</v>
      </c>
      <c r="Q6338">
        <v>-3.5139860000000002E-2</v>
      </c>
      <c r="R6338">
        <v>0.7760302</v>
      </c>
      <c r="S6338">
        <v>1.4031830000000001</v>
      </c>
      <c r="T6338">
        <v>-0.13020709999999999</v>
      </c>
      <c r="U6338">
        <v>2.7283940000000002</v>
      </c>
      <c r="V6338">
        <v>-0.32167069999999998</v>
      </c>
      <c r="W6338">
        <v>-2.7322619999999999E-2</v>
      </c>
      <c r="X6338">
        <v>0.94645729999999995</v>
      </c>
      <c r="Y6338">
        <v>-0.50937250000000001</v>
      </c>
      <c r="Z6338">
        <v>-1.2016049999999999E-3</v>
      </c>
      <c r="AA6338">
        <v>0.86054529999999996</v>
      </c>
      <c r="AB6338">
        <v>31</v>
      </c>
      <c r="AC6338">
        <v>0.28800000000001003</v>
      </c>
      <c r="AD6338">
        <v>-4.57750000000001E-2</v>
      </c>
      <c r="AE6338">
        <v>0.82272999999999996</v>
      </c>
      <c r="AF6338">
        <v>-0.54197770326665395</v>
      </c>
      <c r="AG6338">
        <v>-4.57750000000001E-2</v>
      </c>
      <c r="AH6338">
        <v>0.67964357725157298</v>
      </c>
      <c r="AI6338">
        <v>93.014312020182203</v>
      </c>
      <c r="AJ6338">
        <v>128.570399818743</v>
      </c>
      <c r="AK6338">
        <v>0.87048869812451402</v>
      </c>
      <c r="AL6338">
        <v>91.565665665365501</v>
      </c>
      <c r="AM6338">
        <v>108.771261759715</v>
      </c>
      <c r="AN6338">
        <v>0.999999992762722</v>
      </c>
    </row>
    <row r="6339" spans="1:40" x14ac:dyDescent="0.25">
      <c r="A6339" t="str">
        <f>"20190305135355899"</f>
        <v>20190305135355899</v>
      </c>
      <c r="B6339" t="str">
        <f>"1551765235886382"</f>
        <v>1551765235886382</v>
      </c>
      <c r="C6339" t="s">
        <v>40</v>
      </c>
      <c r="D6339">
        <v>4.5030700000000001</v>
      </c>
      <c r="E6339">
        <v>0.4296741</v>
      </c>
      <c r="F6339" t="s">
        <v>41</v>
      </c>
      <c r="G6339">
        <v>-196.46799999999999</v>
      </c>
      <c r="H6339">
        <v>1.0586120000000001</v>
      </c>
      <c r="I6339">
        <v>-52.669649999999997</v>
      </c>
      <c r="J6339">
        <v>-196.85069999999999</v>
      </c>
      <c r="K6339">
        <v>1.1176999999999999</v>
      </c>
      <c r="L6339">
        <v>-53.536650000000002</v>
      </c>
      <c r="M6339">
        <v>0.84368779999999999</v>
      </c>
      <c r="N6339">
        <v>-1.5103409999999999E-2</v>
      </c>
      <c r="O6339">
        <v>0.53662169999999998</v>
      </c>
      <c r="P6339">
        <v>0.62514340000000002</v>
      </c>
      <c r="Q6339">
        <v>-3.5567479999999999E-2</v>
      </c>
      <c r="R6339">
        <v>0.77969909999999998</v>
      </c>
      <c r="S6339">
        <v>1.4586330000000001</v>
      </c>
      <c r="T6339">
        <v>-0.1640335</v>
      </c>
      <c r="U6339">
        <v>2.6748050000000001</v>
      </c>
      <c r="V6339">
        <v>-0.32189859999999998</v>
      </c>
      <c r="W6339">
        <v>-2.778102E-2</v>
      </c>
      <c r="X6339">
        <v>0.9463665</v>
      </c>
      <c r="Y6339">
        <v>-0.4834137</v>
      </c>
      <c r="Z6339">
        <v>-5.7808460000000001E-3</v>
      </c>
      <c r="AA6339">
        <v>0.87537289999999901</v>
      </c>
      <c r="AB6339">
        <v>31</v>
      </c>
      <c r="AC6339">
        <v>0.38269999999999899</v>
      </c>
      <c r="AD6339">
        <v>-5.90879999999998E-2</v>
      </c>
      <c r="AE6339">
        <v>0.86700000000000399</v>
      </c>
      <c r="AF6339">
        <v>-0.52413471698811398</v>
      </c>
      <c r="AG6339">
        <v>-5.90879999999998E-2</v>
      </c>
      <c r="AH6339">
        <v>0.78516801478180698</v>
      </c>
      <c r="AI6339">
        <v>93.581514369841003</v>
      </c>
      <c r="AJ6339">
        <v>123.72488024602499</v>
      </c>
      <c r="AK6339">
        <v>0.94588445633312701</v>
      </c>
      <c r="AL6339">
        <v>91.591939977269206</v>
      </c>
      <c r="AM6339">
        <v>108.785304461341</v>
      </c>
      <c r="AN6339">
        <v>1.00000002303822</v>
      </c>
    </row>
    <row r="6340" spans="1:40" x14ac:dyDescent="0.25">
      <c r="A6340" t="str">
        <f>"20190305135355911"</f>
        <v>20190305135355911</v>
      </c>
      <c r="B6340" t="str">
        <f>"1551765235905903"</f>
        <v>1551765235905903</v>
      </c>
      <c r="C6340" t="s">
        <v>40</v>
      </c>
      <c r="D6340">
        <v>4.6394140000000004</v>
      </c>
      <c r="E6340">
        <v>0.43047930000000001</v>
      </c>
      <c r="F6340" t="s">
        <v>41</v>
      </c>
      <c r="G6340">
        <v>-196.4153</v>
      </c>
      <c r="H6340">
        <v>1.069253</v>
      </c>
      <c r="I6340">
        <v>-52.722900000000003</v>
      </c>
      <c r="J6340">
        <v>-196.71430000000001</v>
      </c>
      <c r="K6340">
        <v>1.1177459999999999</v>
      </c>
      <c r="L6340">
        <v>-53.444000000000003</v>
      </c>
      <c r="M6340">
        <v>0.84077039999999903</v>
      </c>
      <c r="N6340">
        <v>-1.511259E-2</v>
      </c>
      <c r="O6340">
        <v>0.54118080000000002</v>
      </c>
      <c r="P6340">
        <v>0.62078389999999894</v>
      </c>
      <c r="Q6340">
        <v>-3.6030850000000003E-2</v>
      </c>
      <c r="R6340">
        <v>0.7831534</v>
      </c>
      <c r="S6340">
        <v>1.4377139999999999</v>
      </c>
      <c r="T6340">
        <v>-0.15999559999999999</v>
      </c>
      <c r="U6340">
        <v>2.687592</v>
      </c>
      <c r="V6340">
        <v>-0.32202550000000002</v>
      </c>
      <c r="W6340">
        <v>-2.8272249999999999E-2</v>
      </c>
      <c r="X6340">
        <v>0.9463087</v>
      </c>
      <c r="Y6340">
        <v>-0.4857165</v>
      </c>
      <c r="Z6340">
        <v>-5.4858969999999896E-3</v>
      </c>
      <c r="AA6340">
        <v>0.87409919999999997</v>
      </c>
      <c r="AB6340">
        <v>31</v>
      </c>
      <c r="AC6340">
        <v>0.29900000000000598</v>
      </c>
      <c r="AD6340">
        <v>-4.8492999999999897E-2</v>
      </c>
      <c r="AE6340">
        <v>0.72109999999999197</v>
      </c>
      <c r="AF6340">
        <v>-0.44280849852722898</v>
      </c>
      <c r="AG6340">
        <v>-4.8492999999999897E-2</v>
      </c>
      <c r="AH6340">
        <v>0.63924235286050801</v>
      </c>
      <c r="AI6340">
        <v>93.568338502611894</v>
      </c>
      <c r="AJ6340">
        <v>124.710667846082</v>
      </c>
      <c r="AK6340">
        <v>0.77914165792080303</v>
      </c>
      <c r="AL6340">
        <v>91.620096562793407</v>
      </c>
      <c r="AM6340">
        <v>108.79325761365401</v>
      </c>
      <c r="AN6340">
        <v>0.99999994923299895</v>
      </c>
    </row>
    <row r="6341" spans="1:40" x14ac:dyDescent="0.25">
      <c r="A6341" t="str">
        <f>"20190305135355924"</f>
        <v>20190305135355924</v>
      </c>
      <c r="B6341" t="str">
        <f>"1551765235916638"</f>
        <v>1551765235916638</v>
      </c>
      <c r="C6341" t="s">
        <v>40</v>
      </c>
      <c r="D6341">
        <v>4.5183049999999998</v>
      </c>
      <c r="E6341">
        <v>0.43028129999999998</v>
      </c>
      <c r="F6341" t="s">
        <v>41</v>
      </c>
      <c r="G6341">
        <v>-196.2295</v>
      </c>
      <c r="H6341">
        <v>1.05969</v>
      </c>
      <c r="I6341">
        <v>-52.530329999999999</v>
      </c>
      <c r="J6341">
        <v>-196.5702</v>
      </c>
      <c r="K6341">
        <v>1.1177950000000001</v>
      </c>
      <c r="L6341">
        <v>-53.345089999999999</v>
      </c>
      <c r="M6341">
        <v>0.83763639999999995</v>
      </c>
      <c r="N6341">
        <v>-1.512222E-2</v>
      </c>
      <c r="O6341">
        <v>0.54601889999999997</v>
      </c>
      <c r="P6341">
        <v>0.61591130000000005</v>
      </c>
      <c r="Q6341">
        <v>-3.6430169999999998E-2</v>
      </c>
      <c r="R6341">
        <v>0.78697280000000003</v>
      </c>
      <c r="S6341">
        <v>1.4277949999999999</v>
      </c>
      <c r="T6341">
        <v>-0.17098859999999999</v>
      </c>
      <c r="U6341">
        <v>2.6910400000000001</v>
      </c>
      <c r="V6341">
        <v>-0.32241579999999997</v>
      </c>
      <c r="W6341">
        <v>-2.8708259999999999E-2</v>
      </c>
      <c r="X6341">
        <v>0.94616270000000002</v>
      </c>
      <c r="Y6341">
        <v>-0.48363040000000002</v>
      </c>
      <c r="Z6341">
        <v>-6.9836560000000004E-3</v>
      </c>
      <c r="AA6341">
        <v>0.87524449999999998</v>
      </c>
      <c r="AB6341">
        <v>31</v>
      </c>
      <c r="AC6341">
        <v>0.340699999999998</v>
      </c>
      <c r="AD6341">
        <v>-5.8104999999999997E-2</v>
      </c>
      <c r="AE6341">
        <v>0.81475999999999205</v>
      </c>
      <c r="AF6341">
        <v>-0.494360691308244</v>
      </c>
      <c r="AG6341">
        <v>-5.8104999999999997E-2</v>
      </c>
      <c r="AH6341">
        <v>0.72719259263777603</v>
      </c>
      <c r="AI6341">
        <v>93.780583662389503</v>
      </c>
      <c r="AJ6341">
        <v>124.208682841951</v>
      </c>
      <c r="AK6341">
        <v>0.88123648978183899</v>
      </c>
      <c r="AL6341">
        <v>91.645088185437899</v>
      </c>
      <c r="AM6341">
        <v>108.81713266758899</v>
      </c>
      <c r="AN6341">
        <v>0.99999998357657804</v>
      </c>
    </row>
    <row r="6342" spans="1:40" x14ac:dyDescent="0.25">
      <c r="A6342" t="str">
        <f>"20190305135355936"</f>
        <v>20190305135355936</v>
      </c>
      <c r="B6342" t="str">
        <f>"1551765235926398"</f>
        <v>1551765235926398</v>
      </c>
      <c r="C6342" t="s">
        <v>40</v>
      </c>
      <c r="D6342">
        <v>4.6038759999999996</v>
      </c>
      <c r="E6342">
        <v>0.43080469999999998</v>
      </c>
      <c r="F6342" t="s">
        <v>41</v>
      </c>
      <c r="G6342">
        <v>-196.16820000000001</v>
      </c>
      <c r="H6342">
        <v>1.068902</v>
      </c>
      <c r="I6342">
        <v>-52.575200000000002</v>
      </c>
      <c r="J6342">
        <v>-196.44059999999999</v>
      </c>
      <c r="K6342">
        <v>1.1178509999999999</v>
      </c>
      <c r="L6342">
        <v>-53.254579999999997</v>
      </c>
      <c r="M6342">
        <v>0.8347445</v>
      </c>
      <c r="N6342">
        <v>-1.513172E-2</v>
      </c>
      <c r="O6342">
        <v>0.55042959999999996</v>
      </c>
      <c r="P6342">
        <v>0.61160800000000004</v>
      </c>
      <c r="Q6342">
        <v>-3.5967300000000001E-2</v>
      </c>
      <c r="R6342">
        <v>0.79034300000000002</v>
      </c>
      <c r="S6342">
        <v>1.409821</v>
      </c>
      <c r="T6342">
        <v>-0.17150399999999999</v>
      </c>
      <c r="U6342">
        <v>2.700745</v>
      </c>
      <c r="V6342">
        <v>-0.32261200000000001</v>
      </c>
      <c r="W6342">
        <v>-2.8280179999999999E-2</v>
      </c>
      <c r="X6342">
        <v>0.94610879999999997</v>
      </c>
      <c r="Y6342">
        <v>-0.48488110000000001</v>
      </c>
      <c r="Z6342">
        <v>-7.2199819999999998E-3</v>
      </c>
      <c r="AA6342">
        <v>0.8745503</v>
      </c>
      <c r="AB6342">
        <v>31</v>
      </c>
      <c r="AC6342">
        <v>0.27239999999997599</v>
      </c>
      <c r="AD6342">
        <v>-4.8948999999999902E-2</v>
      </c>
      <c r="AE6342">
        <v>0.67938000000000098</v>
      </c>
      <c r="AF6342">
        <v>-0.41536187513944201</v>
      </c>
      <c r="AG6342">
        <v>-4.8948999999999902E-2</v>
      </c>
      <c r="AH6342">
        <v>0.59872648452739996</v>
      </c>
      <c r="AI6342">
        <v>93.842976304951904</v>
      </c>
      <c r="AJ6342">
        <v>124.75068052195699</v>
      </c>
      <c r="AK6342">
        <v>0.730338890649329</v>
      </c>
      <c r="AL6342">
        <v>91.620550910362695</v>
      </c>
      <c r="AM6342">
        <v>108.828774041272</v>
      </c>
      <c r="AN6342">
        <v>1.0000000662811299</v>
      </c>
    </row>
    <row r="6343" spans="1:40" x14ac:dyDescent="0.25">
      <c r="A6343" t="str">
        <f>"20190305135355948"</f>
        <v>20190305135355948</v>
      </c>
      <c r="B6343" t="str">
        <f>"1551765235936158"</f>
        <v>1551765235936158</v>
      </c>
      <c r="C6343" t="s">
        <v>40</v>
      </c>
      <c r="D6343">
        <v>4.5131360000000003</v>
      </c>
      <c r="E6343">
        <v>0.43082169999999997</v>
      </c>
      <c r="F6343" t="s">
        <v>41</v>
      </c>
      <c r="G6343">
        <v>-195.99289999999999</v>
      </c>
      <c r="H6343">
        <v>1.0613619999999999</v>
      </c>
      <c r="I6343">
        <v>-52.388440000000003</v>
      </c>
      <c r="J6343">
        <v>-196.29820000000001</v>
      </c>
      <c r="K6343">
        <v>1.117918</v>
      </c>
      <c r="L6343">
        <v>-53.154330000000002</v>
      </c>
      <c r="M6343">
        <v>0.83151189999999997</v>
      </c>
      <c r="N6343">
        <v>-1.51425E-2</v>
      </c>
      <c r="O6343">
        <v>0.55530049999999997</v>
      </c>
      <c r="P6343">
        <v>0.60691640000000002</v>
      </c>
      <c r="Q6343">
        <v>-3.5061210000000002E-2</v>
      </c>
      <c r="R6343">
        <v>0.79399200000000003</v>
      </c>
      <c r="S6343">
        <v>1.3983460000000001</v>
      </c>
      <c r="T6343">
        <v>-0.17644570000000001</v>
      </c>
      <c r="U6343">
        <v>2.7056580000000001</v>
      </c>
      <c r="V6343">
        <v>-0.32273210000000002</v>
      </c>
      <c r="W6343">
        <v>-2.7414150000000002E-2</v>
      </c>
      <c r="X6343">
        <v>0.94609330000000003</v>
      </c>
      <c r="Y6343">
        <v>-0.48333530000000002</v>
      </c>
      <c r="Z6343">
        <v>-8.0854099999999995E-3</v>
      </c>
      <c r="AA6343">
        <v>0.87539800000000001</v>
      </c>
      <c r="AB6343">
        <v>31</v>
      </c>
      <c r="AC6343">
        <v>0.305300000000016</v>
      </c>
      <c r="AD6343">
        <v>-5.6555999999999801E-2</v>
      </c>
      <c r="AE6343">
        <v>0.76588999999999796</v>
      </c>
      <c r="AF6343">
        <v>-0.46517823521456197</v>
      </c>
      <c r="AG6343">
        <v>-5.6555999999999801E-2</v>
      </c>
      <c r="AH6343">
        <v>0.67605657877418401</v>
      </c>
      <c r="AI6343">
        <v>93.942435899802902</v>
      </c>
      <c r="AJ6343">
        <v>124.530922958741</v>
      </c>
      <c r="AK6343">
        <v>0.82258243924678398</v>
      </c>
      <c r="AL6343">
        <v>91.570911841953105</v>
      </c>
      <c r="AM6343">
        <v>108.835576209187</v>
      </c>
      <c r="AN6343">
        <v>1.0000000381477601</v>
      </c>
    </row>
    <row r="6344" spans="1:40" x14ac:dyDescent="0.25">
      <c r="A6344" t="str">
        <f>"20190305135355968"</f>
        <v>20190305135355968</v>
      </c>
      <c r="B6344" t="str">
        <f>"1551765235956654"</f>
        <v>1551765235956654</v>
      </c>
      <c r="C6344" t="s">
        <v>40</v>
      </c>
      <c r="D6344">
        <v>4.5447189999999997</v>
      </c>
      <c r="E6344">
        <v>0.43105680000000002</v>
      </c>
      <c r="F6344" t="s">
        <v>41</v>
      </c>
      <c r="G6344">
        <v>-195.80950000000001</v>
      </c>
      <c r="H6344">
        <v>1.0567279999999999</v>
      </c>
      <c r="I6344">
        <v>-52.194969999999998</v>
      </c>
      <c r="J6344">
        <v>-196.0797</v>
      </c>
      <c r="K6344">
        <v>1.1180540000000001</v>
      </c>
      <c r="L6344">
        <v>-52.99774</v>
      </c>
      <c r="M6344">
        <v>0.82638009999999995</v>
      </c>
      <c r="N6344">
        <v>-1.51626E-2</v>
      </c>
      <c r="O6344">
        <v>0.56290859999999998</v>
      </c>
      <c r="P6344">
        <v>0.59970449999999997</v>
      </c>
      <c r="Q6344">
        <v>-3.1711679999999999E-2</v>
      </c>
      <c r="R6344">
        <v>0.799593</v>
      </c>
      <c r="S6344">
        <v>1.3825069999999999</v>
      </c>
      <c r="T6344">
        <v>-0.17310239999999999</v>
      </c>
      <c r="U6344">
        <v>2.7139890000000002</v>
      </c>
      <c r="V6344">
        <v>-0.32279089999999999</v>
      </c>
      <c r="W6344">
        <v>-2.413966E-2</v>
      </c>
      <c r="X6344">
        <v>0.94616239999999996</v>
      </c>
      <c r="Y6344">
        <v>-0.48046080000000002</v>
      </c>
      <c r="Z6344">
        <v>-8.211131E-3</v>
      </c>
      <c r="AA6344">
        <v>0.87697780000000003</v>
      </c>
      <c r="AB6344">
        <v>31</v>
      </c>
      <c r="AC6344">
        <v>0.27019999999998801</v>
      </c>
      <c r="AD6344">
        <v>-6.1325999999999901E-2</v>
      </c>
      <c r="AE6344">
        <v>0.80277000000000198</v>
      </c>
      <c r="AF6344">
        <v>-0.508687464917573</v>
      </c>
      <c r="AG6344">
        <v>-6.1325999999999901E-2</v>
      </c>
      <c r="AH6344">
        <v>0.67173041656780896</v>
      </c>
      <c r="AI6344">
        <v>94.162724761341593</v>
      </c>
      <c r="AJ6344">
        <v>127.135889099259</v>
      </c>
      <c r="AK6344">
        <v>0.84483463931270597</v>
      </c>
      <c r="AL6344">
        <v>91.383235016545797</v>
      </c>
      <c r="AM6344">
        <v>108.83748712353599</v>
      </c>
      <c r="AN6344">
        <v>0.99999998774074195</v>
      </c>
    </row>
    <row r="6345" spans="1:40" x14ac:dyDescent="0.25">
      <c r="A6345" t="str">
        <f>"20190305135355983"</f>
        <v>20190305135355983</v>
      </c>
      <c r="B6345" t="str">
        <f>"1551765235976174"</f>
        <v>1551765235976174</v>
      </c>
      <c r="C6345" t="s">
        <v>40</v>
      </c>
      <c r="D6345">
        <v>4.5155979999999998</v>
      </c>
      <c r="E6345">
        <v>0.43113200000000002</v>
      </c>
      <c r="F6345" t="s">
        <v>41</v>
      </c>
      <c r="G6345">
        <v>-195.59700000000001</v>
      </c>
      <c r="H6345">
        <v>1.0608500000000001</v>
      </c>
      <c r="I6345">
        <v>-52.030059999999999</v>
      </c>
      <c r="J6345">
        <v>-195.91249999999999</v>
      </c>
      <c r="K6345">
        <v>1.1181700000000001</v>
      </c>
      <c r="L6345">
        <v>-52.87576</v>
      </c>
      <c r="M6345">
        <v>0.82231279999999995</v>
      </c>
      <c r="N6345">
        <v>-1.5181800000000001E-2</v>
      </c>
      <c r="O6345">
        <v>0.56883319999999904</v>
      </c>
      <c r="P6345">
        <v>0.5943233</v>
      </c>
      <c r="Q6345">
        <v>-2.9681369999999999E-2</v>
      </c>
      <c r="R6345">
        <v>0.80367829999999996</v>
      </c>
      <c r="S6345">
        <v>1.3593900000000001</v>
      </c>
      <c r="T6345">
        <v>-0.16112019999999999</v>
      </c>
      <c r="U6345">
        <v>2.7259519999999999</v>
      </c>
      <c r="V6345">
        <v>-0.32244339999999999</v>
      </c>
      <c r="W6345">
        <v>-2.2167679999999999E-2</v>
      </c>
      <c r="X6345">
        <v>0.94632919999999998</v>
      </c>
      <c r="Y6345">
        <v>-0.48168090000000002</v>
      </c>
      <c r="Z6345">
        <v>-7.0678080000000001E-3</v>
      </c>
      <c r="AA6345">
        <v>0.87631819999999905</v>
      </c>
      <c r="AB6345">
        <v>31</v>
      </c>
      <c r="AC6345">
        <v>0.31549999999998501</v>
      </c>
      <c r="AD6345">
        <v>-5.7320000000000003E-2</v>
      </c>
      <c r="AE6345">
        <v>0.84570000000000001</v>
      </c>
      <c r="AF6345">
        <v>-0.51394995098938501</v>
      </c>
      <c r="AG6345">
        <v>-5.7320000000000003E-2</v>
      </c>
      <c r="AH6345">
        <v>0.73761274329342597</v>
      </c>
      <c r="AI6345">
        <v>93.648188975269704</v>
      </c>
      <c r="AJ6345">
        <v>124.867810742912</v>
      </c>
      <c r="AK6345">
        <v>0.900834442942123</v>
      </c>
      <c r="AL6345">
        <v>91.270218484286204</v>
      </c>
      <c r="AM6345">
        <v>108.815552089864</v>
      </c>
      <c r="AN6345">
        <v>1.00000005350638</v>
      </c>
    </row>
    <row r="6346" spans="1:40" x14ac:dyDescent="0.25">
      <c r="A6346" t="str">
        <f>"20190305135356000"</f>
        <v>20190305135356000</v>
      </c>
      <c r="B6346" t="str">
        <f>"1551765235996670"</f>
        <v>1551765235996670</v>
      </c>
      <c r="C6346" t="s">
        <v>40</v>
      </c>
      <c r="D6346">
        <v>4.5389439999999999</v>
      </c>
      <c r="E6346">
        <v>0.43197489999999999</v>
      </c>
      <c r="F6346" t="s">
        <v>41</v>
      </c>
      <c r="G6346">
        <v>-195.5284</v>
      </c>
      <c r="H6346">
        <v>1.072967</v>
      </c>
      <c r="I6346">
        <v>-52.093040000000002</v>
      </c>
      <c r="J6346">
        <v>-195.7216</v>
      </c>
      <c r="K6346">
        <v>1.1183179999999999</v>
      </c>
      <c r="L6346">
        <v>-52.733730000000001</v>
      </c>
      <c r="M6346">
        <v>0.81748909999999997</v>
      </c>
      <c r="N6346">
        <v>-1.52078E-2</v>
      </c>
      <c r="O6346">
        <v>0.57574320000000001</v>
      </c>
      <c r="P6346">
        <v>0.58833210000000002</v>
      </c>
      <c r="Q6346">
        <v>-2.7776769999999999E-2</v>
      </c>
      <c r="R6346">
        <v>0.80814219999999903</v>
      </c>
      <c r="S6346">
        <v>1.3417049999999999</v>
      </c>
      <c r="T6346">
        <v>-0.1579062</v>
      </c>
      <c r="U6346">
        <v>2.7348330000000001</v>
      </c>
      <c r="V6346">
        <v>-0.32159300000000002</v>
      </c>
      <c r="W6346">
        <v>-2.0326440000000001E-2</v>
      </c>
      <c r="X6346">
        <v>0.94665980000000005</v>
      </c>
      <c r="Y6346">
        <v>-0.48000140000000002</v>
      </c>
      <c r="Z6346">
        <v>-7.0618479999999999E-3</v>
      </c>
      <c r="AA6346">
        <v>0.87723930000000006</v>
      </c>
      <c r="AB6346">
        <v>31</v>
      </c>
      <c r="AC6346">
        <v>0.19319999999998999</v>
      </c>
      <c r="AD6346">
        <v>-4.5350999999999898E-2</v>
      </c>
      <c r="AE6346">
        <v>0.64068999999999898</v>
      </c>
      <c r="AF6346">
        <v>-0.410685024893509</v>
      </c>
      <c r="AG6346">
        <v>-4.5350999999999898E-2</v>
      </c>
      <c r="AH6346">
        <v>0.52446397956329105</v>
      </c>
      <c r="AI6346">
        <v>93.894781178024999</v>
      </c>
      <c r="AJ6346">
        <v>128.06295735777601</v>
      </c>
      <c r="AK6346">
        <v>0.66766860696916597</v>
      </c>
      <c r="AL6346">
        <v>91.164699436657003</v>
      </c>
      <c r="AM6346">
        <v>108.76331148267199</v>
      </c>
      <c r="AN6346">
        <v>0.99999999937405604</v>
      </c>
    </row>
    <row r="6347" spans="1:40" x14ac:dyDescent="0.25">
      <c r="A6347" t="str">
        <f>"20190305135356014"</f>
        <v>20190305135356014</v>
      </c>
      <c r="B6347" t="str">
        <f>"1551765236006430"</f>
        <v>1551765236006430</v>
      </c>
      <c r="C6347" t="s">
        <v>40</v>
      </c>
      <c r="D6347">
        <v>4.489662</v>
      </c>
      <c r="E6347">
        <v>0.43214000000000002</v>
      </c>
      <c r="F6347" t="s">
        <v>41</v>
      </c>
      <c r="G6347">
        <v>-195.327</v>
      </c>
      <c r="H6347">
        <v>1.071121</v>
      </c>
      <c r="I6347">
        <v>-51.918210000000002</v>
      </c>
      <c r="J6347">
        <v>-195.5703</v>
      </c>
      <c r="K6347">
        <v>1.118452</v>
      </c>
      <c r="L6347">
        <v>-52.619230000000002</v>
      </c>
      <c r="M6347">
        <v>0.8135057</v>
      </c>
      <c r="N6347">
        <v>-1.523073E-2</v>
      </c>
      <c r="O6347">
        <v>0.58135749999999997</v>
      </c>
      <c r="P6347">
        <v>0.58325899999999997</v>
      </c>
      <c r="Q6347">
        <v>-2.725493E-2</v>
      </c>
      <c r="R6347">
        <v>0.81182889999999996</v>
      </c>
      <c r="S6347">
        <v>1.3266450000000001</v>
      </c>
      <c r="T6347">
        <v>-0.15864110000000001</v>
      </c>
      <c r="U6347">
        <v>2.740936</v>
      </c>
      <c r="V6347">
        <v>-0.32102389999999997</v>
      </c>
      <c r="W6347">
        <v>-1.9875609999999998E-2</v>
      </c>
      <c r="X6347">
        <v>0.94686250000000005</v>
      </c>
      <c r="Y6347">
        <v>-0.47863420000000001</v>
      </c>
      <c r="Z6347">
        <v>-7.4598340000000003E-3</v>
      </c>
      <c r="AA6347">
        <v>0.87798269999999901</v>
      </c>
      <c r="AB6347">
        <v>31</v>
      </c>
      <c r="AC6347">
        <v>0.24330000000000401</v>
      </c>
      <c r="AD6347">
        <v>-4.7330999999999998E-2</v>
      </c>
      <c r="AE6347">
        <v>0.70102000000000597</v>
      </c>
      <c r="AF6347">
        <v>-0.42715135267302801</v>
      </c>
      <c r="AG6347">
        <v>-4.7330999999999998E-2</v>
      </c>
      <c r="AH6347">
        <v>0.60308573253061104</v>
      </c>
      <c r="AI6347">
        <v>93.664471885673194</v>
      </c>
      <c r="AJ6347">
        <v>125.30903874403</v>
      </c>
      <c r="AK6347">
        <v>0.740547704360348</v>
      </c>
      <c r="AL6347">
        <v>91.138863571838499</v>
      </c>
      <c r="AM6347">
        <v>108.72869479446</v>
      </c>
      <c r="AN6347">
        <v>0.99999998907516596</v>
      </c>
    </row>
    <row r="6348" spans="1:40" x14ac:dyDescent="0.25">
      <c r="A6348" t="str">
        <f>"20190305135356027"</f>
        <v>20190305135356027</v>
      </c>
      <c r="B6348" t="str">
        <f>"1551765236016191"</f>
        <v>1551765236016191</v>
      </c>
      <c r="C6348" t="s">
        <v>40</v>
      </c>
      <c r="D6348">
        <v>4.4911799999999999</v>
      </c>
      <c r="E6348">
        <v>0.43231409999999998</v>
      </c>
      <c r="F6348" t="s">
        <v>41</v>
      </c>
      <c r="G6348">
        <v>-195.14420000000001</v>
      </c>
      <c r="H6348">
        <v>1.066163</v>
      </c>
      <c r="I6348">
        <v>-51.725700000000003</v>
      </c>
      <c r="J6348">
        <v>-195.43100000000001</v>
      </c>
      <c r="K6348">
        <v>1.118595</v>
      </c>
      <c r="L6348">
        <v>-52.512630000000001</v>
      </c>
      <c r="M6348">
        <v>0.80972409999999995</v>
      </c>
      <c r="N6348">
        <v>-1.5253269999999999E-2</v>
      </c>
      <c r="O6348">
        <v>0.58661240000000003</v>
      </c>
      <c r="P6348">
        <v>0.57827530000000005</v>
      </c>
      <c r="Q6348">
        <v>-2.696668E-2</v>
      </c>
      <c r="R6348">
        <v>0.81539589999999995</v>
      </c>
      <c r="S6348">
        <v>1.3105929999999999</v>
      </c>
      <c r="T6348">
        <v>-0.16083339999999999</v>
      </c>
      <c r="U6348">
        <v>2.748383</v>
      </c>
      <c r="V6348">
        <v>-0.32070149999999997</v>
      </c>
      <c r="W6348">
        <v>-1.9669300000000001E-2</v>
      </c>
      <c r="X6348">
        <v>0.94697609999999999</v>
      </c>
      <c r="Y6348">
        <v>-0.47804990000000003</v>
      </c>
      <c r="Z6348">
        <v>-7.9946559999999993E-3</v>
      </c>
      <c r="AA6348">
        <v>0.87829629999999903</v>
      </c>
      <c r="AB6348">
        <v>31</v>
      </c>
      <c r="AC6348">
        <v>0.28679999999997102</v>
      </c>
      <c r="AD6348">
        <v>-5.2431999999999999E-2</v>
      </c>
      <c r="AE6348">
        <v>0.78692999999999802</v>
      </c>
      <c r="AF6348">
        <v>-0.46717953960819097</v>
      </c>
      <c r="AG6348">
        <v>-5.2431999999999999E-2</v>
      </c>
      <c r="AH6348">
        <v>0.69122374478812398</v>
      </c>
      <c r="AI6348">
        <v>93.596077053510001</v>
      </c>
      <c r="AJ6348">
        <v>124.053702972247</v>
      </c>
      <c r="AK6348">
        <v>0.83594025038362596</v>
      </c>
      <c r="AL6348">
        <v>91.127040517768805</v>
      </c>
      <c r="AM6348">
        <v>108.70910706100599</v>
      </c>
      <c r="AN6348">
        <v>1.00000003371797</v>
      </c>
    </row>
    <row r="6349" spans="1:40" x14ac:dyDescent="0.25">
      <c r="A6349" t="str">
        <f>"20190305135356046"</f>
        <v>20190305135356046</v>
      </c>
      <c r="B6349" t="str">
        <f>"1551765236036686"</f>
        <v>1551765236036686</v>
      </c>
      <c r="C6349" t="s">
        <v>40</v>
      </c>
      <c r="D6349">
        <v>4.5038340000000003</v>
      </c>
      <c r="E6349">
        <v>0.43269160000000001</v>
      </c>
      <c r="F6349" t="s">
        <v>41</v>
      </c>
      <c r="G6349">
        <v>-194.9684</v>
      </c>
      <c r="H6349">
        <v>1.0603229999999999</v>
      </c>
      <c r="I6349">
        <v>-51.528260000000003</v>
      </c>
      <c r="J6349">
        <v>-195.23779999999999</v>
      </c>
      <c r="K6349">
        <v>1.1188290000000001</v>
      </c>
      <c r="L6349">
        <v>-52.361849999999997</v>
      </c>
      <c r="M6349">
        <v>0.80421830000000005</v>
      </c>
      <c r="N6349">
        <v>-1.529315E-2</v>
      </c>
      <c r="O6349">
        <v>0.59413729999999998</v>
      </c>
      <c r="P6349">
        <v>0.5710596</v>
      </c>
      <c r="Q6349">
        <v>-2.6911689999999999E-2</v>
      </c>
      <c r="R6349">
        <v>0.82046739999999996</v>
      </c>
      <c r="S6349">
        <v>1.2949679999999999</v>
      </c>
      <c r="T6349">
        <v>-0.16311320000000001</v>
      </c>
      <c r="U6349">
        <v>2.7554020000000001</v>
      </c>
      <c r="V6349">
        <v>-0.32021729999999998</v>
      </c>
      <c r="W6349">
        <v>-1.974677E-2</v>
      </c>
      <c r="X6349">
        <v>0.94713820000000004</v>
      </c>
      <c r="Y6349">
        <v>-0.47480109999999998</v>
      </c>
      <c r="Z6349">
        <v>-8.7427140000000004E-3</v>
      </c>
      <c r="AA6349">
        <v>0.88004979999999999</v>
      </c>
      <c r="AB6349">
        <v>31</v>
      </c>
      <c r="AC6349">
        <v>0.26939999999998998</v>
      </c>
      <c r="AD6349">
        <v>-5.85060000000001E-2</v>
      </c>
      <c r="AE6349">
        <v>0.83359000000000005</v>
      </c>
      <c r="AF6349">
        <v>-0.50812110359944795</v>
      </c>
      <c r="AG6349">
        <v>-5.85060000000001E-2</v>
      </c>
      <c r="AH6349">
        <v>0.70884498876303104</v>
      </c>
      <c r="AI6349">
        <v>93.837787426366702</v>
      </c>
      <c r="AJ6349">
        <v>125.634076251968</v>
      </c>
      <c r="AK6349">
        <v>0.87411167825031499</v>
      </c>
      <c r="AL6349">
        <v>91.131480221635798</v>
      </c>
      <c r="AM6349">
        <v>108.67984553605299</v>
      </c>
      <c r="AN6349">
        <v>0.99999991202197702</v>
      </c>
    </row>
    <row r="6350" spans="1:40" x14ac:dyDescent="0.25">
      <c r="A6350" t="str">
        <f>"20190305135356058"</f>
        <v>20190305135356058</v>
      </c>
      <c r="B6350" t="str">
        <f>"1551765236046446"</f>
        <v>1551765236046446</v>
      </c>
      <c r="C6350" t="s">
        <v>40</v>
      </c>
      <c r="D6350">
        <v>4.5366140000000001</v>
      </c>
      <c r="E6350">
        <v>0.43300430000000001</v>
      </c>
      <c r="F6350" t="s">
        <v>41</v>
      </c>
      <c r="G6350">
        <v>-194.77189999999999</v>
      </c>
      <c r="H6350">
        <v>1.0570299999999999</v>
      </c>
      <c r="I6350">
        <v>-51.350119999999997</v>
      </c>
      <c r="J6350">
        <v>-195.09620000000001</v>
      </c>
      <c r="K6350">
        <v>1.119019</v>
      </c>
      <c r="L6350">
        <v>-52.248570000000001</v>
      </c>
      <c r="M6350">
        <v>0.79994719999999997</v>
      </c>
      <c r="N6350">
        <v>-1.5331590000000001E-2</v>
      </c>
      <c r="O6350">
        <v>0.59987460000000004</v>
      </c>
      <c r="P6350">
        <v>0.5654401</v>
      </c>
      <c r="Q6350">
        <v>-2.7035340000000001E-2</v>
      </c>
      <c r="R6350">
        <v>0.82434619999999903</v>
      </c>
      <c r="S6350">
        <v>1.272964</v>
      </c>
      <c r="T6350">
        <v>-0.16887160000000001</v>
      </c>
      <c r="U6350">
        <v>2.764923</v>
      </c>
      <c r="V6350">
        <v>-0.3198993</v>
      </c>
      <c r="W6350">
        <v>-1.9975699999999999E-2</v>
      </c>
      <c r="X6350">
        <v>0.94724090000000005</v>
      </c>
      <c r="Y6350">
        <v>-0.47542430000000002</v>
      </c>
      <c r="Z6350">
        <v>-9.7397190000000008E-3</v>
      </c>
      <c r="AA6350">
        <v>0.87970269999999995</v>
      </c>
      <c r="AB6350">
        <v>31</v>
      </c>
      <c r="AC6350">
        <v>0.32430000000002202</v>
      </c>
      <c r="AD6350">
        <v>-6.1989000000000002E-2</v>
      </c>
      <c r="AE6350">
        <v>0.89844999999999597</v>
      </c>
      <c r="AF6350">
        <v>-0.52203618198216395</v>
      </c>
      <c r="AG6350">
        <v>-6.1989000000000002E-2</v>
      </c>
      <c r="AH6350">
        <v>0.79512522613996395</v>
      </c>
      <c r="AI6350">
        <v>93.728723968550696</v>
      </c>
      <c r="AJ6350">
        <v>123.286735422134</v>
      </c>
      <c r="AK6350">
        <v>0.95319910651638995</v>
      </c>
      <c r="AL6350">
        <v>91.144599482332197</v>
      </c>
      <c r="AM6350">
        <v>108.660696819382</v>
      </c>
      <c r="AN6350">
        <v>0.99999995668189401</v>
      </c>
    </row>
    <row r="6351" spans="1:40" x14ac:dyDescent="0.25">
      <c r="A6351" t="str">
        <f>"20190305135356077"</f>
        <v>20190305135356077</v>
      </c>
      <c r="B6351" t="str">
        <f>"1551765236065966"</f>
        <v>1551765236065966</v>
      </c>
      <c r="C6351" t="s">
        <v>40</v>
      </c>
      <c r="D6351">
        <v>4.5423460000000002</v>
      </c>
      <c r="E6351">
        <v>0.43337559999999897</v>
      </c>
      <c r="F6351" t="s">
        <v>41</v>
      </c>
      <c r="G6351">
        <v>-194.7122</v>
      </c>
      <c r="H6351">
        <v>1.066157</v>
      </c>
      <c r="I6351">
        <v>-51.401670000000003</v>
      </c>
      <c r="J6351">
        <v>-194.9008</v>
      </c>
      <c r="K6351">
        <v>1.119289</v>
      </c>
      <c r="L6351">
        <v>-52.089869999999998</v>
      </c>
      <c r="M6351">
        <v>0.79380689999999998</v>
      </c>
      <c r="N6351">
        <v>-1.5388570000000001E-2</v>
      </c>
      <c r="O6351">
        <v>0.6079753</v>
      </c>
      <c r="P6351">
        <v>0.55757219999999996</v>
      </c>
      <c r="Q6351">
        <v>-2.7507429999999999E-2</v>
      </c>
      <c r="R6351">
        <v>0.82967259999999998</v>
      </c>
      <c r="S6351">
        <v>1.256119</v>
      </c>
      <c r="T6351">
        <v>-0.17299870000000001</v>
      </c>
      <c r="U6351">
        <v>2.771973</v>
      </c>
      <c r="V6351">
        <v>-0.31924570000000002</v>
      </c>
      <c r="W6351">
        <v>-2.0590569999999999E-2</v>
      </c>
      <c r="X6351">
        <v>0.94744830000000002</v>
      </c>
      <c r="Y6351">
        <v>-0.47175479999999997</v>
      </c>
      <c r="Z6351">
        <v>-1.081053E-2</v>
      </c>
      <c r="AA6351">
        <v>0.88166350000000004</v>
      </c>
      <c r="AB6351">
        <v>31</v>
      </c>
      <c r="AC6351">
        <v>0.18860000000000801</v>
      </c>
      <c r="AD6351">
        <v>-5.3131999999999902E-2</v>
      </c>
      <c r="AE6351">
        <v>0.68819999999999404</v>
      </c>
      <c r="AF6351">
        <v>-0.42930472720740098</v>
      </c>
      <c r="AG6351">
        <v>-5.3131999999999902E-2</v>
      </c>
      <c r="AH6351">
        <v>0.56505507786157505</v>
      </c>
      <c r="AI6351">
        <v>94.281843443778499</v>
      </c>
      <c r="AJ6351">
        <v>127.226018938599</v>
      </c>
      <c r="AK6351">
        <v>0.71162686798895602</v>
      </c>
      <c r="AL6351">
        <v>91.179836097151295</v>
      </c>
      <c r="AM6351">
        <v>108.621406467124</v>
      </c>
      <c r="AN6351">
        <v>1.0000000348571501</v>
      </c>
    </row>
    <row r="6352" spans="1:40" x14ac:dyDescent="0.25">
      <c r="A6352" t="str">
        <f>"20190305135356090"</f>
        <v>20190305135356090</v>
      </c>
      <c r="B6352" t="str">
        <f>"1551765236086463"</f>
        <v>1551765236086463</v>
      </c>
      <c r="C6352" t="s">
        <v>40</v>
      </c>
      <c r="D6352">
        <v>4.5486139999999997</v>
      </c>
      <c r="E6352">
        <v>0.43373040000000002</v>
      </c>
      <c r="F6352" t="s">
        <v>41</v>
      </c>
      <c r="G6352">
        <v>-194.51660000000001</v>
      </c>
      <c r="H6352">
        <v>1.0638399999999999</v>
      </c>
      <c r="I6352">
        <v>-51.222169999999998</v>
      </c>
      <c r="J6352">
        <v>-194.76730000000001</v>
      </c>
      <c r="K6352">
        <v>1.1194869999999999</v>
      </c>
      <c r="L6352">
        <v>-51.979430000000001</v>
      </c>
      <c r="M6352">
        <v>0.78940859999999902</v>
      </c>
      <c r="N6352">
        <v>-1.5430340000000001E-2</v>
      </c>
      <c r="O6352">
        <v>0.61367419999999995</v>
      </c>
      <c r="P6352">
        <v>0.55198619999999898</v>
      </c>
      <c r="Q6352">
        <v>-2.7369569999999999E-2</v>
      </c>
      <c r="R6352">
        <v>0.83340389999999998</v>
      </c>
      <c r="S6352">
        <v>1.232056</v>
      </c>
      <c r="T6352">
        <v>-0.17778579999999999</v>
      </c>
      <c r="U6352">
        <v>2.7820130000000001</v>
      </c>
      <c r="V6352">
        <v>-0.31878689999999998</v>
      </c>
      <c r="W6352">
        <v>-2.055469E-2</v>
      </c>
      <c r="X6352">
        <v>0.94760350000000004</v>
      </c>
      <c r="Y6352">
        <v>-0.4729507</v>
      </c>
      <c r="Z6352">
        <v>-1.170788E-2</v>
      </c>
      <c r="AA6352">
        <v>0.88101109999999905</v>
      </c>
      <c r="AB6352">
        <v>31</v>
      </c>
      <c r="AC6352">
        <v>0.25069999999999398</v>
      </c>
      <c r="AD6352">
        <v>-5.5647000000000203E-2</v>
      </c>
      <c r="AE6352">
        <v>0.75726000000000204</v>
      </c>
      <c r="AF6352">
        <v>-0.44184201007293</v>
      </c>
      <c r="AG6352">
        <v>-5.5647000000000203E-2</v>
      </c>
      <c r="AH6352">
        <v>0.65948508441735698</v>
      </c>
      <c r="AI6352">
        <v>94.0099068606809</v>
      </c>
      <c r="AJ6352">
        <v>123.82130590943601</v>
      </c>
      <c r="AK6352">
        <v>0.79576474352867299</v>
      </c>
      <c r="AL6352">
        <v>91.177779944613704</v>
      </c>
      <c r="AM6352">
        <v>108.593650027948</v>
      </c>
      <c r="AN6352">
        <v>0.99999998805242796</v>
      </c>
    </row>
    <row r="6353" spans="1:40" x14ac:dyDescent="0.25">
      <c r="A6353" t="str">
        <f>"20190305135356103"</f>
        <v>20190305135356103</v>
      </c>
      <c r="B6353" t="str">
        <f>"1551765236096223"</f>
        <v>1551765236096223</v>
      </c>
      <c r="C6353" t="s">
        <v>40</v>
      </c>
      <c r="D6353">
        <v>4.5482310000000004</v>
      </c>
      <c r="E6353">
        <v>0.4340733</v>
      </c>
      <c r="F6353" t="s">
        <v>41</v>
      </c>
      <c r="G6353">
        <v>-194.34889999999999</v>
      </c>
      <c r="H6353">
        <v>1.057315</v>
      </c>
      <c r="I6353">
        <v>-51.020040000000002</v>
      </c>
      <c r="J6353">
        <v>-194.62860000000001</v>
      </c>
      <c r="K6353">
        <v>1.119705</v>
      </c>
      <c r="L6353">
        <v>-51.862850000000002</v>
      </c>
      <c r="M6353">
        <v>0.78464659999999997</v>
      </c>
      <c r="N6353">
        <v>-1.547548E-2</v>
      </c>
      <c r="O6353">
        <v>0.61975009999999997</v>
      </c>
      <c r="P6353">
        <v>0.54567909999999997</v>
      </c>
      <c r="Q6353">
        <v>-2.7356640000000002E-2</v>
      </c>
      <c r="R6353">
        <v>0.83754759999999995</v>
      </c>
      <c r="S6353">
        <v>1.2158659999999999</v>
      </c>
      <c r="T6353">
        <v>-0.18067739999999999</v>
      </c>
      <c r="U6353">
        <v>2.7884519999999999</v>
      </c>
      <c r="V6353">
        <v>-0.31861529999999999</v>
      </c>
      <c r="W6353">
        <v>-2.066399E-2</v>
      </c>
      <c r="X6353">
        <v>0.94765880000000002</v>
      </c>
      <c r="Y6353">
        <v>-0.47119139999999998</v>
      </c>
      <c r="Z6353">
        <v>-1.2488050000000001E-2</v>
      </c>
      <c r="AA6353">
        <v>0.88194259999999902</v>
      </c>
      <c r="AB6353">
        <v>31</v>
      </c>
      <c r="AC6353">
        <v>0.27970000000001899</v>
      </c>
      <c r="AD6353">
        <v>-6.2389999999999897E-2</v>
      </c>
      <c r="AE6353">
        <v>0.84280999999999995</v>
      </c>
      <c r="AF6353">
        <v>-0.48562519427438</v>
      </c>
      <c r="AG6353">
        <v>-6.2389999999999897E-2</v>
      </c>
      <c r="AH6353">
        <v>0.73824196470738301</v>
      </c>
      <c r="AI6353">
        <v>94.038670490184899</v>
      </c>
      <c r="AJ6353">
        <v>123.33744050736701</v>
      </c>
      <c r="AK6353">
        <v>0.88584735698033601</v>
      </c>
      <c r="AL6353">
        <v>91.184043742276799</v>
      </c>
      <c r="AM6353">
        <v>108.58331878097999</v>
      </c>
      <c r="AN6353">
        <v>0.99999995554712395</v>
      </c>
    </row>
    <row r="6354" spans="1:40" x14ac:dyDescent="0.25">
      <c r="A6354" t="str">
        <f>"20190305135356123"</f>
        <v>20190305135356123</v>
      </c>
      <c r="B6354" t="str">
        <f>"1551765236116719"</f>
        <v>1551765236116719</v>
      </c>
      <c r="C6354" t="s">
        <v>40</v>
      </c>
      <c r="D6354">
        <v>4.5683910000000001</v>
      </c>
      <c r="E6354">
        <v>0.43441780000000002</v>
      </c>
      <c r="F6354" t="s">
        <v>41</v>
      </c>
      <c r="G6354">
        <v>-194.27119999999999</v>
      </c>
      <c r="H6354">
        <v>1.064899</v>
      </c>
      <c r="I6354">
        <v>-51.02834</v>
      </c>
      <c r="J6354">
        <v>-194.42509999999999</v>
      </c>
      <c r="K6354">
        <v>1.120055</v>
      </c>
      <c r="L6354">
        <v>-51.687530000000002</v>
      </c>
      <c r="M6354">
        <v>0.77722349999999996</v>
      </c>
      <c r="N6354">
        <v>-1.555145E-2</v>
      </c>
      <c r="O6354">
        <v>0.62903240000000005</v>
      </c>
      <c r="P6354">
        <v>0.53571139999999995</v>
      </c>
      <c r="Q6354">
        <v>-2.7017530000000001E-2</v>
      </c>
      <c r="R6354">
        <v>0.84396879999999996</v>
      </c>
      <c r="S6354">
        <v>1.1970829999999999</v>
      </c>
      <c r="T6354">
        <v>-0.1835878</v>
      </c>
      <c r="U6354">
        <v>2.7959589999999999</v>
      </c>
      <c r="V6354">
        <v>-0.31858740000000002</v>
      </c>
      <c r="W6354">
        <v>-2.051882E-2</v>
      </c>
      <c r="X6354">
        <v>0.94767140000000005</v>
      </c>
      <c r="Y6354">
        <v>-0.4665726</v>
      </c>
      <c r="Z6354">
        <v>-1.355453E-2</v>
      </c>
      <c r="AA6354">
        <v>0.88437900000000003</v>
      </c>
      <c r="AB6354">
        <v>31</v>
      </c>
      <c r="AC6354">
        <v>0.15389999999999299</v>
      </c>
      <c r="AD6354">
        <v>-5.51559999999999E-2</v>
      </c>
      <c r="AE6354">
        <v>0.65918999999999495</v>
      </c>
      <c r="AF6354">
        <v>-0.41283921883771701</v>
      </c>
      <c r="AG6354">
        <v>-5.51559999999999E-2</v>
      </c>
      <c r="AH6354">
        <v>0.53080706260112598</v>
      </c>
      <c r="AI6354">
        <v>94.689026518650905</v>
      </c>
      <c r="AJ6354">
        <v>127.874262750093</v>
      </c>
      <c r="AK6354">
        <v>0.67471071034464203</v>
      </c>
      <c r="AL6354">
        <v>91.175724276349996</v>
      </c>
      <c r="AM6354">
        <v>108.581573141726</v>
      </c>
      <c r="AN6354">
        <v>1.00000001789545</v>
      </c>
    </row>
    <row r="6355" spans="1:40" x14ac:dyDescent="0.25">
      <c r="A6355" t="str">
        <f>"20190305135356136"</f>
        <v>20190305135356136</v>
      </c>
      <c r="B6355" t="str">
        <f>"1551765236126478"</f>
        <v>1551765236126478</v>
      </c>
      <c r="C6355" t="s">
        <v>40</v>
      </c>
      <c r="D6355">
        <v>4.5657199999999998</v>
      </c>
      <c r="E6355">
        <v>0.43479469999999998</v>
      </c>
      <c r="F6355" t="s">
        <v>41</v>
      </c>
      <c r="G6355">
        <v>-194.07579999999999</v>
      </c>
      <c r="H6355">
        <v>1.0643389999999999</v>
      </c>
      <c r="I6355">
        <v>-50.846739999999997</v>
      </c>
      <c r="J6355">
        <v>-194.30070000000001</v>
      </c>
      <c r="K6355">
        <v>1.1202799999999999</v>
      </c>
      <c r="L6355">
        <v>-51.577550000000002</v>
      </c>
      <c r="M6355">
        <v>0.77239419999999903</v>
      </c>
      <c r="N6355">
        <v>-1.5605529999999999E-2</v>
      </c>
      <c r="O6355">
        <v>0.63495170000000001</v>
      </c>
      <c r="P6355">
        <v>0.52887609999999996</v>
      </c>
      <c r="Q6355">
        <v>-2.6993619999999999E-2</v>
      </c>
      <c r="R6355">
        <v>0.84826959999999996</v>
      </c>
      <c r="S6355">
        <v>1.16629</v>
      </c>
      <c r="T6355">
        <v>-0.1860869</v>
      </c>
      <c r="U6355">
        <v>2.8083800000000001</v>
      </c>
      <c r="V6355">
        <v>-0.31899339999999998</v>
      </c>
      <c r="W6355">
        <v>-2.0629720000000001E-2</v>
      </c>
      <c r="X6355">
        <v>0.94753240000000005</v>
      </c>
      <c r="Y6355">
        <v>-0.46946080000000001</v>
      </c>
      <c r="Z6355">
        <v>-1.4130729999999999E-2</v>
      </c>
      <c r="AA6355">
        <v>0.88284030000000002</v>
      </c>
      <c r="AB6355">
        <v>31</v>
      </c>
      <c r="AC6355">
        <v>0.224900000000019</v>
      </c>
      <c r="AD6355">
        <v>-5.5940999999999998E-2</v>
      </c>
      <c r="AE6355">
        <v>0.73080999999999796</v>
      </c>
      <c r="AF6355">
        <v>-0.41947887396232297</v>
      </c>
      <c r="AG6355">
        <v>-5.5940999999999998E-2</v>
      </c>
      <c r="AH6355">
        <v>0.63442244856087304</v>
      </c>
      <c r="AI6355">
        <v>94.206655700548396</v>
      </c>
      <c r="AJ6355">
        <v>123.47259909836799</v>
      </c>
      <c r="AK6355">
        <v>0.76261639401449499</v>
      </c>
      <c r="AL6355">
        <v>91.182079730644404</v>
      </c>
      <c r="AM6355">
        <v>108.60616563207201</v>
      </c>
      <c r="AN6355">
        <v>1.0000000118202901</v>
      </c>
    </row>
    <row r="6356" spans="1:40" x14ac:dyDescent="0.25">
      <c r="A6356" t="str">
        <f>"20190305135356147"</f>
        <v>20190305135356147</v>
      </c>
      <c r="B6356" t="str">
        <f>"1551765236136239"</f>
        <v>1551765236136239</v>
      </c>
      <c r="C6356" t="s">
        <v>40</v>
      </c>
      <c r="D6356">
        <v>4.5840379999999996</v>
      </c>
      <c r="E6356">
        <v>0.43515280000000001</v>
      </c>
      <c r="F6356" t="s">
        <v>41</v>
      </c>
      <c r="G6356">
        <v>-193.9358</v>
      </c>
      <c r="H6356">
        <v>1.0598209999999999</v>
      </c>
      <c r="I6356">
        <v>-50.681139999999999</v>
      </c>
      <c r="J6356">
        <v>-194.17769999999999</v>
      </c>
      <c r="K6356">
        <v>1.1205080000000001</v>
      </c>
      <c r="L6356">
        <v>-51.467799999999997</v>
      </c>
      <c r="M6356">
        <v>0.76748380000000005</v>
      </c>
      <c r="N6356">
        <v>-1.5659949999999999E-2</v>
      </c>
      <c r="O6356">
        <v>0.64087689999999997</v>
      </c>
      <c r="P6356">
        <v>0.52239259999999998</v>
      </c>
      <c r="Q6356">
        <v>-2.7171879999999999E-2</v>
      </c>
      <c r="R6356">
        <v>0.85227209999999998</v>
      </c>
      <c r="S6356">
        <v>1.1461790000000001</v>
      </c>
      <c r="T6356">
        <v>-0.1899238</v>
      </c>
      <c r="U6356">
        <v>2.815979</v>
      </c>
      <c r="V6356">
        <v>-0.31890740000000001</v>
      </c>
      <c r="W6356">
        <v>-2.0927930000000001E-2</v>
      </c>
      <c r="X6356">
        <v>0.94755480000000003</v>
      </c>
      <c r="Y6356">
        <v>-0.46890340000000003</v>
      </c>
      <c r="Z6356">
        <v>-1.50403E-2</v>
      </c>
      <c r="AA6356">
        <v>0.88312139999999995</v>
      </c>
      <c r="AB6356">
        <v>31</v>
      </c>
      <c r="AC6356">
        <v>0.24189999999998599</v>
      </c>
      <c r="AD6356">
        <v>-6.0687000000000102E-2</v>
      </c>
      <c r="AE6356">
        <v>0.78665999999999703</v>
      </c>
      <c r="AF6356">
        <v>-0.44634885000347102</v>
      </c>
      <c r="AG6356">
        <v>-6.0687000000000102E-2</v>
      </c>
      <c r="AH6356">
        <v>0.68616039510383997</v>
      </c>
      <c r="AI6356">
        <v>94.240069984985794</v>
      </c>
      <c r="AJ6356">
        <v>123.044090841982</v>
      </c>
      <c r="AK6356">
        <v>0.82080831847483104</v>
      </c>
      <c r="AL6356">
        <v>91.199169604628594</v>
      </c>
      <c r="AM6356">
        <v>108.601085127979</v>
      </c>
      <c r="AN6356">
        <v>1.00000000351594</v>
      </c>
    </row>
    <row r="6357" spans="1:40" x14ac:dyDescent="0.25">
      <c r="A6357" t="str">
        <f>"20190305135356168"</f>
        <v>20190305135356168</v>
      </c>
      <c r="B6357" t="str">
        <f>"1551765236155762"</f>
        <v>1551765236155762</v>
      </c>
      <c r="C6357" t="s">
        <v>40</v>
      </c>
      <c r="D6357">
        <v>4.5935769999999998</v>
      </c>
      <c r="E6357">
        <v>0.43555820000000001</v>
      </c>
      <c r="F6357" t="s">
        <v>41</v>
      </c>
      <c r="G6357">
        <v>-193.78020000000001</v>
      </c>
      <c r="H6357">
        <v>1.052314</v>
      </c>
      <c r="I6357">
        <v>-50.472320000000003</v>
      </c>
      <c r="J6357">
        <v>-193.97970000000001</v>
      </c>
      <c r="K6357">
        <v>1.1208819999999999</v>
      </c>
      <c r="L6357">
        <v>-51.286349999999999</v>
      </c>
      <c r="M6357">
        <v>0.75908819999999999</v>
      </c>
      <c r="N6357">
        <v>-1.575855E-2</v>
      </c>
      <c r="O6357">
        <v>0.65079699999999996</v>
      </c>
      <c r="P6357">
        <v>0.51116700000000004</v>
      </c>
      <c r="Q6357">
        <v>-2.6764389999999999E-2</v>
      </c>
      <c r="R6357">
        <v>0.85906459999999996</v>
      </c>
      <c r="S6357">
        <v>1.1271359999999999</v>
      </c>
      <c r="T6357">
        <v>-0.19337190000000001</v>
      </c>
      <c r="U6357">
        <v>2.8229679999999999</v>
      </c>
      <c r="V6357">
        <v>-0.3190267</v>
      </c>
      <c r="W6357">
        <v>-2.071775E-2</v>
      </c>
      <c r="X6357">
        <v>0.94751920000000001</v>
      </c>
      <c r="Y6357">
        <v>-0.4633158</v>
      </c>
      <c r="Z6357">
        <v>-1.631407E-2</v>
      </c>
      <c r="AA6357">
        <v>0.88604309999999997</v>
      </c>
      <c r="AB6357">
        <v>31</v>
      </c>
      <c r="AC6357">
        <v>0.19950000000000001</v>
      </c>
      <c r="AD6357">
        <v>-6.8567999999999907E-2</v>
      </c>
      <c r="AE6357">
        <v>0.81402999999999504</v>
      </c>
      <c r="AF6357">
        <v>-0.484901670328865</v>
      </c>
      <c r="AG6357">
        <v>-6.8567999999999907E-2</v>
      </c>
      <c r="AH6357">
        <v>0.67676132367734898</v>
      </c>
      <c r="AI6357">
        <v>94.708211513270797</v>
      </c>
      <c r="AJ6357">
        <v>125.62171990508899</v>
      </c>
      <c r="AK6357">
        <v>0.83536644039441799</v>
      </c>
      <c r="AL6357">
        <v>91.187124632717996</v>
      </c>
      <c r="AM6357">
        <v>108.608215608332</v>
      </c>
      <c r="AN6357">
        <v>0.99999994742329401</v>
      </c>
    </row>
    <row r="6358" spans="1:40" x14ac:dyDescent="0.25">
      <c r="A6358" t="str">
        <f>"20190305135356184"</f>
        <v>20190305135356184</v>
      </c>
      <c r="B6358" t="str">
        <f>"1551765236176254"</f>
        <v>1551765236176254</v>
      </c>
      <c r="C6358" t="s">
        <v>40</v>
      </c>
      <c r="D6358">
        <v>4.6160129999999997</v>
      </c>
      <c r="E6358">
        <v>0.45255240000000002</v>
      </c>
      <c r="F6358" t="s">
        <v>41</v>
      </c>
      <c r="G6358">
        <v>-193.59460000000001</v>
      </c>
      <c r="H6358">
        <v>1.052244</v>
      </c>
      <c r="I6358">
        <v>-50.287419999999997</v>
      </c>
      <c r="J6358">
        <v>-193.82329999999999</v>
      </c>
      <c r="K6358">
        <v>1.1211660000000001</v>
      </c>
      <c r="L6358">
        <v>-51.139400000000002</v>
      </c>
      <c r="M6358">
        <v>0.75207299999999999</v>
      </c>
      <c r="N6358">
        <v>-1.5841979999999999E-2</v>
      </c>
      <c r="O6358">
        <v>0.65888950000000002</v>
      </c>
      <c r="P6358">
        <v>0.5015252</v>
      </c>
      <c r="Q6358">
        <v>-2.6416829999999999E-2</v>
      </c>
      <c r="R6358">
        <v>0.864739699999999</v>
      </c>
      <c r="S6358">
        <v>1.0927279999999999</v>
      </c>
      <c r="T6358">
        <v>-0.1948249</v>
      </c>
      <c r="U6358">
        <v>2.8359070000000002</v>
      </c>
      <c r="V6358">
        <v>-0.3194824</v>
      </c>
      <c r="W6358">
        <v>-2.0531899999999999E-2</v>
      </c>
      <c r="X6358">
        <v>0.94736980000000004</v>
      </c>
      <c r="Y6358">
        <v>-0.46453909999999998</v>
      </c>
      <c r="Z6358">
        <v>-1.695404E-2</v>
      </c>
      <c r="AA6358">
        <v>0.88539029999999996</v>
      </c>
      <c r="AB6358">
        <v>31</v>
      </c>
      <c r="AC6358">
        <v>0.22869999999997501</v>
      </c>
      <c r="AD6358">
        <v>-6.89219999999999E-2</v>
      </c>
      <c r="AE6358">
        <v>0.85197999999999696</v>
      </c>
      <c r="AF6358">
        <v>-0.487150860482924</v>
      </c>
      <c r="AG6358">
        <v>-6.89219999999999E-2</v>
      </c>
      <c r="AH6358">
        <v>0.72900168317784597</v>
      </c>
      <c r="AI6358">
        <v>94.494621756681696</v>
      </c>
      <c r="AJ6358">
        <v>123.75258135440301</v>
      </c>
      <c r="AK6358">
        <v>0.87949397782439998</v>
      </c>
      <c r="AL6358">
        <v>91.176473824812007</v>
      </c>
      <c r="AM6358">
        <v>108.63569759473</v>
      </c>
      <c r="AN6358">
        <v>1.0000000503897</v>
      </c>
    </row>
    <row r="6359" spans="1:40" x14ac:dyDescent="0.25">
      <c r="A6359" t="str">
        <f>"20190305135356203"</f>
        <v>20190305135356203</v>
      </c>
      <c r="B6359" t="str">
        <f>"1551765236195774"</f>
        <v>1551765236195774</v>
      </c>
      <c r="C6359" t="s">
        <v>40</v>
      </c>
      <c r="D6359">
        <v>4.6152920000000002</v>
      </c>
      <c r="E6359">
        <v>0.45029229999999998</v>
      </c>
      <c r="F6359" t="s">
        <v>42</v>
      </c>
      <c r="G6359">
        <v>-189.0848</v>
      </c>
      <c r="H6359" s="1">
        <v>-3.7034340000000002E-7</v>
      </c>
      <c r="I6359">
        <v>-39.979239999999997</v>
      </c>
      <c r="J6359">
        <v>-193.63980000000001</v>
      </c>
      <c r="K6359">
        <v>1.1214949999999999</v>
      </c>
      <c r="L6359">
        <v>-50.9621</v>
      </c>
      <c r="M6359">
        <v>0.74335450000000003</v>
      </c>
      <c r="N6359">
        <v>-1.5944280000000002E-2</v>
      </c>
      <c r="O6359">
        <v>0.66870750000000001</v>
      </c>
      <c r="P6359">
        <v>0.48910490000000001</v>
      </c>
      <c r="Q6359">
        <v>-2.6036719999999999E-2</v>
      </c>
      <c r="R6359">
        <v>0.87183619999999995</v>
      </c>
      <c r="S6359">
        <v>1.179047</v>
      </c>
      <c r="T6359">
        <v>-0.27897300000000003</v>
      </c>
      <c r="U6359">
        <v>2.7769170000000001</v>
      </c>
      <c r="V6359">
        <v>-0.32059739999999998</v>
      </c>
      <c r="W6359">
        <v>-2.034971E-2</v>
      </c>
      <c r="X6359">
        <v>0.94699690000000003</v>
      </c>
      <c r="Y6359">
        <v>-0.42262830000000001</v>
      </c>
      <c r="Z6359">
        <v>-3.3191749999999999E-2</v>
      </c>
      <c r="AA6359">
        <v>0.90569509999999998</v>
      </c>
      <c r="AB6359">
        <v>31</v>
      </c>
      <c r="AC6359">
        <v>4.5549999999999997</v>
      </c>
      <c r="AD6359">
        <v>-1.1214953703433901</v>
      </c>
      <c r="AE6359">
        <v>10.982859999999899</v>
      </c>
      <c r="AF6359">
        <v>-5.0737070499658801</v>
      </c>
      <c r="AG6359">
        <v>-1.1214953703433901</v>
      </c>
      <c r="AH6359">
        <v>10.6370300313525</v>
      </c>
      <c r="AI6359">
        <v>95.436012966840806</v>
      </c>
      <c r="AJ6359">
        <v>115.50045629470701</v>
      </c>
      <c r="AK6359">
        <v>11.838355586079899</v>
      </c>
      <c r="AL6359">
        <v>91.166033024086204</v>
      </c>
      <c r="AM6359">
        <v>108.703074218049</v>
      </c>
      <c r="AN6359">
        <v>0.99999996609672603</v>
      </c>
    </row>
    <row r="6360" spans="1:40" x14ac:dyDescent="0.25">
      <c r="A6360" t="str">
        <f>"20190305135356225"</f>
        <v>20190305135356225</v>
      </c>
      <c r="B6360" t="str">
        <f>"1551765236216270"</f>
        <v>1551765236216270</v>
      </c>
      <c r="C6360" t="s">
        <v>40</v>
      </c>
      <c r="D6360">
        <v>4.649972</v>
      </c>
      <c r="E6360">
        <v>0.45057809999999998</v>
      </c>
      <c r="F6360" t="s">
        <v>42</v>
      </c>
      <c r="G6360">
        <v>-188.99639999999999</v>
      </c>
      <c r="H6360" s="1">
        <v>-6.015491E-7</v>
      </c>
      <c r="I6360">
        <v>-39.379950000000001</v>
      </c>
      <c r="J6360">
        <v>-193.4384</v>
      </c>
      <c r="K6360">
        <v>1.1218399999999999</v>
      </c>
      <c r="L6360">
        <v>-50.761809999999997</v>
      </c>
      <c r="M6360">
        <v>0.73318539999999999</v>
      </c>
      <c r="N6360">
        <v>-1.6056790000000001E-2</v>
      </c>
      <c r="O6360">
        <v>0.67983930000000004</v>
      </c>
      <c r="P6360">
        <v>0.47484310000000002</v>
      </c>
      <c r="Q6360">
        <v>-2.4724220000000002E-2</v>
      </c>
      <c r="R6360">
        <v>0.87972309999999998</v>
      </c>
      <c r="S6360">
        <v>1.1235660000000001</v>
      </c>
      <c r="T6360">
        <v>-0.27137299999999998</v>
      </c>
      <c r="U6360">
        <v>2.8025820000000001</v>
      </c>
      <c r="V6360">
        <v>-0.32179039999999998</v>
      </c>
      <c r="W6360">
        <v>-1.9251130000000002E-2</v>
      </c>
      <c r="X6360">
        <v>0.94661519999999999</v>
      </c>
      <c r="Y6360">
        <v>-0.42728329999999998</v>
      </c>
      <c r="Z6360">
        <v>-3.2647839999999997E-2</v>
      </c>
      <c r="AA6360">
        <v>0.9035282</v>
      </c>
      <c r="AB6360">
        <v>31</v>
      </c>
      <c r="AC6360">
        <v>4.4420000000000002</v>
      </c>
      <c r="AD6360">
        <v>-1.1218406015491</v>
      </c>
      <c r="AE6360">
        <v>11.3818599999999</v>
      </c>
      <c r="AF6360">
        <v>-5.2813281179696698</v>
      </c>
      <c r="AG6360">
        <v>-1.1218406015491</v>
      </c>
      <c r="AH6360">
        <v>10.904132179263501</v>
      </c>
      <c r="AI6360">
        <v>95.290116796277701</v>
      </c>
      <c r="AJ6360">
        <v>115.842851528105</v>
      </c>
      <c r="AK6360">
        <v>12.1676230878422</v>
      </c>
      <c r="AL6360">
        <v>91.103076639052603</v>
      </c>
      <c r="AM6360">
        <v>108.77484469778</v>
      </c>
      <c r="AN6360">
        <v>1.00000000220473</v>
      </c>
    </row>
    <row r="6361" spans="1:40" x14ac:dyDescent="0.25">
      <c r="A6361" t="str">
        <f>"20190305135356237"</f>
        <v>20190305135356237</v>
      </c>
      <c r="B6361" t="str">
        <f>"1551765236226030"</f>
        <v>1551765236226030</v>
      </c>
      <c r="C6361" t="s">
        <v>40</v>
      </c>
      <c r="D6361">
        <v>4.6374269999999997</v>
      </c>
      <c r="E6361">
        <v>0.45066139999999999</v>
      </c>
      <c r="F6361" t="s">
        <v>42</v>
      </c>
      <c r="G6361">
        <v>-188.8733</v>
      </c>
      <c r="H6361" s="1">
        <v>-8.5503609999999899E-7</v>
      </c>
      <c r="I6361">
        <v>-38.83999</v>
      </c>
      <c r="J6361">
        <v>-193.31950000000001</v>
      </c>
      <c r="K6361">
        <v>1.122039</v>
      </c>
      <c r="L6361">
        <v>-50.639769999999999</v>
      </c>
      <c r="M6361">
        <v>0.72680619999999996</v>
      </c>
      <c r="N6361">
        <v>-1.6126640000000001E-2</v>
      </c>
      <c r="O6361">
        <v>0.68665330000000002</v>
      </c>
      <c r="P6361">
        <v>0.46651029999999999</v>
      </c>
      <c r="Q6361">
        <v>-2.4260029999999998E-2</v>
      </c>
      <c r="R6361">
        <v>0.88418299999999905</v>
      </c>
      <c r="S6361">
        <v>1.079788</v>
      </c>
      <c r="T6361">
        <v>-0.26535049999999999</v>
      </c>
      <c r="U6361">
        <v>2.8198850000000002</v>
      </c>
      <c r="V6361">
        <v>-0.3219127</v>
      </c>
      <c r="W6361">
        <v>-1.88878E-2</v>
      </c>
      <c r="X6361">
        <v>0.94658089999999995</v>
      </c>
      <c r="Y6361">
        <v>-0.43291160000000001</v>
      </c>
      <c r="Z6361">
        <v>-3.1955070000000002E-2</v>
      </c>
      <c r="AA6361">
        <v>0.90086980000000005</v>
      </c>
      <c r="AB6361">
        <v>30</v>
      </c>
      <c r="AC6361">
        <v>4.4462000000000002</v>
      </c>
      <c r="AD6361">
        <v>-1.1220398550360999</v>
      </c>
      <c r="AE6361">
        <v>11.799779999999901</v>
      </c>
      <c r="AF6361">
        <v>-5.4804796158425502</v>
      </c>
      <c r="AG6361">
        <v>-1.1220398550360999</v>
      </c>
      <c r="AH6361">
        <v>11.246310125708099</v>
      </c>
      <c r="AI6361">
        <v>95.124981592574997</v>
      </c>
      <c r="AJ6361">
        <v>115.980602727565</v>
      </c>
      <c r="AK6361">
        <v>12.5608169200717</v>
      </c>
      <c r="AL6361">
        <v>91.082255614546298</v>
      </c>
      <c r="AM6361">
        <v>108.78211293028301</v>
      </c>
      <c r="AN6361">
        <v>0.99999996782746903</v>
      </c>
    </row>
    <row r="6362" spans="1:40" x14ac:dyDescent="0.25">
      <c r="A6362" t="str">
        <f>"20190305135356251"</f>
        <v>20190305135356251</v>
      </c>
      <c r="B6362" t="str">
        <f>"1551765236246526"</f>
        <v>1551765236246526</v>
      </c>
      <c r="C6362" t="s">
        <v>40</v>
      </c>
      <c r="D6362">
        <v>4.6594470000000001</v>
      </c>
      <c r="E6362">
        <v>0.45110319999999998</v>
      </c>
      <c r="F6362" t="s">
        <v>41</v>
      </c>
      <c r="G6362">
        <v>-192.96379999999999</v>
      </c>
      <c r="H6362">
        <v>1.0332570000000001</v>
      </c>
      <c r="I6362">
        <v>-49.684069999999998</v>
      </c>
      <c r="J6362">
        <v>-193.19970000000001</v>
      </c>
      <c r="K6362">
        <v>1.1222369999999999</v>
      </c>
      <c r="L6362">
        <v>-50.514890000000001</v>
      </c>
      <c r="M6362">
        <v>0.72017589999999998</v>
      </c>
      <c r="N6362">
        <v>-1.6197010000000001E-2</v>
      </c>
      <c r="O6362">
        <v>0.69360250000000001</v>
      </c>
      <c r="P6362">
        <v>0.45813690000000001</v>
      </c>
      <c r="Q6362">
        <v>-2.400598E-2</v>
      </c>
      <c r="R6362">
        <v>0.88855740000000005</v>
      </c>
      <c r="S6362">
        <v>1.053482</v>
      </c>
      <c r="T6362">
        <v>-0.26290200000000002</v>
      </c>
      <c r="U6362">
        <v>2.8299259999999999</v>
      </c>
      <c r="V6362">
        <v>-0.32176739999999998</v>
      </c>
      <c r="W6362">
        <v>-1.8724279999999999E-2</v>
      </c>
      <c r="X6362">
        <v>0.94663359999999996</v>
      </c>
      <c r="Y6362">
        <v>-0.43266209999999999</v>
      </c>
      <c r="Z6362">
        <v>-3.2130930000000002E-2</v>
      </c>
      <c r="AA6362">
        <v>0.90098350000000005</v>
      </c>
      <c r="AB6362">
        <v>30</v>
      </c>
      <c r="AC6362">
        <v>0.23590000000001499</v>
      </c>
      <c r="AD6362">
        <v>-8.8980000000000198E-2</v>
      </c>
      <c r="AE6362">
        <v>0.830820000000002</v>
      </c>
      <c r="AF6362">
        <v>-0.43020631525035402</v>
      </c>
      <c r="AG6362">
        <v>-8.8980000000000198E-2</v>
      </c>
      <c r="AH6362">
        <v>0.73840837254144498</v>
      </c>
      <c r="AI6362">
        <v>95.944222521421196</v>
      </c>
      <c r="AJ6362">
        <v>120.225633737895</v>
      </c>
      <c r="AK6362">
        <v>0.85921000850815998</v>
      </c>
      <c r="AL6362">
        <v>91.072884900013804</v>
      </c>
      <c r="AM6362">
        <v>108.773257428086</v>
      </c>
      <c r="AN6362">
        <v>1.00000001550661</v>
      </c>
    </row>
    <row r="6363" spans="1:40" x14ac:dyDescent="0.25">
      <c r="A6363" t="str">
        <f>"20190305135356269"</f>
        <v>20190305135356269</v>
      </c>
      <c r="B6363" t="str">
        <f>"1551765236256286"</f>
        <v>1551765236256286</v>
      </c>
      <c r="C6363" t="s">
        <v>40</v>
      </c>
      <c r="D6363">
        <v>4.6688850000000004</v>
      </c>
      <c r="E6363">
        <v>0.45145210000000002</v>
      </c>
      <c r="F6363" t="s">
        <v>41</v>
      </c>
      <c r="G6363">
        <v>-192.84960000000001</v>
      </c>
      <c r="H6363">
        <v>1.0350269999999999</v>
      </c>
      <c r="I6363">
        <v>-49.55012</v>
      </c>
      <c r="J6363">
        <v>-193.0369</v>
      </c>
      <c r="K6363">
        <v>1.1224879999999999</v>
      </c>
      <c r="L6363">
        <v>-50.341030000000003</v>
      </c>
      <c r="M6363">
        <v>0.71074300000000001</v>
      </c>
      <c r="N6363">
        <v>-1.629591E-2</v>
      </c>
      <c r="O6363">
        <v>0.70326299999999997</v>
      </c>
      <c r="P6363">
        <v>0.4466774</v>
      </c>
      <c r="Q6363">
        <v>-2.553449E-2</v>
      </c>
      <c r="R6363">
        <v>0.89433059999999998</v>
      </c>
      <c r="S6363">
        <v>1.029587</v>
      </c>
      <c r="T6363">
        <v>-0.25655889999999998</v>
      </c>
      <c r="U6363">
        <v>2.83847</v>
      </c>
      <c r="V6363">
        <v>-0.32106469999999998</v>
      </c>
      <c r="W6363">
        <v>-2.0350360000000001E-2</v>
      </c>
      <c r="X6363">
        <v>0.94683859999999997</v>
      </c>
      <c r="Y6363">
        <v>-0.4280774</v>
      </c>
      <c r="Z6363">
        <v>-3.201379E-2</v>
      </c>
      <c r="AA6363">
        <v>0.9031749</v>
      </c>
      <c r="AB6363">
        <v>30</v>
      </c>
      <c r="AC6363">
        <v>0.187299999999993</v>
      </c>
      <c r="AD6363">
        <v>-8.7460999999999706E-2</v>
      </c>
      <c r="AE6363">
        <v>0.79090999999999601</v>
      </c>
      <c r="AF6363">
        <v>-0.42554231926205299</v>
      </c>
      <c r="AG6363">
        <v>-8.7460999999999706E-2</v>
      </c>
      <c r="AH6363">
        <v>0.681539784302717</v>
      </c>
      <c r="AI6363">
        <v>96.212330589293202</v>
      </c>
      <c r="AJ6363">
        <v>121.97998293113299</v>
      </c>
      <c r="AK6363">
        <v>0.80822779560673497</v>
      </c>
      <c r="AL6363">
        <v>91.166070226828694</v>
      </c>
      <c r="AM6363">
        <v>108.731348918501</v>
      </c>
      <c r="AN6363">
        <v>1.0000000065940799</v>
      </c>
    </row>
    <row r="6364" spans="1:40" x14ac:dyDescent="0.25">
      <c r="A6364" t="str">
        <f>"20190305135356292"</f>
        <v>20190305135356292</v>
      </c>
      <c r="B6364" t="str">
        <f>"1551765236286543"</f>
        <v>1551765236286543</v>
      </c>
      <c r="C6364" t="s">
        <v>40</v>
      </c>
      <c r="D6364">
        <v>4.8333120000000003</v>
      </c>
      <c r="E6364">
        <v>0.4525729</v>
      </c>
      <c r="F6364" t="s">
        <v>41</v>
      </c>
      <c r="G6364">
        <v>-192.6901</v>
      </c>
      <c r="H6364">
        <v>1.0322260000000001</v>
      </c>
      <c r="I6364">
        <v>-49.347839999999998</v>
      </c>
      <c r="J6364">
        <v>-192.8338</v>
      </c>
      <c r="K6364">
        <v>1.1227860000000001</v>
      </c>
      <c r="L6364">
        <v>-50.116390000000003</v>
      </c>
      <c r="M6364">
        <v>0.6982334</v>
      </c>
      <c r="N6364">
        <v>-1.6423460000000001E-2</v>
      </c>
      <c r="O6364">
        <v>0.71568180000000003</v>
      </c>
      <c r="P6364">
        <v>0.43049979999999899</v>
      </c>
      <c r="Q6364">
        <v>-2.9506790000000001E-2</v>
      </c>
      <c r="R6364">
        <v>0.90210829999999997</v>
      </c>
      <c r="S6364">
        <v>0.99516300000000002</v>
      </c>
      <c r="T6364">
        <v>-0.25902310000000001</v>
      </c>
      <c r="U6364">
        <v>2.8500369999999999</v>
      </c>
      <c r="V6364">
        <v>-0.3211966</v>
      </c>
      <c r="W6364">
        <v>-2.4466890000000002E-2</v>
      </c>
      <c r="X6364">
        <v>0.94669639999999999</v>
      </c>
      <c r="Y6364">
        <v>-0.42302810000000002</v>
      </c>
      <c r="Z6364">
        <v>-3.3707849999999998E-2</v>
      </c>
      <c r="AA6364">
        <v>0.9054894</v>
      </c>
      <c r="AB6364">
        <v>30</v>
      </c>
      <c r="AC6364">
        <v>0.143699999999995</v>
      </c>
      <c r="AD6364">
        <v>-9.0559999999999904E-2</v>
      </c>
      <c r="AE6364">
        <v>0.76854999999999696</v>
      </c>
      <c r="AF6364">
        <v>-0.428099167402616</v>
      </c>
      <c r="AG6364">
        <v>-9.0559999999999904E-2</v>
      </c>
      <c r="AH6364">
        <v>0.64185039254851795</v>
      </c>
      <c r="AI6364">
        <v>96.694682088857803</v>
      </c>
      <c r="AJ6364">
        <v>123.702358126314</v>
      </c>
      <c r="AK6364">
        <v>0.77681525290476905</v>
      </c>
      <c r="AL6364">
        <v>91.401989466279304</v>
      </c>
      <c r="AM6364">
        <v>108.741125287028</v>
      </c>
      <c r="AN6364">
        <v>0.99999997916539496</v>
      </c>
    </row>
    <row r="6365" spans="1:40" x14ac:dyDescent="0.25">
      <c r="A6365" t="str">
        <f>"20190305135356307"</f>
        <v>20190305135356307</v>
      </c>
      <c r="B6365" t="str">
        <f>"1551765236296303"</f>
        <v>1551765236296303</v>
      </c>
      <c r="C6365" t="s">
        <v>40</v>
      </c>
      <c r="D6365">
        <v>4.6824960000000004</v>
      </c>
      <c r="E6365">
        <v>0.4528662</v>
      </c>
      <c r="F6365" t="s">
        <v>41</v>
      </c>
      <c r="G6365">
        <v>-192.51419999999999</v>
      </c>
      <c r="H6365">
        <v>1.0322709999999999</v>
      </c>
      <c r="I6365">
        <v>-49.154890000000002</v>
      </c>
      <c r="J6365">
        <v>-192.70179999999999</v>
      </c>
      <c r="K6365">
        <v>1.122973</v>
      </c>
      <c r="L6365">
        <v>-49.96631</v>
      </c>
      <c r="M6365">
        <v>0.68970220000000004</v>
      </c>
      <c r="N6365">
        <v>-1.6505519999999999E-2</v>
      </c>
      <c r="O6365">
        <v>0.72390500000000002</v>
      </c>
      <c r="P6365">
        <v>0.41965069999999999</v>
      </c>
      <c r="Q6365">
        <v>-3.1194050000000001E-2</v>
      </c>
      <c r="R6365">
        <v>0.90714950000000005</v>
      </c>
      <c r="S6365">
        <v>0.95129390000000003</v>
      </c>
      <c r="T6365">
        <v>-0.26947650000000001</v>
      </c>
      <c r="U6365">
        <v>2.862762</v>
      </c>
      <c r="V6365">
        <v>-0.32122650000000003</v>
      </c>
      <c r="W6365">
        <v>-2.6238299999999999E-2</v>
      </c>
      <c r="X6365">
        <v>0.9466388</v>
      </c>
      <c r="Y6365">
        <v>-0.42598320000000001</v>
      </c>
      <c r="Z6365">
        <v>-3.6269929999999999E-2</v>
      </c>
      <c r="AA6365">
        <v>0.90400380000000002</v>
      </c>
      <c r="AB6365">
        <v>30</v>
      </c>
      <c r="AC6365">
        <v>0.18760000000000299</v>
      </c>
      <c r="AD6365">
        <v>-9.0702000000000005E-2</v>
      </c>
      <c r="AE6365">
        <v>0.81141999999999803</v>
      </c>
      <c r="AF6365">
        <v>-0.41892242023492798</v>
      </c>
      <c r="AG6365">
        <v>-9.0702000000000005E-2</v>
      </c>
      <c r="AH6365">
        <v>0.70847346782648501</v>
      </c>
      <c r="AI6365">
        <v>96.288661313595597</v>
      </c>
      <c r="AJ6365">
        <v>120.59594825086199</v>
      </c>
      <c r="AK6365">
        <v>0.828044383830707</v>
      </c>
      <c r="AL6365">
        <v>91.503516453202906</v>
      </c>
      <c r="AM6365">
        <v>108.743808866115</v>
      </c>
      <c r="AN6365">
        <v>0.99999996517728895</v>
      </c>
    </row>
    <row r="6366" spans="1:40" x14ac:dyDescent="0.25">
      <c r="A6366" t="str">
        <f>"20190305135356325"</f>
        <v>20190305135356325</v>
      </c>
      <c r="B6366" t="str">
        <f>"1551765236315822"</f>
        <v>1551765236315822</v>
      </c>
      <c r="C6366" t="s">
        <v>40</v>
      </c>
      <c r="D6366">
        <v>4.6517660000000003</v>
      </c>
      <c r="E6366">
        <v>0.45370460000000001</v>
      </c>
      <c r="F6366" t="s">
        <v>41</v>
      </c>
      <c r="G6366">
        <v>-192.37430000000001</v>
      </c>
      <c r="H6366">
        <v>1.024572</v>
      </c>
      <c r="I6366">
        <v>-48.942520000000002</v>
      </c>
      <c r="J6366">
        <v>-192.53720000000001</v>
      </c>
      <c r="K6366">
        <v>1.123197</v>
      </c>
      <c r="L6366">
        <v>-49.773220000000002</v>
      </c>
      <c r="M6366">
        <v>0.67851899999999998</v>
      </c>
      <c r="N6366">
        <v>-1.6606949999999999E-2</v>
      </c>
      <c r="O6366">
        <v>0.73439519999999903</v>
      </c>
      <c r="P6366">
        <v>0.40569690000000003</v>
      </c>
      <c r="Q6366">
        <v>-3.3489270000000002E-2</v>
      </c>
      <c r="R6366">
        <v>0.91339389999999998</v>
      </c>
      <c r="S6366">
        <v>0.91903690000000005</v>
      </c>
      <c r="T6366">
        <v>-0.27610279999999998</v>
      </c>
      <c r="U6366">
        <v>2.8724059999999998</v>
      </c>
      <c r="V6366">
        <v>-0.321075</v>
      </c>
      <c r="W6366">
        <v>-2.862102E-2</v>
      </c>
      <c r="X6366">
        <v>0.94662120000000005</v>
      </c>
      <c r="Y6366">
        <v>-0.42221880000000001</v>
      </c>
      <c r="Z6366">
        <v>-3.8648399999999999E-2</v>
      </c>
      <c r="AA6366">
        <v>0.90566970000000002</v>
      </c>
      <c r="AB6366">
        <v>30</v>
      </c>
      <c r="AC6366">
        <v>0.16290000000000701</v>
      </c>
      <c r="AD6366">
        <v>-9.8624999999999893E-2</v>
      </c>
      <c r="AE6366">
        <v>0.83069999999999999</v>
      </c>
      <c r="AF6366">
        <v>-0.43812696626115599</v>
      </c>
      <c r="AG6366">
        <v>-9.8624999999999893E-2</v>
      </c>
      <c r="AH6366">
        <v>0.71104073069279505</v>
      </c>
      <c r="AI6366">
        <v>96.734731784620806</v>
      </c>
      <c r="AJ6366">
        <v>121.640421708883</v>
      </c>
      <c r="AK6366">
        <v>0.840988138973641</v>
      </c>
      <c r="AL6366">
        <v>91.640087607750601</v>
      </c>
      <c r="AM6366">
        <v>108.73590971926799</v>
      </c>
      <c r="AN6366">
        <v>1.0000000073501401</v>
      </c>
    </row>
    <row r="6367" spans="1:40" x14ac:dyDescent="0.25">
      <c r="A6367" t="str">
        <f>"20190305135356348"</f>
        <v>20190305135356348</v>
      </c>
      <c r="B6367" t="str">
        <f>"1551765236336331"</f>
        <v>1551765236336331</v>
      </c>
      <c r="C6367" t="s">
        <v>40</v>
      </c>
      <c r="D6367">
        <v>4.713406</v>
      </c>
      <c r="E6367">
        <v>0.45451170000000002</v>
      </c>
      <c r="F6367" t="s">
        <v>41</v>
      </c>
      <c r="G6367">
        <v>-192.22040000000001</v>
      </c>
      <c r="H6367">
        <v>1.0217099999999999</v>
      </c>
      <c r="I6367">
        <v>-48.7378</v>
      </c>
      <c r="J6367">
        <v>-192.35810000000001</v>
      </c>
      <c r="K6367">
        <v>1.1234329999999999</v>
      </c>
      <c r="L6367">
        <v>-49.55536</v>
      </c>
      <c r="M6367">
        <v>0.66564659999999998</v>
      </c>
      <c r="N6367">
        <v>-1.6714980000000001E-2</v>
      </c>
      <c r="O6367">
        <v>0.74607990000000002</v>
      </c>
      <c r="P6367">
        <v>0.39061400000000002</v>
      </c>
      <c r="Q6367">
        <v>-3.3864350000000001E-2</v>
      </c>
      <c r="R6367">
        <v>0.91993150000000001</v>
      </c>
      <c r="S6367">
        <v>0.88113399999999997</v>
      </c>
      <c r="T6367">
        <v>-0.28251189999999998</v>
      </c>
      <c r="U6367">
        <v>2.8827210000000001</v>
      </c>
      <c r="V6367">
        <v>-0.32015640000000001</v>
      </c>
      <c r="W6367">
        <v>-2.9048640000000001E-2</v>
      </c>
      <c r="X6367">
        <v>0.94691930000000002</v>
      </c>
      <c r="Y6367">
        <v>-0.41827399999999998</v>
      </c>
      <c r="Z6367">
        <v>-4.1186449999999999E-2</v>
      </c>
      <c r="AA6367">
        <v>0.90738669999999999</v>
      </c>
      <c r="AB6367">
        <v>30</v>
      </c>
      <c r="AC6367">
        <v>0.13769999999999499</v>
      </c>
      <c r="AD6367">
        <v>-0.10172299999999899</v>
      </c>
      <c r="AE6367">
        <v>0.81755999999999995</v>
      </c>
      <c r="AF6367">
        <v>-0.434984283440564</v>
      </c>
      <c r="AG6367">
        <v>-0.10172299999999899</v>
      </c>
      <c r="AH6367">
        <v>0.69131562120998702</v>
      </c>
      <c r="AI6367">
        <v>97.099153512760395</v>
      </c>
      <c r="AJ6367">
        <v>122.178607132759</v>
      </c>
      <c r="AK6367">
        <v>0.82308941415756998</v>
      </c>
      <c r="AL6367">
        <v>91.664598546027506</v>
      </c>
      <c r="AM6367">
        <v>108.680557293707</v>
      </c>
      <c r="AN6367">
        <v>1.00000005232964</v>
      </c>
    </row>
    <row r="6368" spans="1:40" x14ac:dyDescent="0.25">
      <c r="A6368" t="str">
        <f>"20190305135356363"</f>
        <v>20190305135356363</v>
      </c>
      <c r="B6368" t="str">
        <f>"1551765236355839"</f>
        <v>1551765236355839</v>
      </c>
      <c r="C6368" t="s">
        <v>40</v>
      </c>
      <c r="D6368">
        <v>4.7092799999999997</v>
      </c>
      <c r="E6368">
        <v>0.454926</v>
      </c>
      <c r="F6368" t="s">
        <v>41</v>
      </c>
      <c r="G6368">
        <v>-192.06229999999999</v>
      </c>
      <c r="H6368">
        <v>1.0242659999999999</v>
      </c>
      <c r="I6368">
        <v>-48.535499999999999</v>
      </c>
      <c r="J6368">
        <v>-192.22880000000001</v>
      </c>
      <c r="K6368">
        <v>1.1235889999999999</v>
      </c>
      <c r="L6368">
        <v>-49.393099999999997</v>
      </c>
      <c r="M6368">
        <v>0.65589980000000003</v>
      </c>
      <c r="N6368">
        <v>-1.6791339999999998E-2</v>
      </c>
      <c r="O6368">
        <v>0.75466119999999903</v>
      </c>
      <c r="P6368">
        <v>0.37924439999999998</v>
      </c>
      <c r="Q6368">
        <v>-3.3394189999999997E-2</v>
      </c>
      <c r="R6368">
        <v>0.92469380000000001</v>
      </c>
      <c r="S6368">
        <v>0.83930969999999905</v>
      </c>
      <c r="T6368">
        <v>-0.28141880000000002</v>
      </c>
      <c r="U6368">
        <v>2.8943479999999999</v>
      </c>
      <c r="V6368">
        <v>-0.31955</v>
      </c>
      <c r="W6368">
        <v>-2.8610859999999998E-2</v>
      </c>
      <c r="X6368">
        <v>0.94713740000000002</v>
      </c>
      <c r="Y6368">
        <v>-0.41955009999999998</v>
      </c>
      <c r="Z6368">
        <v>-4.1752850000000001E-2</v>
      </c>
      <c r="AA6368">
        <v>0.90677140000000001</v>
      </c>
      <c r="AB6368">
        <v>30</v>
      </c>
      <c r="AC6368">
        <v>0.166500000000013</v>
      </c>
      <c r="AD6368">
        <v>-9.9322999999999995E-2</v>
      </c>
      <c r="AE6368">
        <v>0.85759999999999703</v>
      </c>
      <c r="AF6368">
        <v>-0.43133477453718899</v>
      </c>
      <c r="AG6368">
        <v>-9.9322999999999995E-2</v>
      </c>
      <c r="AH6368">
        <v>0.74685759167249699</v>
      </c>
      <c r="AI6368">
        <v>96.569343933579503</v>
      </c>
      <c r="AJ6368">
        <v>120.007844123355</v>
      </c>
      <c r="AK6368">
        <v>0.86816531161576005</v>
      </c>
      <c r="AL6368">
        <v>91.6395052248036</v>
      </c>
      <c r="AM6368">
        <v>108.643625938581</v>
      </c>
      <c r="AN6368">
        <v>1.0000000191443399</v>
      </c>
    </row>
    <row r="6369" spans="1:40" x14ac:dyDescent="0.25">
      <c r="A6369" t="str">
        <f>"20190305135356383"</f>
        <v>20190305135356383</v>
      </c>
      <c r="B6369" t="str">
        <f>"1551765236376335"</f>
        <v>1551765236376335</v>
      </c>
      <c r="C6369" t="s">
        <v>40</v>
      </c>
      <c r="D6369">
        <v>4.6953040000000001</v>
      </c>
      <c r="E6369">
        <v>0.46525610000000001</v>
      </c>
      <c r="F6369" t="s">
        <v>42</v>
      </c>
      <c r="G6369">
        <v>-188.97620000000001</v>
      </c>
      <c r="H6369" s="1">
        <v>-1.3319699999999999E-6</v>
      </c>
      <c r="I6369">
        <v>-37.685699999999997</v>
      </c>
      <c r="J6369">
        <v>-192.07769999999999</v>
      </c>
      <c r="K6369">
        <v>1.1237600000000001</v>
      </c>
      <c r="L6369">
        <v>-49.197330000000001</v>
      </c>
      <c r="M6369">
        <v>0.64397109999999902</v>
      </c>
      <c r="N6369">
        <v>-1.6878959999999998E-2</v>
      </c>
      <c r="O6369">
        <v>0.76486359999999998</v>
      </c>
      <c r="P6369">
        <v>0.36470419999999998</v>
      </c>
      <c r="Q6369">
        <v>-3.4402469999999997E-2</v>
      </c>
      <c r="R6369">
        <v>0.93048770000000003</v>
      </c>
      <c r="S6369">
        <v>0.80665589999999998</v>
      </c>
      <c r="T6369">
        <v>-0.27864809999999901</v>
      </c>
      <c r="U6369">
        <v>2.9034119999999999</v>
      </c>
      <c r="V6369">
        <v>-0.31945780000000001</v>
      </c>
      <c r="W6369">
        <v>-2.967643E-2</v>
      </c>
      <c r="X6369">
        <v>0.94713570000000002</v>
      </c>
      <c r="Y6369">
        <v>-0.41551460000000001</v>
      </c>
      <c r="Z6369">
        <v>-4.2338189999999998E-2</v>
      </c>
      <c r="AA6369">
        <v>0.90860059999999998</v>
      </c>
      <c r="AB6369">
        <v>30</v>
      </c>
      <c r="AC6369">
        <v>3.1014999999999802</v>
      </c>
      <c r="AD6369">
        <v>-1.1237613319699999</v>
      </c>
      <c r="AE6369">
        <v>11.51163</v>
      </c>
      <c r="AF6369">
        <v>-4.9972518740940499</v>
      </c>
      <c r="AG6369">
        <v>-1.1237613319699999</v>
      </c>
      <c r="AH6369">
        <v>10.7085007132304</v>
      </c>
      <c r="AI6369">
        <v>95.432262345316005</v>
      </c>
      <c r="AJ6369">
        <v>115.01668056673201</v>
      </c>
      <c r="AK6369">
        <v>11.8704403182705</v>
      </c>
      <c r="AL6369">
        <v>91.700583857910303</v>
      </c>
      <c r="AM6369">
        <v>108.638649420384</v>
      </c>
      <c r="AN6369">
        <v>1.00000000534643</v>
      </c>
    </row>
    <row r="6370" spans="1:40" x14ac:dyDescent="0.25">
      <c r="A6370" t="str">
        <f>"20190305135356406"</f>
        <v>20190305135356406</v>
      </c>
      <c r="B6370" t="str">
        <f>"1551765236395854"</f>
        <v>1551765236395854</v>
      </c>
      <c r="C6370" t="s">
        <v>40</v>
      </c>
      <c r="D6370">
        <v>4.7255849999999997</v>
      </c>
      <c r="E6370">
        <v>0.4665242</v>
      </c>
      <c r="F6370" t="s">
        <v>42</v>
      </c>
      <c r="G6370">
        <v>-188.27770000000001</v>
      </c>
      <c r="H6370" s="1">
        <v>-2.1365479999999998E-6</v>
      </c>
      <c r="I6370">
        <v>-36.098999999999997</v>
      </c>
      <c r="J6370">
        <v>-191.8963</v>
      </c>
      <c r="K6370">
        <v>1.1239570000000001</v>
      </c>
      <c r="L6370">
        <v>-48.953919999999997</v>
      </c>
      <c r="M6370">
        <v>0.62889659999999903</v>
      </c>
      <c r="N6370">
        <v>-1.6980729999999999E-2</v>
      </c>
      <c r="O6370">
        <v>0.77730350000000004</v>
      </c>
      <c r="P6370">
        <v>0.34541670000000002</v>
      </c>
      <c r="Q6370">
        <v>-3.546266E-2</v>
      </c>
      <c r="R6370">
        <v>0.93777909999999998</v>
      </c>
      <c r="S6370">
        <v>0.83746339999999997</v>
      </c>
      <c r="T6370">
        <v>-0.247664</v>
      </c>
      <c r="U6370">
        <v>2.8867189999999998</v>
      </c>
      <c r="V6370">
        <v>-0.32042229999999999</v>
      </c>
      <c r="W6370">
        <v>-3.0843789999999999E-2</v>
      </c>
      <c r="X6370">
        <v>0.94677250000000002</v>
      </c>
      <c r="Y6370">
        <v>-0.38727420000000001</v>
      </c>
      <c r="Z6370">
        <v>-3.8140630000000002E-2</v>
      </c>
      <c r="AA6370">
        <v>0.92117530000000003</v>
      </c>
      <c r="AB6370">
        <v>30</v>
      </c>
      <c r="AC6370">
        <v>3.6185999999999798</v>
      </c>
      <c r="AD6370">
        <v>-1.1239591365479999</v>
      </c>
      <c r="AE6370">
        <v>12.85492</v>
      </c>
      <c r="AF6370">
        <v>-5.2353409648619396</v>
      </c>
      <c r="AG6370">
        <v>-1.1239591365479999</v>
      </c>
      <c r="AH6370">
        <v>12.1833683665308</v>
      </c>
      <c r="AI6370">
        <v>94.844773777115904</v>
      </c>
      <c r="AJ6370">
        <v>113.25378259698</v>
      </c>
      <c r="AK6370">
        <v>13.3081382587338</v>
      </c>
      <c r="AL6370">
        <v>91.767499353859606</v>
      </c>
      <c r="AM6370">
        <v>108.697691781164</v>
      </c>
      <c r="AN6370">
        <v>0.99999997823755105</v>
      </c>
    </row>
    <row r="6371" spans="1:40" x14ac:dyDescent="0.25">
      <c r="A6371" t="str">
        <f>"20190305135356426"</f>
        <v>20190305135356426</v>
      </c>
      <c r="B6371" t="str">
        <f>"1551765236416354"</f>
        <v>1551765236416354</v>
      </c>
      <c r="C6371" t="s">
        <v>40</v>
      </c>
      <c r="D6371">
        <v>4.7265810000000004</v>
      </c>
      <c r="E6371">
        <v>0.46708100000000002</v>
      </c>
      <c r="F6371" t="s">
        <v>41</v>
      </c>
      <c r="G6371">
        <v>-191.5883</v>
      </c>
      <c r="H6371">
        <v>1.0277860000000001</v>
      </c>
      <c r="I6371">
        <v>-47.820540000000001</v>
      </c>
      <c r="J6371">
        <v>-191.73509999999999</v>
      </c>
      <c r="K6371">
        <v>1.124115</v>
      </c>
      <c r="L6371">
        <v>-48.727969999999999</v>
      </c>
      <c r="M6371">
        <v>0.61467669999999996</v>
      </c>
      <c r="N6371">
        <v>-1.706939E-2</v>
      </c>
      <c r="O6371">
        <v>0.78859440000000003</v>
      </c>
      <c r="P6371">
        <v>0.327105599999999</v>
      </c>
      <c r="Q6371">
        <v>-3.5132799999999999E-2</v>
      </c>
      <c r="R6371">
        <v>0.94433449999999997</v>
      </c>
      <c r="S6371">
        <v>0.78750609999999999</v>
      </c>
      <c r="T6371">
        <v>-0.24602750000000001</v>
      </c>
      <c r="U6371">
        <v>2.8996580000000001</v>
      </c>
      <c r="V6371">
        <v>-0.32165850000000001</v>
      </c>
      <c r="W6371">
        <v>-3.0616930000000001E-2</v>
      </c>
      <c r="X6371">
        <v>0.9463606</v>
      </c>
      <c r="Y6371">
        <v>-0.3863568</v>
      </c>
      <c r="Z6371">
        <v>-3.8770270000000003E-2</v>
      </c>
      <c r="AA6371">
        <v>0.92153419999999997</v>
      </c>
      <c r="AB6371">
        <v>30</v>
      </c>
      <c r="AC6371">
        <v>0.146799999999984</v>
      </c>
      <c r="AD6371">
        <v>-9.6328999999999804E-2</v>
      </c>
      <c r="AE6371">
        <v>0.90742999999999796</v>
      </c>
      <c r="AF6371">
        <v>-0.43727285938412003</v>
      </c>
      <c r="AG6371">
        <v>-9.6328999999999804E-2</v>
      </c>
      <c r="AH6371">
        <v>0.79719171398754995</v>
      </c>
      <c r="AI6371">
        <v>96.047597404368105</v>
      </c>
      <c r="AJ6371">
        <v>118.745497858329</v>
      </c>
      <c r="AK6371">
        <v>0.91433115371038998</v>
      </c>
      <c r="AL6371">
        <v>91.754495077388299</v>
      </c>
      <c r="AM6371">
        <v>108.772383339481</v>
      </c>
      <c r="AN6371">
        <v>0.99999998612861696</v>
      </c>
    </row>
    <row r="6372" spans="1:40" x14ac:dyDescent="0.25">
      <c r="A6372" t="str">
        <f>"20190305135356442"</f>
        <v>20190305135356442</v>
      </c>
      <c r="B6372" t="str">
        <f>"1551765236436650"</f>
        <v>1551765236436650</v>
      </c>
      <c r="C6372" t="s">
        <v>40</v>
      </c>
      <c r="D6372">
        <v>5.104908</v>
      </c>
      <c r="E6372">
        <v>0.46756009999999998</v>
      </c>
      <c r="F6372" t="s">
        <v>42</v>
      </c>
      <c r="G6372">
        <v>-188.346</v>
      </c>
      <c r="H6372" s="1">
        <v>-2.4664359999999999E-6</v>
      </c>
      <c r="I6372">
        <v>-35.3018</v>
      </c>
      <c r="J6372">
        <v>-191.62129999999999</v>
      </c>
      <c r="K6372">
        <v>1.1242209999999999</v>
      </c>
      <c r="L6372">
        <v>-48.562930000000001</v>
      </c>
      <c r="M6372">
        <v>0.60416639999999999</v>
      </c>
      <c r="N6372">
        <v>-1.7130590000000001E-2</v>
      </c>
      <c r="O6372">
        <v>0.79667410000000005</v>
      </c>
      <c r="P6372">
        <v>0.3143937</v>
      </c>
      <c r="Q6372">
        <v>-3.474555E-2</v>
      </c>
      <c r="R6372">
        <v>0.94865659999999896</v>
      </c>
      <c r="S6372">
        <v>0.735321</v>
      </c>
      <c r="T6372">
        <v>-0.2438979</v>
      </c>
      <c r="U6372">
        <v>2.9130549999999999</v>
      </c>
      <c r="V6372">
        <v>-0.32183610000000001</v>
      </c>
      <c r="W6372">
        <v>-3.0268010000000001E-2</v>
      </c>
      <c r="X6372">
        <v>0.94631149999999997</v>
      </c>
      <c r="Y6372">
        <v>-0.3906443</v>
      </c>
      <c r="Z6372">
        <v>-3.8830200000000002E-2</v>
      </c>
      <c r="AA6372">
        <v>0.91972240000000005</v>
      </c>
      <c r="AB6372">
        <v>30</v>
      </c>
      <c r="AC6372">
        <v>3.2753000000000099</v>
      </c>
      <c r="AD6372">
        <v>-1.124223466436</v>
      </c>
      <c r="AE6372">
        <v>13.26113</v>
      </c>
      <c r="AF6372">
        <v>-5.3670202894737198</v>
      </c>
      <c r="AG6372">
        <v>-1.124223466436</v>
      </c>
      <c r="AH6372">
        <v>12.4610572942142</v>
      </c>
      <c r="AI6372">
        <v>94.736719024767694</v>
      </c>
      <c r="AJ6372">
        <v>113.301711112213</v>
      </c>
      <c r="AK6372">
        <v>13.6142107402448</v>
      </c>
      <c r="AL6372">
        <v>91.734494067777803</v>
      </c>
      <c r="AM6372">
        <v>108.782927919081</v>
      </c>
      <c r="AN6372">
        <v>1.0000000413623999</v>
      </c>
    </row>
    <row r="6373" spans="1:40" x14ac:dyDescent="0.25">
      <c r="A6373" t="str">
        <f>"20190305135356460"</f>
        <v>20190305135356460</v>
      </c>
      <c r="B6373" t="str">
        <f>"1551765236456169"</f>
        <v>1551765236456169</v>
      </c>
      <c r="C6373" t="s">
        <v>40</v>
      </c>
      <c r="D6373">
        <v>4.74688</v>
      </c>
      <c r="E6373">
        <v>0.4742112</v>
      </c>
      <c r="F6373" t="s">
        <v>42</v>
      </c>
      <c r="G6373">
        <v>-188.3279</v>
      </c>
      <c r="H6373" s="1">
        <v>-2.681082E-6</v>
      </c>
      <c r="I6373">
        <v>-34.808929999999997</v>
      </c>
      <c r="J6373">
        <v>-191.49619999999999</v>
      </c>
      <c r="K6373">
        <v>1.124333</v>
      </c>
      <c r="L6373">
        <v>-48.375520000000002</v>
      </c>
      <c r="M6373">
        <v>0.59211469999999999</v>
      </c>
      <c r="N6373">
        <v>-1.7195970000000001E-2</v>
      </c>
      <c r="O6373">
        <v>0.80567009999999994</v>
      </c>
      <c r="P6373">
        <v>0.30055759999999998</v>
      </c>
      <c r="Q6373">
        <v>-3.3961360000000003E-2</v>
      </c>
      <c r="R6373">
        <v>0.95315890000000003</v>
      </c>
      <c r="S6373">
        <v>0.69961549999999995</v>
      </c>
      <c r="T6373">
        <v>-0.23881820000000001</v>
      </c>
      <c r="U6373">
        <v>2.9217529999999998</v>
      </c>
      <c r="V6373">
        <v>-0.32141170000000002</v>
      </c>
      <c r="W6373">
        <v>-2.9495279999999999E-2</v>
      </c>
      <c r="X6373">
        <v>0.94648010000000005</v>
      </c>
      <c r="Y6373">
        <v>-0.38805600000000001</v>
      </c>
      <c r="Z6373">
        <v>-3.8518129999999998E-2</v>
      </c>
      <c r="AA6373">
        <v>0.9208305</v>
      </c>
      <c r="AB6373">
        <v>30</v>
      </c>
      <c r="AC6373">
        <v>3.1682999999999799</v>
      </c>
      <c r="AD6373">
        <v>-1.124335681082</v>
      </c>
      <c r="AE6373">
        <v>13.56659</v>
      </c>
      <c r="AF6373">
        <v>-5.4457152277493099</v>
      </c>
      <c r="AG6373">
        <v>-1.124335681082</v>
      </c>
      <c r="AH6373">
        <v>12.7252072985161</v>
      </c>
      <c r="AI6373">
        <v>94.643906429093803</v>
      </c>
      <c r="AJ6373">
        <v>113.16836175907601</v>
      </c>
      <c r="AK6373">
        <v>13.8870747767737</v>
      </c>
      <c r="AL6373">
        <v>91.690200163837503</v>
      </c>
      <c r="AM6373">
        <v>108.75678479188301</v>
      </c>
      <c r="AN6373">
        <v>1.0000000160675799</v>
      </c>
    </row>
    <row r="6374" spans="1:40" x14ac:dyDescent="0.25">
      <c r="A6374" t="str">
        <f>"20190305135356474"</f>
        <v>20190305135356474</v>
      </c>
      <c r="B6374" t="str">
        <f>"1551765236465929"</f>
        <v>1551765236465929</v>
      </c>
      <c r="C6374" t="s">
        <v>40</v>
      </c>
      <c r="D6374">
        <v>4.6892930000000002</v>
      </c>
      <c r="E6374">
        <v>0.47480719999999998</v>
      </c>
      <c r="F6374" t="s">
        <v>42</v>
      </c>
      <c r="G6374">
        <v>-187.584</v>
      </c>
      <c r="H6374" s="1">
        <v>-3.9168429999999996E-6</v>
      </c>
      <c r="I6374">
        <v>-32.235950000000003</v>
      </c>
      <c r="J6374">
        <v>-191.38919999999999</v>
      </c>
      <c r="K6374">
        <v>1.1244179999999999</v>
      </c>
      <c r="L6374">
        <v>-48.210360000000001</v>
      </c>
      <c r="M6374">
        <v>0.58139430000000003</v>
      </c>
      <c r="N6374">
        <v>-1.7249830000000001E-2</v>
      </c>
      <c r="O6374">
        <v>0.81343909999999997</v>
      </c>
      <c r="P6374">
        <v>0.288257599999999</v>
      </c>
      <c r="Q6374">
        <v>-3.391694E-2</v>
      </c>
      <c r="R6374">
        <v>0.95695200000000002</v>
      </c>
      <c r="S6374">
        <v>0.70712280000000005</v>
      </c>
      <c r="T6374">
        <v>-0.2032224</v>
      </c>
      <c r="U6374">
        <v>2.9172060000000002</v>
      </c>
      <c r="V6374">
        <v>-0.32106630000000003</v>
      </c>
      <c r="W6374">
        <v>-2.946031E-2</v>
      </c>
      <c r="X6374">
        <v>0.94659839999999995</v>
      </c>
      <c r="Y6374">
        <v>-0.37325120000000001</v>
      </c>
      <c r="Z6374">
        <v>-3.1409909999999999E-2</v>
      </c>
      <c r="AA6374">
        <v>0.92719850000000004</v>
      </c>
      <c r="AB6374">
        <v>30</v>
      </c>
      <c r="AC6374">
        <v>3.8051999999999802</v>
      </c>
      <c r="AD6374">
        <v>-1.1244219168430001</v>
      </c>
      <c r="AE6374">
        <v>15.974409999999899</v>
      </c>
      <c r="AF6374">
        <v>-6.1641527063299701</v>
      </c>
      <c r="AG6374">
        <v>-1.1244219168430001</v>
      </c>
      <c r="AH6374">
        <v>15.137819099432299</v>
      </c>
      <c r="AI6374">
        <v>93.935413276660995</v>
      </c>
      <c r="AJ6374">
        <v>112.15625956384601</v>
      </c>
      <c r="AK6374">
        <v>16.383365659142498</v>
      </c>
      <c r="AL6374">
        <v>91.688195678279499</v>
      </c>
      <c r="AM6374">
        <v>108.735857243955</v>
      </c>
      <c r="AN6374">
        <v>1.0000000048717701</v>
      </c>
    </row>
    <row r="6375" spans="1:40" x14ac:dyDescent="0.25">
      <c r="A6375" t="str">
        <f>"20190305135356494"</f>
        <v>20190305135356494</v>
      </c>
      <c r="B6375" t="str">
        <f>"1551765236486425"</f>
        <v>1551765236486425</v>
      </c>
      <c r="C6375" t="s">
        <v>40</v>
      </c>
      <c r="D6375">
        <v>4.680574</v>
      </c>
      <c r="E6375">
        <v>0.47443600000000002</v>
      </c>
      <c r="F6375" t="s">
        <v>42</v>
      </c>
      <c r="G6375">
        <v>-187.6112</v>
      </c>
      <c r="H6375" s="1">
        <v>-4.0928869999999997E-6</v>
      </c>
      <c r="I6375">
        <v>-31.814330000000002</v>
      </c>
      <c r="J6375">
        <v>-191.25620000000001</v>
      </c>
      <c r="K6375">
        <v>1.1245130000000001</v>
      </c>
      <c r="L6375">
        <v>-47.998019999999997</v>
      </c>
      <c r="M6375">
        <v>0.56747760000000003</v>
      </c>
      <c r="N6375">
        <v>-1.7314550000000001E-2</v>
      </c>
      <c r="O6375">
        <v>0.82320669999999996</v>
      </c>
      <c r="P6375">
        <v>0.27276600000000001</v>
      </c>
      <c r="Q6375">
        <v>-3.5524489999999999E-2</v>
      </c>
      <c r="R6375">
        <v>0.96142430000000001</v>
      </c>
      <c r="S6375">
        <v>0.67395019999999894</v>
      </c>
      <c r="T6375">
        <v>-0.20058210000000001</v>
      </c>
      <c r="U6375">
        <v>2.9248349999999999</v>
      </c>
      <c r="V6375">
        <v>-0.32015919999999998</v>
      </c>
      <c r="W6375">
        <v>-3.1059349999999999E-2</v>
      </c>
      <c r="X6375">
        <v>0.94685450000000004</v>
      </c>
      <c r="Y6375">
        <v>-0.36799549999999998</v>
      </c>
      <c r="Z6375">
        <v>-3.1588049999999999E-2</v>
      </c>
      <c r="AA6375">
        <v>0.92929090000000003</v>
      </c>
      <c r="AB6375">
        <v>30</v>
      </c>
      <c r="AC6375">
        <v>3.645</v>
      </c>
      <c r="AD6375">
        <v>-1.1245170928870001</v>
      </c>
      <c r="AE6375">
        <v>16.183689999999999</v>
      </c>
      <c r="AF6375">
        <v>-6.1559339212746398</v>
      </c>
      <c r="AG6375">
        <v>-1.1245170928870001</v>
      </c>
      <c r="AH6375">
        <v>15.322877429809701</v>
      </c>
      <c r="AI6375">
        <v>93.895715365689298</v>
      </c>
      <c r="AJ6375">
        <v>111.887691586101</v>
      </c>
      <c r="AK6375">
        <v>16.5514541314129</v>
      </c>
      <c r="AL6375">
        <v>91.779855877600099</v>
      </c>
      <c r="AM6375">
        <v>108.68189908543501</v>
      </c>
      <c r="AN6375">
        <v>1.0000000203686501</v>
      </c>
    </row>
    <row r="6376" spans="1:40" x14ac:dyDescent="0.25">
      <c r="A6376" t="str">
        <f>"20190305135356516"</f>
        <v>20190305135356516</v>
      </c>
      <c r="B6376" t="str">
        <f>"1551765236505949"</f>
        <v>1551765236505949</v>
      </c>
      <c r="C6376" t="s">
        <v>40</v>
      </c>
      <c r="D6376">
        <v>4.6961370000000002</v>
      </c>
      <c r="E6376">
        <v>0.47449970000000002</v>
      </c>
      <c r="F6376" t="s">
        <v>42</v>
      </c>
      <c r="G6376">
        <v>-187.9169</v>
      </c>
      <c r="H6376" s="1">
        <v>-3.8402899999999996E-6</v>
      </c>
      <c r="I6376">
        <v>-32.276739999999997</v>
      </c>
      <c r="J6376">
        <v>-191.10849999999999</v>
      </c>
      <c r="K6376">
        <v>1.1246069999999999</v>
      </c>
      <c r="L6376">
        <v>-47.752200000000002</v>
      </c>
      <c r="M6376">
        <v>0.55119059999999998</v>
      </c>
      <c r="N6376">
        <v>-1.738433E-2</v>
      </c>
      <c r="O6376">
        <v>0.83419829999999995</v>
      </c>
      <c r="P6376">
        <v>0.25492910000000002</v>
      </c>
      <c r="Q6376">
        <v>-3.7660079999999999E-2</v>
      </c>
      <c r="R6376">
        <v>0.96622609999999998</v>
      </c>
      <c r="S6376">
        <v>0.623565699999999</v>
      </c>
      <c r="T6376">
        <v>-0.2099857</v>
      </c>
      <c r="U6376">
        <v>2.9356990000000001</v>
      </c>
      <c r="V6376">
        <v>-0.31894210000000001</v>
      </c>
      <c r="W6376">
        <v>-3.3172880000000002E-2</v>
      </c>
      <c r="X6376">
        <v>0.94719339999999996</v>
      </c>
      <c r="Y6376">
        <v>-0.36569200000000002</v>
      </c>
      <c r="Z6376">
        <v>-3.4665750000000002E-2</v>
      </c>
      <c r="AA6376">
        <v>0.93009010000000003</v>
      </c>
      <c r="AB6376">
        <v>30</v>
      </c>
      <c r="AC6376">
        <v>3.19159999999999</v>
      </c>
      <c r="AD6376">
        <v>-1.1246108402899999</v>
      </c>
      <c r="AE6376">
        <v>15.475459999999901</v>
      </c>
      <c r="AF6376">
        <v>-5.8388104875697904</v>
      </c>
      <c r="AG6376">
        <v>-1.1246108402899999</v>
      </c>
      <c r="AH6376">
        <v>14.597056442104099</v>
      </c>
      <c r="AI6376">
        <v>94.091585344673703</v>
      </c>
      <c r="AJ6376">
        <v>111.80136857916401</v>
      </c>
      <c r="AK6376">
        <v>15.7616786614188</v>
      </c>
      <c r="AL6376">
        <v>91.901014937858704</v>
      </c>
      <c r="AM6376">
        <v>108.60957907483601</v>
      </c>
      <c r="AN6376">
        <v>0.999999920061729</v>
      </c>
    </row>
    <row r="6377" spans="1:40" x14ac:dyDescent="0.25">
      <c r="A6377" t="str">
        <f>"20190305135356538"</f>
        <v>20190305135356538</v>
      </c>
      <c r="B6377" t="str">
        <f>"1551765236526445"</f>
        <v>1551765236526445</v>
      </c>
      <c r="C6377" t="s">
        <v>40</v>
      </c>
      <c r="D6377">
        <v>5.0644039999999997</v>
      </c>
      <c r="E6377">
        <v>0.47520970000000001</v>
      </c>
      <c r="F6377" t="s">
        <v>42</v>
      </c>
      <c r="G6377">
        <v>-188.12610000000001</v>
      </c>
      <c r="H6377" s="1">
        <v>-3.780758E-6</v>
      </c>
      <c r="I6377">
        <v>-32.329030000000003</v>
      </c>
      <c r="J6377">
        <v>-190.96809999999999</v>
      </c>
      <c r="K6377">
        <v>1.1246929999999999</v>
      </c>
      <c r="L6377">
        <v>-47.507539999999999</v>
      </c>
      <c r="M6377">
        <v>0.53480919999999998</v>
      </c>
      <c r="N6377">
        <v>-1.744892E-2</v>
      </c>
      <c r="O6377">
        <v>0.84479269999999995</v>
      </c>
      <c r="P6377">
        <v>0.2383468</v>
      </c>
      <c r="Q6377">
        <v>-3.9339220000000001E-2</v>
      </c>
      <c r="R6377">
        <v>0.970383</v>
      </c>
      <c r="S6377">
        <v>0.56971740000000004</v>
      </c>
      <c r="T6377">
        <v>-0.2148255</v>
      </c>
      <c r="U6377">
        <v>2.946167</v>
      </c>
      <c r="V6377">
        <v>-0.31657750000000001</v>
      </c>
      <c r="W6377">
        <v>-3.4773390000000001E-2</v>
      </c>
      <c r="X6377">
        <v>0.94792900000000002</v>
      </c>
      <c r="Y6377">
        <v>-0.36454130000000001</v>
      </c>
      <c r="Z6377">
        <v>-3.6661480000000003E-2</v>
      </c>
      <c r="AA6377">
        <v>0.93046530000000005</v>
      </c>
      <c r="AB6377">
        <v>30</v>
      </c>
      <c r="AC6377">
        <v>2.8419999999999801</v>
      </c>
      <c r="AD6377">
        <v>-1.1246967807579999</v>
      </c>
      <c r="AE6377">
        <v>15.178509999999999</v>
      </c>
      <c r="AF6377">
        <v>-5.6874071703958302</v>
      </c>
      <c r="AG6377">
        <v>-1.1246967807579999</v>
      </c>
      <c r="AH6377">
        <v>14.269114625352801</v>
      </c>
      <c r="AI6377">
        <v>94.187645558576406</v>
      </c>
      <c r="AJ6377">
        <v>111.731318521513</v>
      </c>
      <c r="AK6377">
        <v>15.401921158153399</v>
      </c>
      <c r="AL6377">
        <v>91.992770338348606</v>
      </c>
      <c r="AM6377">
        <v>108.467645344837</v>
      </c>
      <c r="AN6377">
        <v>0.99999994559966898</v>
      </c>
    </row>
    <row r="6378" spans="1:40" x14ac:dyDescent="0.25">
      <c r="A6378" t="str">
        <f>"20190305135356561"</f>
        <v>20190305135356561</v>
      </c>
      <c r="B6378" t="str">
        <f>"1551765236556512"</f>
        <v>1551765236556512</v>
      </c>
      <c r="C6378" t="s">
        <v>40</v>
      </c>
      <c r="D6378">
        <v>4.6662939999999997</v>
      </c>
      <c r="E6378">
        <v>0.48424050000000002</v>
      </c>
      <c r="F6378" t="s">
        <v>42</v>
      </c>
      <c r="G6378">
        <v>-188.2697</v>
      </c>
      <c r="H6378" s="1">
        <v>-3.7629999999999998E-6</v>
      </c>
      <c r="I6378">
        <v>-32.311019999999999</v>
      </c>
      <c r="J6378">
        <v>-190.83330000000001</v>
      </c>
      <c r="K6378">
        <v>1.124771</v>
      </c>
      <c r="L6378">
        <v>-47.261569999999999</v>
      </c>
      <c r="M6378">
        <v>0.51817150000000001</v>
      </c>
      <c r="N6378">
        <v>-1.7509139999999999E-2</v>
      </c>
      <c r="O6378">
        <v>0.85509749999999995</v>
      </c>
      <c r="P6378">
        <v>0.22186639999999999</v>
      </c>
      <c r="Q6378">
        <v>-4.0354300000000003E-2</v>
      </c>
      <c r="R6378">
        <v>0.97424169999999999</v>
      </c>
      <c r="S6378">
        <v>0.52450559999999902</v>
      </c>
      <c r="T6378">
        <v>-0.21861539999999999</v>
      </c>
      <c r="U6378">
        <v>2.9538570000000002</v>
      </c>
      <c r="V6378">
        <v>-0.31402639999999998</v>
      </c>
      <c r="W6378">
        <v>-3.569555E-2</v>
      </c>
      <c r="X6378">
        <v>0.948743</v>
      </c>
      <c r="Y6378">
        <v>-0.36054439999999999</v>
      </c>
      <c r="Z6378">
        <v>-3.8506560000000002E-2</v>
      </c>
      <c r="AA6378">
        <v>0.93194690000000002</v>
      </c>
      <c r="AB6378">
        <v>29</v>
      </c>
      <c r="AC6378">
        <v>2.5636000000000001</v>
      </c>
      <c r="AD6378">
        <v>-1.124774763</v>
      </c>
      <c r="AE6378">
        <v>14.95055</v>
      </c>
      <c r="AF6378">
        <v>-5.5252926805963298</v>
      </c>
      <c r="AG6378">
        <v>-1.124774763</v>
      </c>
      <c r="AH6378">
        <v>14.0375429020309</v>
      </c>
      <c r="AI6378">
        <v>94.263997442064394</v>
      </c>
      <c r="AJ6378">
        <v>111.485008122308</v>
      </c>
      <c r="AK6378">
        <v>15.1276762326568</v>
      </c>
      <c r="AL6378">
        <v>92.045638902420905</v>
      </c>
      <c r="AM6378">
        <v>108.314133571837</v>
      </c>
      <c r="AN6378">
        <v>1.0000000161178799</v>
      </c>
    </row>
    <row r="6379" spans="1:40" x14ac:dyDescent="0.25">
      <c r="A6379" t="str">
        <f>"20190305135356584"</f>
        <v>20190305135356584</v>
      </c>
      <c r="B6379" t="str">
        <f>"1551765236576033"</f>
        <v>1551765236576033</v>
      </c>
      <c r="C6379" t="s">
        <v>40</v>
      </c>
      <c r="D6379">
        <v>5.0063750000000002</v>
      </c>
      <c r="E6379">
        <v>0.4867398</v>
      </c>
      <c r="F6379" t="s">
        <v>42</v>
      </c>
      <c r="G6379">
        <v>-187.60480000000001</v>
      </c>
      <c r="H6379" s="1">
        <v>-8.3302759999999997E-7</v>
      </c>
      <c r="I6379">
        <v>-29.776789999999998</v>
      </c>
      <c r="J6379">
        <v>-190.6908</v>
      </c>
      <c r="K6379">
        <v>1.124844</v>
      </c>
      <c r="L6379">
        <v>-46.98874</v>
      </c>
      <c r="M6379">
        <v>0.49953619999999999</v>
      </c>
      <c r="N6379">
        <v>-1.7570590000000001E-2</v>
      </c>
      <c r="O6379">
        <v>0.86611489999999902</v>
      </c>
      <c r="P6379">
        <v>0.2049076</v>
      </c>
      <c r="Q6379">
        <v>-4.3050060000000001E-2</v>
      </c>
      <c r="R6379">
        <v>0.97783410000000004</v>
      </c>
      <c r="S6379">
        <v>0.54425049999999997</v>
      </c>
      <c r="T6379">
        <v>-0.18961120000000001</v>
      </c>
      <c r="U6379">
        <v>2.94754</v>
      </c>
      <c r="V6379">
        <v>-0.30980380000000002</v>
      </c>
      <c r="W6379">
        <v>-3.8224760000000003E-2</v>
      </c>
      <c r="X6379">
        <v>0.95003179999999998</v>
      </c>
      <c r="Y6379">
        <v>-0.3338468</v>
      </c>
      <c r="Z6379">
        <v>-3.2569389999999997E-2</v>
      </c>
      <c r="AA6379">
        <v>0.94206449999999997</v>
      </c>
      <c r="AB6379">
        <v>29</v>
      </c>
      <c r="AC6379">
        <v>3.0859999999999799</v>
      </c>
      <c r="AD6379">
        <v>-1.1248448330276</v>
      </c>
      <c r="AE6379">
        <v>17.211949999999899</v>
      </c>
      <c r="AF6379">
        <v>-5.9016552028345703</v>
      </c>
      <c r="AG6379">
        <v>-1.1248448330276</v>
      </c>
      <c r="AH6379">
        <v>16.3838381813609</v>
      </c>
      <c r="AI6379">
        <v>93.695770565904695</v>
      </c>
      <c r="AJ6379">
        <v>109.809628990577</v>
      </c>
      <c r="AK6379">
        <v>17.4506436438474</v>
      </c>
      <c r="AL6379">
        <v>92.190651170981596</v>
      </c>
      <c r="AM6379">
        <v>108.06106185785799</v>
      </c>
      <c r="AN6379">
        <v>0.99999997389136797</v>
      </c>
    </row>
    <row r="6380" spans="1:40" x14ac:dyDescent="0.25">
      <c r="A6380" t="str">
        <f>"20190305135356609"</f>
        <v>20190305135356609</v>
      </c>
      <c r="B6380" t="str">
        <f>"1551765236596528"</f>
        <v>1551765236596528</v>
      </c>
      <c r="C6380" t="s">
        <v>40</v>
      </c>
      <c r="D6380">
        <v>4.6276279999999996</v>
      </c>
      <c r="E6380">
        <v>0.48806670000000002</v>
      </c>
      <c r="F6380" t="s">
        <v>42</v>
      </c>
      <c r="G6380">
        <v>-187.61750000000001</v>
      </c>
      <c r="H6380" s="1">
        <v>-1.0014240000000001E-6</v>
      </c>
      <c r="I6380">
        <v>-29.272020000000001</v>
      </c>
      <c r="J6380">
        <v>-190.5582</v>
      </c>
      <c r="K6380">
        <v>1.124924</v>
      </c>
      <c r="L6380">
        <v>-46.719270000000002</v>
      </c>
      <c r="M6380">
        <v>0.48095769999999999</v>
      </c>
      <c r="N6380">
        <v>-1.762646E-2</v>
      </c>
      <c r="O6380">
        <v>0.87656659999999997</v>
      </c>
      <c r="P6380">
        <v>0.18486459999999999</v>
      </c>
      <c r="Q6380">
        <v>-4.3641239999999998E-2</v>
      </c>
      <c r="R6380">
        <v>0.98179450000000001</v>
      </c>
      <c r="S6380">
        <v>0.51216130000000004</v>
      </c>
      <c r="T6380">
        <v>-0.18745110000000001</v>
      </c>
      <c r="U6380">
        <v>2.952423</v>
      </c>
      <c r="V6380">
        <v>-0.3089421</v>
      </c>
      <c r="W6380">
        <v>-3.8788429999999999E-2</v>
      </c>
      <c r="X6380">
        <v>0.95028950000000001</v>
      </c>
      <c r="Y6380">
        <v>-0.32394600000000001</v>
      </c>
      <c r="Z6380">
        <v>-3.2901630000000001E-2</v>
      </c>
      <c r="AA6380">
        <v>0.94550330000000005</v>
      </c>
      <c r="AB6380">
        <v>29</v>
      </c>
      <c r="AC6380">
        <v>2.9406999999999899</v>
      </c>
      <c r="AD6380">
        <v>-1.124925001424</v>
      </c>
      <c r="AE6380">
        <v>17.44725</v>
      </c>
      <c r="AF6380">
        <v>-5.79116358944641</v>
      </c>
      <c r="AG6380">
        <v>-1.124925001424</v>
      </c>
      <c r="AH6380">
        <v>16.643347756571401</v>
      </c>
      <c r="AI6380">
        <v>93.652578202293796</v>
      </c>
      <c r="AJ6380">
        <v>109.185681287077</v>
      </c>
      <c r="AK6380">
        <v>17.657974304113399</v>
      </c>
      <c r="AL6380">
        <v>92.222971110642106</v>
      </c>
      <c r="AM6380">
        <v>108.00950635289</v>
      </c>
      <c r="AN6380">
        <v>0.99999994863226105</v>
      </c>
    </row>
    <row r="6381" spans="1:40" x14ac:dyDescent="0.25">
      <c r="A6381" t="str">
        <f>"20190305135356629"</f>
        <v>20190305135356629</v>
      </c>
      <c r="B6381" t="str">
        <f>"1551765236616048"</f>
        <v>1551765236616048</v>
      </c>
      <c r="C6381" t="s">
        <v>40</v>
      </c>
      <c r="D6381">
        <v>4.6232350000000002</v>
      </c>
      <c r="E6381">
        <v>0.48915740000000002</v>
      </c>
      <c r="F6381" t="s">
        <v>42</v>
      </c>
      <c r="G6381">
        <v>-187.7747</v>
      </c>
      <c r="H6381" s="1">
        <v>-1.090071E-6</v>
      </c>
      <c r="I6381">
        <v>-28.8886</v>
      </c>
      <c r="J6381">
        <v>-190.44820000000001</v>
      </c>
      <c r="K6381">
        <v>1.1249899999999999</v>
      </c>
      <c r="L6381">
        <v>-46.484189999999998</v>
      </c>
      <c r="M6381">
        <v>0.46461760000000002</v>
      </c>
      <c r="N6381">
        <v>-1.7671619999999999E-2</v>
      </c>
      <c r="O6381">
        <v>0.88533510000000004</v>
      </c>
      <c r="P6381">
        <v>0.16702349999999999</v>
      </c>
      <c r="Q6381">
        <v>-4.1736540000000003E-2</v>
      </c>
      <c r="R6381">
        <v>0.98506919999999998</v>
      </c>
      <c r="S6381">
        <v>0.46212769999999997</v>
      </c>
      <c r="T6381">
        <v>-0.18676509999999999</v>
      </c>
      <c r="U6381">
        <v>2.9603269999999999</v>
      </c>
      <c r="V6381">
        <v>-0.30866500000000002</v>
      </c>
      <c r="W6381">
        <v>-3.687344E-2</v>
      </c>
      <c r="X6381">
        <v>0.95045579999999996</v>
      </c>
      <c r="Y6381">
        <v>-0.32238670000000003</v>
      </c>
      <c r="Z6381">
        <v>-3.3321660000000003E-2</v>
      </c>
      <c r="AA6381">
        <v>0.94602140000000001</v>
      </c>
      <c r="AB6381">
        <v>29</v>
      </c>
      <c r="AC6381">
        <v>2.67350000000001</v>
      </c>
      <c r="AD6381">
        <v>-1.1249910900709901</v>
      </c>
      <c r="AE6381">
        <v>17.595590000000001</v>
      </c>
      <c r="AF6381">
        <v>-5.7860658204669502</v>
      </c>
      <c r="AG6381">
        <v>-1.1249910900709901</v>
      </c>
      <c r="AH6381">
        <v>16.755826214161601</v>
      </c>
      <c r="AI6381">
        <v>93.631294953861001</v>
      </c>
      <c r="AJ6381">
        <v>109.050645867754</v>
      </c>
      <c r="AK6381">
        <v>17.762372441503999</v>
      </c>
      <c r="AL6381">
        <v>92.113171576909906</v>
      </c>
      <c r="AM6381">
        <v>107.991449378816</v>
      </c>
      <c r="AN6381">
        <v>0.99999998027803605</v>
      </c>
    </row>
    <row r="6382" spans="1:40" x14ac:dyDescent="0.25">
      <c r="A6382" t="str">
        <f>"20190305135356649"</f>
        <v>20190305135356649</v>
      </c>
      <c r="B6382" t="str">
        <f>"1551765236645836"</f>
        <v>1551765236645836</v>
      </c>
      <c r="C6382" t="s">
        <v>40</v>
      </c>
      <c r="D6382">
        <v>5.0581170000000002</v>
      </c>
      <c r="E6382">
        <v>0.49012480000000003</v>
      </c>
      <c r="F6382" t="s">
        <v>42</v>
      </c>
      <c r="G6382">
        <v>-187.83080000000001</v>
      </c>
      <c r="H6382" s="1">
        <v>-1.4624E-6</v>
      </c>
      <c r="I6382">
        <v>-27.855270000000001</v>
      </c>
      <c r="J6382">
        <v>-190.34049999999999</v>
      </c>
      <c r="K6382">
        <v>1.1250639999999901</v>
      </c>
      <c r="L6382">
        <v>-46.241909999999997</v>
      </c>
      <c r="M6382">
        <v>0.44766149999999999</v>
      </c>
      <c r="N6382">
        <v>-1.7714199999999999E-2</v>
      </c>
      <c r="O6382">
        <v>0.89402769999999998</v>
      </c>
      <c r="P6382">
        <v>0.1496326</v>
      </c>
      <c r="Q6382">
        <v>-3.9028170000000001E-2</v>
      </c>
      <c r="R6382">
        <v>0.98797109999999999</v>
      </c>
      <c r="S6382">
        <v>0.41690060000000001</v>
      </c>
      <c r="T6382">
        <v>-0.17918729999999999</v>
      </c>
      <c r="U6382">
        <v>2.9671940000000001</v>
      </c>
      <c r="V6382">
        <v>-0.30745990000000001</v>
      </c>
      <c r="W6382">
        <v>-3.4108659999999999E-2</v>
      </c>
      <c r="X6382">
        <v>0.9509495</v>
      </c>
      <c r="Y6382">
        <v>-0.3187932</v>
      </c>
      <c r="Z6382">
        <v>-3.1891580000000003E-2</v>
      </c>
      <c r="AA6382">
        <v>0.94728760000000001</v>
      </c>
      <c r="AB6382">
        <v>29</v>
      </c>
      <c r="AC6382">
        <v>2.5096999999999801</v>
      </c>
      <c r="AD6382">
        <v>-1.1250654623999901</v>
      </c>
      <c r="AE6382">
        <v>18.38664</v>
      </c>
      <c r="AF6382">
        <v>-5.9662588374426404</v>
      </c>
      <c r="AG6382">
        <v>-1.1250654623999901</v>
      </c>
      <c r="AH6382">
        <v>17.500092142136499</v>
      </c>
      <c r="AI6382">
        <v>93.482152642502299</v>
      </c>
      <c r="AJ6382">
        <v>108.825643732731</v>
      </c>
      <c r="AK6382">
        <v>18.523370152143301</v>
      </c>
      <c r="AL6382">
        <v>91.954661453292601</v>
      </c>
      <c r="AM6382">
        <v>107.916997989075</v>
      </c>
      <c r="AN6382">
        <v>0.99999997117262696</v>
      </c>
    </row>
    <row r="6383" spans="1:40" x14ac:dyDescent="0.25">
      <c r="A6383" t="str">
        <f>"20190305135356676"</f>
        <v>20190305135356676</v>
      </c>
      <c r="B6383" t="str">
        <f>"1551765236666331"</f>
        <v>1551765236666331</v>
      </c>
      <c r="C6383" t="s">
        <v>40</v>
      </c>
      <c r="D6383">
        <v>4.7238490000000004</v>
      </c>
      <c r="E6383">
        <v>0.50073250000000002</v>
      </c>
      <c r="F6383" t="s">
        <v>42</v>
      </c>
      <c r="G6383">
        <v>-187.87819999999999</v>
      </c>
      <c r="H6383" s="1">
        <v>-2.003449E-6</v>
      </c>
      <c r="I6383">
        <v>-26.574449999999999</v>
      </c>
      <c r="J6383">
        <v>-190.21530000000001</v>
      </c>
      <c r="K6383">
        <v>1.1251310000000001</v>
      </c>
      <c r="L6383">
        <v>-45.94312</v>
      </c>
      <c r="M6383">
        <v>0.42659989999999998</v>
      </c>
      <c r="N6383">
        <v>-1.7760689999999999E-2</v>
      </c>
      <c r="O6383">
        <v>0.90426609999999996</v>
      </c>
      <c r="P6383">
        <v>0.13056799999999999</v>
      </c>
      <c r="Q6383">
        <v>-3.5535190000000001E-2</v>
      </c>
      <c r="R6383">
        <v>0.99080230000000002</v>
      </c>
      <c r="S6383">
        <v>0.37225340000000001</v>
      </c>
      <c r="T6383">
        <v>-0.17009279999999999</v>
      </c>
      <c r="U6383">
        <v>2.9734189999999998</v>
      </c>
      <c r="V6383">
        <v>-0.3037031</v>
      </c>
      <c r="W6383">
        <v>-3.0439629999999999E-2</v>
      </c>
      <c r="X6383">
        <v>0.95228029999999997</v>
      </c>
      <c r="Y6383">
        <v>-0.310843599999999</v>
      </c>
      <c r="Z6383">
        <v>-3.0151290000000001E-2</v>
      </c>
      <c r="AA6383">
        <v>0.94998280000000002</v>
      </c>
      <c r="AB6383">
        <v>29</v>
      </c>
      <c r="AC6383">
        <v>2.3371000000000199</v>
      </c>
      <c r="AD6383">
        <v>-1.1251330034489999</v>
      </c>
      <c r="AE6383">
        <v>19.368670000000002</v>
      </c>
      <c r="AF6383">
        <v>-6.1298937783332104</v>
      </c>
      <c r="AG6383">
        <v>-1.1251330034489999</v>
      </c>
      <c r="AH6383">
        <v>18.452981968783401</v>
      </c>
      <c r="AI6383">
        <v>93.311661697035802</v>
      </c>
      <c r="AJ6383">
        <v>108.37596482039901</v>
      </c>
      <c r="AK6383">
        <v>19.477013773916799</v>
      </c>
      <c r="AL6383">
        <v>91.744331849463705</v>
      </c>
      <c r="AM6383">
        <v>107.688624417253</v>
      </c>
      <c r="AN6383">
        <v>0.99999995689611698</v>
      </c>
    </row>
    <row r="6384" spans="1:40" x14ac:dyDescent="0.25">
      <c r="A6384" t="str">
        <f>"20190305135356696"</f>
        <v>20190305135356696</v>
      </c>
      <c r="B6384" t="str">
        <f>"1551765236685852"</f>
        <v>1551765236685852</v>
      </c>
      <c r="C6384" t="s">
        <v>40</v>
      </c>
      <c r="D6384">
        <v>4.6997159999999996</v>
      </c>
      <c r="E6384">
        <v>0.49556810000000001</v>
      </c>
      <c r="F6384" t="s">
        <v>42</v>
      </c>
      <c r="G6384">
        <v>-186.64330000000001</v>
      </c>
      <c r="H6384" s="1">
        <v>-1.260676E-6</v>
      </c>
      <c r="I6384">
        <v>-19.27187</v>
      </c>
      <c r="J6384">
        <v>-190.1163</v>
      </c>
      <c r="K6384">
        <v>1.1251719999999901</v>
      </c>
      <c r="L6384">
        <v>-45.691830000000003</v>
      </c>
      <c r="M6384">
        <v>0.4087788</v>
      </c>
      <c r="N6384">
        <v>-1.7794509999999999E-2</v>
      </c>
      <c r="O6384">
        <v>0.91246000000000005</v>
      </c>
      <c r="P6384">
        <v>0.11833630000000001</v>
      </c>
      <c r="Q6384">
        <v>-3.1563269999999997E-2</v>
      </c>
      <c r="R6384">
        <v>0.99247180000000002</v>
      </c>
      <c r="S6384">
        <v>0.39788820000000003</v>
      </c>
      <c r="T6384">
        <v>-0.12532879999999999</v>
      </c>
      <c r="U6384">
        <v>2.970917</v>
      </c>
      <c r="V6384">
        <v>-0.29697839999999998</v>
      </c>
      <c r="W6384">
        <v>-2.6155370000000001E-2</v>
      </c>
      <c r="X6384">
        <v>0.95452590000000004</v>
      </c>
      <c r="Y6384">
        <v>-0.28394520000000001</v>
      </c>
      <c r="Z6384">
        <v>-1.83643E-2</v>
      </c>
      <c r="AA6384">
        <v>0.95866470000000004</v>
      </c>
      <c r="AB6384">
        <v>29</v>
      </c>
      <c r="AC6384">
        <v>3.4729999999999799</v>
      </c>
      <c r="AD6384">
        <v>-1.1251732606760001</v>
      </c>
      <c r="AE6384">
        <v>26.41996</v>
      </c>
      <c r="AF6384">
        <v>-7.61857101879471</v>
      </c>
      <c r="AG6384">
        <v>-1.1251732606760001</v>
      </c>
      <c r="AH6384">
        <v>25.485449120637298</v>
      </c>
      <c r="AI6384">
        <v>92.422168847058202</v>
      </c>
      <c r="AJ6384">
        <v>106.64340774436999</v>
      </c>
      <c r="AK6384">
        <v>26.623612754762501</v>
      </c>
      <c r="AL6384">
        <v>91.498763255141498</v>
      </c>
      <c r="AM6384">
        <v>107.28230761632101</v>
      </c>
      <c r="AN6384">
        <v>0.99999998360860298</v>
      </c>
    </row>
    <row r="6385" spans="1:40" x14ac:dyDescent="0.25">
      <c r="A6385" t="str">
        <f>"20190305135356719"</f>
        <v>20190305135356719</v>
      </c>
      <c r="B6385" t="str">
        <f>"1551765236706347"</f>
        <v>1551765236706347</v>
      </c>
      <c r="C6385" t="s">
        <v>40</v>
      </c>
      <c r="D6385">
        <v>4.6774719999999999</v>
      </c>
      <c r="E6385">
        <v>0.49652849999999998</v>
      </c>
      <c r="F6385" t="s">
        <v>42</v>
      </c>
      <c r="G6385">
        <v>-188.6952</v>
      </c>
      <c r="H6385" s="1">
        <v>-3.5454599999999999E-6</v>
      </c>
      <c r="I6385">
        <v>-32.642189999999999</v>
      </c>
      <c r="J6385">
        <v>-190.01730000000001</v>
      </c>
      <c r="K6385">
        <v>1.125186</v>
      </c>
      <c r="L6385">
        <v>-45.424680000000002</v>
      </c>
      <c r="M6385">
        <v>0.38973780000000002</v>
      </c>
      <c r="N6385">
        <v>-1.7824739999999999E-2</v>
      </c>
      <c r="O6385">
        <v>0.92075340000000006</v>
      </c>
      <c r="P6385">
        <v>0.107905</v>
      </c>
      <c r="Q6385">
        <v>-3.1357959999999997E-2</v>
      </c>
      <c r="R6385">
        <v>0.99366650000000001</v>
      </c>
      <c r="S6385">
        <v>0.32409670000000002</v>
      </c>
      <c r="T6385">
        <v>-0.25659480000000001</v>
      </c>
      <c r="U6385">
        <v>2.9759519999999999</v>
      </c>
      <c r="V6385">
        <v>-0.28718579999999999</v>
      </c>
      <c r="W6385">
        <v>-2.5501119999999999E-2</v>
      </c>
      <c r="X6385">
        <v>0.95753540000000004</v>
      </c>
      <c r="Y6385">
        <v>-0.2876881</v>
      </c>
      <c r="Z6385">
        <v>-5.6381599999999997E-2</v>
      </c>
      <c r="AA6385">
        <v>0.95606310000000005</v>
      </c>
      <c r="AB6385">
        <v>29</v>
      </c>
      <c r="AC6385">
        <v>1.3221000000000001</v>
      </c>
      <c r="AD6385">
        <v>-1.1251895454600001</v>
      </c>
      <c r="AE6385">
        <v>12.782489999999999</v>
      </c>
      <c r="AF6385">
        <v>-3.7364438730121199</v>
      </c>
      <c r="AG6385">
        <v>-1.1251895454600001</v>
      </c>
      <c r="AH6385">
        <v>12.193264822210301</v>
      </c>
      <c r="AI6385">
        <v>95.042151303784195</v>
      </c>
      <c r="AJ6385">
        <v>107.036900954426</v>
      </c>
      <c r="AK6385">
        <v>12.8024517712012</v>
      </c>
      <c r="AL6385">
        <v>91.461264932363093</v>
      </c>
      <c r="AM6385">
        <v>106.695136821319</v>
      </c>
      <c r="AN6385">
        <v>1.0000000165480201</v>
      </c>
    </row>
    <row r="6386" spans="1:40" x14ac:dyDescent="0.25">
      <c r="A6386" t="str">
        <f>"20190305135356739"</f>
        <v>20190305135356739</v>
      </c>
      <c r="B6386" t="str">
        <f>"1551765236725867"</f>
        <v>1551765236725867</v>
      </c>
      <c r="C6386" t="s">
        <v>40</v>
      </c>
      <c r="D6386">
        <v>4.7034459999999996</v>
      </c>
      <c r="E6386">
        <v>0.49774770000000002</v>
      </c>
      <c r="F6386" t="s">
        <v>42</v>
      </c>
      <c r="G6386">
        <v>-188.75989999999999</v>
      </c>
      <c r="H6386" s="1">
        <v>-3.3945580000000002E-6</v>
      </c>
      <c r="I6386">
        <v>-32.96716</v>
      </c>
      <c r="J6386">
        <v>-189.93389999999999</v>
      </c>
      <c r="K6386">
        <v>1.125157</v>
      </c>
      <c r="L6386">
        <v>-45.18497</v>
      </c>
      <c r="M6386">
        <v>0.37260450000000001</v>
      </c>
      <c r="N6386">
        <v>-1.784558E-2</v>
      </c>
      <c r="O6386">
        <v>0.9278187</v>
      </c>
      <c r="P6386">
        <v>9.9908090000000005E-2</v>
      </c>
      <c r="Q6386">
        <v>-3.6270169999999997E-2</v>
      </c>
      <c r="R6386">
        <v>0.99433539999999998</v>
      </c>
      <c r="S6386">
        <v>0.30056759999999999</v>
      </c>
      <c r="T6386">
        <v>-0.26897900000000002</v>
      </c>
      <c r="U6386">
        <v>2.9779969999999998</v>
      </c>
      <c r="V6386">
        <v>-0.27688489999999999</v>
      </c>
      <c r="W6386">
        <v>-2.994585E-2</v>
      </c>
      <c r="X6386">
        <v>0.96043630000000002</v>
      </c>
      <c r="Y6386">
        <v>-0.27748970000000001</v>
      </c>
      <c r="Z6386">
        <v>-6.0904369999999999E-2</v>
      </c>
      <c r="AA6386">
        <v>0.95879619999999999</v>
      </c>
      <c r="AB6386">
        <v>29</v>
      </c>
      <c r="AC6386">
        <v>1.1739999999999999</v>
      </c>
      <c r="AD6386">
        <v>-1.125160394558</v>
      </c>
      <c r="AE6386">
        <v>12.21781</v>
      </c>
      <c r="AF6386">
        <v>-3.4348391701288001</v>
      </c>
      <c r="AG6386">
        <v>-1.125160394558</v>
      </c>
      <c r="AH6386">
        <v>11.677098389752199</v>
      </c>
      <c r="AI6386">
        <v>95.2814082080764</v>
      </c>
      <c r="AJ6386">
        <v>106.391339803657</v>
      </c>
      <c r="AK6386">
        <v>12.223695547668401</v>
      </c>
      <c r="AL6386">
        <v>91.716027455849002</v>
      </c>
      <c r="AM6386">
        <v>106.0817821105</v>
      </c>
      <c r="AN6386">
        <v>0.99999994406895898</v>
      </c>
    </row>
    <row r="6387" spans="1:40" x14ac:dyDescent="0.25">
      <c r="A6387" t="str">
        <f>"20190305135356761"</f>
        <v>20190305135356761</v>
      </c>
      <c r="B6387" t="str">
        <f>"1551765236756123"</f>
        <v>1551765236756123</v>
      </c>
      <c r="C6387" t="s">
        <v>40</v>
      </c>
      <c r="D6387">
        <v>4.731789</v>
      </c>
      <c r="E6387">
        <v>0.50706289999999998</v>
      </c>
      <c r="F6387" t="s">
        <v>42</v>
      </c>
      <c r="G6387">
        <v>-188.82640000000001</v>
      </c>
      <c r="H6387" s="1">
        <v>-3.090212E-6</v>
      </c>
      <c r="I6387">
        <v>-33.649120000000003</v>
      </c>
      <c r="J6387">
        <v>-189.8476</v>
      </c>
      <c r="K6387">
        <v>1.125089</v>
      </c>
      <c r="L6387">
        <v>-44.920839999999998</v>
      </c>
      <c r="M6387">
        <v>0.35370639999999998</v>
      </c>
      <c r="N6387">
        <v>-1.7859509999999999E-2</v>
      </c>
      <c r="O6387">
        <v>0.93518599999999996</v>
      </c>
      <c r="P6387">
        <v>8.9431170000000004E-2</v>
      </c>
      <c r="Q6387">
        <v>-4.5638690000000003E-2</v>
      </c>
      <c r="R6387">
        <v>0.99494680000000002</v>
      </c>
      <c r="S6387">
        <v>0.2858734</v>
      </c>
      <c r="T6387">
        <v>-0.290441</v>
      </c>
      <c r="U6387">
        <v>2.9777830000000001</v>
      </c>
      <c r="V6387">
        <v>-0.267017</v>
      </c>
      <c r="W6387">
        <v>-3.8865900000000002E-2</v>
      </c>
      <c r="X6387">
        <v>0.96290779999999998</v>
      </c>
      <c r="Y6387">
        <v>-0.2626925</v>
      </c>
      <c r="Z6387">
        <v>-6.834809E-2</v>
      </c>
      <c r="AA6387">
        <v>0.96245579999999997</v>
      </c>
      <c r="AB6387">
        <v>29</v>
      </c>
      <c r="AC6387">
        <v>1.0211999999999899</v>
      </c>
      <c r="AD6387">
        <v>-1.1250920902120001</v>
      </c>
      <c r="AE6387">
        <v>11.27172</v>
      </c>
      <c r="AF6387">
        <v>-3.0026786285415099</v>
      </c>
      <c r="AG6387">
        <v>-1.1250920902120001</v>
      </c>
      <c r="AH6387">
        <v>10.7973985911103</v>
      </c>
      <c r="AI6387">
        <v>95.732755450571801</v>
      </c>
      <c r="AJ6387">
        <v>105.54086526021401</v>
      </c>
      <c r="AK6387">
        <v>11.2634687149682</v>
      </c>
      <c r="AL6387">
        <v>92.227412974488004</v>
      </c>
      <c r="AM6387">
        <v>105.498841517324</v>
      </c>
      <c r="AN6387">
        <v>1.00000003388632</v>
      </c>
    </row>
    <row r="6388" spans="1:40" x14ac:dyDescent="0.25">
      <c r="A6388" t="str">
        <f>"20190305135356786"</f>
        <v>20190305135356786</v>
      </c>
      <c r="B6388" t="str">
        <f>"1551765236776619"</f>
        <v>1551765236776619</v>
      </c>
      <c r="C6388" t="s">
        <v>40</v>
      </c>
      <c r="D6388">
        <v>4.5726000000000004</v>
      </c>
      <c r="E6388">
        <v>0.48904160000000002</v>
      </c>
      <c r="F6388" t="s">
        <v>42</v>
      </c>
      <c r="G6388">
        <v>-188.77090000000001</v>
      </c>
      <c r="H6388" s="1">
        <v>-2.4346829999999999E-6</v>
      </c>
      <c r="I6388">
        <v>-35.200119999999998</v>
      </c>
      <c r="J6388">
        <v>-189.76009999999999</v>
      </c>
      <c r="K6388">
        <v>1.1249819999999999</v>
      </c>
      <c r="L6388">
        <v>-44.633090000000003</v>
      </c>
      <c r="M6388">
        <v>0.33315610000000001</v>
      </c>
      <c r="N6388">
        <v>-1.7860350000000001E-2</v>
      </c>
      <c r="O6388">
        <v>0.9427025</v>
      </c>
      <c r="P6388">
        <v>7.4915449999999995E-2</v>
      </c>
      <c r="Q6388">
        <v>-5.2400339999999997E-2</v>
      </c>
      <c r="R6388">
        <v>0.99581220000000004</v>
      </c>
      <c r="S6388">
        <v>0.32894899999999999</v>
      </c>
      <c r="T6388">
        <v>-0.34374189999999999</v>
      </c>
      <c r="U6388">
        <v>2.96991</v>
      </c>
      <c r="V6388">
        <v>-0.25961990000000001</v>
      </c>
      <c r="W6388">
        <v>-4.5273620000000001E-2</v>
      </c>
      <c r="X6388">
        <v>0.96464910000000004</v>
      </c>
      <c r="Y6388">
        <v>-0.22751450000000001</v>
      </c>
      <c r="Z6388">
        <v>-8.5957870000000006E-2</v>
      </c>
      <c r="AA6388">
        <v>0.96997339999999999</v>
      </c>
      <c r="AB6388">
        <v>29</v>
      </c>
      <c r="AC6388">
        <v>0.98919999999998198</v>
      </c>
      <c r="AD6388">
        <v>-1.124984434683</v>
      </c>
      <c r="AE6388">
        <v>9.4329699999999992</v>
      </c>
      <c r="AF6388">
        <v>-2.1798161572500199</v>
      </c>
      <c r="AG6388">
        <v>-1.124984434683</v>
      </c>
      <c r="AH6388">
        <v>9.0955533792815899</v>
      </c>
      <c r="AI6388">
        <v>96.858540962628794</v>
      </c>
      <c r="AJ6388">
        <v>103.47716830532499</v>
      </c>
      <c r="AK6388">
        <v>9.4205243873708095</v>
      </c>
      <c r="AL6388">
        <v>92.594874214307296</v>
      </c>
      <c r="AM6388">
        <v>105.06331990781401</v>
      </c>
      <c r="AN6388">
        <v>1.0000000396373601</v>
      </c>
    </row>
    <row r="6389" spans="1:40" x14ac:dyDescent="0.25">
      <c r="A6389" t="str">
        <f>"20190305135356809"</f>
        <v>20190305135356809</v>
      </c>
      <c r="B6389" t="str">
        <f>"1551765236796139"</f>
        <v>1551765236796139</v>
      </c>
      <c r="C6389" t="s">
        <v>40</v>
      </c>
      <c r="D6389">
        <v>4.5855100000000002</v>
      </c>
      <c r="E6389">
        <v>0.4744601</v>
      </c>
      <c r="F6389" t="s">
        <v>42</v>
      </c>
      <c r="G6389">
        <v>-189.09710000000001</v>
      </c>
      <c r="H6389" s="1">
        <v>-4.4291889999999998E-6</v>
      </c>
      <c r="I6389">
        <v>-30.415990000000001</v>
      </c>
      <c r="J6389">
        <v>-189.68109999999999</v>
      </c>
      <c r="K6389">
        <v>1.1248229999999999</v>
      </c>
      <c r="L6389">
        <v>-44.349060000000001</v>
      </c>
      <c r="M6389">
        <v>0.31302999999999997</v>
      </c>
      <c r="N6389">
        <v>-1.7838630000000001E-2</v>
      </c>
      <c r="O6389">
        <v>0.94957570000000002</v>
      </c>
      <c r="P6389">
        <v>5.771279E-2</v>
      </c>
      <c r="Q6389">
        <v>-5.7304470000000003E-2</v>
      </c>
      <c r="R6389">
        <v>0.9966872</v>
      </c>
      <c r="S6389">
        <v>0.1394196</v>
      </c>
      <c r="T6389">
        <v>-0.23657110000000001</v>
      </c>
      <c r="U6389">
        <v>2.9896850000000001</v>
      </c>
      <c r="V6389">
        <v>-0.25549840000000001</v>
      </c>
      <c r="W6389">
        <v>-4.9953499999999998E-2</v>
      </c>
      <c r="X6389">
        <v>0.96551810000000005</v>
      </c>
      <c r="Y6389">
        <v>-0.26831490000000002</v>
      </c>
      <c r="Z6389">
        <v>-5.380799E-2</v>
      </c>
      <c r="AA6389">
        <v>0.96182730000000005</v>
      </c>
      <c r="AB6389">
        <v>29</v>
      </c>
      <c r="AC6389">
        <v>0.58399999999997398</v>
      </c>
      <c r="AD6389">
        <v>-1.1248274291889999</v>
      </c>
      <c r="AE6389">
        <v>13.933069999999899</v>
      </c>
      <c r="AF6389">
        <v>-3.7829108167746801</v>
      </c>
      <c r="AG6389">
        <v>-1.1248274291889999</v>
      </c>
      <c r="AH6389">
        <v>13.328731762079601</v>
      </c>
      <c r="AI6389">
        <v>94.641362705483701</v>
      </c>
      <c r="AJ6389">
        <v>105.844804239222</v>
      </c>
      <c r="AK6389">
        <v>13.900746072732799</v>
      </c>
      <c r="AL6389">
        <v>92.8633164154556</v>
      </c>
      <c r="AM6389">
        <v>104.82204778503601</v>
      </c>
      <c r="AN6389">
        <v>0.99999999299621001</v>
      </c>
    </row>
    <row r="6390" spans="1:40" x14ac:dyDescent="0.25">
      <c r="A6390" t="str">
        <f>"20190305135356831"</f>
        <v>20190305135356831</v>
      </c>
      <c r="B6390" t="str">
        <f>"1551765236826396"</f>
        <v>1551765236826396</v>
      </c>
      <c r="C6390" t="s">
        <v>40</v>
      </c>
      <c r="D6390">
        <v>4.4690859999999999</v>
      </c>
      <c r="E6390">
        <v>0.4708618</v>
      </c>
      <c r="F6390" t="s">
        <v>42</v>
      </c>
      <c r="G6390">
        <v>-189.79300000000001</v>
      </c>
      <c r="H6390" s="1">
        <v>-3.5262860000000001E-6</v>
      </c>
      <c r="I6390">
        <v>-32.232959999999999</v>
      </c>
      <c r="J6390">
        <v>-189.61410000000001</v>
      </c>
      <c r="K6390">
        <v>1.1246499999999999</v>
      </c>
      <c r="L6390">
        <v>-44.088650000000001</v>
      </c>
      <c r="M6390">
        <v>0.294714799999999</v>
      </c>
      <c r="N6390">
        <v>-1.7801069999999999E-2</v>
      </c>
      <c r="O6390">
        <v>0.95541949999999998</v>
      </c>
      <c r="P6390">
        <v>4.142701E-2</v>
      </c>
      <c r="Q6390">
        <v>-6.0426519999999997E-2</v>
      </c>
      <c r="R6390">
        <v>0.99731259999999999</v>
      </c>
      <c r="S6390">
        <v>-2.7648929999999999E-2</v>
      </c>
      <c r="T6390">
        <v>-0.27810119999999999</v>
      </c>
      <c r="U6390">
        <v>2.9955750000000001</v>
      </c>
      <c r="V6390">
        <v>-0.25254959999999999</v>
      </c>
      <c r="W6390">
        <v>-5.2901709999999998E-2</v>
      </c>
      <c r="X6390">
        <v>0.96613669999999996</v>
      </c>
      <c r="Y6390">
        <v>-0.30321290000000001</v>
      </c>
      <c r="Z6390">
        <v>-6.6343990000000005E-2</v>
      </c>
      <c r="AA6390">
        <v>0.95061059999999997</v>
      </c>
      <c r="AB6390">
        <v>29</v>
      </c>
      <c r="AC6390">
        <v>-0.17889999999999801</v>
      </c>
      <c r="AD6390">
        <v>-1.124653526286</v>
      </c>
      <c r="AE6390">
        <v>11.855689999999999</v>
      </c>
      <c r="AF6390">
        <v>-3.63286850548646</v>
      </c>
      <c r="AG6390">
        <v>-1.124653526286</v>
      </c>
      <c r="AH6390">
        <v>11.175674448797499</v>
      </c>
      <c r="AI6390">
        <v>95.4668121485889</v>
      </c>
      <c r="AJ6390">
        <v>108.007752039133</v>
      </c>
      <c r="AK6390">
        <v>11.805010737727001</v>
      </c>
      <c r="AL6390">
        <v>93.032460249202202</v>
      </c>
      <c r="AM6390">
        <v>104.649406927303</v>
      </c>
      <c r="AN6390">
        <v>1.0000000072339801</v>
      </c>
    </row>
    <row r="6391" spans="1:40" x14ac:dyDescent="0.25">
      <c r="A6391" t="str">
        <f>"20190305135356851"</f>
        <v>20190305135356851</v>
      </c>
      <c r="B6391" t="str">
        <f>"1551765236845916"</f>
        <v>1551765236845916</v>
      </c>
      <c r="C6391" t="s">
        <v>40</v>
      </c>
      <c r="D6391">
        <v>4.4896089999999997</v>
      </c>
      <c r="E6391">
        <v>0.47100760000000003</v>
      </c>
      <c r="F6391" t="s">
        <v>42</v>
      </c>
      <c r="G6391">
        <v>-190.0401</v>
      </c>
      <c r="H6391" s="1">
        <v>-3.6171329999999999E-6</v>
      </c>
      <c r="I6391">
        <v>-32.00412</v>
      </c>
      <c r="J6391">
        <v>-189.5547</v>
      </c>
      <c r="K6391">
        <v>1.124471</v>
      </c>
      <c r="L6391">
        <v>-43.83954</v>
      </c>
      <c r="M6391">
        <v>0.27740540000000002</v>
      </c>
      <c r="N6391">
        <v>-1.775036E-2</v>
      </c>
      <c r="O6391">
        <v>0.96058889999999997</v>
      </c>
      <c r="P6391">
        <v>2.5557030000000001E-2</v>
      </c>
      <c r="Q6391">
        <v>-5.970876E-2</v>
      </c>
      <c r="R6391">
        <v>0.99788860000000001</v>
      </c>
      <c r="S6391">
        <v>-0.10560609999999999</v>
      </c>
      <c r="T6391">
        <v>-0.27878459999999899</v>
      </c>
      <c r="U6391">
        <v>2.9955750000000001</v>
      </c>
      <c r="V6391">
        <v>-0.250527</v>
      </c>
      <c r="W6391">
        <v>-5.2033419999999997E-2</v>
      </c>
      <c r="X6391">
        <v>0.96671030000000002</v>
      </c>
      <c r="Y6391">
        <v>-0.31070320000000001</v>
      </c>
      <c r="Z6391">
        <v>-6.7110840000000005E-2</v>
      </c>
      <c r="AA6391">
        <v>0.94813480000000006</v>
      </c>
      <c r="AB6391">
        <v>29</v>
      </c>
      <c r="AC6391">
        <v>-0.485399999999998</v>
      </c>
      <c r="AD6391">
        <v>-1.124474617133</v>
      </c>
      <c r="AE6391">
        <v>11.835419999999999</v>
      </c>
      <c r="AF6391">
        <v>-3.7165780181284598</v>
      </c>
      <c r="AG6391">
        <v>-1.124474617133</v>
      </c>
      <c r="AH6391">
        <v>11.1357406159207</v>
      </c>
      <c r="AI6391">
        <v>95.4713803292438</v>
      </c>
      <c r="AJ6391">
        <v>108.456545882754</v>
      </c>
      <c r="AK6391">
        <v>11.7933080344099</v>
      </c>
      <c r="AL6391">
        <v>92.982642211795095</v>
      </c>
      <c r="AM6391">
        <v>104.528812689509</v>
      </c>
      <c r="AN6391">
        <v>1.0000000293259901</v>
      </c>
    </row>
    <row r="6392" spans="1:40" x14ac:dyDescent="0.25">
      <c r="A6392" t="str">
        <f>"20190305135356875"</f>
        <v>20190305135356875</v>
      </c>
      <c r="B6392" t="str">
        <f>"1551765236866412"</f>
        <v>1551765236866412</v>
      </c>
      <c r="C6392" t="s">
        <v>40</v>
      </c>
      <c r="D6392">
        <v>4.4554210000000003</v>
      </c>
      <c r="E6392">
        <v>0.47152909999999998</v>
      </c>
      <c r="F6392" t="s">
        <v>42</v>
      </c>
      <c r="G6392">
        <v>-190.19290000000001</v>
      </c>
      <c r="H6392" s="1">
        <v>-3.9576879999999999E-6</v>
      </c>
      <c r="I6392">
        <v>-31.305029999999999</v>
      </c>
      <c r="J6392">
        <v>-189.49189999999999</v>
      </c>
      <c r="K6392">
        <v>1.124177</v>
      </c>
      <c r="L6392">
        <v>-43.552250000000001</v>
      </c>
      <c r="M6392">
        <v>0.25784430000000003</v>
      </c>
      <c r="N6392">
        <v>-1.7668940000000001E-2</v>
      </c>
      <c r="O6392">
        <v>0.96602489999999996</v>
      </c>
      <c r="P6392">
        <v>8.2360709999999993E-3</v>
      </c>
      <c r="Q6392">
        <v>-5.9664839999999997E-2</v>
      </c>
      <c r="R6392">
        <v>0.99818450000000003</v>
      </c>
      <c r="S6392">
        <v>-0.15245059999999999</v>
      </c>
      <c r="T6392">
        <v>-0.26860800000000001</v>
      </c>
      <c r="U6392">
        <v>2.9941710000000001</v>
      </c>
      <c r="V6392">
        <v>-0.2477143</v>
      </c>
      <c r="W6392">
        <v>-5.1771669999999999E-2</v>
      </c>
      <c r="X6392">
        <v>0.96744889999999995</v>
      </c>
      <c r="Y6392">
        <v>-0.3062512</v>
      </c>
      <c r="Z6392">
        <v>-6.4884349999999993E-2</v>
      </c>
      <c r="AA6392">
        <v>0.94973700000000005</v>
      </c>
      <c r="AB6392">
        <v>29</v>
      </c>
      <c r="AC6392">
        <v>-0.70100000000002105</v>
      </c>
      <c r="AD6392">
        <v>-1.124180957688</v>
      </c>
      <c r="AE6392">
        <v>12.24722</v>
      </c>
      <c r="AF6392">
        <v>-3.8037144619125201</v>
      </c>
      <c r="AG6392">
        <v>-1.124180957688</v>
      </c>
      <c r="AH6392">
        <v>11.555149344554501</v>
      </c>
      <c r="AI6392">
        <v>95.279726067483693</v>
      </c>
      <c r="AJ6392">
        <v>108.220468065101</v>
      </c>
      <c r="AK6392">
        <v>12.2169350865243</v>
      </c>
      <c r="AL6392">
        <v>92.9676248071451</v>
      </c>
      <c r="AM6392">
        <v>104.36197003065401</v>
      </c>
      <c r="AN6392">
        <v>1.0000000271751399</v>
      </c>
    </row>
    <row r="6393" spans="1:40" x14ac:dyDescent="0.25">
      <c r="A6393" t="str">
        <f>"20190305135356896"</f>
        <v>20190305135356896</v>
      </c>
      <c r="B6393" t="str">
        <f>"1551765236885932"</f>
        <v>1551765236885932</v>
      </c>
      <c r="C6393" t="s">
        <v>40</v>
      </c>
      <c r="D6393">
        <v>4.453862</v>
      </c>
      <c r="E6393">
        <v>0.47228959999999998</v>
      </c>
      <c r="F6393" t="s">
        <v>42</v>
      </c>
      <c r="G6393">
        <v>-190.35489999999999</v>
      </c>
      <c r="H6393" s="1">
        <v>-4.2582729999999998E-6</v>
      </c>
      <c r="I6393">
        <v>-30.685040000000001</v>
      </c>
      <c r="J6393">
        <v>-189.4383</v>
      </c>
      <c r="K6393">
        <v>1.1238049999999999</v>
      </c>
      <c r="L6393">
        <v>-43.284669999999998</v>
      </c>
      <c r="M6393">
        <v>0.240144</v>
      </c>
      <c r="N6393">
        <v>-1.7564659999999999E-2</v>
      </c>
      <c r="O6393">
        <v>0.97057839999999995</v>
      </c>
      <c r="P6393">
        <v>-7.2571830000000004E-3</v>
      </c>
      <c r="Q6393">
        <v>-6.2307290000000001E-2</v>
      </c>
      <c r="R6393">
        <v>0.99803059999999999</v>
      </c>
      <c r="S6393">
        <v>-0.20063780000000001</v>
      </c>
      <c r="T6393">
        <v>-0.26135989999999998</v>
      </c>
      <c r="U6393">
        <v>2.9914860000000001</v>
      </c>
      <c r="V6393">
        <v>-0.2449578</v>
      </c>
      <c r="W6393">
        <v>-5.4183269999999999E-2</v>
      </c>
      <c r="X6393">
        <v>0.9680185</v>
      </c>
      <c r="Y6393">
        <v>-0.30416029999999999</v>
      </c>
      <c r="Z6393">
        <v>-6.3402059999999996E-2</v>
      </c>
      <c r="AA6393">
        <v>0.95050869999999998</v>
      </c>
      <c r="AB6393">
        <v>29</v>
      </c>
      <c r="AC6393">
        <v>-0.91659999999998798</v>
      </c>
      <c r="AD6393">
        <v>-1.1238092582729999</v>
      </c>
      <c r="AE6393">
        <v>12.5996299999999</v>
      </c>
      <c r="AF6393">
        <v>-3.8852153867366002</v>
      </c>
      <c r="AG6393">
        <v>-1.1238092582729999</v>
      </c>
      <c r="AH6393">
        <v>11.916363074444799</v>
      </c>
      <c r="AI6393">
        <v>95.123595206794704</v>
      </c>
      <c r="AJ6393">
        <v>108.058059067293</v>
      </c>
      <c r="AK6393">
        <v>12.5840198177016</v>
      </c>
      <c r="AL6393">
        <v>93.105993785386005</v>
      </c>
      <c r="AM6393">
        <v>104.200637631063</v>
      </c>
      <c r="AN6393">
        <v>0.99999998343549101</v>
      </c>
    </row>
    <row r="6394" spans="1:40" x14ac:dyDescent="0.25">
      <c r="A6394" t="str">
        <f>"20190305135356919"</f>
        <v>20190305135356919</v>
      </c>
      <c r="B6394" t="str">
        <f>"1551765236916188"</f>
        <v>1551765236916188</v>
      </c>
      <c r="C6394" t="s">
        <v>40</v>
      </c>
      <c r="D6394">
        <v>4.4542060000000001</v>
      </c>
      <c r="E6394">
        <v>0.4729448</v>
      </c>
      <c r="F6394" t="s">
        <v>42</v>
      </c>
      <c r="G6394">
        <v>-190.46119999999999</v>
      </c>
      <c r="H6394" s="1">
        <v>-4.2962270000000002E-6</v>
      </c>
      <c r="I6394">
        <v>-30.62894</v>
      </c>
      <c r="J6394">
        <v>-189.3887</v>
      </c>
      <c r="K6394">
        <v>1.1233249999999999</v>
      </c>
      <c r="L6394">
        <v>-43.014249999999997</v>
      </c>
      <c r="M6394">
        <v>0.2229112</v>
      </c>
      <c r="N6394">
        <v>-1.742871E-2</v>
      </c>
      <c r="O6394">
        <v>0.97468290000000002</v>
      </c>
      <c r="P6394">
        <v>-2.209055E-2</v>
      </c>
      <c r="Q6394">
        <v>-6.4361660000000001E-2</v>
      </c>
      <c r="R6394">
        <v>0.99768210000000002</v>
      </c>
      <c r="S6394">
        <v>-0.2414703</v>
      </c>
      <c r="T6394">
        <v>-0.26529509999999901</v>
      </c>
      <c r="U6394">
        <v>2.9876100000000001</v>
      </c>
      <c r="V6394">
        <v>-0.24215729999999999</v>
      </c>
      <c r="W6394">
        <v>-5.597216E-2</v>
      </c>
      <c r="X6394">
        <v>0.96862110000000001</v>
      </c>
      <c r="Y6394">
        <v>-0.30027769999999998</v>
      </c>
      <c r="Z6394">
        <v>-6.5397239999999995E-2</v>
      </c>
      <c r="AA6394">
        <v>0.95160730000000004</v>
      </c>
      <c r="AB6394">
        <v>29</v>
      </c>
      <c r="AC6394">
        <v>-1.07249999999999</v>
      </c>
      <c r="AD6394">
        <v>-1.1233292962269901</v>
      </c>
      <c r="AE6394">
        <v>12.385309999999899</v>
      </c>
      <c r="AF6394">
        <v>-3.7759197250046799</v>
      </c>
      <c r="AG6394">
        <v>-1.1233292962269901</v>
      </c>
      <c r="AH6394">
        <v>11.7386297845327</v>
      </c>
      <c r="AI6394">
        <v>95.205172612966507</v>
      </c>
      <c r="AJ6394">
        <v>107.83122508808</v>
      </c>
      <c r="AK6394">
        <v>12.382038107507199</v>
      </c>
      <c r="AL6394">
        <v>93.208645611872598</v>
      </c>
      <c r="AM6394">
        <v>104.03635620443499</v>
      </c>
      <c r="AN6394">
        <v>0.99999993800178</v>
      </c>
    </row>
    <row r="6395" spans="1:40" x14ac:dyDescent="0.25">
      <c r="A6395" t="str">
        <f>"20190305135356943"</f>
        <v>20190305135356943</v>
      </c>
      <c r="B6395" t="str">
        <f>"1551765236936684"</f>
        <v>1551765236936684</v>
      </c>
      <c r="C6395" t="s">
        <v>40</v>
      </c>
      <c r="D6395">
        <v>4.4641640000000002</v>
      </c>
      <c r="E6395">
        <v>0.47372160000000002</v>
      </c>
      <c r="F6395" t="s">
        <v>42</v>
      </c>
      <c r="G6395">
        <v>-190.58070000000001</v>
      </c>
      <c r="H6395" s="1">
        <v>-1.8087640000000001E-7</v>
      </c>
      <c r="I6395">
        <v>-30.349409999999999</v>
      </c>
      <c r="J6395">
        <v>-189.33850000000001</v>
      </c>
      <c r="K6395">
        <v>1.122671</v>
      </c>
      <c r="L6395">
        <v>-42.714080000000003</v>
      </c>
      <c r="M6395">
        <v>0.20468339999999999</v>
      </c>
      <c r="N6395">
        <v>-1.7248199999999901E-2</v>
      </c>
      <c r="O6395">
        <v>0.97867630000000005</v>
      </c>
      <c r="P6395">
        <v>-3.6783499999999997E-2</v>
      </c>
      <c r="Q6395">
        <v>-6.4151440000000004E-2</v>
      </c>
      <c r="R6395">
        <v>0.99726210000000004</v>
      </c>
      <c r="S6395">
        <v>-0.28080749999999999</v>
      </c>
      <c r="T6395">
        <v>-0.26464100000000002</v>
      </c>
      <c r="U6395">
        <v>2.983673</v>
      </c>
      <c r="V6395">
        <v>-0.23844599999999999</v>
      </c>
      <c r="W6395">
        <v>-5.5403290000000001E-2</v>
      </c>
      <c r="X6395">
        <v>0.96957420000000005</v>
      </c>
      <c r="Y6395">
        <v>-0.29503289999999999</v>
      </c>
      <c r="Z6395">
        <v>-6.6026260000000003E-2</v>
      </c>
      <c r="AA6395">
        <v>0.95320309999999997</v>
      </c>
      <c r="AB6395">
        <v>29</v>
      </c>
      <c r="AC6395">
        <v>-1.24219999999999</v>
      </c>
      <c r="AD6395">
        <v>-1.1226711808763901</v>
      </c>
      <c r="AE6395">
        <v>12.364669999999901</v>
      </c>
      <c r="AF6395">
        <v>-3.71677655861428</v>
      </c>
      <c r="AG6395">
        <v>-1.1226711808763901</v>
      </c>
      <c r="AH6395">
        <v>11.7525930805936</v>
      </c>
      <c r="AI6395">
        <v>95.204099540138799</v>
      </c>
      <c r="AJ6395">
        <v>107.54964290184</v>
      </c>
      <c r="AK6395">
        <v>12.377328576274101</v>
      </c>
      <c r="AL6395">
        <v>93.176000669102393</v>
      </c>
      <c r="AM6395">
        <v>103.81648055705401</v>
      </c>
      <c r="AN6395">
        <v>1.0000000743822199</v>
      </c>
    </row>
    <row r="6396" spans="1:40" x14ac:dyDescent="0.25">
      <c r="A6396" t="str">
        <f>"20190305135356964"</f>
        <v>20190305135356964</v>
      </c>
      <c r="B6396" t="str">
        <f>"1551765236956203"</f>
        <v>1551765236956203</v>
      </c>
      <c r="C6396" t="s">
        <v>40</v>
      </c>
      <c r="D6396">
        <v>4.4116920000000004</v>
      </c>
      <c r="E6396">
        <v>0.47455619999999998</v>
      </c>
      <c r="F6396" t="s">
        <v>42</v>
      </c>
      <c r="G6396">
        <v>-190.726</v>
      </c>
      <c r="H6396" s="1">
        <v>-4.783506E-7</v>
      </c>
      <c r="I6396">
        <v>-29.746110000000002</v>
      </c>
      <c r="J6396">
        <v>-189.2996</v>
      </c>
      <c r="K6396">
        <v>1.122036</v>
      </c>
      <c r="L6396">
        <v>-42.457949999999997</v>
      </c>
      <c r="M6396">
        <v>0.1900358</v>
      </c>
      <c r="N6396">
        <v>-1.7074430000000002E-2</v>
      </c>
      <c r="O6396">
        <v>0.98162870000000002</v>
      </c>
      <c r="P6396">
        <v>-4.8155700000000003E-2</v>
      </c>
      <c r="Q6396">
        <v>-6.2399919999999998E-2</v>
      </c>
      <c r="R6396">
        <v>0.99688880000000002</v>
      </c>
      <c r="S6396">
        <v>-0.31881710000000002</v>
      </c>
      <c r="T6396">
        <v>-0.25797680000000001</v>
      </c>
      <c r="U6396">
        <v>2.979889</v>
      </c>
      <c r="V6396">
        <v>-0.2351792</v>
      </c>
      <c r="W6396">
        <v>-5.3315269999999998E-2</v>
      </c>
      <c r="X6396">
        <v>0.97048869999999998</v>
      </c>
      <c r="Y6396">
        <v>-0.29292800000000002</v>
      </c>
      <c r="Z6396">
        <v>-6.4564460000000004E-2</v>
      </c>
      <c r="AA6396">
        <v>0.95395209999999997</v>
      </c>
      <c r="AB6396">
        <v>28</v>
      </c>
      <c r="AC6396">
        <v>-1.4263999999999999</v>
      </c>
      <c r="AD6396">
        <v>-1.1220364783506001</v>
      </c>
      <c r="AE6396">
        <v>12.71184</v>
      </c>
      <c r="AF6396">
        <v>-3.7873157990244799</v>
      </c>
      <c r="AG6396">
        <v>-1.1220364783506001</v>
      </c>
      <c r="AH6396">
        <v>12.115798172400799</v>
      </c>
      <c r="AI6396">
        <v>95.0513287757976</v>
      </c>
      <c r="AJ6396">
        <v>107.358887999589</v>
      </c>
      <c r="AK6396">
        <v>12.743441143374101</v>
      </c>
      <c r="AL6396">
        <v>93.056188861994897</v>
      </c>
      <c r="AM6396">
        <v>103.621932326597</v>
      </c>
      <c r="AN6396">
        <v>1.00000004547775</v>
      </c>
    </row>
    <row r="6397" spans="1:40" x14ac:dyDescent="0.25">
      <c r="A6397" t="str">
        <f>"20190305135356987"</f>
        <v>20190305135356987</v>
      </c>
      <c r="B6397" t="str">
        <f>"1551765236976700"</f>
        <v>1551765236976700</v>
      </c>
      <c r="C6397" t="s">
        <v>40</v>
      </c>
      <c r="D6397">
        <v>4.4368359999999996</v>
      </c>
      <c r="E6397">
        <v>0.47548659999999998</v>
      </c>
      <c r="F6397" t="s">
        <v>42</v>
      </c>
      <c r="G6397">
        <v>-190.8715</v>
      </c>
      <c r="H6397" s="1">
        <v>-8.6081339999999999E-7</v>
      </c>
      <c r="I6397">
        <v>-28.94481</v>
      </c>
      <c r="J6397">
        <v>-189.26050000000001</v>
      </c>
      <c r="K6397">
        <v>1.1212879999999901</v>
      </c>
      <c r="L6397">
        <v>-42.177</v>
      </c>
      <c r="M6397">
        <v>0.1750226</v>
      </c>
      <c r="N6397">
        <v>-1.687292E-2</v>
      </c>
      <c r="O6397">
        <v>0.98441979999999996</v>
      </c>
      <c r="P6397">
        <v>-6.0242150000000001E-2</v>
      </c>
      <c r="Q6397">
        <v>-5.813285E-2</v>
      </c>
      <c r="R6397">
        <v>0.99648959999999998</v>
      </c>
      <c r="S6397">
        <v>-0.3463135</v>
      </c>
      <c r="T6397">
        <v>-0.2472037</v>
      </c>
      <c r="U6397">
        <v>2.9771730000000001</v>
      </c>
      <c r="V6397">
        <v>-0.23239870000000001</v>
      </c>
      <c r="W6397">
        <v>-4.8687469999999997E-2</v>
      </c>
      <c r="X6397">
        <v>0.97140119999999996</v>
      </c>
      <c r="Y6397">
        <v>-0.28715689999999999</v>
      </c>
      <c r="Z6397">
        <v>-6.182083E-2</v>
      </c>
      <c r="AA6397">
        <v>0.95588649999999997</v>
      </c>
      <c r="AB6397">
        <v>28</v>
      </c>
      <c r="AC6397">
        <v>-1.61099999999998</v>
      </c>
      <c r="AD6397">
        <v>-1.12128886081339</v>
      </c>
      <c r="AE6397">
        <v>13.232189999999999</v>
      </c>
      <c r="AF6397">
        <v>-3.87496935485296</v>
      </c>
      <c r="AG6397">
        <v>-1.12128886081339</v>
      </c>
      <c r="AH6397">
        <v>12.656328378019801</v>
      </c>
      <c r="AI6397">
        <v>94.842167990092605</v>
      </c>
      <c r="AJ6397">
        <v>107.022939194323</v>
      </c>
      <c r="AK6397">
        <v>13.2836487541151</v>
      </c>
      <c r="AL6397">
        <v>92.790689944642807</v>
      </c>
      <c r="AM6397">
        <v>103.454590734999</v>
      </c>
      <c r="AN6397">
        <v>0.99999995842906397</v>
      </c>
    </row>
    <row r="6398" spans="1:40" x14ac:dyDescent="0.25">
      <c r="A6398" t="str">
        <f>"20190305135357010"</f>
        <v>20190305135357010</v>
      </c>
      <c r="B6398" t="str">
        <f>"1551765237005980"</f>
        <v>1551765237005980</v>
      </c>
      <c r="C6398" t="s">
        <v>40</v>
      </c>
      <c r="D6398">
        <v>4.4500890000000002</v>
      </c>
      <c r="E6398">
        <v>0.4911992</v>
      </c>
      <c r="F6398" t="s">
        <v>42</v>
      </c>
      <c r="G6398">
        <v>-191.089</v>
      </c>
      <c r="H6398" s="1">
        <v>-1.467034E-6</v>
      </c>
      <c r="I6398">
        <v>-27.666609999999999</v>
      </c>
      <c r="J6398">
        <v>-189.22329999999999</v>
      </c>
      <c r="K6398">
        <v>1.120511</v>
      </c>
      <c r="L6398">
        <v>-41.884030000000003</v>
      </c>
      <c r="M6398">
        <v>0.16053110000000001</v>
      </c>
      <c r="N6398">
        <v>-1.6661059999999998E-2</v>
      </c>
      <c r="O6398">
        <v>0.98689009999999999</v>
      </c>
      <c r="P6398">
        <v>-6.9972950000000006E-2</v>
      </c>
      <c r="Q6398">
        <v>-5.2595049999999997E-2</v>
      </c>
      <c r="R6398">
        <v>0.99616139999999997</v>
      </c>
      <c r="S6398">
        <v>-0.3748322</v>
      </c>
      <c r="T6398">
        <v>-0.22985320000000001</v>
      </c>
      <c r="U6398">
        <v>2.9744869999999999</v>
      </c>
      <c r="V6398">
        <v>-0.2279041</v>
      </c>
      <c r="W6398">
        <v>-4.273515E-2</v>
      </c>
      <c r="X6398">
        <v>0.97274530000000003</v>
      </c>
      <c r="Y6398">
        <v>-0.28226440000000003</v>
      </c>
      <c r="Z6398">
        <v>-5.689425E-2</v>
      </c>
      <c r="AA6398">
        <v>0.9576481</v>
      </c>
      <c r="AB6398">
        <v>28</v>
      </c>
      <c r="AC6398">
        <v>-1.8657000000000299</v>
      </c>
      <c r="AD6398">
        <v>-1.1205124670340001</v>
      </c>
      <c r="AE6398">
        <v>14.217419999999899</v>
      </c>
      <c r="AF6398">
        <v>-4.0991212177966396</v>
      </c>
      <c r="AG6398">
        <v>-1.1205124670340001</v>
      </c>
      <c r="AH6398">
        <v>13.650083924924401</v>
      </c>
      <c r="AI6398">
        <v>94.495339084337999</v>
      </c>
      <c r="AJ6398">
        <v>106.71501632078601</v>
      </c>
      <c r="AK6398">
        <v>14.2962629419177</v>
      </c>
      <c r="AL6398">
        <v>92.449289649719105</v>
      </c>
      <c r="AM6398">
        <v>103.185971948323</v>
      </c>
      <c r="AN6398">
        <v>0.99999999525721095</v>
      </c>
    </row>
    <row r="6399" spans="1:40" x14ac:dyDescent="0.25">
      <c r="A6399" t="str">
        <f>"20190305135357033"</f>
        <v>20190305135357033</v>
      </c>
      <c r="B6399" t="str">
        <f>"1551765237026476"</f>
        <v>1551765237026476</v>
      </c>
      <c r="C6399" t="s">
        <v>40</v>
      </c>
      <c r="D6399">
        <v>4.5122710000000001</v>
      </c>
      <c r="E6399">
        <v>0.49236849999999999</v>
      </c>
      <c r="F6399" t="s">
        <v>42</v>
      </c>
      <c r="G6399">
        <v>-190.98849999999999</v>
      </c>
      <c r="H6399" s="1">
        <v>-3.4176239999999999E-6</v>
      </c>
      <c r="I6399">
        <v>-23.05743</v>
      </c>
      <c r="J6399">
        <v>-189.19139999999999</v>
      </c>
      <c r="K6399">
        <v>1.1198650000000001</v>
      </c>
      <c r="L6399">
        <v>-41.607849999999999</v>
      </c>
      <c r="M6399">
        <v>0.14774999999999999</v>
      </c>
      <c r="N6399">
        <v>-1.647299E-2</v>
      </c>
      <c r="O6399">
        <v>0.98888750000000003</v>
      </c>
      <c r="P6399">
        <v>-7.5470690000000007E-2</v>
      </c>
      <c r="Q6399">
        <v>-4.987834E-2</v>
      </c>
      <c r="R6399">
        <v>0.99589970000000005</v>
      </c>
      <c r="S6399">
        <v>-0.2796478</v>
      </c>
      <c r="T6399">
        <v>-0.1775138</v>
      </c>
      <c r="U6399">
        <v>2.9825439999999999</v>
      </c>
      <c r="V6399">
        <v>-0.2208484</v>
      </c>
      <c r="W6399">
        <v>-3.960437E-2</v>
      </c>
      <c r="X6399">
        <v>0.97450369999999997</v>
      </c>
      <c r="Y6399">
        <v>-0.23921990000000001</v>
      </c>
      <c r="Z6399">
        <v>-4.0877700000000003E-2</v>
      </c>
      <c r="AA6399">
        <v>0.97010459999999998</v>
      </c>
      <c r="AB6399">
        <v>28</v>
      </c>
      <c r="AC6399">
        <v>-1.7970999999999999</v>
      </c>
      <c r="AD6399">
        <v>-1.1198684176239999</v>
      </c>
      <c r="AE6399">
        <v>18.550419999999999</v>
      </c>
      <c r="AF6399">
        <v>-4.5023119226187296</v>
      </c>
      <c r="AG6399">
        <v>-1.1198684176239999</v>
      </c>
      <c r="AH6399">
        <v>18.0161634707658</v>
      </c>
      <c r="AI6399">
        <v>93.451016387346598</v>
      </c>
      <c r="AJ6399">
        <v>104.031068324606</v>
      </c>
      <c r="AK6399">
        <v>18.603952916697601</v>
      </c>
      <c r="AL6399">
        <v>92.269756888825398</v>
      </c>
      <c r="AM6399">
        <v>102.769055709358</v>
      </c>
      <c r="AN6399">
        <v>0.99999999160967301</v>
      </c>
    </row>
    <row r="6400" spans="1:40" x14ac:dyDescent="0.25">
      <c r="A6400" t="str">
        <f>"20190305135357054"</f>
        <v>20190305135357054</v>
      </c>
      <c r="B6400" t="str">
        <f>"1551765237045997"</f>
        <v>1551765237045997</v>
      </c>
      <c r="C6400" t="s">
        <v>40</v>
      </c>
      <c r="D6400">
        <v>4.5310370000000004</v>
      </c>
      <c r="E6400">
        <v>0.49642950000000002</v>
      </c>
      <c r="F6400" t="s">
        <v>42</v>
      </c>
      <c r="G6400">
        <v>-191.126</v>
      </c>
      <c r="H6400" s="1">
        <v>-4.1205060000000004E-6</v>
      </c>
      <c r="I6400">
        <v>-21.49184</v>
      </c>
      <c r="J6400">
        <v>-189.16329999999999</v>
      </c>
      <c r="K6400">
        <v>1.1193029999999999</v>
      </c>
      <c r="L6400">
        <v>-41.34113</v>
      </c>
      <c r="M6400">
        <v>0.13621829999999999</v>
      </c>
      <c r="N6400">
        <v>-1.6303890000000001E-2</v>
      </c>
      <c r="O6400">
        <v>0.99054469999999994</v>
      </c>
      <c r="P6400">
        <v>-7.8076590000000001E-2</v>
      </c>
      <c r="Q6400">
        <v>-5.0518979999999998E-2</v>
      </c>
      <c r="R6400">
        <v>0.99566659999999996</v>
      </c>
      <c r="S6400">
        <v>-0.28681950000000001</v>
      </c>
      <c r="T6400">
        <v>-0.16602620000000001</v>
      </c>
      <c r="U6400">
        <v>2.9823</v>
      </c>
      <c r="V6400">
        <v>-0.2120765</v>
      </c>
      <c r="W6400">
        <v>-3.9848340000000003E-2</v>
      </c>
      <c r="X6400">
        <v>0.97644030000000004</v>
      </c>
      <c r="Y6400">
        <v>-0.2302447</v>
      </c>
      <c r="Z6400">
        <v>-3.7541720000000001E-2</v>
      </c>
      <c r="AA6400">
        <v>0.97240839999999995</v>
      </c>
      <c r="AB6400">
        <v>28</v>
      </c>
      <c r="AC6400">
        <v>-1.9626999999999799</v>
      </c>
      <c r="AD6400">
        <v>-1.1193071205059999</v>
      </c>
      <c r="AE6400">
        <v>19.84929</v>
      </c>
      <c r="AF6400">
        <v>-4.6340035730413502</v>
      </c>
      <c r="AG6400">
        <v>-1.1193071205059999</v>
      </c>
      <c r="AH6400">
        <v>19.335940764756199</v>
      </c>
      <c r="AI6400">
        <v>93.221969909787404</v>
      </c>
      <c r="AJ6400">
        <v>103.47717778325099</v>
      </c>
      <c r="AK6400">
        <v>19.9149552548615</v>
      </c>
      <c r="AL6400">
        <v>92.283746374177795</v>
      </c>
      <c r="AM6400">
        <v>102.253952130092</v>
      </c>
      <c r="AN6400">
        <v>0.99999999575854703</v>
      </c>
    </row>
    <row r="6401" spans="1:40" x14ac:dyDescent="0.25">
      <c r="A6401" t="str">
        <f>"20190305135357077"</f>
        <v>20190305135357077</v>
      </c>
      <c r="B6401" t="str">
        <f>"1551765237066493"</f>
        <v>1551765237066493</v>
      </c>
      <c r="C6401" t="s">
        <v>40</v>
      </c>
      <c r="D6401">
        <v>4.5352569999999996</v>
      </c>
      <c r="E6401">
        <v>0.50088770000000005</v>
      </c>
      <c r="F6401" t="s">
        <v>42</v>
      </c>
      <c r="G6401">
        <v>-190.74420000000001</v>
      </c>
      <c r="H6401" s="1">
        <v>-3.2287929999999999E-6</v>
      </c>
      <c r="I6401">
        <v>-23.346050000000002</v>
      </c>
      <c r="J6401">
        <v>-189.1369</v>
      </c>
      <c r="K6401">
        <v>1.1187480000000001</v>
      </c>
      <c r="L6401">
        <v>-41.064790000000002</v>
      </c>
      <c r="M6401">
        <v>0.1250964</v>
      </c>
      <c r="N6401">
        <v>-1.6125569999999999E-2</v>
      </c>
      <c r="O6401">
        <v>0.99201349999999999</v>
      </c>
      <c r="P6401">
        <v>-7.9389070000000006E-2</v>
      </c>
      <c r="Q6401">
        <v>-5.229893E-2</v>
      </c>
      <c r="R6401">
        <v>0.99547079999999999</v>
      </c>
      <c r="S6401">
        <v>-0.26206970000000002</v>
      </c>
      <c r="T6401">
        <v>-0.1855503</v>
      </c>
      <c r="U6401">
        <v>2.9830930000000002</v>
      </c>
      <c r="V6401">
        <v>-0.20240369999999999</v>
      </c>
      <c r="W6401">
        <v>-4.125989E-2</v>
      </c>
      <c r="X6401">
        <v>0.97843259999999999</v>
      </c>
      <c r="Y6401">
        <v>-0.21123710000000001</v>
      </c>
      <c r="Z6401">
        <v>-4.4340089999999999E-2</v>
      </c>
      <c r="AA6401">
        <v>0.97642859999999998</v>
      </c>
      <c r="AB6401">
        <v>28</v>
      </c>
      <c r="AC6401">
        <v>-1.6073</v>
      </c>
      <c r="AD6401">
        <v>-1.1187512287929999</v>
      </c>
      <c r="AE6401">
        <v>17.71874</v>
      </c>
      <c r="AF6401">
        <v>-3.7964980667761301</v>
      </c>
      <c r="AG6401">
        <v>-1.1187512287929999</v>
      </c>
      <c r="AH6401">
        <v>17.3099775597613</v>
      </c>
      <c r="AI6401">
        <v>93.612282392111695</v>
      </c>
      <c r="AJ6401">
        <v>102.370483791563</v>
      </c>
      <c r="AK6401">
        <v>17.7566980320779</v>
      </c>
      <c r="AL6401">
        <v>92.364688829618004</v>
      </c>
      <c r="AM6401">
        <v>101.687649080246</v>
      </c>
      <c r="AN6401">
        <v>0.99999999451963095</v>
      </c>
    </row>
    <row r="6402" spans="1:40" x14ac:dyDescent="0.25">
      <c r="A6402" t="str">
        <f>"20190305135357098"</f>
        <v>20190305135357098</v>
      </c>
      <c r="B6402" t="str">
        <f>"1551765237086012"</f>
        <v>1551765237086012</v>
      </c>
      <c r="C6402" t="s">
        <v>40</v>
      </c>
      <c r="D6402">
        <v>4.5114130000000001</v>
      </c>
      <c r="E6402">
        <v>0.5036408</v>
      </c>
      <c r="F6402" t="s">
        <v>42</v>
      </c>
      <c r="G6402">
        <v>-190.5008</v>
      </c>
      <c r="H6402" s="1">
        <v>-3.139556E-6</v>
      </c>
      <c r="I6402">
        <v>-23.403079999999999</v>
      </c>
      <c r="J6402">
        <v>-189.1138</v>
      </c>
      <c r="K6402">
        <v>1.1182209999999999</v>
      </c>
      <c r="L6402">
        <v>-40.795839999999998</v>
      </c>
      <c r="M6402">
        <v>0.1150202</v>
      </c>
      <c r="N6402">
        <v>-1.593135E-2</v>
      </c>
      <c r="O6402">
        <v>0.99323539999999999</v>
      </c>
      <c r="P6402">
        <v>-8.39226E-2</v>
      </c>
      <c r="Q6402">
        <v>-5.5382559999999997E-2</v>
      </c>
      <c r="R6402">
        <v>0.99493209999999999</v>
      </c>
      <c r="S6402">
        <v>-0.23052980000000001</v>
      </c>
      <c r="T6402">
        <v>-0.18910009999999999</v>
      </c>
      <c r="U6402">
        <v>2.9853209999999999</v>
      </c>
      <c r="V6402">
        <v>-0.19689139999999999</v>
      </c>
      <c r="W6402">
        <v>-4.4139629999999999E-2</v>
      </c>
      <c r="X6402">
        <v>0.97943119999999995</v>
      </c>
      <c r="Y6402">
        <v>-0.1909698</v>
      </c>
      <c r="Z6402">
        <v>-4.5934639999999999E-2</v>
      </c>
      <c r="AA6402">
        <v>0.98052050000000002</v>
      </c>
      <c r="AB6402">
        <v>28</v>
      </c>
      <c r="AC6402">
        <v>-1.387</v>
      </c>
      <c r="AD6402">
        <v>-1.118224139556</v>
      </c>
      <c r="AE6402">
        <v>17.392759999999999</v>
      </c>
      <c r="AF6402">
        <v>-3.3647446185821699</v>
      </c>
      <c r="AG6402">
        <v>-1.118224139556</v>
      </c>
      <c r="AH6402">
        <v>17.0477223310547</v>
      </c>
      <c r="AI6402">
        <v>93.682037262345503</v>
      </c>
      <c r="AJ6402">
        <v>101.165082615538</v>
      </c>
      <c r="AK6402">
        <v>17.4125462885617</v>
      </c>
      <c r="AL6402">
        <v>92.529836437759101</v>
      </c>
      <c r="AM6402">
        <v>101.366460616111</v>
      </c>
      <c r="AN6402">
        <v>1.00000000293196</v>
      </c>
    </row>
    <row r="6403" spans="1:40" x14ac:dyDescent="0.25">
      <c r="A6403" t="str">
        <f>"20190305135357120"</f>
        <v>20190305135357120</v>
      </c>
      <c r="B6403" t="str">
        <f>"1551765237116268"</f>
        <v>1551765237116268</v>
      </c>
      <c r="C6403" t="s">
        <v>40</v>
      </c>
      <c r="D6403">
        <v>4.5825699999999996</v>
      </c>
      <c r="E6403">
        <v>0.50637010000000005</v>
      </c>
      <c r="F6403" t="s">
        <v>42</v>
      </c>
      <c r="G6403">
        <v>-190.35640000000001</v>
      </c>
      <c r="H6403" s="1">
        <v>-2.7993480000000001E-6</v>
      </c>
      <c r="I6403">
        <v>-24.106539999999999</v>
      </c>
      <c r="J6403">
        <v>-189.0932</v>
      </c>
      <c r="K6403">
        <v>1.1176870000000001</v>
      </c>
      <c r="L6403">
        <v>-40.531309999999998</v>
      </c>
      <c r="M6403">
        <v>0.1057623</v>
      </c>
      <c r="N6403">
        <v>-1.5718840000000001E-2</v>
      </c>
      <c r="O6403">
        <v>0.99426720000000002</v>
      </c>
      <c r="P6403">
        <v>-8.5148249999999995E-2</v>
      </c>
      <c r="Q6403">
        <v>-5.8704350000000002E-2</v>
      </c>
      <c r="R6403">
        <v>0.9946374</v>
      </c>
      <c r="S6403">
        <v>-0.22227479999999999</v>
      </c>
      <c r="T6403">
        <v>-0.20003009999999999</v>
      </c>
      <c r="U6403">
        <v>2.9854129999999999</v>
      </c>
      <c r="V6403">
        <v>-0.1889371</v>
      </c>
      <c r="W6403">
        <v>-4.7231250000000002E-2</v>
      </c>
      <c r="X6403">
        <v>0.98085270000000002</v>
      </c>
      <c r="Y6403">
        <v>-0.17910390000000001</v>
      </c>
      <c r="Z6403">
        <v>-4.9904789999999997E-2</v>
      </c>
      <c r="AA6403">
        <v>0.98256370000000004</v>
      </c>
      <c r="AB6403">
        <v>28</v>
      </c>
      <c r="AC6403">
        <v>-1.2632000000000101</v>
      </c>
      <c r="AD6403">
        <v>-1.1176897993479999</v>
      </c>
      <c r="AE6403">
        <v>16.424769999999999</v>
      </c>
      <c r="AF6403">
        <v>-2.9797325707781401</v>
      </c>
      <c r="AG6403">
        <v>-1.1176897993479999</v>
      </c>
      <c r="AH6403">
        <v>16.124782901498399</v>
      </c>
      <c r="AI6403">
        <v>93.899307217765397</v>
      </c>
      <c r="AJ6403">
        <v>100.46970037572299</v>
      </c>
      <c r="AK6403">
        <v>16.435834639633502</v>
      </c>
      <c r="AL6403">
        <v>92.707158389227004</v>
      </c>
      <c r="AM6403">
        <v>100.90307767882901</v>
      </c>
      <c r="AN6403">
        <v>1.0000000189151299</v>
      </c>
    </row>
    <row r="6404" spans="1:40" x14ac:dyDescent="0.25">
      <c r="A6404" t="str">
        <f>"20190305135357143"</f>
        <v>20190305135357143</v>
      </c>
      <c r="B6404" t="str">
        <f>"1551765237136764"</f>
        <v>1551765237136764</v>
      </c>
      <c r="C6404" t="s">
        <v>40</v>
      </c>
      <c r="D6404">
        <v>4.558192</v>
      </c>
      <c r="E6404">
        <v>0.50759840000000001</v>
      </c>
      <c r="F6404" t="s">
        <v>42</v>
      </c>
      <c r="G6404">
        <v>-190.18190000000001</v>
      </c>
      <c r="H6404" s="1">
        <v>-2.5440379999999999E-6</v>
      </c>
      <c r="I6404">
        <v>-24.593450000000001</v>
      </c>
      <c r="J6404">
        <v>-189.07249999999999</v>
      </c>
      <c r="K6404">
        <v>1.117056</v>
      </c>
      <c r="L6404">
        <v>-40.235019999999999</v>
      </c>
      <c r="M6404">
        <v>9.6082840000000003E-2</v>
      </c>
      <c r="N6404">
        <v>-1.545532E-2</v>
      </c>
      <c r="O6404">
        <v>0.99525330000000001</v>
      </c>
      <c r="P6404">
        <v>-8.7917919999999997E-2</v>
      </c>
      <c r="Q6404">
        <v>-6.2139890000000003E-2</v>
      </c>
      <c r="R6404">
        <v>0.99418770000000001</v>
      </c>
      <c r="S6404">
        <v>-0.20397950000000001</v>
      </c>
      <c r="T6404">
        <v>-0.2094271</v>
      </c>
      <c r="U6404">
        <v>2.9863590000000002</v>
      </c>
      <c r="V6404">
        <v>-0.1821063</v>
      </c>
      <c r="W6404">
        <v>-5.0493690000000001E-2</v>
      </c>
      <c r="X6404">
        <v>0.98198149999999995</v>
      </c>
      <c r="Y6404">
        <v>-0.16349320000000001</v>
      </c>
      <c r="Z6404">
        <v>-5.3443169999999998E-2</v>
      </c>
      <c r="AA6404">
        <v>0.98509590000000002</v>
      </c>
      <c r="AB6404">
        <v>28</v>
      </c>
      <c r="AC6404">
        <v>-1.1094000000000199</v>
      </c>
      <c r="AD6404">
        <v>-1.1170585440379901</v>
      </c>
      <c r="AE6404">
        <v>15.6415699999999</v>
      </c>
      <c r="AF6404">
        <v>-2.5941673490774901</v>
      </c>
      <c r="AG6404">
        <v>-1.1170585440379901</v>
      </c>
      <c r="AH6404">
        <v>15.3845053830278</v>
      </c>
      <c r="AI6404">
        <v>94.095307048323804</v>
      </c>
      <c r="AJ6404">
        <v>99.571296614471095</v>
      </c>
      <c r="AK6404">
        <v>15.6416281091911</v>
      </c>
      <c r="AL6404">
        <v>92.89430613575</v>
      </c>
      <c r="AM6404">
        <v>100.50602365470201</v>
      </c>
      <c r="AN6404">
        <v>0.99999999178587795</v>
      </c>
    </row>
    <row r="6405" spans="1:40" x14ac:dyDescent="0.25">
      <c r="A6405" t="str">
        <f>"20190305135357165"</f>
        <v>20190305135357165</v>
      </c>
      <c r="B6405" t="str">
        <f>"1551765237156284"</f>
        <v>1551765237156284</v>
      </c>
      <c r="C6405" t="s">
        <v>40</v>
      </c>
      <c r="D6405">
        <v>4.5746549999999999</v>
      </c>
      <c r="E6405">
        <v>0.50886149999999997</v>
      </c>
      <c r="F6405" t="s">
        <v>42</v>
      </c>
      <c r="G6405">
        <v>-190.0916</v>
      </c>
      <c r="H6405" s="1">
        <v>-2.2565840000000001E-6</v>
      </c>
      <c r="I6405">
        <v>-25.207529999999998</v>
      </c>
      <c r="J6405">
        <v>-189.0556</v>
      </c>
      <c r="K6405">
        <v>1.116452</v>
      </c>
      <c r="L6405">
        <v>-39.966709999999999</v>
      </c>
      <c r="M6405">
        <v>8.7947769999999995E-2</v>
      </c>
      <c r="N6405">
        <v>-1.518251E-2</v>
      </c>
      <c r="O6405">
        <v>0.99600929999999999</v>
      </c>
      <c r="P6405">
        <v>-8.8236049999999996E-2</v>
      </c>
      <c r="Q6405">
        <v>-6.5292740000000002E-2</v>
      </c>
      <c r="R6405">
        <v>0.99395739999999999</v>
      </c>
      <c r="S6405">
        <v>-0.2024841</v>
      </c>
      <c r="T6405">
        <v>-0.22194359999999999</v>
      </c>
      <c r="U6405">
        <v>2.9857480000000001</v>
      </c>
      <c r="V6405">
        <v>-0.17439099999999999</v>
      </c>
      <c r="W6405">
        <v>-5.3500399999999997E-2</v>
      </c>
      <c r="X6405">
        <v>0.98322200000000004</v>
      </c>
      <c r="Y6405">
        <v>-0.15493479999999901</v>
      </c>
      <c r="Z6405">
        <v>-5.797302E-2</v>
      </c>
      <c r="AA6405">
        <v>0.9862223</v>
      </c>
      <c r="AB6405">
        <v>28</v>
      </c>
      <c r="AC6405">
        <v>-1.036</v>
      </c>
      <c r="AD6405">
        <v>-1.1164542565839899</v>
      </c>
      <c r="AE6405">
        <v>14.759179999999899</v>
      </c>
      <c r="AF6405">
        <v>-2.3169783240183999</v>
      </c>
      <c r="AG6405">
        <v>-1.1164542565839899</v>
      </c>
      <c r="AH6405">
        <v>14.5281276652695</v>
      </c>
      <c r="AI6405">
        <v>94.339785821486501</v>
      </c>
      <c r="AJ6405">
        <v>99.061349530235404</v>
      </c>
      <c r="AK6405">
        <v>14.754028335318701</v>
      </c>
      <c r="AL6405">
        <v>93.066811306188498</v>
      </c>
      <c r="AM6405">
        <v>100.05777388984301</v>
      </c>
      <c r="AN6405">
        <v>1.0000000074825799</v>
      </c>
    </row>
    <row r="6406" spans="1:40" x14ac:dyDescent="0.25">
      <c r="A6406" t="str">
        <f>"20190305135357187"</f>
        <v>20190305135357187</v>
      </c>
      <c r="B6406" t="str">
        <f>"1551765237175807"</f>
        <v>1551765237175807</v>
      </c>
      <c r="C6406" t="s">
        <v>40</v>
      </c>
      <c r="D6406">
        <v>4.5901540000000001</v>
      </c>
      <c r="E6406">
        <v>0.50993580000000005</v>
      </c>
      <c r="F6406" t="s">
        <v>42</v>
      </c>
      <c r="G6406">
        <v>-189.99270000000001</v>
      </c>
      <c r="H6406" s="1">
        <v>-2.1080629999999998E-6</v>
      </c>
      <c r="I6406">
        <v>-25.492429999999999</v>
      </c>
      <c r="J6406">
        <v>-189.0402</v>
      </c>
      <c r="K6406">
        <v>1.11582</v>
      </c>
      <c r="L6406">
        <v>-39.693480000000001</v>
      </c>
      <c r="M6406">
        <v>8.0337270000000002E-2</v>
      </c>
      <c r="N6406">
        <v>-1.4862790000000001E-2</v>
      </c>
      <c r="O6406">
        <v>0.99665689999999996</v>
      </c>
      <c r="P6406">
        <v>-8.893537E-2</v>
      </c>
      <c r="Q6406">
        <v>-6.7497760000000004E-2</v>
      </c>
      <c r="R6406">
        <v>0.99374770000000001</v>
      </c>
      <c r="S6406">
        <v>-0.1933136</v>
      </c>
      <c r="T6406">
        <v>-0.23031589999999999</v>
      </c>
      <c r="U6406">
        <v>2.9859309999999999</v>
      </c>
      <c r="V6406">
        <v>-0.1676011</v>
      </c>
      <c r="W6406">
        <v>-5.5632639999999997E-2</v>
      </c>
      <c r="X6406">
        <v>0.98428389999999999</v>
      </c>
      <c r="Y6406">
        <v>-0.14435439999999999</v>
      </c>
      <c r="Z6406">
        <v>-6.1184450000000001E-2</v>
      </c>
      <c r="AA6406">
        <v>0.98763259999999997</v>
      </c>
      <c r="AB6406">
        <v>28</v>
      </c>
      <c r="AC6406">
        <v>-0.952500000000014</v>
      </c>
      <c r="AD6406">
        <v>-1.115822108063</v>
      </c>
      <c r="AE6406">
        <v>14.20105</v>
      </c>
      <c r="AF6406">
        <v>-2.0776507843962699</v>
      </c>
      <c r="AG6406">
        <v>-1.115822108063</v>
      </c>
      <c r="AH6406">
        <v>13.9926086451544</v>
      </c>
      <c r="AI6406">
        <v>94.510089928991405</v>
      </c>
      <c r="AJ6406">
        <v>98.445686679798698</v>
      </c>
      <c r="AK6406">
        <v>14.1899537862247</v>
      </c>
      <c r="AL6406">
        <v>93.189162126571802</v>
      </c>
      <c r="AM6406">
        <v>99.663480522771593</v>
      </c>
      <c r="AN6406">
        <v>0.99999995757689297</v>
      </c>
    </row>
    <row r="6407" spans="1:40" x14ac:dyDescent="0.25">
      <c r="A6407" t="str">
        <f>"20190305135357211"</f>
        <v>20190305135357211</v>
      </c>
      <c r="B6407" t="str">
        <f>"1551765237206060"</f>
        <v>1551765237206060</v>
      </c>
      <c r="C6407" t="s">
        <v>40</v>
      </c>
      <c r="D6407">
        <v>4.6162409999999996</v>
      </c>
      <c r="E6407">
        <v>0.52028669999999999</v>
      </c>
      <c r="F6407" t="s">
        <v>42</v>
      </c>
      <c r="G6407">
        <v>-189.9238</v>
      </c>
      <c r="H6407" s="1">
        <v>-2.0765840000000001E-6</v>
      </c>
      <c r="I6407">
        <v>-25.55817</v>
      </c>
      <c r="J6407">
        <v>-189.0249</v>
      </c>
      <c r="K6407">
        <v>1.115137</v>
      </c>
      <c r="L6407">
        <v>-39.395510000000002</v>
      </c>
      <c r="M6407">
        <v>7.2772180000000006E-2</v>
      </c>
      <c r="N6407">
        <v>-1.4478329999999999E-2</v>
      </c>
      <c r="O6407">
        <v>0.99724349999999995</v>
      </c>
      <c r="P6407">
        <v>-9.0220449999999994E-2</v>
      </c>
      <c r="Q6407">
        <v>-6.7663860000000006E-2</v>
      </c>
      <c r="R6407">
        <v>0.99362059999999996</v>
      </c>
      <c r="S6407">
        <v>-0.18666079999999999</v>
      </c>
      <c r="T6407">
        <v>-0.23572219999999999</v>
      </c>
      <c r="U6407">
        <v>2.986145</v>
      </c>
      <c r="V6407">
        <v>-0.161488299999999</v>
      </c>
      <c r="W6407">
        <v>-5.580164E-2</v>
      </c>
      <c r="X6407">
        <v>0.98529580000000005</v>
      </c>
      <c r="Y6407">
        <v>-0.1346417</v>
      </c>
      <c r="Z6407">
        <v>-6.3472299999999995E-2</v>
      </c>
      <c r="AA6407">
        <v>0.98885940000000006</v>
      </c>
      <c r="AB6407">
        <v>28</v>
      </c>
      <c r="AC6407">
        <v>-0.89889999999999703</v>
      </c>
      <c r="AD6407">
        <v>-1.1151390765839999</v>
      </c>
      <c r="AE6407">
        <v>13.8373399999999</v>
      </c>
      <c r="AF6407">
        <v>-1.8913630584854799</v>
      </c>
      <c r="AG6407">
        <v>-1.1151390765839999</v>
      </c>
      <c r="AH6407">
        <v>13.6469628695806</v>
      </c>
      <c r="AI6407">
        <v>94.627416375514301</v>
      </c>
      <c r="AJ6407">
        <v>97.890486573570897</v>
      </c>
      <c r="AK6407">
        <v>13.822459439001401</v>
      </c>
      <c r="AL6407">
        <v>93.198859870687002</v>
      </c>
      <c r="AM6407">
        <v>99.307924079326796</v>
      </c>
      <c r="AN6407">
        <v>1.0000000537806</v>
      </c>
    </row>
    <row r="6408" spans="1:40" x14ac:dyDescent="0.25">
      <c r="A6408" t="str">
        <f>"20190305135357234"</f>
        <v>20190305135357234</v>
      </c>
      <c r="B6408" t="str">
        <f>"1551765237226555"</f>
        <v>1551765237226555</v>
      </c>
      <c r="C6408" t="s">
        <v>40</v>
      </c>
      <c r="D6408">
        <v>4.6076379999999997</v>
      </c>
      <c r="E6408">
        <v>0.52062759999999997</v>
      </c>
      <c r="F6408" t="s">
        <v>42</v>
      </c>
      <c r="G6408">
        <v>-189.62289999999999</v>
      </c>
      <c r="H6408" s="1">
        <v>-3.2110310000000001E-6</v>
      </c>
      <c r="I6408">
        <v>-23.038129999999999</v>
      </c>
      <c r="J6408">
        <v>-189.01140000000001</v>
      </c>
      <c r="K6408">
        <v>1.114544</v>
      </c>
      <c r="L6408">
        <v>-39.10492</v>
      </c>
      <c r="M6408">
        <v>6.598321E-2</v>
      </c>
      <c r="N6408">
        <v>-1.410076E-2</v>
      </c>
      <c r="O6408">
        <v>0.99772110000000003</v>
      </c>
      <c r="P6408">
        <v>-9.1393240000000001E-2</v>
      </c>
      <c r="Q6408">
        <v>-6.7302989999999993E-2</v>
      </c>
      <c r="R6408">
        <v>0.99353789999999997</v>
      </c>
      <c r="S6408">
        <v>-0.10951230000000001</v>
      </c>
      <c r="T6408">
        <v>-0.20420859999999999</v>
      </c>
      <c r="U6408">
        <v>2.995422</v>
      </c>
      <c r="V6408">
        <v>-0.15602629999999901</v>
      </c>
      <c r="W6408">
        <v>-5.550136E-2</v>
      </c>
      <c r="X6408">
        <v>0.98619230000000002</v>
      </c>
      <c r="Y6408">
        <v>-0.1022894</v>
      </c>
      <c r="Z6408">
        <v>-5.3500640000000002E-2</v>
      </c>
      <c r="AA6408">
        <v>0.9933149</v>
      </c>
      <c r="AB6408">
        <v>28</v>
      </c>
      <c r="AC6408">
        <v>-0.61149999999997795</v>
      </c>
      <c r="AD6408">
        <v>-1.114547211031</v>
      </c>
      <c r="AE6408">
        <v>16.066790000000001</v>
      </c>
      <c r="AF6408">
        <v>-1.6624226498097801</v>
      </c>
      <c r="AG6408">
        <v>-1.114547211031</v>
      </c>
      <c r="AH6408">
        <v>15.914942233477399</v>
      </c>
      <c r="AI6408">
        <v>93.984360987060199</v>
      </c>
      <c r="AJ6408">
        <v>95.963302950741607</v>
      </c>
      <c r="AK6408">
        <v>16.040300834059899</v>
      </c>
      <c r="AL6408">
        <v>93.181628784962697</v>
      </c>
      <c r="AM6408">
        <v>98.990295893085801</v>
      </c>
      <c r="AN6408">
        <v>0.99999992991641196</v>
      </c>
    </row>
    <row r="6409" spans="1:40" x14ac:dyDescent="0.25">
      <c r="A6409" t="str">
        <f>"20190305135357255"</f>
        <v>20190305135357255</v>
      </c>
      <c r="B6409" t="str">
        <f>"1551765237246077"</f>
        <v>1551765237246077</v>
      </c>
      <c r="C6409" t="s">
        <v>40</v>
      </c>
      <c r="D6409">
        <v>4.6192489999999999</v>
      </c>
      <c r="E6409">
        <v>0.52118520000000002</v>
      </c>
      <c r="F6409" t="s">
        <v>42</v>
      </c>
      <c r="G6409">
        <v>-189.60079999999999</v>
      </c>
      <c r="H6409" s="1">
        <v>-3.21093E-6</v>
      </c>
      <c r="I6409">
        <v>-23.047529999999998</v>
      </c>
      <c r="J6409">
        <v>-189</v>
      </c>
      <c r="K6409">
        <v>1.1140540000000001</v>
      </c>
      <c r="L6409">
        <v>-38.835389999999997</v>
      </c>
      <c r="M6409">
        <v>6.0227419999999997E-2</v>
      </c>
      <c r="N6409">
        <v>-1.374425E-2</v>
      </c>
      <c r="O6409">
        <v>0.99809000000000003</v>
      </c>
      <c r="P6409">
        <v>-9.1229060000000001E-2</v>
      </c>
      <c r="Q6409">
        <v>-6.5411739999999996E-2</v>
      </c>
      <c r="R6409">
        <v>0.99367930000000004</v>
      </c>
      <c r="S6409">
        <v>-0.1099396</v>
      </c>
      <c r="T6409">
        <v>-0.2079066</v>
      </c>
      <c r="U6409">
        <v>2.9953310000000002</v>
      </c>
      <c r="V6409">
        <v>-0.15026900000000001</v>
      </c>
      <c r="W6409">
        <v>-5.3695279999999998E-2</v>
      </c>
      <c r="X6409">
        <v>0.98718589999999995</v>
      </c>
      <c r="Y6409">
        <v>-9.6693459999999995E-2</v>
      </c>
      <c r="Z6409">
        <v>-5.5136820000000003E-2</v>
      </c>
      <c r="AA6409">
        <v>0.9937859</v>
      </c>
      <c r="AB6409">
        <v>28</v>
      </c>
      <c r="AC6409">
        <v>-0.60079999999999201</v>
      </c>
      <c r="AD6409">
        <v>-1.11405721093</v>
      </c>
      <c r="AE6409">
        <v>15.78786</v>
      </c>
      <c r="AF6409">
        <v>-1.5429892001710299</v>
      </c>
      <c r="AG6409">
        <v>-1.11405721093</v>
      </c>
      <c r="AH6409">
        <v>15.6452169180233</v>
      </c>
      <c r="AI6409">
        <v>94.053416654388002</v>
      </c>
      <c r="AJ6409">
        <v>95.632507192228104</v>
      </c>
      <c r="AK6409">
        <v>15.7605441388638</v>
      </c>
      <c r="AL6409">
        <v>93.077993270318302</v>
      </c>
      <c r="AM6409">
        <v>98.655097769156995</v>
      </c>
      <c r="AN6409">
        <v>0.99999997830704301</v>
      </c>
    </row>
    <row r="6410" spans="1:40" x14ac:dyDescent="0.25">
      <c r="A6410" t="str">
        <f>"20190305135357280"</f>
        <v>20190305135357280</v>
      </c>
      <c r="B6410" t="str">
        <f>"1551765237276332"</f>
        <v>1551765237276332</v>
      </c>
      <c r="C6410" t="s">
        <v>40</v>
      </c>
      <c r="D6410">
        <v>4.6301269999999999</v>
      </c>
      <c r="E6410">
        <v>0.52212890000000001</v>
      </c>
      <c r="F6410" t="s">
        <v>42</v>
      </c>
      <c r="G6410">
        <v>-189.58920000000001</v>
      </c>
      <c r="H6410" s="1">
        <v>-3.6436020000000002E-6</v>
      </c>
      <c r="I6410">
        <v>-22.043759999999999</v>
      </c>
      <c r="J6410">
        <v>-188.98840000000001</v>
      </c>
      <c r="K6410">
        <v>1.113531</v>
      </c>
      <c r="L6410">
        <v>-38.53537</v>
      </c>
      <c r="M6410">
        <v>5.4484949999999997E-2</v>
      </c>
      <c r="N6410">
        <v>-1.332768E-2</v>
      </c>
      <c r="O6410">
        <v>0.99842569999999997</v>
      </c>
      <c r="P6410">
        <v>-9.1150999999999996E-2</v>
      </c>
      <c r="Q6410">
        <v>-6.3142099999999896E-2</v>
      </c>
      <c r="R6410">
        <v>0.99383319999999997</v>
      </c>
      <c r="S6410">
        <v>-0.10513309999999999</v>
      </c>
      <c r="T6410">
        <v>-0.1987951</v>
      </c>
      <c r="U6410">
        <v>2.9963380000000002</v>
      </c>
      <c r="V6410">
        <v>-0.1446095</v>
      </c>
      <c r="W6410">
        <v>-5.1574059999999998E-2</v>
      </c>
      <c r="X6410">
        <v>0.98814380000000002</v>
      </c>
      <c r="Y6410">
        <v>-8.9373540000000001E-2</v>
      </c>
      <c r="Z6410">
        <v>-5.2583299999999999E-2</v>
      </c>
      <c r="AA6410">
        <v>0.99460919999999997</v>
      </c>
      <c r="AB6410">
        <v>28</v>
      </c>
      <c r="AC6410">
        <v>-0.60079999999999201</v>
      </c>
      <c r="AD6410">
        <v>-1.1135346436019999</v>
      </c>
      <c r="AE6410">
        <v>16.491610000000001</v>
      </c>
      <c r="AF6410">
        <v>-1.49173970506033</v>
      </c>
      <c r="AG6410">
        <v>-1.1135346436019999</v>
      </c>
      <c r="AH6410">
        <v>16.359883543193501</v>
      </c>
      <c r="AI6410">
        <v>93.877790776661897</v>
      </c>
      <c r="AJ6410">
        <v>95.209981368462707</v>
      </c>
      <c r="AK6410">
        <v>16.465449775120302</v>
      </c>
      <c r="AL6410">
        <v>92.956287581114594</v>
      </c>
      <c r="AM6410">
        <v>98.325825755822194</v>
      </c>
      <c r="AN6410">
        <v>0.99999998031678605</v>
      </c>
    </row>
    <row r="6411" spans="1:40" x14ac:dyDescent="0.25">
      <c r="A6411" t="str">
        <f>"20190305135357300"</f>
        <v>20190305135357300</v>
      </c>
      <c r="B6411" t="str">
        <f>"1551765237296828"</f>
        <v>1551765237296828</v>
      </c>
      <c r="C6411" t="s">
        <v>40</v>
      </c>
      <c r="D6411">
        <v>4.6275959999999996</v>
      </c>
      <c r="E6411">
        <v>0.52258139999999997</v>
      </c>
      <c r="F6411" t="s">
        <v>42</v>
      </c>
      <c r="G6411">
        <v>-189.5729</v>
      </c>
      <c r="H6411" s="1">
        <v>-4.2595280000000004E-6</v>
      </c>
      <c r="I6411">
        <v>-20.614750000000001</v>
      </c>
      <c r="J6411">
        <v>-188.97900000000001</v>
      </c>
      <c r="K6411">
        <v>1.1130439999999999</v>
      </c>
      <c r="L6411">
        <v>-38.271729999999998</v>
      </c>
      <c r="M6411">
        <v>5.0060019999999997E-2</v>
      </c>
      <c r="N6411">
        <v>-1.294031E-2</v>
      </c>
      <c r="O6411">
        <v>0.99866239999999995</v>
      </c>
      <c r="P6411">
        <v>-9.0885560000000004E-2</v>
      </c>
      <c r="Q6411">
        <v>-6.2414099999999903E-2</v>
      </c>
      <c r="R6411">
        <v>0.9939036</v>
      </c>
      <c r="S6411">
        <v>-9.7778320000000002E-2</v>
      </c>
      <c r="T6411">
        <v>-0.18627479999999999</v>
      </c>
      <c r="U6411">
        <v>2.9978030000000002</v>
      </c>
      <c r="V6411">
        <v>-0.14003260000000001</v>
      </c>
      <c r="W6411">
        <v>-5.1010489999999999E-2</v>
      </c>
      <c r="X6411">
        <v>0.98883209999999999</v>
      </c>
      <c r="Y6411">
        <v>-8.2516859999999997E-2</v>
      </c>
      <c r="Z6411">
        <v>-4.884761E-2</v>
      </c>
      <c r="AA6411">
        <v>0.99539180000000005</v>
      </c>
      <c r="AB6411">
        <v>28</v>
      </c>
      <c r="AC6411">
        <v>-0.59389999999998999</v>
      </c>
      <c r="AD6411">
        <v>-1.113048259528</v>
      </c>
      <c r="AE6411">
        <v>17.656979999999901</v>
      </c>
      <c r="AF6411">
        <v>-1.47129812548498</v>
      </c>
      <c r="AG6411">
        <v>-1.113048259528</v>
      </c>
      <c r="AH6411">
        <v>17.535502938208602</v>
      </c>
      <c r="AI6411">
        <v>93.619235944293607</v>
      </c>
      <c r="AJ6411">
        <v>94.796109136657293</v>
      </c>
      <c r="AK6411">
        <v>17.632284534285901</v>
      </c>
      <c r="AL6411">
        <v>92.923954602641999</v>
      </c>
      <c r="AM6411">
        <v>98.060295376686796</v>
      </c>
      <c r="AN6411">
        <v>1.0000000605716</v>
      </c>
    </row>
    <row r="6412" spans="1:40" x14ac:dyDescent="0.25">
      <c r="A6412" t="str">
        <f>"20190305135357321"</f>
        <v>20190305135357321</v>
      </c>
      <c r="B6412" t="str">
        <f>"1551765237316349"</f>
        <v>1551765237316349</v>
      </c>
      <c r="C6412" t="s">
        <v>40</v>
      </c>
      <c r="D6412">
        <v>4.6388610000000003</v>
      </c>
      <c r="E6412">
        <v>0.52281199999999906</v>
      </c>
      <c r="F6412" t="s">
        <v>42</v>
      </c>
      <c r="G6412">
        <v>-189.55170000000001</v>
      </c>
      <c r="H6412" s="1">
        <v>-2.8909769999999998E-7</v>
      </c>
      <c r="I6412">
        <v>-19.878679999999999</v>
      </c>
      <c r="J6412">
        <v>-188.97020000000001</v>
      </c>
      <c r="K6412">
        <v>1.1125179999999999</v>
      </c>
      <c r="L6412">
        <v>-38.007840000000002</v>
      </c>
      <c r="M6412">
        <v>4.6225290000000002E-2</v>
      </c>
      <c r="N6412">
        <v>-1.252699E-2</v>
      </c>
      <c r="O6412">
        <v>0.99885250000000003</v>
      </c>
      <c r="P6412">
        <v>-9.0622530000000007E-2</v>
      </c>
      <c r="Q6412">
        <v>-6.3039209999999998E-2</v>
      </c>
      <c r="R6412">
        <v>0.99388810000000005</v>
      </c>
      <c r="S6412">
        <v>-9.3368530000000005E-2</v>
      </c>
      <c r="T6412">
        <v>-0.1814508</v>
      </c>
      <c r="U6412">
        <v>2.9984739999999999</v>
      </c>
      <c r="V6412">
        <v>-0.136026799999999</v>
      </c>
      <c r="W6412">
        <v>-5.1833200000000003E-2</v>
      </c>
      <c r="X6412">
        <v>0.98934829999999996</v>
      </c>
      <c r="Y6412">
        <v>-7.7225950000000002E-2</v>
      </c>
      <c r="Z6412">
        <v>-4.7684450000000003E-2</v>
      </c>
      <c r="AA6412">
        <v>0.99587270000000006</v>
      </c>
      <c r="AB6412">
        <v>28</v>
      </c>
      <c r="AC6412">
        <v>-0.58150000000000501</v>
      </c>
      <c r="AD6412">
        <v>-1.1125182890976999</v>
      </c>
      <c r="AE6412">
        <v>18.129159999999999</v>
      </c>
      <c r="AF6412">
        <v>-1.4136516549896001</v>
      </c>
      <c r="AG6412">
        <v>-1.1125182890976999</v>
      </c>
      <c r="AH6412">
        <v>18.015123601331599</v>
      </c>
      <c r="AI6412">
        <v>93.522992671350593</v>
      </c>
      <c r="AJ6412">
        <v>94.486821169339294</v>
      </c>
      <c r="AK6412">
        <v>18.1047172393408</v>
      </c>
      <c r="AL6412">
        <v>92.971154992830705</v>
      </c>
      <c r="AM6412">
        <v>97.828588199562603</v>
      </c>
      <c r="AN6412">
        <v>1.0000000148266801</v>
      </c>
    </row>
    <row r="6413" spans="1:40" x14ac:dyDescent="0.25">
      <c r="A6413" t="str">
        <f>"20190305135357344"</f>
        <v>20190305135357344</v>
      </c>
      <c r="B6413" t="str">
        <f>"1551765237336845"</f>
        <v>1551765237336845</v>
      </c>
      <c r="C6413" t="s">
        <v>40</v>
      </c>
      <c r="D6413">
        <v>4.6346089999999904</v>
      </c>
      <c r="E6413">
        <v>0.52277669999999998</v>
      </c>
      <c r="F6413" t="s">
        <v>42</v>
      </c>
      <c r="G6413">
        <v>-189.52809999999999</v>
      </c>
      <c r="H6413" s="1">
        <v>-4.1358199999999998E-7</v>
      </c>
      <c r="I6413">
        <v>-19.598269999999999</v>
      </c>
      <c r="J6413">
        <v>-188.9606</v>
      </c>
      <c r="K6413">
        <v>1.111888</v>
      </c>
      <c r="L6413">
        <v>-37.709960000000002</v>
      </c>
      <c r="M6413">
        <v>4.2589630000000003E-2</v>
      </c>
      <c r="N6413">
        <v>-1.202984E-2</v>
      </c>
      <c r="O6413">
        <v>0.99902020000000002</v>
      </c>
      <c r="P6413">
        <v>-9.1221529999999995E-2</v>
      </c>
      <c r="Q6413">
        <v>-6.2628279999999995E-2</v>
      </c>
      <c r="R6413">
        <v>0.9938593</v>
      </c>
      <c r="S6413">
        <v>-9.088135E-2</v>
      </c>
      <c r="T6413">
        <v>-0.1812134</v>
      </c>
      <c r="U6413">
        <v>2.9986570000000001</v>
      </c>
      <c r="V6413">
        <v>-0.13309849999999901</v>
      </c>
      <c r="W6413">
        <v>-5.1693070000000001E-2</v>
      </c>
      <c r="X6413">
        <v>0.98975380000000002</v>
      </c>
      <c r="Y6413">
        <v>-7.2772180000000006E-2</v>
      </c>
      <c r="Z6413">
        <v>-4.8125599999999998E-2</v>
      </c>
      <c r="AA6413">
        <v>0.99618680000000004</v>
      </c>
      <c r="AB6413">
        <v>28</v>
      </c>
      <c r="AC6413">
        <v>-0.56749999999999501</v>
      </c>
      <c r="AD6413">
        <v>-1.111888413582</v>
      </c>
      <c r="AE6413">
        <v>18.111689999999999</v>
      </c>
      <c r="AF6413">
        <v>-1.3333906496610699</v>
      </c>
      <c r="AG6413">
        <v>-1.111888413582</v>
      </c>
      <c r="AH6413">
        <v>18.003298120272099</v>
      </c>
      <c r="AI6413">
        <v>93.524484503306795</v>
      </c>
      <c r="AJ6413">
        <v>94.2358029510102</v>
      </c>
      <c r="AK6413">
        <v>18.086817566290001</v>
      </c>
      <c r="AL6413">
        <v>92.963115447581302</v>
      </c>
      <c r="AM6413">
        <v>97.658981034943395</v>
      </c>
      <c r="AN6413">
        <v>0.99999998440135696</v>
      </c>
    </row>
    <row r="6414" spans="1:40" x14ac:dyDescent="0.25">
      <c r="A6414" t="str">
        <f>"20190305135357369"</f>
        <v>20190305135357369</v>
      </c>
      <c r="B6414" t="str">
        <f>"1551765237356364"</f>
        <v>1551765237356364</v>
      </c>
      <c r="C6414" t="s">
        <v>40</v>
      </c>
      <c r="D6414">
        <v>4.6686699999999997</v>
      </c>
      <c r="E6414">
        <v>0.52250659999999904</v>
      </c>
      <c r="F6414" t="s">
        <v>42</v>
      </c>
      <c r="G6414">
        <v>-189.53319999999999</v>
      </c>
      <c r="H6414" s="1">
        <v>-5.6433169999999899E-7</v>
      </c>
      <c r="I6414">
        <v>-19.244769999999999</v>
      </c>
      <c r="J6414">
        <v>-188.9512</v>
      </c>
      <c r="K6414">
        <v>1.111253</v>
      </c>
      <c r="L6414">
        <v>-37.410609999999998</v>
      </c>
      <c r="M6414">
        <v>3.9771540000000001E-2</v>
      </c>
      <c r="N6414">
        <v>-1.149442E-2</v>
      </c>
      <c r="O6414">
        <v>0.99914270000000005</v>
      </c>
      <c r="P6414">
        <v>-9.2480439999999997E-2</v>
      </c>
      <c r="Q6414">
        <v>-6.1545290000000002E-2</v>
      </c>
      <c r="R6414">
        <v>0.99381059999999999</v>
      </c>
      <c r="S6414">
        <v>-9.2987059999999996E-2</v>
      </c>
      <c r="T6414">
        <v>-0.18056340000000001</v>
      </c>
      <c r="U6414">
        <v>2.9986269999999999</v>
      </c>
      <c r="V6414">
        <v>-0.13164089999999901</v>
      </c>
      <c r="W6414">
        <v>-5.0936929999999998E-2</v>
      </c>
      <c r="X6414">
        <v>0.98998790000000003</v>
      </c>
      <c r="Y6414">
        <v>-7.065987E-2</v>
      </c>
      <c r="Z6414">
        <v>-4.8461009999999999E-2</v>
      </c>
      <c r="AA6414">
        <v>0.99632259999999995</v>
      </c>
      <c r="AB6414">
        <v>29</v>
      </c>
      <c r="AC6414">
        <v>-0.58199999999999297</v>
      </c>
      <c r="AD6414">
        <v>-1.1112535643316901</v>
      </c>
      <c r="AE6414">
        <v>18.165839999999999</v>
      </c>
      <c r="AF6414">
        <v>-1.2992138110526501</v>
      </c>
      <c r="AG6414">
        <v>-1.1112535643316901</v>
      </c>
      <c r="AH6414">
        <v>18.060800692965501</v>
      </c>
      <c r="AI6414">
        <v>93.511831618741496</v>
      </c>
      <c r="AJ6414">
        <v>94.114516585686999</v>
      </c>
      <c r="AK6414">
        <v>18.1415369437678</v>
      </c>
      <c r="AL6414">
        <v>92.919734704474806</v>
      </c>
      <c r="AM6414">
        <v>97.574314174746902</v>
      </c>
      <c r="AN6414">
        <v>0.99999996976852101</v>
      </c>
    </row>
    <row r="6415" spans="1:40" x14ac:dyDescent="0.25">
      <c r="A6415" t="str">
        <f>"20190305135357389"</f>
        <v>20190305135357389</v>
      </c>
      <c r="B6415" t="str">
        <f>"1551765237386621"</f>
        <v>1551765237386621</v>
      </c>
      <c r="C6415" t="s">
        <v>40</v>
      </c>
      <c r="D6415">
        <v>4.6807499999999997</v>
      </c>
      <c r="E6415">
        <v>0.52247270000000001</v>
      </c>
      <c r="F6415" t="s">
        <v>42</v>
      </c>
      <c r="G6415">
        <v>-189.56309999999999</v>
      </c>
      <c r="H6415" s="1">
        <v>-7.3356949999999996E-7</v>
      </c>
      <c r="I6415">
        <v>-18.837900000000001</v>
      </c>
      <c r="J6415">
        <v>-188.9427</v>
      </c>
      <c r="K6415">
        <v>1.1106940000000001</v>
      </c>
      <c r="L6415">
        <v>-37.13879</v>
      </c>
      <c r="M6415">
        <v>3.7860619999999998E-2</v>
      </c>
      <c r="N6415">
        <v>-1.0986330000000001E-2</v>
      </c>
      <c r="O6415">
        <v>0.99922259999999996</v>
      </c>
      <c r="P6415">
        <v>-9.3838809999999995E-2</v>
      </c>
      <c r="Q6415">
        <v>-6.1383430000000003E-2</v>
      </c>
      <c r="R6415">
        <v>0.9936933</v>
      </c>
      <c r="S6415">
        <v>-9.8785399999999995E-2</v>
      </c>
      <c r="T6415">
        <v>-0.179401</v>
      </c>
      <c r="U6415">
        <v>2.998383</v>
      </c>
      <c r="V6415">
        <v>-0.13116240000000001</v>
      </c>
      <c r="W6415">
        <v>-5.1111980000000001E-2</v>
      </c>
      <c r="X6415">
        <v>0.99004239999999999</v>
      </c>
      <c r="Y6415">
        <v>-7.0680640000000003E-2</v>
      </c>
      <c r="Z6415">
        <v>-4.8593619999999997E-2</v>
      </c>
      <c r="AA6415">
        <v>0.99631460000000005</v>
      </c>
      <c r="AB6415">
        <v>29</v>
      </c>
      <c r="AC6415">
        <v>-0.62039999999998896</v>
      </c>
      <c r="AD6415">
        <v>-1.1106947335695001</v>
      </c>
      <c r="AE6415">
        <v>18.300889999999999</v>
      </c>
      <c r="AF6415">
        <v>-1.30806746105447</v>
      </c>
      <c r="AG6415">
        <v>-1.1106947335695001</v>
      </c>
      <c r="AH6415">
        <v>18.1973265791469</v>
      </c>
      <c r="AI6415">
        <v>93.483813928828397</v>
      </c>
      <c r="AJ6415">
        <v>94.111486266105899</v>
      </c>
      <c r="AK6415">
        <v>18.278057279207001</v>
      </c>
      <c r="AL6415">
        <v>92.929777377494503</v>
      </c>
      <c r="AM6415">
        <v>97.546689648848698</v>
      </c>
      <c r="AN6415">
        <v>0.99999998173551996</v>
      </c>
    </row>
    <row r="6416" spans="1:40" x14ac:dyDescent="0.25">
      <c r="A6416" t="str">
        <f>"20190305135357411"</f>
        <v>20190305135357411</v>
      </c>
      <c r="B6416" t="str">
        <f>"1551765237406140"</f>
        <v>1551765237406140</v>
      </c>
      <c r="C6416" t="s">
        <v>40</v>
      </c>
      <c r="D6416">
        <v>4.7019900000000003</v>
      </c>
      <c r="E6416">
        <v>0.52242179999999905</v>
      </c>
      <c r="F6416" t="s">
        <v>42</v>
      </c>
      <c r="G6416">
        <v>-189.5822</v>
      </c>
      <c r="H6416" s="1">
        <v>-8.5459839999999996E-7</v>
      </c>
      <c r="I6416">
        <v>-18.54786</v>
      </c>
      <c r="J6416">
        <v>-188.93340000000001</v>
      </c>
      <c r="K6416">
        <v>1.1101669999999999</v>
      </c>
      <c r="L6416">
        <v>-36.846249999999998</v>
      </c>
      <c r="M6416">
        <v>3.6382789999999998E-2</v>
      </c>
      <c r="N6416">
        <v>-1.0440929999999999E-2</v>
      </c>
      <c r="O6416">
        <v>0.99928340000000004</v>
      </c>
      <c r="P6416">
        <v>-9.5093750000000005E-2</v>
      </c>
      <c r="Q6416">
        <v>-6.1744430000000003E-2</v>
      </c>
      <c r="R6416">
        <v>0.99355159999999998</v>
      </c>
      <c r="S6416">
        <v>-0.1031494</v>
      </c>
      <c r="T6416">
        <v>-0.1791259</v>
      </c>
      <c r="U6416">
        <v>2.99823</v>
      </c>
      <c r="V6416">
        <v>-0.13100300000000001</v>
      </c>
      <c r="W6416">
        <v>-5.1862440000000003E-2</v>
      </c>
      <c r="X6416">
        <v>0.99002449999999997</v>
      </c>
      <c r="Y6416">
        <v>-7.065623E-2</v>
      </c>
      <c r="Z6416">
        <v>-4.9054140000000003E-2</v>
      </c>
      <c r="AA6416">
        <v>0.99629380000000001</v>
      </c>
      <c r="AB6416">
        <v>29</v>
      </c>
      <c r="AC6416">
        <v>-0.64879999999999405</v>
      </c>
      <c r="AD6416">
        <v>-1.1101678545984</v>
      </c>
      <c r="AE6416">
        <v>18.298390000000001</v>
      </c>
      <c r="AF6416">
        <v>-1.30933969063372</v>
      </c>
      <c r="AG6416">
        <v>-1.1101678545984</v>
      </c>
      <c r="AH6416">
        <v>18.195775020966401</v>
      </c>
      <c r="AI6416">
        <v>93.482442675442798</v>
      </c>
      <c r="AJ6416">
        <v>94.115821095484193</v>
      </c>
      <c r="AK6416">
        <v>18.276571661678702</v>
      </c>
      <c r="AL6416">
        <v>92.972832608047796</v>
      </c>
      <c r="AM6416">
        <v>97.537758485925295</v>
      </c>
      <c r="AN6416">
        <v>1.000000004646</v>
      </c>
    </row>
    <row r="6417" spans="1:40" x14ac:dyDescent="0.25">
      <c r="A6417" t="str">
        <f>"20190305135357434"</f>
        <v>20190305135357434</v>
      </c>
      <c r="B6417" t="str">
        <f>"1551765237426636"</f>
        <v>1551765237426636</v>
      </c>
      <c r="C6417" t="s">
        <v>40</v>
      </c>
      <c r="D6417">
        <v>4.7024189999999999</v>
      </c>
      <c r="E6417">
        <v>0.52235500000000001</v>
      </c>
      <c r="F6417" t="s">
        <v>42</v>
      </c>
      <c r="G6417">
        <v>-189.59180000000001</v>
      </c>
      <c r="H6417" s="1">
        <v>-8.924375E-7</v>
      </c>
      <c r="I6417">
        <v>-18.45571</v>
      </c>
      <c r="J6417">
        <v>-188.9238</v>
      </c>
      <c r="K6417">
        <v>1.1096900000000001</v>
      </c>
      <c r="L6417">
        <v>-36.549129999999998</v>
      </c>
      <c r="M6417">
        <v>3.5450339999999997E-2</v>
      </c>
      <c r="N6417">
        <v>-9.8799349999999994E-3</v>
      </c>
      <c r="O6417">
        <v>0.99932259999999995</v>
      </c>
      <c r="P6417">
        <v>-9.5906069999999996E-2</v>
      </c>
      <c r="Q6417">
        <v>-6.1407410000000003E-2</v>
      </c>
      <c r="R6417">
        <v>0.9934944</v>
      </c>
      <c r="S6417">
        <v>-0.1073303</v>
      </c>
      <c r="T6417">
        <v>-0.18097530000000001</v>
      </c>
      <c r="U6417">
        <v>2.9979550000000001</v>
      </c>
      <c r="V6417">
        <v>-0.1309411</v>
      </c>
      <c r="W6417">
        <v>-5.1948109999999999E-2</v>
      </c>
      <c r="X6417">
        <v>0.99002820000000002</v>
      </c>
      <c r="Y6417">
        <v>-7.1115199999999906E-2</v>
      </c>
      <c r="Z6417">
        <v>-5.0233100000000003E-2</v>
      </c>
      <c r="AA6417">
        <v>0.99620240000000004</v>
      </c>
      <c r="AB6417">
        <v>29</v>
      </c>
      <c r="AC6417">
        <v>-0.66800000000000603</v>
      </c>
      <c r="AD6417">
        <v>-1.1096908924375</v>
      </c>
      <c r="AE6417">
        <v>18.093419999999998</v>
      </c>
      <c r="AF6417">
        <v>-1.30413045129229</v>
      </c>
      <c r="AG6417">
        <v>-1.1096908924375</v>
      </c>
      <c r="AH6417">
        <v>17.990783617115898</v>
      </c>
      <c r="AI6417">
        <v>93.520379984897602</v>
      </c>
      <c r="AJ6417">
        <v>94.146050898399693</v>
      </c>
      <c r="AK6417">
        <v>18.072090782990099</v>
      </c>
      <c r="AL6417">
        <v>92.977747755118301</v>
      </c>
      <c r="AM6417">
        <v>97.534209924117604</v>
      </c>
      <c r="AN6417">
        <v>1.00000000729851</v>
      </c>
    </row>
    <row r="6418" spans="1:40" x14ac:dyDescent="0.25">
      <c r="A6418" t="str">
        <f>"20190305135357456"</f>
        <v>20190305135357456</v>
      </c>
      <c r="B6418" t="str">
        <f>"1551765237446157"</f>
        <v>1551765237446157</v>
      </c>
      <c r="C6418" t="s">
        <v>40</v>
      </c>
      <c r="D6418">
        <v>4.8037219999999996</v>
      </c>
      <c r="E6418">
        <v>0.52255509999999905</v>
      </c>
      <c r="F6418" t="s">
        <v>42</v>
      </c>
      <c r="G6418">
        <v>-189.59719999999999</v>
      </c>
      <c r="H6418" s="1">
        <v>-9.8858420000000002E-7</v>
      </c>
      <c r="I6418">
        <v>-18.22936</v>
      </c>
      <c r="J6418">
        <v>-188.9144</v>
      </c>
      <c r="K6418">
        <v>1.1092679999999999</v>
      </c>
      <c r="L6418">
        <v>-36.262270000000001</v>
      </c>
      <c r="M6418">
        <v>3.5052300000000002E-2</v>
      </c>
      <c r="N6418">
        <v>-9.3323260000000002E-3</v>
      </c>
      <c r="O6418">
        <v>0.99934190000000001</v>
      </c>
      <c r="P6418">
        <v>-9.5469070000000003E-2</v>
      </c>
      <c r="Q6418">
        <v>-6.1049039999999999E-2</v>
      </c>
      <c r="R6418">
        <v>0.99355859999999996</v>
      </c>
      <c r="S6418">
        <v>-0.1101837</v>
      </c>
      <c r="T6418">
        <v>-0.1815852</v>
      </c>
      <c r="U6418">
        <v>2.9977719999999999</v>
      </c>
      <c r="V6418">
        <v>-0.13015739999999901</v>
      </c>
      <c r="W6418">
        <v>-5.201393E-2</v>
      </c>
      <c r="X6418">
        <v>0.99012809999999996</v>
      </c>
      <c r="Y6418">
        <v>-7.1666750000000001E-2</v>
      </c>
      <c r="Z6418">
        <v>-5.0984910000000001E-2</v>
      </c>
      <c r="AA6418">
        <v>0.99612469999999997</v>
      </c>
      <c r="AB6418">
        <v>29</v>
      </c>
      <c r="AC6418">
        <v>-0.68279999999998597</v>
      </c>
      <c r="AD6418">
        <v>-1.1092689885842</v>
      </c>
      <c r="AE6418">
        <v>18.032910000000001</v>
      </c>
      <c r="AF6418">
        <v>-1.30955471239446</v>
      </c>
      <c r="AG6418">
        <v>-1.1092689885842</v>
      </c>
      <c r="AH6418">
        <v>17.930143561628999</v>
      </c>
      <c r="AI6418">
        <v>93.530776702394903</v>
      </c>
      <c r="AJ6418">
        <v>94.177265405202704</v>
      </c>
      <c r="AK6418">
        <v>18.012092032143698</v>
      </c>
      <c r="AL6418">
        <v>92.981524012643206</v>
      </c>
      <c r="AM6418">
        <v>97.488883017726295</v>
      </c>
      <c r="AN6418">
        <v>1.0000000260491999</v>
      </c>
    </row>
    <row r="6419" spans="1:40" x14ac:dyDescent="0.25">
      <c r="A6419" t="str">
        <f>"20190305135357478"</f>
        <v>20190305135357478</v>
      </c>
      <c r="B6419" t="str">
        <f>"1551765237466655"</f>
        <v>1551765237466655</v>
      </c>
      <c r="C6419" t="s">
        <v>40</v>
      </c>
      <c r="D6419">
        <v>4.7061919999999997</v>
      </c>
      <c r="E6419">
        <v>0.52262749999999902</v>
      </c>
      <c r="F6419" t="s">
        <v>42</v>
      </c>
      <c r="G6419">
        <v>-189.5795</v>
      </c>
      <c r="H6419" s="1">
        <v>-1.214479E-6</v>
      </c>
      <c r="I6419">
        <v>-17.71012</v>
      </c>
      <c r="J6419">
        <v>-188.90479999999999</v>
      </c>
      <c r="K6419">
        <v>1.108868</v>
      </c>
      <c r="L6419">
        <v>-35.982390000000002</v>
      </c>
      <c r="M6419">
        <v>3.5096849999999999E-2</v>
      </c>
      <c r="N6419">
        <v>-8.8085630000000002E-3</v>
      </c>
      <c r="O6419">
        <v>0.99934509999999999</v>
      </c>
      <c r="P6419">
        <v>-9.4476069999999995E-2</v>
      </c>
      <c r="Q6419">
        <v>-6.1305199999999997E-2</v>
      </c>
      <c r="R6419">
        <v>0.99363769999999996</v>
      </c>
      <c r="S6419">
        <v>-0.10748290000000001</v>
      </c>
      <c r="T6419">
        <v>-0.1792628</v>
      </c>
      <c r="U6419">
        <v>2.9981080000000002</v>
      </c>
      <c r="V6419">
        <v>-0.1292539</v>
      </c>
      <c r="W6419">
        <v>-5.2680280000000003E-2</v>
      </c>
      <c r="X6419">
        <v>0.99021119999999996</v>
      </c>
      <c r="Y6419">
        <v>-7.0813219999999996E-2</v>
      </c>
      <c r="Z6419">
        <v>-5.0735540000000003E-2</v>
      </c>
      <c r="AA6419">
        <v>0.99619849999999999</v>
      </c>
      <c r="AB6419">
        <v>29</v>
      </c>
      <c r="AC6419">
        <v>-0.67470000000000097</v>
      </c>
      <c r="AD6419">
        <v>-1.108869214479</v>
      </c>
      <c r="AE6419">
        <v>18.272269999999999</v>
      </c>
      <c r="AF6419">
        <v>-1.3107875254285899</v>
      </c>
      <c r="AG6419">
        <v>-1.108869214479</v>
      </c>
      <c r="AH6419">
        <v>18.170504270738999</v>
      </c>
      <c r="AI6419">
        <v>93.483159937809305</v>
      </c>
      <c r="AJ6419">
        <v>94.126067236201806</v>
      </c>
      <c r="AK6419">
        <v>18.251437760477401</v>
      </c>
      <c r="AL6419">
        <v>93.019755546207705</v>
      </c>
      <c r="AM6419">
        <v>97.436865049111901</v>
      </c>
      <c r="AN6419">
        <v>1.00000000158576</v>
      </c>
    </row>
    <row r="6420" spans="1:40" x14ac:dyDescent="0.25">
      <c r="A6420" t="str">
        <f>"20190305135357500"</f>
        <v>20190305135357500</v>
      </c>
      <c r="B6420" t="str">
        <f>"1551765237495932"</f>
        <v>1551765237495932</v>
      </c>
      <c r="C6420" t="s">
        <v>40</v>
      </c>
      <c r="D6420">
        <v>4.6902059999999999</v>
      </c>
      <c r="E6420">
        <v>0.52283219999999997</v>
      </c>
      <c r="F6420" t="s">
        <v>42</v>
      </c>
      <c r="G6420">
        <v>-189.54499999999999</v>
      </c>
      <c r="H6420" s="1">
        <v>-1.3122459999999999E-6</v>
      </c>
      <c r="I6420">
        <v>-17.496449999999999</v>
      </c>
      <c r="J6420">
        <v>-188.89429999999999</v>
      </c>
      <c r="K6420">
        <v>1.108463</v>
      </c>
      <c r="L6420">
        <v>-35.686709999999998</v>
      </c>
      <c r="M6420">
        <v>3.5546880000000003E-2</v>
      </c>
      <c r="N6420">
        <v>-8.2822880000000005E-3</v>
      </c>
      <c r="O6420">
        <v>0.99933369999999999</v>
      </c>
      <c r="P6420">
        <v>-9.3604010000000001E-2</v>
      </c>
      <c r="Q6420">
        <v>-6.1844089999999997E-2</v>
      </c>
      <c r="R6420">
        <v>0.99368690000000004</v>
      </c>
      <c r="S6420">
        <v>-0.1038361</v>
      </c>
      <c r="T6420">
        <v>-0.17984720000000001</v>
      </c>
      <c r="U6420">
        <v>2.99823</v>
      </c>
      <c r="V6420">
        <v>-0.12887380000000001</v>
      </c>
      <c r="W6420">
        <v>-5.3632279999999997E-2</v>
      </c>
      <c r="X6420">
        <v>0.99020960000000002</v>
      </c>
      <c r="Y6420">
        <v>-7.0050890000000005E-2</v>
      </c>
      <c r="Z6420">
        <v>-5.1454119999999999E-2</v>
      </c>
      <c r="AA6420">
        <v>0.99621550000000003</v>
      </c>
      <c r="AB6420">
        <v>29</v>
      </c>
      <c r="AC6420">
        <v>-0.65069999999999995</v>
      </c>
      <c r="AD6420">
        <v>-1.1084643122460001</v>
      </c>
      <c r="AE6420">
        <v>18.190259999999999</v>
      </c>
      <c r="AF6420">
        <v>-1.29212591619616</v>
      </c>
      <c r="AG6420">
        <v>-1.1084643122460001</v>
      </c>
      <c r="AH6420">
        <v>18.088548770657699</v>
      </c>
      <c r="AI6420">
        <v>93.497803485375101</v>
      </c>
      <c r="AJ6420">
        <v>94.085890067193105</v>
      </c>
      <c r="AK6420">
        <v>18.168485879216501</v>
      </c>
      <c r="AL6420">
        <v>93.074378468748705</v>
      </c>
      <c r="AM6420">
        <v>97.415250875204094</v>
      </c>
      <c r="AN6420">
        <v>0.99999996485829801</v>
      </c>
    </row>
    <row r="6421" spans="1:40" x14ac:dyDescent="0.25">
      <c r="A6421" t="str">
        <f>"20190305135357523"</f>
        <v>20190305135357523</v>
      </c>
      <c r="B6421" t="str">
        <f>"1551765237516428"</f>
        <v>1551765237516428</v>
      </c>
      <c r="C6421" t="s">
        <v>40</v>
      </c>
      <c r="D6421">
        <v>4.7183529999999996</v>
      </c>
      <c r="E6421">
        <v>0.52297970000000005</v>
      </c>
      <c r="F6421" t="s">
        <v>42</v>
      </c>
      <c r="G6421">
        <v>-189.49459999999999</v>
      </c>
      <c r="H6421" s="1">
        <v>-1.2827799999999999E-6</v>
      </c>
      <c r="I6421">
        <v>-17.586010000000002</v>
      </c>
      <c r="J6421">
        <v>-188.88310000000001</v>
      </c>
      <c r="K6421">
        <v>1.1080779999999999</v>
      </c>
      <c r="L6421">
        <v>-35.385219999999997</v>
      </c>
      <c r="M6421">
        <v>3.6373660000000002E-2</v>
      </c>
      <c r="N6421">
        <v>-7.7747229999999999E-3</v>
      </c>
      <c r="O6421">
        <v>0.99930799999999997</v>
      </c>
      <c r="P6421">
        <v>-9.2849760000000003E-2</v>
      </c>
      <c r="Q6421">
        <v>-6.2129120000000003E-2</v>
      </c>
      <c r="R6421">
        <v>0.99373979999999995</v>
      </c>
      <c r="S6421">
        <v>-9.9426269999999997E-2</v>
      </c>
      <c r="T6421">
        <v>-0.18360969999999999</v>
      </c>
      <c r="U6421">
        <v>2.9982600000000001</v>
      </c>
      <c r="V6421">
        <v>-0.1289843</v>
      </c>
      <c r="W6421">
        <v>-5.431772E-2</v>
      </c>
      <c r="X6421">
        <v>0.99015790000000004</v>
      </c>
      <c r="Y6421">
        <v>-6.9410289999999999E-2</v>
      </c>
      <c r="Z6421">
        <v>-5.3206459999999997E-2</v>
      </c>
      <c r="AA6421">
        <v>0.99616830000000001</v>
      </c>
      <c r="AB6421">
        <v>29</v>
      </c>
      <c r="AC6421">
        <v>-0.61149999999997795</v>
      </c>
      <c r="AD6421">
        <v>-1.1080792827799999</v>
      </c>
      <c r="AE6421">
        <v>17.799209999999999</v>
      </c>
      <c r="AF6421">
        <v>-1.2536842474826799</v>
      </c>
      <c r="AG6421">
        <v>-1.1080792827799999</v>
      </c>
      <c r="AH6421">
        <v>17.696683053729199</v>
      </c>
      <c r="AI6421">
        <v>93.573968617740704</v>
      </c>
      <c r="AJ6421">
        <v>94.052228907134193</v>
      </c>
      <c r="AK6421">
        <v>17.775605615378101</v>
      </c>
      <c r="AL6421">
        <v>93.113708463804201</v>
      </c>
      <c r="AM6421">
        <v>97.421921256693395</v>
      </c>
      <c r="AN6421">
        <v>1.00000001564244</v>
      </c>
    </row>
    <row r="6422" spans="1:40" x14ac:dyDescent="0.25">
      <c r="A6422" t="str">
        <f>"20190305135357545"</f>
        <v>20190305135357545</v>
      </c>
      <c r="B6422" t="str">
        <f>"1551765237535948"</f>
        <v>1551765237535948</v>
      </c>
      <c r="C6422" t="s">
        <v>40</v>
      </c>
      <c r="D6422">
        <v>4.7238920000000002</v>
      </c>
      <c r="E6422">
        <v>0.52308599999999905</v>
      </c>
      <c r="F6422" t="s">
        <v>42</v>
      </c>
      <c r="G6422">
        <v>-189.4573</v>
      </c>
      <c r="H6422" s="1">
        <v>-1.3435280000000001E-6</v>
      </c>
      <c r="I6422">
        <v>-17.459800000000001</v>
      </c>
      <c r="J6422">
        <v>-188.87129999999999</v>
      </c>
      <c r="K6422">
        <v>1.107737</v>
      </c>
      <c r="L6422">
        <v>-35.086550000000003</v>
      </c>
      <c r="M6422">
        <v>3.7506209999999998E-2</v>
      </c>
      <c r="N6422">
        <v>-7.2983099999999997E-3</v>
      </c>
      <c r="O6422">
        <v>0.99926970000000004</v>
      </c>
      <c r="P6422">
        <v>-9.1461539999999994E-2</v>
      </c>
      <c r="Q6422">
        <v>-6.0937999999999999E-2</v>
      </c>
      <c r="R6422">
        <v>0.99394229999999995</v>
      </c>
      <c r="S6422">
        <v>-9.605408E-2</v>
      </c>
      <c r="T6422">
        <v>-0.1853445</v>
      </c>
      <c r="U6422">
        <v>2.9983219999999999</v>
      </c>
      <c r="V6422">
        <v>-0.12876189999999901</v>
      </c>
      <c r="W6422">
        <v>-5.3508750000000001E-2</v>
      </c>
      <c r="X6422">
        <v>0.99023090000000002</v>
      </c>
      <c r="Y6422">
        <v>-6.9420200000000001E-2</v>
      </c>
      <c r="Z6422">
        <v>-5.425261E-2</v>
      </c>
      <c r="AA6422">
        <v>0.99611119999999997</v>
      </c>
      <c r="AB6422">
        <v>30</v>
      </c>
      <c r="AC6422">
        <v>-0.58600000000001196</v>
      </c>
      <c r="AD6422">
        <v>-1.1077383435279999</v>
      </c>
      <c r="AE6422">
        <v>17.626750000000001</v>
      </c>
      <c r="AF6422">
        <v>-1.24181887747877</v>
      </c>
      <c r="AG6422">
        <v>-1.1077383435279999</v>
      </c>
      <c r="AH6422">
        <v>17.523238159518002</v>
      </c>
      <c r="AI6422">
        <v>93.608136995979393</v>
      </c>
      <c r="AJ6422">
        <v>94.053601725929994</v>
      </c>
      <c r="AK6422">
        <v>17.602075842279898</v>
      </c>
      <c r="AL6422">
        <v>93.067290360682904</v>
      </c>
      <c r="AM6422">
        <v>97.408726245533202</v>
      </c>
      <c r="AN6422">
        <v>1.0000000242664899</v>
      </c>
    </row>
    <row r="6423" spans="1:40" x14ac:dyDescent="0.25">
      <c r="A6423" t="str">
        <f>"20190305135357568"</f>
        <v>20190305135357568</v>
      </c>
      <c r="B6423" t="str">
        <f>"1551765237566204"</f>
        <v>1551765237566204</v>
      </c>
      <c r="C6423" t="s">
        <v>40</v>
      </c>
      <c r="D6423">
        <v>4.7558119999999997</v>
      </c>
      <c r="E6423">
        <v>0.52330209999999999</v>
      </c>
      <c r="F6423" t="s">
        <v>42</v>
      </c>
      <c r="G6423">
        <v>-189.42259999999999</v>
      </c>
      <c r="H6423" s="1">
        <v>-1.5879669999999901E-6</v>
      </c>
      <c r="I6423">
        <v>-16.904350000000001</v>
      </c>
      <c r="J6423">
        <v>-188.8586</v>
      </c>
      <c r="K6423">
        <v>1.1074600000000001</v>
      </c>
      <c r="L6423">
        <v>-34.780359999999902</v>
      </c>
      <c r="M6423">
        <v>3.8935259999999999E-2</v>
      </c>
      <c r="N6423">
        <v>-6.8377519999999999E-3</v>
      </c>
      <c r="O6423">
        <v>0.9992183</v>
      </c>
      <c r="P6423">
        <v>-8.9618009999999998E-2</v>
      </c>
      <c r="Q6423">
        <v>-6.0279859999999998E-2</v>
      </c>
      <c r="R6423">
        <v>0.99415030000000004</v>
      </c>
      <c r="S6423">
        <v>-9.092712E-2</v>
      </c>
      <c r="T6423">
        <v>-0.182695</v>
      </c>
      <c r="U6423">
        <v>2.9987180000000002</v>
      </c>
      <c r="V6423">
        <v>-0.12837280000000001</v>
      </c>
      <c r="W6423">
        <v>-5.3234089999999998E-2</v>
      </c>
      <c r="X6423">
        <v>0.99029619999999996</v>
      </c>
      <c r="Y6423">
        <v>-6.9143300000000005E-2</v>
      </c>
      <c r="Z6423">
        <v>-5.3825249999999998E-2</v>
      </c>
      <c r="AA6423">
        <v>0.99615370000000003</v>
      </c>
      <c r="AB6423">
        <v>30</v>
      </c>
      <c r="AC6423">
        <v>-0.56399999999999295</v>
      </c>
      <c r="AD6423">
        <v>-1.107461587967</v>
      </c>
      <c r="AE6423">
        <v>17.876009999999901</v>
      </c>
      <c r="AF6423">
        <v>-1.2547845170679901</v>
      </c>
      <c r="AG6423">
        <v>-1.107461587967</v>
      </c>
      <c r="AH6423">
        <v>17.772350410870501</v>
      </c>
      <c r="AI6423">
        <v>93.556872423312697</v>
      </c>
      <c r="AJ6423">
        <v>94.038562842125103</v>
      </c>
      <c r="AK6423">
        <v>17.850977409650898</v>
      </c>
      <c r="AL6423">
        <v>93.051531103057897</v>
      </c>
      <c r="AM6423">
        <v>97.386104056465399</v>
      </c>
      <c r="AN6423">
        <v>1.0000000039262</v>
      </c>
    </row>
    <row r="6424" spans="1:40" x14ac:dyDescent="0.25">
      <c r="A6424" t="str">
        <f>"20190305135357591"</f>
        <v>20190305135357591</v>
      </c>
      <c r="B6424" t="str">
        <f>"1551765237586700"</f>
        <v>1551765237586700</v>
      </c>
      <c r="C6424" t="s">
        <v>40</v>
      </c>
      <c r="D6424">
        <v>4.7799779999999998</v>
      </c>
      <c r="E6424">
        <v>0.52339760000000002</v>
      </c>
      <c r="F6424" t="s">
        <v>42</v>
      </c>
      <c r="G6424">
        <v>-189.3691</v>
      </c>
      <c r="H6424" s="1">
        <v>-1.7765569999999999E-6</v>
      </c>
      <c r="I6424">
        <v>-16.486879999999999</v>
      </c>
      <c r="J6424">
        <v>-188.84520000000001</v>
      </c>
      <c r="K6424">
        <v>1.1072500000000001</v>
      </c>
      <c r="L6424">
        <v>-34.474240000000002</v>
      </c>
      <c r="M6424">
        <v>4.0529370000000002E-2</v>
      </c>
      <c r="N6424">
        <v>-6.405549E-3</v>
      </c>
      <c r="O6424">
        <v>0.99915779999999998</v>
      </c>
      <c r="P6424">
        <v>-8.7213189999999996E-2</v>
      </c>
      <c r="Q6424">
        <v>-5.9420319999999999E-2</v>
      </c>
      <c r="R6424">
        <v>0.99441590000000002</v>
      </c>
      <c r="S6424">
        <v>-8.3694459999999998E-2</v>
      </c>
      <c r="T6424">
        <v>-0.18156030000000001</v>
      </c>
      <c r="U6424">
        <v>2.9990839999999999</v>
      </c>
      <c r="V6424">
        <v>-0.12758130000000001</v>
      </c>
      <c r="W6424">
        <v>-5.2749650000000002E-2</v>
      </c>
      <c r="X6424">
        <v>0.99042439999999998</v>
      </c>
      <c r="Y6424">
        <v>-6.8332050000000005E-2</v>
      </c>
      <c r="Z6424">
        <v>-5.3872450000000002E-2</v>
      </c>
      <c r="AA6424">
        <v>0.99620710000000001</v>
      </c>
      <c r="AB6424">
        <v>30</v>
      </c>
      <c r="AC6424">
        <v>-0.52389999999999703</v>
      </c>
      <c r="AD6424">
        <v>-1.107251776557</v>
      </c>
      <c r="AE6424">
        <v>17.987359999999999</v>
      </c>
      <c r="AF6424">
        <v>-1.24777667398806</v>
      </c>
      <c r="AG6424">
        <v>-1.107251776557</v>
      </c>
      <c r="AH6424">
        <v>17.8836374002809</v>
      </c>
      <c r="AI6424">
        <v>93.534331555160193</v>
      </c>
      <c r="AJ6424">
        <v>93.991171481962496</v>
      </c>
      <c r="AK6424">
        <v>17.961276118070401</v>
      </c>
      <c r="AL6424">
        <v>93.023735684440396</v>
      </c>
      <c r="AM6424">
        <v>97.340122441307898</v>
      </c>
      <c r="AN6424">
        <v>1.00000000290008</v>
      </c>
    </row>
    <row r="6425" spans="1:40" x14ac:dyDescent="0.25">
      <c r="A6425" t="str">
        <f>"20190305135357614"</f>
        <v>20190305135357614</v>
      </c>
      <c r="B6425" t="str">
        <f>"1551765237606220"</f>
        <v>1551765237606220</v>
      </c>
      <c r="C6425" t="s">
        <v>40</v>
      </c>
      <c r="D6425">
        <v>4.7944659999999999</v>
      </c>
      <c r="E6425">
        <v>0.52364860000000002</v>
      </c>
      <c r="F6425" t="s">
        <v>42</v>
      </c>
      <c r="G6425">
        <v>-189.31110000000001</v>
      </c>
      <c r="H6425" s="1">
        <v>-2.006487E-6</v>
      </c>
      <c r="I6425">
        <v>-15.974909999999999</v>
      </c>
      <c r="J6425">
        <v>-188.83109999999999</v>
      </c>
      <c r="K6425">
        <v>1.107075</v>
      </c>
      <c r="L6425">
        <v>-34.164029999999997</v>
      </c>
      <c r="M6425">
        <v>4.2249920000000003E-2</v>
      </c>
      <c r="N6425">
        <v>-5.9841829999999997E-3</v>
      </c>
      <c r="O6425">
        <v>0.99908920000000001</v>
      </c>
      <c r="P6425">
        <v>-8.2837510000000003E-2</v>
      </c>
      <c r="Q6425">
        <v>-5.795177E-2</v>
      </c>
      <c r="R6425">
        <v>0.9948766</v>
      </c>
      <c r="S6425">
        <v>-7.5531009999999996E-2</v>
      </c>
      <c r="T6425">
        <v>-0.17953160000000001</v>
      </c>
      <c r="U6425">
        <v>2.9995120000000002</v>
      </c>
      <c r="V6425">
        <v>-0.1249461</v>
      </c>
      <c r="W6425">
        <v>-5.1665999999999997E-2</v>
      </c>
      <c r="X6425">
        <v>0.99081739999999996</v>
      </c>
      <c r="Y6425">
        <v>-6.7338350000000005E-2</v>
      </c>
      <c r="Z6425">
        <v>-5.3611699999999998E-2</v>
      </c>
      <c r="AA6425">
        <v>0.99628879999999997</v>
      </c>
      <c r="AB6425">
        <v>30</v>
      </c>
      <c r="AC6425">
        <v>-0.48000000000001802</v>
      </c>
      <c r="AD6425">
        <v>-1.1070770064869999</v>
      </c>
      <c r="AE6425">
        <v>18.189119999999999</v>
      </c>
      <c r="AF6425">
        <v>-1.24347070834839</v>
      </c>
      <c r="AG6425">
        <v>-1.1070770064869999</v>
      </c>
      <c r="AH6425">
        <v>18.085645485488701</v>
      </c>
      <c r="AI6425">
        <v>93.4946473402549</v>
      </c>
      <c r="AJ6425">
        <v>93.933156660790004</v>
      </c>
      <c r="AK6425">
        <v>18.1621147317043</v>
      </c>
      <c r="AL6425">
        <v>92.961562294245297</v>
      </c>
      <c r="AM6425">
        <v>97.187292819476696</v>
      </c>
      <c r="AN6425">
        <v>1.0000000118019801</v>
      </c>
    </row>
    <row r="6426" spans="1:40" x14ac:dyDescent="0.25">
      <c r="A6426" t="str">
        <f>"20190305135357646"</f>
        <v>20190305135357646</v>
      </c>
      <c r="B6426" t="str">
        <f>"1551765237636476"</f>
        <v>1551765237636476</v>
      </c>
      <c r="C6426" t="s">
        <v>40</v>
      </c>
      <c r="D6426">
        <v>4.8130379999999997</v>
      </c>
      <c r="E6426">
        <v>0.52394289999999999</v>
      </c>
      <c r="F6426" t="s">
        <v>42</v>
      </c>
      <c r="G6426">
        <v>-189.21090000000001</v>
      </c>
      <c r="H6426" s="1">
        <v>-2.307412E-6</v>
      </c>
      <c r="I6426">
        <v>-15.314870000000001</v>
      </c>
      <c r="J6426">
        <v>-188.81020000000001</v>
      </c>
      <c r="K6426">
        <v>1.106903</v>
      </c>
      <c r="L6426">
        <v>-33.726619999999997</v>
      </c>
      <c r="M6426">
        <v>4.4762280000000002E-2</v>
      </c>
      <c r="N6426">
        <v>-5.3992040000000003E-3</v>
      </c>
      <c r="O6426">
        <v>0.99898310000000001</v>
      </c>
      <c r="P6426">
        <v>-7.559913E-2</v>
      </c>
      <c r="Q6426">
        <v>-5.7958469999999998E-2</v>
      </c>
      <c r="R6426">
        <v>0.99545249999999996</v>
      </c>
      <c r="S6426">
        <v>-6.045532E-2</v>
      </c>
      <c r="T6426">
        <v>-0.17620939999999999</v>
      </c>
      <c r="U6426">
        <v>3.0001530000000001</v>
      </c>
      <c r="V6426">
        <v>-0.1202463</v>
      </c>
      <c r="W6426">
        <v>-5.2231809999999997E-2</v>
      </c>
      <c r="X6426">
        <v>0.9913691</v>
      </c>
      <c r="Y6426">
        <v>-6.4840579999999995E-2</v>
      </c>
      <c r="Z6426">
        <v>-5.3083520000000002E-2</v>
      </c>
      <c r="AA6426">
        <v>0.99648270000000005</v>
      </c>
      <c r="AB6426">
        <v>30</v>
      </c>
      <c r="AC6426">
        <v>-0.4007</v>
      </c>
      <c r="AD6426">
        <v>-1.1069053074120001</v>
      </c>
      <c r="AE6426">
        <v>18.411750000000001</v>
      </c>
      <c r="AF6426">
        <v>-1.2200546327095401</v>
      </c>
      <c r="AG6426">
        <v>-1.1069053074120001</v>
      </c>
      <c r="AH6426">
        <v>18.309213579811299</v>
      </c>
      <c r="AI6426">
        <v>93.452036596163893</v>
      </c>
      <c r="AJ6426">
        <v>93.812331381384695</v>
      </c>
      <c r="AK6426">
        <v>18.383173680774501</v>
      </c>
      <c r="AL6426">
        <v>92.994024646596898</v>
      </c>
      <c r="AM6426">
        <v>96.915803543945003</v>
      </c>
      <c r="AN6426">
        <v>1.00000001353718</v>
      </c>
    </row>
    <row r="6427" spans="1:40" x14ac:dyDescent="0.25">
      <c r="A6427" t="str">
        <f>"20190305135357669"</f>
        <v>20190305135357669</v>
      </c>
      <c r="B6427" t="str">
        <f>"1551765237666733"</f>
        <v>1551765237666733</v>
      </c>
      <c r="C6427" t="s">
        <v>40</v>
      </c>
      <c r="D6427">
        <v>4.8086270000000004</v>
      </c>
      <c r="E6427">
        <v>0.52408329999999903</v>
      </c>
      <c r="F6427" t="s">
        <v>42</v>
      </c>
      <c r="G6427">
        <v>-189.03569999999999</v>
      </c>
      <c r="H6427" s="1">
        <v>-2.4570099999999998E-6</v>
      </c>
      <c r="I6427">
        <v>-15.038600000000001</v>
      </c>
      <c r="J6427">
        <v>-188.79409999999999</v>
      </c>
      <c r="K6427">
        <v>1.106806</v>
      </c>
      <c r="L6427">
        <v>-33.40643</v>
      </c>
      <c r="M6427">
        <v>4.6619069999999999E-2</v>
      </c>
      <c r="N6427">
        <v>-4.9766669999999997E-3</v>
      </c>
      <c r="O6427">
        <v>0.99890040000000002</v>
      </c>
      <c r="P6427">
        <v>-7.1700029999999998E-2</v>
      </c>
      <c r="Q6427">
        <v>-5.801162E-2</v>
      </c>
      <c r="R6427">
        <v>0.99573780000000001</v>
      </c>
      <c r="S6427">
        <v>-3.6209110000000003E-2</v>
      </c>
      <c r="T6427">
        <v>-0.17772829999999901</v>
      </c>
      <c r="U6427">
        <v>3.00061</v>
      </c>
      <c r="V6427">
        <v>-0.11821379999999999</v>
      </c>
      <c r="W6427">
        <v>-5.2696090000000001E-2</v>
      </c>
      <c r="X6427">
        <v>0.99158900000000005</v>
      </c>
      <c r="Y6427">
        <v>-5.8642439999999997E-2</v>
      </c>
      <c r="Z6427">
        <v>-5.4007590000000001E-2</v>
      </c>
      <c r="AA6427">
        <v>0.99681710000000001</v>
      </c>
      <c r="AB6427">
        <v>31</v>
      </c>
      <c r="AC6427">
        <v>-0.24160000000000501</v>
      </c>
      <c r="AD6427">
        <v>-1.1068084570100001</v>
      </c>
      <c r="AE6427">
        <v>18.367830000000001</v>
      </c>
      <c r="AF6427">
        <v>-1.09366856845344</v>
      </c>
      <c r="AG6427">
        <v>-1.1068084570100001</v>
      </c>
      <c r="AH6427">
        <v>18.270267275005601</v>
      </c>
      <c r="AI6427">
        <v>93.460548582901396</v>
      </c>
      <c r="AJ6427">
        <v>93.425670062329999</v>
      </c>
      <c r="AK6427">
        <v>18.336406469051401</v>
      </c>
      <c r="AL6427">
        <v>93.020662467764197</v>
      </c>
      <c r="AM6427">
        <v>96.798517041613593</v>
      </c>
      <c r="AN6427">
        <v>1.0000000626663601</v>
      </c>
    </row>
    <row r="6428" spans="1:40" x14ac:dyDescent="0.25">
      <c r="A6428" t="str">
        <f>"20190305135357691"</f>
        <v>20190305135357691</v>
      </c>
      <c r="B6428" t="str">
        <f>"1551765237686252"</f>
        <v>1551765237686252</v>
      </c>
      <c r="C6428" t="s">
        <v>40</v>
      </c>
      <c r="D6428">
        <v>4.8547729999999998</v>
      </c>
      <c r="E6428">
        <v>0.52419009999999999</v>
      </c>
      <c r="F6428" t="s">
        <v>42</v>
      </c>
      <c r="G6428">
        <v>-188.93860000000001</v>
      </c>
      <c r="H6428" s="1">
        <v>-2.5619139999999999E-6</v>
      </c>
      <c r="I6428">
        <v>-14.834199999999999</v>
      </c>
      <c r="J6428">
        <v>-188.7783</v>
      </c>
      <c r="K6428">
        <v>1.106733</v>
      </c>
      <c r="L6428">
        <v>-33.101869999999998</v>
      </c>
      <c r="M6428">
        <v>4.8374210000000001E-2</v>
      </c>
      <c r="N6428">
        <v>-4.588773E-3</v>
      </c>
      <c r="O6428">
        <v>0.99881880000000001</v>
      </c>
      <c r="P6428">
        <v>-6.9138320000000003E-2</v>
      </c>
      <c r="Q6428">
        <v>-5.6447310000000001E-2</v>
      </c>
      <c r="R6428">
        <v>0.99600880000000003</v>
      </c>
      <c r="S6428">
        <v>-2.3345950000000001E-2</v>
      </c>
      <c r="T6428">
        <v>-0.17882799999999999</v>
      </c>
      <c r="U6428">
        <v>3.0007320000000002</v>
      </c>
      <c r="V6428">
        <v>-0.1174101</v>
      </c>
      <c r="W6428">
        <v>-5.1508650000000003E-2</v>
      </c>
      <c r="X6428">
        <v>0.99174680000000004</v>
      </c>
      <c r="Y6428">
        <v>-5.6123979999999997E-2</v>
      </c>
      <c r="Z6428">
        <v>-5.4754909999999997E-2</v>
      </c>
      <c r="AA6428">
        <v>0.99692119999999995</v>
      </c>
      <c r="AB6428">
        <v>31</v>
      </c>
      <c r="AC6428">
        <v>-0.16030000000000599</v>
      </c>
      <c r="AD6428">
        <v>-1.106735561914</v>
      </c>
      <c r="AE6428">
        <v>18.267669999999999</v>
      </c>
      <c r="AF6428">
        <v>-1.03998873620799</v>
      </c>
      <c r="AG6428">
        <v>-1.106735561914</v>
      </c>
      <c r="AH6428">
        <v>18.171834807543199</v>
      </c>
      <c r="AI6428">
        <v>93.479551571215296</v>
      </c>
      <c r="AJ6428">
        <v>93.275510544382797</v>
      </c>
      <c r="AK6428">
        <v>18.235186328855601</v>
      </c>
      <c r="AL6428">
        <v>92.952534835922407</v>
      </c>
      <c r="AM6428">
        <v>96.751659714455599</v>
      </c>
      <c r="AN6428">
        <v>0.999999993958536</v>
      </c>
    </row>
    <row r="6429" spans="1:40" x14ac:dyDescent="0.25">
      <c r="A6429" t="str">
        <f>"20190305135357713"</f>
        <v>20190305135357713</v>
      </c>
      <c r="B6429" t="str">
        <f>"1551765237706748"</f>
        <v>1551765237706748</v>
      </c>
      <c r="C6429" t="s">
        <v>40</v>
      </c>
      <c r="D6429">
        <v>4.8339019999999904</v>
      </c>
      <c r="E6429">
        <v>0.52439609999999903</v>
      </c>
      <c r="F6429" t="s">
        <v>42</v>
      </c>
      <c r="G6429">
        <v>-188.87219999999999</v>
      </c>
      <c r="H6429" s="1">
        <v>-2.8887349999999999E-6</v>
      </c>
      <c r="I6429">
        <v>-14.099819999999999</v>
      </c>
      <c r="J6429">
        <v>-188.7621</v>
      </c>
      <c r="K6429">
        <v>1.106671</v>
      </c>
      <c r="L6429">
        <v>-32.799529999999997</v>
      </c>
      <c r="M6429">
        <v>5.010096E-2</v>
      </c>
      <c r="N6429">
        <v>-4.2152040000000002E-3</v>
      </c>
      <c r="O6429">
        <v>0.99873520000000005</v>
      </c>
      <c r="P6429">
        <v>-6.7106410000000005E-2</v>
      </c>
      <c r="Q6429">
        <v>-5.2893330000000002E-2</v>
      </c>
      <c r="R6429">
        <v>0.99634279999999997</v>
      </c>
      <c r="S6429">
        <v>-1.4831540000000001E-2</v>
      </c>
      <c r="T6429">
        <v>-0.1747911</v>
      </c>
      <c r="U6429">
        <v>3.0010680000000001</v>
      </c>
      <c r="V6429">
        <v>-0.117104399999999</v>
      </c>
      <c r="W6429">
        <v>-4.8317260000000001E-2</v>
      </c>
      <c r="X6429">
        <v>0.99194349999999998</v>
      </c>
      <c r="Y6429">
        <v>-5.5022149999999999E-2</v>
      </c>
      <c r="Z6429">
        <v>-5.3781450000000001E-2</v>
      </c>
      <c r="AA6429">
        <v>0.99703569999999997</v>
      </c>
      <c r="AB6429">
        <v>31</v>
      </c>
      <c r="AC6429">
        <v>-0.110099999999988</v>
      </c>
      <c r="AD6429">
        <v>-1.1066738887350001</v>
      </c>
      <c r="AE6429">
        <v>18.69971</v>
      </c>
      <c r="AF6429">
        <v>-1.0431899602777499</v>
      </c>
      <c r="AG6429">
        <v>-1.1066738887350001</v>
      </c>
      <c r="AH6429">
        <v>18.605547154012701</v>
      </c>
      <c r="AI6429">
        <v>93.398665967406203</v>
      </c>
      <c r="AJ6429">
        <v>93.209143264436094</v>
      </c>
      <c r="AK6429">
        <v>18.667601808733298</v>
      </c>
      <c r="AL6429">
        <v>92.769453495231005</v>
      </c>
      <c r="AM6429">
        <v>96.732918992787802</v>
      </c>
      <c r="AN6429">
        <v>0.99999995265275698</v>
      </c>
    </row>
    <row r="6430" spans="1:40" x14ac:dyDescent="0.25">
      <c r="A6430" t="str">
        <f>"20190305135357735"</f>
        <v>20190305135357735</v>
      </c>
      <c r="B6430" t="str">
        <f>"1551765237726268"</f>
        <v>1551765237726268</v>
      </c>
      <c r="C6430" t="s">
        <v>40</v>
      </c>
      <c r="D6430">
        <v>4.8457489999999996</v>
      </c>
      <c r="E6430">
        <v>0.52449760000000001</v>
      </c>
      <c r="F6430" t="s">
        <v>42</v>
      </c>
      <c r="G6430">
        <v>-188.8082</v>
      </c>
      <c r="H6430" s="1">
        <v>-3.5685670000000002E-6</v>
      </c>
      <c r="I6430">
        <v>-12.541600000000001</v>
      </c>
      <c r="J6430">
        <v>-188.74449999999999</v>
      </c>
      <c r="K6430">
        <v>1.1066129999999901</v>
      </c>
      <c r="L6430">
        <v>-32.47992</v>
      </c>
      <c r="M6430">
        <v>5.1910020000000001E-2</v>
      </c>
      <c r="N6430">
        <v>-3.8365539999999998E-3</v>
      </c>
      <c r="O6430">
        <v>0.99864439999999999</v>
      </c>
      <c r="P6430">
        <v>-6.5043870000000004E-2</v>
      </c>
      <c r="Q6430">
        <v>-4.8870879999999998E-2</v>
      </c>
      <c r="R6430">
        <v>0.99668500000000004</v>
      </c>
      <c r="S6430">
        <v>-6.8206789999999996E-3</v>
      </c>
      <c r="T6430">
        <v>-0.16398760000000001</v>
      </c>
      <c r="U6430">
        <v>3.0018310000000001</v>
      </c>
      <c r="V6430">
        <v>-0.11684899999999999</v>
      </c>
      <c r="W6430">
        <v>-4.466295E-2</v>
      </c>
      <c r="X6430">
        <v>0.9921449</v>
      </c>
      <c r="Y6430">
        <v>-5.4170320000000001E-2</v>
      </c>
      <c r="Z6430">
        <v>-5.0566010000000002E-2</v>
      </c>
      <c r="AA6430">
        <v>0.99725059999999999</v>
      </c>
      <c r="AB6430">
        <v>31</v>
      </c>
      <c r="AC6430">
        <v>-6.37000000000114E-2</v>
      </c>
      <c r="AD6430">
        <v>-1.10661656856699</v>
      </c>
      <c r="AE6430">
        <v>19.938320000000001</v>
      </c>
      <c r="AF6430">
        <v>-1.0952464785593099</v>
      </c>
      <c r="AG6430">
        <v>-1.10661656856699</v>
      </c>
      <c r="AH6430">
        <v>19.846993914043001</v>
      </c>
      <c r="AI6430">
        <v>93.186520337952899</v>
      </c>
      <c r="AJ6430">
        <v>93.158635306589801</v>
      </c>
      <c r="AK6430">
        <v>19.907971581823301</v>
      </c>
      <c r="AL6430">
        <v>92.559850110792297</v>
      </c>
      <c r="AM6430">
        <v>96.717017811014998</v>
      </c>
      <c r="AN6430">
        <v>0.999999985249856</v>
      </c>
    </row>
    <row r="6431" spans="1:40" x14ac:dyDescent="0.25">
      <c r="A6431" t="str">
        <f>"20190305135357757"</f>
        <v>20190305135357757</v>
      </c>
      <c r="B6431" t="str">
        <f>"1551765237746764"</f>
        <v>1551765237746764</v>
      </c>
      <c r="C6431" t="s">
        <v>40</v>
      </c>
      <c r="D6431">
        <v>4.8651660000000003</v>
      </c>
      <c r="E6431">
        <v>0.52450540000000001</v>
      </c>
      <c r="F6431" t="s">
        <v>42</v>
      </c>
      <c r="G6431">
        <v>-188.7431</v>
      </c>
      <c r="H6431" s="1">
        <v>-4.3871510000000002E-6</v>
      </c>
      <c r="I6431">
        <v>-10.660349999999999</v>
      </c>
      <c r="J6431">
        <v>-188.727</v>
      </c>
      <c r="K6431">
        <v>1.106563</v>
      </c>
      <c r="L6431">
        <v>-32.172969999999999</v>
      </c>
      <c r="M6431">
        <v>5.3633630000000002E-2</v>
      </c>
      <c r="N6431">
        <v>-3.4976360000000001E-3</v>
      </c>
      <c r="O6431">
        <v>0.99855450000000001</v>
      </c>
      <c r="P6431">
        <v>-6.3334349999999998E-2</v>
      </c>
      <c r="Q6431">
        <v>-4.4662189999999997E-2</v>
      </c>
      <c r="R6431">
        <v>0.99699249999999995</v>
      </c>
      <c r="S6431">
        <v>1.8310550000000001E-4</v>
      </c>
      <c r="T6431">
        <v>-0.15227869999999999</v>
      </c>
      <c r="U6431">
        <v>3.0025330000000001</v>
      </c>
      <c r="V6431">
        <v>-0.1168594</v>
      </c>
      <c r="W6431">
        <v>-4.078333E-2</v>
      </c>
      <c r="X6431">
        <v>0.99231080000000005</v>
      </c>
      <c r="Y6431">
        <v>-5.3567999999999998E-2</v>
      </c>
      <c r="Z6431">
        <v>-4.701251E-2</v>
      </c>
      <c r="AA6431">
        <v>0.99745689999999998</v>
      </c>
      <c r="AB6431">
        <v>31</v>
      </c>
      <c r="AC6431">
        <v>-1.60999999999944E-2</v>
      </c>
      <c r="AD6431">
        <v>-1.106567387151</v>
      </c>
      <c r="AE6431">
        <v>21.512619999999998</v>
      </c>
      <c r="AF6431">
        <v>-1.16679665462325</v>
      </c>
      <c r="AG6431">
        <v>-1.106567387151</v>
      </c>
      <c r="AH6431">
        <v>21.4241071376184</v>
      </c>
      <c r="AI6431">
        <v>92.952364848795398</v>
      </c>
      <c r="AJ6431">
        <v>93.1173548497935</v>
      </c>
      <c r="AK6431">
        <v>21.484372749971001</v>
      </c>
      <c r="AL6431">
        <v>92.337360792695506</v>
      </c>
      <c r="AM6431">
        <v>96.716497361597106</v>
      </c>
      <c r="AN6431">
        <v>1.0000000615854401</v>
      </c>
    </row>
    <row r="6432" spans="1:40" x14ac:dyDescent="0.25">
      <c r="A6432" t="str">
        <f>"20190305135357779"</f>
        <v>20190305135357779</v>
      </c>
      <c r="B6432" t="str">
        <f>"1551765237776044"</f>
        <v>1551765237776044</v>
      </c>
      <c r="C6432" t="s">
        <v>40</v>
      </c>
      <c r="D6432">
        <v>4.8710969999999998</v>
      </c>
      <c r="E6432">
        <v>0.52442339999999998</v>
      </c>
      <c r="F6432" t="s">
        <v>42</v>
      </c>
      <c r="G6432">
        <v>-188.68459999999999</v>
      </c>
      <c r="H6432" s="1">
        <v>-1.0170420000000001E-6</v>
      </c>
      <c r="I6432">
        <v>-8.5403760000000002</v>
      </c>
      <c r="J6432">
        <v>-188.708</v>
      </c>
      <c r="K6432">
        <v>1.1065229999999999</v>
      </c>
      <c r="L6432">
        <v>-31.849209999999999</v>
      </c>
      <c r="M6432">
        <v>5.5440360000000001E-2</v>
      </c>
      <c r="N6432">
        <v>-3.1704709999999998E-3</v>
      </c>
      <c r="O6432">
        <v>0.99845700000000004</v>
      </c>
      <c r="P6432">
        <v>-6.2105840000000002E-2</v>
      </c>
      <c r="Q6432">
        <v>-4.0988429999999999E-2</v>
      </c>
      <c r="R6432">
        <v>0.99722750000000004</v>
      </c>
      <c r="S6432">
        <v>5.386353E-3</v>
      </c>
      <c r="T6432">
        <v>-0.1406152</v>
      </c>
      <c r="U6432">
        <v>3.003082</v>
      </c>
      <c r="V6432">
        <v>-0.1174308</v>
      </c>
      <c r="W6432">
        <v>-3.742562E-2</v>
      </c>
      <c r="X6432">
        <v>0.99237560000000002</v>
      </c>
      <c r="Y6432">
        <v>-5.3647100000000003E-2</v>
      </c>
      <c r="Z6432">
        <v>-4.3463740000000001E-2</v>
      </c>
      <c r="AA6432">
        <v>0.99761359999999999</v>
      </c>
      <c r="AB6432">
        <v>32</v>
      </c>
      <c r="AC6432">
        <v>2.3400000000009399E-2</v>
      </c>
      <c r="AD6432">
        <v>-1.1065240170420001</v>
      </c>
      <c r="AE6432">
        <v>23.308834000000001</v>
      </c>
      <c r="AF6432">
        <v>-1.2660394214541399</v>
      </c>
      <c r="AG6432">
        <v>-1.1065240170420001</v>
      </c>
      <c r="AH6432">
        <v>23.221948594682701</v>
      </c>
      <c r="AI6432">
        <v>92.724036647887502</v>
      </c>
      <c r="AJ6432">
        <v>93.120624157192097</v>
      </c>
      <c r="AK6432">
        <v>23.282743561510401</v>
      </c>
      <c r="AL6432">
        <v>92.144830971701097</v>
      </c>
      <c r="AM6432">
        <v>96.748599743213404</v>
      </c>
      <c r="AN6432">
        <v>1.0000000006481899</v>
      </c>
    </row>
    <row r="6433" spans="1:40" x14ac:dyDescent="0.25">
      <c r="A6433" t="str">
        <f>"20190305135357801"</f>
        <v>20190305135357801</v>
      </c>
      <c r="B6433" t="str">
        <f>"1551765237796542"</f>
        <v>1551765237796542</v>
      </c>
      <c r="C6433" t="s">
        <v>40</v>
      </c>
      <c r="D6433">
        <v>4.8768890000000003</v>
      </c>
      <c r="E6433">
        <v>0.52055220000000002</v>
      </c>
      <c r="F6433" t="s">
        <v>42</v>
      </c>
      <c r="G6433">
        <v>-188.63800000000001</v>
      </c>
      <c r="H6433" s="1">
        <v>-1.864604E-6</v>
      </c>
      <c r="I6433">
        <v>-6.5839410000000003</v>
      </c>
      <c r="J6433">
        <v>-188.69</v>
      </c>
      <c r="K6433">
        <v>1.1064909999999999</v>
      </c>
      <c r="L6433">
        <v>-31.551539999999999</v>
      </c>
      <c r="M6433">
        <v>5.7088880000000002E-2</v>
      </c>
      <c r="N6433">
        <v>-2.898201E-3</v>
      </c>
      <c r="O6433">
        <v>0.9983649</v>
      </c>
      <c r="P6433">
        <v>-6.1272060000000003E-2</v>
      </c>
      <c r="Q6433">
        <v>-3.6359370000000002E-2</v>
      </c>
      <c r="R6433">
        <v>0.99745859999999997</v>
      </c>
      <c r="S6433">
        <v>8.3160400000000002E-3</v>
      </c>
      <c r="T6433">
        <v>-0.13153979999999901</v>
      </c>
      <c r="U6433">
        <v>3.0034480000000001</v>
      </c>
      <c r="V6433">
        <v>-0.1182354</v>
      </c>
      <c r="W6433">
        <v>-3.3058909999999997E-2</v>
      </c>
      <c r="X6433">
        <v>0.99243519999999996</v>
      </c>
      <c r="Y6433">
        <v>-5.4323179999999999E-2</v>
      </c>
      <c r="Z6433">
        <v>-4.071955E-2</v>
      </c>
      <c r="AA6433">
        <v>0.99769280000000005</v>
      </c>
      <c r="AB6433">
        <v>32</v>
      </c>
      <c r="AC6433">
        <v>5.1999999999992497E-2</v>
      </c>
      <c r="AD6433">
        <v>-1.106492864604</v>
      </c>
      <c r="AE6433">
        <v>24.967599</v>
      </c>
      <c r="AF6433">
        <v>-1.3707708516436301</v>
      </c>
      <c r="AG6433">
        <v>-1.106492864604</v>
      </c>
      <c r="AH6433">
        <v>24.880981352646099</v>
      </c>
      <c r="AI6433">
        <v>92.542497024825806</v>
      </c>
      <c r="AJ6433">
        <v>93.153415273290307</v>
      </c>
      <c r="AK6433">
        <v>24.943267072656202</v>
      </c>
      <c r="AL6433">
        <v>91.894481081436098</v>
      </c>
      <c r="AM6433">
        <v>96.794004046859698</v>
      </c>
      <c r="AN6433">
        <v>1.00000006377129</v>
      </c>
    </row>
    <row r="6434" spans="1:40" x14ac:dyDescent="0.25">
      <c r="A6434" t="str">
        <f>"20190305135357825"</f>
        <v>20190305135357825</v>
      </c>
      <c r="B6434" t="str">
        <f>"1551765237816060"</f>
        <v>1551765237816060</v>
      </c>
      <c r="C6434" t="s">
        <v>40</v>
      </c>
      <c r="D6434">
        <v>4.8932399999999996</v>
      </c>
      <c r="E6434">
        <v>0.52160569999999995</v>
      </c>
      <c r="F6434" t="s">
        <v>42</v>
      </c>
      <c r="G6434">
        <v>-188.79910000000001</v>
      </c>
      <c r="H6434" s="1">
        <v>-3.0997970000000001E-6</v>
      </c>
      <c r="I6434">
        <v>-13.638059999999999</v>
      </c>
      <c r="J6434">
        <v>-188.6679</v>
      </c>
      <c r="K6434">
        <v>1.1064609999999999</v>
      </c>
      <c r="L6434">
        <v>-31.196380000000001</v>
      </c>
      <c r="M6434">
        <v>5.9027030000000001E-2</v>
      </c>
      <c r="N6434">
        <v>-2.6071480000000001E-3</v>
      </c>
      <c r="O6434">
        <v>0.99825299999999995</v>
      </c>
      <c r="P6434">
        <v>-5.8943639999999999E-2</v>
      </c>
      <c r="Q6434">
        <v>-3.1784800000000002E-2</v>
      </c>
      <c r="R6434">
        <v>0.99775519999999995</v>
      </c>
      <c r="S6434">
        <v>-1.8280029999999999E-2</v>
      </c>
      <c r="T6434">
        <v>-0.18529119999999999</v>
      </c>
      <c r="U6434">
        <v>2.9997560000000001</v>
      </c>
      <c r="V6434">
        <v>-0.1178403</v>
      </c>
      <c r="W6434">
        <v>-2.87712E-2</v>
      </c>
      <c r="X6434">
        <v>0.99261569999999999</v>
      </c>
      <c r="Y6434">
        <v>-6.5093090000000006E-2</v>
      </c>
      <c r="Z6434">
        <v>-5.8821279999999997E-2</v>
      </c>
      <c r="AA6434">
        <v>0.99614409999999998</v>
      </c>
      <c r="AB6434">
        <v>32</v>
      </c>
      <c r="AC6434">
        <v>-0.13120000000000601</v>
      </c>
      <c r="AD6434">
        <v>-1.1064640997969999</v>
      </c>
      <c r="AE6434">
        <v>17.558319999999899</v>
      </c>
      <c r="AF6434">
        <v>-1.16277301154018</v>
      </c>
      <c r="AG6434">
        <v>-1.1064640997969999</v>
      </c>
      <c r="AH6434">
        <v>17.450666327378201</v>
      </c>
      <c r="AI6434">
        <v>93.619991667892194</v>
      </c>
      <c r="AJ6434">
        <v>93.812098060429307</v>
      </c>
      <c r="AK6434">
        <v>17.524327637601299</v>
      </c>
      <c r="AL6434">
        <v>91.648695806961697</v>
      </c>
      <c r="AM6434">
        <v>96.770292185521399</v>
      </c>
      <c r="AN6434">
        <v>1.0000000230699999</v>
      </c>
    </row>
    <row r="6435" spans="1:40" x14ac:dyDescent="0.25">
      <c r="A6435" t="str">
        <f>"20190305135357848"</f>
        <v>20190305135357848</v>
      </c>
      <c r="B6435" t="str">
        <f>"1551765237836556"</f>
        <v>1551765237836556</v>
      </c>
      <c r="C6435" t="s">
        <v>40</v>
      </c>
      <c r="D6435">
        <v>4.9158730000000004</v>
      </c>
      <c r="E6435">
        <v>0.5220534</v>
      </c>
      <c r="F6435" t="s">
        <v>42</v>
      </c>
      <c r="G6435">
        <v>-188.68639999999999</v>
      </c>
      <c r="H6435" s="1">
        <v>-3.9960950000000002E-6</v>
      </c>
      <c r="I6435">
        <v>-11.59538</v>
      </c>
      <c r="J6435">
        <v>-188.64689999999999</v>
      </c>
      <c r="K6435">
        <v>1.106455</v>
      </c>
      <c r="L6435">
        <v>-30.867339999999999</v>
      </c>
      <c r="M6435">
        <v>6.076235E-2</v>
      </c>
      <c r="N6435">
        <v>-2.3748089999999999E-3</v>
      </c>
      <c r="O6435">
        <v>0.99814950000000002</v>
      </c>
      <c r="P6435">
        <v>-5.6761600000000002E-2</v>
      </c>
      <c r="Q6435">
        <v>-2.8547199999999998E-2</v>
      </c>
      <c r="R6435">
        <v>0.99797950000000002</v>
      </c>
      <c r="S6435">
        <v>-2.8228760000000002E-3</v>
      </c>
      <c r="T6435">
        <v>-0.1694155</v>
      </c>
      <c r="U6435">
        <v>3.0011899999999998</v>
      </c>
      <c r="V6435">
        <v>-0.1173898</v>
      </c>
      <c r="W6435">
        <v>-2.5768340000000001E-2</v>
      </c>
      <c r="X6435">
        <v>0.99275150000000001</v>
      </c>
      <c r="Y6435">
        <v>-6.169558E-2</v>
      </c>
      <c r="Z6435">
        <v>-5.3778630000000001E-2</v>
      </c>
      <c r="AA6435">
        <v>0.99664520000000001</v>
      </c>
      <c r="AB6435">
        <v>32</v>
      </c>
      <c r="AC6435">
        <v>-3.9500000000003803E-2</v>
      </c>
      <c r="AD6435">
        <v>-1.106458996095</v>
      </c>
      <c r="AE6435">
        <v>19.27196</v>
      </c>
      <c r="AF6435">
        <v>-1.2064630447025999</v>
      </c>
      <c r="AG6435">
        <v>-1.106458996095</v>
      </c>
      <c r="AH6435">
        <v>19.1707589739197</v>
      </c>
      <c r="AI6435">
        <v>93.296709641421103</v>
      </c>
      <c r="AJ6435">
        <v>93.601015495511504</v>
      </c>
      <c r="AK6435">
        <v>19.2405250506424</v>
      </c>
      <c r="AL6435">
        <v>91.476580631935505</v>
      </c>
      <c r="AM6435">
        <v>96.743734339712006</v>
      </c>
      <c r="AN6435">
        <v>0.99999995662132102</v>
      </c>
    </row>
    <row r="6436" spans="1:40" x14ac:dyDescent="0.25">
      <c r="A6436" t="str">
        <f>"20190305135357869"</f>
        <v>20190305135357869</v>
      </c>
      <c r="B6436" t="str">
        <f>"1551765237866813"</f>
        <v>1551765237866813</v>
      </c>
      <c r="C6436" t="s">
        <v>40</v>
      </c>
      <c r="D6436">
        <v>4.8608710000000004</v>
      </c>
      <c r="E6436">
        <v>0.52192839999999996</v>
      </c>
      <c r="F6436" t="s">
        <v>42</v>
      </c>
      <c r="G6436">
        <v>-188.59739999999999</v>
      </c>
      <c r="H6436" s="1">
        <v>-4.3629549999999998E-6</v>
      </c>
      <c r="I6436">
        <v>-10.77703</v>
      </c>
      <c r="J6436">
        <v>-188.62649999999999</v>
      </c>
      <c r="K6436">
        <v>1.1064689999999999</v>
      </c>
      <c r="L6436">
        <v>-30.55658</v>
      </c>
      <c r="M6436">
        <v>6.2322019999999999E-2</v>
      </c>
      <c r="N6436">
        <v>-2.1829570000000001E-3</v>
      </c>
      <c r="O6436">
        <v>0.99805370000000004</v>
      </c>
      <c r="P6436">
        <v>-5.4964569999999997E-2</v>
      </c>
      <c r="Q6436">
        <v>-2.639296E-2</v>
      </c>
      <c r="R6436">
        <v>0.99813940000000001</v>
      </c>
      <c r="S6436">
        <v>7.4005130000000001E-3</v>
      </c>
      <c r="T6436">
        <v>-0.1653203</v>
      </c>
      <c r="U6436">
        <v>3.00177</v>
      </c>
      <c r="V6436">
        <v>-0.1171484</v>
      </c>
      <c r="W6436">
        <v>-2.3814040000000002E-2</v>
      </c>
      <c r="X6436">
        <v>0.99282879999999996</v>
      </c>
      <c r="Y6436">
        <v>-5.9860990000000003E-2</v>
      </c>
      <c r="Z6436">
        <v>-5.2601660000000001E-2</v>
      </c>
      <c r="AA6436">
        <v>0.99681980000000003</v>
      </c>
      <c r="AB6436">
        <v>32</v>
      </c>
      <c r="AC6436">
        <v>2.9099999999999598E-2</v>
      </c>
      <c r="AD6436">
        <v>-1.1064733629549901</v>
      </c>
      <c r="AE6436">
        <v>19.77955</v>
      </c>
      <c r="AF6436">
        <v>-1.19990614869282</v>
      </c>
      <c r="AG6436">
        <v>-1.1064733629549901</v>
      </c>
      <c r="AH6436">
        <v>19.681324888008199</v>
      </c>
      <c r="AI6436">
        <v>93.211799344643893</v>
      </c>
      <c r="AJ6436">
        <v>93.488818389437697</v>
      </c>
      <c r="AK6436">
        <v>19.748888764078099</v>
      </c>
      <c r="AL6436">
        <v>91.3645730630749</v>
      </c>
      <c r="AM6436">
        <v>96.729474699573103</v>
      </c>
      <c r="AN6436">
        <v>0.99999994111655899</v>
      </c>
    </row>
    <row r="6437" spans="1:40" x14ac:dyDescent="0.25">
      <c r="A6437" t="str">
        <f>"20190305135357891"</f>
        <v>20190305135357891</v>
      </c>
      <c r="B6437" t="str">
        <f>"1551765237886332"</f>
        <v>1551765237886332</v>
      </c>
      <c r="C6437" t="s">
        <v>40</v>
      </c>
      <c r="D6437">
        <v>4.8891859999999996</v>
      </c>
      <c r="E6437">
        <v>0.52248019999999995</v>
      </c>
      <c r="F6437" t="s">
        <v>42</v>
      </c>
      <c r="G6437">
        <v>-188.54570000000001</v>
      </c>
      <c r="H6437" s="1">
        <v>-4.6598559999999998E-7</v>
      </c>
      <c r="I6437">
        <v>-10.11966</v>
      </c>
      <c r="J6437">
        <v>-188.60570000000001</v>
      </c>
      <c r="K6437">
        <v>1.106487</v>
      </c>
      <c r="L6437">
        <v>-30.243960000000001</v>
      </c>
      <c r="M6437">
        <v>6.3808210000000004E-2</v>
      </c>
      <c r="N6437">
        <v>-2.0149489999999998E-3</v>
      </c>
      <c r="O6437">
        <v>0.99796019999999996</v>
      </c>
      <c r="P6437">
        <v>-5.3450989999999997E-2</v>
      </c>
      <c r="Q6437">
        <v>-2.475728E-2</v>
      </c>
      <c r="R6437">
        <v>0.99826349999999997</v>
      </c>
      <c r="S6437">
        <v>1.1871339999999999E-2</v>
      </c>
      <c r="T6437">
        <v>-0.162527799999999</v>
      </c>
      <c r="U6437">
        <v>3.0019529999999999</v>
      </c>
      <c r="V6437">
        <v>-0.11711679999999999</v>
      </c>
      <c r="W6437">
        <v>-2.2357660000000001E-2</v>
      </c>
      <c r="X6437">
        <v>0.99286649999999999</v>
      </c>
      <c r="Y6437">
        <v>-5.986325E-2</v>
      </c>
      <c r="Z6437">
        <v>-5.1835810000000003E-2</v>
      </c>
      <c r="AA6437">
        <v>0.99685979999999996</v>
      </c>
      <c r="AB6437">
        <v>33</v>
      </c>
      <c r="AC6437">
        <v>6.0000000000002197E-2</v>
      </c>
      <c r="AD6437">
        <v>-1.1064874659856001</v>
      </c>
      <c r="AE6437">
        <v>20.124300000000002</v>
      </c>
      <c r="AF6437">
        <v>-1.2205306231523401</v>
      </c>
      <c r="AG6437">
        <v>-1.1064874659856001</v>
      </c>
      <c r="AH6437">
        <v>20.026576977238701</v>
      </c>
      <c r="AI6437">
        <v>93.156586056724294</v>
      </c>
      <c r="AJ6437">
        <v>93.4876086280522</v>
      </c>
      <c r="AK6437">
        <v>20.094222924505001</v>
      </c>
      <c r="AL6437">
        <v>91.281106241029704</v>
      </c>
      <c r="AM6437">
        <v>96.727422995647004</v>
      </c>
      <c r="AN6437">
        <v>1.0000000483125799</v>
      </c>
    </row>
    <row r="6438" spans="1:40" x14ac:dyDescent="0.25">
      <c r="A6438" t="str">
        <f>"20190305135357912"</f>
        <v>20190305135357912</v>
      </c>
      <c r="B6438" t="str">
        <f>"1551765237906828"</f>
        <v>1551765237906828</v>
      </c>
      <c r="C6438" t="s">
        <v>40</v>
      </c>
      <c r="D6438">
        <v>4.8509520000000004</v>
      </c>
      <c r="E6438">
        <v>0.52280519999999997</v>
      </c>
      <c r="F6438" t="s">
        <v>42</v>
      </c>
      <c r="G6438">
        <v>-188.45750000000001</v>
      </c>
      <c r="H6438" s="1">
        <v>-8.9440889999999995E-7</v>
      </c>
      <c r="I6438">
        <v>-8.9296970000000009</v>
      </c>
      <c r="J6438">
        <v>-188.5831</v>
      </c>
      <c r="K6438">
        <v>1.1065149999999999</v>
      </c>
      <c r="L6438">
        <v>-29.912109999999998</v>
      </c>
      <c r="M6438">
        <v>6.5260769999999996E-2</v>
      </c>
      <c r="N6438">
        <v>-1.861976E-3</v>
      </c>
      <c r="O6438">
        <v>0.99786649999999999</v>
      </c>
      <c r="P6438">
        <v>-5.0832420000000003E-2</v>
      </c>
      <c r="Q6438">
        <v>-2.4740990000000001E-2</v>
      </c>
      <c r="R6438">
        <v>0.99840070000000003</v>
      </c>
      <c r="S6438">
        <v>2.087402E-2</v>
      </c>
      <c r="T6438">
        <v>-0.15586749999999999</v>
      </c>
      <c r="U6438">
        <v>3.002472</v>
      </c>
      <c r="V6438">
        <v>-0.1159545</v>
      </c>
      <c r="W6438">
        <v>-2.2516040000000001E-2</v>
      </c>
      <c r="X6438">
        <v>0.99299930000000003</v>
      </c>
      <c r="Y6438">
        <v>-5.8327650000000002E-2</v>
      </c>
      <c r="Z6438">
        <v>-4.9773650000000003E-2</v>
      </c>
      <c r="AA6438">
        <v>0.99705589999999999</v>
      </c>
      <c r="AB6438">
        <v>33</v>
      </c>
      <c r="AC6438">
        <v>0.125599999999991</v>
      </c>
      <c r="AD6438">
        <v>-1.10651589440889</v>
      </c>
      <c r="AE6438">
        <v>20.982413000000001</v>
      </c>
      <c r="AF6438">
        <v>-1.24054869124516</v>
      </c>
      <c r="AG6438">
        <v>-1.10651589440889</v>
      </c>
      <c r="AH6438">
        <v>20.887792887486299</v>
      </c>
      <c r="AI6438">
        <v>93.027044519199407</v>
      </c>
      <c r="AJ6438">
        <v>93.398866011747998</v>
      </c>
      <c r="AK6438">
        <v>20.953835691597199</v>
      </c>
      <c r="AL6438">
        <v>91.290183075454493</v>
      </c>
      <c r="AM6438">
        <v>96.660378275436102</v>
      </c>
      <c r="AN6438">
        <v>1.0000000139640099</v>
      </c>
    </row>
    <row r="6439" spans="1:40" x14ac:dyDescent="0.25">
      <c r="A6439" t="str">
        <f>"20190305135357936"</f>
        <v>20190305135357936</v>
      </c>
      <c r="B6439" t="str">
        <f>"1551765237926348"</f>
        <v>1551765237926348</v>
      </c>
      <c r="C6439" t="s">
        <v>40</v>
      </c>
      <c r="D6439">
        <v>4.9011950000000004</v>
      </c>
      <c r="E6439">
        <v>0.52302459999999995</v>
      </c>
      <c r="F6439" t="s">
        <v>42</v>
      </c>
      <c r="G6439">
        <v>-188.3638</v>
      </c>
      <c r="H6439" s="1">
        <v>-9.2244489999999998E-7</v>
      </c>
      <c r="I6439">
        <v>-8.9205649999999999</v>
      </c>
      <c r="J6439">
        <v>-188.55930000000001</v>
      </c>
      <c r="K6439">
        <v>1.106584</v>
      </c>
      <c r="L6439">
        <v>-29.566279999999999</v>
      </c>
      <c r="M6439">
        <v>6.6591360000000002E-2</v>
      </c>
      <c r="N6439">
        <v>-1.7271229999999999E-3</v>
      </c>
      <c r="O6439">
        <v>0.99777879999999997</v>
      </c>
      <c r="P6439">
        <v>-4.8179039999999999E-2</v>
      </c>
      <c r="Q6439">
        <v>-2.7672189999999999E-2</v>
      </c>
      <c r="R6439">
        <v>0.99845530000000005</v>
      </c>
      <c r="S6439">
        <v>3.1372070000000002E-2</v>
      </c>
      <c r="T6439">
        <v>-0.15826770000000001</v>
      </c>
      <c r="U6439">
        <v>3.002472</v>
      </c>
      <c r="V6439">
        <v>-0.11463760000000001</v>
      </c>
      <c r="W6439">
        <v>-2.5613790000000001E-2</v>
      </c>
      <c r="X6439">
        <v>0.99307710000000005</v>
      </c>
      <c r="Y6439">
        <v>-5.6173599999999997E-2</v>
      </c>
      <c r="Z6439">
        <v>-5.0697060000000002E-2</v>
      </c>
      <c r="AA6439">
        <v>0.99713309999999999</v>
      </c>
      <c r="AB6439">
        <v>33</v>
      </c>
      <c r="AC6439">
        <v>0.195500000000009</v>
      </c>
      <c r="AD6439">
        <v>-1.1065849224449</v>
      </c>
      <c r="AE6439">
        <v>20.645714999999999</v>
      </c>
      <c r="AF6439">
        <v>-1.1763830446478201</v>
      </c>
      <c r="AG6439">
        <v>-1.1065849224449</v>
      </c>
      <c r="AH6439">
        <v>20.5538644307425</v>
      </c>
      <c r="AI6439">
        <v>93.076706145612903</v>
      </c>
      <c r="AJ6439">
        <v>93.275701802687607</v>
      </c>
      <c r="AK6439">
        <v>20.617219751839901</v>
      </c>
      <c r="AL6439">
        <v>91.467722601849303</v>
      </c>
      <c r="AM6439">
        <v>96.584892887536</v>
      </c>
      <c r="AN6439">
        <v>0.99999998605816698</v>
      </c>
    </row>
    <row r="6440" spans="1:40" x14ac:dyDescent="0.25">
      <c r="A6440" t="str">
        <f>"20190305135357958"</f>
        <v>20190305135357958</v>
      </c>
      <c r="B6440" t="str">
        <f>"1551765237945871"</f>
        <v>1551765237945871</v>
      </c>
      <c r="C6440" t="s">
        <v>40</v>
      </c>
      <c r="D6440">
        <v>4.8422010000000002</v>
      </c>
      <c r="E6440">
        <v>0.52301520000000001</v>
      </c>
      <c r="F6440" t="s">
        <v>42</v>
      </c>
      <c r="G6440">
        <v>-188.29179999999999</v>
      </c>
      <c r="H6440" s="1">
        <v>-5.900306E-7</v>
      </c>
      <c r="I6440">
        <v>-9.9536630000000006</v>
      </c>
      <c r="J6440">
        <v>-188.53620000000001</v>
      </c>
      <c r="K6440">
        <v>1.1066849999999999</v>
      </c>
      <c r="L6440">
        <v>-29.235140000000001</v>
      </c>
      <c r="M6440">
        <v>6.7648490000000006E-2</v>
      </c>
      <c r="N6440">
        <v>-1.6191129999999999E-3</v>
      </c>
      <c r="O6440">
        <v>0.99770789999999998</v>
      </c>
      <c r="P6440">
        <v>-4.6225420000000003E-2</v>
      </c>
      <c r="Q6440">
        <v>-3.0188920000000001E-2</v>
      </c>
      <c r="R6440">
        <v>0.9984748</v>
      </c>
      <c r="S6440">
        <v>4.0939330000000003E-2</v>
      </c>
      <c r="T6440">
        <v>-0.16937469999999999</v>
      </c>
      <c r="U6440">
        <v>3.0019230000000001</v>
      </c>
      <c r="V6440">
        <v>-0.1137411</v>
      </c>
      <c r="W6440">
        <v>-2.827708E-2</v>
      </c>
      <c r="X6440">
        <v>0.99310790000000004</v>
      </c>
      <c r="Y6440">
        <v>-5.4054770000000002E-2</v>
      </c>
      <c r="Z6440">
        <v>-5.4479409999999999E-2</v>
      </c>
      <c r="AA6440">
        <v>0.99705069999999996</v>
      </c>
      <c r="AB6440">
        <v>33</v>
      </c>
      <c r="AC6440">
        <v>0.244400000000013</v>
      </c>
      <c r="AD6440">
        <v>-1.1066855900306001</v>
      </c>
      <c r="AE6440">
        <v>19.281476999999999</v>
      </c>
      <c r="AF6440">
        <v>-1.0570426922579399</v>
      </c>
      <c r="AG6440">
        <v>-1.1066855900306001</v>
      </c>
      <c r="AH6440">
        <v>19.1906302863012</v>
      </c>
      <c r="AI6440">
        <v>93.295494184570401</v>
      </c>
      <c r="AJ6440">
        <v>93.152733712991903</v>
      </c>
      <c r="AK6440">
        <v>19.251555340645599</v>
      </c>
      <c r="AL6440">
        <v>91.620373384831893</v>
      </c>
      <c r="AM6440">
        <v>96.533643207997599</v>
      </c>
      <c r="AN6440">
        <v>0.99999996606247199</v>
      </c>
    </row>
    <row r="6441" spans="1:40" x14ac:dyDescent="0.25">
      <c r="A6441" t="str">
        <f>"20190305135357980"</f>
        <v>20190305135357980</v>
      </c>
      <c r="B6441" t="str">
        <f>"1551765237976124"</f>
        <v>1551765237976124</v>
      </c>
      <c r="C6441" t="s">
        <v>40</v>
      </c>
      <c r="D6441">
        <v>4.8284799999999999</v>
      </c>
      <c r="E6441">
        <v>0.52330940000000004</v>
      </c>
      <c r="F6441" t="s">
        <v>42</v>
      </c>
      <c r="G6441">
        <v>-188.2457</v>
      </c>
      <c r="H6441" s="1">
        <v>-4.4891150000000001E-6</v>
      </c>
      <c r="I6441">
        <v>-10.628349999999999</v>
      </c>
      <c r="J6441">
        <v>-188.5138</v>
      </c>
      <c r="K6441">
        <v>1.1068180000000001</v>
      </c>
      <c r="L6441">
        <v>-28.915800000000001</v>
      </c>
      <c r="M6441">
        <v>6.8427470000000004E-2</v>
      </c>
      <c r="N6441">
        <v>-1.533066E-3</v>
      </c>
      <c r="O6441">
        <v>0.99765490000000001</v>
      </c>
      <c r="P6441">
        <v>-4.5090230000000002E-2</v>
      </c>
      <c r="Q6441">
        <v>-3.1576010000000002E-2</v>
      </c>
      <c r="R6441">
        <v>0.99848380000000003</v>
      </c>
      <c r="S6441">
        <v>4.6859739999999997E-2</v>
      </c>
      <c r="T6441">
        <v>-0.1785148</v>
      </c>
      <c r="U6441">
        <v>3.0013730000000001</v>
      </c>
      <c r="V6441">
        <v>-0.11337659999999999</v>
      </c>
      <c r="W6441">
        <v>-2.979526E-2</v>
      </c>
      <c r="X6441">
        <v>0.99310520000000002</v>
      </c>
      <c r="Y6441">
        <v>-5.2868350000000001E-2</v>
      </c>
      <c r="Z6441">
        <v>-5.7589519999999998E-2</v>
      </c>
      <c r="AA6441">
        <v>0.99693949999999998</v>
      </c>
      <c r="AB6441">
        <v>33</v>
      </c>
      <c r="AC6441">
        <v>0.268100000000004</v>
      </c>
      <c r="AD6441">
        <v>-1.106822489115</v>
      </c>
      <c r="AE6441">
        <v>18.28745</v>
      </c>
      <c r="AF6441">
        <v>-0.98030364344809295</v>
      </c>
      <c r="AG6441">
        <v>-1.106822489115</v>
      </c>
      <c r="AH6441">
        <v>18.196290612416998</v>
      </c>
      <c r="AI6441">
        <v>93.475803341643996</v>
      </c>
      <c r="AJ6441">
        <v>93.083761262471199</v>
      </c>
      <c r="AK6441">
        <v>18.256260386708501</v>
      </c>
      <c r="AL6441">
        <v>91.707395379944501</v>
      </c>
      <c r="AM6441">
        <v>96.512902928952499</v>
      </c>
      <c r="AN6441">
        <v>0.999999974606533</v>
      </c>
    </row>
    <row r="6442" spans="1:40" x14ac:dyDescent="0.25">
      <c r="A6442" t="str">
        <f>"20190305135358002"</f>
        <v>20190305135358002</v>
      </c>
      <c r="B6442" t="str">
        <f>"1551765237996621"</f>
        <v>1551765237996621</v>
      </c>
      <c r="C6442" t="s">
        <v>40</v>
      </c>
      <c r="D6442">
        <v>4.7968029999999997</v>
      </c>
      <c r="E6442">
        <v>0.52330589999999999</v>
      </c>
      <c r="F6442" t="s">
        <v>42</v>
      </c>
      <c r="G6442">
        <v>-188.20089999999999</v>
      </c>
      <c r="H6442" s="1">
        <v>-4.3402049999999999E-6</v>
      </c>
      <c r="I6442">
        <v>-10.99399</v>
      </c>
      <c r="J6442">
        <v>-188.4897</v>
      </c>
      <c r="K6442">
        <v>1.106992</v>
      </c>
      <c r="L6442">
        <v>-28.57217</v>
      </c>
      <c r="M6442">
        <v>6.8993399999999996E-2</v>
      </c>
      <c r="N6442">
        <v>-1.458069E-3</v>
      </c>
      <c r="O6442">
        <v>0.99761610000000001</v>
      </c>
      <c r="P6442">
        <v>-4.3892960000000002E-2</v>
      </c>
      <c r="Q6442">
        <v>-3.2776630000000001E-2</v>
      </c>
      <c r="R6442">
        <v>0.99849840000000001</v>
      </c>
      <c r="S6442">
        <v>5.2398680000000003E-2</v>
      </c>
      <c r="T6442">
        <v>-0.18534120000000001</v>
      </c>
      <c r="U6442">
        <v>3.0010680000000001</v>
      </c>
      <c r="V6442">
        <v>-0.1127341</v>
      </c>
      <c r="W6442">
        <v>-3.1126609999999999E-2</v>
      </c>
      <c r="X6442">
        <v>0.99313750000000001</v>
      </c>
      <c r="Y6442">
        <v>-5.159619E-2</v>
      </c>
      <c r="Z6442">
        <v>-5.9920679999999997E-2</v>
      </c>
      <c r="AA6442">
        <v>0.9968688</v>
      </c>
      <c r="AB6442">
        <v>34</v>
      </c>
      <c r="AC6442">
        <v>0.28880000000000899</v>
      </c>
      <c r="AD6442">
        <v>-1.106996340205</v>
      </c>
      <c r="AE6442">
        <v>17.57818</v>
      </c>
      <c r="AF6442">
        <v>-0.92101611620129697</v>
      </c>
      <c r="AG6442">
        <v>-1.106996340205</v>
      </c>
      <c r="AH6442">
        <v>17.486885499801801</v>
      </c>
      <c r="AI6442">
        <v>93.617239642189801</v>
      </c>
      <c r="AJ6442">
        <v>93.014923501471202</v>
      </c>
      <c r="AK6442">
        <v>17.5460786521293</v>
      </c>
      <c r="AL6442">
        <v>91.783711548334097</v>
      </c>
      <c r="AM6442">
        <v>96.476100215842905</v>
      </c>
      <c r="AN6442">
        <v>0.99999996852957496</v>
      </c>
    </row>
    <row r="6443" spans="1:40" x14ac:dyDescent="0.25">
      <c r="A6443" t="str">
        <f>"20190305135358027"</f>
        <v>20190305135358027</v>
      </c>
      <c r="B6443" t="str">
        <f>"1551765238016142"</f>
        <v>1551765238016142</v>
      </c>
      <c r="C6443" t="s">
        <v>40</v>
      </c>
      <c r="D6443">
        <v>4.837758</v>
      </c>
      <c r="E6443">
        <v>0.52321519999999999</v>
      </c>
      <c r="F6443" t="s">
        <v>42</v>
      </c>
      <c r="G6443">
        <v>-188.16499999999999</v>
      </c>
      <c r="H6443" s="1">
        <v>-4.28555E-6</v>
      </c>
      <c r="I6443">
        <v>-11.136240000000001</v>
      </c>
      <c r="J6443">
        <v>-188.46360000000001</v>
      </c>
      <c r="K6443">
        <v>1.1072059999999999</v>
      </c>
      <c r="L6443">
        <v>-28.200099999999999</v>
      </c>
      <c r="M6443">
        <v>6.9270479999999995E-2</v>
      </c>
      <c r="N6443">
        <v>-1.395561E-3</v>
      </c>
      <c r="O6443">
        <v>0.99759690000000001</v>
      </c>
      <c r="P6443">
        <v>-4.3016550000000001E-2</v>
      </c>
      <c r="Q6443">
        <v>-3.436869E-2</v>
      </c>
      <c r="R6443">
        <v>0.99848309999999996</v>
      </c>
      <c r="S6443">
        <v>5.5877690000000001E-2</v>
      </c>
      <c r="T6443">
        <v>-0.19051280000000001</v>
      </c>
      <c r="U6443">
        <v>3.000702</v>
      </c>
      <c r="V6443">
        <v>-0.1121185</v>
      </c>
      <c r="W6443">
        <v>-3.2846149999999998E-2</v>
      </c>
      <c r="X6443">
        <v>0.99315180000000003</v>
      </c>
      <c r="Y6443">
        <v>-5.071813E-2</v>
      </c>
      <c r="Z6443">
        <v>-6.1695640000000003E-2</v>
      </c>
      <c r="AA6443">
        <v>0.99680550000000001</v>
      </c>
      <c r="AB6443">
        <v>34</v>
      </c>
      <c r="AC6443">
        <v>0.29860000000002102</v>
      </c>
      <c r="AD6443">
        <v>-1.1072102855499999</v>
      </c>
      <c r="AE6443">
        <v>17.063859999999998</v>
      </c>
      <c r="AF6443">
        <v>-0.88043453818954498</v>
      </c>
      <c r="AG6443">
        <v>-1.1072102855499999</v>
      </c>
      <c r="AH6443">
        <v>16.972120634681001</v>
      </c>
      <c r="AI6443">
        <v>93.727517966841404</v>
      </c>
      <c r="AJ6443">
        <v>92.969576224246893</v>
      </c>
      <c r="AK6443">
        <v>17.0309705663133</v>
      </c>
      <c r="AL6443">
        <v>91.882284398500005</v>
      </c>
      <c r="AM6443">
        <v>96.440942615350096</v>
      </c>
      <c r="AN6443">
        <v>0.99999996272765501</v>
      </c>
    </row>
    <row r="6444" spans="1:40" x14ac:dyDescent="0.25">
      <c r="A6444" t="str">
        <f>"20190305135358049"</f>
        <v>20190305135358049</v>
      </c>
      <c r="B6444" t="str">
        <f>"1551765238046397"</f>
        <v>1551765238046397</v>
      </c>
      <c r="C6444" t="s">
        <v>40</v>
      </c>
      <c r="D6444">
        <v>4.8009459999999997</v>
      </c>
      <c r="E6444">
        <v>0.52304220000000001</v>
      </c>
      <c r="F6444" t="s">
        <v>42</v>
      </c>
      <c r="G6444">
        <v>-188.13990000000001</v>
      </c>
      <c r="H6444" s="1">
        <v>-4.2145239999999999E-6</v>
      </c>
      <c r="I6444">
        <v>-11.312189999999999</v>
      </c>
      <c r="J6444">
        <v>-188.43950000000001</v>
      </c>
      <c r="K6444">
        <v>1.107407</v>
      </c>
      <c r="L6444">
        <v>-27.85352</v>
      </c>
      <c r="M6444">
        <v>6.9198850000000006E-2</v>
      </c>
      <c r="N6444">
        <v>-1.35351E-3</v>
      </c>
      <c r="O6444">
        <v>0.99760199999999999</v>
      </c>
      <c r="P6444">
        <v>-4.2933230000000003E-2</v>
      </c>
      <c r="Q6444">
        <v>-3.6566120000000001E-2</v>
      </c>
      <c r="R6444">
        <v>0.99840859999999998</v>
      </c>
      <c r="S6444">
        <v>5.751038E-2</v>
      </c>
      <c r="T6444">
        <v>-0.19670489999999999</v>
      </c>
      <c r="U6444">
        <v>3.0002749999999998</v>
      </c>
      <c r="V6444">
        <v>-0.1119425</v>
      </c>
      <c r="W6444">
        <v>-3.5147659999999997E-2</v>
      </c>
      <c r="X6444">
        <v>0.99309289999999995</v>
      </c>
      <c r="Y6444">
        <v>-5.0104059999999999E-2</v>
      </c>
      <c r="Z6444">
        <v>-6.3790040000000006E-2</v>
      </c>
      <c r="AA6444">
        <v>0.99670479999999995</v>
      </c>
      <c r="AB6444">
        <v>34</v>
      </c>
      <c r="AC6444">
        <v>0.29959999999999798</v>
      </c>
      <c r="AD6444">
        <v>-1.107411214524</v>
      </c>
      <c r="AE6444">
        <v>16.541329999999999</v>
      </c>
      <c r="AF6444">
        <v>-0.84198760681541596</v>
      </c>
      <c r="AG6444">
        <v>-1.107411214524</v>
      </c>
      <c r="AH6444">
        <v>16.4487106634481</v>
      </c>
      <c r="AI6444">
        <v>93.846610990292405</v>
      </c>
      <c r="AJ6444">
        <v>92.930337048294803</v>
      </c>
      <c r="AK6444">
        <v>16.507434240908399</v>
      </c>
      <c r="AL6444">
        <v>92.014227449082099</v>
      </c>
      <c r="AM6444">
        <v>96.431294820416397</v>
      </c>
      <c r="AN6444">
        <v>0.99999999467006695</v>
      </c>
    </row>
    <row r="6445" spans="1:40" x14ac:dyDescent="0.25">
      <c r="A6445" t="str">
        <f>"20190305135358070"</f>
        <v>20190305135358070</v>
      </c>
      <c r="B6445" t="str">
        <f>"1551765238066893"</f>
        <v>1551765238066893</v>
      </c>
      <c r="C6445" t="s">
        <v>40</v>
      </c>
      <c r="D6445">
        <v>4.7843999999999998</v>
      </c>
      <c r="E6445">
        <v>0.52291899999999902</v>
      </c>
      <c r="F6445" t="s">
        <v>42</v>
      </c>
      <c r="G6445">
        <v>-188.13409999999999</v>
      </c>
      <c r="H6445" s="1">
        <v>-4.0983619999999998E-6</v>
      </c>
      <c r="I6445">
        <v>-11.58534</v>
      </c>
      <c r="J6445">
        <v>-188.4177</v>
      </c>
      <c r="K6445">
        <v>1.107578</v>
      </c>
      <c r="L6445">
        <v>-27.536829999999998</v>
      </c>
      <c r="M6445">
        <v>6.8921640000000006E-2</v>
      </c>
      <c r="N6445">
        <v>-1.32502799999999E-3</v>
      </c>
      <c r="O6445">
        <v>0.99762119999999999</v>
      </c>
      <c r="P6445">
        <v>-4.4287449999999999E-2</v>
      </c>
      <c r="Q6445">
        <v>-3.865267E-2</v>
      </c>
      <c r="R6445">
        <v>0.99827080000000001</v>
      </c>
      <c r="S6445">
        <v>5.6304930000000003E-2</v>
      </c>
      <c r="T6445">
        <v>-0.20419809999999999</v>
      </c>
      <c r="U6445">
        <v>2.9997250000000002</v>
      </c>
      <c r="V6445">
        <v>-0.11299149999999999</v>
      </c>
      <c r="W6445">
        <v>-3.731566E-2</v>
      </c>
      <c r="X6445">
        <v>0.99289499999999997</v>
      </c>
      <c r="Y6445">
        <v>-5.0226460000000001E-2</v>
      </c>
      <c r="Z6445">
        <v>-6.6303180000000003E-2</v>
      </c>
      <c r="AA6445">
        <v>0.99653460000000005</v>
      </c>
      <c r="AB6445">
        <v>34</v>
      </c>
      <c r="AC6445">
        <v>0.28360000000000601</v>
      </c>
      <c r="AD6445">
        <v>-1.1075820983619999</v>
      </c>
      <c r="AE6445">
        <v>15.95149</v>
      </c>
      <c r="AF6445">
        <v>-0.81256195939188003</v>
      </c>
      <c r="AG6445">
        <v>-1.1075820983619999</v>
      </c>
      <c r="AH6445">
        <v>15.8566816496831</v>
      </c>
      <c r="AI6445">
        <v>93.990375903655803</v>
      </c>
      <c r="AJ6445">
        <v>92.933506785009797</v>
      </c>
      <c r="AK6445">
        <v>15.9160720022831</v>
      </c>
      <c r="AL6445">
        <v>92.138526305336498</v>
      </c>
      <c r="AM6445">
        <v>96.492332460656797</v>
      </c>
      <c r="AN6445">
        <v>1.00000000928924</v>
      </c>
    </row>
    <row r="6446" spans="1:40" x14ac:dyDescent="0.25">
      <c r="A6446" t="str">
        <f>"20190305135358091"</f>
        <v>20190305135358091</v>
      </c>
      <c r="B6446" t="str">
        <f>"1551765238086413"</f>
        <v>1551765238086413</v>
      </c>
      <c r="C6446" t="s">
        <v>40</v>
      </c>
      <c r="D6446">
        <v>4.8110169999999997</v>
      </c>
      <c r="E6446">
        <v>0.52297799999999905</v>
      </c>
      <c r="F6446" t="s">
        <v>42</v>
      </c>
      <c r="G6446">
        <v>-188.14709999999999</v>
      </c>
      <c r="H6446" s="1">
        <v>-4.0268290000000003E-6</v>
      </c>
      <c r="I6446">
        <v>-11.74672</v>
      </c>
      <c r="J6446">
        <v>-188.39529999999999</v>
      </c>
      <c r="K6446">
        <v>1.107742</v>
      </c>
      <c r="L6446">
        <v>-27.20834</v>
      </c>
      <c r="M6446">
        <v>6.8429340000000005E-2</v>
      </c>
      <c r="N6446">
        <v>-1.304415E-3</v>
      </c>
      <c r="O6446">
        <v>0.99765510000000002</v>
      </c>
      <c r="P6446">
        <v>-4.6546299999999999E-2</v>
      </c>
      <c r="Q6446">
        <v>-3.9755980000000003E-2</v>
      </c>
      <c r="R6446">
        <v>0.99812469999999998</v>
      </c>
      <c r="S6446">
        <v>5.1391600000000003E-2</v>
      </c>
      <c r="T6446">
        <v>-0.21038499999999999</v>
      </c>
      <c r="U6446">
        <v>2.9993289999999999</v>
      </c>
      <c r="V6446">
        <v>-0.114728</v>
      </c>
      <c r="W6446">
        <v>-3.8492369999999998E-2</v>
      </c>
      <c r="X6446">
        <v>0.9926509</v>
      </c>
      <c r="Y6446">
        <v>-5.1365340000000002E-2</v>
      </c>
      <c r="Z6446">
        <v>-6.8374569999999996E-2</v>
      </c>
      <c r="AA6446">
        <v>0.99633649999999996</v>
      </c>
      <c r="AB6446">
        <v>35</v>
      </c>
      <c r="AC6446">
        <v>0.24819999999999701</v>
      </c>
      <c r="AD6446">
        <v>-1.107746026829</v>
      </c>
      <c r="AE6446">
        <v>15.46162</v>
      </c>
      <c r="AF6446">
        <v>-0.80627362763733801</v>
      </c>
      <c r="AG6446">
        <v>-1.107746026829</v>
      </c>
      <c r="AH6446">
        <v>15.363521060456099</v>
      </c>
      <c r="AI6446">
        <v>94.118376023912305</v>
      </c>
      <c r="AJ6446">
        <v>93.004111873899205</v>
      </c>
      <c r="AK6446">
        <v>15.4244921406722</v>
      </c>
      <c r="AL6446">
        <v>92.205995345765601</v>
      </c>
      <c r="AM6446">
        <v>96.592844457026104</v>
      </c>
      <c r="AN6446">
        <v>0.99999999290151298</v>
      </c>
    </row>
    <row r="6447" spans="1:40" x14ac:dyDescent="0.25">
      <c r="A6447" t="str">
        <f>"20190305135358114"</f>
        <v>20190305135358114</v>
      </c>
      <c r="B6447" t="str">
        <f>"1551765238106909"</f>
        <v>1551765238106909</v>
      </c>
      <c r="C6447" t="s">
        <v>40</v>
      </c>
      <c r="D6447">
        <v>4.7958959999999999</v>
      </c>
      <c r="E6447">
        <v>0.52300829999999998</v>
      </c>
      <c r="F6447" t="s">
        <v>42</v>
      </c>
      <c r="G6447">
        <v>-188.16159999999999</v>
      </c>
      <c r="H6447" s="1">
        <v>-4.0813560000000001E-6</v>
      </c>
      <c r="I6447">
        <v>-11.61364</v>
      </c>
      <c r="J6447">
        <v>-188.37090000000001</v>
      </c>
      <c r="K6447">
        <v>1.107925</v>
      </c>
      <c r="L6447">
        <v>-26.844059999999999</v>
      </c>
      <c r="M6447">
        <v>6.7666859999999995E-2</v>
      </c>
      <c r="N6447">
        <v>-1.290589E-3</v>
      </c>
      <c r="O6447">
        <v>0.99770709999999996</v>
      </c>
      <c r="P6447">
        <v>-4.898396E-2</v>
      </c>
      <c r="Q6447">
        <v>-3.9364370000000003E-2</v>
      </c>
      <c r="R6447">
        <v>0.99802360000000001</v>
      </c>
      <c r="S6447">
        <v>4.4952390000000002E-2</v>
      </c>
      <c r="T6447">
        <v>-0.21304619999999999</v>
      </c>
      <c r="U6447">
        <v>2.9992369999999999</v>
      </c>
      <c r="V6447">
        <v>-0.11637599999999999</v>
      </c>
      <c r="W6447">
        <v>-3.817077E-2</v>
      </c>
      <c r="X6447">
        <v>0.99247149999999995</v>
      </c>
      <c r="Y6447">
        <v>-5.2740910000000002E-2</v>
      </c>
      <c r="Z6447">
        <v>-6.9271630000000001E-2</v>
      </c>
      <c r="AA6447">
        <v>0.9962027</v>
      </c>
      <c r="AB6447">
        <v>35</v>
      </c>
      <c r="AC6447">
        <v>0.209300000000013</v>
      </c>
      <c r="AD6447">
        <v>-1.1079290813560001</v>
      </c>
      <c r="AE6447">
        <v>15.230420000000001</v>
      </c>
      <c r="AF6447">
        <v>-0.81745038152433402</v>
      </c>
      <c r="AG6447">
        <v>-1.1079290813560001</v>
      </c>
      <c r="AH6447">
        <v>15.129626824187399</v>
      </c>
      <c r="AI6447">
        <v>94.182164847335102</v>
      </c>
      <c r="AJ6447">
        <v>93.092671205148406</v>
      </c>
      <c r="AK6447">
        <v>15.1921473075645</v>
      </c>
      <c r="AL6447">
        <v>92.187555390438305</v>
      </c>
      <c r="AM6447">
        <v>96.687892947178995</v>
      </c>
      <c r="AN6447">
        <v>1.00000002968532</v>
      </c>
    </row>
    <row r="6448" spans="1:40" x14ac:dyDescent="0.25">
      <c r="A6448" t="str">
        <f>"20190305135358137"</f>
        <v>20190305135358137</v>
      </c>
      <c r="B6448" t="str">
        <f>"1551765238126428"</f>
        <v>1551765238126428</v>
      </c>
      <c r="C6448" t="s">
        <v>40</v>
      </c>
      <c r="D6448">
        <v>4.8188979999999999</v>
      </c>
      <c r="E6448">
        <v>0.52287550000000005</v>
      </c>
      <c r="F6448" t="s">
        <v>42</v>
      </c>
      <c r="G6448">
        <v>-188.17259999999999</v>
      </c>
      <c r="H6448" s="1">
        <v>-4.2960269999999997E-6</v>
      </c>
      <c r="I6448">
        <v>-11.10868</v>
      </c>
      <c r="J6448">
        <v>-188.34739999999999</v>
      </c>
      <c r="K6448">
        <v>1.108088</v>
      </c>
      <c r="L6448">
        <v>-26.48743</v>
      </c>
      <c r="M6448">
        <v>6.6746849999999996E-2</v>
      </c>
      <c r="N6448">
        <v>-1.2845580000000001E-3</v>
      </c>
      <c r="O6448">
        <v>0.99776909999999996</v>
      </c>
      <c r="P6448">
        <v>-5.051079E-2</v>
      </c>
      <c r="Q6448">
        <v>-3.8355699999999902E-2</v>
      </c>
      <c r="R6448">
        <v>0.9979867</v>
      </c>
      <c r="S6448">
        <v>3.779602E-2</v>
      </c>
      <c r="T6448">
        <v>-0.2111915</v>
      </c>
      <c r="U6448">
        <v>2.9994510000000001</v>
      </c>
      <c r="V6448">
        <v>-0.116967</v>
      </c>
      <c r="W6448">
        <v>-3.7218050000000003E-2</v>
      </c>
      <c r="X6448">
        <v>0.99243820000000005</v>
      </c>
      <c r="Y6448">
        <v>-5.4196920000000003E-2</v>
      </c>
      <c r="Z6448">
        <v>-6.866622E-2</v>
      </c>
      <c r="AA6448">
        <v>0.99616649999999995</v>
      </c>
      <c r="AB6448">
        <v>35</v>
      </c>
      <c r="AC6448">
        <v>0.17480000000000401</v>
      </c>
      <c r="AD6448">
        <v>-1.1080922960270001</v>
      </c>
      <c r="AE6448">
        <v>15.37875</v>
      </c>
      <c r="AF6448">
        <v>-0.84767349685850701</v>
      </c>
      <c r="AG6448">
        <v>-1.1080922960270001</v>
      </c>
      <c r="AH6448">
        <v>15.2768193479888</v>
      </c>
      <c r="AI6448">
        <v>94.142290026384401</v>
      </c>
      <c r="AJ6448">
        <v>93.175946483449195</v>
      </c>
      <c r="AK6448">
        <v>15.3403920512116</v>
      </c>
      <c r="AL6448">
        <v>92.132929750495407</v>
      </c>
      <c r="AM6448">
        <v>96.721770006584904</v>
      </c>
      <c r="AN6448">
        <v>1.0000000215770199</v>
      </c>
    </row>
    <row r="6449" spans="1:40" x14ac:dyDescent="0.25">
      <c r="A6449" t="str">
        <f>"20190305135358159"</f>
        <v>20190305135358159</v>
      </c>
      <c r="B6449" t="str">
        <f>"1551765238156780"</f>
        <v>1551765238156780</v>
      </c>
      <c r="C6449" t="s">
        <v>40</v>
      </c>
      <c r="D6449">
        <v>4.8140049999999999</v>
      </c>
      <c r="E6449">
        <v>0.50713839999999999</v>
      </c>
      <c r="F6449" t="s">
        <v>42</v>
      </c>
      <c r="G6449">
        <v>-188.17699999999999</v>
      </c>
      <c r="H6449" s="1">
        <v>-4.5551730000000003E-6</v>
      </c>
      <c r="I6449">
        <v>-10.50277</v>
      </c>
      <c r="J6449">
        <v>-188.3246</v>
      </c>
      <c r="K6449">
        <v>1.1082270000000001</v>
      </c>
      <c r="L6449">
        <v>-26.136569999999999</v>
      </c>
      <c r="M6449">
        <v>6.5718550000000001E-2</v>
      </c>
      <c r="N6449">
        <v>-1.2845440000000001E-3</v>
      </c>
      <c r="O6449">
        <v>0.99783739999999999</v>
      </c>
      <c r="P6449">
        <v>-5.178932E-2</v>
      </c>
      <c r="Q6449">
        <v>-3.7929299999999999E-2</v>
      </c>
      <c r="R6449">
        <v>0.99793750000000003</v>
      </c>
      <c r="S6449">
        <v>3.1967160000000001E-2</v>
      </c>
      <c r="T6449">
        <v>-0.20794360000000001</v>
      </c>
      <c r="U6449">
        <v>2.9996640000000001</v>
      </c>
      <c r="V6449">
        <v>-0.1172039</v>
      </c>
      <c r="W6449">
        <v>-3.6834020000000002E-2</v>
      </c>
      <c r="X6449">
        <v>0.99242450000000004</v>
      </c>
      <c r="Y6449">
        <v>-5.510342E-2</v>
      </c>
      <c r="Z6449">
        <v>-6.7596729999999994E-2</v>
      </c>
      <c r="AA6449">
        <v>0.99618989999999996</v>
      </c>
      <c r="AB6449">
        <v>35</v>
      </c>
      <c r="AC6449">
        <v>0.147599999999982</v>
      </c>
      <c r="AD6449">
        <v>-1.108231555173</v>
      </c>
      <c r="AE6449">
        <v>15.633800000000001</v>
      </c>
      <c r="AF6449">
        <v>-0.87575035749602603</v>
      </c>
      <c r="AG6449">
        <v>-1.108231555173</v>
      </c>
      <c r="AH6449">
        <v>15.531663943231599</v>
      </c>
      <c r="AI6449">
        <v>94.074861014214804</v>
      </c>
      <c r="AJ6449">
        <v>93.227196127603506</v>
      </c>
      <c r="AK6449">
        <v>15.5957590618096</v>
      </c>
      <c r="AL6449">
        <v>92.110911519103396</v>
      </c>
      <c r="AM6449">
        <v>96.735351171031894</v>
      </c>
      <c r="AN6449">
        <v>0.99999994370240797</v>
      </c>
    </row>
    <row r="6450" spans="1:40" x14ac:dyDescent="0.25">
      <c r="A6450" t="str">
        <f>"20190305135358180"</f>
        <v>20190305135358180</v>
      </c>
      <c r="B6450" t="str">
        <f>"1551765238176300"</f>
        <v>1551765238176300</v>
      </c>
      <c r="C6450" t="s">
        <v>40</v>
      </c>
      <c r="D6450">
        <v>4.8360750000000001</v>
      </c>
      <c r="E6450">
        <v>0.50521050000000001</v>
      </c>
      <c r="F6450" t="s">
        <v>42</v>
      </c>
      <c r="G6450">
        <v>-188.8049</v>
      </c>
      <c r="H6450" s="1">
        <v>-4.101413E-6</v>
      </c>
      <c r="I6450">
        <v>-11.300890000000001</v>
      </c>
      <c r="J6450">
        <v>-188.30369999999999</v>
      </c>
      <c r="K6450">
        <v>1.1083339999999999</v>
      </c>
      <c r="L6450">
        <v>-25.807739999999999</v>
      </c>
      <c r="M6450">
        <v>6.4678180000000002E-2</v>
      </c>
      <c r="N6450">
        <v>-1.2889900000000001E-3</v>
      </c>
      <c r="O6450">
        <v>0.9979053</v>
      </c>
      <c r="P6450">
        <v>-5.2966079999999999E-2</v>
      </c>
      <c r="Q6450">
        <v>-3.8421820000000002E-2</v>
      </c>
      <c r="R6450">
        <v>0.99785690000000005</v>
      </c>
      <c r="S6450">
        <v>-9.6878049999999993E-2</v>
      </c>
      <c r="T6450">
        <v>-0.223554</v>
      </c>
      <c r="U6450">
        <v>2.9926759999999999</v>
      </c>
      <c r="V6450">
        <v>-0.1173275</v>
      </c>
      <c r="W6450">
        <v>-3.7354989999999998E-2</v>
      </c>
      <c r="X6450">
        <v>0.99239049999999995</v>
      </c>
      <c r="Y6450">
        <v>-9.6840270000000006E-2</v>
      </c>
      <c r="Z6450">
        <v>-7.2777739999999994E-2</v>
      </c>
      <c r="AA6450">
        <v>0.9926355</v>
      </c>
      <c r="AB6450">
        <v>35</v>
      </c>
      <c r="AC6450">
        <v>-0.50120000000001097</v>
      </c>
      <c r="AD6450">
        <v>-1.1083381014129901</v>
      </c>
      <c r="AE6450">
        <v>14.50685</v>
      </c>
      <c r="AF6450">
        <v>-1.4300903965280201</v>
      </c>
      <c r="AG6450">
        <v>-1.1083381014129901</v>
      </c>
      <c r="AH6450">
        <v>14.360335401439301</v>
      </c>
      <c r="AI6450">
        <v>94.391730563531794</v>
      </c>
      <c r="AJ6450">
        <v>95.687114619937304</v>
      </c>
      <c r="AK6450">
        <v>14.4738662675567</v>
      </c>
      <c r="AL6450">
        <v>92.140781295426706</v>
      </c>
      <c r="AM6450">
        <v>96.742617600733197</v>
      </c>
      <c r="AN6450">
        <v>1.0000000210122</v>
      </c>
    </row>
    <row r="6451" spans="1:40" x14ac:dyDescent="0.25">
      <c r="A6451" t="str">
        <f>"20190305135358203"</f>
        <v>20190305135358203</v>
      </c>
      <c r="B6451" t="str">
        <f>"1551765238196795"</f>
        <v>1551765238196795</v>
      </c>
      <c r="C6451" t="s">
        <v>40</v>
      </c>
      <c r="D6451">
        <v>4.8819790000000003</v>
      </c>
      <c r="E6451">
        <v>0.50389059999999997</v>
      </c>
      <c r="F6451" t="s">
        <v>42</v>
      </c>
      <c r="G6451">
        <v>-188.9299</v>
      </c>
      <c r="H6451" s="1">
        <v>-5.2678490000000005E-7</v>
      </c>
      <c r="I6451">
        <v>-9.6406039999999997</v>
      </c>
      <c r="J6451">
        <v>-188.28049999999999</v>
      </c>
      <c r="K6451">
        <v>1.108428</v>
      </c>
      <c r="L6451">
        <v>-25.436250000000001</v>
      </c>
      <c r="M6451">
        <v>6.3447749999999997E-2</v>
      </c>
      <c r="N6451">
        <v>-1.2983580000000001E-3</v>
      </c>
      <c r="O6451">
        <v>0.99798430000000005</v>
      </c>
      <c r="P6451">
        <v>-5.3986340000000001E-2</v>
      </c>
      <c r="Q6451">
        <v>-3.8178160000000003E-2</v>
      </c>
      <c r="R6451">
        <v>0.99781160000000002</v>
      </c>
      <c r="S6451">
        <v>-0.1159058</v>
      </c>
      <c r="T6451">
        <v>-0.2051433</v>
      </c>
      <c r="U6451">
        <v>2.9924010000000001</v>
      </c>
      <c r="V6451">
        <v>-0.1171103</v>
      </c>
      <c r="W6451">
        <v>-3.7131289999999997E-2</v>
      </c>
      <c r="X6451">
        <v>0.99242450000000004</v>
      </c>
      <c r="Y6451">
        <v>-0.10193530000000001</v>
      </c>
      <c r="Z6451">
        <v>-6.6687049999999998E-2</v>
      </c>
      <c r="AA6451">
        <v>0.99255329999999997</v>
      </c>
      <c r="AB6451">
        <v>35</v>
      </c>
      <c r="AC6451">
        <v>-0.64940000000001397</v>
      </c>
      <c r="AD6451">
        <v>-1.1084285267848999</v>
      </c>
      <c r="AE6451">
        <v>15.795646</v>
      </c>
      <c r="AF6451">
        <v>-1.6422175682137801</v>
      </c>
      <c r="AG6451">
        <v>-1.1084285267848999</v>
      </c>
      <c r="AH6451">
        <v>15.6457038236633</v>
      </c>
      <c r="AI6451">
        <v>94.030313426550705</v>
      </c>
      <c r="AJ6451">
        <v>95.991987268547305</v>
      </c>
      <c r="AK6451">
        <v>15.770654408683599</v>
      </c>
      <c r="AL6451">
        <v>92.127955436697604</v>
      </c>
      <c r="AM6451">
        <v>96.730021622714901</v>
      </c>
      <c r="AN6451">
        <v>0.99999997163170096</v>
      </c>
    </row>
    <row r="6452" spans="1:40" x14ac:dyDescent="0.25">
      <c r="A6452" t="str">
        <f>"20190305135358229"</f>
        <v>20190305135358229</v>
      </c>
      <c r="B6452" t="str">
        <f>"1551765238216317"</f>
        <v>1551765238216317</v>
      </c>
      <c r="C6452" t="s">
        <v>40</v>
      </c>
      <c r="D6452">
        <v>4.8205689999999999</v>
      </c>
      <c r="E6452">
        <v>0.50349659999999996</v>
      </c>
      <c r="F6452" t="s">
        <v>42</v>
      </c>
      <c r="G6452">
        <v>-189.00899999999999</v>
      </c>
      <c r="H6452" s="1">
        <v>-9.2506909999999998E-7</v>
      </c>
      <c r="I6452">
        <v>-8.6205999999999996</v>
      </c>
      <c r="J6452">
        <v>-188.2559</v>
      </c>
      <c r="K6452">
        <v>1.108509</v>
      </c>
      <c r="L6452">
        <v>-25.031130000000001</v>
      </c>
      <c r="M6452">
        <v>6.2064319999999999E-2</v>
      </c>
      <c r="N6452">
        <v>-1.313678E-3</v>
      </c>
      <c r="O6452">
        <v>0.99807129999999999</v>
      </c>
      <c r="P6452">
        <v>-5.4642669999999997E-2</v>
      </c>
      <c r="Q6452">
        <v>-3.8505070000000002E-2</v>
      </c>
      <c r="R6452">
        <v>0.99776330000000002</v>
      </c>
      <c r="S6452">
        <v>-0.1296234</v>
      </c>
      <c r="T6452">
        <v>-0.1972245</v>
      </c>
      <c r="U6452">
        <v>2.992035</v>
      </c>
      <c r="V6452">
        <v>-0.1163782</v>
      </c>
      <c r="W6452">
        <v>-3.7466020000000003E-2</v>
      </c>
      <c r="X6452">
        <v>0.99249810000000005</v>
      </c>
      <c r="Y6452">
        <v>-0.10511089999999999</v>
      </c>
      <c r="Z6452">
        <v>-6.4058169999999998E-2</v>
      </c>
      <c r="AA6452">
        <v>0.99239520000000003</v>
      </c>
      <c r="AB6452">
        <v>36</v>
      </c>
      <c r="AC6452">
        <v>-0.75310000000001698</v>
      </c>
      <c r="AD6452">
        <v>-1.1085099250691</v>
      </c>
      <c r="AE6452">
        <v>16.410529999999898</v>
      </c>
      <c r="AF6452">
        <v>-1.7621339719771301</v>
      </c>
      <c r="AG6452">
        <v>-1.1085099250691</v>
      </c>
      <c r="AH6452">
        <v>16.2581251532579</v>
      </c>
      <c r="AI6452">
        <v>93.877857905501401</v>
      </c>
      <c r="AJ6452">
        <v>96.185845911917596</v>
      </c>
      <c r="AK6452">
        <v>16.3908676978423</v>
      </c>
      <c r="AL6452">
        <v>92.147147275625301</v>
      </c>
      <c r="AM6452">
        <v>96.6878406091557</v>
      </c>
      <c r="AN6452">
        <v>1.00000003329674</v>
      </c>
    </row>
    <row r="6453" spans="1:40" x14ac:dyDescent="0.25">
      <c r="A6453" t="str">
        <f>"20190305135358251"</f>
        <v>20190305135358251</v>
      </c>
      <c r="B6453" t="str">
        <f>"1551765238246572"</f>
        <v>1551765238246572</v>
      </c>
      <c r="C6453" t="s">
        <v>40</v>
      </c>
      <c r="D6453">
        <v>4.7946410000000004</v>
      </c>
      <c r="E6453">
        <v>0.50324179999999996</v>
      </c>
      <c r="F6453" t="s">
        <v>42</v>
      </c>
      <c r="G6453">
        <v>-189.01439999999999</v>
      </c>
      <c r="H6453" s="1">
        <v>-1.1040890000000001E-6</v>
      </c>
      <c r="I6453">
        <v>-8.2010759999999898</v>
      </c>
      <c r="J6453">
        <v>-188.2346</v>
      </c>
      <c r="K6453">
        <v>1.10856</v>
      </c>
      <c r="L6453">
        <v>-24.673739999999999</v>
      </c>
      <c r="M6453">
        <v>6.082651E-2</v>
      </c>
      <c r="N6453">
        <v>-1.3310799999999999E-3</v>
      </c>
      <c r="O6453">
        <v>0.99814749999999997</v>
      </c>
      <c r="P6453">
        <v>-5.5515349999999998E-2</v>
      </c>
      <c r="Q6453">
        <v>-3.8651820000000003E-2</v>
      </c>
      <c r="R6453">
        <v>0.99770939999999997</v>
      </c>
      <c r="S6453">
        <v>-0.13484189999999999</v>
      </c>
      <c r="T6453">
        <v>-0.19705010000000001</v>
      </c>
      <c r="U6453">
        <v>2.99173</v>
      </c>
      <c r="V6453">
        <v>-0.1160088</v>
      </c>
      <c r="W6453">
        <v>-3.7611800000000001E-2</v>
      </c>
      <c r="X6453">
        <v>0.99253579999999997</v>
      </c>
      <c r="Y6453">
        <v>-0.1056098</v>
      </c>
      <c r="Z6453">
        <v>-6.3993079999999994E-2</v>
      </c>
      <c r="AA6453">
        <v>0.99234650000000002</v>
      </c>
      <c r="AB6453">
        <v>36</v>
      </c>
      <c r="AC6453">
        <v>-0.77979999999999405</v>
      </c>
      <c r="AD6453">
        <v>-1.108561104089</v>
      </c>
      <c r="AE6453">
        <v>16.472664000000002</v>
      </c>
      <c r="AF6453">
        <v>-1.7723228940650599</v>
      </c>
      <c r="AG6453">
        <v>-1.108561104089</v>
      </c>
      <c r="AH6453">
        <v>16.3209792300263</v>
      </c>
      <c r="AI6453">
        <v>93.863061479970497</v>
      </c>
      <c r="AJ6453">
        <v>96.197561410245896</v>
      </c>
      <c r="AK6453">
        <v>16.4543124799937</v>
      </c>
      <c r="AL6453">
        <v>92.155505813495495</v>
      </c>
      <c r="AM6453">
        <v>96.666552945751604</v>
      </c>
      <c r="AN6453">
        <v>1.0000000017291599</v>
      </c>
    </row>
    <row r="6454" spans="1:40" x14ac:dyDescent="0.25">
      <c r="A6454" t="str">
        <f>"20190305135358269"</f>
        <v>20190305135358269</v>
      </c>
      <c r="B6454" t="str">
        <f>"1551765238266169"</f>
        <v>1551765238266169</v>
      </c>
      <c r="C6454" t="s">
        <v>40</v>
      </c>
      <c r="D6454">
        <v>4.8043899999999997</v>
      </c>
      <c r="E6454">
        <v>0.50307599999999997</v>
      </c>
      <c r="F6454" t="s">
        <v>42</v>
      </c>
      <c r="G6454">
        <v>-189.03909999999999</v>
      </c>
      <c r="H6454" s="1">
        <v>-1.44172E-6</v>
      </c>
      <c r="I6454">
        <v>-7.4038619999999904</v>
      </c>
      <c r="J6454">
        <v>-188.21700000000001</v>
      </c>
      <c r="K6454">
        <v>1.1085969999999901</v>
      </c>
      <c r="L6454">
        <v>-24.371860000000002</v>
      </c>
      <c r="M6454">
        <v>5.9775689999999999E-2</v>
      </c>
      <c r="N6454">
        <v>-1.34826E-3</v>
      </c>
      <c r="O6454">
        <v>0.99821090000000001</v>
      </c>
      <c r="P6454">
        <v>-5.59119E-2</v>
      </c>
      <c r="Q6454">
        <v>-3.8701220000000001E-2</v>
      </c>
      <c r="R6454">
        <v>0.99768539999999994</v>
      </c>
      <c r="S6454">
        <v>-0.1393585</v>
      </c>
      <c r="T6454">
        <v>-0.19203870000000001</v>
      </c>
      <c r="U6454">
        <v>2.9916990000000001</v>
      </c>
      <c r="V6454">
        <v>-0.1153546</v>
      </c>
      <c r="W6454">
        <v>-3.7654680000000003E-2</v>
      </c>
      <c r="X6454">
        <v>0.9926104</v>
      </c>
      <c r="Y6454">
        <v>-0.1060634</v>
      </c>
      <c r="Z6454">
        <v>-6.2324320000000002E-2</v>
      </c>
      <c r="AA6454">
        <v>0.99240430000000002</v>
      </c>
      <c r="AB6454">
        <v>36</v>
      </c>
      <c r="AC6454">
        <v>-0.82209999999997696</v>
      </c>
      <c r="AD6454">
        <v>-1.1085984417200001</v>
      </c>
      <c r="AE6454">
        <v>16.967998000000001</v>
      </c>
      <c r="AF6454">
        <v>-1.8271236530494701</v>
      </c>
      <c r="AG6454">
        <v>-1.1085984417200001</v>
      </c>
      <c r="AH6454">
        <v>16.816897913048201</v>
      </c>
      <c r="AI6454">
        <v>93.749575639489805</v>
      </c>
      <c r="AJ6454">
        <v>96.200753973945595</v>
      </c>
      <c r="AK6454">
        <v>16.952151095551301</v>
      </c>
      <c r="AL6454">
        <v>92.157964439804104</v>
      </c>
      <c r="AM6454">
        <v>96.628800503631894</v>
      </c>
      <c r="AN6454">
        <v>0.99999998242761101</v>
      </c>
    </row>
    <row r="6455" spans="1:40" x14ac:dyDescent="0.25">
      <c r="A6455" t="str">
        <f>"20190305135358291"</f>
        <v>20190305135358291</v>
      </c>
      <c r="B6455" t="str">
        <f>"1551765238286588"</f>
        <v>1551765238286588</v>
      </c>
      <c r="C6455" t="s">
        <v>40</v>
      </c>
      <c r="D6455">
        <v>4.7840400000000001</v>
      </c>
      <c r="E6455">
        <v>0.5029709</v>
      </c>
      <c r="F6455" t="s">
        <v>42</v>
      </c>
      <c r="G6455">
        <v>-189.03989999999999</v>
      </c>
      <c r="H6455" s="1">
        <v>-1.613366E-6</v>
      </c>
      <c r="I6455">
        <v>-7.0034229999999997</v>
      </c>
      <c r="J6455">
        <v>-188.1962</v>
      </c>
      <c r="K6455">
        <v>1.1086279999999999</v>
      </c>
      <c r="L6455">
        <v>-24.01004</v>
      </c>
      <c r="M6455">
        <v>5.8513709999999997E-2</v>
      </c>
      <c r="N6455">
        <v>-1.3717670000000001E-3</v>
      </c>
      <c r="O6455">
        <v>0.99828570000000005</v>
      </c>
      <c r="P6455">
        <v>-5.6465509999999997E-2</v>
      </c>
      <c r="Q6455">
        <v>-3.9670860000000002E-2</v>
      </c>
      <c r="R6455">
        <v>0.99761610000000001</v>
      </c>
      <c r="S6455">
        <v>-0.1417389</v>
      </c>
      <c r="T6455">
        <v>-0.19094929999999999</v>
      </c>
      <c r="U6455">
        <v>2.9916079999999998</v>
      </c>
      <c r="V6455">
        <v>-0.1146418</v>
      </c>
      <c r="W6455">
        <v>-3.8611449999999999E-2</v>
      </c>
      <c r="X6455">
        <v>0.99265619999999999</v>
      </c>
      <c r="Y6455">
        <v>-0.1055968</v>
      </c>
      <c r="Z6455">
        <v>-6.1950570000000003E-2</v>
      </c>
      <c r="AA6455">
        <v>0.99247739999999995</v>
      </c>
      <c r="AB6455">
        <v>36</v>
      </c>
      <c r="AC6455">
        <v>-0.84369999999998402</v>
      </c>
      <c r="AD6455">
        <v>-1.1086296133660001</v>
      </c>
      <c r="AE6455">
        <v>17.006616999999999</v>
      </c>
      <c r="AF6455">
        <v>-1.8296196932139599</v>
      </c>
      <c r="AG6455">
        <v>-1.1086296133660001</v>
      </c>
      <c r="AH6455">
        <v>16.8566534729664</v>
      </c>
      <c r="AI6455">
        <v>93.740905784141603</v>
      </c>
      <c r="AJ6455">
        <v>96.194628723522797</v>
      </c>
      <c r="AK6455">
        <v>16.991860820672301</v>
      </c>
      <c r="AL6455">
        <v>92.212823278382402</v>
      </c>
      <c r="AM6455">
        <v>96.587899668641398</v>
      </c>
      <c r="AN6455">
        <v>0.99999995888838999</v>
      </c>
    </row>
    <row r="6456" spans="1:40" x14ac:dyDescent="0.25">
      <c r="A6456" t="str">
        <f>"20190305135358315"</f>
        <v>20190305135358315</v>
      </c>
      <c r="B6456" t="str">
        <f>"1551765238306108"</f>
        <v>1551765238306108</v>
      </c>
      <c r="C6456" t="s">
        <v>40</v>
      </c>
      <c r="D6456">
        <v>4.8364699999999896</v>
      </c>
      <c r="E6456">
        <v>0.50314110000000001</v>
      </c>
      <c r="F6456" t="s">
        <v>42</v>
      </c>
      <c r="G6456">
        <v>-189.02889999999999</v>
      </c>
      <c r="H6456" s="1">
        <v>-1.734228E-6</v>
      </c>
      <c r="I6456">
        <v>-6.7262399999999998</v>
      </c>
      <c r="J6456">
        <v>-188.17429999999999</v>
      </c>
      <c r="K6456">
        <v>1.108657</v>
      </c>
      <c r="L6456">
        <v>-23.617979999999999</v>
      </c>
      <c r="M6456">
        <v>5.7145729999999999E-2</v>
      </c>
      <c r="N6456">
        <v>-1.400171E-3</v>
      </c>
      <c r="O6456">
        <v>0.9983649</v>
      </c>
      <c r="P6456">
        <v>-5.755101E-2</v>
      </c>
      <c r="Q6456">
        <v>-4.0663280000000003E-2</v>
      </c>
      <c r="R6456">
        <v>0.99751409999999996</v>
      </c>
      <c r="S6456">
        <v>-0.14410400000000001</v>
      </c>
      <c r="T6456">
        <v>-0.1918762</v>
      </c>
      <c r="U6456">
        <v>2.9913940000000001</v>
      </c>
      <c r="V6456">
        <v>-0.114353</v>
      </c>
      <c r="W6456">
        <v>-3.9586219999999998E-2</v>
      </c>
      <c r="X6456">
        <v>0.99265119999999896</v>
      </c>
      <c r="Y6456">
        <v>-0.1050194</v>
      </c>
      <c r="Z6456">
        <v>-6.2241199999999899E-2</v>
      </c>
      <c r="AA6456">
        <v>0.99252050000000003</v>
      </c>
      <c r="AB6456">
        <v>37</v>
      </c>
      <c r="AC6456">
        <v>-0.85460000000000402</v>
      </c>
      <c r="AD6456">
        <v>-1.1086587342280001</v>
      </c>
      <c r="AE6456">
        <v>16.891739999999999</v>
      </c>
      <c r="AF6456">
        <v>-1.8107150464955299</v>
      </c>
      <c r="AG6456">
        <v>-1.1086587342280001</v>
      </c>
      <c r="AH6456">
        <v>16.7433580068375</v>
      </c>
      <c r="AI6456">
        <v>93.766403708926305</v>
      </c>
      <c r="AJ6456">
        <v>96.172279959525099</v>
      </c>
      <c r="AK6456">
        <v>16.877436135672799</v>
      </c>
      <c r="AL6456">
        <v>92.268716041839298</v>
      </c>
      <c r="AM6456">
        <v>96.571481905708097</v>
      </c>
      <c r="AN6456">
        <v>1.0000000411421599</v>
      </c>
    </row>
    <row r="6457" spans="1:40" x14ac:dyDescent="0.25">
      <c r="A6457" t="str">
        <f>"20190305135358338"</f>
        <v>20190305135358338</v>
      </c>
      <c r="B6457" t="str">
        <f>"1551765238326607"</f>
        <v>1551765238326607</v>
      </c>
      <c r="C6457" t="s">
        <v>40</v>
      </c>
      <c r="D6457">
        <v>4.7887829999999996</v>
      </c>
      <c r="E6457">
        <v>0.50322309999999904</v>
      </c>
      <c r="F6457" t="s">
        <v>42</v>
      </c>
      <c r="G6457">
        <v>-189.00489999999999</v>
      </c>
      <c r="H6457" s="1">
        <v>-1.7899790000000001E-6</v>
      </c>
      <c r="I6457">
        <v>-6.6061729999999903</v>
      </c>
      <c r="J6457">
        <v>-188.1542</v>
      </c>
      <c r="K6457">
        <v>1.1086800000000001</v>
      </c>
      <c r="L6457">
        <v>-23.249790000000001</v>
      </c>
      <c r="M6457">
        <v>5.5861359999999999E-2</v>
      </c>
      <c r="N6457">
        <v>-1.429301E-3</v>
      </c>
      <c r="O6457">
        <v>0.99843749999999998</v>
      </c>
      <c r="P6457">
        <v>-5.9215749999999998E-2</v>
      </c>
      <c r="Q6457">
        <v>-4.1803140000000003E-2</v>
      </c>
      <c r="R6457">
        <v>0.99736950000000002</v>
      </c>
      <c r="S6457">
        <v>-0.146041899999999</v>
      </c>
      <c r="T6457">
        <v>-0.19493099999999999</v>
      </c>
      <c r="U6457">
        <v>2.9911189999999999</v>
      </c>
      <c r="V6457">
        <v>-0.1147236</v>
      </c>
      <c r="W6457">
        <v>-4.0707380000000001E-2</v>
      </c>
      <c r="X6457">
        <v>0.99256310000000003</v>
      </c>
      <c r="Y6457">
        <v>-0.1043828</v>
      </c>
      <c r="Z6457">
        <v>-6.3235330000000006E-2</v>
      </c>
      <c r="AA6457">
        <v>0.99252479999999998</v>
      </c>
      <c r="AB6457">
        <v>37</v>
      </c>
      <c r="AC6457">
        <v>-0.85069999999998902</v>
      </c>
      <c r="AD6457">
        <v>-1.10868178997899</v>
      </c>
      <c r="AE6457">
        <v>16.643616999999999</v>
      </c>
      <c r="AF6457">
        <v>-1.77126853798218</v>
      </c>
      <c r="AG6457">
        <v>-1.10868178997899</v>
      </c>
      <c r="AH6457">
        <v>16.497095462842299</v>
      </c>
      <c r="AI6457">
        <v>93.822856345527697</v>
      </c>
      <c r="AJ6457">
        <v>96.128285409453795</v>
      </c>
      <c r="AK6457">
        <v>16.628912359358001</v>
      </c>
      <c r="AL6457">
        <v>92.333005585698302</v>
      </c>
      <c r="AM6457">
        <v>96.593171869305706</v>
      </c>
      <c r="AN6457">
        <v>1.00000005133251</v>
      </c>
    </row>
    <row r="6458" spans="1:40" x14ac:dyDescent="0.25">
      <c r="A6458" t="str">
        <f>"20190305135358397"</f>
        <v>20190305135358397</v>
      </c>
      <c r="B6458" t="str">
        <f>"1551765238386140"</f>
        <v>1551765238386140</v>
      </c>
      <c r="C6458" t="s">
        <v>40</v>
      </c>
      <c r="D6458">
        <v>4.6992139999999996</v>
      </c>
      <c r="E6458">
        <v>0.51068530000000001</v>
      </c>
      <c r="F6458" t="s">
        <v>42</v>
      </c>
      <c r="G6458">
        <v>-188.98949999999999</v>
      </c>
      <c r="H6458" s="1">
        <v>-1.7865449999999999E-6</v>
      </c>
      <c r="I6458">
        <v>-6.6205449999999999</v>
      </c>
      <c r="J6458">
        <v>-188.10249999999999</v>
      </c>
      <c r="K6458">
        <v>1.1087400000000001</v>
      </c>
      <c r="L6458">
        <v>-22.259250000000002</v>
      </c>
      <c r="M6458">
        <v>5.240525E-2</v>
      </c>
      <c r="N6458">
        <v>-1.5171410000000001E-3</v>
      </c>
      <c r="O6458">
        <v>0.99862470000000003</v>
      </c>
      <c r="P6458">
        <v>-6.5114130000000006E-2</v>
      </c>
      <c r="Q6458">
        <v>-4.3747590000000003E-2</v>
      </c>
      <c r="R6458">
        <v>0.99691839999999998</v>
      </c>
      <c r="S6458">
        <v>-0.15022279999999999</v>
      </c>
      <c r="T6458">
        <v>-0.19938729999999999</v>
      </c>
      <c r="U6458">
        <v>2.990631</v>
      </c>
      <c r="V6458">
        <v>-0.117142</v>
      </c>
      <c r="W6458">
        <v>-4.2591089999999998E-2</v>
      </c>
      <c r="X6458">
        <v>0.99220140000000001</v>
      </c>
      <c r="Y6458">
        <v>-0.1023276</v>
      </c>
      <c r="Z6458">
        <v>-6.4653810000000006E-2</v>
      </c>
      <c r="AA6458">
        <v>0.99264750000000002</v>
      </c>
      <c r="AB6458">
        <v>37</v>
      </c>
      <c r="AC6458">
        <v>-0.88700000000000001</v>
      </c>
      <c r="AD6458">
        <v>-1.108741786545</v>
      </c>
      <c r="AE6458">
        <v>15.638705</v>
      </c>
      <c r="AF6458">
        <v>-1.69683075501715</v>
      </c>
      <c r="AG6458">
        <v>-1.108741786545</v>
      </c>
      <c r="AH6458">
        <v>15.4931070717462</v>
      </c>
      <c r="AI6458">
        <v>94.069062333236403</v>
      </c>
      <c r="AJ6458">
        <v>96.250217696088299</v>
      </c>
      <c r="AK6458">
        <v>15.625137109702299</v>
      </c>
      <c r="AL6458">
        <v>92.441028248162098</v>
      </c>
      <c r="AM6458">
        <v>96.733326400229998</v>
      </c>
      <c r="AN6458">
        <v>0.99999993363667194</v>
      </c>
    </row>
    <row r="6459" spans="1:40" x14ac:dyDescent="0.25">
      <c r="A6459" t="str">
        <f>"20190305135358439"</f>
        <v>20190305135358439</v>
      </c>
      <c r="B6459" t="str">
        <f>"1551765238436892"</f>
        <v>1551765238436892</v>
      </c>
      <c r="C6459" t="s">
        <v>40</v>
      </c>
      <c r="D6459">
        <v>4.6976930000000001</v>
      </c>
      <c r="E6459">
        <v>0.50362410000000002</v>
      </c>
      <c r="F6459" t="s">
        <v>42</v>
      </c>
      <c r="G6459">
        <v>-188.72229999999999</v>
      </c>
      <c r="H6459" s="1">
        <v>-2.4481520000000001E-6</v>
      </c>
      <c r="I6459">
        <v>-5.188809</v>
      </c>
      <c r="J6459">
        <v>-188.06739999999999</v>
      </c>
      <c r="K6459">
        <v>1.1088</v>
      </c>
      <c r="L6459">
        <v>-21.547640000000001</v>
      </c>
      <c r="M6459">
        <v>4.992133E-2</v>
      </c>
      <c r="N6459">
        <v>-1.5865020000000001E-3</v>
      </c>
      <c r="O6459">
        <v>0.99875190000000003</v>
      </c>
      <c r="P6459">
        <v>-6.9089520000000001E-2</v>
      </c>
      <c r="Q6459">
        <v>-4.0642980000000002E-2</v>
      </c>
      <c r="R6459">
        <v>0.99678219999999995</v>
      </c>
      <c r="S6459">
        <v>-0.1087036</v>
      </c>
      <c r="T6459">
        <v>-0.19444069999999999</v>
      </c>
      <c r="U6459">
        <v>2.993652</v>
      </c>
      <c r="V6459">
        <v>-0.11864429999999999</v>
      </c>
      <c r="W6459">
        <v>-3.9432589999999997E-2</v>
      </c>
      <c r="X6459">
        <v>0.99215350000000002</v>
      </c>
      <c r="Y6459">
        <v>-8.6053889999999994E-2</v>
      </c>
      <c r="Z6459">
        <v>-6.2967140000000005E-2</v>
      </c>
      <c r="AA6459">
        <v>0.99429869999999998</v>
      </c>
      <c r="AB6459">
        <v>38</v>
      </c>
      <c r="AC6459">
        <v>-0.65489999999999704</v>
      </c>
      <c r="AD6459">
        <v>-1.108802448152</v>
      </c>
      <c r="AE6459">
        <v>16.358830999999999</v>
      </c>
      <c r="AF6459">
        <v>-1.4640238984884599</v>
      </c>
      <c r="AG6459">
        <v>-1.108802448152</v>
      </c>
      <c r="AH6459">
        <v>16.2312910354952</v>
      </c>
      <c r="AI6459">
        <v>93.892203112351197</v>
      </c>
      <c r="AJ6459">
        <v>95.153996445406307</v>
      </c>
      <c r="AK6459">
        <v>16.334858968577599</v>
      </c>
      <c r="AL6459">
        <v>92.259906944070806</v>
      </c>
      <c r="AM6459">
        <v>96.819196759808193</v>
      </c>
      <c r="AN6459">
        <v>0.99999998331942397</v>
      </c>
    </row>
    <row r="6460" spans="1:40" x14ac:dyDescent="0.25">
      <c r="A6460" t="str">
        <f>"20190305135358462"</f>
        <v>20190305135358462</v>
      </c>
      <c r="B6460" t="str">
        <f>"1551765238456412"</f>
        <v>1551765238456412</v>
      </c>
      <c r="C6460" t="s">
        <v>40</v>
      </c>
      <c r="D6460">
        <v>4.7499830000000003</v>
      </c>
      <c r="E6460">
        <v>0.50548729999999997</v>
      </c>
      <c r="F6460" t="s">
        <v>42</v>
      </c>
      <c r="G6460">
        <v>-189.6525</v>
      </c>
      <c r="H6460" s="1">
        <v>-2.3834879999999998E-6</v>
      </c>
      <c r="I6460">
        <v>5.0450699999999999</v>
      </c>
      <c r="J6460">
        <v>-188.04990000000001</v>
      </c>
      <c r="K6460">
        <v>1.108814</v>
      </c>
      <c r="L6460">
        <v>-21.180019999999999</v>
      </c>
      <c r="M6460">
        <v>4.8638399999999998E-2</v>
      </c>
      <c r="N6460">
        <v>-1.620462E-3</v>
      </c>
      <c r="O6460">
        <v>0.99881509999999996</v>
      </c>
      <c r="P6460">
        <v>-7.0723869999999994E-2</v>
      </c>
      <c r="Q6460">
        <v>-4.0267749999999998E-2</v>
      </c>
      <c r="R6460">
        <v>0.99668279999999998</v>
      </c>
      <c r="S6460">
        <v>-0.17835999999999999</v>
      </c>
      <c r="T6460">
        <v>-0.124764</v>
      </c>
      <c r="U6460">
        <v>2.9922490000000002</v>
      </c>
      <c r="V6460">
        <v>-0.118996699999999</v>
      </c>
      <c r="W6460">
        <v>-3.902945E-2</v>
      </c>
      <c r="X6460">
        <v>0.99212719999999999</v>
      </c>
      <c r="Y6460">
        <v>-0.1079325</v>
      </c>
      <c r="Z6460">
        <v>-3.9805689999999998E-2</v>
      </c>
      <c r="AA6460">
        <v>0.99336100000000005</v>
      </c>
      <c r="AB6460">
        <v>38</v>
      </c>
      <c r="AC6460">
        <v>-1.60259999999999</v>
      </c>
      <c r="AD6460">
        <v>-1.108816383488</v>
      </c>
      <c r="AE6460">
        <v>26.225090000000002</v>
      </c>
      <c r="AF6460">
        <v>-2.87113785568445</v>
      </c>
      <c r="AG6460">
        <v>-1.108816383488</v>
      </c>
      <c r="AH6460">
        <v>26.069672911060898</v>
      </c>
      <c r="AI6460">
        <v>92.420862549330707</v>
      </c>
      <c r="AJ6460">
        <v>96.2848418798837</v>
      </c>
      <c r="AK6460">
        <v>26.250728600332899</v>
      </c>
      <c r="AL6460">
        <v>92.236791009282001</v>
      </c>
      <c r="AM6460">
        <v>96.839439303586403</v>
      </c>
      <c r="AN6460">
        <v>0.99999994677901405</v>
      </c>
    </row>
    <row r="6461" spans="1:40" x14ac:dyDescent="0.25">
      <c r="A6461" t="str">
        <f>"20190305135358481"</f>
        <v>20190305135358481</v>
      </c>
      <c r="B6461" t="str">
        <f>"1551765238475932"</f>
        <v>1551765238475932</v>
      </c>
      <c r="C6461" t="s">
        <v>40</v>
      </c>
      <c r="D6461">
        <v>4.6339370000000004</v>
      </c>
      <c r="E6461">
        <v>0.50587529999999903</v>
      </c>
      <c r="F6461" t="s">
        <v>42</v>
      </c>
      <c r="G6461">
        <v>-189.50149999999999</v>
      </c>
      <c r="H6461" s="1">
        <v>-2.2315769999999999E-6</v>
      </c>
      <c r="I6461">
        <v>4.6285410000000002</v>
      </c>
      <c r="J6461">
        <v>-188.03399999999999</v>
      </c>
      <c r="K6461">
        <v>1.1088209999999901</v>
      </c>
      <c r="L6461">
        <v>-20.83521</v>
      </c>
      <c r="M6461">
        <v>4.7435089999999999E-2</v>
      </c>
      <c r="N6461">
        <v>-1.648044E-3</v>
      </c>
      <c r="O6461">
        <v>0.99887289999999995</v>
      </c>
      <c r="P6461">
        <v>-7.1635660000000004E-2</v>
      </c>
      <c r="Q6461">
        <v>-4.0813960000000003E-2</v>
      </c>
      <c r="R6461">
        <v>0.99659549999999997</v>
      </c>
      <c r="S6461">
        <v>-0.16833499999999901</v>
      </c>
      <c r="T6461">
        <v>-0.12858249999999999</v>
      </c>
      <c r="U6461">
        <v>2.9928590000000002</v>
      </c>
      <c r="V6461">
        <v>-0.1187052</v>
      </c>
      <c r="W6461">
        <v>-3.9551349999999999E-2</v>
      </c>
      <c r="X6461">
        <v>0.99214150000000001</v>
      </c>
      <c r="Y6461">
        <v>-0.1034026</v>
      </c>
      <c r="Z6461">
        <v>-4.1053480000000003E-2</v>
      </c>
      <c r="AA6461">
        <v>0.99379200000000001</v>
      </c>
      <c r="AB6461">
        <v>38</v>
      </c>
      <c r="AC6461">
        <v>-1.4674999999999701</v>
      </c>
      <c r="AD6461">
        <v>-1.1088232315769999</v>
      </c>
      <c r="AE6461">
        <v>25.463750999999998</v>
      </c>
      <c r="AF6461">
        <v>-2.6686815474301002</v>
      </c>
      <c r="AG6461">
        <v>-1.1088232315769999</v>
      </c>
      <c r="AH6461">
        <v>25.3176279585213</v>
      </c>
      <c r="AI6461">
        <v>92.4939523274424</v>
      </c>
      <c r="AJ6461">
        <v>96.017216010821102</v>
      </c>
      <c r="AK6461">
        <v>25.4820257359296</v>
      </c>
      <c r="AL6461">
        <v>92.266716677057502</v>
      </c>
      <c r="AM6461">
        <v>96.822745802933596</v>
      </c>
      <c r="AN6461">
        <v>0.99999999490805602</v>
      </c>
    </row>
    <row r="6462" spans="1:40" x14ac:dyDescent="0.25">
      <c r="A6462" t="str">
        <f>"20190305135358505"</f>
        <v>20190305135358505</v>
      </c>
      <c r="B6462" t="str">
        <f>"1551765238496427"</f>
        <v>1551765238496427</v>
      </c>
      <c r="C6462" t="s">
        <v>40</v>
      </c>
      <c r="D6462">
        <v>4.7490779999999999</v>
      </c>
      <c r="E6462">
        <v>0.50590800000000002</v>
      </c>
      <c r="F6462" t="s">
        <v>42</v>
      </c>
      <c r="G6462">
        <v>-189.47900000000001</v>
      </c>
      <c r="H6462" s="1">
        <v>-2.34853E-6</v>
      </c>
      <c r="I6462">
        <v>4.8918520000000001</v>
      </c>
      <c r="J6462">
        <v>-188.01589999999999</v>
      </c>
      <c r="K6462">
        <v>1.1088169999999999</v>
      </c>
      <c r="L6462">
        <v>-20.433140000000002</v>
      </c>
      <c r="M6462">
        <v>4.6033289999999998E-2</v>
      </c>
      <c r="N6462">
        <v>-1.676889E-3</v>
      </c>
      <c r="O6462">
        <v>0.99893849999999995</v>
      </c>
      <c r="P6462">
        <v>-7.1861820000000007E-2</v>
      </c>
      <c r="Q6462">
        <v>-4.2621829999999999E-2</v>
      </c>
      <c r="R6462">
        <v>0.99650349999999999</v>
      </c>
      <c r="S6462">
        <v>-0.16810610000000001</v>
      </c>
      <c r="T6462">
        <v>-0.1289921</v>
      </c>
      <c r="U6462">
        <v>2.9928889999999999</v>
      </c>
      <c r="V6462">
        <v>-0.1175272</v>
      </c>
      <c r="W6462">
        <v>-4.1331189999999997E-2</v>
      </c>
      <c r="X6462">
        <v>0.99220920000000001</v>
      </c>
      <c r="Y6462">
        <v>-0.10193000000000001</v>
      </c>
      <c r="Z6462">
        <v>-4.1167639999999998E-2</v>
      </c>
      <c r="AA6462">
        <v>0.99393940000000003</v>
      </c>
      <c r="AB6462">
        <v>38</v>
      </c>
      <c r="AC6462">
        <v>-1.4631000000000201</v>
      </c>
      <c r="AD6462">
        <v>-1.10881934852999</v>
      </c>
      <c r="AE6462">
        <v>25.324992000000002</v>
      </c>
      <c r="AF6462">
        <v>-2.6223330117992099</v>
      </c>
      <c r="AG6462">
        <v>-1.10881934852999</v>
      </c>
      <c r="AH6462">
        <v>25.182678960218801</v>
      </c>
      <c r="AI6462">
        <v>92.507622200888093</v>
      </c>
      <c r="AJ6462">
        <v>95.944921266578305</v>
      </c>
      <c r="AK6462">
        <v>25.343114062519799</v>
      </c>
      <c r="AL6462">
        <v>92.368777485686095</v>
      </c>
      <c r="AM6462">
        <v>96.755210808520602</v>
      </c>
      <c r="AN6462">
        <v>1.00000000328564</v>
      </c>
    </row>
    <row r="6463" spans="1:40" x14ac:dyDescent="0.25">
      <c r="A6463" t="str">
        <f>"20190305135358528"</f>
        <v>20190305135358528</v>
      </c>
      <c r="B6463" t="str">
        <f>"1551765238515948"</f>
        <v>1551765238515948</v>
      </c>
      <c r="C6463" t="s">
        <v>40</v>
      </c>
      <c r="D6463">
        <v>4.7127339999999904</v>
      </c>
      <c r="E6463">
        <v>0.50609329999999997</v>
      </c>
      <c r="F6463" t="s">
        <v>42</v>
      </c>
      <c r="G6463">
        <v>-189.3288</v>
      </c>
      <c r="H6463" s="1">
        <v>-1.5192009999999901E-6</v>
      </c>
      <c r="I6463">
        <v>2.8965390000000002</v>
      </c>
      <c r="J6463">
        <v>-187.99889999999999</v>
      </c>
      <c r="K6463">
        <v>1.108808</v>
      </c>
      <c r="L6463">
        <v>-20.044129999999999</v>
      </c>
      <c r="M6463">
        <v>4.4678049999999997E-2</v>
      </c>
      <c r="N6463">
        <v>-1.7035380000000001E-3</v>
      </c>
      <c r="O6463">
        <v>0.999</v>
      </c>
      <c r="P6463">
        <v>-7.0855860000000007E-2</v>
      </c>
      <c r="Q6463">
        <v>-4.48589E-2</v>
      </c>
      <c r="R6463">
        <v>0.99647739999999996</v>
      </c>
      <c r="S6463">
        <v>-0.16839599999999999</v>
      </c>
      <c r="T6463">
        <v>-0.14221919999999999</v>
      </c>
      <c r="U6463">
        <v>2.9923099999999998</v>
      </c>
      <c r="V6463">
        <v>-0.11516659999999999</v>
      </c>
      <c r="W6463">
        <v>-4.3537899999999997E-2</v>
      </c>
      <c r="X6463">
        <v>0.99239160000000004</v>
      </c>
      <c r="Y6463">
        <v>-0.1006761</v>
      </c>
      <c r="Z6463">
        <v>-4.5541770000000002E-2</v>
      </c>
      <c r="AA6463">
        <v>0.99387639999999999</v>
      </c>
      <c r="AB6463">
        <v>38</v>
      </c>
      <c r="AC6463">
        <v>-1.3299000000000001</v>
      </c>
      <c r="AD6463">
        <v>-1.1088095192009999</v>
      </c>
      <c r="AE6463">
        <v>22.940669</v>
      </c>
      <c r="AF6463">
        <v>-2.3480507973818399</v>
      </c>
      <c r="AG6463">
        <v>-1.1088095192009999</v>
      </c>
      <c r="AH6463">
        <v>22.805245662042399</v>
      </c>
      <c r="AI6463">
        <v>92.768959984258004</v>
      </c>
      <c r="AJ6463">
        <v>95.878516247503001</v>
      </c>
      <c r="AK6463">
        <v>22.9526040091982</v>
      </c>
      <c r="AL6463">
        <v>92.495326700393306</v>
      </c>
      <c r="AM6463">
        <v>96.619539272989002</v>
      </c>
      <c r="AN6463">
        <v>0.99999999112126403</v>
      </c>
    </row>
    <row r="6464" spans="1:40" x14ac:dyDescent="0.25">
      <c r="A6464" t="str">
        <f>"20190305135358550"</f>
        <v>20190305135358550</v>
      </c>
      <c r="B6464" t="str">
        <f>"1551765238546204"</f>
        <v>1551765238546204</v>
      </c>
      <c r="C6464" t="s">
        <v>40</v>
      </c>
      <c r="D6464">
        <v>4.7639459999999998</v>
      </c>
      <c r="E6464">
        <v>0.50588569999999999</v>
      </c>
      <c r="F6464" t="s">
        <v>42</v>
      </c>
      <c r="G6464">
        <v>-189.20609999999999</v>
      </c>
      <c r="H6464" s="1">
        <v>-1.1610889999999999E-6</v>
      </c>
      <c r="I6464">
        <v>2.011034</v>
      </c>
      <c r="J6464">
        <v>-187.98349999999999</v>
      </c>
      <c r="K6464">
        <v>1.1088089999999999</v>
      </c>
      <c r="L6464">
        <v>-19.680730000000001</v>
      </c>
      <c r="M6464">
        <v>4.341366E-2</v>
      </c>
      <c r="N6464">
        <v>-1.728704E-3</v>
      </c>
      <c r="O6464">
        <v>0.99905569999999999</v>
      </c>
      <c r="P6464">
        <v>-6.9088609999999995E-2</v>
      </c>
      <c r="Q6464">
        <v>-4.556909E-2</v>
      </c>
      <c r="R6464">
        <v>0.99656920000000004</v>
      </c>
      <c r="S6464">
        <v>-0.16377259999999999</v>
      </c>
      <c r="T6464">
        <v>-0.15043029999999999</v>
      </c>
      <c r="U6464">
        <v>2.9921880000000001</v>
      </c>
      <c r="V6464">
        <v>-0.1121455</v>
      </c>
      <c r="W6464">
        <v>-4.4216360000000003E-2</v>
      </c>
      <c r="X6464">
        <v>0.99270760000000002</v>
      </c>
      <c r="Y6464">
        <v>-9.7880670000000003E-2</v>
      </c>
      <c r="Z6464">
        <v>-4.825339E-2</v>
      </c>
      <c r="AA6464">
        <v>0.99402769999999996</v>
      </c>
      <c r="AB6464">
        <v>39</v>
      </c>
      <c r="AC6464">
        <v>-1.2225999999999999</v>
      </c>
      <c r="AD6464">
        <v>-1.108810161089</v>
      </c>
      <c r="AE6464">
        <v>21.691763999999999</v>
      </c>
      <c r="AF6464">
        <v>-2.15754794081167</v>
      </c>
      <c r="AG6464">
        <v>-1.108810161089</v>
      </c>
      <c r="AH6464">
        <v>21.562073572918901</v>
      </c>
      <c r="AI6464">
        <v>92.929188683251098</v>
      </c>
      <c r="AJ6464">
        <v>95.714120108893496</v>
      </c>
      <c r="AK6464">
        <v>21.6980987612787</v>
      </c>
      <c r="AL6464">
        <v>92.534236946895504</v>
      </c>
      <c r="AM6464">
        <v>96.445339181105396</v>
      </c>
      <c r="AN6464">
        <v>1.0000000393798201</v>
      </c>
    </row>
    <row r="6465" spans="1:40" x14ac:dyDescent="0.25">
      <c r="A6465" t="str">
        <f>"20190305135358571"</f>
        <v>20190305135358571</v>
      </c>
      <c r="B6465" t="str">
        <f>"1551765238566700"</f>
        <v>1551765238566700</v>
      </c>
      <c r="C6465" t="s">
        <v>40</v>
      </c>
      <c r="D6465">
        <v>4.7149239999999999</v>
      </c>
      <c r="E6465">
        <v>0.50574319999999995</v>
      </c>
      <c r="F6465" t="s">
        <v>42</v>
      </c>
      <c r="G6465">
        <v>-189.1318</v>
      </c>
      <c r="H6465" s="1">
        <v>-1.0683720000000001E-6</v>
      </c>
      <c r="I6465">
        <v>1.7642070000000001</v>
      </c>
      <c r="J6465">
        <v>-187.96729999999999</v>
      </c>
      <c r="K6465">
        <v>1.1088180000000001</v>
      </c>
      <c r="L6465">
        <v>-19.284520000000001</v>
      </c>
      <c r="M6465">
        <v>4.2036629999999998E-2</v>
      </c>
      <c r="N6465">
        <v>-1.7572130000000001E-3</v>
      </c>
      <c r="O6465">
        <v>0.99911450000000002</v>
      </c>
      <c r="P6465">
        <v>-6.7409689999999994E-2</v>
      </c>
      <c r="Q6465">
        <v>-4.5210979999999998E-2</v>
      </c>
      <c r="R6465">
        <v>0.99670049999999999</v>
      </c>
      <c r="S6465">
        <v>-0.16021729999999901</v>
      </c>
      <c r="T6465">
        <v>-0.1547095</v>
      </c>
      <c r="U6465">
        <v>2.9921570000000002</v>
      </c>
      <c r="V6465">
        <v>-0.10910549999999999</v>
      </c>
      <c r="W6465">
        <v>-4.3823059999999997E-2</v>
      </c>
      <c r="X6465">
        <v>0.99306369999999999</v>
      </c>
      <c r="Y6465">
        <v>-9.5327839999999997E-2</v>
      </c>
      <c r="Z6465">
        <v>-4.96563E-2</v>
      </c>
      <c r="AA6465">
        <v>0.9942067</v>
      </c>
      <c r="AB6465">
        <v>39</v>
      </c>
      <c r="AC6465">
        <v>-1.1645000000000001</v>
      </c>
      <c r="AD6465">
        <v>-1.1088190683720001</v>
      </c>
      <c r="AE6465">
        <v>21.048727</v>
      </c>
      <c r="AF6465">
        <v>-2.0426384847101402</v>
      </c>
      <c r="AG6465">
        <v>-1.1088190683720001</v>
      </c>
      <c r="AH6465">
        <v>20.923283775996399</v>
      </c>
      <c r="AI6465">
        <v>93.019197182240006</v>
      </c>
      <c r="AJ6465">
        <v>95.575839405155705</v>
      </c>
      <c r="AK6465">
        <v>21.051975101554699</v>
      </c>
      <c r="AL6465">
        <v>92.511680773266406</v>
      </c>
      <c r="AM6465">
        <v>96.269801667255805</v>
      </c>
      <c r="AN6465">
        <v>0.99999999148785101</v>
      </c>
    </row>
    <row r="6466" spans="1:40" x14ac:dyDescent="0.25">
      <c r="A6466" t="str">
        <f>"20190305135358595"</f>
        <v>20190305135358595</v>
      </c>
      <c r="B6466" t="str">
        <f>"1551765238586220"</f>
        <v>1551765238586220</v>
      </c>
      <c r="C6466" t="s">
        <v>40</v>
      </c>
      <c r="D6466">
        <v>4.7586769999999996</v>
      </c>
      <c r="E6466">
        <v>0.50582729999999998</v>
      </c>
      <c r="F6466" t="s">
        <v>42</v>
      </c>
      <c r="G6466">
        <v>-189.08690000000001</v>
      </c>
      <c r="H6466" s="1">
        <v>-1.2505679999999999E-6</v>
      </c>
      <c r="I6466">
        <v>2.1703510000000001</v>
      </c>
      <c r="J6466">
        <v>-187.95140000000001</v>
      </c>
      <c r="K6466">
        <v>1.108835</v>
      </c>
      <c r="L6466">
        <v>-18.882660000000001</v>
      </c>
      <c r="M6466">
        <v>4.0642369999999997E-2</v>
      </c>
      <c r="N6466">
        <v>-1.787606E-3</v>
      </c>
      <c r="O6466">
        <v>0.99917219999999995</v>
      </c>
      <c r="P6466">
        <v>-6.5994339999999999E-2</v>
      </c>
      <c r="Q6466">
        <v>-4.5116749999999997E-2</v>
      </c>
      <c r="R6466">
        <v>0.99679949999999995</v>
      </c>
      <c r="S6466">
        <v>-0.156158399999999</v>
      </c>
      <c r="T6466">
        <v>-0.15464849999999999</v>
      </c>
      <c r="U6466">
        <v>2.99234</v>
      </c>
      <c r="V6466">
        <v>-0.1063081</v>
      </c>
      <c r="W6466">
        <v>-4.3692509999999997E-2</v>
      </c>
      <c r="X6466">
        <v>0.99337279999999994</v>
      </c>
      <c r="Y6466">
        <v>-9.2590530000000004E-2</v>
      </c>
      <c r="Z6466">
        <v>-4.9615670000000001E-2</v>
      </c>
      <c r="AA6466">
        <v>0.99446730000000005</v>
      </c>
      <c r="AB6466">
        <v>39</v>
      </c>
      <c r="AC6466">
        <v>-1.1355</v>
      </c>
      <c r="AD6466">
        <v>-1.1088362505679901</v>
      </c>
      <c r="AE6466">
        <v>21.053010999999898</v>
      </c>
      <c r="AF6466">
        <v>-1.9847177561856999</v>
      </c>
      <c r="AG6466">
        <v>-1.1088362505679901</v>
      </c>
      <c r="AH6466">
        <v>20.931570821473301</v>
      </c>
      <c r="AI6466">
        <v>93.018856690445404</v>
      </c>
      <c r="AJ6466">
        <v>95.416553921185198</v>
      </c>
      <c r="AK6466">
        <v>21.054673577537201</v>
      </c>
      <c r="AL6466">
        <v>92.504193657369896</v>
      </c>
      <c r="AM6466">
        <v>96.108392651573396</v>
      </c>
      <c r="AN6466">
        <v>0.99999998366777398</v>
      </c>
    </row>
    <row r="6467" spans="1:40" x14ac:dyDescent="0.25">
      <c r="A6467" t="str">
        <f>"20190305135358616"</f>
        <v>20190305135358616</v>
      </c>
      <c r="B6467" t="str">
        <f>"1551765238606716"</f>
        <v>1551765238606716</v>
      </c>
      <c r="C6467" t="s">
        <v>40</v>
      </c>
      <c r="D6467">
        <v>4.7615030000000003</v>
      </c>
      <c r="E6467">
        <v>0.50600920000000005</v>
      </c>
      <c r="F6467" t="s">
        <v>42</v>
      </c>
      <c r="G6467">
        <v>-189.06010000000001</v>
      </c>
      <c r="H6467" s="1">
        <v>-1.626974E-6</v>
      </c>
      <c r="I6467">
        <v>3.036664</v>
      </c>
      <c r="J6467">
        <v>-187.93680000000001</v>
      </c>
      <c r="K6467">
        <v>1.108854</v>
      </c>
      <c r="L6467">
        <v>-18.503299999999999</v>
      </c>
      <c r="M6467">
        <v>3.9327800000000003E-2</v>
      </c>
      <c r="N6467">
        <v>-1.817882E-3</v>
      </c>
      <c r="O6467">
        <v>0.99922469999999997</v>
      </c>
      <c r="P6467">
        <v>-6.4854670000000003E-2</v>
      </c>
      <c r="Q6467">
        <v>-4.5164160000000002E-2</v>
      </c>
      <c r="R6467">
        <v>0.99687210000000004</v>
      </c>
      <c r="S6467">
        <v>-0.151382399999999</v>
      </c>
      <c r="T6467">
        <v>-0.15139569999999999</v>
      </c>
      <c r="U6467">
        <v>2.9927670000000002</v>
      </c>
      <c r="V6467">
        <v>-0.103864</v>
      </c>
      <c r="W6467">
        <v>-4.370458E-2</v>
      </c>
      <c r="X6467">
        <v>0.99363080000000004</v>
      </c>
      <c r="Y6467">
        <v>-8.9692859999999999E-2</v>
      </c>
      <c r="Z6467">
        <v>-4.8512569999999998E-2</v>
      </c>
      <c r="AA6467">
        <v>0.99478730000000004</v>
      </c>
      <c r="AB6467">
        <v>39</v>
      </c>
      <c r="AC6467">
        <v>-1.1233</v>
      </c>
      <c r="AD6467">
        <v>-1.108855626974</v>
      </c>
      <c r="AE6467">
        <v>21.539964000000001</v>
      </c>
      <c r="AF6467">
        <v>-1.9643601686318599</v>
      </c>
      <c r="AG6467">
        <v>-1.108855626974</v>
      </c>
      <c r="AH6467">
        <v>21.4225053182615</v>
      </c>
      <c r="AI6467">
        <v>92.950699732080196</v>
      </c>
      <c r="AJ6467">
        <v>95.239148359255495</v>
      </c>
      <c r="AK6467">
        <v>21.540937904012502</v>
      </c>
      <c r="AL6467">
        <v>92.504885853382703</v>
      </c>
      <c r="AM6467">
        <v>95.967443311408303</v>
      </c>
      <c r="AN6467">
        <v>0.99999999375880799</v>
      </c>
    </row>
    <row r="6468" spans="1:40" x14ac:dyDescent="0.25">
      <c r="A6468" t="str">
        <f>"20190305135358640"</f>
        <v>20190305135358640</v>
      </c>
      <c r="B6468" t="str">
        <f>"1551765238635996"</f>
        <v>1551765238635996</v>
      </c>
      <c r="C6468" t="s">
        <v>40</v>
      </c>
      <c r="D6468">
        <v>4.7636240000000001</v>
      </c>
      <c r="E6468">
        <v>0.50624420000000003</v>
      </c>
      <c r="F6468" t="s">
        <v>42</v>
      </c>
      <c r="G6468">
        <v>-189.01320000000001</v>
      </c>
      <c r="H6468" s="1">
        <v>-1.8237959999999999E-6</v>
      </c>
      <c r="I6468">
        <v>3.4760740000000001</v>
      </c>
      <c r="J6468">
        <v>-187.92089999999999</v>
      </c>
      <c r="K6468">
        <v>1.1088720000000001</v>
      </c>
      <c r="L6468">
        <v>-18.07263</v>
      </c>
      <c r="M6468">
        <v>3.783736E-2</v>
      </c>
      <c r="N6468">
        <v>-1.853934E-3</v>
      </c>
      <c r="O6468">
        <v>0.99928220000000001</v>
      </c>
      <c r="P6468">
        <v>-6.4765630000000005E-2</v>
      </c>
      <c r="Q6468">
        <v>-4.3997460000000002E-2</v>
      </c>
      <c r="R6468">
        <v>0.99693010000000004</v>
      </c>
      <c r="S6468">
        <v>-0.14657590000000001</v>
      </c>
      <c r="T6468">
        <v>-0.15099849999999901</v>
      </c>
      <c r="U6468">
        <v>2.993042</v>
      </c>
      <c r="V6468">
        <v>-0.1022976</v>
      </c>
      <c r="W6468">
        <v>-4.2500009999999998E-2</v>
      </c>
      <c r="X6468">
        <v>0.99384550000000005</v>
      </c>
      <c r="Y6468">
        <v>-8.6609179999999994E-2</v>
      </c>
      <c r="Z6468">
        <v>-4.8353559999999997E-2</v>
      </c>
      <c r="AA6468">
        <v>0.99506830000000002</v>
      </c>
      <c r="AB6468">
        <v>39</v>
      </c>
      <c r="AC6468">
        <v>-1.09230000000002</v>
      </c>
      <c r="AD6468">
        <v>-1.1088738237960001</v>
      </c>
      <c r="AE6468">
        <v>21.548704000000001</v>
      </c>
      <c r="AF6468">
        <v>-1.90184206070239</v>
      </c>
      <c r="AG6468">
        <v>-1.1088738237960001</v>
      </c>
      <c r="AH6468">
        <v>21.4353275374948</v>
      </c>
      <c r="AI6468">
        <v>92.949768929288993</v>
      </c>
      <c r="AJ6468">
        <v>95.070271636604303</v>
      </c>
      <c r="AK6468">
        <v>21.5480827690224</v>
      </c>
      <c r="AL6468">
        <v>92.435804945106995</v>
      </c>
      <c r="AM6468">
        <v>95.876820719110697</v>
      </c>
      <c r="AN6468">
        <v>0.99999996384300405</v>
      </c>
    </row>
    <row r="6469" spans="1:40" x14ac:dyDescent="0.25">
      <c r="A6469" t="str">
        <f>"20190305135358664"</f>
        <v>20190305135358664</v>
      </c>
      <c r="B6469" t="str">
        <f>"1551765238656493"</f>
        <v>1551765238656493</v>
      </c>
      <c r="C6469" t="s">
        <v>40</v>
      </c>
      <c r="D6469">
        <v>4.74099</v>
      </c>
      <c r="E6469">
        <v>0.50624590000000003</v>
      </c>
      <c r="F6469" t="s">
        <v>42</v>
      </c>
      <c r="G6469">
        <v>-189.0095</v>
      </c>
      <c r="H6469" s="1">
        <v>-2.2622979999999999E-6</v>
      </c>
      <c r="I6469">
        <v>4.4966980000000003</v>
      </c>
      <c r="J6469">
        <v>-187.90600000000001</v>
      </c>
      <c r="K6469">
        <v>1.1089020000000001</v>
      </c>
      <c r="L6469">
        <v>-17.65372</v>
      </c>
      <c r="M6469">
        <v>3.6389440000000002E-2</v>
      </c>
      <c r="N6469">
        <v>-1.89072E-3</v>
      </c>
      <c r="O6469">
        <v>0.99933590000000005</v>
      </c>
      <c r="P6469">
        <v>-6.4669589999999999E-2</v>
      </c>
      <c r="Q6469">
        <v>-4.1599980000000002E-2</v>
      </c>
      <c r="R6469">
        <v>0.99703929999999996</v>
      </c>
      <c r="S6469">
        <v>-0.1443787</v>
      </c>
      <c r="T6469">
        <v>-0.14707039999999999</v>
      </c>
      <c r="U6469">
        <v>2.9933779999999999</v>
      </c>
      <c r="V6469">
        <v>-0.10077270000000001</v>
      </c>
      <c r="W6469">
        <v>-4.0063679999999997E-2</v>
      </c>
      <c r="X6469">
        <v>0.9941025</v>
      </c>
      <c r="Y6469">
        <v>-8.443457E-2</v>
      </c>
      <c r="Z6469">
        <v>-4.7017799999999998E-2</v>
      </c>
      <c r="AA6469">
        <v>0.99531910000000001</v>
      </c>
      <c r="AB6469">
        <v>39</v>
      </c>
      <c r="AC6469">
        <v>-1.1035000000000199</v>
      </c>
      <c r="AD6469">
        <v>-1.1089042622980001</v>
      </c>
      <c r="AE6469">
        <v>22.150417999999998</v>
      </c>
      <c r="AF6469">
        <v>-1.9040516637054301</v>
      </c>
      <c r="AG6469">
        <v>-1.1089042622980001</v>
      </c>
      <c r="AH6469">
        <v>22.040489372800199</v>
      </c>
      <c r="AI6469">
        <v>92.869574859296506</v>
      </c>
      <c r="AJ6469">
        <v>94.937455810417902</v>
      </c>
      <c r="AK6469">
        <v>22.150355599708099</v>
      </c>
      <c r="AL6469">
        <v>92.296094279830001</v>
      </c>
      <c r="AM6469">
        <v>95.788330798852002</v>
      </c>
      <c r="AN6469">
        <v>1.00000000801334</v>
      </c>
    </row>
    <row r="6470" spans="1:40" x14ac:dyDescent="0.25">
      <c r="A6470" t="str">
        <f>"20190305135358696"</f>
        <v>20190305135358696</v>
      </c>
      <c r="B6470" t="str">
        <f>"1551765238686748"</f>
        <v>1551765238686748</v>
      </c>
      <c r="C6470" t="s">
        <v>40</v>
      </c>
      <c r="D6470">
        <v>4.7145510000000002</v>
      </c>
      <c r="E6470">
        <v>0.50615580000000004</v>
      </c>
      <c r="F6470" t="s">
        <v>42</v>
      </c>
      <c r="G6470">
        <v>-189.0549</v>
      </c>
      <c r="H6470" s="1">
        <v>-2.9930739999999999E-6</v>
      </c>
      <c r="I6470">
        <v>6.2189310000000004</v>
      </c>
      <c r="J6470">
        <v>-187.887</v>
      </c>
      <c r="K6470">
        <v>1.1089329999999999</v>
      </c>
      <c r="L6470">
        <v>-17.088100000000001</v>
      </c>
      <c r="M6470">
        <v>3.4437120000000002E-2</v>
      </c>
      <c r="N6470">
        <v>-1.9432410000000001E-3</v>
      </c>
      <c r="O6470">
        <v>0.99940499999999999</v>
      </c>
      <c r="P6470">
        <v>-6.6701440000000001E-2</v>
      </c>
      <c r="Q6470">
        <v>-3.7597470000000001E-2</v>
      </c>
      <c r="R6470">
        <v>0.99706439999999996</v>
      </c>
      <c r="S6470">
        <v>-0.14407349999999999</v>
      </c>
      <c r="T6470">
        <v>-0.13906189999999999</v>
      </c>
      <c r="U6470">
        <v>2.993744</v>
      </c>
      <c r="V6470">
        <v>-0.10087450000000001</v>
      </c>
      <c r="W6470">
        <v>-3.6013400000000001E-2</v>
      </c>
      <c r="X6470">
        <v>0.99424710000000005</v>
      </c>
      <c r="Y6470">
        <v>-8.2386940000000006E-2</v>
      </c>
      <c r="Z6470">
        <v>-4.4311099999999999E-2</v>
      </c>
      <c r="AA6470">
        <v>0.99561480000000002</v>
      </c>
      <c r="AB6470">
        <v>40</v>
      </c>
      <c r="AC6470">
        <v>-1.1678999999999999</v>
      </c>
      <c r="AD6470">
        <v>-1.1089359930739999</v>
      </c>
      <c r="AE6470">
        <v>23.307030999999998</v>
      </c>
      <c r="AF6470">
        <v>-1.9653976638444901</v>
      </c>
      <c r="AG6470">
        <v>-1.1089359930739999</v>
      </c>
      <c r="AH6470">
        <v>23.200597495177199</v>
      </c>
      <c r="AI6470">
        <v>92.726773925596703</v>
      </c>
      <c r="AJ6470">
        <v>94.842149949200504</v>
      </c>
      <c r="AK6470">
        <v>23.310089042022199</v>
      </c>
      <c r="AL6470">
        <v>92.063862192934195</v>
      </c>
      <c r="AM6470">
        <v>95.793301424775507</v>
      </c>
      <c r="AN6470">
        <v>0.99999996279410897</v>
      </c>
    </row>
    <row r="6471" spans="1:40" x14ac:dyDescent="0.25">
      <c r="A6471" t="str">
        <f>"20190305135358718"</f>
        <v>20190305135358718</v>
      </c>
      <c r="B6471" t="str">
        <f>"1551765238716029"</f>
        <v>1551765238716029</v>
      </c>
      <c r="C6471" t="s">
        <v>40</v>
      </c>
      <c r="D6471">
        <v>4.7646490000000004</v>
      </c>
      <c r="E6471">
        <v>0.50618479999999999</v>
      </c>
      <c r="F6471" t="s">
        <v>42</v>
      </c>
      <c r="G6471">
        <v>-189.20590000000001</v>
      </c>
      <c r="H6471" s="1">
        <v>-4.1921570000000002E-6</v>
      </c>
      <c r="I6471">
        <v>9.0764750000000003</v>
      </c>
      <c r="J6471">
        <v>-187.87389999999999</v>
      </c>
      <c r="K6471">
        <v>1.1089580000000001</v>
      </c>
      <c r="L6471">
        <v>-16.678709999999999</v>
      </c>
      <c r="M6471">
        <v>3.3025659999999998E-2</v>
      </c>
      <c r="N6471">
        <v>-1.9828519999999998E-3</v>
      </c>
      <c r="O6471">
        <v>0.99945249999999997</v>
      </c>
      <c r="P6471">
        <v>-6.8391030000000005E-2</v>
      </c>
      <c r="Q6471">
        <v>-3.621539E-2</v>
      </c>
      <c r="R6471">
        <v>0.99700109999999997</v>
      </c>
      <c r="S6471">
        <v>-0.15092469999999999</v>
      </c>
      <c r="T6471">
        <v>-0.12689339999999999</v>
      </c>
      <c r="U6471">
        <v>2.9939580000000001</v>
      </c>
      <c r="V6471">
        <v>-0.10116070000000001</v>
      </c>
      <c r="W6471">
        <v>-3.459603E-2</v>
      </c>
      <c r="X6471">
        <v>0.99426840000000005</v>
      </c>
      <c r="Y6471">
        <v>-8.3257739999999997E-2</v>
      </c>
      <c r="Z6471">
        <v>-4.0227430000000002E-2</v>
      </c>
      <c r="AA6471">
        <v>0.99571580000000004</v>
      </c>
      <c r="AB6471">
        <v>40</v>
      </c>
      <c r="AC6471">
        <v>-1.3320000000000201</v>
      </c>
      <c r="AD6471">
        <v>-1.1089621921570001</v>
      </c>
      <c r="AE6471">
        <v>25.755185000000001</v>
      </c>
      <c r="AF6471">
        <v>-2.17783020895122</v>
      </c>
      <c r="AG6471">
        <v>-1.1089621921570001</v>
      </c>
      <c r="AH6471">
        <v>25.6497182186387</v>
      </c>
      <c r="AI6471">
        <v>92.466769088564604</v>
      </c>
      <c r="AJ6471">
        <v>94.853149492205006</v>
      </c>
      <c r="AK6471">
        <v>25.765884154405001</v>
      </c>
      <c r="AL6471">
        <v>91.982602108772895</v>
      </c>
      <c r="AM6471">
        <v>95.809502235111907</v>
      </c>
      <c r="AN6471">
        <v>1.0000000118774</v>
      </c>
    </row>
    <row r="6472" spans="1:40" x14ac:dyDescent="0.25">
      <c r="A6472" t="str">
        <f>"20190305135358740"</f>
        <v>20190305135358740</v>
      </c>
      <c r="B6472" t="str">
        <f>"1551765238736524"</f>
        <v>1551765238736524</v>
      </c>
      <c r="C6472" t="s">
        <v>40</v>
      </c>
      <c r="D6472">
        <v>4.7496099999999997</v>
      </c>
      <c r="E6472">
        <v>0.50618009999999902</v>
      </c>
      <c r="F6472" t="s">
        <v>42</v>
      </c>
      <c r="G6472">
        <v>-189.26439999999999</v>
      </c>
      <c r="H6472" s="1">
        <v>-3.2288430000000002E-7</v>
      </c>
      <c r="I6472">
        <v>10.02173</v>
      </c>
      <c r="J6472">
        <v>-187.8622</v>
      </c>
      <c r="K6472">
        <v>1.1089709999999999</v>
      </c>
      <c r="L6472">
        <v>-16.298829999999999</v>
      </c>
      <c r="M6472">
        <v>3.1717370000000002E-2</v>
      </c>
      <c r="N6472">
        <v>-2.020782E-3</v>
      </c>
      <c r="O6472">
        <v>0.99949489999999996</v>
      </c>
      <c r="P6472">
        <v>-6.9758390000000003E-2</v>
      </c>
      <c r="Q6472">
        <v>-3.5154600000000001E-2</v>
      </c>
      <c r="R6472">
        <v>0.99694430000000001</v>
      </c>
      <c r="S6472">
        <v>-0.15591429999999901</v>
      </c>
      <c r="T6472">
        <v>-0.1243427</v>
      </c>
      <c r="U6472">
        <v>2.993805</v>
      </c>
      <c r="V6472">
        <v>-0.1012271</v>
      </c>
      <c r="W6472">
        <v>-3.3500559999999999E-2</v>
      </c>
      <c r="X6472">
        <v>0.99429920000000005</v>
      </c>
      <c r="Y6472">
        <v>-8.3612839999999994E-2</v>
      </c>
      <c r="Z6472">
        <v>-3.9344799999999999E-2</v>
      </c>
      <c r="AA6472">
        <v>0.99572130000000003</v>
      </c>
      <c r="AB6472">
        <v>40</v>
      </c>
      <c r="AC6472">
        <v>-1.4021999999999899</v>
      </c>
      <c r="AD6472">
        <v>-1.1089713228842999</v>
      </c>
      <c r="AE6472">
        <v>26.320559999999901</v>
      </c>
      <c r="AF6472">
        <v>-2.2323634049918599</v>
      </c>
      <c r="AG6472">
        <v>-1.1089713228842999</v>
      </c>
      <c r="AH6472">
        <v>26.2164352656348</v>
      </c>
      <c r="AI6472">
        <v>92.413479085457297</v>
      </c>
      <c r="AJ6472">
        <v>94.867069175217694</v>
      </c>
      <c r="AK6472">
        <v>26.334668059501901</v>
      </c>
      <c r="AL6472">
        <v>91.919799800207898</v>
      </c>
      <c r="AM6472">
        <v>95.8131105339383</v>
      </c>
      <c r="AN6472">
        <v>1.0000000562076801</v>
      </c>
    </row>
    <row r="6473" spans="1:40" x14ac:dyDescent="0.25">
      <c r="A6473" t="str">
        <f>"20190305135358760"</f>
        <v>20190305135358760</v>
      </c>
      <c r="B6473" t="str">
        <f>"1551765238756045"</f>
        <v>1551765238756045</v>
      </c>
      <c r="C6473" t="s">
        <v>40</v>
      </c>
      <c r="D6473">
        <v>4.756983</v>
      </c>
      <c r="E6473">
        <v>0.50622869999999998</v>
      </c>
      <c r="F6473" t="s">
        <v>42</v>
      </c>
      <c r="G6473">
        <v>-189.31979999999999</v>
      </c>
      <c r="H6473" s="1">
        <v>-6.9352809999999903E-7</v>
      </c>
      <c r="I6473">
        <v>10.96814</v>
      </c>
      <c r="J6473">
        <v>-187.85079999999999</v>
      </c>
      <c r="K6473">
        <v>1.108986</v>
      </c>
      <c r="L6473">
        <v>-15.91315</v>
      </c>
      <c r="M6473">
        <v>3.0390509999999999E-2</v>
      </c>
      <c r="N6473">
        <v>-2.0602799999999998E-3</v>
      </c>
      <c r="O6473">
        <v>0.99953599999999998</v>
      </c>
      <c r="P6473">
        <v>-7.1371899999999905E-2</v>
      </c>
      <c r="Q6473">
        <v>-3.565459E-2</v>
      </c>
      <c r="R6473">
        <v>0.99681229999999998</v>
      </c>
      <c r="S6473">
        <v>-0.16003419999999999</v>
      </c>
      <c r="T6473">
        <v>-0.121757</v>
      </c>
      <c r="U6473">
        <v>2.9937130000000001</v>
      </c>
      <c r="V6473">
        <v>-0.1015133</v>
      </c>
      <c r="W6473">
        <v>-3.3965309999999999E-2</v>
      </c>
      <c r="X6473">
        <v>0.99425419999999998</v>
      </c>
      <c r="Y6473">
        <v>-8.3659910000000004E-2</v>
      </c>
      <c r="Z6473">
        <v>-3.8448700000000002E-2</v>
      </c>
      <c r="AA6473">
        <v>0.99575230000000003</v>
      </c>
      <c r="AB6473">
        <v>40</v>
      </c>
      <c r="AC6473">
        <v>-1.4689999999999901</v>
      </c>
      <c r="AD6473">
        <v>-1.1089866935281001</v>
      </c>
      <c r="AE6473">
        <v>26.88129</v>
      </c>
      <c r="AF6473">
        <v>-2.2813879996463702</v>
      </c>
      <c r="AG6473">
        <v>-1.1089866935281001</v>
      </c>
      <c r="AH6473">
        <v>26.778788724901201</v>
      </c>
      <c r="AI6473">
        <v>92.3628784044854</v>
      </c>
      <c r="AJ6473">
        <v>94.869489620444597</v>
      </c>
      <c r="AK6473">
        <v>26.8986636891918</v>
      </c>
      <c r="AL6473">
        <v>91.946443278730399</v>
      </c>
      <c r="AM6473">
        <v>95.829694970625198</v>
      </c>
      <c r="AN6473">
        <v>1.00000000328896</v>
      </c>
    </row>
    <row r="6474" spans="1:40" x14ac:dyDescent="0.25">
      <c r="A6474" t="str">
        <f>"20190305135358784"</f>
        <v>20190305135358784</v>
      </c>
      <c r="B6474" t="str">
        <f>"1551765238776541"</f>
        <v>1551765238776541</v>
      </c>
      <c r="C6474" t="s">
        <v>40</v>
      </c>
      <c r="D6474">
        <v>4.7622299999999997</v>
      </c>
      <c r="E6474">
        <v>0.5063069</v>
      </c>
      <c r="F6474" t="s">
        <v>42</v>
      </c>
      <c r="G6474">
        <v>-189.31780000000001</v>
      </c>
      <c r="H6474" s="1">
        <v>-6.1990740000000004E-7</v>
      </c>
      <c r="I6474">
        <v>10.79571</v>
      </c>
      <c r="J6474">
        <v>-187.83869999999999</v>
      </c>
      <c r="K6474">
        <v>1.108997</v>
      </c>
      <c r="L6474">
        <v>-15.48334</v>
      </c>
      <c r="M6474">
        <v>2.8912940000000002E-2</v>
      </c>
      <c r="N6474">
        <v>-2.1053040000000001E-3</v>
      </c>
      <c r="O6474">
        <v>0.99957969999999896</v>
      </c>
      <c r="P6474">
        <v>-7.2854520000000006E-2</v>
      </c>
      <c r="Q6474">
        <v>-3.5737690000000003E-2</v>
      </c>
      <c r="R6474">
        <v>0.99670210000000004</v>
      </c>
      <c r="S6474">
        <v>-0.16441349999999999</v>
      </c>
      <c r="T6474">
        <v>-0.12428889999999999</v>
      </c>
      <c r="U6474">
        <v>2.9933779999999999</v>
      </c>
      <c r="V6474">
        <v>-0.10152070000000001</v>
      </c>
      <c r="W6474">
        <v>-3.400686E-2</v>
      </c>
      <c r="X6474">
        <v>0.99425200000000002</v>
      </c>
      <c r="Y6474">
        <v>-8.3643490000000001E-2</v>
      </c>
      <c r="Z6474">
        <v>-3.9250470000000003E-2</v>
      </c>
      <c r="AA6474">
        <v>0.99572240000000001</v>
      </c>
      <c r="AB6474">
        <v>40</v>
      </c>
      <c r="AC6474">
        <v>-1.4791000000000101</v>
      </c>
      <c r="AD6474">
        <v>-1.1089976199073901</v>
      </c>
      <c r="AE6474">
        <v>26.279050000000002</v>
      </c>
      <c r="AF6474">
        <v>-2.2343213685679801</v>
      </c>
      <c r="AG6474">
        <v>-1.1089976199073901</v>
      </c>
      <c r="AH6474">
        <v>26.178823445007399</v>
      </c>
      <c r="AI6474">
        <v>92.416959454290506</v>
      </c>
      <c r="AJ6474">
        <v>94.878282459044698</v>
      </c>
      <c r="AK6474">
        <v>26.297392735095801</v>
      </c>
      <c r="AL6474">
        <v>91.948825341245097</v>
      </c>
      <c r="AM6474">
        <v>95.830129821346802</v>
      </c>
      <c r="AN6474">
        <v>0.99999997927977402</v>
      </c>
    </row>
    <row r="6475" spans="1:40" x14ac:dyDescent="0.25">
      <c r="A6475" t="str">
        <f>"20190305135358807"</f>
        <v>20190305135358807</v>
      </c>
      <c r="B6475" t="str">
        <f>"1551765238796061"</f>
        <v>1551765238796061</v>
      </c>
      <c r="C6475" t="s">
        <v>40</v>
      </c>
      <c r="D6475">
        <v>4.7787199999999999</v>
      </c>
      <c r="E6475">
        <v>0.50639100000000004</v>
      </c>
      <c r="F6475" t="s">
        <v>42</v>
      </c>
      <c r="G6475">
        <v>-189.32579999999999</v>
      </c>
      <c r="H6475" s="1">
        <v>-7.0054269999999905E-7</v>
      </c>
      <c r="I6475">
        <v>10.986980000000001</v>
      </c>
      <c r="J6475">
        <v>-187.82769999999999</v>
      </c>
      <c r="K6475">
        <v>1.109005</v>
      </c>
      <c r="L6475">
        <v>-15.07062</v>
      </c>
      <c r="M6475">
        <v>2.7500879999999998E-2</v>
      </c>
      <c r="N6475">
        <v>-2.1494970000000002E-3</v>
      </c>
      <c r="O6475">
        <v>0.99961949999999999</v>
      </c>
      <c r="P6475">
        <v>-7.3939229999999995E-2</v>
      </c>
      <c r="Q6475">
        <v>-3.6354820000000003E-2</v>
      </c>
      <c r="R6475">
        <v>0.99659989999999998</v>
      </c>
      <c r="S6475">
        <v>-0.16815189999999999</v>
      </c>
      <c r="T6475">
        <v>-0.12540009999999999</v>
      </c>
      <c r="U6475">
        <v>2.993134</v>
      </c>
      <c r="V6475">
        <v>-0.1011954</v>
      </c>
      <c r="W6475">
        <v>-3.4581420000000002E-2</v>
      </c>
      <c r="X6475">
        <v>0.99426539999999997</v>
      </c>
      <c r="Y6475">
        <v>-8.3479230000000001E-2</v>
      </c>
      <c r="Z6475">
        <v>-3.9580160000000003E-2</v>
      </c>
      <c r="AA6475">
        <v>0.99572320000000003</v>
      </c>
      <c r="AB6475">
        <v>41</v>
      </c>
      <c r="AC6475">
        <v>-1.49809999999999</v>
      </c>
      <c r="AD6475">
        <v>-1.1090057005427001</v>
      </c>
      <c r="AE6475">
        <v>26.057600000000001</v>
      </c>
      <c r="AF6475">
        <v>-2.21015181213183</v>
      </c>
      <c r="AG6475">
        <v>-1.1090057005427001</v>
      </c>
      <c r="AH6475">
        <v>25.959678508817198</v>
      </c>
      <c r="AI6475">
        <v>92.437399418505507</v>
      </c>
      <c r="AJ6475">
        <v>94.866305704240403</v>
      </c>
      <c r="AK6475">
        <v>26.0771849124413</v>
      </c>
      <c r="AL6475">
        <v>91.981764471178707</v>
      </c>
      <c r="AM6475">
        <v>95.8114987800802</v>
      </c>
      <c r="AN6475">
        <v>1.0000000346137601</v>
      </c>
    </row>
    <row r="6476" spans="1:40" x14ac:dyDescent="0.25">
      <c r="A6476" t="str">
        <f>"20190305135358829"</f>
        <v>20190305135358829</v>
      </c>
      <c r="B6476" t="str">
        <f>"1551765238826316"</f>
        <v>1551765238826316</v>
      </c>
      <c r="C6476" t="s">
        <v>40</v>
      </c>
      <c r="D6476">
        <v>4.8089760000000004</v>
      </c>
      <c r="E6476">
        <v>0.50648159999999998</v>
      </c>
      <c r="F6476" t="s">
        <v>42</v>
      </c>
      <c r="G6476">
        <v>-189.30879999999999</v>
      </c>
      <c r="H6476" s="1">
        <v>-6.6674729999999996E-7</v>
      </c>
      <c r="I6476">
        <v>10.901160000000001</v>
      </c>
      <c r="J6476">
        <v>-187.8177</v>
      </c>
      <c r="K6476">
        <v>1.1090040000000001</v>
      </c>
      <c r="L6476">
        <v>-14.672420000000001</v>
      </c>
      <c r="M6476">
        <v>2.6149950000000002E-2</v>
      </c>
      <c r="N6476">
        <v>-2.1926290000000002E-3</v>
      </c>
      <c r="O6476">
        <v>0.99965559999999998</v>
      </c>
      <c r="P6476">
        <v>-7.4365760000000003E-2</v>
      </c>
      <c r="Q6476">
        <v>-3.7786670000000001E-2</v>
      </c>
      <c r="R6476">
        <v>0.99651489999999998</v>
      </c>
      <c r="S6476">
        <v>-0.1706696</v>
      </c>
      <c r="T6476">
        <v>-0.12779889999999999</v>
      </c>
      <c r="U6476">
        <v>2.9929199999999998</v>
      </c>
      <c r="V6476">
        <v>-0.1002702</v>
      </c>
      <c r="W6476">
        <v>-3.5968479999999997E-2</v>
      </c>
      <c r="X6476">
        <v>0.99430989999999997</v>
      </c>
      <c r="Y6476">
        <v>-8.2969609999999999E-2</v>
      </c>
      <c r="Z6476">
        <v>-4.033925E-2</v>
      </c>
      <c r="AA6476">
        <v>0.99573529999999999</v>
      </c>
      <c r="AB6476">
        <v>41</v>
      </c>
      <c r="AC6476">
        <v>-1.4910999999999801</v>
      </c>
      <c r="AD6476">
        <v>-1.1090046667472999</v>
      </c>
      <c r="AE6476">
        <v>25.57358</v>
      </c>
      <c r="AF6476">
        <v>-2.15530014621151</v>
      </c>
      <c r="AG6476">
        <v>-1.1090046667472999</v>
      </c>
      <c r="AH6476">
        <v>25.478091954726001</v>
      </c>
      <c r="AI6476">
        <v>92.483525263579907</v>
      </c>
      <c r="AJ6476">
        <v>94.835381274713697</v>
      </c>
      <c r="AK6476">
        <v>25.593131495082801</v>
      </c>
      <c r="AL6476">
        <v>92.061286698663395</v>
      </c>
      <c r="AM6476">
        <v>95.758468685014606</v>
      </c>
      <c r="AN6476">
        <v>1.00000001089978</v>
      </c>
    </row>
    <row r="6477" spans="1:40" x14ac:dyDescent="0.25">
      <c r="A6477" t="str">
        <f>"20190305135358852"</f>
        <v>20190305135358852</v>
      </c>
      <c r="B6477" t="str">
        <f>"1551765238846812"</f>
        <v>1551765238846812</v>
      </c>
      <c r="C6477" t="s">
        <v>40</v>
      </c>
      <c r="D6477">
        <v>5.9343459999999997</v>
      </c>
      <c r="E6477">
        <v>0.53048439999999997</v>
      </c>
      <c r="F6477" t="s">
        <v>42</v>
      </c>
      <c r="G6477">
        <v>-189.24680000000001</v>
      </c>
      <c r="H6477" s="1">
        <v>-4.1820999999999998E-7</v>
      </c>
      <c r="I6477">
        <v>10.28806</v>
      </c>
      <c r="J6477">
        <v>-187.8074</v>
      </c>
      <c r="K6477">
        <v>1.1090040000000001</v>
      </c>
      <c r="L6477">
        <v>-14.240880000000001</v>
      </c>
      <c r="M6477">
        <v>2.4701000000000001E-2</v>
      </c>
      <c r="N6477">
        <v>-2.2399070000000002E-3</v>
      </c>
      <c r="O6477">
        <v>0.99969240000000004</v>
      </c>
      <c r="P6477">
        <v>-7.5350699999999896E-2</v>
      </c>
      <c r="Q6477">
        <v>-3.8105420000000001E-2</v>
      </c>
      <c r="R6477">
        <v>0.99642869999999995</v>
      </c>
      <c r="S6477">
        <v>-0.17134089999999999</v>
      </c>
      <c r="T6477">
        <v>-0.1329658</v>
      </c>
      <c r="U6477">
        <v>2.9926759999999999</v>
      </c>
      <c r="V6477">
        <v>-9.9810250000000003E-2</v>
      </c>
      <c r="W6477">
        <v>-3.623929E-2</v>
      </c>
      <c r="X6477">
        <v>0.99434630000000002</v>
      </c>
      <c r="Y6477">
        <v>-8.1748269999999998E-2</v>
      </c>
      <c r="Z6477">
        <v>-4.2016449999999997E-2</v>
      </c>
      <c r="AA6477">
        <v>0.99576690000000001</v>
      </c>
      <c r="AB6477">
        <v>41</v>
      </c>
      <c r="AC6477">
        <v>-1.4394</v>
      </c>
      <c r="AD6477">
        <v>-1.1090044182100001</v>
      </c>
      <c r="AE6477">
        <v>24.528939999999999</v>
      </c>
      <c r="AF6477">
        <v>-2.0406945306114102</v>
      </c>
      <c r="AG6477">
        <v>-1.1090044182100001</v>
      </c>
      <c r="AH6477">
        <v>24.436121829152999</v>
      </c>
      <c r="AI6477">
        <v>92.589516138720796</v>
      </c>
      <c r="AJ6477">
        <v>94.773773149842299</v>
      </c>
      <c r="AK6477">
        <v>24.546249713878598</v>
      </c>
      <c r="AL6477">
        <v>92.076813179791202</v>
      </c>
      <c r="AM6477">
        <v>95.732021848201299</v>
      </c>
      <c r="AN6477">
        <v>0.99999996823422699</v>
      </c>
    </row>
    <row r="6478" spans="1:40" x14ac:dyDescent="0.25">
      <c r="A6478" t="str">
        <f>"20190305135358875"</f>
        <v>20190305135358875</v>
      </c>
      <c r="B6478" t="str">
        <f>"1551765238866332"</f>
        <v>1551765238866332</v>
      </c>
      <c r="C6478" t="s">
        <v>40</v>
      </c>
      <c r="D6478">
        <v>4.7184629999999999</v>
      </c>
      <c r="E6478">
        <v>0.54314790000000002</v>
      </c>
      <c r="F6478" t="s">
        <v>42</v>
      </c>
      <c r="G6478">
        <v>-187.6883</v>
      </c>
      <c r="H6478" s="1">
        <v>-3.507927E-6</v>
      </c>
      <c r="I6478">
        <v>6.853999</v>
      </c>
      <c r="J6478">
        <v>-187.79820000000001</v>
      </c>
      <c r="K6478">
        <v>1.1089979999999999</v>
      </c>
      <c r="L6478">
        <v>-13.832240000000001</v>
      </c>
      <c r="M6478">
        <v>2.3352029999999999E-2</v>
      </c>
      <c r="N6478">
        <v>-2.2850729999999999E-3</v>
      </c>
      <c r="O6478">
        <v>0.99972470000000002</v>
      </c>
      <c r="P6478">
        <v>-7.6033729999999994E-2</v>
      </c>
      <c r="Q6478">
        <v>-3.8019310000000001E-2</v>
      </c>
      <c r="R6478">
        <v>0.99638020000000005</v>
      </c>
      <c r="S6478">
        <v>1.696777E-2</v>
      </c>
      <c r="T6478">
        <v>-0.15803159999999999</v>
      </c>
      <c r="U6478">
        <v>3.0059809999999998</v>
      </c>
      <c r="V6478">
        <v>-9.915069E-2</v>
      </c>
      <c r="W6478">
        <v>-3.6105169999999999E-2</v>
      </c>
      <c r="X6478">
        <v>0.9944172</v>
      </c>
      <c r="Y6478">
        <v>-1.771468E-2</v>
      </c>
      <c r="Z6478">
        <v>-5.0191979999999997E-2</v>
      </c>
      <c r="AA6478">
        <v>0.99858250000000004</v>
      </c>
      <c r="AB6478">
        <v>41</v>
      </c>
      <c r="AC6478">
        <v>0.10990000000001</v>
      </c>
      <c r="AD6478">
        <v>-1.1090015079269999</v>
      </c>
      <c r="AE6478">
        <v>20.686239</v>
      </c>
      <c r="AF6478">
        <v>-0.37212740127754501</v>
      </c>
      <c r="AG6478">
        <v>-1.1090015079269999</v>
      </c>
      <c r="AH6478">
        <v>20.623890954653</v>
      </c>
      <c r="AI6478">
        <v>93.077482221072103</v>
      </c>
      <c r="AJ6478">
        <v>91.033704851502804</v>
      </c>
      <c r="AK6478">
        <v>20.657038540332501</v>
      </c>
      <c r="AL6478">
        <v>92.069123560931203</v>
      </c>
      <c r="AM6478">
        <v>95.693990275319806</v>
      </c>
      <c r="AN6478">
        <v>1.0000000051420199</v>
      </c>
    </row>
    <row r="6479" spans="1:40" x14ac:dyDescent="0.25">
      <c r="A6479" t="str">
        <f>"20190305135358896"</f>
        <v>20190305135358896</v>
      </c>
      <c r="B6479" t="str">
        <f>"1551765238886829"</f>
        <v>1551765238886829</v>
      </c>
      <c r="C6479" t="s">
        <v>40</v>
      </c>
      <c r="D6479">
        <v>4.6810530000000004</v>
      </c>
      <c r="E6479">
        <v>0.54904790000000003</v>
      </c>
      <c r="F6479" t="s">
        <v>42</v>
      </c>
      <c r="G6479">
        <v>-186.97739999999999</v>
      </c>
      <c r="H6479" s="1">
        <v>-3.9394729999999996E-6</v>
      </c>
      <c r="I6479">
        <v>7.5659839999999896</v>
      </c>
      <c r="J6479">
        <v>-187.7894</v>
      </c>
      <c r="K6479">
        <v>1.108981</v>
      </c>
      <c r="L6479">
        <v>-13.422610000000001</v>
      </c>
      <c r="M6479">
        <v>2.2030359999999999E-2</v>
      </c>
      <c r="N6479">
        <v>-2.3306759999999998E-3</v>
      </c>
      <c r="O6479">
        <v>0.99975460000000005</v>
      </c>
      <c r="P6479">
        <v>-7.7051190000000006E-2</v>
      </c>
      <c r="Q6479">
        <v>-3.8107059999999998E-2</v>
      </c>
      <c r="R6479">
        <v>0.99629860000000003</v>
      </c>
      <c r="S6479">
        <v>0.1156006</v>
      </c>
      <c r="T6479">
        <v>-0.15619369999999999</v>
      </c>
      <c r="U6479">
        <v>3.013763</v>
      </c>
      <c r="V6479">
        <v>-9.8852780000000001E-2</v>
      </c>
      <c r="W6479">
        <v>-3.6144349999999999E-2</v>
      </c>
      <c r="X6479">
        <v>0.99444540000000003</v>
      </c>
      <c r="Y6479">
        <v>1.6258020000000001E-2</v>
      </c>
      <c r="Z6479">
        <v>-4.9389429999999998E-2</v>
      </c>
      <c r="AA6479">
        <v>0.99864730000000002</v>
      </c>
      <c r="AB6479">
        <v>41</v>
      </c>
      <c r="AC6479">
        <v>0.81200000000001105</v>
      </c>
      <c r="AD6479">
        <v>-1.108984939473</v>
      </c>
      <c r="AE6479">
        <v>20.988593999999999</v>
      </c>
      <c r="AF6479">
        <v>0.34844406445411802</v>
      </c>
      <c r="AG6479">
        <v>-1.108984939473</v>
      </c>
      <c r="AH6479">
        <v>20.943007439769101</v>
      </c>
      <c r="AI6479">
        <v>93.030706084959704</v>
      </c>
      <c r="AJ6479">
        <v>89.046816341278003</v>
      </c>
      <c r="AK6479">
        <v>20.975243061386799</v>
      </c>
      <c r="AL6479">
        <v>92.071369948859797</v>
      </c>
      <c r="AM6479">
        <v>95.676833990931897</v>
      </c>
      <c r="AN6479">
        <v>0.999999969865905</v>
      </c>
    </row>
    <row r="6480" spans="1:40" x14ac:dyDescent="0.25">
      <c r="A6480" t="str">
        <f>"20190305135358918"</f>
        <v>20190305135358918</v>
      </c>
      <c r="B6480" t="str">
        <f>"1551765238906352"</f>
        <v>1551765238906352</v>
      </c>
      <c r="C6480" t="s">
        <v>40</v>
      </c>
      <c r="D6480">
        <v>4.7035369999999999</v>
      </c>
      <c r="E6480">
        <v>0.5519001</v>
      </c>
      <c r="F6480" t="s">
        <v>42</v>
      </c>
      <c r="G6480">
        <v>-186.65309999999999</v>
      </c>
      <c r="H6480" s="1">
        <v>-4.2168079999999901E-6</v>
      </c>
      <c r="I6480">
        <v>8.0783939999999994</v>
      </c>
      <c r="J6480">
        <v>-187.78129999999999</v>
      </c>
      <c r="K6480">
        <v>1.1089739999999999</v>
      </c>
      <c r="L6480">
        <v>-13.018370000000001</v>
      </c>
      <c r="M6480">
        <v>2.0759920000000001E-2</v>
      </c>
      <c r="N6480">
        <v>-2.375982E-3</v>
      </c>
      <c r="O6480">
        <v>0.9997817</v>
      </c>
      <c r="P6480">
        <v>-7.7315439999999999E-2</v>
      </c>
      <c r="Q6480">
        <v>-3.7308769999999998E-2</v>
      </c>
      <c r="R6480">
        <v>0.99630839999999998</v>
      </c>
      <c r="S6480">
        <v>0.15946959999999999</v>
      </c>
      <c r="T6480">
        <v>-0.15563850000000001</v>
      </c>
      <c r="U6480">
        <v>3.0175169999999998</v>
      </c>
      <c r="V6480">
        <v>-9.7857070000000004E-2</v>
      </c>
      <c r="W6480">
        <v>-3.5293890000000001E-2</v>
      </c>
      <c r="X6480">
        <v>0.99457439999999997</v>
      </c>
      <c r="Y6480">
        <v>3.1966260000000003E-2</v>
      </c>
      <c r="Z6480">
        <v>-4.9072589999999999E-2</v>
      </c>
      <c r="AA6480">
        <v>0.99828360000000005</v>
      </c>
      <c r="AB6480">
        <v>42</v>
      </c>
      <c r="AC6480">
        <v>1.1281999999999901</v>
      </c>
      <c r="AD6480">
        <v>-1.10897821680799</v>
      </c>
      <c r="AE6480">
        <v>21.096764</v>
      </c>
      <c r="AF6480">
        <v>0.68809258119830596</v>
      </c>
      <c r="AG6480">
        <v>-1.10897821680799</v>
      </c>
      <c r="AH6480">
        <v>21.057618058983699</v>
      </c>
      <c r="AI6480">
        <v>93.0130342589337</v>
      </c>
      <c r="AJ6480">
        <v>88.128431356186795</v>
      </c>
      <c r="AK6480">
        <v>21.098023187106701</v>
      </c>
      <c r="AL6480">
        <v>92.022611100912997</v>
      </c>
      <c r="AM6480">
        <v>95.619296830113001</v>
      </c>
      <c r="AN6480">
        <v>0.999999950977837</v>
      </c>
    </row>
    <row r="6481" spans="1:40" x14ac:dyDescent="0.25">
      <c r="A6481" t="str">
        <f>"20190305135358941"</f>
        <v>20190305135358941</v>
      </c>
      <c r="B6481" t="str">
        <f>"1551765238936604"</f>
        <v>1551765238936604</v>
      </c>
      <c r="C6481" t="s">
        <v>40</v>
      </c>
      <c r="D6481">
        <v>4.6778360000000001</v>
      </c>
      <c r="E6481">
        <v>0.55457509999999999</v>
      </c>
      <c r="F6481" t="s">
        <v>42</v>
      </c>
      <c r="G6481">
        <v>-186.45179999999999</v>
      </c>
      <c r="H6481" s="1">
        <v>-4.694689E-6</v>
      </c>
      <c r="I6481">
        <v>9.1090940000000007</v>
      </c>
      <c r="J6481">
        <v>-187.77330000000001</v>
      </c>
      <c r="K6481">
        <v>1.1089560000000001</v>
      </c>
      <c r="L6481">
        <v>-12.59634</v>
      </c>
      <c r="M6481">
        <v>1.9468320000000001E-2</v>
      </c>
      <c r="N6481">
        <v>-2.4236359999999998E-3</v>
      </c>
      <c r="O6481">
        <v>0.99980749999999996</v>
      </c>
      <c r="P6481">
        <v>-7.7788830000000003E-2</v>
      </c>
      <c r="Q6481">
        <v>-3.6288239999999999E-2</v>
      </c>
      <c r="R6481">
        <v>0.99630920000000001</v>
      </c>
      <c r="S6481">
        <v>0.181427</v>
      </c>
      <c r="T6481">
        <v>-0.1513321</v>
      </c>
      <c r="U6481">
        <v>3.0195310000000002</v>
      </c>
      <c r="V6481">
        <v>-9.7051109999999996E-2</v>
      </c>
      <c r="W6481">
        <v>-3.4218850000000002E-2</v>
      </c>
      <c r="X6481">
        <v>0.99469099999999999</v>
      </c>
      <c r="Y6481">
        <v>4.0461190000000001E-2</v>
      </c>
      <c r="Z6481">
        <v>-4.755595E-2</v>
      </c>
      <c r="AA6481">
        <v>0.99804879999999996</v>
      </c>
      <c r="AB6481">
        <v>42</v>
      </c>
      <c r="AC6481">
        <v>1.3215000000000101</v>
      </c>
      <c r="AD6481">
        <v>-1.108960694689</v>
      </c>
      <c r="AE6481">
        <v>21.705434</v>
      </c>
      <c r="AF6481">
        <v>0.89634882388702197</v>
      </c>
      <c r="AG6481">
        <v>-1.108960694689</v>
      </c>
      <c r="AH6481">
        <v>21.670688966704098</v>
      </c>
      <c r="AI6481">
        <v>92.926960488262097</v>
      </c>
      <c r="AJ6481">
        <v>87.6314667769485</v>
      </c>
      <c r="AK6481">
        <v>21.717550398884299</v>
      </c>
      <c r="AL6481">
        <v>91.960978473997699</v>
      </c>
      <c r="AM6481">
        <v>95.5726591563281</v>
      </c>
      <c r="AN6481">
        <v>1.00000001656427</v>
      </c>
    </row>
    <row r="6482" spans="1:40" x14ac:dyDescent="0.25">
      <c r="A6482" t="str">
        <f>"20190305135358962"</f>
        <v>20190305135358962</v>
      </c>
      <c r="B6482" t="str">
        <f>"1551765238956124"</f>
        <v>1551765238956124</v>
      </c>
      <c r="C6482" t="s">
        <v>40</v>
      </c>
      <c r="D6482">
        <v>4.6884649999999999</v>
      </c>
      <c r="E6482">
        <v>0.55559799999999904</v>
      </c>
      <c r="F6482" t="s">
        <v>42</v>
      </c>
      <c r="G6482">
        <v>-186.21129999999999</v>
      </c>
      <c r="H6482" s="1">
        <v>-1.4216629999999999E-6</v>
      </c>
      <c r="I6482">
        <v>10.863429999999999</v>
      </c>
      <c r="J6482">
        <v>-187.76599999999999</v>
      </c>
      <c r="K6482">
        <v>1.1089389999999999</v>
      </c>
      <c r="L6482">
        <v>-12.17966</v>
      </c>
      <c r="M6482">
        <v>1.8223280000000001E-2</v>
      </c>
      <c r="N6482">
        <v>-2.4710240000000001E-3</v>
      </c>
      <c r="O6482">
        <v>0.99983089999999997</v>
      </c>
      <c r="P6482">
        <v>-7.8591430000000004E-2</v>
      </c>
      <c r="Q6482">
        <v>-3.6106050000000001E-2</v>
      </c>
      <c r="R6482">
        <v>0.99625280000000005</v>
      </c>
      <c r="S6482">
        <v>0.20118710000000001</v>
      </c>
      <c r="T6482">
        <v>-0.14283309999999999</v>
      </c>
      <c r="U6482">
        <v>3.0216059999999998</v>
      </c>
      <c r="V6482">
        <v>-9.6615989999999999E-2</v>
      </c>
      <c r="W6482">
        <v>-3.3984180000000003E-2</v>
      </c>
      <c r="X6482">
        <v>0.9947414</v>
      </c>
      <c r="Y6482">
        <v>4.8172390000000002E-2</v>
      </c>
      <c r="Z6482">
        <v>-4.4659730000000002E-2</v>
      </c>
      <c r="AA6482">
        <v>0.99784010000000001</v>
      </c>
      <c r="AB6482">
        <v>42</v>
      </c>
      <c r="AC6482">
        <v>1.55469999999999</v>
      </c>
      <c r="AD6482">
        <v>-1.1089404216630001</v>
      </c>
      <c r="AE6482">
        <v>23.043089999999999</v>
      </c>
      <c r="AF6482">
        <v>1.1319102664905201</v>
      </c>
      <c r="AG6482">
        <v>-1.1089404216630001</v>
      </c>
      <c r="AH6482">
        <v>23.014535617857199</v>
      </c>
      <c r="AI6482">
        <v>92.755300982781904</v>
      </c>
      <c r="AJ6482">
        <v>87.184324455897496</v>
      </c>
      <c r="AK6482">
        <v>23.069022940207098</v>
      </c>
      <c r="AL6482">
        <v>91.947525054831303</v>
      </c>
      <c r="AM6482">
        <v>95.547551519382097</v>
      </c>
      <c r="AN6482">
        <v>1.00000001344395</v>
      </c>
    </row>
    <row r="6483" spans="1:40" x14ac:dyDescent="0.25">
      <c r="A6483" t="str">
        <f>"20190305135358985"</f>
        <v>20190305135358985</v>
      </c>
      <c r="B6483" t="str">
        <f>"1551765238976621"</f>
        <v>1551765238976621</v>
      </c>
      <c r="C6483" t="s">
        <v>40</v>
      </c>
      <c r="D6483">
        <v>4.6653419999999999</v>
      </c>
      <c r="E6483">
        <v>0.55662869999999998</v>
      </c>
      <c r="F6483" t="s">
        <v>42</v>
      </c>
      <c r="G6483">
        <v>-186.1764</v>
      </c>
      <c r="H6483" s="1">
        <v>-1.4887850000000001E-6</v>
      </c>
      <c r="I6483">
        <v>11.033340000000001</v>
      </c>
      <c r="J6483">
        <v>-187.75890000000001</v>
      </c>
      <c r="K6483">
        <v>1.1089230000000001</v>
      </c>
      <c r="L6483">
        <v>-11.750030000000001</v>
      </c>
      <c r="M6483">
        <v>1.6964570000000002E-2</v>
      </c>
      <c r="N6483">
        <v>-2.5264369999999999E-3</v>
      </c>
      <c r="O6483">
        <v>0.99985290000000004</v>
      </c>
      <c r="P6483">
        <v>-7.9369800000000004E-2</v>
      </c>
      <c r="Q6483">
        <v>-3.552044E-2</v>
      </c>
      <c r="R6483">
        <v>0.99621219999999999</v>
      </c>
      <c r="S6483">
        <v>0.20697019999999999</v>
      </c>
      <c r="T6483">
        <v>-0.14438580000000001</v>
      </c>
      <c r="U6483">
        <v>3.0223689999999999</v>
      </c>
      <c r="V6483">
        <v>-9.6144209999999994E-2</v>
      </c>
      <c r="W6483">
        <v>-3.3338670000000001E-2</v>
      </c>
      <c r="X6483">
        <v>0.9948089</v>
      </c>
      <c r="Y6483">
        <v>5.1311879999999997E-2</v>
      </c>
      <c r="Z6483">
        <v>-4.509838E-2</v>
      </c>
      <c r="AA6483">
        <v>0.99766390000000005</v>
      </c>
      <c r="AB6483">
        <v>42</v>
      </c>
      <c r="AC6483">
        <v>1.58250000000001</v>
      </c>
      <c r="AD6483">
        <v>-1.1089244887849901</v>
      </c>
      <c r="AE6483">
        <v>22.783370000000001</v>
      </c>
      <c r="AF6483">
        <v>1.19294840960864</v>
      </c>
      <c r="AG6483">
        <v>-1.1089244887849901</v>
      </c>
      <c r="AH6483">
        <v>22.753293657535298</v>
      </c>
      <c r="AI6483">
        <v>92.786388570184798</v>
      </c>
      <c r="AJ6483">
        <v>86.998747353640098</v>
      </c>
      <c r="AK6483">
        <v>22.8115148926119</v>
      </c>
      <c r="AL6483">
        <v>91.910519183280599</v>
      </c>
      <c r="AM6483">
        <v>95.520258072253199</v>
      </c>
      <c r="AN6483">
        <v>0.99999996177655004</v>
      </c>
    </row>
    <row r="6484" spans="1:40" x14ac:dyDescent="0.25">
      <c r="A6484" t="str">
        <f>"20190305135359209"</f>
        <v>20190305135359209</v>
      </c>
      <c r="B6484" t="str">
        <f>"1551765239205980"</f>
        <v>1551765239205980</v>
      </c>
      <c r="C6484" t="s">
        <v>40</v>
      </c>
      <c r="D6484">
        <v>4.6588129999999897</v>
      </c>
      <c r="E6484">
        <v>0.55467929999999999</v>
      </c>
      <c r="F6484" t="s">
        <v>42</v>
      </c>
      <c r="G6484">
        <v>-185.85990000000001</v>
      </c>
      <c r="H6484" s="1">
        <v>-4.854023E-6</v>
      </c>
      <c r="I6484">
        <v>19.235749999999999</v>
      </c>
      <c r="J6484">
        <v>-187.7167</v>
      </c>
      <c r="K6484">
        <v>1.1089580000000001</v>
      </c>
      <c r="L6484">
        <v>-7.4178769999999998</v>
      </c>
      <c r="M6484">
        <v>4.9170059999999998E-3</v>
      </c>
      <c r="N6484">
        <v>-3.3160239999999999E-3</v>
      </c>
      <c r="O6484">
        <v>0.99998240000000005</v>
      </c>
      <c r="P6484">
        <v>-8.8948509999999995E-2</v>
      </c>
      <c r="Q6484">
        <v>-3.0054859999999999E-2</v>
      </c>
      <c r="R6484">
        <v>0.99558270000000004</v>
      </c>
      <c r="S6484">
        <v>0.20761109999999999</v>
      </c>
      <c r="T6484">
        <v>-0.12385939999999999</v>
      </c>
      <c r="U6484">
        <v>3.0276179999999999</v>
      </c>
      <c r="V6484">
        <v>-9.3753390000000006E-2</v>
      </c>
      <c r="W6484">
        <v>-2.7064930000000001E-2</v>
      </c>
      <c r="X6484">
        <v>0.99522750000000004</v>
      </c>
      <c r="Y6484">
        <v>6.3452739999999994E-2</v>
      </c>
      <c r="Z6484">
        <v>-3.7472999999999999E-2</v>
      </c>
      <c r="AA6484">
        <v>0.99728110000000003</v>
      </c>
      <c r="AB6484">
        <v>44</v>
      </c>
      <c r="AC6484">
        <v>1.85679999999999</v>
      </c>
      <c r="AD6484">
        <v>-1.1089628540230001</v>
      </c>
      <c r="AE6484">
        <v>26.653627</v>
      </c>
      <c r="AF6484">
        <v>1.7227529385767599</v>
      </c>
      <c r="AG6484">
        <v>-1.1089628540230001</v>
      </c>
      <c r="AH6484">
        <v>26.6165813896651</v>
      </c>
      <c r="AI6484">
        <v>92.380836095563893</v>
      </c>
      <c r="AJ6484">
        <v>86.296707698582495</v>
      </c>
      <c r="AK6484">
        <v>26.695319461876501</v>
      </c>
      <c r="AL6484">
        <v>91.550895653715301</v>
      </c>
      <c r="AM6484">
        <v>95.381551319536896</v>
      </c>
      <c r="AN6484">
        <v>0.99999999266432305</v>
      </c>
    </row>
    <row r="6485" spans="1:40" x14ac:dyDescent="0.25">
      <c r="A6485" t="str">
        <f>"20190305135359230"</f>
        <v>20190305135359230</v>
      </c>
      <c r="B6485" t="str">
        <f>"1551765239226477"</f>
        <v>1551765239226477</v>
      </c>
      <c r="C6485" t="s">
        <v>40</v>
      </c>
      <c r="D6485">
        <v>4.4837689999999997</v>
      </c>
      <c r="E6485">
        <v>0.55183890000000002</v>
      </c>
      <c r="F6485" t="s">
        <v>42</v>
      </c>
      <c r="G6485">
        <v>-186.23859999999999</v>
      </c>
      <c r="H6485" s="1">
        <v>-4.7495799999999997E-6</v>
      </c>
      <c r="I6485">
        <v>19.148890000000002</v>
      </c>
      <c r="J6485">
        <v>-187.71530000000001</v>
      </c>
      <c r="K6485">
        <v>1.1089420000000001</v>
      </c>
      <c r="L6485">
        <v>-7.0105289999999902</v>
      </c>
      <c r="M6485">
        <v>3.8936000000000001E-3</v>
      </c>
      <c r="N6485">
        <v>-3.389422E-3</v>
      </c>
      <c r="O6485">
        <v>0.99998659999999995</v>
      </c>
      <c r="P6485">
        <v>-8.9986430000000006E-2</v>
      </c>
      <c r="Q6485">
        <v>-3.0004320000000001E-2</v>
      </c>
      <c r="R6485">
        <v>0.99549089999999996</v>
      </c>
      <c r="S6485">
        <v>0.1682739</v>
      </c>
      <c r="T6485">
        <v>-0.12625169999999999</v>
      </c>
      <c r="U6485">
        <v>3.0245359999999999</v>
      </c>
      <c r="V6485">
        <v>-9.37746E-2</v>
      </c>
      <c r="W6485">
        <v>-2.6936229999999999E-2</v>
      </c>
      <c r="X6485">
        <v>0.99522900000000003</v>
      </c>
      <c r="Y6485">
        <v>5.1617730000000001E-2</v>
      </c>
      <c r="Z6485">
        <v>-3.8259420000000002E-2</v>
      </c>
      <c r="AA6485">
        <v>0.99793379999999998</v>
      </c>
      <c r="AB6485">
        <v>44</v>
      </c>
      <c r="AC6485">
        <v>1.4767000000000201</v>
      </c>
      <c r="AD6485">
        <v>-1.1089467495799901</v>
      </c>
      <c r="AE6485">
        <v>26.159419</v>
      </c>
      <c r="AF6485">
        <v>1.3723754778252699</v>
      </c>
      <c r="AG6485">
        <v>-1.1089467495799901</v>
      </c>
      <c r="AH6485">
        <v>26.118183286209501</v>
      </c>
      <c r="AI6485">
        <v>92.427904484410206</v>
      </c>
      <c r="AJ6485">
        <v>86.9921691866938</v>
      </c>
      <c r="AK6485">
        <v>26.177713336301402</v>
      </c>
      <c r="AL6485">
        <v>91.543518987242905</v>
      </c>
      <c r="AM6485">
        <v>95.382753582262495</v>
      </c>
      <c r="AN6485">
        <v>0.99999999926638605</v>
      </c>
    </row>
    <row r="6486" spans="1:40" x14ac:dyDescent="0.25">
      <c r="A6486" t="str">
        <f>"20190305135359254"</f>
        <v>20190305135359254</v>
      </c>
      <c r="B6486" t="str">
        <f>"1551765239245998"</f>
        <v>1551765239245998</v>
      </c>
      <c r="C6486" t="s">
        <v>40</v>
      </c>
      <c r="D6486">
        <v>4.6438309999999996</v>
      </c>
      <c r="E6486">
        <v>0.5496489</v>
      </c>
      <c r="F6486" t="s">
        <v>42</v>
      </c>
      <c r="G6486">
        <v>-186.53630000000001</v>
      </c>
      <c r="H6486" s="1">
        <v>-4.1798439999999997E-6</v>
      </c>
      <c r="I6486">
        <v>17.943919999999999</v>
      </c>
      <c r="J6486">
        <v>-187.7141</v>
      </c>
      <c r="K6486">
        <v>1.108914</v>
      </c>
      <c r="L6486">
        <v>-6.5202330000000002</v>
      </c>
      <c r="M6486">
        <v>2.7199659999999999E-3</v>
      </c>
      <c r="N6486">
        <v>-3.4749300000000002E-3</v>
      </c>
      <c r="O6486">
        <v>0.9999903</v>
      </c>
      <c r="P6486">
        <v>-9.0802620000000001E-2</v>
      </c>
      <c r="Q6486">
        <v>-2.971584E-2</v>
      </c>
      <c r="R6486">
        <v>0.99542549999999996</v>
      </c>
      <c r="S6486">
        <v>0.14279169999999999</v>
      </c>
      <c r="T6486">
        <v>-0.1343145</v>
      </c>
      <c r="U6486">
        <v>3.0224609999999998</v>
      </c>
      <c r="V6486">
        <v>-9.3426270000000006E-2</v>
      </c>
      <c r="W6486">
        <v>-2.655333E-2</v>
      </c>
      <c r="X6486">
        <v>0.99527200000000005</v>
      </c>
      <c r="Y6486">
        <v>4.4430650000000002E-2</v>
      </c>
      <c r="Z6486">
        <v>-4.0876589999999997E-2</v>
      </c>
      <c r="AA6486">
        <v>0.9981759</v>
      </c>
      <c r="AB6486">
        <v>44</v>
      </c>
      <c r="AC6486">
        <v>1.17779999999999</v>
      </c>
      <c r="AD6486">
        <v>-1.108918179844</v>
      </c>
      <c r="AE6486">
        <v>24.464153</v>
      </c>
      <c r="AF6486">
        <v>1.10898027812949</v>
      </c>
      <c r="AG6486">
        <v>-1.108918179844</v>
      </c>
      <c r="AH6486">
        <v>24.417213194926301</v>
      </c>
      <c r="AI6486">
        <v>92.597651382534195</v>
      </c>
      <c r="AJ6486">
        <v>87.399529048331402</v>
      </c>
      <c r="AK6486">
        <v>24.467526172323801</v>
      </c>
      <c r="AL6486">
        <v>91.521572656798199</v>
      </c>
      <c r="AM6486">
        <v>95.362645542913199</v>
      </c>
      <c r="AN6486">
        <v>0.99999995062209901</v>
      </c>
    </row>
    <row r="6487" spans="1:40" x14ac:dyDescent="0.25">
      <c r="A6487" t="str">
        <f>"20190305135359275"</f>
        <v>20190305135359275</v>
      </c>
      <c r="B6487" t="str">
        <f>"1551765239266493"</f>
        <v>1551765239266493</v>
      </c>
      <c r="C6487" t="s">
        <v>40</v>
      </c>
      <c r="D6487">
        <v>4.6955850000000003</v>
      </c>
      <c r="E6487">
        <v>0.54795419999999995</v>
      </c>
      <c r="F6487" t="s">
        <v>42</v>
      </c>
      <c r="G6487">
        <v>-186.73840000000001</v>
      </c>
      <c r="H6487" s="1">
        <v>-3.9187859999999997E-6</v>
      </c>
      <c r="I6487">
        <v>17.41892</v>
      </c>
      <c r="J6487">
        <v>-187.71340000000001</v>
      </c>
      <c r="K6487">
        <v>1.1088819999999999</v>
      </c>
      <c r="L6487">
        <v>-6.1075439999999999</v>
      </c>
      <c r="M6487">
        <v>1.7944650000000001E-3</v>
      </c>
      <c r="N6487">
        <v>-3.5462670000000001E-3</v>
      </c>
      <c r="O6487">
        <v>0.99999210000000005</v>
      </c>
      <c r="P6487">
        <v>-9.1248499999999996E-2</v>
      </c>
      <c r="Q6487">
        <v>-2.949914E-2</v>
      </c>
      <c r="R6487">
        <v>0.99539109999999997</v>
      </c>
      <c r="S6487">
        <v>0.1231232</v>
      </c>
      <c r="T6487">
        <v>-0.13993259999999999</v>
      </c>
      <c r="U6487">
        <v>3.0208439999999999</v>
      </c>
      <c r="V6487">
        <v>-9.2954780000000001E-2</v>
      </c>
      <c r="W6487">
        <v>-2.6254940000000001E-2</v>
      </c>
      <c r="X6487">
        <v>0.99532410000000004</v>
      </c>
      <c r="Y6487">
        <v>3.889045E-2</v>
      </c>
      <c r="Z6487">
        <v>-4.269336E-2</v>
      </c>
      <c r="AA6487">
        <v>0.99833099999999997</v>
      </c>
      <c r="AB6487">
        <v>44</v>
      </c>
      <c r="AC6487">
        <v>0.97499999999999398</v>
      </c>
      <c r="AD6487">
        <v>-1.1088859187859901</v>
      </c>
      <c r="AE6487">
        <v>23.526464000000001</v>
      </c>
      <c r="AF6487">
        <v>0.93071663935146598</v>
      </c>
      <c r="AG6487">
        <v>-1.1088859187859901</v>
      </c>
      <c r="AH6487">
        <v>23.4761112807237</v>
      </c>
      <c r="AI6487">
        <v>92.702216491317699</v>
      </c>
      <c r="AJ6487">
        <v>87.729682627577404</v>
      </c>
      <c r="AK6487">
        <v>23.5207070962709</v>
      </c>
      <c r="AL6487">
        <v>91.504470148442607</v>
      </c>
      <c r="AM6487">
        <v>95.335461036420597</v>
      </c>
      <c r="AN6487">
        <v>0.99999998852003102</v>
      </c>
    </row>
    <row r="6488" spans="1:40" x14ac:dyDescent="0.25">
      <c r="A6488" t="str">
        <f>"20190305135359298"</f>
        <v>20190305135359298</v>
      </c>
      <c r="B6488" t="str">
        <f>"1551765239286031"</f>
        <v>1551765239286031</v>
      </c>
      <c r="C6488" t="s">
        <v>40</v>
      </c>
      <c r="D6488">
        <v>4.6893219999999998</v>
      </c>
      <c r="E6488">
        <v>0.54614680000000004</v>
      </c>
      <c r="F6488" t="s">
        <v>42</v>
      </c>
      <c r="G6488">
        <v>-186.8819</v>
      </c>
      <c r="H6488" s="1">
        <v>-3.7435389999999998E-6</v>
      </c>
      <c r="I6488">
        <v>17.069749999999999</v>
      </c>
      <c r="J6488">
        <v>-187.7132</v>
      </c>
      <c r="K6488">
        <v>1.1088260000000001</v>
      </c>
      <c r="L6488">
        <v>-5.6576839999999997</v>
      </c>
      <c r="M6488">
        <v>8.6727129999999996E-4</v>
      </c>
      <c r="N6488">
        <v>-3.6231029999999999E-3</v>
      </c>
      <c r="O6488">
        <v>0.99999309999999997</v>
      </c>
      <c r="P6488">
        <v>-9.182796E-2</v>
      </c>
      <c r="Q6488">
        <v>-2.8893120000000001E-2</v>
      </c>
      <c r="R6488">
        <v>0.99535560000000001</v>
      </c>
      <c r="S6488">
        <v>0.1083374</v>
      </c>
      <c r="T6488">
        <v>-0.14446529999999999</v>
      </c>
      <c r="U6488">
        <v>3.0195310000000002</v>
      </c>
      <c r="V6488">
        <v>-9.2616630000000005E-2</v>
      </c>
      <c r="W6488">
        <v>-2.5558480000000001E-2</v>
      </c>
      <c r="X6488">
        <v>0.99537379999999998</v>
      </c>
      <c r="Y6488">
        <v>3.4950879999999997E-2</v>
      </c>
      <c r="Z6488">
        <v>-4.4139789999999998E-2</v>
      </c>
      <c r="AA6488">
        <v>0.99841380000000002</v>
      </c>
      <c r="AB6488">
        <v>44</v>
      </c>
      <c r="AC6488">
        <v>0.83129999999999804</v>
      </c>
      <c r="AD6488">
        <v>-1.108829743539</v>
      </c>
      <c r="AE6488">
        <v>22.727433999999999</v>
      </c>
      <c r="AF6488">
        <v>0.80966405144565901</v>
      </c>
      <c r="AG6488">
        <v>-1.108829743539</v>
      </c>
      <c r="AH6488">
        <v>22.674247363576601</v>
      </c>
      <c r="AI6488">
        <v>92.797902069934807</v>
      </c>
      <c r="AJ6488">
        <v>87.954920845908703</v>
      </c>
      <c r="AK6488">
        <v>22.715777617792899</v>
      </c>
      <c r="AL6488">
        <v>91.464552457036106</v>
      </c>
      <c r="AM6488">
        <v>95.315899232793399</v>
      </c>
      <c r="AN6488">
        <v>1.0000000388894501</v>
      </c>
    </row>
    <row r="6489" spans="1:40" x14ac:dyDescent="0.25">
      <c r="A6489" t="str">
        <f>"20190305135359320"</f>
        <v>20190305135359320</v>
      </c>
      <c r="B6489" t="str">
        <f>"1551765239316269"</f>
        <v>1551765239316269</v>
      </c>
      <c r="C6489" t="s">
        <v>40</v>
      </c>
      <c r="D6489">
        <v>4.6790159999999998</v>
      </c>
      <c r="E6489">
        <v>0.5440893</v>
      </c>
      <c r="F6489" t="s">
        <v>42</v>
      </c>
      <c r="G6489">
        <v>-187.01519999999999</v>
      </c>
      <c r="H6489" s="1">
        <v>-3.7363609999999999E-6</v>
      </c>
      <c r="I6489">
        <v>17.108170000000001</v>
      </c>
      <c r="J6489">
        <v>-187.7132</v>
      </c>
      <c r="K6489">
        <v>1.1087670000000001</v>
      </c>
      <c r="L6489">
        <v>-5.2211299999999996</v>
      </c>
      <c r="M6489" s="1">
        <v>6.4204050000000001E-5</v>
      </c>
      <c r="N6489">
        <v>-3.6958949999999998E-3</v>
      </c>
      <c r="O6489">
        <v>0.99999309999999997</v>
      </c>
      <c r="P6489">
        <v>-9.2533500000000005E-2</v>
      </c>
      <c r="Q6489">
        <v>-2.7690490000000002E-2</v>
      </c>
      <c r="R6489">
        <v>0.99532449999999995</v>
      </c>
      <c r="S6489">
        <v>9.2529299999999995E-2</v>
      </c>
      <c r="T6489">
        <v>-0.14700779999999999</v>
      </c>
      <c r="U6489">
        <v>3.0182799999999999</v>
      </c>
      <c r="V6489">
        <v>-9.2530849999999998E-2</v>
      </c>
      <c r="W6489">
        <v>-2.4267250000000001E-2</v>
      </c>
      <c r="X6489">
        <v>0.99541409999999997</v>
      </c>
      <c r="Y6489">
        <v>3.0543819999999999E-2</v>
      </c>
      <c r="Z6489">
        <v>-4.4933569999999999E-2</v>
      </c>
      <c r="AA6489">
        <v>0.99852289999999999</v>
      </c>
      <c r="AB6489">
        <v>45</v>
      </c>
      <c r="AC6489">
        <v>0.69800000000000695</v>
      </c>
      <c r="AD6489">
        <v>-1.108770736361</v>
      </c>
      <c r="AE6489">
        <v>22.3293</v>
      </c>
      <c r="AF6489">
        <v>0.694854753689919</v>
      </c>
      <c r="AG6489">
        <v>-1.108770736361</v>
      </c>
      <c r="AH6489">
        <v>22.274477082367699</v>
      </c>
      <c r="AI6489">
        <v>92.848312867721006</v>
      </c>
      <c r="AJ6489">
        <v>88.213231317564905</v>
      </c>
      <c r="AK6489">
        <v>22.312878007273302</v>
      </c>
      <c r="AL6489">
        <v>91.390547449004899</v>
      </c>
      <c r="AM6489">
        <v>95.310790111483698</v>
      </c>
      <c r="AN6489">
        <v>1.00000004405154</v>
      </c>
    </row>
    <row r="6490" spans="1:40" x14ac:dyDescent="0.25">
      <c r="A6490" t="str">
        <f>"20190305135359342"</f>
        <v>20190305135359342</v>
      </c>
      <c r="B6490" t="str">
        <f>"1551765239336765"</f>
        <v>1551765239336765</v>
      </c>
      <c r="C6490" t="s">
        <v>40</v>
      </c>
      <c r="D6490">
        <v>4.6930230000000002</v>
      </c>
      <c r="E6490">
        <v>0.54294989999999999</v>
      </c>
      <c r="F6490" t="s">
        <v>42</v>
      </c>
      <c r="G6490">
        <v>-187.1592</v>
      </c>
      <c r="H6490" s="1">
        <v>-3.8278150000000002E-6</v>
      </c>
      <c r="I6490">
        <v>17.380870000000002</v>
      </c>
      <c r="J6490">
        <v>-187.71350000000001</v>
      </c>
      <c r="K6490">
        <v>1.1086879999999999</v>
      </c>
      <c r="L6490">
        <v>-4.7670899999999996</v>
      </c>
      <c r="M6490">
        <v>-6.558302E-4</v>
      </c>
      <c r="N6490">
        <v>-3.7691970000000002E-3</v>
      </c>
      <c r="O6490">
        <v>0.99999269999999996</v>
      </c>
      <c r="P6490">
        <v>-9.2969250000000003E-2</v>
      </c>
      <c r="Q6490">
        <v>-2.7393359999999999E-2</v>
      </c>
      <c r="R6490">
        <v>0.99529210000000001</v>
      </c>
      <c r="S6490">
        <v>7.3944090000000004E-2</v>
      </c>
      <c r="T6490">
        <v>-0.1479954</v>
      </c>
      <c r="U6490">
        <v>3.0168460000000001</v>
      </c>
      <c r="V6490">
        <v>-9.2255950000000003E-2</v>
      </c>
      <c r="W6490">
        <v>-2.3876310000000001E-2</v>
      </c>
      <c r="X6490">
        <v>0.99544900000000003</v>
      </c>
      <c r="Y6490">
        <v>2.5131110000000002E-2</v>
      </c>
      <c r="Z6490">
        <v>-4.5217260000000002E-2</v>
      </c>
      <c r="AA6490">
        <v>0.99866100000000002</v>
      </c>
      <c r="AB6490">
        <v>45</v>
      </c>
      <c r="AC6490">
        <v>0.55430000000001201</v>
      </c>
      <c r="AD6490">
        <v>-1.108691827815</v>
      </c>
      <c r="AE6490">
        <v>22.147960000000001</v>
      </c>
      <c r="AF6490">
        <v>0.56740434731796696</v>
      </c>
      <c r="AG6490">
        <v>-1.108691827815</v>
      </c>
      <c r="AH6490">
        <v>22.092266561701301</v>
      </c>
      <c r="AI6490">
        <v>92.872010746078601</v>
      </c>
      <c r="AJ6490">
        <v>88.528773456494307</v>
      </c>
      <c r="AK6490">
        <v>22.127344781868501</v>
      </c>
      <c r="AL6490">
        <v>91.368141839794902</v>
      </c>
      <c r="AM6490">
        <v>95.294917507731796</v>
      </c>
      <c r="AN6490">
        <v>0.99999997504530902</v>
      </c>
    </row>
    <row r="6491" spans="1:40" x14ac:dyDescent="0.25">
      <c r="A6491" t="str">
        <f>"20190305135359367"</f>
        <v>20190305135359367</v>
      </c>
      <c r="B6491" t="str">
        <f>"1551765239356285"</f>
        <v>1551765239356285</v>
      </c>
      <c r="C6491" t="s">
        <v>40</v>
      </c>
      <c r="D6491">
        <v>4.6589049999999999</v>
      </c>
      <c r="E6491">
        <v>0.54199059999999999</v>
      </c>
      <c r="F6491" t="s">
        <v>42</v>
      </c>
      <c r="G6491">
        <v>-187.2407</v>
      </c>
      <c r="H6491" s="1">
        <v>-3.9033039999999997E-6</v>
      </c>
      <c r="I6491">
        <v>17.59055</v>
      </c>
      <c r="J6491">
        <v>-187.7141</v>
      </c>
      <c r="K6491">
        <v>1.1085849999999999</v>
      </c>
      <c r="L6491">
        <v>-4.2931210000000002</v>
      </c>
      <c r="M6491">
        <v>-1.2649439999999901E-3</v>
      </c>
      <c r="N6491">
        <v>-3.8428669999999998E-3</v>
      </c>
      <c r="O6491">
        <v>0.99999179999999999</v>
      </c>
      <c r="P6491">
        <v>-9.3367660000000005E-2</v>
      </c>
      <c r="Q6491">
        <v>-2.6920240000000002E-2</v>
      </c>
      <c r="R6491">
        <v>0.99526769999999998</v>
      </c>
      <c r="S6491">
        <v>6.3781740000000003E-2</v>
      </c>
      <c r="T6491">
        <v>-0.14956140000000001</v>
      </c>
      <c r="U6491">
        <v>3.016022</v>
      </c>
      <c r="V6491">
        <v>-9.2055910000000005E-2</v>
      </c>
      <c r="W6491">
        <v>-2.3304559999999998E-2</v>
      </c>
      <c r="X6491">
        <v>0.99548110000000001</v>
      </c>
      <c r="Y6491">
        <v>2.2383199999999999E-2</v>
      </c>
      <c r="Z6491">
        <v>-4.5677750000000003E-2</v>
      </c>
      <c r="AA6491">
        <v>0.99870539999999997</v>
      </c>
      <c r="AB6491">
        <v>45</v>
      </c>
      <c r="AC6491">
        <v>0.47339999999999799</v>
      </c>
      <c r="AD6491">
        <v>-1.108588903304</v>
      </c>
      <c r="AE6491">
        <v>21.883671</v>
      </c>
      <c r="AF6491">
        <v>0.499799428953146</v>
      </c>
      <c r="AG6491">
        <v>-1.108588903304</v>
      </c>
      <c r="AH6491">
        <v>21.827066928776102</v>
      </c>
      <c r="AI6491">
        <v>92.906773096236705</v>
      </c>
      <c r="AJ6491">
        <v>88.688261935474301</v>
      </c>
      <c r="AK6491">
        <v>21.860915340830999</v>
      </c>
      <c r="AL6491">
        <v>91.335373815119894</v>
      </c>
      <c r="AM6491">
        <v>95.283332095789603</v>
      </c>
      <c r="AN6491">
        <v>1.0000000067699599</v>
      </c>
    </row>
    <row r="6492" spans="1:40" x14ac:dyDescent="0.25">
      <c r="A6492" t="str">
        <f>"20190305135359387"</f>
        <v>20190305135359387</v>
      </c>
      <c r="B6492" t="str">
        <f>"1551765239376781"</f>
        <v>1551765239376781</v>
      </c>
      <c r="C6492" t="s">
        <v>40</v>
      </c>
      <c r="D6492">
        <v>4.6426360000000004</v>
      </c>
      <c r="E6492">
        <v>0.54111889999999996</v>
      </c>
      <c r="F6492" t="s">
        <v>41</v>
      </c>
      <c r="G6492">
        <v>-187.6935</v>
      </c>
      <c r="H6492">
        <v>1.0525580000000001</v>
      </c>
      <c r="I6492">
        <v>-3.1696900000000001</v>
      </c>
      <c r="J6492">
        <v>-187.7148</v>
      </c>
      <c r="K6492">
        <v>1.1084799999999999</v>
      </c>
      <c r="L6492">
        <v>-3.8647459999999998</v>
      </c>
      <c r="M6492">
        <v>-1.674243E-3</v>
      </c>
      <c r="N6492">
        <v>-3.9068189999999997E-3</v>
      </c>
      <c r="O6492">
        <v>0.99999090000000002</v>
      </c>
      <c r="P6492">
        <v>-9.380724E-2</v>
      </c>
      <c r="Q6492">
        <v>-2.6509810000000002E-2</v>
      </c>
      <c r="R6492">
        <v>0.99523740000000005</v>
      </c>
      <c r="S6492">
        <v>5.5007929999999997E-2</v>
      </c>
      <c r="T6492">
        <v>-0.150371799999999</v>
      </c>
      <c r="U6492">
        <v>3.0153500000000002</v>
      </c>
      <c r="V6492">
        <v>-9.2095440000000001E-2</v>
      </c>
      <c r="W6492">
        <v>-2.2805200000000001E-2</v>
      </c>
      <c r="X6492">
        <v>0.99548899999999996</v>
      </c>
      <c r="Y6492">
        <v>1.9892239999999999E-2</v>
      </c>
      <c r="Z6492">
        <v>-4.58953E-2</v>
      </c>
      <c r="AA6492">
        <v>0.99874819999999997</v>
      </c>
      <c r="AB6492">
        <v>45</v>
      </c>
      <c r="AC6492">
        <v>2.1299999999996499E-2</v>
      </c>
      <c r="AD6492">
        <v>-5.5921999999999999E-2</v>
      </c>
      <c r="AE6492">
        <v>0.69505599999999901</v>
      </c>
      <c r="AF6492">
        <v>2.23193275799532E-2</v>
      </c>
      <c r="AG6492">
        <v>-5.5921999999999999E-2</v>
      </c>
      <c r="AH6492">
        <v>0.69055339828967199</v>
      </c>
      <c r="AI6492">
        <v>94.6273850978653</v>
      </c>
      <c r="AJ6492">
        <v>88.148791597345706</v>
      </c>
      <c r="AK6492">
        <v>0.69317344031420802</v>
      </c>
      <c r="AL6492">
        <v>91.306754998942495</v>
      </c>
      <c r="AM6492">
        <v>95.2855462722314</v>
      </c>
      <c r="AN6492">
        <v>0.999999998168416</v>
      </c>
    </row>
    <row r="6493" spans="1:40" x14ac:dyDescent="0.25">
      <c r="A6493" t="str">
        <f>"20190305135359408"</f>
        <v>20190305135359408</v>
      </c>
      <c r="B6493" t="str">
        <f>"1551765239396301"</f>
        <v>1551765239396301</v>
      </c>
      <c r="C6493" t="s">
        <v>40</v>
      </c>
      <c r="D6493">
        <v>4.6895239999999996</v>
      </c>
      <c r="E6493">
        <v>0.5403983</v>
      </c>
      <c r="F6493" t="s">
        <v>41</v>
      </c>
      <c r="G6493">
        <v>-187.69759999999999</v>
      </c>
      <c r="H6493">
        <v>1.0531379999999999</v>
      </c>
      <c r="I6493">
        <v>-2.7630150000000002</v>
      </c>
      <c r="J6493">
        <v>-187.71559999999999</v>
      </c>
      <c r="K6493">
        <v>1.1083670000000001</v>
      </c>
      <c r="L6493">
        <v>-3.4281009999999998</v>
      </c>
      <c r="M6493">
        <v>-1.9783069999999999E-3</v>
      </c>
      <c r="N6493">
        <v>-3.9700320000000001E-3</v>
      </c>
      <c r="O6493">
        <v>0.99999020000000005</v>
      </c>
      <c r="P6493">
        <v>-9.4079339999999997E-2</v>
      </c>
      <c r="Q6493">
        <v>-2.595486E-2</v>
      </c>
      <c r="R6493">
        <v>0.99522630000000001</v>
      </c>
      <c r="S6493">
        <v>4.6813960000000002E-2</v>
      </c>
      <c r="T6493">
        <v>-0.15143219999999999</v>
      </c>
      <c r="U6493">
        <v>3.0147400000000002</v>
      </c>
      <c r="V6493">
        <v>-9.2072070000000006E-2</v>
      </c>
      <c r="W6493">
        <v>-2.2161549999999999E-2</v>
      </c>
      <c r="X6493">
        <v>0.99550570000000005</v>
      </c>
      <c r="Y6493">
        <v>1.7486080000000001E-2</v>
      </c>
      <c r="Z6493">
        <v>-4.6194850000000003E-2</v>
      </c>
      <c r="AA6493">
        <v>0.99877939999999998</v>
      </c>
      <c r="AB6493">
        <v>45</v>
      </c>
      <c r="AC6493">
        <v>1.8000000000000599E-2</v>
      </c>
      <c r="AD6493">
        <v>-5.5229000000000202E-2</v>
      </c>
      <c r="AE6493">
        <v>0.66508599999999996</v>
      </c>
      <c r="AF6493">
        <v>1.9183532206891798E-2</v>
      </c>
      <c r="AG6493">
        <v>-5.5229000000000202E-2</v>
      </c>
      <c r="AH6493">
        <v>0.66049782344821595</v>
      </c>
      <c r="AI6493">
        <v>94.777789936730201</v>
      </c>
      <c r="AJ6493">
        <v>88.336366165265503</v>
      </c>
      <c r="AK6493">
        <v>0.66308040623197695</v>
      </c>
      <c r="AL6493">
        <v>91.269867243397599</v>
      </c>
      <c r="AM6493">
        <v>95.284124470672893</v>
      </c>
      <c r="AN6493">
        <v>0.99999999955248797</v>
      </c>
    </row>
    <row r="6494" spans="1:40" x14ac:dyDescent="0.25">
      <c r="A6494" t="str">
        <f>"20190305135359434"</f>
        <v>20190305135359434</v>
      </c>
      <c r="B6494" t="str">
        <f>"1551765239426557"</f>
        <v>1551765239426557</v>
      </c>
      <c r="C6494" t="s">
        <v>40</v>
      </c>
      <c r="D6494">
        <v>4.7192150000000002</v>
      </c>
      <c r="E6494">
        <v>0.53957449999999996</v>
      </c>
      <c r="F6494" t="s">
        <v>42</v>
      </c>
      <c r="G6494">
        <v>-187.422</v>
      </c>
      <c r="H6494" s="1">
        <v>-4.2753639999999996E-6</v>
      </c>
      <c r="I6494">
        <v>18.532800000000002</v>
      </c>
      <c r="J6494">
        <v>-187.7167</v>
      </c>
      <c r="K6494">
        <v>1.1082479999999999</v>
      </c>
      <c r="L6494">
        <v>-2.9239809999999999</v>
      </c>
      <c r="M6494">
        <v>-2.2104659999999999E-3</v>
      </c>
      <c r="N6494">
        <v>-4.0405809999999997E-3</v>
      </c>
      <c r="O6494">
        <v>0.99998940000000003</v>
      </c>
      <c r="P6494">
        <v>-9.482894E-2</v>
      </c>
      <c r="Q6494">
        <v>-2.5598249999999999E-2</v>
      </c>
      <c r="R6494">
        <v>0.99516439999999995</v>
      </c>
      <c r="S6494">
        <v>4.0298460000000001E-2</v>
      </c>
      <c r="T6494">
        <v>-0.1521285</v>
      </c>
      <c r="U6494">
        <v>3.014221</v>
      </c>
      <c r="V6494">
        <v>-9.2598479999999997E-2</v>
      </c>
      <c r="W6494">
        <v>-2.1708080000000001E-2</v>
      </c>
      <c r="X6494">
        <v>0.99546690000000004</v>
      </c>
      <c r="Y6494">
        <v>1.556241E-2</v>
      </c>
      <c r="Z6494">
        <v>-4.6364679999999998E-2</v>
      </c>
      <c r="AA6494">
        <v>0.99880340000000001</v>
      </c>
      <c r="AB6494">
        <v>45</v>
      </c>
      <c r="AC6494">
        <v>0.29470000000000601</v>
      </c>
      <c r="AD6494">
        <v>-1.1082522753639901</v>
      </c>
      <c r="AE6494">
        <v>21.456780999999999</v>
      </c>
      <c r="AF6494">
        <v>0.34121903009611598</v>
      </c>
      <c r="AG6494">
        <v>-1.1082522753639901</v>
      </c>
      <c r="AH6494">
        <v>21.399000338534201</v>
      </c>
      <c r="AI6494">
        <v>92.964318299162798</v>
      </c>
      <c r="AJ6494">
        <v>89.086464167042394</v>
      </c>
      <c r="AK6494">
        <v>21.430395913770202</v>
      </c>
      <c r="AL6494">
        <v>91.243879030352304</v>
      </c>
      <c r="AM6494">
        <v>95.314369226081197</v>
      </c>
      <c r="AN6494">
        <v>1.0000000341155999</v>
      </c>
    </row>
    <row r="6495" spans="1:40" x14ac:dyDescent="0.25">
      <c r="A6495" t="str">
        <f>"20190305135359455"</f>
        <v>20190305135359455</v>
      </c>
      <c r="B6495" t="str">
        <f>"1551765239446077"</f>
        <v>1551765239446077</v>
      </c>
      <c r="C6495" t="s">
        <v>40</v>
      </c>
      <c r="D6495">
        <v>4.7246579999999998</v>
      </c>
      <c r="E6495">
        <v>0.53903140000000005</v>
      </c>
      <c r="F6495" t="s">
        <v>42</v>
      </c>
      <c r="G6495">
        <v>-187.49039999999999</v>
      </c>
      <c r="H6495" s="1">
        <v>-4.3289569999999901E-6</v>
      </c>
      <c r="I6495">
        <v>18.686</v>
      </c>
      <c r="J6495">
        <v>-187.71770000000001</v>
      </c>
      <c r="K6495">
        <v>1.108144</v>
      </c>
      <c r="L6495">
        <v>-2.469452</v>
      </c>
      <c r="M6495">
        <v>-2.3114920000000001E-3</v>
      </c>
      <c r="N6495">
        <v>-4.1021130000000001E-3</v>
      </c>
      <c r="O6495">
        <v>0.99998889999999996</v>
      </c>
      <c r="P6495">
        <v>-9.5518699999999998E-2</v>
      </c>
      <c r="Q6495">
        <v>-2.514771E-2</v>
      </c>
      <c r="R6495">
        <v>0.99510989999999999</v>
      </c>
      <c r="S6495">
        <v>3.1555180000000002E-2</v>
      </c>
      <c r="T6495">
        <v>-0.15455089999999999</v>
      </c>
      <c r="U6495">
        <v>3.013611</v>
      </c>
      <c r="V6495">
        <v>-9.3193819999999997E-2</v>
      </c>
      <c r="W6495">
        <v>-2.117256E-2</v>
      </c>
      <c r="X6495">
        <v>0.99542280000000005</v>
      </c>
      <c r="Y6495">
        <v>1.276859E-2</v>
      </c>
      <c r="Z6495">
        <v>-4.7116089999999999E-2</v>
      </c>
      <c r="AA6495">
        <v>0.99880780000000002</v>
      </c>
      <c r="AB6495">
        <v>46</v>
      </c>
      <c r="AC6495">
        <v>0.22730000000001299</v>
      </c>
      <c r="AD6495">
        <v>-1.108148328957</v>
      </c>
      <c r="AE6495">
        <v>21.155452</v>
      </c>
      <c r="AF6495">
        <v>0.27544478702470798</v>
      </c>
      <c r="AG6495">
        <v>-1.108148328957</v>
      </c>
      <c r="AH6495">
        <v>21.0969910035558</v>
      </c>
      <c r="AI6495">
        <v>93.006520254981794</v>
      </c>
      <c r="AJ6495">
        <v>89.2519820888363</v>
      </c>
      <c r="AK6495">
        <v>21.1278700287981</v>
      </c>
      <c r="AL6495">
        <v>91.213189032723605</v>
      </c>
      <c r="AM6495">
        <v>95.348574770537994</v>
      </c>
      <c r="AN6495">
        <v>0.999999958071492</v>
      </c>
    </row>
    <row r="6496" spans="1:40" x14ac:dyDescent="0.25">
      <c r="A6496" t="str">
        <f>"20190305135359477"</f>
        <v>20190305135359477</v>
      </c>
      <c r="B6496" t="str">
        <f>"1551765239466573"</f>
        <v>1551765239466573</v>
      </c>
      <c r="C6496" t="s">
        <v>40</v>
      </c>
      <c r="D6496">
        <v>4.9738040000000003</v>
      </c>
      <c r="E6496">
        <v>0.53833819999999999</v>
      </c>
      <c r="F6496" t="s">
        <v>42</v>
      </c>
      <c r="G6496">
        <v>-187.53819999999999</v>
      </c>
      <c r="H6496" s="1">
        <v>-4.4431620000000003E-6</v>
      </c>
      <c r="I6496">
        <v>18.971979999999999</v>
      </c>
      <c r="J6496">
        <v>-187.71870000000001</v>
      </c>
      <c r="K6496">
        <v>1.108044</v>
      </c>
      <c r="L6496">
        <v>-2.0233759999999998</v>
      </c>
      <c r="M6496">
        <v>-2.3008680000000002E-3</v>
      </c>
      <c r="N6496">
        <v>-4.1607440000000001E-3</v>
      </c>
      <c r="O6496">
        <v>0.99998869999999895</v>
      </c>
      <c r="P6496">
        <v>-9.6069299999999996E-2</v>
      </c>
      <c r="Q6496">
        <v>-2.4947859999999999E-2</v>
      </c>
      <c r="R6496">
        <v>0.99506190000000005</v>
      </c>
      <c r="S6496">
        <v>2.522278E-2</v>
      </c>
      <c r="T6496">
        <v>-0.1557307</v>
      </c>
      <c r="U6496">
        <v>3.0132140000000001</v>
      </c>
      <c r="V6496">
        <v>-9.3761109999999995E-2</v>
      </c>
      <c r="W6496">
        <v>-2.088949E-2</v>
      </c>
      <c r="X6496">
        <v>0.99537560000000003</v>
      </c>
      <c r="Y6496">
        <v>1.066055E-2</v>
      </c>
      <c r="Z6496">
        <v>-4.7455459999999998E-2</v>
      </c>
      <c r="AA6496">
        <v>0.9988165</v>
      </c>
      <c r="AB6496">
        <v>46</v>
      </c>
      <c r="AC6496">
        <v>0.180500000000023</v>
      </c>
      <c r="AD6496">
        <v>-1.1080484431619999</v>
      </c>
      <c r="AE6496">
        <v>20.995356000000001</v>
      </c>
      <c r="AF6496">
        <v>0.228172003889757</v>
      </c>
      <c r="AG6496">
        <v>-1.1080484431619999</v>
      </c>
      <c r="AH6496">
        <v>20.936574911871698</v>
      </c>
      <c r="AI6496">
        <v>93.029319043091704</v>
      </c>
      <c r="AJ6496">
        <v>89.375601055177199</v>
      </c>
      <c r="AK6496">
        <v>20.967117180389099</v>
      </c>
      <c r="AL6496">
        <v>91.196966616671403</v>
      </c>
      <c r="AM6496">
        <v>95.381195779331094</v>
      </c>
      <c r="AN6496">
        <v>1.0000000508081199</v>
      </c>
    </row>
    <row r="6497" spans="1:40" x14ac:dyDescent="0.25">
      <c r="A6497" t="str">
        <f>"20190305135359498"</f>
        <v>20190305135359498</v>
      </c>
      <c r="B6497" t="str">
        <f>"1551765239486093"</f>
        <v>1551765239486093</v>
      </c>
      <c r="C6497" t="s">
        <v>40</v>
      </c>
      <c r="D6497">
        <v>4.7014719999999999</v>
      </c>
      <c r="E6497">
        <v>0.49271359999999997</v>
      </c>
      <c r="F6497" t="s">
        <v>42</v>
      </c>
      <c r="G6497">
        <v>-187.5917</v>
      </c>
      <c r="H6497" s="1">
        <v>-4.5366589999999996E-6</v>
      </c>
      <c r="I6497">
        <v>19.212019999999999</v>
      </c>
      <c r="J6497">
        <v>-187.71960000000001</v>
      </c>
      <c r="K6497">
        <v>1.1079330000000001</v>
      </c>
      <c r="L6497">
        <v>-1.592865</v>
      </c>
      <c r="M6497">
        <v>-2.1836490000000002E-3</v>
      </c>
      <c r="N6497">
        <v>-4.21587E-3</v>
      </c>
      <c r="O6497">
        <v>0.99998869999999895</v>
      </c>
      <c r="P6497">
        <v>-9.6584340000000005E-2</v>
      </c>
      <c r="Q6497">
        <v>-2.400772E-2</v>
      </c>
      <c r="R6497">
        <v>0.99503520000000001</v>
      </c>
      <c r="S6497">
        <v>1.8020629999999999E-2</v>
      </c>
      <c r="T6497">
        <v>-0.15720029999999999</v>
      </c>
      <c r="U6497">
        <v>3.0126949999999999</v>
      </c>
      <c r="V6497">
        <v>-9.4399060000000007E-2</v>
      </c>
      <c r="W6497">
        <v>-1.986841E-2</v>
      </c>
      <c r="X6497">
        <v>0.9953362</v>
      </c>
      <c r="Y6497">
        <v>8.1572369999999995E-3</v>
      </c>
      <c r="Z6497">
        <v>-4.7896260000000003E-2</v>
      </c>
      <c r="AA6497">
        <v>0.99881900000000001</v>
      </c>
      <c r="AB6497">
        <v>46</v>
      </c>
      <c r="AC6497">
        <v>0.127900000000011</v>
      </c>
      <c r="AD6497">
        <v>-1.1079375366590001</v>
      </c>
      <c r="AE6497">
        <v>20.804884999999999</v>
      </c>
      <c r="AF6497">
        <v>0.17284051638417899</v>
      </c>
      <c r="AG6497">
        <v>-1.1079375366590001</v>
      </c>
      <c r="AH6497">
        <v>20.745724310137401</v>
      </c>
      <c r="AI6497">
        <v>93.056904565439396</v>
      </c>
      <c r="AJ6497">
        <v>89.522658122234503</v>
      </c>
      <c r="AK6497">
        <v>20.776007233861499</v>
      </c>
      <c r="AL6497">
        <v>91.138450898619197</v>
      </c>
      <c r="AM6497">
        <v>95.417805465540795</v>
      </c>
      <c r="AN6497">
        <v>1.00000004363762</v>
      </c>
    </row>
    <row r="6498" spans="1:40" x14ac:dyDescent="0.25">
      <c r="A6498" t="str">
        <f>"20190305135359521"</f>
        <v>20190305135359521</v>
      </c>
      <c r="B6498" t="str">
        <f>"1551765239516349"</f>
        <v>1551765239516349</v>
      </c>
      <c r="C6498" t="s">
        <v>40</v>
      </c>
      <c r="D6498">
        <v>4.6970419999999997</v>
      </c>
      <c r="E6498">
        <v>0.48636980000000002</v>
      </c>
      <c r="F6498" t="s">
        <v>42</v>
      </c>
      <c r="G6498">
        <v>-190.59460000000001</v>
      </c>
      <c r="H6498" s="1">
        <v>-1.6773100000000001E-6</v>
      </c>
      <c r="I6498">
        <v>23.130140000000001</v>
      </c>
      <c r="J6498">
        <v>-187.72040000000001</v>
      </c>
      <c r="K6498">
        <v>1.1078049999999999</v>
      </c>
      <c r="L6498">
        <v>-1.122681</v>
      </c>
      <c r="M6498">
        <v>-1.943515E-3</v>
      </c>
      <c r="N6498">
        <v>-4.2748259999999998E-3</v>
      </c>
      <c r="O6498">
        <v>0.99998900000000002</v>
      </c>
      <c r="P6498">
        <v>-9.6963069999999998E-2</v>
      </c>
      <c r="Q6498">
        <v>-2.3006240000000001E-2</v>
      </c>
      <c r="R6498">
        <v>0.99502210000000002</v>
      </c>
      <c r="S6498">
        <v>-0.34632869999999999</v>
      </c>
      <c r="T6498">
        <v>-0.1334611</v>
      </c>
      <c r="U6498">
        <v>2.978119</v>
      </c>
      <c r="V6498">
        <v>-9.5023730000000001E-2</v>
      </c>
      <c r="W6498">
        <v>-1.877798E-2</v>
      </c>
      <c r="X6498">
        <v>0.99529789999999996</v>
      </c>
      <c r="Y6498">
        <v>-0.1134767</v>
      </c>
      <c r="Z6498">
        <v>-4.0204209999999997E-2</v>
      </c>
      <c r="AA6498">
        <v>0.99272689999999997</v>
      </c>
      <c r="AB6498">
        <v>46</v>
      </c>
      <c r="AC6498">
        <v>-2.8742000000000001</v>
      </c>
      <c r="AD6498">
        <v>-1.1078066773099999</v>
      </c>
      <c r="AE6498">
        <v>24.252821000000001</v>
      </c>
      <c r="AF6498">
        <v>-2.82125360412366</v>
      </c>
      <c r="AG6498">
        <v>-1.1078066773099999</v>
      </c>
      <c r="AH6498">
        <v>24.208551452497201</v>
      </c>
      <c r="AI6498">
        <v>92.602493534993997</v>
      </c>
      <c r="AJ6498">
        <v>96.647239288128105</v>
      </c>
      <c r="AK6498">
        <v>24.397554610273499</v>
      </c>
      <c r="AL6498">
        <v>91.075962224091299</v>
      </c>
      <c r="AM6498">
        <v>95.453650044979398</v>
      </c>
      <c r="AN6498">
        <v>1.0000000157702</v>
      </c>
    </row>
    <row r="6499" spans="1:40" x14ac:dyDescent="0.25">
      <c r="A6499" t="str">
        <f>"20190305135359544"</f>
        <v>20190305135359544</v>
      </c>
      <c r="B6499" t="str">
        <f>"1551765239536846"</f>
        <v>1551765239536846</v>
      </c>
      <c r="C6499" t="s">
        <v>40</v>
      </c>
      <c r="D6499">
        <v>4.6951070000000001</v>
      </c>
      <c r="E6499">
        <v>0.48658849999999998</v>
      </c>
      <c r="F6499" t="s">
        <v>42</v>
      </c>
      <c r="G6499">
        <v>-192.2457</v>
      </c>
      <c r="H6499" s="1">
        <v>-1.9091690000000001E-6</v>
      </c>
      <c r="I6499">
        <v>32.646609999999903</v>
      </c>
      <c r="J6499">
        <v>-187.72110000000001</v>
      </c>
      <c r="K6499">
        <v>1.107667</v>
      </c>
      <c r="L6499">
        <v>-0.64242549999999998</v>
      </c>
      <c r="M6499">
        <v>-1.588756E-3</v>
      </c>
      <c r="N6499">
        <v>-4.3336770000000002E-3</v>
      </c>
      <c r="O6499">
        <v>0.99998929999999997</v>
      </c>
      <c r="P6499">
        <v>-9.7050070000000002E-2</v>
      </c>
      <c r="Q6499">
        <v>-2.296436E-2</v>
      </c>
      <c r="R6499">
        <v>0.99501450000000002</v>
      </c>
      <c r="S6499">
        <v>-0.39851379999999997</v>
      </c>
      <c r="T6499">
        <v>-9.7559450000000006E-2</v>
      </c>
      <c r="U6499">
        <v>2.9739070000000001</v>
      </c>
      <c r="V6499">
        <v>-9.5470079999999999E-2</v>
      </c>
      <c r="W6499">
        <v>-1.864615E-2</v>
      </c>
      <c r="X6499">
        <v>0.99525770000000002</v>
      </c>
      <c r="Y6499">
        <v>-0.1311783</v>
      </c>
      <c r="Z6499">
        <v>-2.8169469999999999E-2</v>
      </c>
      <c r="AA6499">
        <v>0.99095849999999996</v>
      </c>
      <c r="AB6499">
        <v>46</v>
      </c>
      <c r="AC6499">
        <v>-4.5245999999999897</v>
      </c>
      <c r="AD6499">
        <v>-1.107668909169</v>
      </c>
      <c r="AE6499">
        <v>33.289035499999997</v>
      </c>
      <c r="AF6499">
        <v>-4.4668497441488499</v>
      </c>
      <c r="AG6499">
        <v>-1.107668909169</v>
      </c>
      <c r="AH6499">
        <v>33.260025222444398</v>
      </c>
      <c r="AI6499">
        <v>91.890473794368404</v>
      </c>
      <c r="AJ6499">
        <v>97.6491029258992</v>
      </c>
      <c r="AK6499">
        <v>33.576911037895997</v>
      </c>
      <c r="AL6499">
        <v>91.068407559905793</v>
      </c>
      <c r="AM6499">
        <v>95.479331623441993</v>
      </c>
      <c r="AN6499">
        <v>1.0000000522471499</v>
      </c>
    </row>
    <row r="6500" spans="1:40" x14ac:dyDescent="0.25">
      <c r="A6500" t="str">
        <f>"20190305135359566"</f>
        <v>20190305135359566</v>
      </c>
      <c r="B6500" t="str">
        <f>"1551765239556091"</f>
        <v>1551765239556091</v>
      </c>
      <c r="C6500" t="s">
        <v>40</v>
      </c>
      <c r="D6500">
        <v>4.6624980000000003</v>
      </c>
      <c r="E6500">
        <v>0.48701179999999999</v>
      </c>
      <c r="F6500" t="s">
        <v>42</v>
      </c>
      <c r="G6500">
        <v>-192.56010000000001</v>
      </c>
      <c r="H6500" s="1">
        <v>-3.2582769999999998E-6</v>
      </c>
      <c r="I6500">
        <v>35.59639</v>
      </c>
      <c r="J6500">
        <v>-187.7216</v>
      </c>
      <c r="K6500">
        <v>1.10755</v>
      </c>
      <c r="L6500">
        <v>-0.19320680000000001</v>
      </c>
      <c r="M6500">
        <v>-1.16168E-3</v>
      </c>
      <c r="N6500">
        <v>-4.3871730000000003E-3</v>
      </c>
      <c r="O6500">
        <v>0.99998969999999998</v>
      </c>
      <c r="P6500">
        <v>-9.7115430000000003E-2</v>
      </c>
      <c r="Q6500">
        <v>-2.2864949999999998E-2</v>
      </c>
      <c r="R6500">
        <v>0.99501039999999996</v>
      </c>
      <c r="S6500">
        <v>-0.39714050000000001</v>
      </c>
      <c r="T6500">
        <v>-9.0908409999999995E-2</v>
      </c>
      <c r="U6500">
        <v>2.9741819999999999</v>
      </c>
      <c r="V6500">
        <v>-9.5966319999999994E-2</v>
      </c>
      <c r="W6500">
        <v>-1.846507E-2</v>
      </c>
      <c r="X6500">
        <v>0.99521329999999997</v>
      </c>
      <c r="Y6500">
        <v>-0.13114870000000001</v>
      </c>
      <c r="Z6500">
        <v>-2.5900240000000001E-2</v>
      </c>
      <c r="AA6500">
        <v>0.99102429999999997</v>
      </c>
      <c r="AB6500">
        <v>46</v>
      </c>
      <c r="AC6500">
        <v>-4.8385000000000096</v>
      </c>
      <c r="AD6500">
        <v>-1.107553258277</v>
      </c>
      <c r="AE6500">
        <v>35.789596799999998</v>
      </c>
      <c r="AF6500">
        <v>-4.7924131067098301</v>
      </c>
      <c r="AG6500">
        <v>-1.107553258277</v>
      </c>
      <c r="AH6500">
        <v>35.761560455114001</v>
      </c>
      <c r="AI6500">
        <v>91.758204374740501</v>
      </c>
      <c r="AJ6500">
        <v>97.632742980245297</v>
      </c>
      <c r="AK6500">
        <v>36.0982423919789</v>
      </c>
      <c r="AL6500">
        <v>91.0580307062598</v>
      </c>
      <c r="AM6500">
        <v>95.507881945293505</v>
      </c>
      <c r="AN6500">
        <v>1.0000000029406599</v>
      </c>
    </row>
    <row r="6501" spans="1:40" x14ac:dyDescent="0.25">
      <c r="A6501" t="str">
        <f>"20190305135359588"</f>
        <v>20190305135359588</v>
      </c>
      <c r="B6501" t="str">
        <f>"1551765239576590"</f>
        <v>1551765239576590</v>
      </c>
      <c r="C6501" t="s">
        <v>40</v>
      </c>
      <c r="D6501">
        <v>4.6572789999999999</v>
      </c>
      <c r="E6501">
        <v>0.48774099999999998</v>
      </c>
      <c r="F6501" t="s">
        <v>42</v>
      </c>
      <c r="G6501">
        <v>-192.66120000000001</v>
      </c>
      <c r="H6501" s="1">
        <v>-3.9079560000000002E-6</v>
      </c>
      <c r="I6501">
        <v>37.083320000000001</v>
      </c>
      <c r="J6501">
        <v>-187.7218</v>
      </c>
      <c r="K6501">
        <v>1.1074409999999999</v>
      </c>
      <c r="L6501">
        <v>0.27163700000000002</v>
      </c>
      <c r="M6501">
        <v>-6.376318E-4</v>
      </c>
      <c r="N6501">
        <v>-4.4410810000000004E-3</v>
      </c>
      <c r="O6501">
        <v>0.99998989999999999</v>
      </c>
      <c r="P6501">
        <v>-9.7281080000000006E-2</v>
      </c>
      <c r="Q6501">
        <v>-2.306706E-2</v>
      </c>
      <c r="R6501">
        <v>0.99498960000000003</v>
      </c>
      <c r="S6501">
        <v>-0.39416499999999999</v>
      </c>
      <c r="T6501">
        <v>-8.8379260000000001E-2</v>
      </c>
      <c r="U6501">
        <v>2.974548</v>
      </c>
      <c r="V6501">
        <v>-9.6658930000000004E-2</v>
      </c>
      <c r="W6501">
        <v>-1.858597E-2</v>
      </c>
      <c r="X6501">
        <v>0.99514400000000003</v>
      </c>
      <c r="Y6501">
        <v>-0.1306812</v>
      </c>
      <c r="Z6501">
        <v>-2.5003560000000001E-2</v>
      </c>
      <c r="AA6501">
        <v>0.99110909999999997</v>
      </c>
      <c r="AB6501">
        <v>46</v>
      </c>
      <c r="AC6501">
        <v>-4.9394</v>
      </c>
      <c r="AD6501">
        <v>-1.10744490795599</v>
      </c>
      <c r="AE6501">
        <v>36.811683000000002</v>
      </c>
      <c r="AF6501">
        <v>-4.91155987071319</v>
      </c>
      <c r="AG6501">
        <v>-1.10744490795599</v>
      </c>
      <c r="AH6501">
        <v>36.782124136998803</v>
      </c>
      <c r="AI6501">
        <v>91.709390673219204</v>
      </c>
      <c r="AJ6501">
        <v>97.605779984304306</v>
      </c>
      <c r="AK6501">
        <v>37.125119671421203</v>
      </c>
      <c r="AL6501">
        <v>91.0649589752568</v>
      </c>
      <c r="AM6501">
        <v>95.547770358535402</v>
      </c>
      <c r="AN6501">
        <v>0.99999998388279199</v>
      </c>
    </row>
    <row r="6502" spans="1:40" x14ac:dyDescent="0.25">
      <c r="A6502" t="str">
        <f>"20190305135359610"</f>
        <v>20190305135359610</v>
      </c>
      <c r="B6502" t="str">
        <f>"1551765239606843"</f>
        <v>1551765239606843</v>
      </c>
      <c r="C6502" t="s">
        <v>40</v>
      </c>
      <c r="D6502">
        <v>4.6671620000000003</v>
      </c>
      <c r="E6502">
        <v>0.48829359999999999</v>
      </c>
      <c r="F6502" t="s">
        <v>42</v>
      </c>
      <c r="G6502">
        <v>-192.92679999999999</v>
      </c>
      <c r="H6502" s="1">
        <v>-9.9459159999999999E-7</v>
      </c>
      <c r="I6502">
        <v>40.092219999999998</v>
      </c>
      <c r="J6502">
        <v>-187.7218</v>
      </c>
      <c r="K6502">
        <v>1.1073390000000001</v>
      </c>
      <c r="L6502">
        <v>0.72039790000000004</v>
      </c>
      <c r="M6502" s="1">
        <v>-7.2399739999999993E-5</v>
      </c>
      <c r="N6502">
        <v>-4.4920280000000003E-3</v>
      </c>
      <c r="O6502">
        <v>0.99998989999999999</v>
      </c>
      <c r="P6502">
        <v>-9.7105090000000005E-2</v>
      </c>
      <c r="Q6502">
        <v>-2.2785110000000001E-2</v>
      </c>
      <c r="R6502">
        <v>0.99501329999999999</v>
      </c>
      <c r="S6502">
        <v>-0.3888855</v>
      </c>
      <c r="T6502">
        <v>-8.2741499999999996E-2</v>
      </c>
      <c r="U6502">
        <v>2.9751590000000001</v>
      </c>
      <c r="V6502">
        <v>-9.7049620000000003E-2</v>
      </c>
      <c r="W6502">
        <v>-1.8229180000000001E-2</v>
      </c>
      <c r="X6502">
        <v>0.99511260000000001</v>
      </c>
      <c r="Y6502">
        <v>-0.12949269999999999</v>
      </c>
      <c r="Z6502">
        <v>-2.3075289999999998E-2</v>
      </c>
      <c r="AA6502">
        <v>0.99131179999999997</v>
      </c>
      <c r="AB6502">
        <v>47</v>
      </c>
      <c r="AC6502">
        <v>-5.2049999999999796</v>
      </c>
      <c r="AD6502">
        <v>-1.10733999459159</v>
      </c>
      <c r="AE6502">
        <v>39.371822100000003</v>
      </c>
      <c r="AF6502">
        <v>-5.1981082362069202</v>
      </c>
      <c r="AG6502">
        <v>-1.10733999459159</v>
      </c>
      <c r="AH6502">
        <v>39.341613139791498</v>
      </c>
      <c r="AI6502">
        <v>91.598382060953995</v>
      </c>
      <c r="AJ6502">
        <v>97.526749232962601</v>
      </c>
      <c r="AK6502">
        <v>39.698980535272703</v>
      </c>
      <c r="AL6502">
        <v>91.044512922939305</v>
      </c>
      <c r="AM6502">
        <v>95.570228054471499</v>
      </c>
      <c r="AN6502">
        <v>1.0000000092121799</v>
      </c>
    </row>
    <row r="6503" spans="1:40" x14ac:dyDescent="0.25">
      <c r="A6503" t="str">
        <f>"20190305135359634"</f>
        <v>20190305135359634</v>
      </c>
      <c r="B6503" t="str">
        <f>"1551765239626364"</f>
        <v>1551765239626364</v>
      </c>
      <c r="C6503" t="s">
        <v>40</v>
      </c>
      <c r="D6503">
        <v>4.6698760000000004</v>
      </c>
      <c r="E6503">
        <v>0.48846919999999999</v>
      </c>
      <c r="F6503" t="s">
        <v>42</v>
      </c>
      <c r="G6503">
        <v>-192.91309999999999</v>
      </c>
      <c r="H6503" s="1">
        <v>-1.3597310000000001E-6</v>
      </c>
      <c r="I6503">
        <v>40.951860000000003</v>
      </c>
      <c r="J6503">
        <v>-187.72149999999999</v>
      </c>
      <c r="K6503">
        <v>1.107246</v>
      </c>
      <c r="L6503">
        <v>1.202148</v>
      </c>
      <c r="M6503">
        <v>5.8595169999999897E-4</v>
      </c>
      <c r="N6503">
        <v>-4.5456630000000001E-3</v>
      </c>
      <c r="O6503">
        <v>0.99998949999999998</v>
      </c>
      <c r="P6503">
        <v>-9.6571099999999993E-2</v>
      </c>
      <c r="Q6503">
        <v>-2.1628399999999999E-2</v>
      </c>
      <c r="R6503">
        <v>0.99509110000000001</v>
      </c>
      <c r="S6503">
        <v>-0.38397219999999999</v>
      </c>
      <c r="T6503">
        <v>-8.1903219999999999E-2</v>
      </c>
      <c r="U6503">
        <v>2.9756770000000001</v>
      </c>
      <c r="V6503">
        <v>-9.7173679999999998E-2</v>
      </c>
      <c r="W6503">
        <v>-1.6996230000000001E-2</v>
      </c>
      <c r="X6503">
        <v>0.99512230000000002</v>
      </c>
      <c r="Y6503">
        <v>-0.12851460000000001</v>
      </c>
      <c r="Z6503">
        <v>-2.2742289999999998E-2</v>
      </c>
      <c r="AA6503">
        <v>0.99144679999999996</v>
      </c>
      <c r="AB6503">
        <v>47</v>
      </c>
      <c r="AC6503">
        <v>-5.1915999999999896</v>
      </c>
      <c r="AD6503">
        <v>-1.107247359731</v>
      </c>
      <c r="AE6503">
        <v>39.749712000000002</v>
      </c>
      <c r="AF6503">
        <v>-5.2109152811155397</v>
      </c>
      <c r="AG6503">
        <v>-1.107247359731</v>
      </c>
      <c r="AH6503">
        <v>39.716362953860703</v>
      </c>
      <c r="AI6503">
        <v>91.583364901815301</v>
      </c>
      <c r="AJ6503">
        <v>97.474696199870294</v>
      </c>
      <c r="AK6503">
        <v>40.072049124862502</v>
      </c>
      <c r="AL6503">
        <v>90.973859143121601</v>
      </c>
      <c r="AM6503">
        <v>95.577249672326602</v>
      </c>
      <c r="AN6503">
        <v>0.999999993938122</v>
      </c>
    </row>
    <row r="6504" spans="1:40" x14ac:dyDescent="0.25">
      <c r="A6504" t="str">
        <f>"20190305135359656"</f>
        <v>20190305135359656</v>
      </c>
      <c r="B6504" t="str">
        <f>"1551765239646859"</f>
        <v>1551765239646859</v>
      </c>
      <c r="C6504" t="s">
        <v>40</v>
      </c>
      <c r="D6504">
        <v>4.6929530000000002</v>
      </c>
      <c r="E6504">
        <v>0.48866310000000002</v>
      </c>
      <c r="F6504" t="s">
        <v>42</v>
      </c>
      <c r="G6504">
        <v>-193.0403</v>
      </c>
      <c r="H6504" s="1">
        <v>-2.160964E-6</v>
      </c>
      <c r="I6504">
        <v>42.74071</v>
      </c>
      <c r="J6504">
        <v>-187.7208</v>
      </c>
      <c r="K6504">
        <v>1.10717</v>
      </c>
      <c r="L6504">
        <v>1.69894399999999</v>
      </c>
      <c r="M6504">
        <v>1.3041179999999999E-3</v>
      </c>
      <c r="N6504">
        <v>-4.600046E-3</v>
      </c>
      <c r="O6504">
        <v>0.99998860000000001</v>
      </c>
      <c r="P6504">
        <v>-9.5212260000000007E-2</v>
      </c>
      <c r="Q6504">
        <v>-2.038119E-2</v>
      </c>
      <c r="R6504">
        <v>0.99524829999999997</v>
      </c>
      <c r="S6504">
        <v>-0.381073</v>
      </c>
      <c r="T6504">
        <v>-7.9330799999999896E-2</v>
      </c>
      <c r="U6504">
        <v>2.976105</v>
      </c>
      <c r="V6504">
        <v>-9.6530879999999999E-2</v>
      </c>
      <c r="W6504">
        <v>-1.5675100000000001E-2</v>
      </c>
      <c r="X6504">
        <v>0.99520649999999999</v>
      </c>
      <c r="Y6504">
        <v>-0.1282614</v>
      </c>
      <c r="Z6504">
        <v>-2.1829479999999998E-2</v>
      </c>
      <c r="AA6504">
        <v>0.9915001</v>
      </c>
      <c r="AB6504">
        <v>47</v>
      </c>
      <c r="AC6504">
        <v>-5.3194999999999997</v>
      </c>
      <c r="AD6504">
        <v>-1.107172160964</v>
      </c>
      <c r="AE6504">
        <v>41.041765999999903</v>
      </c>
      <c r="AF6504">
        <v>-5.3691765209835198</v>
      </c>
      <c r="AG6504">
        <v>-1.107172160964</v>
      </c>
      <c r="AH6504">
        <v>41.005445361445702</v>
      </c>
      <c r="AI6504">
        <v>91.533561294121498</v>
      </c>
      <c r="AJ6504">
        <v>97.459763626185705</v>
      </c>
      <c r="AK6504">
        <v>41.370284456334197</v>
      </c>
      <c r="AL6504">
        <v>90.898153902888893</v>
      </c>
      <c r="AM6504">
        <v>95.540120865270495</v>
      </c>
      <c r="AN6504">
        <v>0.99999994859791497</v>
      </c>
    </row>
    <row r="6505" spans="1:40" x14ac:dyDescent="0.25">
      <c r="A6505" t="str">
        <f>"20190305135359681"</f>
        <v>20190305135359681</v>
      </c>
      <c r="B6505" t="str">
        <f>"1551765239676139"</f>
        <v>1551765239676139</v>
      </c>
      <c r="C6505" t="s">
        <v>40</v>
      </c>
      <c r="D6505">
        <v>4.6758920000000002</v>
      </c>
      <c r="E6505">
        <v>0.48893829999999999</v>
      </c>
      <c r="F6505" t="s">
        <v>42</v>
      </c>
      <c r="G6505">
        <v>-193.10220000000001</v>
      </c>
      <c r="H6505" s="1">
        <v>-2.8821100000000002E-6</v>
      </c>
      <c r="I6505">
        <v>44.383279999999999</v>
      </c>
      <c r="J6505">
        <v>-187.71979999999999</v>
      </c>
      <c r="K6505">
        <v>1.10711</v>
      </c>
      <c r="L6505">
        <v>2.191071</v>
      </c>
      <c r="M6505">
        <v>2.040343E-3</v>
      </c>
      <c r="N6505">
        <v>-4.6897320000000003E-3</v>
      </c>
      <c r="O6505">
        <v>0.99998690000000001</v>
      </c>
      <c r="P6505">
        <v>-9.454688E-2</v>
      </c>
      <c r="Q6505">
        <v>-2.0115089999999999E-2</v>
      </c>
      <c r="R6505">
        <v>0.99531720000000001</v>
      </c>
      <c r="S6505">
        <v>-0.37530520000000001</v>
      </c>
      <c r="T6505">
        <v>-7.7215080000000005E-2</v>
      </c>
      <c r="U6505">
        <v>2.9768370000000002</v>
      </c>
      <c r="V6505">
        <v>-9.6600710000000006E-2</v>
      </c>
      <c r="W6505">
        <v>-1.53022E-2</v>
      </c>
      <c r="X6505">
        <v>0.99520560000000002</v>
      </c>
      <c r="Y6505">
        <v>-0.1270723</v>
      </c>
      <c r="Z6505">
        <v>-2.1033929999999999E-2</v>
      </c>
      <c r="AA6505">
        <v>0.99167039999999995</v>
      </c>
      <c r="AB6505">
        <v>47</v>
      </c>
      <c r="AC6505">
        <v>-5.3824000000000103</v>
      </c>
      <c r="AD6505">
        <v>-1.10711288211</v>
      </c>
      <c r="AE6505">
        <v>42.192208999999998</v>
      </c>
      <c r="AF6505">
        <v>-5.4647739449350601</v>
      </c>
      <c r="AG6505">
        <v>-1.10711288211</v>
      </c>
      <c r="AH6505">
        <v>42.152580785800097</v>
      </c>
      <c r="AI6505">
        <v>91.492013912933203</v>
      </c>
      <c r="AJ6505">
        <v>97.386779062730696</v>
      </c>
      <c r="AK6505">
        <v>42.519754469027397</v>
      </c>
      <c r="AL6505">
        <v>90.876785679293604</v>
      </c>
      <c r="AM6505">
        <v>95.544108585575302</v>
      </c>
      <c r="AN6505">
        <v>1.00000002038435</v>
      </c>
    </row>
    <row r="6506" spans="1:40" x14ac:dyDescent="0.25">
      <c r="A6506" t="str">
        <f>"20190305135359701"</f>
        <v>20190305135359701</v>
      </c>
      <c r="B6506" t="str">
        <f>"1551765239696635"</f>
        <v>1551765239696635</v>
      </c>
      <c r="C6506" t="s">
        <v>40</v>
      </c>
      <c r="D6506">
        <v>4.6837629999999999</v>
      </c>
      <c r="E6506">
        <v>0.48939329999999998</v>
      </c>
      <c r="F6506" t="s">
        <v>42</v>
      </c>
      <c r="G6506">
        <v>-192.98490000000001</v>
      </c>
      <c r="H6506" s="1">
        <v>-2.8775369999999999E-6</v>
      </c>
      <c r="I6506">
        <v>44.445390000000003</v>
      </c>
      <c r="J6506">
        <v>-187.71860000000001</v>
      </c>
      <c r="K6506">
        <v>1.107089</v>
      </c>
      <c r="L6506">
        <v>2.645508</v>
      </c>
      <c r="M6506">
        <v>2.7312870000000002E-3</v>
      </c>
      <c r="N6506">
        <v>-4.8839399999999998E-3</v>
      </c>
      <c r="O6506">
        <v>0.99998430000000005</v>
      </c>
      <c r="P6506">
        <v>-9.4228629999999994E-2</v>
      </c>
      <c r="Q6506">
        <v>-2.0087319999999999E-2</v>
      </c>
      <c r="R6506">
        <v>0.99534789999999995</v>
      </c>
      <c r="S6506">
        <v>-0.37098690000000001</v>
      </c>
      <c r="T6506">
        <v>-7.8008649999999999E-2</v>
      </c>
      <c r="U6506">
        <v>2.9772949999999998</v>
      </c>
      <c r="V6506">
        <v>-9.6972169999999996E-2</v>
      </c>
      <c r="W6506">
        <v>-1.5066049999999999E-2</v>
      </c>
      <c r="X6506">
        <v>0.99517299999999997</v>
      </c>
      <c r="Y6506">
        <v>-0.12632199999999999</v>
      </c>
      <c r="Z6506">
        <v>-2.1103319999999998E-2</v>
      </c>
      <c r="AA6506">
        <v>0.9917648</v>
      </c>
      <c r="AB6506">
        <v>47</v>
      </c>
      <c r="AC6506">
        <v>-5.2663000000000002</v>
      </c>
      <c r="AD6506">
        <v>-1.107091877537</v>
      </c>
      <c r="AE6506">
        <v>41.799881999999997</v>
      </c>
      <c r="AF6506">
        <v>-5.3767364403717002</v>
      </c>
      <c r="AG6506">
        <v>-1.107091877537</v>
      </c>
      <c r="AH6506">
        <v>41.756508330914997</v>
      </c>
      <c r="AI6506">
        <v>91.506299150640601</v>
      </c>
      <c r="AJ6506">
        <v>97.337262392678596</v>
      </c>
      <c r="AK6506">
        <v>42.115803864633797</v>
      </c>
      <c r="AL6506">
        <v>90.863253787307798</v>
      </c>
      <c r="AM6506">
        <v>95.565474998837502</v>
      </c>
      <c r="AN6506">
        <v>0.99999994377305401</v>
      </c>
    </row>
    <row r="6507" spans="1:40" x14ac:dyDescent="0.25">
      <c r="A6507" t="str">
        <f>"20190305135359723"</f>
        <v>20190305135359723</v>
      </c>
      <c r="B6507" t="str">
        <f>"1551765239716155"</f>
        <v>1551765239716155</v>
      </c>
      <c r="C6507" t="s">
        <v>40</v>
      </c>
      <c r="D6507">
        <v>4.6839950000000004</v>
      </c>
      <c r="E6507">
        <v>0.49002980000000002</v>
      </c>
      <c r="F6507" t="s">
        <v>42</v>
      </c>
      <c r="G6507">
        <v>-192.9486</v>
      </c>
      <c r="H6507" s="1">
        <v>-3.1577229999999999E-6</v>
      </c>
      <c r="I6507">
        <v>45.121040000000001</v>
      </c>
      <c r="J6507">
        <v>-187.71690000000001</v>
      </c>
      <c r="K6507">
        <v>1.107124</v>
      </c>
      <c r="L6507">
        <v>3.104584</v>
      </c>
      <c r="M6507">
        <v>3.43392E-3</v>
      </c>
      <c r="N6507">
        <v>-5.2546140000000003E-3</v>
      </c>
      <c r="O6507">
        <v>0.99998030000000004</v>
      </c>
      <c r="P6507">
        <v>-9.3881259999999994E-2</v>
      </c>
      <c r="Q6507">
        <v>-1.951775E-2</v>
      </c>
      <c r="R6507">
        <v>0.9953921</v>
      </c>
      <c r="S6507">
        <v>-0.36665340000000002</v>
      </c>
      <c r="T6507">
        <v>-7.7612879999999995E-2</v>
      </c>
      <c r="U6507">
        <v>2.9777529999999999</v>
      </c>
      <c r="V6507">
        <v>-9.7324659999999993E-2</v>
      </c>
      <c r="W6507">
        <v>-1.4113209999999999E-2</v>
      </c>
      <c r="X6507">
        <v>0.99515260000000005</v>
      </c>
      <c r="Y6507">
        <v>-0.12557939999999901</v>
      </c>
      <c r="Z6507">
        <v>-2.0600170000000001E-2</v>
      </c>
      <c r="AA6507">
        <v>0.99186969999999997</v>
      </c>
      <c r="AB6507">
        <v>47</v>
      </c>
      <c r="AC6507">
        <v>-5.2316999999999796</v>
      </c>
      <c r="AD6507">
        <v>-1.107127157723</v>
      </c>
      <c r="AE6507">
        <v>42.016455999999998</v>
      </c>
      <c r="AF6507">
        <v>-5.3722791911136802</v>
      </c>
      <c r="AG6507">
        <v>-1.107127157723</v>
      </c>
      <c r="AH6507">
        <v>41.96954761197</v>
      </c>
      <c r="AI6507">
        <v>91.498848108253199</v>
      </c>
      <c r="AJ6507">
        <v>97.294434179247304</v>
      </c>
      <c r="AK6507">
        <v>42.326469744169103</v>
      </c>
      <c r="AL6507">
        <v>90.808654227246905</v>
      </c>
      <c r="AM6507">
        <v>95.585691355166901</v>
      </c>
      <c r="AN6507">
        <v>0.99999998471368901</v>
      </c>
    </row>
    <row r="6508" spans="1:40" x14ac:dyDescent="0.25">
      <c r="A6508" t="str">
        <f>"20190305135359756"</f>
        <v>20190305135359756</v>
      </c>
      <c r="B6508" t="str">
        <f>"1551765239746411"</f>
        <v>1551765239746411</v>
      </c>
      <c r="C6508" t="s">
        <v>40</v>
      </c>
      <c r="D6508">
        <v>4.6567460000000001</v>
      </c>
      <c r="E6508">
        <v>0.4906006</v>
      </c>
      <c r="F6508" t="s">
        <v>42</v>
      </c>
      <c r="G6508">
        <v>-193.0444</v>
      </c>
      <c r="H6508" s="1">
        <v>-3.9893920000000001E-6</v>
      </c>
      <c r="I6508">
        <v>47.122889999999998</v>
      </c>
      <c r="J6508">
        <v>-187.7139</v>
      </c>
      <c r="K6508">
        <v>1.1072059999999999</v>
      </c>
      <c r="L6508">
        <v>3.7966609999999998</v>
      </c>
      <c r="M6508">
        <v>4.489102E-3</v>
      </c>
      <c r="N6508">
        <v>-6.198945E-3</v>
      </c>
      <c r="O6508">
        <v>0.99997069999999999</v>
      </c>
      <c r="P6508">
        <v>-9.3893710000000005E-2</v>
      </c>
      <c r="Q6508">
        <v>-1.9140219999999999E-2</v>
      </c>
      <c r="R6508">
        <v>0.99539820000000001</v>
      </c>
      <c r="S6508">
        <v>-0.36047360000000001</v>
      </c>
      <c r="T6508">
        <v>-7.4911950000000005E-2</v>
      </c>
      <c r="U6508">
        <v>2.978424</v>
      </c>
      <c r="V6508">
        <v>-9.838885E-2</v>
      </c>
      <c r="W6508">
        <v>-1.2762539999999999E-2</v>
      </c>
      <c r="X6508">
        <v>0.99506620000000001</v>
      </c>
      <c r="Y6508">
        <v>-0.1245739</v>
      </c>
      <c r="Z6508">
        <v>-1.8755129999999998E-2</v>
      </c>
      <c r="AA6508">
        <v>0.9920331</v>
      </c>
      <c r="AB6508">
        <v>47</v>
      </c>
      <c r="AC6508">
        <v>-5.3304999999999998</v>
      </c>
      <c r="AD6508">
        <v>-1.107209989392</v>
      </c>
      <c r="AE6508">
        <v>43.326228999999998</v>
      </c>
      <c r="AF6508">
        <v>-5.52139381080229</v>
      </c>
      <c r="AG6508">
        <v>-1.107209989392</v>
      </c>
      <c r="AH6508">
        <v>43.274023340199903</v>
      </c>
      <c r="AI6508">
        <v>91.453869849237407</v>
      </c>
      <c r="AJ6508">
        <v>97.271162220240001</v>
      </c>
      <c r="AK6508">
        <v>43.638890907340198</v>
      </c>
      <c r="AL6508">
        <v>90.731259533769602</v>
      </c>
      <c r="AM6508">
        <v>95.646862265788599</v>
      </c>
      <c r="AN6508">
        <v>0.99999999530700701</v>
      </c>
    </row>
    <row r="6509" spans="1:40" x14ac:dyDescent="0.25">
      <c r="A6509" t="str">
        <f>"20190305135359778"</f>
        <v>20190305135359778</v>
      </c>
      <c r="B6509" t="str">
        <f>"1551765239766907"</f>
        <v>1551765239766907</v>
      </c>
      <c r="C6509" t="s">
        <v>40</v>
      </c>
      <c r="D6509">
        <v>4.674982</v>
      </c>
      <c r="E6509">
        <v>0.49113950000000001</v>
      </c>
      <c r="F6509" t="s">
        <v>42</v>
      </c>
      <c r="G6509">
        <v>-193.15119999999999</v>
      </c>
      <c r="H6509" s="1">
        <v>-4.7415649999999997E-6</v>
      </c>
      <c r="I6509">
        <v>49.277549999999998</v>
      </c>
      <c r="J6509">
        <v>-187.7114</v>
      </c>
      <c r="K6509">
        <v>1.107259</v>
      </c>
      <c r="L6509">
        <v>4.2632450000000004</v>
      </c>
      <c r="M6509">
        <v>5.1858019999999998E-3</v>
      </c>
      <c r="N6509">
        <v>-6.9404009999999997E-3</v>
      </c>
      <c r="O6509">
        <v>0.99996240000000003</v>
      </c>
      <c r="P6509">
        <v>-9.3798530000000005E-2</v>
      </c>
      <c r="Q6509">
        <v>-1.8927860000000001E-2</v>
      </c>
      <c r="R6509">
        <v>0.9954113</v>
      </c>
      <c r="S6509">
        <v>-0.35612490000000002</v>
      </c>
      <c r="T6509">
        <v>-7.2519420000000001E-2</v>
      </c>
      <c r="U6509">
        <v>2.978882</v>
      </c>
      <c r="V6509">
        <v>-9.8987389999999995E-2</v>
      </c>
      <c r="W6509">
        <v>-1.178967E-2</v>
      </c>
      <c r="X6509">
        <v>0.99501879999999998</v>
      </c>
      <c r="Y6509">
        <v>-0.1238213</v>
      </c>
      <c r="Z6509">
        <v>-1.721613E-2</v>
      </c>
      <c r="AA6509">
        <v>0.99215520000000001</v>
      </c>
      <c r="AB6509">
        <v>47</v>
      </c>
      <c r="AC6509">
        <v>-5.4397999999999902</v>
      </c>
      <c r="AD6509">
        <v>-1.107263741565</v>
      </c>
      <c r="AE6509">
        <v>45.014305</v>
      </c>
      <c r="AF6509">
        <v>-5.66978655879067</v>
      </c>
      <c r="AG6509">
        <v>-1.107263741565</v>
      </c>
      <c r="AH6509">
        <v>44.958677969581601</v>
      </c>
      <c r="AI6509">
        <v>91.399740189044806</v>
      </c>
      <c r="AJ6509">
        <v>97.187687462614903</v>
      </c>
      <c r="AK6509">
        <v>45.3283050354651</v>
      </c>
      <c r="AL6509">
        <v>90.675514012167795</v>
      </c>
      <c r="AM6509">
        <v>95.681259284837907</v>
      </c>
      <c r="AN6509">
        <v>0.99999995602557901</v>
      </c>
    </row>
    <row r="6510" spans="1:40" x14ac:dyDescent="0.25">
      <c r="A6510" t="str">
        <f>"20190305135359799"</f>
        <v>20190305135359799</v>
      </c>
      <c r="B6510" t="str">
        <f>"1551765239796187"</f>
        <v>1551765239796187</v>
      </c>
      <c r="C6510" t="s">
        <v>40</v>
      </c>
      <c r="D6510">
        <v>4.6478979999999996</v>
      </c>
      <c r="E6510">
        <v>0.49163230000000002</v>
      </c>
      <c r="F6510" t="s">
        <v>42</v>
      </c>
      <c r="G6510">
        <v>-193.21199999999999</v>
      </c>
      <c r="H6510" s="1">
        <v>-1.421749E-6</v>
      </c>
      <c r="I6510">
        <v>50.911079999999998</v>
      </c>
      <c r="J6510">
        <v>-187.70869999999999</v>
      </c>
      <c r="K6510">
        <v>1.1073059999999999</v>
      </c>
      <c r="L6510">
        <v>4.6996460000000004</v>
      </c>
      <c r="M6510">
        <v>5.846604E-3</v>
      </c>
      <c r="N6510">
        <v>-7.6094730000000003E-3</v>
      </c>
      <c r="O6510">
        <v>0.99995400000000001</v>
      </c>
      <c r="P6510">
        <v>-9.4340670000000001E-2</v>
      </c>
      <c r="Q6510">
        <v>-1.8101079999999999E-2</v>
      </c>
      <c r="R6510">
        <v>0.99537540000000002</v>
      </c>
      <c r="S6510">
        <v>-0.35131839999999998</v>
      </c>
      <c r="T6510">
        <v>-7.0720080000000005E-2</v>
      </c>
      <c r="U6510">
        <v>2.9793699999999999</v>
      </c>
      <c r="V6510">
        <v>-0.1001851</v>
      </c>
      <c r="W6510">
        <v>-1.0277949999999999E-2</v>
      </c>
      <c r="X6510">
        <v>0.99491569999999996</v>
      </c>
      <c r="Y6510">
        <v>-0.1228808</v>
      </c>
      <c r="Z6510">
        <v>-1.5947179999999998E-2</v>
      </c>
      <c r="AA6510">
        <v>0.99229330000000004</v>
      </c>
      <c r="AB6510">
        <v>47</v>
      </c>
      <c r="AC6510">
        <v>-5.5033000000000198</v>
      </c>
      <c r="AD6510">
        <v>-1.107307421749</v>
      </c>
      <c r="AE6510">
        <v>46.211433999999997</v>
      </c>
      <c r="AF6510">
        <v>-5.7701270181175701</v>
      </c>
      <c r="AG6510">
        <v>-1.107307421749</v>
      </c>
      <c r="AH6510">
        <v>46.152339040072199</v>
      </c>
      <c r="AI6510">
        <v>91.363788895239693</v>
      </c>
      <c r="AJ6510">
        <v>97.126342152326004</v>
      </c>
      <c r="AK6510">
        <v>46.524820197409099</v>
      </c>
      <c r="AL6510">
        <v>90.588893542924794</v>
      </c>
      <c r="AM6510">
        <v>95.750134368419907</v>
      </c>
      <c r="AN6510">
        <v>0.99999997031235</v>
      </c>
    </row>
    <row r="6511" spans="1:40" x14ac:dyDescent="0.25">
      <c r="A6511" t="str">
        <f>"20190305135359821"</f>
        <v>20190305135359821</v>
      </c>
      <c r="B6511" t="str">
        <f>"1551765239816684"</f>
        <v>1551765239816684</v>
      </c>
      <c r="C6511" t="s">
        <v>40</v>
      </c>
      <c r="D6511">
        <v>4.6495709999999999</v>
      </c>
      <c r="E6511">
        <v>0.4917183</v>
      </c>
      <c r="F6511" t="s">
        <v>42</v>
      </c>
      <c r="G6511">
        <v>-193.39519999999999</v>
      </c>
      <c r="H6511" s="1">
        <v>-2.4633589999999999E-6</v>
      </c>
      <c r="I6511">
        <v>53.225430000000003</v>
      </c>
      <c r="J6511">
        <v>-187.7054</v>
      </c>
      <c r="K6511">
        <v>1.1073440000000001</v>
      </c>
      <c r="L6511">
        <v>5.1851200000000004</v>
      </c>
      <c r="M6511">
        <v>6.6020200000000001E-3</v>
      </c>
      <c r="N6511">
        <v>-8.2891500000000003E-3</v>
      </c>
      <c r="O6511">
        <v>0.9999439</v>
      </c>
      <c r="P6511">
        <v>-9.3815999999999997E-2</v>
      </c>
      <c r="Q6511">
        <v>-1.6242220000000002E-2</v>
      </c>
      <c r="R6511">
        <v>0.99545709999999998</v>
      </c>
      <c r="S6511">
        <v>-0.3491669</v>
      </c>
      <c r="T6511">
        <v>-6.799173E-2</v>
      </c>
      <c r="U6511">
        <v>2.9796140000000002</v>
      </c>
      <c r="V6511">
        <v>-0.1004071</v>
      </c>
      <c r="W6511">
        <v>-7.7275039999999996E-3</v>
      </c>
      <c r="X6511">
        <v>0.99491640000000003</v>
      </c>
      <c r="Y6511">
        <v>-0.122916</v>
      </c>
      <c r="Z6511">
        <v>-1.435737E-2</v>
      </c>
      <c r="AA6511">
        <v>0.99231320000000001</v>
      </c>
      <c r="AB6511">
        <v>47</v>
      </c>
      <c r="AC6511">
        <v>-5.6897999999999902</v>
      </c>
      <c r="AD6511">
        <v>-1.107346463359</v>
      </c>
      <c r="AE6511">
        <v>48.040309999999998</v>
      </c>
      <c r="AF6511">
        <v>-6.0037042031994998</v>
      </c>
      <c r="AG6511">
        <v>-1.107346463359</v>
      </c>
      <c r="AH6511">
        <v>47.976559261260498</v>
      </c>
      <c r="AI6511">
        <v>91.311979519800602</v>
      </c>
      <c r="AJ6511">
        <v>97.132817300291904</v>
      </c>
      <c r="AK6511">
        <v>48.363425425611297</v>
      </c>
      <c r="AL6511">
        <v>90.442757784552001</v>
      </c>
      <c r="AM6511">
        <v>95.762786389612103</v>
      </c>
      <c r="AN6511">
        <v>0.999999971518719</v>
      </c>
    </row>
    <row r="6512" spans="1:40" x14ac:dyDescent="0.25">
      <c r="A6512" t="str">
        <f>"20190305135359846"</f>
        <v>20190305135359846</v>
      </c>
      <c r="B6512" t="str">
        <f>"1551765239836203"</f>
        <v>1551765239836203</v>
      </c>
      <c r="C6512" t="s">
        <v>40</v>
      </c>
      <c r="D6512">
        <v>4.6077839999999997</v>
      </c>
      <c r="E6512">
        <v>0.49182779999999998</v>
      </c>
      <c r="F6512" t="s">
        <v>42</v>
      </c>
      <c r="G6512">
        <v>-193.79689999999999</v>
      </c>
      <c r="H6512" s="1">
        <v>-4.253606E-6</v>
      </c>
      <c r="I6512">
        <v>57.507089999999998</v>
      </c>
      <c r="J6512">
        <v>-187.7013</v>
      </c>
      <c r="K6512">
        <v>1.1073679999999999</v>
      </c>
      <c r="L6512">
        <v>5.7089840000000001</v>
      </c>
      <c r="M6512">
        <v>7.4375869999999998E-3</v>
      </c>
      <c r="N6512">
        <v>-8.942162E-3</v>
      </c>
      <c r="O6512">
        <v>0.9999323</v>
      </c>
      <c r="P6512">
        <v>-9.2954090000000003E-2</v>
      </c>
      <c r="Q6512">
        <v>-1.54714E-2</v>
      </c>
      <c r="R6512">
        <v>0.99555020000000005</v>
      </c>
      <c r="S6512">
        <v>-0.346939099999999</v>
      </c>
      <c r="T6512">
        <v>-6.3068630000000001E-2</v>
      </c>
      <c r="U6512">
        <v>2.9799799999999999</v>
      </c>
      <c r="V6512">
        <v>-0.1003744</v>
      </c>
      <c r="W6512">
        <v>-6.2956059999999996E-3</v>
      </c>
      <c r="X6512">
        <v>0.99492979999999998</v>
      </c>
      <c r="Y6512">
        <v>-0.1230021</v>
      </c>
      <c r="Z6512">
        <v>-1.2062369999999999E-2</v>
      </c>
      <c r="AA6512">
        <v>0.99233309999999997</v>
      </c>
      <c r="AB6512">
        <v>47</v>
      </c>
      <c r="AC6512">
        <v>-6.0955999999999904</v>
      </c>
      <c r="AD6512">
        <v>-1.107372253606</v>
      </c>
      <c r="AE6512">
        <v>51.798105999999997</v>
      </c>
      <c r="AF6512">
        <v>-6.4777795328006604</v>
      </c>
      <c r="AG6512">
        <v>-1.107372253606</v>
      </c>
      <c r="AH6512">
        <v>51.728015694407702</v>
      </c>
      <c r="AI6512">
        <v>91.216875850637706</v>
      </c>
      <c r="AJ6512">
        <v>97.1378605466886</v>
      </c>
      <c r="AK6512">
        <v>52.143796454271701</v>
      </c>
      <c r="AL6512">
        <v>90.360714042997301</v>
      </c>
      <c r="AM6512">
        <v>95.760845156688902</v>
      </c>
      <c r="AN6512">
        <v>0.99999998087915298</v>
      </c>
    </row>
    <row r="6513" spans="1:40" x14ac:dyDescent="0.25">
      <c r="A6513" t="str">
        <f>"20190305135359869"</f>
        <v>20190305135359869</v>
      </c>
      <c r="B6513" t="str">
        <f>"1551765239866459"</f>
        <v>1551765239866459</v>
      </c>
      <c r="C6513" t="s">
        <v>40</v>
      </c>
      <c r="D6513">
        <v>4.6107719999999999</v>
      </c>
      <c r="E6513">
        <v>0.49200559999999899</v>
      </c>
      <c r="F6513" t="s">
        <v>42</v>
      </c>
      <c r="G6513">
        <v>-193.90090000000001</v>
      </c>
      <c r="H6513" s="1">
        <v>-4.9574409999999998E-6</v>
      </c>
      <c r="I6513">
        <v>59.521099999999997</v>
      </c>
      <c r="J6513">
        <v>-187.69710000000001</v>
      </c>
      <c r="K6513">
        <v>1.107386</v>
      </c>
      <c r="L6513">
        <v>6.1896360000000001</v>
      </c>
      <c r="M6513">
        <v>8.2141899999999997E-3</v>
      </c>
      <c r="N6513">
        <v>-9.4709200000000007E-3</v>
      </c>
      <c r="O6513">
        <v>0.99992139999999996</v>
      </c>
      <c r="P6513">
        <v>-9.1629810000000006E-2</v>
      </c>
      <c r="Q6513">
        <v>-1.494638E-2</v>
      </c>
      <c r="R6513">
        <v>0.99568100000000004</v>
      </c>
      <c r="S6513">
        <v>-0.34336850000000002</v>
      </c>
      <c r="T6513">
        <v>-6.1332350000000001E-2</v>
      </c>
      <c r="U6513">
        <v>2.9804080000000002</v>
      </c>
      <c r="V6513">
        <v>-9.9820870000000006E-2</v>
      </c>
      <c r="W6513">
        <v>-5.2383880000000001E-3</v>
      </c>
      <c r="X6513">
        <v>0.99499170000000003</v>
      </c>
      <c r="Y6513">
        <v>-0.122584</v>
      </c>
      <c r="Z6513">
        <v>-1.095369E-2</v>
      </c>
      <c r="AA6513">
        <v>0.99239770000000005</v>
      </c>
      <c r="AB6513">
        <v>47</v>
      </c>
      <c r="AC6513">
        <v>-6.2038000000000002</v>
      </c>
      <c r="AD6513">
        <v>-1.1073909574409999</v>
      </c>
      <c r="AE6513">
        <v>53.331463999999997</v>
      </c>
      <c r="AF6513">
        <v>-6.6388609427708802</v>
      </c>
      <c r="AG6513">
        <v>-1.1073909574409999</v>
      </c>
      <c r="AH6513">
        <v>53.256047984025599</v>
      </c>
      <c r="AI6513">
        <v>91.182073666084705</v>
      </c>
      <c r="AJ6513">
        <v>97.105794427159495</v>
      </c>
      <c r="AK6513">
        <v>53.679674330484801</v>
      </c>
      <c r="AL6513">
        <v>90.300138877044304</v>
      </c>
      <c r="AM6513">
        <v>95.728933965766203</v>
      </c>
      <c r="AN6513">
        <v>1.0000000649326399</v>
      </c>
    </row>
    <row r="6514" spans="1:40" x14ac:dyDescent="0.25">
      <c r="A6514" t="str">
        <f>"20190305135359890"</f>
        <v>20190305135359890</v>
      </c>
      <c r="B6514" t="str">
        <f>"1551765239886955"</f>
        <v>1551765239886955</v>
      </c>
      <c r="C6514" t="s">
        <v>40</v>
      </c>
      <c r="D6514">
        <v>4.6018330000000001</v>
      </c>
      <c r="E6514">
        <v>0.4920833</v>
      </c>
      <c r="F6514" t="s">
        <v>42</v>
      </c>
      <c r="G6514">
        <v>-193.7774</v>
      </c>
      <c r="H6514" s="1">
        <v>-1.099161E-6</v>
      </c>
      <c r="I6514">
        <v>59.808410000000002</v>
      </c>
      <c r="J6514">
        <v>-187.69300000000001</v>
      </c>
      <c r="K6514">
        <v>1.107397</v>
      </c>
      <c r="L6514">
        <v>6.6200869999999998</v>
      </c>
      <c r="M6514">
        <v>8.9124559999999992E-3</v>
      </c>
      <c r="N6514">
        <v>-9.8969139999999997E-3</v>
      </c>
      <c r="O6514">
        <v>0.99991129999999995</v>
      </c>
      <c r="P6514">
        <v>-9.0822490000000006E-2</v>
      </c>
      <c r="Q6514">
        <v>-1.425702E-2</v>
      </c>
      <c r="R6514">
        <v>0.99576500000000001</v>
      </c>
      <c r="S6514">
        <v>-0.33804319999999999</v>
      </c>
      <c r="T6514">
        <v>-6.156623E-2</v>
      </c>
      <c r="U6514">
        <v>2.980988</v>
      </c>
      <c r="V6514">
        <v>-9.970656E-2</v>
      </c>
      <c r="W6514">
        <v>-4.120805E-3</v>
      </c>
      <c r="X6514">
        <v>0.99500829999999996</v>
      </c>
      <c r="Y6514">
        <v>-0.1215046</v>
      </c>
      <c r="Z6514">
        <v>-1.060435E-2</v>
      </c>
      <c r="AA6514">
        <v>0.99253420000000003</v>
      </c>
      <c r="AB6514">
        <v>47</v>
      </c>
      <c r="AC6514">
        <v>-6.0844000000000102</v>
      </c>
      <c r="AD6514">
        <v>-1.107398099161</v>
      </c>
      <c r="AE6514">
        <v>53.188322999999997</v>
      </c>
      <c r="AF6514">
        <v>-6.5554151581829601</v>
      </c>
      <c r="AG6514">
        <v>-1.107398099161</v>
      </c>
      <c r="AH6514">
        <v>53.109255984336301</v>
      </c>
      <c r="AI6514">
        <v>91.185525178736995</v>
      </c>
      <c r="AJ6514">
        <v>97.036577283447002</v>
      </c>
      <c r="AK6514">
        <v>53.523759860980597</v>
      </c>
      <c r="AL6514">
        <v>90.236105415171295</v>
      </c>
      <c r="AM6514">
        <v>95.7223221995702</v>
      </c>
      <c r="AN6514">
        <v>0.99999994810488402</v>
      </c>
    </row>
    <row r="6515" spans="1:40" x14ac:dyDescent="0.25">
      <c r="A6515" t="str">
        <f>"20190305135359911"</f>
        <v>20190305135359911</v>
      </c>
      <c r="B6515" t="str">
        <f>"1551765239906475"</f>
        <v>1551765239906475</v>
      </c>
      <c r="C6515" t="s">
        <v>40</v>
      </c>
      <c r="D6515">
        <v>5.2422680000000001</v>
      </c>
      <c r="E6515">
        <v>0.49218840000000003</v>
      </c>
      <c r="F6515" t="s">
        <v>42</v>
      </c>
      <c r="G6515">
        <v>-193.81319999999999</v>
      </c>
      <c r="H6515" s="1">
        <v>-1.6599519999999999E-6</v>
      </c>
      <c r="I6515">
        <v>61.093440000000001</v>
      </c>
      <c r="J6515">
        <v>-187.6884</v>
      </c>
      <c r="K6515">
        <v>1.1074090000000001</v>
      </c>
      <c r="L6515">
        <v>7.0725399999999903</v>
      </c>
      <c r="M6515">
        <v>9.6450049999999999E-3</v>
      </c>
      <c r="N6515">
        <v>-1.0296680000000001E-2</v>
      </c>
      <c r="O6515">
        <v>0.99990049999999997</v>
      </c>
      <c r="P6515">
        <v>-9.0263969999999999E-2</v>
      </c>
      <c r="Q6515">
        <v>-1.441452E-2</v>
      </c>
      <c r="R6515">
        <v>0.99581350000000002</v>
      </c>
      <c r="S6515">
        <v>-0.33496090000000001</v>
      </c>
      <c r="T6515">
        <v>-6.0608509999999997E-2</v>
      </c>
      <c r="U6515">
        <v>2.9813540000000001</v>
      </c>
      <c r="V6515">
        <v>-9.9876980000000004E-2</v>
      </c>
      <c r="W6515">
        <v>-3.8771140000000001E-3</v>
      </c>
      <c r="X6515">
        <v>0.99499230000000005</v>
      </c>
      <c r="Y6515">
        <v>-0.1212051</v>
      </c>
      <c r="Z6515">
        <v>-9.8839800000000005E-3</v>
      </c>
      <c r="AA6515">
        <v>0.99257830000000002</v>
      </c>
      <c r="AB6515">
        <v>47</v>
      </c>
      <c r="AC6515">
        <v>-6.1247999999999898</v>
      </c>
      <c r="AD6515">
        <v>-1.1074106599519999</v>
      </c>
      <c r="AE6515">
        <v>54.020899999999997</v>
      </c>
      <c r="AF6515">
        <v>-6.6428184123697598</v>
      </c>
      <c r="AG6515">
        <v>-1.1074106599519999</v>
      </c>
      <c r="AH6515">
        <v>53.936931542925798</v>
      </c>
      <c r="AI6515">
        <v>91.167390095704505</v>
      </c>
      <c r="AJ6515">
        <v>97.021134041293706</v>
      </c>
      <c r="AK6515">
        <v>54.355735475621699</v>
      </c>
      <c r="AL6515">
        <v>90.222142812084201</v>
      </c>
      <c r="AM6515">
        <v>95.732129366812501</v>
      </c>
      <c r="AN6515">
        <v>1.0000000601030801</v>
      </c>
    </row>
    <row r="6516" spans="1:40" x14ac:dyDescent="0.25">
      <c r="A6516" t="str">
        <f>"20190305135359934"</f>
        <v>20190305135359934</v>
      </c>
      <c r="B6516" t="str">
        <f>"1551765239926972"</f>
        <v>1551765239926972</v>
      </c>
      <c r="C6516" t="s">
        <v>40</v>
      </c>
      <c r="D6516">
        <v>5.6158859999999997</v>
      </c>
      <c r="E6516">
        <v>0.52188400000000001</v>
      </c>
      <c r="F6516" t="s">
        <v>42</v>
      </c>
      <c r="G6516">
        <v>-193.7372</v>
      </c>
      <c r="H6516" s="1">
        <v>-1.7358799999999901E-6</v>
      </c>
      <c r="I6516">
        <v>61.31756</v>
      </c>
      <c r="J6516">
        <v>-187.68289999999999</v>
      </c>
      <c r="K6516">
        <v>1.1074200000000001</v>
      </c>
      <c r="L6516">
        <v>7.5783389999999997</v>
      </c>
      <c r="M6516">
        <v>1.0457940000000001E-2</v>
      </c>
      <c r="N6516">
        <v>-1.068976E-2</v>
      </c>
      <c r="O6516">
        <v>0.9998882</v>
      </c>
      <c r="P6516">
        <v>-8.9739199999999894E-2</v>
      </c>
      <c r="Q6516">
        <v>-1.4528360000000001E-2</v>
      </c>
      <c r="R6516">
        <v>0.9958593</v>
      </c>
      <c r="S6516">
        <v>-0.33247379999999999</v>
      </c>
      <c r="T6516">
        <v>-6.0869220000000002E-2</v>
      </c>
      <c r="U6516">
        <v>2.981598</v>
      </c>
      <c r="V6516">
        <v>-0.10016029999999999</v>
      </c>
      <c r="W6516">
        <v>-3.59772E-3</v>
      </c>
      <c r="X6516">
        <v>0.99496479999999998</v>
      </c>
      <c r="Y6516">
        <v>-0.12118470000000001</v>
      </c>
      <c r="Z6516">
        <v>-9.5761160000000008E-3</v>
      </c>
      <c r="AA6516">
        <v>0.99258380000000002</v>
      </c>
      <c r="AB6516">
        <v>47</v>
      </c>
      <c r="AC6516">
        <v>-6.0543000000000102</v>
      </c>
      <c r="AD6516">
        <v>-1.10742173588</v>
      </c>
      <c r="AE6516">
        <v>53.739220999999901</v>
      </c>
      <c r="AF6516">
        <v>-6.61322933712131</v>
      </c>
      <c r="AG6516">
        <v>-1.10742173588</v>
      </c>
      <c r="AH6516">
        <v>53.650465012519099</v>
      </c>
      <c r="AI6516">
        <v>91.173618260734301</v>
      </c>
      <c r="AJ6516">
        <v>97.027121733013999</v>
      </c>
      <c r="AK6516">
        <v>54.067860890051797</v>
      </c>
      <c r="AL6516">
        <v>90.206134618359499</v>
      </c>
      <c r="AM6516">
        <v>95.748438713942093</v>
      </c>
      <c r="AN6516">
        <v>0.99999999126216399</v>
      </c>
    </row>
    <row r="6517" spans="1:40" x14ac:dyDescent="0.25">
      <c r="A6517" t="str">
        <f>"20190305135359957"</f>
        <v>20190305135359957</v>
      </c>
      <c r="B6517" t="str">
        <f>"1551765239946494"</f>
        <v>1551765239946494</v>
      </c>
      <c r="C6517" t="s">
        <v>40</v>
      </c>
      <c r="D6517">
        <v>4.6598470000000001</v>
      </c>
      <c r="E6517">
        <v>0.53045240000000005</v>
      </c>
      <c r="F6517" t="s">
        <v>42</v>
      </c>
      <c r="G6517">
        <v>-188.32079999999999</v>
      </c>
      <c r="H6517" s="1">
        <v>-3.9914329999999999E-6</v>
      </c>
      <c r="I6517">
        <v>28.24258</v>
      </c>
      <c r="J6517">
        <v>-187.67750000000001</v>
      </c>
      <c r="K6517">
        <v>1.107443</v>
      </c>
      <c r="L6517">
        <v>8.038513</v>
      </c>
      <c r="M6517">
        <v>1.118763E-2</v>
      </c>
      <c r="N6517">
        <v>-1.100303E-2</v>
      </c>
      <c r="O6517">
        <v>0.99987689999999996</v>
      </c>
      <c r="P6517">
        <v>-8.9582179999999997E-2</v>
      </c>
      <c r="Q6517">
        <v>-1.463917E-2</v>
      </c>
      <c r="R6517">
        <v>0.99587179999999997</v>
      </c>
      <c r="S6517">
        <v>-9.266663E-2</v>
      </c>
      <c r="T6517">
        <v>-0.16086889999999901</v>
      </c>
      <c r="U6517">
        <v>3.00177</v>
      </c>
      <c r="V6517">
        <v>-0.1007292</v>
      </c>
      <c r="W6517">
        <v>-3.3959580000000001E-3</v>
      </c>
      <c r="X6517">
        <v>0.99490809999999996</v>
      </c>
      <c r="Y6517">
        <v>-4.199423E-2</v>
      </c>
      <c r="Z6517">
        <v>-4.2480820000000002E-2</v>
      </c>
      <c r="AA6517">
        <v>0.99821439999999995</v>
      </c>
      <c r="AB6517">
        <v>47</v>
      </c>
      <c r="AC6517">
        <v>-0.643299999999982</v>
      </c>
      <c r="AD6517">
        <v>-1.1074469914329901</v>
      </c>
      <c r="AE6517">
        <v>20.204066999999998</v>
      </c>
      <c r="AF6517">
        <v>-0.866707677607087</v>
      </c>
      <c r="AG6517">
        <v>-1.1074469914329901</v>
      </c>
      <c r="AH6517">
        <v>20.135170660737899</v>
      </c>
      <c r="AI6517">
        <v>93.1452252860702</v>
      </c>
      <c r="AJ6517">
        <v>92.464744761535002</v>
      </c>
      <c r="AK6517">
        <v>20.184219543353599</v>
      </c>
      <c r="AL6517">
        <v>90.194574431709299</v>
      </c>
      <c r="AM6517">
        <v>95.781195947966296</v>
      </c>
      <c r="AN6517">
        <v>1.0000000158544899</v>
      </c>
    </row>
    <row r="6518" spans="1:40" x14ac:dyDescent="0.25">
      <c r="A6518" t="str">
        <f>"20190305135359978"</f>
        <v>20190305135359978</v>
      </c>
      <c r="B6518" t="str">
        <f>"1551765239966013"</f>
        <v>1551765239966013</v>
      </c>
      <c r="C6518" t="s">
        <v>40</v>
      </c>
      <c r="D6518">
        <v>4.6244610000000002</v>
      </c>
      <c r="E6518">
        <v>0.53321019999999997</v>
      </c>
      <c r="F6518" t="s">
        <v>42</v>
      </c>
      <c r="G6518">
        <v>-187.84520000000001</v>
      </c>
      <c r="H6518" s="1">
        <v>-4.3225300000000001E-6</v>
      </c>
      <c r="I6518">
        <v>28.817710000000002</v>
      </c>
      <c r="J6518">
        <v>-187.67189999999999</v>
      </c>
      <c r="K6518">
        <v>1.1074569999999999</v>
      </c>
      <c r="L6518">
        <v>8.4914249999999996</v>
      </c>
      <c r="M6518">
        <v>1.18897E-2</v>
      </c>
      <c r="N6518">
        <v>-1.127364E-2</v>
      </c>
      <c r="O6518">
        <v>0.99986580000000003</v>
      </c>
      <c r="P6518">
        <v>-8.9678880000000002E-2</v>
      </c>
      <c r="Q6518">
        <v>-1.4121069999999999E-2</v>
      </c>
      <c r="R6518">
        <v>0.99587060000000005</v>
      </c>
      <c r="S6518">
        <v>-2.427673E-2</v>
      </c>
      <c r="T6518">
        <v>-0.16030910000000001</v>
      </c>
      <c r="U6518">
        <v>3.0079039999999999</v>
      </c>
      <c r="V6518">
        <v>-0.10152220000000001</v>
      </c>
      <c r="W6518">
        <v>-2.6089529999999998E-3</v>
      </c>
      <c r="X6518">
        <v>0.99482979999999999</v>
      </c>
      <c r="Y6518">
        <v>-1.9945850000000001E-2</v>
      </c>
      <c r="Z6518">
        <v>-4.1947030000000003E-2</v>
      </c>
      <c r="AA6518">
        <v>0.99892069999999999</v>
      </c>
      <c r="AB6518">
        <v>47</v>
      </c>
      <c r="AC6518">
        <v>-0.173300000000011</v>
      </c>
      <c r="AD6518">
        <v>-1.1074613225299901</v>
      </c>
      <c r="AE6518">
        <v>20.326284999999999</v>
      </c>
      <c r="AF6518">
        <v>-0.41374839496310001</v>
      </c>
      <c r="AG6518">
        <v>-1.1074613225299901</v>
      </c>
      <c r="AH6518">
        <v>20.262641596587599</v>
      </c>
      <c r="AI6518">
        <v>93.127756344445203</v>
      </c>
      <c r="AJ6518">
        <v>91.169775559861094</v>
      </c>
      <c r="AK6518">
        <v>20.297100846845002</v>
      </c>
      <c r="AL6518">
        <v>90.149482173297201</v>
      </c>
      <c r="AM6518">
        <v>95.826852470324397</v>
      </c>
      <c r="AN6518">
        <v>0.99999994734831599</v>
      </c>
    </row>
    <row r="6519" spans="1:40" x14ac:dyDescent="0.25">
      <c r="A6519" t="str">
        <f>"20190305135400002"</f>
        <v>20190305135400002</v>
      </c>
      <c r="B6519" t="str">
        <f>"1551765239996267"</f>
        <v>1551765239996267</v>
      </c>
      <c r="C6519" t="s">
        <v>40</v>
      </c>
      <c r="D6519">
        <v>4.6897019999999996</v>
      </c>
      <c r="E6519">
        <v>0.53449060000000004</v>
      </c>
      <c r="F6519" t="s">
        <v>42</v>
      </c>
      <c r="G6519">
        <v>-187.68979999999999</v>
      </c>
      <c r="H6519" s="1">
        <v>-4.5227699999999997E-6</v>
      </c>
      <c r="I6519">
        <v>29.22024</v>
      </c>
      <c r="J6519">
        <v>-187.66560000000001</v>
      </c>
      <c r="K6519">
        <v>1.1074759999999999</v>
      </c>
      <c r="L6519">
        <v>8.9739380000000004</v>
      </c>
      <c r="M6519">
        <v>1.2610140000000001E-2</v>
      </c>
      <c r="N6519">
        <v>-1.152563E-2</v>
      </c>
      <c r="O6519">
        <v>0.99985409999999997</v>
      </c>
      <c r="P6519">
        <v>-8.9944830000000003E-2</v>
      </c>
      <c r="Q6519">
        <v>-1.4387E-2</v>
      </c>
      <c r="R6519">
        <v>0.99584280000000003</v>
      </c>
      <c r="S6519">
        <v>-2.6092530000000002E-3</v>
      </c>
      <c r="T6519">
        <v>-0.16080839999999999</v>
      </c>
      <c r="U6519">
        <v>3.0099179999999999</v>
      </c>
      <c r="V6519">
        <v>-0.1025046</v>
      </c>
      <c r="W6519">
        <v>-2.6267690000000002E-3</v>
      </c>
      <c r="X6519">
        <v>0.99472899999999997</v>
      </c>
      <c r="Y6519">
        <v>-1.347199E-2</v>
      </c>
      <c r="Z6519">
        <v>-4.1828480000000001E-2</v>
      </c>
      <c r="AA6519">
        <v>0.99903399999999998</v>
      </c>
      <c r="AB6519">
        <v>47</v>
      </c>
      <c r="AC6519">
        <v>-2.4199999999979099E-2</v>
      </c>
      <c r="AD6519">
        <v>-1.10748052277</v>
      </c>
      <c r="AE6519">
        <v>20.246302</v>
      </c>
      <c r="AF6519">
        <v>-0.278689852074821</v>
      </c>
      <c r="AG6519">
        <v>-1.10748052277</v>
      </c>
      <c r="AH6519">
        <v>20.1839937068411</v>
      </c>
      <c r="AI6519">
        <v>93.140328274530901</v>
      </c>
      <c r="AJ6519">
        <v>90.791059387683703</v>
      </c>
      <c r="AK6519">
        <v>20.216275203403999</v>
      </c>
      <c r="AL6519">
        <v>90.150502959835194</v>
      </c>
      <c r="AM6519">
        <v>95.883435563385106</v>
      </c>
      <c r="AN6519">
        <v>0.99999993818876698</v>
      </c>
    </row>
    <row r="6520" spans="1:40" x14ac:dyDescent="0.25">
      <c r="A6520" t="str">
        <f>"20190305135400024"</f>
        <v>20190305135400024</v>
      </c>
      <c r="B6520" t="str">
        <f>"1551765240016764"</f>
        <v>1551765240016764</v>
      </c>
      <c r="C6520" t="s">
        <v>40</v>
      </c>
      <c r="D6520">
        <v>4.5489360000000003</v>
      </c>
      <c r="E6520">
        <v>0.53457919999999903</v>
      </c>
      <c r="F6520" t="s">
        <v>42</v>
      </c>
      <c r="G6520">
        <v>-187.61959999999999</v>
      </c>
      <c r="H6520" s="1">
        <v>-4.6052109999999996E-6</v>
      </c>
      <c r="I6520">
        <v>29.383389999999999</v>
      </c>
      <c r="J6520">
        <v>-187.65880000000001</v>
      </c>
      <c r="K6520">
        <v>1.1075090000000001</v>
      </c>
      <c r="L6520">
        <v>9.4615779999999994</v>
      </c>
      <c r="M6520">
        <v>1.329602E-2</v>
      </c>
      <c r="N6520">
        <v>-1.174628E-2</v>
      </c>
      <c r="O6520">
        <v>0.99984260000000003</v>
      </c>
      <c r="P6520">
        <v>-8.9976020000000004E-2</v>
      </c>
      <c r="Q6520">
        <v>-1.4812860000000001E-2</v>
      </c>
      <c r="R6520">
        <v>0.99583379999999999</v>
      </c>
      <c r="S6520">
        <v>6.7749019999999898E-3</v>
      </c>
      <c r="T6520">
        <v>-0.16337389999999999</v>
      </c>
      <c r="U6520">
        <v>3.0107729999999999</v>
      </c>
      <c r="V6520">
        <v>-0.1032179</v>
      </c>
      <c r="W6520">
        <v>-2.8392109999999999E-3</v>
      </c>
      <c r="X6520">
        <v>0.9946547</v>
      </c>
      <c r="Y6520">
        <v>-1.104463E-2</v>
      </c>
      <c r="Z6520">
        <v>-4.2441920000000001E-2</v>
      </c>
      <c r="AA6520">
        <v>0.99903790000000003</v>
      </c>
      <c r="AB6520">
        <v>47</v>
      </c>
      <c r="AC6520">
        <v>3.92000000000223E-2</v>
      </c>
      <c r="AD6520">
        <v>-1.107513605211</v>
      </c>
      <c r="AE6520">
        <v>19.921811999999999</v>
      </c>
      <c r="AF6520">
        <v>-0.22500715319848499</v>
      </c>
      <c r="AG6520">
        <v>-1.107513605211</v>
      </c>
      <c r="AH6520">
        <v>19.859195726114901</v>
      </c>
      <c r="AI6520">
        <v>93.191777450863995</v>
      </c>
      <c r="AJ6520">
        <v>90.649140519307096</v>
      </c>
      <c r="AK6520">
        <v>19.891326489021701</v>
      </c>
      <c r="AL6520">
        <v>90.162675028588694</v>
      </c>
      <c r="AM6520">
        <v>95.924525906000795</v>
      </c>
      <c r="AN6520">
        <v>0.99999998411580104</v>
      </c>
    </row>
    <row r="6521" spans="1:40" x14ac:dyDescent="0.25">
      <c r="A6521" t="str">
        <f>"20190305135400047"</f>
        <v>20190305135400047</v>
      </c>
      <c r="B6521" t="str">
        <f>"1551765240036283"</f>
        <v>1551765240036283</v>
      </c>
      <c r="C6521" t="s">
        <v>40</v>
      </c>
      <c r="D6521">
        <v>4.665794</v>
      </c>
      <c r="E6521">
        <v>0.53489739999999997</v>
      </c>
      <c r="F6521" t="s">
        <v>42</v>
      </c>
      <c r="G6521">
        <v>-187.61170000000001</v>
      </c>
      <c r="H6521" s="1">
        <v>-4.3214629999999997E-6</v>
      </c>
      <c r="I6521">
        <v>28.718679999999999</v>
      </c>
      <c r="J6521">
        <v>-187.65180000000001</v>
      </c>
      <c r="K6521">
        <v>1.1075630000000001</v>
      </c>
      <c r="L6521">
        <v>9.9465330000000005</v>
      </c>
      <c r="M6521">
        <v>1.391392E-2</v>
      </c>
      <c r="N6521">
        <v>-1.182092E-2</v>
      </c>
      <c r="O6521">
        <v>0.99983330000000004</v>
      </c>
      <c r="P6521">
        <v>-8.9989830000000007E-2</v>
      </c>
      <c r="Q6521">
        <v>-1.518807E-2</v>
      </c>
      <c r="R6521">
        <v>0.99582680000000001</v>
      </c>
      <c r="S6521">
        <v>7.3699949999999998E-3</v>
      </c>
      <c r="T6521">
        <v>-0.17314839999999901</v>
      </c>
      <c r="U6521">
        <v>3.0106510000000002</v>
      </c>
      <c r="V6521">
        <v>-0.1038467</v>
      </c>
      <c r="W6521">
        <v>-3.1592059999999999E-3</v>
      </c>
      <c r="X6521">
        <v>0.99458829999999998</v>
      </c>
      <c r="Y6521">
        <v>-1.146497E-2</v>
      </c>
      <c r="Z6521">
        <v>-4.5601540000000003E-2</v>
      </c>
      <c r="AA6521">
        <v>0.9988939</v>
      </c>
      <c r="AB6521">
        <v>47</v>
      </c>
      <c r="AC6521">
        <v>4.0099999999995299E-2</v>
      </c>
      <c r="AD6521">
        <v>-1.10756732146299</v>
      </c>
      <c r="AE6521">
        <v>18.772147</v>
      </c>
      <c r="AF6521">
        <v>-0.22034924310124801</v>
      </c>
      <c r="AG6521">
        <v>-1.10756732146299</v>
      </c>
      <c r="AH6521">
        <v>18.705771781398798</v>
      </c>
      <c r="AI6521">
        <v>93.388288061065396</v>
      </c>
      <c r="AJ6521">
        <v>90.674898522362994</v>
      </c>
      <c r="AK6521">
        <v>18.739828096817799</v>
      </c>
      <c r="AL6521">
        <v>90.181009471131503</v>
      </c>
      <c r="AM6521">
        <v>95.960753929906303</v>
      </c>
      <c r="AN6521">
        <v>1.00000000209016</v>
      </c>
    </row>
    <row r="6522" spans="1:40" x14ac:dyDescent="0.25">
      <c r="A6522" t="str">
        <f>"20190305135400070"</f>
        <v>20190305135400070</v>
      </c>
      <c r="B6522" t="str">
        <f>"1551765240056780"</f>
        <v>1551765240056780</v>
      </c>
      <c r="C6522" t="s">
        <v>40</v>
      </c>
      <c r="D6522">
        <v>4.6724769999999998</v>
      </c>
      <c r="E6522">
        <v>0.53507269999999996</v>
      </c>
      <c r="F6522" t="s">
        <v>42</v>
      </c>
      <c r="G6522">
        <v>-187.59</v>
      </c>
      <c r="H6522" s="1">
        <v>-4.4125599999999996E-6</v>
      </c>
      <c r="I6522">
        <v>28.922049999999999</v>
      </c>
      <c r="J6522">
        <v>-187.6447</v>
      </c>
      <c r="K6522">
        <v>1.107367</v>
      </c>
      <c r="L6522">
        <v>10.424289999999999</v>
      </c>
      <c r="M6522">
        <v>1.4466430000000001E-2</v>
      </c>
      <c r="N6522">
        <v>-1.0779800000000001E-2</v>
      </c>
      <c r="O6522">
        <v>0.99983719999999998</v>
      </c>
      <c r="P6522">
        <v>-8.9585479999999995E-2</v>
      </c>
      <c r="Q6522">
        <v>-1.4123780000000001E-2</v>
      </c>
      <c r="R6522">
        <v>0.99587899999999996</v>
      </c>
      <c r="S6522">
        <v>9.8114010000000008E-3</v>
      </c>
      <c r="T6522">
        <v>-0.17573359999999999</v>
      </c>
      <c r="U6522">
        <v>3.0107729999999999</v>
      </c>
      <c r="V6522">
        <v>-0.10399129999999999</v>
      </c>
      <c r="W6522">
        <v>-3.1592870000000002E-3</v>
      </c>
      <c r="X6522">
        <v>0.99457320000000005</v>
      </c>
      <c r="Y6522">
        <v>-1.1208289999999999E-2</v>
      </c>
      <c r="Z6522">
        <v>-4.7493349999999997E-2</v>
      </c>
      <c r="AA6522">
        <v>0.99880869999999999</v>
      </c>
      <c r="AB6522">
        <v>47</v>
      </c>
      <c r="AC6522">
        <v>5.46999999999968E-2</v>
      </c>
      <c r="AD6522">
        <v>-1.10737141256</v>
      </c>
      <c r="AE6522">
        <v>18.49776</v>
      </c>
      <c r="AF6522">
        <v>-0.21215750503439401</v>
      </c>
      <c r="AG6522">
        <v>-1.10737141256</v>
      </c>
      <c r="AH6522">
        <v>18.430563877698301</v>
      </c>
      <c r="AI6522">
        <v>93.438165887592206</v>
      </c>
      <c r="AJ6522">
        <v>90.659512798767906</v>
      </c>
      <c r="AK6522">
        <v>18.465020094822901</v>
      </c>
      <c r="AL6522">
        <v>90.1810141105246</v>
      </c>
      <c r="AM6522">
        <v>95.969083991577904</v>
      </c>
      <c r="AN6522">
        <v>1.00000001086413</v>
      </c>
    </row>
    <row r="6523" spans="1:40" x14ac:dyDescent="0.25">
      <c r="A6523" t="str">
        <f>"20190305135400091"</f>
        <v>20190305135400091</v>
      </c>
      <c r="B6523" t="str">
        <f>"1551765240086060"</f>
        <v>1551765240086060</v>
      </c>
      <c r="C6523" t="s">
        <v>40</v>
      </c>
      <c r="D6523">
        <v>4.6956020000000001</v>
      </c>
      <c r="E6523">
        <v>0.53550959999999903</v>
      </c>
      <c r="F6523" t="s">
        <v>42</v>
      </c>
      <c r="G6523">
        <v>-187.5677</v>
      </c>
      <c r="H6523" s="1">
        <v>-4.708129E-6</v>
      </c>
      <c r="I6523">
        <v>29.601839999999999</v>
      </c>
      <c r="J6523">
        <v>-187.6378</v>
      </c>
      <c r="K6523">
        <v>1.1071569999999999</v>
      </c>
      <c r="L6523">
        <v>10.8811</v>
      </c>
      <c r="M6523">
        <v>1.4936100000000001E-2</v>
      </c>
      <c r="N6523">
        <v>-9.4846730000000008E-3</v>
      </c>
      <c r="O6523">
        <v>0.9998435</v>
      </c>
      <c r="P6523">
        <v>-8.7921269999999996E-2</v>
      </c>
      <c r="Q6523">
        <v>-1.288156E-2</v>
      </c>
      <c r="R6523">
        <v>0.99604420000000005</v>
      </c>
      <c r="S6523">
        <v>1.208496E-2</v>
      </c>
      <c r="T6523">
        <v>-0.173867299999999</v>
      </c>
      <c r="U6523">
        <v>3.011047</v>
      </c>
      <c r="V6523">
        <v>-0.1027961</v>
      </c>
      <c r="W6523">
        <v>-3.2355890000000001E-3</v>
      </c>
      <c r="X6523">
        <v>0.99469719999999995</v>
      </c>
      <c r="Y6523">
        <v>-1.092477E-2</v>
      </c>
      <c r="Z6523">
        <v>-4.8164329999999998E-2</v>
      </c>
      <c r="AA6523">
        <v>0.99877969999999905</v>
      </c>
      <c r="AB6523">
        <v>48</v>
      </c>
      <c r="AC6523">
        <v>7.0099999999996498E-2</v>
      </c>
      <c r="AD6523">
        <v>-1.1071617081289999</v>
      </c>
      <c r="AE6523">
        <v>18.720739999999999</v>
      </c>
      <c r="AF6523">
        <v>-0.20880491712712601</v>
      </c>
      <c r="AG6523">
        <v>-1.1071617081289999</v>
      </c>
      <c r="AH6523">
        <v>18.6544527926002</v>
      </c>
      <c r="AI6523">
        <v>93.3963690128964</v>
      </c>
      <c r="AJ6523">
        <v>90.641302161045004</v>
      </c>
      <c r="AK6523">
        <v>18.688446043818502</v>
      </c>
      <c r="AL6523">
        <v>90.185385914915102</v>
      </c>
      <c r="AM6523">
        <v>95.900236159280695</v>
      </c>
      <c r="AN6523">
        <v>1.0000000134496101</v>
      </c>
    </row>
    <row r="6524" spans="1:40" x14ac:dyDescent="0.25">
      <c r="A6524" t="str">
        <f>"20190305135400113"</f>
        <v>20190305135400113</v>
      </c>
      <c r="B6524" t="str">
        <f>"1551765240106556"</f>
        <v>1551765240106556</v>
      </c>
      <c r="C6524" t="s">
        <v>40</v>
      </c>
      <c r="D6524">
        <v>4.6737019999999996</v>
      </c>
      <c r="E6524">
        <v>0.53561389999999998</v>
      </c>
      <c r="F6524" t="s">
        <v>42</v>
      </c>
      <c r="G6524">
        <v>-187.5061</v>
      </c>
      <c r="H6524" s="1">
        <v>-9.1381170000000003E-7</v>
      </c>
      <c r="I6524">
        <v>30.383469999999999</v>
      </c>
      <c r="J6524">
        <v>-187.63040000000001</v>
      </c>
      <c r="K6524">
        <v>1.1070009999999999</v>
      </c>
      <c r="L6524">
        <v>11.359920000000001</v>
      </c>
      <c r="M6524">
        <v>1.536213E-2</v>
      </c>
      <c r="N6524">
        <v>-8.1721069999999996E-3</v>
      </c>
      <c r="O6524">
        <v>0.99984859999999998</v>
      </c>
      <c r="P6524">
        <v>-8.6221580000000006E-2</v>
      </c>
      <c r="Q6524">
        <v>-1.1639979999999999E-2</v>
      </c>
      <c r="R6524">
        <v>0.99620799999999998</v>
      </c>
      <c r="S6524">
        <v>2.0324709999999999E-2</v>
      </c>
      <c r="T6524">
        <v>-0.17096439999999999</v>
      </c>
      <c r="U6524">
        <v>3.0115050000000001</v>
      </c>
      <c r="V6524">
        <v>-0.101522</v>
      </c>
      <c r="W6524">
        <v>-3.3307620000000001E-3</v>
      </c>
      <c r="X6524">
        <v>0.99482769999999998</v>
      </c>
      <c r="Y6524">
        <v>-8.6198830000000001E-3</v>
      </c>
      <c r="Z6524">
        <v>-4.8506979999999998E-2</v>
      </c>
      <c r="AA6524">
        <v>0.9987857</v>
      </c>
      <c r="AB6524">
        <v>48</v>
      </c>
      <c r="AC6524">
        <v>0.124300000000005</v>
      </c>
      <c r="AD6524">
        <v>-1.1070019138117</v>
      </c>
      <c r="AE6524">
        <v>19.02355</v>
      </c>
      <c r="AF6524">
        <v>-0.16739984936574201</v>
      </c>
      <c r="AG6524">
        <v>-1.1070019138117</v>
      </c>
      <c r="AH6524">
        <v>18.9590181267608</v>
      </c>
      <c r="AI6524">
        <v>93.341530683340096</v>
      </c>
      <c r="AJ6524">
        <v>90.505883561979701</v>
      </c>
      <c r="AK6524">
        <v>18.992046869086899</v>
      </c>
      <c r="AL6524">
        <v>90.190838961540607</v>
      </c>
      <c r="AM6524">
        <v>95.8268532856885</v>
      </c>
      <c r="AN6524">
        <v>0.99999998157339498</v>
      </c>
    </row>
    <row r="6525" spans="1:40" x14ac:dyDescent="0.25">
      <c r="A6525" t="str">
        <f>"20190305135400135"</f>
        <v>20190305135400135</v>
      </c>
      <c r="B6525" t="str">
        <f>"1551765240126075"</f>
        <v>1551765240126075</v>
      </c>
      <c r="C6525" t="s">
        <v>40</v>
      </c>
      <c r="D6525">
        <v>4.6824820000000003</v>
      </c>
      <c r="E6525">
        <v>0.53567799999999999</v>
      </c>
      <c r="F6525" t="s">
        <v>42</v>
      </c>
      <c r="G6525">
        <v>-187.45840000000001</v>
      </c>
      <c r="H6525" s="1">
        <v>-1.201246E-6</v>
      </c>
      <c r="I6525">
        <v>31.190760000000001</v>
      </c>
      <c r="J6525">
        <v>-187.62270000000001</v>
      </c>
      <c r="K6525">
        <v>1.1069340000000001</v>
      </c>
      <c r="L6525">
        <v>11.85059</v>
      </c>
      <c r="M6525">
        <v>1.5697610000000001E-2</v>
      </c>
      <c r="N6525">
        <v>-7.0401020000000003E-3</v>
      </c>
      <c r="O6525">
        <v>0.99985199999999996</v>
      </c>
      <c r="P6525">
        <v>-8.3958190000000002E-2</v>
      </c>
      <c r="Q6525">
        <v>-1.058688E-2</v>
      </c>
      <c r="R6525">
        <v>0.99641310000000005</v>
      </c>
      <c r="S6525">
        <v>2.6123049999999998E-2</v>
      </c>
      <c r="T6525">
        <v>-0.16812099999999999</v>
      </c>
      <c r="U6525">
        <v>3.0117189999999998</v>
      </c>
      <c r="V6525">
        <v>-9.9594859999999993E-2</v>
      </c>
      <c r="W6525">
        <v>-3.4327680000000001E-3</v>
      </c>
      <c r="X6525">
        <v>0.99502219999999997</v>
      </c>
      <c r="Y6525">
        <v>-7.0337350000000002E-3</v>
      </c>
      <c r="Z6525">
        <v>-4.8693409999999999E-2</v>
      </c>
      <c r="AA6525">
        <v>0.99878900000000004</v>
      </c>
      <c r="AB6525">
        <v>48</v>
      </c>
      <c r="AC6525">
        <v>0.164299999999997</v>
      </c>
      <c r="AD6525">
        <v>-1.1069352012459901</v>
      </c>
      <c r="AE6525">
        <v>19.340170000000001</v>
      </c>
      <c r="AF6525">
        <v>-0.13886733950706201</v>
      </c>
      <c r="AG6525">
        <v>-1.1069352012459901</v>
      </c>
      <c r="AH6525">
        <v>19.2772213611014</v>
      </c>
      <c r="AI6525">
        <v>93.286340082492302</v>
      </c>
      <c r="AJ6525">
        <v>90.412734526999003</v>
      </c>
      <c r="AK6525">
        <v>19.309475732982602</v>
      </c>
      <c r="AL6525">
        <v>90.196683495042393</v>
      </c>
      <c r="AM6525">
        <v>95.715874707375903</v>
      </c>
      <c r="AN6525">
        <v>1.00000004926369</v>
      </c>
    </row>
    <row r="6526" spans="1:40" x14ac:dyDescent="0.25">
      <c r="A6526" t="str">
        <f>"20190305135400159"</f>
        <v>20190305135400159</v>
      </c>
      <c r="B6526" t="str">
        <f>"1551765240146571"</f>
        <v>1551765240146571</v>
      </c>
      <c r="C6526" t="s">
        <v>40</v>
      </c>
      <c r="D6526">
        <v>4.6876629999999997</v>
      </c>
      <c r="E6526">
        <v>0.53571279999999999</v>
      </c>
      <c r="F6526" t="s">
        <v>42</v>
      </c>
      <c r="G6526">
        <v>-187.4015</v>
      </c>
      <c r="H6526" s="1">
        <v>-1.475756E-6</v>
      </c>
      <c r="I6526">
        <v>31.952970000000001</v>
      </c>
      <c r="J6526">
        <v>-187.61510000000001</v>
      </c>
      <c r="K6526">
        <v>1.1069659999999999</v>
      </c>
      <c r="L6526">
        <v>12.33844</v>
      </c>
      <c r="M6526">
        <v>1.5892360000000001E-2</v>
      </c>
      <c r="N6526">
        <v>-6.2154350000000001E-3</v>
      </c>
      <c r="O6526">
        <v>0.99985440000000003</v>
      </c>
      <c r="P6526">
        <v>-8.2122879999999995E-2</v>
      </c>
      <c r="Q6526">
        <v>-9.5302730000000006E-3</v>
      </c>
      <c r="R6526">
        <v>0.99657669999999998</v>
      </c>
      <c r="S6526">
        <v>3.3142089999999999E-2</v>
      </c>
      <c r="T6526">
        <v>-0.16584670000000001</v>
      </c>
      <c r="U6526">
        <v>3.011841</v>
      </c>
      <c r="V6526">
        <v>-9.7954570000000005E-2</v>
      </c>
      <c r="W6526">
        <v>-3.2233169999999998E-3</v>
      </c>
      <c r="X6526">
        <v>0.99518569999999995</v>
      </c>
      <c r="Y6526">
        <v>-4.9019930000000003E-3</v>
      </c>
      <c r="Z6526">
        <v>-4.8762649999999998E-2</v>
      </c>
      <c r="AA6526">
        <v>0.99879839999999998</v>
      </c>
      <c r="AB6526">
        <v>48</v>
      </c>
      <c r="AC6526">
        <v>0.213600000000013</v>
      </c>
      <c r="AD6526">
        <v>-1.106967475756</v>
      </c>
      <c r="AE6526">
        <v>19.614529999999998</v>
      </c>
      <c r="AF6526">
        <v>-9.7842572268108094E-2</v>
      </c>
      <c r="AG6526">
        <v>-1.106967475756</v>
      </c>
      <c r="AH6526">
        <v>19.553177302486901</v>
      </c>
      <c r="AI6526">
        <v>93.240196837348805</v>
      </c>
      <c r="AJ6526">
        <v>90.286701213411106</v>
      </c>
      <c r="AK6526">
        <v>19.584731113390799</v>
      </c>
      <c r="AL6526">
        <v>90.184682773929694</v>
      </c>
      <c r="AM6526">
        <v>95.621426762397405</v>
      </c>
      <c r="AN6526">
        <v>1.0000000325204199</v>
      </c>
    </row>
    <row r="6527" spans="1:40" x14ac:dyDescent="0.25">
      <c r="A6527" t="str">
        <f>"20190305135400179"</f>
        <v>20190305135400179</v>
      </c>
      <c r="B6527" t="str">
        <f>"1551765240166091"</f>
        <v>1551765240166091</v>
      </c>
      <c r="C6527" t="s">
        <v>40</v>
      </c>
      <c r="D6527">
        <v>4.6651829999999999</v>
      </c>
      <c r="E6527">
        <v>0.53577350000000001</v>
      </c>
      <c r="F6527" t="s">
        <v>42</v>
      </c>
      <c r="G6527">
        <v>-187.3536</v>
      </c>
      <c r="H6527" s="1">
        <v>-1.771374E-6</v>
      </c>
      <c r="I6527">
        <v>32.667639999999999</v>
      </c>
      <c r="J6527">
        <v>-187.60810000000001</v>
      </c>
      <c r="K6527">
        <v>1.1070789999999999</v>
      </c>
      <c r="L6527">
        <v>12.785920000000001</v>
      </c>
      <c r="M6527">
        <v>1.5922539999999999E-2</v>
      </c>
      <c r="N6527">
        <v>-5.7206899999999996E-3</v>
      </c>
      <c r="O6527">
        <v>0.99985690000000005</v>
      </c>
      <c r="P6527">
        <v>-8.0954410000000004E-2</v>
      </c>
      <c r="Q6527">
        <v>-9.7822570000000008E-3</v>
      </c>
      <c r="R6527">
        <v>0.99666980000000005</v>
      </c>
      <c r="S6527">
        <v>3.8742070000000003E-2</v>
      </c>
      <c r="T6527">
        <v>-0.16400609999999999</v>
      </c>
      <c r="U6527">
        <v>3.0119319999999998</v>
      </c>
      <c r="V6527">
        <v>-9.6817719999999996E-2</v>
      </c>
      <c r="W6527">
        <v>-3.9932839999999997E-3</v>
      </c>
      <c r="X6527">
        <v>0.99529409999999896</v>
      </c>
      <c r="Y6527">
        <v>-3.0760150000000001E-3</v>
      </c>
      <c r="Z6527">
        <v>-4.8646349999999998E-2</v>
      </c>
      <c r="AA6527">
        <v>0.99881129999999996</v>
      </c>
      <c r="AB6527">
        <v>49</v>
      </c>
      <c r="AC6527">
        <v>0.254500000000007</v>
      </c>
      <c r="AD6527">
        <v>-1.1070807713740001</v>
      </c>
      <c r="AE6527">
        <v>19.881720000000001</v>
      </c>
      <c r="AF6527">
        <v>-6.1912976739163399E-2</v>
      </c>
      <c r="AG6527">
        <v>-1.1070807713740001</v>
      </c>
      <c r="AH6527">
        <v>19.8218017192053</v>
      </c>
      <c r="AI6527">
        <v>93.196728308800104</v>
      </c>
      <c r="AJ6527">
        <v>90.178961568601693</v>
      </c>
      <c r="AK6527">
        <v>19.8527903440933</v>
      </c>
      <c r="AL6527">
        <v>90.228798931948305</v>
      </c>
      <c r="AM6527">
        <v>95.555994385809697</v>
      </c>
      <c r="AN6527">
        <v>0.99999998135895596</v>
      </c>
    </row>
    <row r="6528" spans="1:40" x14ac:dyDescent="0.25">
      <c r="A6528" t="str">
        <f>"20190305135400203"</f>
        <v>20190305135400203</v>
      </c>
      <c r="B6528" t="str">
        <f>"1551765240196347"</f>
        <v>1551765240196347</v>
      </c>
      <c r="C6528" t="s">
        <v>40</v>
      </c>
      <c r="D6528">
        <v>4.710553</v>
      </c>
      <c r="E6528">
        <v>0.53581429999999997</v>
      </c>
      <c r="F6528" t="s">
        <v>42</v>
      </c>
      <c r="G6528">
        <v>-187.31979999999999</v>
      </c>
      <c r="H6528" s="1">
        <v>-1.8962599999999999E-6</v>
      </c>
      <c r="I6528">
        <v>32.944769999999998</v>
      </c>
      <c r="J6528">
        <v>-187.6001</v>
      </c>
      <c r="K6528">
        <v>1.1072630000000001</v>
      </c>
      <c r="L6528">
        <v>13.29617</v>
      </c>
      <c r="M6528">
        <v>1.5786120000000001E-2</v>
      </c>
      <c r="N6528">
        <v>-5.3658169999999897E-3</v>
      </c>
      <c r="O6528">
        <v>0.999861</v>
      </c>
      <c r="P6528">
        <v>-8.0909679999999998E-2</v>
      </c>
      <c r="Q6528">
        <v>-9.8956129999999993E-3</v>
      </c>
      <c r="R6528">
        <v>0.99667229999999996</v>
      </c>
      <c r="S6528">
        <v>4.3075559999999999E-2</v>
      </c>
      <c r="T6528">
        <v>-0.1654072</v>
      </c>
      <c r="U6528">
        <v>3.0119020000000001</v>
      </c>
      <c r="V6528">
        <v>-9.6636200000000005E-2</v>
      </c>
      <c r="W6528">
        <v>-4.4922019999999998E-3</v>
      </c>
      <c r="X6528">
        <v>0.99530969999999996</v>
      </c>
      <c r="Y6528">
        <v>-1.503468E-3</v>
      </c>
      <c r="Z6528">
        <v>-4.9464229999999998E-2</v>
      </c>
      <c r="AA6528">
        <v>0.99877479999999996</v>
      </c>
      <c r="AB6528">
        <v>49</v>
      </c>
      <c r="AC6528">
        <v>0.28030000000001098</v>
      </c>
      <c r="AD6528">
        <v>-1.10726489625999</v>
      </c>
      <c r="AE6528">
        <v>19.648599999999899</v>
      </c>
      <c r="AF6528">
        <v>-2.9819869818533101E-2</v>
      </c>
      <c r="AG6528">
        <v>-1.10726489625999</v>
      </c>
      <c r="AH6528">
        <v>19.5883822373859</v>
      </c>
      <c r="AI6528">
        <v>93.235289662876895</v>
      </c>
      <c r="AJ6528">
        <v>90.087222688718498</v>
      </c>
      <c r="AK6528">
        <v>19.619674906915801</v>
      </c>
      <c r="AL6528">
        <v>90.2573850637541</v>
      </c>
      <c r="AM6528">
        <v>95.545556273677903</v>
      </c>
      <c r="AN6528">
        <v>1.00000006697166</v>
      </c>
    </row>
    <row r="6529" spans="1:40" x14ac:dyDescent="0.25">
      <c r="A6529" t="str">
        <f>"20190305135400224"</f>
        <v>20190305135400224</v>
      </c>
      <c r="B6529" t="str">
        <f>"1551765240216843"</f>
        <v>1551765240216843</v>
      </c>
      <c r="C6529" t="s">
        <v>40</v>
      </c>
      <c r="D6529">
        <v>4.7065089999999996</v>
      </c>
      <c r="E6529">
        <v>0.53569100000000003</v>
      </c>
      <c r="F6529" t="s">
        <v>42</v>
      </c>
      <c r="G6529">
        <v>-187.30770000000001</v>
      </c>
      <c r="H6529" s="1">
        <v>-2.1406060000000001E-6</v>
      </c>
      <c r="I6529">
        <v>33.509340000000002</v>
      </c>
      <c r="J6529">
        <v>-187.59270000000001</v>
      </c>
      <c r="K6529">
        <v>1.107464</v>
      </c>
      <c r="L6529">
        <v>13.786440000000001</v>
      </c>
      <c r="M6529">
        <v>1.548717E-2</v>
      </c>
      <c r="N6529">
        <v>-5.1477780000000004E-3</v>
      </c>
      <c r="O6529">
        <v>0.99986679999999994</v>
      </c>
      <c r="P6529">
        <v>-8.1071480000000001E-2</v>
      </c>
      <c r="Q6529">
        <v>-1.007241E-2</v>
      </c>
      <c r="R6529">
        <v>0.99665740000000003</v>
      </c>
      <c r="S6529">
        <v>4.3579100000000003E-2</v>
      </c>
      <c r="T6529">
        <v>-0.1649919</v>
      </c>
      <c r="U6529">
        <v>3.0119319999999998</v>
      </c>
      <c r="V6529">
        <v>-9.6498849999999997E-2</v>
      </c>
      <c r="W6529">
        <v>-4.9203659999999998E-3</v>
      </c>
      <c r="X6529">
        <v>0.99532089999999995</v>
      </c>
      <c r="Y6529">
        <v>-1.0378E-3</v>
      </c>
      <c r="Z6529">
        <v>-4.954447E-2</v>
      </c>
      <c r="AA6529">
        <v>0.99877139999999998</v>
      </c>
      <c r="AB6529">
        <v>49</v>
      </c>
      <c r="AC6529">
        <v>0.28499999999999598</v>
      </c>
      <c r="AD6529">
        <v>-1.107466140606</v>
      </c>
      <c r="AE6529">
        <v>19.722899999999999</v>
      </c>
      <c r="AF6529">
        <v>-2.0425750729899501E-2</v>
      </c>
      <c r="AG6529">
        <v>-1.107466140606</v>
      </c>
      <c r="AH6529">
        <v>19.662964676665801</v>
      </c>
      <c r="AI6529">
        <v>93.223630537514097</v>
      </c>
      <c r="AJ6529">
        <v>90.059518435215494</v>
      </c>
      <c r="AK6529">
        <v>19.6941381720472</v>
      </c>
      <c r="AL6529">
        <v>90.281917352585097</v>
      </c>
      <c r="AM6529">
        <v>95.537661421360795</v>
      </c>
      <c r="AN6529">
        <v>0.99999996601485197</v>
      </c>
    </row>
    <row r="6530" spans="1:40" x14ac:dyDescent="0.25">
      <c r="A6530" t="str">
        <f>"20190305135400260"</f>
        <v>20190305135400260</v>
      </c>
      <c r="B6530" t="str">
        <f>"1551765240256859"</f>
        <v>1551765240256859</v>
      </c>
      <c r="C6530" t="s">
        <v>40</v>
      </c>
      <c r="D6530">
        <v>4.6989419999999997</v>
      </c>
      <c r="E6530">
        <v>0.53575869999999903</v>
      </c>
      <c r="F6530" t="s">
        <v>42</v>
      </c>
      <c r="G6530">
        <v>-187.31440000000001</v>
      </c>
      <c r="H6530" s="1">
        <v>-2.242717E-6</v>
      </c>
      <c r="I6530">
        <v>33.750149999999998</v>
      </c>
      <c r="J6530">
        <v>-187.58150000000001</v>
      </c>
      <c r="K6530">
        <v>1.1077680000000001</v>
      </c>
      <c r="L6530">
        <v>14.54767</v>
      </c>
      <c r="M6530">
        <v>1.472789E-2</v>
      </c>
      <c r="N6530">
        <v>-4.9363569999999997E-3</v>
      </c>
      <c r="O6530">
        <v>0.99987939999999997</v>
      </c>
      <c r="P6530">
        <v>-8.0890500000000004E-2</v>
      </c>
      <c r="Q6530">
        <v>-8.97013199999999E-3</v>
      </c>
      <c r="R6530">
        <v>0.99668259999999997</v>
      </c>
      <c r="S6530">
        <v>4.1976930000000003E-2</v>
      </c>
      <c r="T6530">
        <v>-0.16707529999999901</v>
      </c>
      <c r="U6530">
        <v>3.0117799999999999</v>
      </c>
      <c r="V6530">
        <v>-9.5559930000000001E-2</v>
      </c>
      <c r="W6530">
        <v>-4.0816460000000004E-3</v>
      </c>
      <c r="X6530">
        <v>0.9954153</v>
      </c>
      <c r="Y6530">
        <v>-8.0954710000000001E-4</v>
      </c>
      <c r="Z6530">
        <v>-5.0448130000000001E-2</v>
      </c>
      <c r="AA6530">
        <v>0.99872640000000001</v>
      </c>
      <c r="AB6530">
        <v>49</v>
      </c>
      <c r="AC6530">
        <v>0.267099999999999</v>
      </c>
      <c r="AD6530">
        <v>-1.107770242717</v>
      </c>
      <c r="AE6530">
        <v>19.202479999999898</v>
      </c>
      <c r="AF6530">
        <v>-1.5692202803411399E-2</v>
      </c>
      <c r="AG6530">
        <v>-1.107770242717</v>
      </c>
      <c r="AH6530">
        <v>19.140643143812099</v>
      </c>
      <c r="AI6530">
        <v>93.312313698510195</v>
      </c>
      <c r="AJ6530">
        <v>90.046973175546199</v>
      </c>
      <c r="AK6530">
        <v>19.172679028102401</v>
      </c>
      <c r="AL6530">
        <v>90.233861741012703</v>
      </c>
      <c r="AM6530">
        <v>95.483593934948104</v>
      </c>
      <c r="AN6530">
        <v>0.99999998976488202</v>
      </c>
    </row>
    <row r="6531" spans="1:40" x14ac:dyDescent="0.25">
      <c r="A6531" t="str">
        <f>"20190305135400281"</f>
        <v>20190305135400281</v>
      </c>
      <c r="B6531" t="str">
        <f>"1551765240276379"</f>
        <v>1551765240276379</v>
      </c>
      <c r="C6531" t="s">
        <v>40</v>
      </c>
      <c r="D6531">
        <v>4.683211</v>
      </c>
      <c r="E6531">
        <v>0.53579739999999998</v>
      </c>
      <c r="F6531" t="s">
        <v>42</v>
      </c>
      <c r="G6531">
        <v>-187.2903</v>
      </c>
      <c r="H6531" s="1">
        <v>-2.7613970000000001E-6</v>
      </c>
      <c r="I6531">
        <v>34.949240000000003</v>
      </c>
      <c r="J6531">
        <v>-187.57480000000001</v>
      </c>
      <c r="K6531">
        <v>1.107939</v>
      </c>
      <c r="L6531">
        <v>15.021940000000001</v>
      </c>
      <c r="M6531">
        <v>1.413524E-2</v>
      </c>
      <c r="N6531">
        <v>-4.8507309999999996E-3</v>
      </c>
      <c r="O6531">
        <v>0.99988829999999995</v>
      </c>
      <c r="P6531">
        <v>-8.1132839999999998E-2</v>
      </c>
      <c r="Q6531">
        <v>-7.9769519999999903E-3</v>
      </c>
      <c r="R6531">
        <v>0.99667139999999999</v>
      </c>
      <c r="S6531">
        <v>4.2984010000000003E-2</v>
      </c>
      <c r="T6531">
        <v>-0.1635462</v>
      </c>
      <c r="U6531">
        <v>3.0119929999999999</v>
      </c>
      <c r="V6531">
        <v>-9.5211359999999995E-2</v>
      </c>
      <c r="W6531">
        <v>-3.2038209999999999E-3</v>
      </c>
      <c r="X6531">
        <v>0.99545189999999995</v>
      </c>
      <c r="Y6531">
        <v>1.16686E-4</v>
      </c>
      <c r="Z6531">
        <v>-4.9363850000000001E-2</v>
      </c>
      <c r="AA6531">
        <v>0.99878080000000002</v>
      </c>
      <c r="AB6531">
        <v>49</v>
      </c>
      <c r="AC6531">
        <v>0.28450000000000802</v>
      </c>
      <c r="AD6531">
        <v>-1.107941761397</v>
      </c>
      <c r="AE6531">
        <v>19.927299999999999</v>
      </c>
      <c r="AF6531">
        <v>2.7824865441534699E-3</v>
      </c>
      <c r="AG6531">
        <v>-1.107941761397</v>
      </c>
      <c r="AH6531">
        <v>19.867925981068598</v>
      </c>
      <c r="AI6531">
        <v>93.191813056260798</v>
      </c>
      <c r="AJ6531">
        <v>89.991975773684601</v>
      </c>
      <c r="AK6531">
        <v>19.8987945734936</v>
      </c>
      <c r="AL6531">
        <v>90.183565739986605</v>
      </c>
      <c r="AM6531">
        <v>95.463513245797998</v>
      </c>
      <c r="AN6531">
        <v>0.999999976377829</v>
      </c>
    </row>
    <row r="6532" spans="1:40" x14ac:dyDescent="0.25">
      <c r="A6532" t="str">
        <f>"20190305135400302"</f>
        <v>20190305135400302</v>
      </c>
      <c r="B6532" t="str">
        <f>"1551765240296875"</f>
        <v>1551765240296875</v>
      </c>
      <c r="C6532" t="s">
        <v>40</v>
      </c>
      <c r="D6532">
        <v>4.707694</v>
      </c>
      <c r="E6532">
        <v>0.53583570000000003</v>
      </c>
      <c r="F6532" t="s">
        <v>42</v>
      </c>
      <c r="G6532">
        <v>-187.28030000000001</v>
      </c>
      <c r="H6532" s="1">
        <v>-3.150057E-6</v>
      </c>
      <c r="I6532">
        <v>35.85107</v>
      </c>
      <c r="J6532">
        <v>-187.5685</v>
      </c>
      <c r="K6532">
        <v>1.1080859999999999</v>
      </c>
      <c r="L6532">
        <v>15.48611</v>
      </c>
      <c r="M6532">
        <v>1.348796E-2</v>
      </c>
      <c r="N6532">
        <v>-4.7945260000000003E-3</v>
      </c>
      <c r="O6532">
        <v>0.99989749999999999</v>
      </c>
      <c r="P6532">
        <v>-8.1339419999999996E-2</v>
      </c>
      <c r="Q6532">
        <v>-6.7646989999999999E-3</v>
      </c>
      <c r="R6532">
        <v>0.99666350000000004</v>
      </c>
      <c r="S6532">
        <v>4.2587279999999998E-2</v>
      </c>
      <c r="T6532">
        <v>-0.16022520000000001</v>
      </c>
      <c r="U6532">
        <v>3.0122070000000001</v>
      </c>
      <c r="V6532">
        <v>-9.4773510000000005E-2</v>
      </c>
      <c r="W6532">
        <v>-2.0736869999999998E-3</v>
      </c>
      <c r="X6532">
        <v>0.99549670000000001</v>
      </c>
      <c r="Y6532">
        <v>6.3216379999999999E-4</v>
      </c>
      <c r="Z6532">
        <v>-4.8319050000000002E-2</v>
      </c>
      <c r="AA6532">
        <v>0.99883169999999999</v>
      </c>
      <c r="AB6532">
        <v>49</v>
      </c>
      <c r="AC6532">
        <v>0.28819999999998902</v>
      </c>
      <c r="AD6532">
        <v>-1.108089150057</v>
      </c>
      <c r="AE6532">
        <v>20.36496</v>
      </c>
      <c r="AF6532">
        <v>1.3449039687876601E-2</v>
      </c>
      <c r="AG6532">
        <v>-1.108089150057</v>
      </c>
      <c r="AH6532">
        <v>20.306885818927</v>
      </c>
      <c r="AI6532">
        <v>93.123369894611201</v>
      </c>
      <c r="AJ6532">
        <v>89.9620536055195</v>
      </c>
      <c r="AK6532">
        <v>20.337100435019799</v>
      </c>
      <c r="AL6532">
        <v>90.118813598398205</v>
      </c>
      <c r="AM6532">
        <v>95.438295808284806</v>
      </c>
      <c r="AN6532">
        <v>0.99999999904319203</v>
      </c>
    </row>
    <row r="6533" spans="1:40" x14ac:dyDescent="0.25">
      <c r="A6533" t="str">
        <f>"20190305135400326"</f>
        <v>20190305135400326</v>
      </c>
      <c r="B6533" t="str">
        <f>"1551765240316396"</f>
        <v>1551765240316396</v>
      </c>
      <c r="C6533" t="s">
        <v>40</v>
      </c>
      <c r="D6533">
        <v>4.669117</v>
      </c>
      <c r="E6533">
        <v>0.53582730000000001</v>
      </c>
      <c r="F6533" t="s">
        <v>42</v>
      </c>
      <c r="G6533">
        <v>-187.268</v>
      </c>
      <c r="H6533" s="1">
        <v>-3.5751700000000001E-6</v>
      </c>
      <c r="I6533">
        <v>36.836939999999998</v>
      </c>
      <c r="J6533">
        <v>-187.56180000000001</v>
      </c>
      <c r="K6533">
        <v>1.108225</v>
      </c>
      <c r="L6533">
        <v>16.01361</v>
      </c>
      <c r="M6533">
        <v>1.2696539999999999E-2</v>
      </c>
      <c r="N6533">
        <v>-4.7550869999999999E-3</v>
      </c>
      <c r="O6533">
        <v>0.99990809999999997</v>
      </c>
      <c r="P6533">
        <v>-8.1755649999999999E-2</v>
      </c>
      <c r="Q6533">
        <v>-6.1453000000000002E-3</v>
      </c>
      <c r="R6533">
        <v>0.99663349999999995</v>
      </c>
      <c r="S6533">
        <v>4.2404169999999998E-2</v>
      </c>
      <c r="T6533">
        <v>-0.1563436</v>
      </c>
      <c r="U6533">
        <v>3.012451</v>
      </c>
      <c r="V6533">
        <v>-9.4401449999999998E-2</v>
      </c>
      <c r="W6533">
        <v>-1.519816E-3</v>
      </c>
      <c r="X6533">
        <v>0.995533</v>
      </c>
      <c r="Y6533">
        <v>1.3625639999999999E-3</v>
      </c>
      <c r="Z6533">
        <v>-4.7071670000000003E-2</v>
      </c>
      <c r="AA6533">
        <v>0.99889059999999996</v>
      </c>
      <c r="AB6533">
        <v>49</v>
      </c>
      <c r="AC6533">
        <v>0.293800000000004</v>
      </c>
      <c r="AD6533">
        <v>-1.1082285751700001</v>
      </c>
      <c r="AE6533">
        <v>20.823329999999999</v>
      </c>
      <c r="AF6533">
        <v>2.9306098657422001E-2</v>
      </c>
      <c r="AG6533">
        <v>-1.1082285751700001</v>
      </c>
      <c r="AH6533">
        <v>20.766573754417202</v>
      </c>
      <c r="AI6533">
        <v>93.054744728946204</v>
      </c>
      <c r="AJ6533">
        <v>89.919143394945394</v>
      </c>
      <c r="AK6533">
        <v>20.796144232042</v>
      </c>
      <c r="AL6533">
        <v>90.087079080414</v>
      </c>
      <c r="AM6533">
        <v>95.416877153674307</v>
      </c>
      <c r="AN6533">
        <v>0.99999994884588606</v>
      </c>
    </row>
    <row r="6534" spans="1:40" x14ac:dyDescent="0.25">
      <c r="A6534" t="str">
        <f>"20190305135400348"</f>
        <v>20190305135400348</v>
      </c>
      <c r="B6534" t="str">
        <f>"1551765240335918"</f>
        <v>1551765240335918</v>
      </c>
      <c r="C6534" t="s">
        <v>40</v>
      </c>
      <c r="D6534">
        <v>4.6145829999999997</v>
      </c>
      <c r="E6534">
        <v>0.53579690000000002</v>
      </c>
      <c r="F6534" t="s">
        <v>41</v>
      </c>
      <c r="G6534">
        <v>-187.54560000000001</v>
      </c>
      <c r="H6534">
        <v>1.0476840000000001</v>
      </c>
      <c r="I6534">
        <v>17.191299999999998</v>
      </c>
      <c r="J6534">
        <v>-187.5558</v>
      </c>
      <c r="K6534">
        <v>1.1083369999999999</v>
      </c>
      <c r="L6534">
        <v>16.508479999999999</v>
      </c>
      <c r="M6534">
        <v>1.191512E-2</v>
      </c>
      <c r="N6534">
        <v>-4.7372150000000003E-3</v>
      </c>
      <c r="O6534">
        <v>0.99991779999999997</v>
      </c>
      <c r="P6534">
        <v>-8.1793930000000001E-2</v>
      </c>
      <c r="Q6534">
        <v>-5.8633050000000001E-3</v>
      </c>
      <c r="R6534">
        <v>0.99663199999999996</v>
      </c>
      <c r="S6534">
        <v>4.1046140000000002E-2</v>
      </c>
      <c r="T6534">
        <v>-0.15488080000000001</v>
      </c>
      <c r="U6534">
        <v>3.012543</v>
      </c>
      <c r="V6534">
        <v>-9.3661869999999994E-2</v>
      </c>
      <c r="W6534">
        <v>-1.276278E-3</v>
      </c>
      <c r="X6534">
        <v>0.99560329999999997</v>
      </c>
      <c r="Y6534">
        <v>1.6936729999999999E-3</v>
      </c>
      <c r="Z6534">
        <v>-4.6605130000000002E-2</v>
      </c>
      <c r="AA6534">
        <v>0.99891200000000002</v>
      </c>
      <c r="AB6534">
        <v>50</v>
      </c>
      <c r="AC6534">
        <v>1.0199999999997499E-2</v>
      </c>
      <c r="AD6534">
        <v>-6.0652999999999999E-2</v>
      </c>
      <c r="AE6534">
        <v>0.68281999999999898</v>
      </c>
      <c r="AF6534">
        <v>2.0471534556788101E-3</v>
      </c>
      <c r="AG6534">
        <v>-6.0652999999999999E-2</v>
      </c>
      <c r="AH6534">
        <v>0.67754821412299704</v>
      </c>
      <c r="AI6534">
        <v>95.115365534487196</v>
      </c>
      <c r="AJ6534">
        <v>89.826886273682007</v>
      </c>
      <c r="AK6534">
        <v>0.68026065571039296</v>
      </c>
      <c r="AL6534">
        <v>90.073125358871096</v>
      </c>
      <c r="AM6534">
        <v>95.374311302712101</v>
      </c>
      <c r="AN6534">
        <v>1.0000000528741499</v>
      </c>
    </row>
    <row r="6535" spans="1:40" x14ac:dyDescent="0.25">
      <c r="A6535" t="str">
        <f>"20190305135400370"</f>
        <v>20190305135400370</v>
      </c>
      <c r="B6535" t="str">
        <f>"1551765240366171"</f>
        <v>1551765240366171</v>
      </c>
      <c r="C6535" t="s">
        <v>40</v>
      </c>
      <c r="D6535">
        <v>4.6616679999999997</v>
      </c>
      <c r="E6535">
        <v>0.53576579999999996</v>
      </c>
      <c r="F6535" t="s">
        <v>42</v>
      </c>
      <c r="G6535">
        <v>-187.267</v>
      </c>
      <c r="H6535" s="1">
        <v>-4.0247450000000004E-6</v>
      </c>
      <c r="I6535">
        <v>37.884500000000003</v>
      </c>
      <c r="J6535">
        <v>-187.55019999999999</v>
      </c>
      <c r="K6535">
        <v>1.1084229999999999</v>
      </c>
      <c r="L6535">
        <v>16.99579</v>
      </c>
      <c r="M6535">
        <v>1.1125909999999999E-2</v>
      </c>
      <c r="N6535">
        <v>-4.7309839999999997E-3</v>
      </c>
      <c r="O6535">
        <v>0.99992689999999995</v>
      </c>
      <c r="P6535">
        <v>-8.1941899999999998E-2</v>
      </c>
      <c r="Q6535">
        <v>-5.3571720000000003E-3</v>
      </c>
      <c r="R6535">
        <v>0.99662269999999997</v>
      </c>
      <c r="S6535">
        <v>4.0695189999999999E-2</v>
      </c>
      <c r="T6535">
        <v>-0.15620110000000001</v>
      </c>
      <c r="U6535">
        <v>3.0125730000000002</v>
      </c>
      <c r="V6535">
        <v>-9.3024309999999999E-2</v>
      </c>
      <c r="W6535">
        <v>-7.9441989999999997E-4</v>
      </c>
      <c r="X6535">
        <v>0.99566350000000003</v>
      </c>
      <c r="Y6535">
        <v>2.366085E-3</v>
      </c>
      <c r="Z6535">
        <v>-4.7048090000000001E-2</v>
      </c>
      <c r="AA6535">
        <v>0.99888980000000005</v>
      </c>
      <c r="AB6535">
        <v>50</v>
      </c>
      <c r="AC6535">
        <v>0.28319999999999301</v>
      </c>
      <c r="AD6535">
        <v>-1.1084270247450001</v>
      </c>
      <c r="AE6535">
        <v>20.88871</v>
      </c>
      <c r="AF6535">
        <v>5.0631421298411701E-2</v>
      </c>
      <c r="AG6535">
        <v>-1.1084270247450001</v>
      </c>
      <c r="AH6535">
        <v>20.831921678289799</v>
      </c>
      <c r="AI6535">
        <v>93.0457186438788</v>
      </c>
      <c r="AJ6535">
        <v>89.860744434249796</v>
      </c>
      <c r="AK6535">
        <v>20.861450927977401</v>
      </c>
      <c r="AL6535">
        <v>90.045516913161293</v>
      </c>
      <c r="AM6535">
        <v>95.337619312899506</v>
      </c>
      <c r="AN6535">
        <v>0.99999997929310103</v>
      </c>
    </row>
    <row r="6536" spans="1:40" x14ac:dyDescent="0.25">
      <c r="A6536" t="str">
        <f>"20190305135400392"</f>
        <v>20190305135400392</v>
      </c>
      <c r="B6536" t="str">
        <f>"1551765240386669"</f>
        <v>1551765240386669</v>
      </c>
      <c r="C6536" t="s">
        <v>40</v>
      </c>
      <c r="D6536">
        <v>4.6556600000000001</v>
      </c>
      <c r="E6536">
        <v>0.53577410000000003</v>
      </c>
      <c r="F6536" t="s">
        <v>42</v>
      </c>
      <c r="G6536">
        <v>-187.26990000000001</v>
      </c>
      <c r="H6536" s="1">
        <v>-4.1586739999999901E-6</v>
      </c>
      <c r="I6536">
        <v>38.19791</v>
      </c>
      <c r="J6536">
        <v>-187.54499999999999</v>
      </c>
      <c r="K6536">
        <v>1.1084969999999901</v>
      </c>
      <c r="L6536">
        <v>17.488399999999999</v>
      </c>
      <c r="M6536">
        <v>1.0317299999999901E-2</v>
      </c>
      <c r="N6536">
        <v>-4.7330970000000003E-3</v>
      </c>
      <c r="O6536">
        <v>0.99993560000000004</v>
      </c>
      <c r="P6536">
        <v>-8.1989880000000001E-2</v>
      </c>
      <c r="Q6536">
        <v>-6.0399779999999997E-3</v>
      </c>
      <c r="R6536">
        <v>0.99661489999999997</v>
      </c>
      <c r="S6536">
        <v>3.9825439999999997E-2</v>
      </c>
      <c r="T6536">
        <v>-0.1574961</v>
      </c>
      <c r="U6536">
        <v>3.0126040000000001</v>
      </c>
      <c r="V6536">
        <v>-9.2265520000000004E-2</v>
      </c>
      <c r="W6536">
        <v>-1.491072E-3</v>
      </c>
      <c r="X6536">
        <v>0.99573330000000004</v>
      </c>
      <c r="Y6536">
        <v>2.8859430000000002E-3</v>
      </c>
      <c r="Z6536">
        <v>-4.747432E-2</v>
      </c>
      <c r="AA6536">
        <v>0.99886830000000004</v>
      </c>
      <c r="AB6536">
        <v>50</v>
      </c>
      <c r="AC6536">
        <v>0.27509999999998003</v>
      </c>
      <c r="AD6536">
        <v>-1.1085011586739999</v>
      </c>
      <c r="AE6536">
        <v>20.709510000000002</v>
      </c>
      <c r="AF6536">
        <v>6.1241313695483003E-2</v>
      </c>
      <c r="AG6536">
        <v>-1.1085011586739999</v>
      </c>
      <c r="AH6536">
        <v>20.652087153069001</v>
      </c>
      <c r="AI6536">
        <v>93.0723902629192</v>
      </c>
      <c r="AJ6536">
        <v>89.830096663084305</v>
      </c>
      <c r="AK6536">
        <v>20.681905838080901</v>
      </c>
      <c r="AL6536">
        <v>90.085432166163102</v>
      </c>
      <c r="AM6536">
        <v>95.293960284231105</v>
      </c>
      <c r="AN6536">
        <v>0.99999997710273403</v>
      </c>
    </row>
    <row r="6537" spans="1:40" x14ac:dyDescent="0.25">
      <c r="A6537" t="str">
        <f>"20190305135400414"</f>
        <v>20190305135400414</v>
      </c>
      <c r="B6537" t="str">
        <f>"1551765240406187"</f>
        <v>1551765240406187</v>
      </c>
      <c r="C6537" t="s">
        <v>40</v>
      </c>
      <c r="D6537">
        <v>4.6897419999999999</v>
      </c>
      <c r="E6537">
        <v>0.53573660000000001</v>
      </c>
      <c r="F6537" t="s">
        <v>42</v>
      </c>
      <c r="G6537">
        <v>-187.27070000000001</v>
      </c>
      <c r="H6537" s="1">
        <v>-4.2045869999999998E-6</v>
      </c>
      <c r="I6537">
        <v>38.305230000000002</v>
      </c>
      <c r="J6537">
        <v>-187.53989999999999</v>
      </c>
      <c r="K6537">
        <v>1.1085590000000001</v>
      </c>
      <c r="L6537">
        <v>18.006869999999999</v>
      </c>
      <c r="M6537">
        <v>9.4601540000000001E-3</v>
      </c>
      <c r="N6537">
        <v>-4.7418970000000001E-3</v>
      </c>
      <c r="O6537">
        <v>0.99994400000000006</v>
      </c>
      <c r="P6537">
        <v>-8.2758810000000002E-2</v>
      </c>
      <c r="Q6537">
        <v>-7.133548E-3</v>
      </c>
      <c r="R6537">
        <v>0.99654410000000004</v>
      </c>
      <c r="S6537">
        <v>3.9703370000000002E-2</v>
      </c>
      <c r="T6537">
        <v>-0.16041540000000001</v>
      </c>
      <c r="U6537">
        <v>3.0124819999999999</v>
      </c>
      <c r="V6537">
        <v>-9.2177480000000006E-2</v>
      </c>
      <c r="W6537">
        <v>-2.5921719999999998E-3</v>
      </c>
      <c r="X6537">
        <v>0.99573920000000005</v>
      </c>
      <c r="Y6537">
        <v>3.7024710000000001E-3</v>
      </c>
      <c r="Z6537">
        <v>-4.8433379999999998E-2</v>
      </c>
      <c r="AA6537">
        <v>0.99881949999999997</v>
      </c>
      <c r="AB6537">
        <v>50</v>
      </c>
      <c r="AC6537">
        <v>0.26919999999998301</v>
      </c>
      <c r="AD6537">
        <v>-1.108563204587</v>
      </c>
      <c r="AE6537">
        <v>20.298359999999999</v>
      </c>
      <c r="AF6537">
        <v>7.6930765932883699E-2</v>
      </c>
      <c r="AG6537">
        <v>-1.108563204587</v>
      </c>
      <c r="AH6537">
        <v>20.2396416694409</v>
      </c>
      <c r="AI6537">
        <v>93.135042383480595</v>
      </c>
      <c r="AJ6537">
        <v>89.782220108069097</v>
      </c>
      <c r="AK6537">
        <v>20.270123966781199</v>
      </c>
      <c r="AL6537">
        <v>90.148520684551698</v>
      </c>
      <c r="AM6537">
        <v>95.288906273680396</v>
      </c>
      <c r="AN6537">
        <v>0.99999998079573305</v>
      </c>
    </row>
    <row r="6538" spans="1:40" x14ac:dyDescent="0.25">
      <c r="A6538" t="str">
        <f>"20190305135400437"</f>
        <v>20190305135400437</v>
      </c>
      <c r="B6538" t="str">
        <f>"1551765240426687"</f>
        <v>1551765240426687</v>
      </c>
      <c r="C6538" t="s">
        <v>40</v>
      </c>
      <c r="D6538">
        <v>4.6668979999999998</v>
      </c>
      <c r="E6538">
        <v>0.53591199999999894</v>
      </c>
      <c r="F6538" t="s">
        <v>42</v>
      </c>
      <c r="G6538">
        <v>-187.2876</v>
      </c>
      <c r="H6538" s="1">
        <v>-4.2189469999999998E-6</v>
      </c>
      <c r="I6538">
        <v>38.34572</v>
      </c>
      <c r="J6538">
        <v>-187.53540000000001</v>
      </c>
      <c r="K6538">
        <v>1.1086149999999999</v>
      </c>
      <c r="L6538">
        <v>18.51596</v>
      </c>
      <c r="M6538">
        <v>8.6152639999999992E-3</v>
      </c>
      <c r="N6538">
        <v>-4.7552459999999899E-3</v>
      </c>
      <c r="O6538">
        <v>0.99995160000000005</v>
      </c>
      <c r="P6538">
        <v>-8.4043960000000001E-2</v>
      </c>
      <c r="Q6538">
        <v>-7.6390240000000003E-3</v>
      </c>
      <c r="R6538">
        <v>0.99643280000000001</v>
      </c>
      <c r="S6538">
        <v>3.7368770000000003E-2</v>
      </c>
      <c r="T6538">
        <v>-0.164186</v>
      </c>
      <c r="U6538">
        <v>3.0123289999999998</v>
      </c>
      <c r="V6538">
        <v>-9.2619389999999996E-2</v>
      </c>
      <c r="W6538">
        <v>-3.0997709999999999E-3</v>
      </c>
      <c r="X6538">
        <v>0.99569680000000005</v>
      </c>
      <c r="Y6538">
        <v>3.7733179999999999E-3</v>
      </c>
      <c r="Z6538">
        <v>-4.9670020000000002E-2</v>
      </c>
      <c r="AA6538">
        <v>0.99875860000000005</v>
      </c>
      <c r="AB6538">
        <v>50</v>
      </c>
      <c r="AC6538">
        <v>0.24780000000001201</v>
      </c>
      <c r="AD6538">
        <v>-1.1086192189470001</v>
      </c>
      <c r="AE6538">
        <v>19.82976</v>
      </c>
      <c r="AF6538">
        <v>7.6710530537709001E-2</v>
      </c>
      <c r="AG6538">
        <v>-1.1086192189470001</v>
      </c>
      <c r="AH6538">
        <v>19.769377925456201</v>
      </c>
      <c r="AI6538">
        <v>93.209623912083401</v>
      </c>
      <c r="AJ6538">
        <v>89.7776780027135</v>
      </c>
      <c r="AK6538">
        <v>19.800586472062601</v>
      </c>
      <c r="AL6538">
        <v>90.177604073294802</v>
      </c>
      <c r="AM6538">
        <v>95.314342108479096</v>
      </c>
      <c r="AN6538">
        <v>1.0000000387572301</v>
      </c>
    </row>
    <row r="6539" spans="1:40" x14ac:dyDescent="0.25">
      <c r="A6539" t="str">
        <f>"20190305135400460"</f>
        <v>20190305135400460</v>
      </c>
      <c r="B6539" t="str">
        <f>"1551765240456471"</f>
        <v>1551765240456471</v>
      </c>
      <c r="C6539" t="s">
        <v>40</v>
      </c>
      <c r="D6539">
        <v>4.6944379999999999</v>
      </c>
      <c r="E6539">
        <v>0.53662929999999998</v>
      </c>
      <c r="F6539" t="s">
        <v>42</v>
      </c>
      <c r="G6539">
        <v>-187.29920000000001</v>
      </c>
      <c r="H6539" s="1">
        <v>-4.3711789999999998E-6</v>
      </c>
      <c r="I6539">
        <v>38.705379999999998</v>
      </c>
      <c r="J6539">
        <v>-187.53120000000001</v>
      </c>
      <c r="K6539">
        <v>1.108665</v>
      </c>
      <c r="L6539">
        <v>19.02957</v>
      </c>
      <c r="M6539">
        <v>7.7609350000000001E-3</v>
      </c>
      <c r="N6539">
        <v>-4.77203E-3</v>
      </c>
      <c r="O6539">
        <v>0.99995849999999997</v>
      </c>
      <c r="P6539">
        <v>-8.5711209999999996E-2</v>
      </c>
      <c r="Q6539">
        <v>-7.1087540000000001E-3</v>
      </c>
      <c r="R6539">
        <v>0.99629469999999998</v>
      </c>
      <c r="S6539">
        <v>3.523254E-2</v>
      </c>
      <c r="T6539">
        <v>-0.16541649999999999</v>
      </c>
      <c r="U6539">
        <v>3.012451</v>
      </c>
      <c r="V6539">
        <v>-9.3435649999999995E-2</v>
      </c>
      <c r="W6539">
        <v>-2.567602E-3</v>
      </c>
      <c r="X6539">
        <v>0.99562200000000001</v>
      </c>
      <c r="Y6539">
        <v>3.9187730000000004E-3</v>
      </c>
      <c r="Z6539">
        <v>-5.0058510000000001E-2</v>
      </c>
      <c r="AA6539">
        <v>0.99873860000000003</v>
      </c>
      <c r="AB6539">
        <v>50</v>
      </c>
      <c r="AC6539">
        <v>0.23199999999999901</v>
      </c>
      <c r="AD6539">
        <v>-1.1086693711789899</v>
      </c>
      <c r="AE6539">
        <v>19.675809999999998</v>
      </c>
      <c r="AF6539">
        <v>7.90376851192965E-2</v>
      </c>
      <c r="AG6539">
        <v>-1.1086693711789899</v>
      </c>
      <c r="AH6539">
        <v>19.6147504999036</v>
      </c>
      <c r="AI6539">
        <v>93.235016687647899</v>
      </c>
      <c r="AJ6539">
        <v>89.769127765843507</v>
      </c>
      <c r="AK6539">
        <v>19.6462167325856</v>
      </c>
      <c r="AL6539">
        <v>90.147112921171598</v>
      </c>
      <c r="AM6539">
        <v>95.361306433832397</v>
      </c>
      <c r="AN6539">
        <v>0.99999999007747598</v>
      </c>
    </row>
    <row r="6540" spans="1:40" x14ac:dyDescent="0.25">
      <c r="A6540" t="str">
        <f>"20190305135400482"</f>
        <v>20190305135400482</v>
      </c>
      <c r="B6540" t="str">
        <f>"1551765240475990"</f>
        <v>1551765240475990</v>
      </c>
      <c r="C6540" t="s">
        <v>40</v>
      </c>
      <c r="D6540">
        <v>4.6821070000000002</v>
      </c>
      <c r="E6540">
        <v>0.53663539999999998</v>
      </c>
      <c r="F6540" t="s">
        <v>41</v>
      </c>
      <c r="G6540">
        <v>-187.5205</v>
      </c>
      <c r="H6540">
        <v>1.0185409999999999</v>
      </c>
      <c r="I6540">
        <v>19.861460000000001</v>
      </c>
      <c r="J6540">
        <v>-187.5275</v>
      </c>
      <c r="K6540">
        <v>1.1087089999999999</v>
      </c>
      <c r="L6540">
        <v>19.533169999999998</v>
      </c>
      <c r="M6540">
        <v>6.9208569999999999E-3</v>
      </c>
      <c r="N6540">
        <v>-4.7905919999999998E-3</v>
      </c>
      <c r="O6540">
        <v>0.99996459999999998</v>
      </c>
      <c r="P6540">
        <v>-8.7625049999999996E-2</v>
      </c>
      <c r="Q6540">
        <v>-6.137053E-3</v>
      </c>
      <c r="R6540">
        <v>0.99613459999999998</v>
      </c>
      <c r="S6540">
        <v>3.8497919999999998E-2</v>
      </c>
      <c r="T6540">
        <v>-0.32633099999999998</v>
      </c>
      <c r="U6540">
        <v>3.012146</v>
      </c>
      <c r="V6540">
        <v>-9.4513949999999999E-2</v>
      </c>
      <c r="W6540">
        <v>-1.5910659999999999E-3</v>
      </c>
      <c r="X6540">
        <v>0.99552229999999997</v>
      </c>
      <c r="Y6540">
        <v>5.7897060000000004E-3</v>
      </c>
      <c r="Z6540">
        <v>-0.10293529999999999</v>
      </c>
      <c r="AA6540">
        <v>0.99467119999999998</v>
      </c>
      <c r="AB6540">
        <v>51</v>
      </c>
      <c r="AC6540">
        <v>7.0000000000049996E-3</v>
      </c>
      <c r="AD6540">
        <v>-9.0167999999999998E-2</v>
      </c>
      <c r="AE6540">
        <v>0.32828999999999903</v>
      </c>
      <c r="AF6540">
        <v>4.3962639996256297E-3</v>
      </c>
      <c r="AG6540">
        <v>-9.0167999999999998E-2</v>
      </c>
      <c r="AH6540">
        <v>0.30530916949724402</v>
      </c>
      <c r="AI6540">
        <v>106.452018311866</v>
      </c>
      <c r="AJ6540">
        <v>89.175033077394403</v>
      </c>
      <c r="AK6540">
        <v>0.31837601093714801</v>
      </c>
      <c r="AL6540">
        <v>90.091161402088105</v>
      </c>
      <c r="AM6540">
        <v>95.423352025599897</v>
      </c>
      <c r="AN6540">
        <v>1.0000000340164501</v>
      </c>
    </row>
    <row r="6541" spans="1:40" x14ac:dyDescent="0.25">
      <c r="A6541" t="str">
        <f>"20190305135400505"</f>
        <v>20190305135400505</v>
      </c>
      <c r="B6541" t="str">
        <f>"1551765240496486"</f>
        <v>1551765240496486</v>
      </c>
      <c r="C6541" t="s">
        <v>40</v>
      </c>
      <c r="D6541">
        <v>4.7121519999999997</v>
      </c>
      <c r="E6541">
        <v>0.53714069999999903</v>
      </c>
      <c r="F6541" t="s">
        <v>41</v>
      </c>
      <c r="G6541">
        <v>-187.5188</v>
      </c>
      <c r="H6541">
        <v>1.020689</v>
      </c>
      <c r="I6541">
        <v>20.316140000000001</v>
      </c>
      <c r="J6541">
        <v>-187.52430000000001</v>
      </c>
      <c r="K6541">
        <v>1.1087419999999999</v>
      </c>
      <c r="L6541">
        <v>20.04205</v>
      </c>
      <c r="M6541">
        <v>6.0700049999999998E-3</v>
      </c>
      <c r="N6541">
        <v>-4.8108810000000004E-3</v>
      </c>
      <c r="O6541">
        <v>0.99997000000000003</v>
      </c>
      <c r="P6541">
        <v>-8.978556E-2</v>
      </c>
      <c r="Q6541">
        <v>-4.9556469999999997E-3</v>
      </c>
      <c r="R6541">
        <v>0.99594879999999997</v>
      </c>
      <c r="S6541">
        <v>3.3126830000000003E-2</v>
      </c>
      <c r="T6541">
        <v>-0.33866929999999901</v>
      </c>
      <c r="U6541">
        <v>3.0124819999999999</v>
      </c>
      <c r="V6541">
        <v>-9.5828910000000003E-2</v>
      </c>
      <c r="W6541">
        <v>-4.0245960000000002E-4</v>
      </c>
      <c r="X6541">
        <v>0.99539770000000005</v>
      </c>
      <c r="Y6541">
        <v>4.8615209999999997E-3</v>
      </c>
      <c r="Z6541">
        <v>-0.1069293</v>
      </c>
      <c r="AA6541">
        <v>0.99425479999999999</v>
      </c>
      <c r="AB6541">
        <v>51</v>
      </c>
      <c r="AC6541">
        <v>5.5000000000120499E-3</v>
      </c>
      <c r="AD6541">
        <v>-8.8053000000000103E-2</v>
      </c>
      <c r="AE6541">
        <v>0.274090000000001</v>
      </c>
      <c r="AF6541">
        <v>3.4774091902087401E-3</v>
      </c>
      <c r="AG6541">
        <v>-8.8053000000000103E-2</v>
      </c>
      <c r="AH6541">
        <v>0.248483815170531</v>
      </c>
      <c r="AI6541">
        <v>109.510580757952</v>
      </c>
      <c r="AJ6541">
        <v>89.198225990019907</v>
      </c>
      <c r="AK6541">
        <v>0.26364678944636999</v>
      </c>
      <c r="AL6541">
        <v>90.023059238013303</v>
      </c>
      <c r="AM6541">
        <v>95.499031190949694</v>
      </c>
      <c r="AN6541">
        <v>0.99999996156540305</v>
      </c>
    </row>
    <row r="6542" spans="1:40" x14ac:dyDescent="0.25">
      <c r="A6542" t="str">
        <f>"20190305135400526"</f>
        <v>20190305135400526</v>
      </c>
      <c r="B6542" t="str">
        <f>"1551765240516006"</f>
        <v>1551765240516006</v>
      </c>
      <c r="C6542" t="s">
        <v>40</v>
      </c>
      <c r="D6542">
        <v>4.6958650000000004</v>
      </c>
      <c r="E6542">
        <v>0.53608999999999996</v>
      </c>
      <c r="F6542" t="s">
        <v>41</v>
      </c>
      <c r="G6542">
        <v>-187.51679999999999</v>
      </c>
      <c r="H6542">
        <v>1.0282639999999901</v>
      </c>
      <c r="I6542">
        <v>20.774570000000001</v>
      </c>
      <c r="J6542">
        <v>-187.52160000000001</v>
      </c>
      <c r="K6542">
        <v>1.10877</v>
      </c>
      <c r="L6542">
        <v>20.535430000000002</v>
      </c>
      <c r="M6542">
        <v>5.2419720000000001E-3</v>
      </c>
      <c r="N6542">
        <v>-4.8316679999999999E-3</v>
      </c>
      <c r="O6542">
        <v>0.99997460000000005</v>
      </c>
      <c r="P6542">
        <v>-9.2319700000000005E-2</v>
      </c>
      <c r="Q6542">
        <v>-4.233639E-3</v>
      </c>
      <c r="R6542">
        <v>0.99572039999999995</v>
      </c>
      <c r="S6542">
        <v>3.0532839999999999E-2</v>
      </c>
      <c r="T6542">
        <v>-0.33107569999999997</v>
      </c>
      <c r="U6542">
        <v>3.013306</v>
      </c>
      <c r="V6542">
        <v>-9.7538899999999901E-2</v>
      </c>
      <c r="W6542">
        <v>3.2741219999999998E-4</v>
      </c>
      <c r="X6542">
        <v>0.99523170000000005</v>
      </c>
      <c r="Y6542">
        <v>4.8335239999999996E-3</v>
      </c>
      <c r="Z6542">
        <v>-0.1044045</v>
      </c>
      <c r="AA6542">
        <v>0.99452320000000005</v>
      </c>
      <c r="AB6542">
        <v>51</v>
      </c>
      <c r="AC6542">
        <v>4.8000000000172297E-3</v>
      </c>
      <c r="AD6542">
        <v>-8.0506000000000105E-2</v>
      </c>
      <c r="AE6542">
        <v>0.23914000000000199</v>
      </c>
      <c r="AF6542">
        <v>3.1854829079855798E-3</v>
      </c>
      <c r="AG6542">
        <v>-8.0506000000000105E-2</v>
      </c>
      <c r="AH6542">
        <v>0.214825145797754</v>
      </c>
      <c r="AI6542">
        <v>110.541481336281</v>
      </c>
      <c r="AJ6542">
        <v>89.150465600853707</v>
      </c>
      <c r="AK6542">
        <v>0.229436715903064</v>
      </c>
      <c r="AL6542">
        <v>89.981240663202499</v>
      </c>
      <c r="AM6542">
        <v>95.597466989412695</v>
      </c>
      <c r="AN6542">
        <v>1.0000000404484199</v>
      </c>
    </row>
    <row r="6543" spans="1:40" x14ac:dyDescent="0.25">
      <c r="A6543" t="str">
        <f>"20190305135400548"</f>
        <v>20190305135400548</v>
      </c>
      <c r="B6543" t="str">
        <f>"1551765240536507"</f>
        <v>1551765240536507</v>
      </c>
      <c r="C6543" t="s">
        <v>40</v>
      </c>
      <c r="D6543">
        <v>4.6922050000000004</v>
      </c>
      <c r="E6543">
        <v>0.53518379999999999</v>
      </c>
      <c r="F6543" t="s">
        <v>41</v>
      </c>
      <c r="G6543">
        <v>-187.51570000000001</v>
      </c>
      <c r="H6543">
        <v>0.97929429999999995</v>
      </c>
      <c r="I6543">
        <v>21.664390000000001</v>
      </c>
      <c r="J6543">
        <v>-187.51920000000001</v>
      </c>
      <c r="K6543">
        <v>1.1087800000000001</v>
      </c>
      <c r="L6543">
        <v>21.037569999999999</v>
      </c>
      <c r="M6543">
        <v>4.3970679999999996E-3</v>
      </c>
      <c r="N6543">
        <v>-4.8535549999999998E-3</v>
      </c>
      <c r="O6543">
        <v>0.99997849999999999</v>
      </c>
      <c r="P6543">
        <v>-9.4194490000000006E-2</v>
      </c>
      <c r="Q6543">
        <v>-3.734313E-3</v>
      </c>
      <c r="R6543">
        <v>0.99554679999999995</v>
      </c>
      <c r="S6543">
        <v>1.5213010000000001E-2</v>
      </c>
      <c r="T6543">
        <v>-0.34554099999999999</v>
      </c>
      <c r="U6543">
        <v>3.012848</v>
      </c>
      <c r="V6543">
        <v>-9.8573830000000001E-2</v>
      </c>
      <c r="W6543">
        <v>8.3953529999999997E-4</v>
      </c>
      <c r="X6543">
        <v>0.99512940000000005</v>
      </c>
      <c r="Y6543">
        <v>6.2186369999999997E-4</v>
      </c>
      <c r="Z6543">
        <v>-0.10911659999999999</v>
      </c>
      <c r="AA6543">
        <v>0.99402869999999999</v>
      </c>
      <c r="AB6543">
        <v>51</v>
      </c>
      <c r="AC6543">
        <v>3.5000000000024998E-3</v>
      </c>
      <c r="AD6543">
        <v>-0.12948569999999901</v>
      </c>
      <c r="AE6543">
        <v>0.62681999999999805</v>
      </c>
      <c r="AF6543">
        <v>7.1332431449409503E-4</v>
      </c>
      <c r="AG6543">
        <v>-0.12948569999999901</v>
      </c>
      <c r="AH6543">
        <v>0.60117587138057704</v>
      </c>
      <c r="AI6543">
        <v>102.155085150738</v>
      </c>
      <c r="AJ6543">
        <v>89.932015811994802</v>
      </c>
      <c r="AK6543">
        <v>0.61496299373723595</v>
      </c>
      <c r="AL6543">
        <v>89.951898165569204</v>
      </c>
      <c r="AM6543">
        <v>95.657053106180499</v>
      </c>
      <c r="AN6543">
        <v>1.0000000137623699</v>
      </c>
    </row>
    <row r="6544" spans="1:40" x14ac:dyDescent="0.25">
      <c r="A6544" t="str">
        <f>"20190305135400569"</f>
        <v>20190305135400569</v>
      </c>
      <c r="B6544" t="str">
        <f>"1551765240566759"</f>
        <v>1551765240566759</v>
      </c>
      <c r="C6544" t="s">
        <v>40</v>
      </c>
      <c r="D6544">
        <v>4.7501749999999996</v>
      </c>
      <c r="E6544">
        <v>0.53422080000000005</v>
      </c>
      <c r="F6544" t="s">
        <v>41</v>
      </c>
      <c r="G6544">
        <v>-187.51830000000001</v>
      </c>
      <c r="H6544">
        <v>0.98153100000000004</v>
      </c>
      <c r="I6544">
        <v>22.123809999999999</v>
      </c>
      <c r="J6544">
        <v>-187.51730000000001</v>
      </c>
      <c r="K6544">
        <v>1.1087910000000001</v>
      </c>
      <c r="L6544">
        <v>21.528320000000001</v>
      </c>
      <c r="M6544">
        <v>3.5692359999999999E-3</v>
      </c>
      <c r="N6544">
        <v>-4.8755880000000001E-3</v>
      </c>
      <c r="O6544">
        <v>0.99998180000000003</v>
      </c>
      <c r="P6544">
        <v>-9.5916349999999997E-2</v>
      </c>
      <c r="Q6544">
        <v>-3.2669660000000001E-3</v>
      </c>
      <c r="R6544">
        <v>0.99538400000000005</v>
      </c>
      <c r="S6544">
        <v>2.4414060000000001E-3</v>
      </c>
      <c r="T6544">
        <v>-0.35287729999999901</v>
      </c>
      <c r="U6544">
        <v>3.0123289999999998</v>
      </c>
      <c r="V6544">
        <v>-9.9472469999999993E-2</v>
      </c>
      <c r="W6544">
        <v>1.320664E-3</v>
      </c>
      <c r="X6544">
        <v>0.99503949999999997</v>
      </c>
      <c r="Y6544">
        <v>-2.7630480000000002E-3</v>
      </c>
      <c r="Z6544">
        <v>-0.11150350000000001</v>
      </c>
      <c r="AA6544">
        <v>0.99376019999999998</v>
      </c>
      <c r="AB6544">
        <v>51</v>
      </c>
      <c r="AC6544">
        <v>-1.0000000000047701E-3</v>
      </c>
      <c r="AD6544">
        <v>-0.12726000000000001</v>
      </c>
      <c r="AE6544">
        <v>0.59548999999999797</v>
      </c>
      <c r="AF6544">
        <v>-2.9889566360949298E-3</v>
      </c>
      <c r="AG6544">
        <v>-0.12726000000000001</v>
      </c>
      <c r="AH6544">
        <v>0.569474574643142</v>
      </c>
      <c r="AI6544">
        <v>102.596703460718</v>
      </c>
      <c r="AJ6544">
        <v>90.300721112884602</v>
      </c>
      <c r="AK6544">
        <v>0.58352834774907103</v>
      </c>
      <c r="AL6544">
        <v>89.924331509302505</v>
      </c>
      <c r="AM6544">
        <v>95.708798416182304</v>
      </c>
      <c r="AN6544">
        <v>1.00000006150077</v>
      </c>
    </row>
    <row r="6545" spans="1:40" x14ac:dyDescent="0.25">
      <c r="A6545" t="str">
        <f>"20190305135400593"</f>
        <v>20190305135400593</v>
      </c>
      <c r="B6545" t="str">
        <f>"1551765240586278"</f>
        <v>1551765240586278</v>
      </c>
      <c r="C6545" t="s">
        <v>40</v>
      </c>
      <c r="D6545">
        <v>4.693886</v>
      </c>
      <c r="E6545">
        <v>0.53406229999999999</v>
      </c>
      <c r="F6545" t="s">
        <v>41</v>
      </c>
      <c r="G6545">
        <v>-187.52099999999999</v>
      </c>
      <c r="H6545">
        <v>0.98479700000000003</v>
      </c>
      <c r="I6545">
        <v>22.58484</v>
      </c>
      <c r="J6545">
        <v>-187.51570000000001</v>
      </c>
      <c r="K6545">
        <v>1.1088039999999999</v>
      </c>
      <c r="L6545">
        <v>22.06259</v>
      </c>
      <c r="M6545">
        <v>2.6663189999999999E-3</v>
      </c>
      <c r="N6545">
        <v>-4.8999880000000001E-3</v>
      </c>
      <c r="O6545">
        <v>0.9999844</v>
      </c>
      <c r="P6545">
        <v>-9.6947169999999999E-2</v>
      </c>
      <c r="Q6545">
        <v>-3.4867750000000001E-3</v>
      </c>
      <c r="R6545">
        <v>0.99528340000000004</v>
      </c>
      <c r="S6545">
        <v>-1.057434E-2</v>
      </c>
      <c r="T6545">
        <v>-0.3534678</v>
      </c>
      <c r="U6545">
        <v>3.0117189999999998</v>
      </c>
      <c r="V6545">
        <v>-9.9603929999999993E-2</v>
      </c>
      <c r="W6545">
        <v>1.1194390000000001E-3</v>
      </c>
      <c r="X6545">
        <v>0.99502650000000004</v>
      </c>
      <c r="Y6545">
        <v>-6.1535510000000002E-3</v>
      </c>
      <c r="Z6545">
        <v>-0.111694</v>
      </c>
      <c r="AA6545">
        <v>0.99372360000000004</v>
      </c>
      <c r="AB6545">
        <v>51</v>
      </c>
      <c r="AC6545">
        <v>-5.2999999999769898E-3</v>
      </c>
      <c r="AD6545">
        <v>-0.12400700000000001</v>
      </c>
      <c r="AE6545">
        <v>0.52224999999999899</v>
      </c>
      <c r="AF6545">
        <v>-6.3353255774022199E-3</v>
      </c>
      <c r="AG6545">
        <v>-0.12400700000000001</v>
      </c>
      <c r="AH6545">
        <v>0.49436397188388398</v>
      </c>
      <c r="AI6545">
        <v>104.080502549812</v>
      </c>
      <c r="AJ6545">
        <v>90.734211166798602</v>
      </c>
      <c r="AK6545">
        <v>0.50971914727228096</v>
      </c>
      <c r="AL6545">
        <v>89.935860854291903</v>
      </c>
      <c r="AM6545">
        <v>95.716367259102498</v>
      </c>
      <c r="AN6545">
        <v>0.999999965858684</v>
      </c>
    </row>
    <row r="6546" spans="1:40" x14ac:dyDescent="0.25">
      <c r="A6546" t="str">
        <f>"20190305135400616"</f>
        <v>20190305135400616</v>
      </c>
      <c r="B6546" t="str">
        <f>"1551765240606774"</f>
        <v>1551765240606774</v>
      </c>
      <c r="C6546" t="s">
        <v>40</v>
      </c>
      <c r="D6546">
        <v>4.6914610000000003</v>
      </c>
      <c r="E6546">
        <v>0.53384699999999996</v>
      </c>
      <c r="F6546" t="s">
        <v>41</v>
      </c>
      <c r="G6546">
        <v>-187.5206</v>
      </c>
      <c r="H6546">
        <v>0.99201379999999995</v>
      </c>
      <c r="I6546">
        <v>23.048760000000001</v>
      </c>
      <c r="J6546">
        <v>-187.5146</v>
      </c>
      <c r="K6546">
        <v>1.1088070000000001</v>
      </c>
      <c r="L6546">
        <v>22.594270000000002</v>
      </c>
      <c r="M6546">
        <v>1.76633E-3</v>
      </c>
      <c r="N6546">
        <v>-4.9244290000000001E-3</v>
      </c>
      <c r="O6546">
        <v>0.99998629999999999</v>
      </c>
      <c r="P6546">
        <v>-9.7581829999999994E-2</v>
      </c>
      <c r="Q6546">
        <v>-3.0278710000000001E-3</v>
      </c>
      <c r="R6546">
        <v>0.99522290000000002</v>
      </c>
      <c r="S6546">
        <v>-1.504517E-2</v>
      </c>
      <c r="T6546">
        <v>-0.35664839999999998</v>
      </c>
      <c r="U6546">
        <v>3.0115050000000001</v>
      </c>
      <c r="V6546">
        <v>-9.9344329999999995E-2</v>
      </c>
      <c r="W6546">
        <v>1.5996129999999999E-3</v>
      </c>
      <c r="X6546">
        <v>0.99505180000000004</v>
      </c>
      <c r="Y6546">
        <v>-6.7282740000000002E-3</v>
      </c>
      <c r="Z6546">
        <v>-0.1127128</v>
      </c>
      <c r="AA6546">
        <v>0.99360479999999995</v>
      </c>
      <c r="AB6546">
        <v>51</v>
      </c>
      <c r="AC6546">
        <v>-6.0000000000002196E-3</v>
      </c>
      <c r="AD6546">
        <v>-0.116793199999999</v>
      </c>
      <c r="AE6546">
        <v>0.45448999999999901</v>
      </c>
      <c r="AF6546">
        <v>-6.3814426675325598E-3</v>
      </c>
      <c r="AG6546">
        <v>-0.116793199999999</v>
      </c>
      <c r="AH6546">
        <v>0.42633009548196998</v>
      </c>
      <c r="AI6546">
        <v>105.31867888424</v>
      </c>
      <c r="AJ6546">
        <v>90.857557167792706</v>
      </c>
      <c r="AK6546">
        <v>0.44208452211135402</v>
      </c>
      <c r="AL6546">
        <v>89.9083488843807</v>
      </c>
      <c r="AM6546">
        <v>95.701422836700104</v>
      </c>
      <c r="AN6546">
        <v>0.99999996967406801</v>
      </c>
    </row>
    <row r="6547" spans="1:40" x14ac:dyDescent="0.25">
      <c r="A6547" t="str">
        <f>"20190305135400638"</f>
        <v>20190305135400638</v>
      </c>
      <c r="B6547" t="str">
        <f>"1551765240626294"</f>
        <v>1551765240626294</v>
      </c>
      <c r="C6547" t="s">
        <v>40</v>
      </c>
      <c r="D6547">
        <v>4.5885499999999997</v>
      </c>
      <c r="E6547">
        <v>0.53378700000000001</v>
      </c>
      <c r="F6547" t="s">
        <v>41</v>
      </c>
      <c r="G6547">
        <v>-187.52019999999999</v>
      </c>
      <c r="H6547">
        <v>0.99981330000000002</v>
      </c>
      <c r="I6547">
        <v>23.514109999999999</v>
      </c>
      <c r="J6547">
        <v>-187.51400000000001</v>
      </c>
      <c r="K6547">
        <v>1.108808</v>
      </c>
      <c r="L6547">
        <v>23.11206</v>
      </c>
      <c r="M6547">
        <v>8.8912189999999997E-4</v>
      </c>
      <c r="N6547">
        <v>-4.9482500000000004E-3</v>
      </c>
      <c r="O6547">
        <v>0.99998739999999997</v>
      </c>
      <c r="P6547">
        <v>-9.8040260000000004E-2</v>
      </c>
      <c r="Q6547">
        <v>-3.131497E-3</v>
      </c>
      <c r="R6547">
        <v>0.99517750000000005</v>
      </c>
      <c r="S6547">
        <v>-1.8539429999999999E-2</v>
      </c>
      <c r="T6547">
        <v>-0.35685840000000002</v>
      </c>
      <c r="U6547">
        <v>3.0115050000000001</v>
      </c>
      <c r="V6547">
        <v>-9.8929630000000005E-2</v>
      </c>
      <c r="W6547">
        <v>1.5180739999999999E-3</v>
      </c>
      <c r="X6547">
        <v>0.99509329999999996</v>
      </c>
      <c r="Y6547">
        <v>-7.0037930000000003E-3</v>
      </c>
      <c r="Z6547">
        <v>-0.1127571</v>
      </c>
      <c r="AA6547">
        <v>0.99359790000000003</v>
      </c>
      <c r="AB6547">
        <v>52</v>
      </c>
      <c r="AC6547">
        <v>-6.1999999999784398E-3</v>
      </c>
      <c r="AD6547">
        <v>-0.108994699999999</v>
      </c>
      <c r="AE6547">
        <v>0.40205000000000202</v>
      </c>
      <c r="AF6547">
        <v>-6.1086334982769896E-3</v>
      </c>
      <c r="AG6547">
        <v>-0.108994699999999</v>
      </c>
      <c r="AH6547">
        <v>0.37452557002596099</v>
      </c>
      <c r="AI6547">
        <v>106.224045870738</v>
      </c>
      <c r="AJ6547">
        <v>90.934429888518295</v>
      </c>
      <c r="AK6547">
        <v>0.39011096195131101</v>
      </c>
      <c r="AL6547">
        <v>89.913020735662499</v>
      </c>
      <c r="AM6547">
        <v>95.677543571627098</v>
      </c>
      <c r="AN6547">
        <v>1.00000002597274</v>
      </c>
    </row>
    <row r="6548" spans="1:40" x14ac:dyDescent="0.25">
      <c r="A6548" t="str">
        <f>"20190305135400660"</f>
        <v>20190305135400660</v>
      </c>
      <c r="B6548" t="str">
        <f>"1551765240646791"</f>
        <v>1551765240646791</v>
      </c>
      <c r="C6548" t="s">
        <v>40</v>
      </c>
      <c r="D6548">
        <v>4.6643019999999904</v>
      </c>
      <c r="E6548">
        <v>0.53395439999999905</v>
      </c>
      <c r="F6548" t="s">
        <v>41</v>
      </c>
      <c r="G6548">
        <v>-187.5198</v>
      </c>
      <c r="H6548">
        <v>1.0055970000000001</v>
      </c>
      <c r="I6548">
        <v>23.97964</v>
      </c>
      <c r="J6548">
        <v>-187.5138</v>
      </c>
      <c r="K6548">
        <v>1.108814</v>
      </c>
      <c r="L6548">
        <v>23.61908</v>
      </c>
      <c r="M6548" s="1">
        <v>2.99751E-5</v>
      </c>
      <c r="N6548">
        <v>-4.9715940000000002E-3</v>
      </c>
      <c r="O6548">
        <v>0.99998770000000003</v>
      </c>
      <c r="P6548">
        <v>-9.7929879999999997E-2</v>
      </c>
      <c r="Q6548">
        <v>-3.627061E-3</v>
      </c>
      <c r="R6548">
        <v>0.99518669999999998</v>
      </c>
      <c r="S6548">
        <v>-2.0446780000000001E-2</v>
      </c>
      <c r="T6548">
        <v>-0.35826049999999998</v>
      </c>
      <c r="U6548">
        <v>3.0113829999999999</v>
      </c>
      <c r="V6548">
        <v>-9.7963090000000003E-2</v>
      </c>
      <c r="W6548">
        <v>1.0455289999999999E-3</v>
      </c>
      <c r="X6548">
        <v>0.99518949999999995</v>
      </c>
      <c r="Y6548">
        <v>-6.7739159999999996E-3</v>
      </c>
      <c r="Z6548">
        <v>-0.1131947</v>
      </c>
      <c r="AA6548">
        <v>0.99354969999999998</v>
      </c>
      <c r="AB6548">
        <v>52</v>
      </c>
      <c r="AC6548">
        <v>-6.0000000000002196E-3</v>
      </c>
      <c r="AD6548">
        <v>-0.103217</v>
      </c>
      <c r="AE6548">
        <v>0.36055999999999899</v>
      </c>
      <c r="AF6548">
        <v>-5.55565012510288E-3</v>
      </c>
      <c r="AG6548">
        <v>-0.103217</v>
      </c>
      <c r="AH6548">
        <v>0.33325706376020198</v>
      </c>
      <c r="AI6548">
        <v>107.206646754868</v>
      </c>
      <c r="AJ6548">
        <v>90.955075993916097</v>
      </c>
      <c r="AK6548">
        <v>0.34891959658836003</v>
      </c>
      <c r="AL6548">
        <v>89.940095590058803</v>
      </c>
      <c r="AM6548">
        <v>95.621891247884406</v>
      </c>
      <c r="AN6548">
        <v>1.00000000052174</v>
      </c>
    </row>
    <row r="6549" spans="1:40" x14ac:dyDescent="0.25">
      <c r="A6549" t="str">
        <f>"20190305135400685"</f>
        <v>20190305135400685</v>
      </c>
      <c r="B6549" t="str">
        <f>"1551765240676071"</f>
        <v>1551765240676071</v>
      </c>
      <c r="C6549" t="s">
        <v>40</v>
      </c>
      <c r="D6549">
        <v>4.7130710000000002</v>
      </c>
      <c r="E6549">
        <v>0.53505809999999998</v>
      </c>
      <c r="F6549" t="s">
        <v>41</v>
      </c>
      <c r="G6549">
        <v>-187.5187</v>
      </c>
      <c r="H6549">
        <v>1.009323</v>
      </c>
      <c r="I6549">
        <v>24.4453</v>
      </c>
      <c r="J6549">
        <v>-187.51410000000001</v>
      </c>
      <c r="K6549">
        <v>1.108811</v>
      </c>
      <c r="L6549">
        <v>24.190550000000002</v>
      </c>
      <c r="M6549">
        <v>-9.3847129999999996E-4</v>
      </c>
      <c r="N6549">
        <v>-4.9979439999999998E-3</v>
      </c>
      <c r="O6549">
        <v>0.99998710000000002</v>
      </c>
      <c r="P6549">
        <v>-9.8287929999999996E-2</v>
      </c>
      <c r="Q6549">
        <v>-4.3710199999999998E-3</v>
      </c>
      <c r="R6549">
        <v>0.99514840000000004</v>
      </c>
      <c r="S6549">
        <v>-1.844788E-2</v>
      </c>
      <c r="T6549">
        <v>-0.36266179999999998</v>
      </c>
      <c r="U6549">
        <v>3.0113829999999999</v>
      </c>
      <c r="V6549">
        <v>-9.7355239999999996E-2</v>
      </c>
      <c r="W6549">
        <v>3.2693540000000001E-4</v>
      </c>
      <c r="X6549">
        <v>0.99524959999999996</v>
      </c>
      <c r="Y6549">
        <v>-5.145485E-3</v>
      </c>
      <c r="Z6549">
        <v>-0.1146008</v>
      </c>
      <c r="AA6549">
        <v>0.99339829999999996</v>
      </c>
      <c r="AB6549">
        <v>52</v>
      </c>
      <c r="AC6549">
        <v>-4.5999999999821696E-3</v>
      </c>
      <c r="AD6549">
        <v>-9.9487999999999993E-2</v>
      </c>
      <c r="AE6549">
        <v>0.25474999999999698</v>
      </c>
      <c r="AF6549">
        <v>-3.78399147437408E-3</v>
      </c>
      <c r="AG6549">
        <v>-9.9487999999999993E-2</v>
      </c>
      <c r="AH6549">
        <v>0.22105149022989501</v>
      </c>
      <c r="AI6549">
        <v>114.22780051346901</v>
      </c>
      <c r="AJ6549">
        <v>90.980701680265</v>
      </c>
      <c r="AK6549">
        <v>0.24243750136547701</v>
      </c>
      <c r="AL6549">
        <v>89.981267980285594</v>
      </c>
      <c r="AM6549">
        <v>95.586894186532504</v>
      </c>
      <c r="AN6549">
        <v>0.99999995797118502</v>
      </c>
    </row>
    <row r="6550" spans="1:40" x14ac:dyDescent="0.25">
      <c r="A6550" t="str">
        <f>"20190305135400708"</f>
        <v>20190305135400708</v>
      </c>
      <c r="B6550" t="str">
        <f>"1551765240696568"</f>
        <v>1551765240696568</v>
      </c>
      <c r="C6550" t="s">
        <v>40</v>
      </c>
      <c r="D6550">
        <v>4.5968489999999997</v>
      </c>
      <c r="E6550">
        <v>0.56334600000000001</v>
      </c>
      <c r="F6550" t="s">
        <v>41</v>
      </c>
      <c r="G6550">
        <v>-187.51660000000001</v>
      </c>
      <c r="H6550">
        <v>1.0203759999999999</v>
      </c>
      <c r="I6550">
        <v>24.91554</v>
      </c>
      <c r="J6550">
        <v>-187.51480000000001</v>
      </c>
      <c r="K6550">
        <v>1.1088119999999999</v>
      </c>
      <c r="L6550">
        <v>24.712620000000001</v>
      </c>
      <c r="M6550">
        <v>-1.822171E-3</v>
      </c>
      <c r="N6550">
        <v>-5.0220539999999998E-3</v>
      </c>
      <c r="O6550">
        <v>0.99998580000000004</v>
      </c>
      <c r="P6550">
        <v>-9.8653870000000005E-2</v>
      </c>
      <c r="Q6550">
        <v>-4.4119930000000003E-3</v>
      </c>
      <c r="R6550">
        <v>0.995112</v>
      </c>
      <c r="S6550">
        <v>-1.029968E-2</v>
      </c>
      <c r="T6550">
        <v>-0.36741220000000002</v>
      </c>
      <c r="U6550">
        <v>3.0119929999999999</v>
      </c>
      <c r="V6550">
        <v>-9.6841750000000004E-2</v>
      </c>
      <c r="W6550">
        <v>3.0929230000000001E-4</v>
      </c>
      <c r="X6550">
        <v>0.99529979999999996</v>
      </c>
      <c r="Y6550">
        <v>-1.5737170000000001E-3</v>
      </c>
      <c r="Z6550">
        <v>-0.1160982</v>
      </c>
      <c r="AA6550">
        <v>0.99323649999999997</v>
      </c>
      <c r="AB6550">
        <v>52</v>
      </c>
      <c r="AC6550">
        <v>-1.8000000000029099E-3</v>
      </c>
      <c r="AD6550">
        <v>-8.8436000000000098E-2</v>
      </c>
      <c r="AE6550">
        <v>0.20291999999999799</v>
      </c>
      <c r="AF6550">
        <v>-1.20195941107811E-3</v>
      </c>
      <c r="AG6550">
        <v>-8.8436000000000098E-2</v>
      </c>
      <c r="AH6550">
        <v>0.170534720364799</v>
      </c>
      <c r="AI6550">
        <v>117.40979772169401</v>
      </c>
      <c r="AJ6550">
        <v>90.403824282346207</v>
      </c>
      <c r="AK6550">
        <v>0.19210533998909601</v>
      </c>
      <c r="AL6550">
        <v>89.982278857284697</v>
      </c>
      <c r="AM6550">
        <v>95.557333115607193</v>
      </c>
      <c r="AN6550">
        <v>1.00000005604241</v>
      </c>
    </row>
    <row r="6551" spans="1:40" x14ac:dyDescent="0.25">
      <c r="A6551" t="str">
        <f>"20190305135400729"</f>
        <v>20190305135400729</v>
      </c>
      <c r="B6551" t="str">
        <f>"1551765240716086"</f>
        <v>1551765240716086</v>
      </c>
      <c r="C6551" t="s">
        <v>40</v>
      </c>
      <c r="D6551">
        <v>4.6533689999999996</v>
      </c>
      <c r="E6551">
        <v>0.56340880000000004</v>
      </c>
      <c r="F6551" t="s">
        <v>41</v>
      </c>
      <c r="G6551">
        <v>-187.4376</v>
      </c>
      <c r="H6551">
        <v>0.89042119999999902</v>
      </c>
      <c r="I6551">
        <v>25.787849999999999</v>
      </c>
      <c r="J6551">
        <v>-187.51609999999999</v>
      </c>
      <c r="K6551">
        <v>1.1088180000000001</v>
      </c>
      <c r="L6551">
        <v>25.222380000000001</v>
      </c>
      <c r="M6551">
        <v>-2.6797399999999999E-3</v>
      </c>
      <c r="N6551">
        <v>-5.0454540000000004E-3</v>
      </c>
      <c r="O6551">
        <v>0.99998370000000003</v>
      </c>
      <c r="P6551">
        <v>-9.9464860000000002E-2</v>
      </c>
      <c r="Q6551">
        <v>-4.4584769999999998E-3</v>
      </c>
      <c r="R6551">
        <v>0.99503109999999995</v>
      </c>
      <c r="S6551">
        <v>0.217804</v>
      </c>
      <c r="T6551">
        <v>-0.61616729999999997</v>
      </c>
      <c r="U6551">
        <v>3.0335999999999999</v>
      </c>
      <c r="V6551">
        <v>-9.6799499999999997E-2</v>
      </c>
      <c r="W6551">
        <v>2.849738E-4</v>
      </c>
      <c r="X6551">
        <v>0.99530390000000002</v>
      </c>
      <c r="Y6551">
        <v>7.2892189999999996E-2</v>
      </c>
      <c r="Z6551">
        <v>-0.1935907</v>
      </c>
      <c r="AA6551">
        <v>0.97837079999999998</v>
      </c>
      <c r="AB6551">
        <v>52</v>
      </c>
      <c r="AC6551">
        <v>7.8499999999991105E-2</v>
      </c>
      <c r="AD6551">
        <v>-0.2183968</v>
      </c>
      <c r="AE6551">
        <v>0.56547000000000103</v>
      </c>
      <c r="AF6551">
        <v>6.9800033629046604E-2</v>
      </c>
      <c r="AG6551">
        <v>-0.2183968</v>
      </c>
      <c r="AH6551">
        <v>0.49309473674335902</v>
      </c>
      <c r="AI6551">
        <v>113.679302964307</v>
      </c>
      <c r="AJ6551">
        <v>81.943025151092499</v>
      </c>
      <c r="AK6551">
        <v>0.54379373511365403</v>
      </c>
      <c r="AL6551">
        <v>89.983672204401998</v>
      </c>
      <c r="AM6551">
        <v>95.554900997574805</v>
      </c>
      <c r="AN6551">
        <v>1.0000000388827599</v>
      </c>
    </row>
    <row r="6552" spans="1:40" x14ac:dyDescent="0.25">
      <c r="A6552" t="str">
        <f>"20190305135400750"</f>
        <v>20190305135400750</v>
      </c>
      <c r="B6552" t="str">
        <f>"1551765240746343"</f>
        <v>1551765240746343</v>
      </c>
      <c r="C6552" t="s">
        <v>40</v>
      </c>
      <c r="D6552">
        <v>4.5967710000000004</v>
      </c>
      <c r="E6552">
        <v>0.56333269999999902</v>
      </c>
      <c r="F6552" t="s">
        <v>41</v>
      </c>
      <c r="G6552">
        <v>-187.4419</v>
      </c>
      <c r="H6552">
        <v>0.90396799999999999</v>
      </c>
      <c r="I6552">
        <v>26.261649999999999</v>
      </c>
      <c r="J6552">
        <v>-187.51759999999999</v>
      </c>
      <c r="K6552">
        <v>1.1088169999999999</v>
      </c>
      <c r="L6552">
        <v>25.70853</v>
      </c>
      <c r="M6552">
        <v>-3.4919109999999999E-3</v>
      </c>
      <c r="N6552">
        <v>-5.0677450000000002E-3</v>
      </c>
      <c r="O6552">
        <v>0.99998100000000001</v>
      </c>
      <c r="P6552">
        <v>-0.1005617</v>
      </c>
      <c r="Q6552">
        <v>-4.3230589999999998E-3</v>
      </c>
      <c r="R6552">
        <v>0.99492139999999996</v>
      </c>
      <c r="S6552">
        <v>0.2160339</v>
      </c>
      <c r="T6552">
        <v>-0.59803189999999995</v>
      </c>
      <c r="U6552">
        <v>3.0339049999999999</v>
      </c>
      <c r="V6552">
        <v>-9.7088519999999998E-2</v>
      </c>
      <c r="W6552">
        <v>4.4042259999999998E-4</v>
      </c>
      <c r="X6552">
        <v>0.99527569999999999</v>
      </c>
      <c r="Y6552">
        <v>7.3206229999999997E-2</v>
      </c>
      <c r="Z6552">
        <v>-0.18792310000000001</v>
      </c>
      <c r="AA6552">
        <v>0.97945179999999998</v>
      </c>
      <c r="AB6552">
        <v>52</v>
      </c>
      <c r="AC6552">
        <v>7.5699999999983406E-2</v>
      </c>
      <c r="AD6552">
        <v>-0.204848999999999</v>
      </c>
      <c r="AE6552">
        <v>0.55311999999999895</v>
      </c>
      <c r="AF6552">
        <v>6.8419150391106798E-2</v>
      </c>
      <c r="AG6552">
        <v>-0.204848999999999</v>
      </c>
      <c r="AH6552">
        <v>0.48724967164310801</v>
      </c>
      <c r="AI6552">
        <v>112.60364440505001</v>
      </c>
      <c r="AJ6552">
        <v>82.006841052221404</v>
      </c>
      <c r="AK6552">
        <v>0.53296954458726498</v>
      </c>
      <c r="AL6552">
        <v>89.974765644184203</v>
      </c>
      <c r="AM6552">
        <v>95.571539262125</v>
      </c>
      <c r="AN6552">
        <v>1.0000000468491701</v>
      </c>
    </row>
    <row r="6553" spans="1:40" x14ac:dyDescent="0.25">
      <c r="A6553" t="str">
        <f>"20190305135400772"</f>
        <v>20190305135400772</v>
      </c>
      <c r="B6553" t="str">
        <f>"1551765240766839"</f>
        <v>1551765240766839</v>
      </c>
      <c r="C6553" t="s">
        <v>40</v>
      </c>
      <c r="D6553">
        <v>4.6027620000000002</v>
      </c>
      <c r="E6553">
        <v>0.56336249999999999</v>
      </c>
      <c r="F6553" t="s">
        <v>41</v>
      </c>
      <c r="G6553">
        <v>-187.446</v>
      </c>
      <c r="H6553">
        <v>0.90908719999999998</v>
      </c>
      <c r="I6553">
        <v>26.733429999999998</v>
      </c>
      <c r="J6553">
        <v>-187.5196</v>
      </c>
      <c r="K6553">
        <v>1.1088129999999901</v>
      </c>
      <c r="L6553">
        <v>26.22775</v>
      </c>
      <c r="M6553">
        <v>-4.3489599999999998E-3</v>
      </c>
      <c r="N6553">
        <v>-5.0914860000000001E-3</v>
      </c>
      <c r="O6553">
        <v>0.99997760000000002</v>
      </c>
      <c r="P6553">
        <v>-0.1018212</v>
      </c>
      <c r="Q6553">
        <v>-3.6446550000000001E-3</v>
      </c>
      <c r="R6553">
        <v>0.99479600000000001</v>
      </c>
      <c r="S6553">
        <v>0.21215819999999999</v>
      </c>
      <c r="T6553">
        <v>-0.59129129999999996</v>
      </c>
      <c r="U6553">
        <v>3.0341800000000001</v>
      </c>
      <c r="V6553">
        <v>-9.7497550000000002E-2</v>
      </c>
      <c r="W6553">
        <v>1.140896E-3</v>
      </c>
      <c r="X6553">
        <v>0.99523510000000004</v>
      </c>
      <c r="Y6553">
        <v>7.2838340000000001E-2</v>
      </c>
      <c r="Z6553">
        <v>-0.1857964</v>
      </c>
      <c r="AA6553">
        <v>0.9798848</v>
      </c>
      <c r="AB6553">
        <v>52</v>
      </c>
      <c r="AC6553">
        <v>7.3599999999999E-2</v>
      </c>
      <c r="AD6553">
        <v>-0.19972579999999901</v>
      </c>
      <c r="AE6553">
        <v>0.50567999999999802</v>
      </c>
      <c r="AF6553">
        <v>6.5753877819345996E-2</v>
      </c>
      <c r="AG6553">
        <v>-0.19972579999999901</v>
      </c>
      <c r="AH6553">
        <v>0.43838668468667602</v>
      </c>
      <c r="AI6553">
        <v>114.254082356179</v>
      </c>
      <c r="AJ6553">
        <v>81.469761637229993</v>
      </c>
      <c r="AK6553">
        <v>0.48620659492081802</v>
      </c>
      <c r="AL6553">
        <v>89.934631459442102</v>
      </c>
      <c r="AM6553">
        <v>95.595090103159393</v>
      </c>
      <c r="AN6553">
        <v>0.99999998908584697</v>
      </c>
    </row>
    <row r="6554" spans="1:40" x14ac:dyDescent="0.25">
      <c r="A6554" t="str">
        <f>"20190305135400795"</f>
        <v>20190305135400795</v>
      </c>
      <c r="B6554" t="str">
        <f>"1551765240786359"</f>
        <v>1551765240786359</v>
      </c>
      <c r="C6554" t="s">
        <v>40</v>
      </c>
      <c r="D6554">
        <v>4.6290290000000001</v>
      </c>
      <c r="E6554">
        <v>0.56307559999999901</v>
      </c>
      <c r="F6554" t="s">
        <v>41</v>
      </c>
      <c r="G6554">
        <v>-187.452</v>
      </c>
      <c r="H6554">
        <v>0.91971159999999996</v>
      </c>
      <c r="I6554">
        <v>27.208819999999999</v>
      </c>
      <c r="J6554">
        <v>-187.5222</v>
      </c>
      <c r="K6554">
        <v>1.108806</v>
      </c>
      <c r="L6554">
        <v>26.76398</v>
      </c>
      <c r="M6554">
        <v>-5.2150749999999996E-3</v>
      </c>
      <c r="N6554">
        <v>-5.1158519999999997E-3</v>
      </c>
      <c r="O6554">
        <v>0.99997329999999995</v>
      </c>
      <c r="P6554">
        <v>-0.10327359999999999</v>
      </c>
      <c r="Q6554">
        <v>-3.1897359999999999E-3</v>
      </c>
      <c r="R6554">
        <v>0.99464790000000003</v>
      </c>
      <c r="S6554">
        <v>0.20877080000000001</v>
      </c>
      <c r="T6554">
        <v>-0.58499219999999996</v>
      </c>
      <c r="U6554">
        <v>3.0349119999999998</v>
      </c>
      <c r="V6554">
        <v>-9.8090209999999997E-2</v>
      </c>
      <c r="W6554">
        <v>1.619164E-3</v>
      </c>
      <c r="X6554">
        <v>0.99517619999999896</v>
      </c>
      <c r="Y6554">
        <v>7.2623590000000002E-2</v>
      </c>
      <c r="Z6554">
        <v>-0.1837742</v>
      </c>
      <c r="AA6554">
        <v>0.98028199999999999</v>
      </c>
      <c r="AB6554">
        <v>53</v>
      </c>
      <c r="AC6554">
        <v>7.0199999999999804E-2</v>
      </c>
      <c r="AD6554">
        <v>-0.1890944</v>
      </c>
      <c r="AE6554">
        <v>0.44484000000000201</v>
      </c>
      <c r="AF6554">
        <v>6.1649743705168597E-2</v>
      </c>
      <c r="AG6554">
        <v>-0.1890944</v>
      </c>
      <c r="AH6554">
        <v>0.37785060316041202</v>
      </c>
      <c r="AI6554">
        <v>116.285524406294</v>
      </c>
      <c r="AJ6554">
        <v>80.733328542162496</v>
      </c>
      <c r="AK6554">
        <v>0.42699936922548298</v>
      </c>
      <c r="AL6554">
        <v>89.907228694998096</v>
      </c>
      <c r="AM6554">
        <v>95.629214315273899</v>
      </c>
      <c r="AN6554">
        <v>0.99999999001817097</v>
      </c>
    </row>
    <row r="6555" spans="1:40" x14ac:dyDescent="0.25">
      <c r="A6555" t="str">
        <f>"20190305135400828"</f>
        <v>20190305135400828</v>
      </c>
      <c r="B6555" t="str">
        <f>"1551765240816618"</f>
        <v>1551765240816618</v>
      </c>
      <c r="C6555" t="s">
        <v>40</v>
      </c>
      <c r="D6555">
        <v>4.5783360000000002</v>
      </c>
      <c r="E6555">
        <v>0.56250829999999996</v>
      </c>
      <c r="F6555" t="s">
        <v>41</v>
      </c>
      <c r="G6555">
        <v>-187.4606</v>
      </c>
      <c r="H6555">
        <v>0.93216790000000005</v>
      </c>
      <c r="I6555">
        <v>27.686489999999999</v>
      </c>
      <c r="J6555">
        <v>-187.52680000000001</v>
      </c>
      <c r="K6555">
        <v>1.108787</v>
      </c>
      <c r="L6555">
        <v>27.54532</v>
      </c>
      <c r="M6555">
        <v>-6.4269380000000001E-3</v>
      </c>
      <c r="N6555">
        <v>-5.1510000000000002E-3</v>
      </c>
      <c r="O6555">
        <v>0.99996609999999997</v>
      </c>
      <c r="P6555">
        <v>-0.10498109999999999</v>
      </c>
      <c r="Q6555">
        <v>-3.06149E-3</v>
      </c>
      <c r="R6555">
        <v>0.99446950000000001</v>
      </c>
      <c r="S6555">
        <v>0.2024841</v>
      </c>
      <c r="T6555">
        <v>-0.58118840000000005</v>
      </c>
      <c r="U6555">
        <v>3.0353089999999998</v>
      </c>
      <c r="V6555">
        <v>-9.8593169999999994E-2</v>
      </c>
      <c r="W6555">
        <v>1.7851029999999999E-3</v>
      </c>
      <c r="X6555">
        <v>0.99512619999999896</v>
      </c>
      <c r="Y6555">
        <v>7.1817919999999993E-2</v>
      </c>
      <c r="Z6555">
        <v>-0.18254670000000001</v>
      </c>
      <c r="AA6555">
        <v>0.98057070000000002</v>
      </c>
      <c r="AB6555">
        <v>53</v>
      </c>
      <c r="AC6555">
        <v>6.6200000000009099E-2</v>
      </c>
      <c r="AD6555">
        <v>-0.1766191</v>
      </c>
      <c r="AE6555">
        <v>0.14117000000000199</v>
      </c>
      <c r="AF6555">
        <v>2.9392285614263498E-2</v>
      </c>
      <c r="AG6555">
        <v>-0.1766191</v>
      </c>
      <c r="AH6555">
        <v>6.1644588088946697E-2</v>
      </c>
      <c r="AI6555">
        <v>158.860038263549</v>
      </c>
      <c r="AJ6555">
        <v>64.508083252041899</v>
      </c>
      <c r="AK6555">
        <v>0.189362795129076</v>
      </c>
      <c r="AL6555">
        <v>89.897721075415305</v>
      </c>
      <c r="AM6555">
        <v>95.658173884799993</v>
      </c>
      <c r="AN6555">
        <v>0.99999997684490405</v>
      </c>
    </row>
    <row r="6556" spans="1:40" x14ac:dyDescent="0.25">
      <c r="A6556" t="str">
        <f>"20190305135400849"</f>
        <v>20190305135400849</v>
      </c>
      <c r="B6556" t="str">
        <f>"1551765240836134"</f>
        <v>1551765240836134</v>
      </c>
      <c r="C6556" t="s">
        <v>40</v>
      </c>
      <c r="D6556">
        <v>4.5952289999999998</v>
      </c>
      <c r="E6556">
        <v>0.56255409999999995</v>
      </c>
      <c r="F6556" t="s">
        <v>41</v>
      </c>
      <c r="G6556">
        <v>-187.45840000000001</v>
      </c>
      <c r="H6556">
        <v>0.90353519999999998</v>
      </c>
      <c r="I6556">
        <v>28.620840000000001</v>
      </c>
      <c r="J6556">
        <v>-187.53020000000001</v>
      </c>
      <c r="K6556">
        <v>1.108765</v>
      </c>
      <c r="L6556">
        <v>28.047090000000001</v>
      </c>
      <c r="M6556">
        <v>-7.1605339999999996E-3</v>
      </c>
      <c r="N6556">
        <v>-5.1734069999999997E-3</v>
      </c>
      <c r="O6556">
        <v>0.99996099999999999</v>
      </c>
      <c r="P6556">
        <v>-0.1057695</v>
      </c>
      <c r="Q6556">
        <v>-2.7464479999999999E-3</v>
      </c>
      <c r="R6556">
        <v>0.99438689999999996</v>
      </c>
      <c r="S6556">
        <v>0.1928406</v>
      </c>
      <c r="T6556">
        <v>-0.57924929999999997</v>
      </c>
      <c r="U6556">
        <v>3.0352480000000002</v>
      </c>
      <c r="V6556">
        <v>-9.8652420000000005E-2</v>
      </c>
      <c r="W6556">
        <v>2.1274710000000001E-3</v>
      </c>
      <c r="X6556">
        <v>0.99511970000000005</v>
      </c>
      <c r="Y6556">
        <v>6.9456480000000001E-2</v>
      </c>
      <c r="Z6556">
        <v>-0.18195649999999999</v>
      </c>
      <c r="AA6556">
        <v>0.98085049999999996</v>
      </c>
      <c r="AB6556">
        <v>53</v>
      </c>
      <c r="AC6556">
        <v>7.1799999999996006E-2</v>
      </c>
      <c r="AD6556">
        <v>-0.20522979999999999</v>
      </c>
      <c r="AE6556">
        <v>0.57374999999999998</v>
      </c>
      <c r="AF6556">
        <v>6.7414037288798703E-2</v>
      </c>
      <c r="AG6556">
        <v>-0.20522979999999999</v>
      </c>
      <c r="AH6556">
        <v>0.50908837287026698</v>
      </c>
      <c r="AI6556">
        <v>111.783786836217</v>
      </c>
      <c r="AJ6556">
        <v>82.456717470567398</v>
      </c>
      <c r="AK6556">
        <v>0.55302341236453201</v>
      </c>
      <c r="AL6556">
        <v>89.878104801358205</v>
      </c>
      <c r="AM6556">
        <v>95.661588845779804</v>
      </c>
      <c r="AN6556">
        <v>1.0000000217164</v>
      </c>
    </row>
    <row r="6557" spans="1:40" x14ac:dyDescent="0.25">
      <c r="A6557" t="str">
        <f>"20190305135400874"</f>
        <v>20190305135400874</v>
      </c>
      <c r="B6557" t="str">
        <f>"1551765240866390"</f>
        <v>1551765240866390</v>
      </c>
      <c r="C6557" t="s">
        <v>40</v>
      </c>
      <c r="D6557">
        <v>4.527361</v>
      </c>
      <c r="E6557">
        <v>0.56210230000000005</v>
      </c>
      <c r="F6557" t="s">
        <v>41</v>
      </c>
      <c r="G6557">
        <v>-187.4639</v>
      </c>
      <c r="H6557">
        <v>0.90808759999999999</v>
      </c>
      <c r="I6557">
        <v>29.09798</v>
      </c>
      <c r="J6557">
        <v>-187.53450000000001</v>
      </c>
      <c r="K6557">
        <v>1.1087320000000001</v>
      </c>
      <c r="L6557">
        <v>28.625520000000002</v>
      </c>
      <c r="M6557">
        <v>-7.9597820000000003E-3</v>
      </c>
      <c r="N6557">
        <v>-5.1993050000000004E-3</v>
      </c>
      <c r="O6557">
        <v>0.99995480000000003</v>
      </c>
      <c r="P6557">
        <v>-0.10676869999999999</v>
      </c>
      <c r="Q6557">
        <v>-2.157193E-3</v>
      </c>
      <c r="R6557">
        <v>0.99428150000000004</v>
      </c>
      <c r="S6557">
        <v>0.1912537</v>
      </c>
      <c r="T6557">
        <v>-0.57969619999999999</v>
      </c>
      <c r="U6557">
        <v>3.0356749999999999</v>
      </c>
      <c r="V6557">
        <v>-9.8859139999999998E-2</v>
      </c>
      <c r="W6557">
        <v>2.7487879999999998E-3</v>
      </c>
      <c r="X6557">
        <v>0.99509760000000003</v>
      </c>
      <c r="Y6557">
        <v>6.9732950000000002E-2</v>
      </c>
      <c r="Z6557">
        <v>-0.18204429999999999</v>
      </c>
      <c r="AA6557">
        <v>0.98081450000000003</v>
      </c>
      <c r="AB6557">
        <v>53</v>
      </c>
      <c r="AC6557">
        <v>7.0600000000013097E-2</v>
      </c>
      <c r="AD6557">
        <v>-0.2006444</v>
      </c>
      <c r="AE6557">
        <v>0.47245999999999799</v>
      </c>
      <c r="AF6557">
        <v>6.3207758135782693E-2</v>
      </c>
      <c r="AG6557">
        <v>-0.2006444</v>
      </c>
      <c r="AH6557">
        <v>0.401119891675707</v>
      </c>
      <c r="AI6557">
        <v>116.29460010170899</v>
      </c>
      <c r="AJ6557">
        <v>81.045068258902504</v>
      </c>
      <c r="AK6557">
        <v>0.45293549589079701</v>
      </c>
      <c r="AL6557">
        <v>89.842505844105403</v>
      </c>
      <c r="AM6557">
        <v>95.673500215735601</v>
      </c>
      <c r="AN6557">
        <v>0.99999995946138298</v>
      </c>
    </row>
    <row r="6558" spans="1:40" x14ac:dyDescent="0.25">
      <c r="A6558" t="str">
        <f>"20190305135400896"</f>
        <v>20190305135400896</v>
      </c>
      <c r="B6558" t="str">
        <f>"1551765240886887"</f>
        <v>1551765240886887</v>
      </c>
      <c r="C6558" t="s">
        <v>40</v>
      </c>
      <c r="D6558">
        <v>4.5283939999999996</v>
      </c>
      <c r="E6558">
        <v>0.56207589999999996</v>
      </c>
      <c r="F6558" t="s">
        <v>41</v>
      </c>
      <c r="G6558">
        <v>-187.4759</v>
      </c>
      <c r="H6558">
        <v>0.92631200000000002</v>
      </c>
      <c r="I6558">
        <v>29.582360000000001</v>
      </c>
      <c r="J6558">
        <v>-187.53890000000001</v>
      </c>
      <c r="K6558">
        <v>1.108689</v>
      </c>
      <c r="L6558">
        <v>29.167570000000001</v>
      </c>
      <c r="M6558">
        <v>-8.6498010000000004E-3</v>
      </c>
      <c r="N6558">
        <v>-5.2235199999999997E-3</v>
      </c>
      <c r="O6558">
        <v>0.99994890000000003</v>
      </c>
      <c r="P6558">
        <v>-0.10709</v>
      </c>
      <c r="Q6558">
        <v>-1.218809E-3</v>
      </c>
      <c r="R6558">
        <v>0.99424860000000004</v>
      </c>
      <c r="S6558">
        <v>0.18553159999999999</v>
      </c>
      <c r="T6558">
        <v>-0.57880089999999995</v>
      </c>
      <c r="U6558">
        <v>3.0359189999999998</v>
      </c>
      <c r="V6558">
        <v>-9.8496319999999998E-2</v>
      </c>
      <c r="W6558">
        <v>3.7220080000000002E-3</v>
      </c>
      <c r="X6558">
        <v>0.99513050000000003</v>
      </c>
      <c r="Y6558">
        <v>6.8578609999999998E-2</v>
      </c>
      <c r="Z6558">
        <v>-0.18174319999999999</v>
      </c>
      <c r="AA6558">
        <v>0.98095180000000004</v>
      </c>
      <c r="AB6558">
        <v>53</v>
      </c>
      <c r="AC6558">
        <v>6.3000000000016598E-2</v>
      </c>
      <c r="AD6558">
        <v>-0.18237699999999901</v>
      </c>
      <c r="AE6558">
        <v>0.414789999999996</v>
      </c>
      <c r="AF6558">
        <v>5.6003000134968201E-2</v>
      </c>
      <c r="AG6558">
        <v>-0.18237699999999901</v>
      </c>
      <c r="AH6558">
        <v>0.34839539829674399</v>
      </c>
      <c r="AI6558">
        <v>117.33183231995</v>
      </c>
      <c r="AJ6558">
        <v>80.868078885763296</v>
      </c>
      <c r="AK6558">
        <v>0.39721160570590602</v>
      </c>
      <c r="AL6558">
        <v>89.786744167541798</v>
      </c>
      <c r="AM6558">
        <v>95.652627496016095</v>
      </c>
      <c r="AN6558">
        <v>1.0000000452136699</v>
      </c>
    </row>
    <row r="6559" spans="1:40" x14ac:dyDescent="0.25">
      <c r="A6559" t="str">
        <f>"20190305135400917"</f>
        <v>20190305135400917</v>
      </c>
      <c r="B6559" t="str">
        <f>"1551765240906407"</f>
        <v>1551765240906407</v>
      </c>
      <c r="C6559" t="s">
        <v>40</v>
      </c>
      <c r="D6559">
        <v>4.5104179999999996</v>
      </c>
      <c r="E6559">
        <v>0.56191840000000004</v>
      </c>
      <c r="F6559" t="s">
        <v>41</v>
      </c>
      <c r="G6559">
        <v>-187.48429999999999</v>
      </c>
      <c r="H6559">
        <v>0.93817139999999999</v>
      </c>
      <c r="I6559">
        <v>30.065560000000001</v>
      </c>
      <c r="J6559">
        <v>-187.54339999999999</v>
      </c>
      <c r="K6559">
        <v>1.10863</v>
      </c>
      <c r="L6559">
        <v>29.676120000000001</v>
      </c>
      <c r="M6559">
        <v>-9.2308470000000004E-3</v>
      </c>
      <c r="N6559">
        <v>-5.2459239999999999E-3</v>
      </c>
      <c r="O6559">
        <v>0.99994360000000004</v>
      </c>
      <c r="P6559">
        <v>-0.1072259</v>
      </c>
      <c r="Q6559">
        <v>-1.2767519999999999E-3</v>
      </c>
      <c r="R6559">
        <v>0.99423379999999995</v>
      </c>
      <c r="S6559">
        <v>0.18441769999999999</v>
      </c>
      <c r="T6559">
        <v>-0.57660459999999902</v>
      </c>
      <c r="U6559">
        <v>3.0364990000000001</v>
      </c>
      <c r="V6559">
        <v>-9.8053109999999999E-2</v>
      </c>
      <c r="W6559">
        <v>3.6991200000000002E-3</v>
      </c>
      <c r="X6559">
        <v>0.99517429999999996</v>
      </c>
      <c r="Y6559">
        <v>6.879652E-2</v>
      </c>
      <c r="Z6559">
        <v>-0.18100079999999999</v>
      </c>
      <c r="AA6559">
        <v>0.9810738</v>
      </c>
      <c r="AB6559">
        <v>53</v>
      </c>
      <c r="AC6559">
        <v>5.9100000000000798E-2</v>
      </c>
      <c r="AD6559">
        <v>-0.17045859999999999</v>
      </c>
      <c r="AE6559">
        <v>0.38943999999999601</v>
      </c>
      <c r="AF6559">
        <v>5.2803818292794201E-2</v>
      </c>
      <c r="AG6559">
        <v>-0.17045859999999999</v>
      </c>
      <c r="AH6559">
        <v>0.32753951211392301</v>
      </c>
      <c r="AI6559">
        <v>117.193540768129</v>
      </c>
      <c r="AJ6559">
        <v>80.841938382930607</v>
      </c>
      <c r="AK6559">
        <v>0.37299666156158201</v>
      </c>
      <c r="AL6559">
        <v>89.788055550953999</v>
      </c>
      <c r="AM6559">
        <v>95.627109556773604</v>
      </c>
      <c r="AN6559">
        <v>0.999999991624968</v>
      </c>
    </row>
    <row r="6560" spans="1:40" x14ac:dyDescent="0.25">
      <c r="A6560" t="str">
        <f>"20190305135400939"</f>
        <v>20190305135400939</v>
      </c>
      <c r="B6560" t="str">
        <f>"1551765240926902"</f>
        <v>1551765240926902</v>
      </c>
      <c r="C6560" t="s">
        <v>40</v>
      </c>
      <c r="D6560">
        <v>4.5073840000000001</v>
      </c>
      <c r="E6560">
        <v>0.56217479999999997</v>
      </c>
      <c r="F6560" t="s">
        <v>41</v>
      </c>
      <c r="G6560">
        <v>-187.4907</v>
      </c>
      <c r="H6560">
        <v>0.94223480000000004</v>
      </c>
      <c r="I6560">
        <v>30.546130000000002</v>
      </c>
      <c r="J6560">
        <v>-187.54820000000001</v>
      </c>
      <c r="K6560">
        <v>1.108563</v>
      </c>
      <c r="L6560">
        <v>30.189029999999999</v>
      </c>
      <c r="M6560">
        <v>-9.7419140000000008E-3</v>
      </c>
      <c r="N6560">
        <v>-5.2682659999999997E-3</v>
      </c>
      <c r="O6560">
        <v>0.99993869999999896</v>
      </c>
      <c r="P6560">
        <v>-0.1073378</v>
      </c>
      <c r="Q6560">
        <v>-1.202968E-3</v>
      </c>
      <c r="R6560">
        <v>0.99422189999999999</v>
      </c>
      <c r="S6560">
        <v>0.18341060000000001</v>
      </c>
      <c r="T6560">
        <v>-0.58073949999999996</v>
      </c>
      <c r="U6560">
        <v>3.036438</v>
      </c>
      <c r="V6560">
        <v>-9.765588E-2</v>
      </c>
      <c r="W6560">
        <v>3.8111759999999999E-3</v>
      </c>
      <c r="X6560">
        <v>0.99521300000000001</v>
      </c>
      <c r="Y6560">
        <v>6.8968699999999994E-2</v>
      </c>
      <c r="Z6560">
        <v>-0.18227109999999999</v>
      </c>
      <c r="AA6560">
        <v>0.98082650000000005</v>
      </c>
      <c r="AB6560">
        <v>53</v>
      </c>
      <c r="AC6560">
        <v>5.7500000000004499E-2</v>
      </c>
      <c r="AD6560">
        <v>-0.16632819999999901</v>
      </c>
      <c r="AE6560">
        <v>0.35709999999999897</v>
      </c>
      <c r="AF6560">
        <v>5.0332638518938898E-2</v>
      </c>
      <c r="AG6560">
        <v>-0.16632819999999901</v>
      </c>
      <c r="AH6560">
        <v>0.29429105456513499</v>
      </c>
      <c r="AI6560">
        <v>119.121896587065</v>
      </c>
      <c r="AJ6560">
        <v>80.294599964378804</v>
      </c>
      <c r="AK6560">
        <v>0.34176844414395102</v>
      </c>
      <c r="AL6560">
        <v>89.781635183744399</v>
      </c>
      <c r="AM6560">
        <v>95.604242045499404</v>
      </c>
      <c r="AN6560">
        <v>1.0000000556650299</v>
      </c>
    </row>
    <row r="6561" spans="1:40" x14ac:dyDescent="0.25">
      <c r="A6561" t="str">
        <f>"20190305135400962"</f>
        <v>20190305135400962</v>
      </c>
      <c r="B6561" t="str">
        <f>"1551765240956182"</f>
        <v>1551765240956182</v>
      </c>
      <c r="C6561" t="s">
        <v>40</v>
      </c>
      <c r="D6561">
        <v>4.492121</v>
      </c>
      <c r="E6561">
        <v>0.56252119999999906</v>
      </c>
      <c r="F6561" t="s">
        <v>41</v>
      </c>
      <c r="G6561">
        <v>-187.4966</v>
      </c>
      <c r="H6561">
        <v>0.94807649999999999</v>
      </c>
      <c r="I6561">
        <v>31.028700000000001</v>
      </c>
      <c r="J6561">
        <v>-187.55350000000001</v>
      </c>
      <c r="K6561">
        <v>1.108479</v>
      </c>
      <c r="L6561">
        <v>30.74042</v>
      </c>
      <c r="M6561">
        <v>-1.0203200000000001E-2</v>
      </c>
      <c r="N6561">
        <v>-5.2922239999999999E-3</v>
      </c>
      <c r="O6561">
        <v>0.99993399999999999</v>
      </c>
      <c r="P6561">
        <v>-0.1072467</v>
      </c>
      <c r="Q6561">
        <v>-9.9355040000000008E-4</v>
      </c>
      <c r="R6561">
        <v>0.99423189999999995</v>
      </c>
      <c r="S6561">
        <v>0.1855927</v>
      </c>
      <c r="T6561">
        <v>-0.5804224</v>
      </c>
      <c r="U6561">
        <v>3.0367739999999999</v>
      </c>
      <c r="V6561">
        <v>-9.7105759999999999E-2</v>
      </c>
      <c r="W6561">
        <v>4.0638970000000003E-3</v>
      </c>
      <c r="X6561">
        <v>0.99526579999999998</v>
      </c>
      <c r="Y6561">
        <v>7.0125460000000001E-2</v>
      </c>
      <c r="Z6561">
        <v>-0.18211579999999999</v>
      </c>
      <c r="AA6561">
        <v>0.98077329999999996</v>
      </c>
      <c r="AB6561">
        <v>54</v>
      </c>
      <c r="AC6561">
        <v>5.6900000000013003E-2</v>
      </c>
      <c r="AD6561">
        <v>-0.1604025</v>
      </c>
      <c r="AE6561">
        <v>0.28827999999999998</v>
      </c>
      <c r="AF6561">
        <v>4.61010177254371E-2</v>
      </c>
      <c r="AG6561">
        <v>-0.1604025</v>
      </c>
      <c r="AH6561">
        <v>0.221639147092728</v>
      </c>
      <c r="AI6561">
        <v>125.31929363710201</v>
      </c>
      <c r="AJ6561">
        <v>78.249997811803496</v>
      </c>
      <c r="AK6561">
        <v>0.27744941406599299</v>
      </c>
      <c r="AL6561">
        <v>89.7671552191876</v>
      </c>
      <c r="AM6561">
        <v>95.572577454742202</v>
      </c>
      <c r="AN6561">
        <v>1.00000002826682</v>
      </c>
    </row>
    <row r="6562" spans="1:40" x14ac:dyDescent="0.25">
      <c r="A6562" t="str">
        <f>"20190305135400985"</f>
        <v>20190305135400985</v>
      </c>
      <c r="B6562" t="str">
        <f>"1551765240976679"</f>
        <v>1551765240976679</v>
      </c>
      <c r="C6562" t="s">
        <v>40</v>
      </c>
      <c r="D6562">
        <v>4.4604990000000004</v>
      </c>
      <c r="E6562">
        <v>0.5627124</v>
      </c>
      <c r="F6562" t="s">
        <v>41</v>
      </c>
      <c r="G6562">
        <v>-187.50540000000001</v>
      </c>
      <c r="H6562">
        <v>0.96048690000000003</v>
      </c>
      <c r="I6562">
        <v>31.515540000000001</v>
      </c>
      <c r="J6562">
        <v>-187.5592</v>
      </c>
      <c r="K6562">
        <v>1.1083970000000001</v>
      </c>
      <c r="L6562">
        <v>31.296420000000001</v>
      </c>
      <c r="M6562">
        <v>-1.057425E-2</v>
      </c>
      <c r="N6562">
        <v>-5.316678E-3</v>
      </c>
      <c r="O6562">
        <v>0.99992999999999999</v>
      </c>
      <c r="P6562">
        <v>-0.1071336</v>
      </c>
      <c r="Q6562">
        <v>-3.3018739999999999E-4</v>
      </c>
      <c r="R6562">
        <v>0.99424460000000003</v>
      </c>
      <c r="S6562">
        <v>0.18875120000000001</v>
      </c>
      <c r="T6562">
        <v>-0.57987749999999905</v>
      </c>
      <c r="U6562">
        <v>3.0371700000000001</v>
      </c>
      <c r="V6562">
        <v>-9.6623269999999997E-2</v>
      </c>
      <c r="W6562">
        <v>4.7729469999999996E-3</v>
      </c>
      <c r="X6562">
        <v>0.99530960000000002</v>
      </c>
      <c r="Y6562">
        <v>7.1505639999999995E-2</v>
      </c>
      <c r="Z6562">
        <v>-0.18188219999999999</v>
      </c>
      <c r="AA6562">
        <v>0.98071699999999995</v>
      </c>
      <c r="AB6562">
        <v>54</v>
      </c>
      <c r="AC6562">
        <v>5.37999999999954E-2</v>
      </c>
      <c r="AD6562">
        <v>-0.14791009999999899</v>
      </c>
      <c r="AE6562">
        <v>0.21912000000000001</v>
      </c>
      <c r="AF6562">
        <v>3.9247632235018801E-2</v>
      </c>
      <c r="AG6562">
        <v>-0.14791009999999899</v>
      </c>
      <c r="AH6562">
        <v>0.152851765376216</v>
      </c>
      <c r="AI6562">
        <v>133.14525821964301</v>
      </c>
      <c r="AJ6562">
        <v>75.599307479875606</v>
      </c>
      <c r="AK6562">
        <v>0.21629016736017101</v>
      </c>
      <c r="AL6562">
        <v>89.726529247813602</v>
      </c>
      <c r="AM6562">
        <v>95.5448194519049</v>
      </c>
      <c r="AN6562">
        <v>1.0000000185903499</v>
      </c>
    </row>
    <row r="6563" spans="1:40" x14ac:dyDescent="0.25">
      <c r="A6563" t="str">
        <f>"20190305135401006"</f>
        <v>20190305135401006</v>
      </c>
      <c r="B6563" t="str">
        <f>"1551765240996198"</f>
        <v>1551765240996198</v>
      </c>
      <c r="C6563" t="s">
        <v>40</v>
      </c>
      <c r="D6563">
        <v>4.4734689999999997</v>
      </c>
      <c r="E6563">
        <v>0.56291369999999996</v>
      </c>
      <c r="F6563" t="s">
        <v>41</v>
      </c>
      <c r="G6563">
        <v>-187.5146</v>
      </c>
      <c r="H6563">
        <v>0.97384910000000002</v>
      </c>
      <c r="I6563">
        <v>32.003979999999999</v>
      </c>
      <c r="J6563">
        <v>-187.56479999999999</v>
      </c>
      <c r="K6563">
        <v>1.1083080000000001</v>
      </c>
      <c r="L6563">
        <v>31.828279999999999</v>
      </c>
      <c r="M6563">
        <v>-1.08372E-2</v>
      </c>
      <c r="N6563">
        <v>-5.3402519999999898E-3</v>
      </c>
      <c r="O6563">
        <v>0.99992700000000001</v>
      </c>
      <c r="P6563">
        <v>-0.10703269999999999</v>
      </c>
      <c r="Q6563" s="1">
        <v>2.1000860000000001E-5</v>
      </c>
      <c r="R6563">
        <v>0.99425549999999996</v>
      </c>
      <c r="S6563">
        <v>0.19050600000000001</v>
      </c>
      <c r="T6563">
        <v>-0.57763120000000001</v>
      </c>
      <c r="U6563">
        <v>3.0376889999999999</v>
      </c>
      <c r="V6563">
        <v>-9.6260479999999995E-2</v>
      </c>
      <c r="W6563">
        <v>5.1687169999999998E-3</v>
      </c>
      <c r="X6563">
        <v>0.99534270000000002</v>
      </c>
      <c r="Y6563">
        <v>7.2330210000000006E-2</v>
      </c>
      <c r="Z6563">
        <v>-0.18111849999999999</v>
      </c>
      <c r="AA6563">
        <v>0.9807979</v>
      </c>
      <c r="AB6563">
        <v>54</v>
      </c>
      <c r="AC6563">
        <v>5.0199999999989503E-2</v>
      </c>
      <c r="AD6563">
        <v>-0.13445889999999999</v>
      </c>
      <c r="AE6563">
        <v>0.175699999999999</v>
      </c>
      <c r="AF6563">
        <v>3.3800177217280999E-2</v>
      </c>
      <c r="AG6563">
        <v>-0.13445889999999999</v>
      </c>
      <c r="AH6563">
        <v>0.11362419129981299</v>
      </c>
      <c r="AI6563">
        <v>138.59916100901</v>
      </c>
      <c r="AJ6563">
        <v>73.4336572582489</v>
      </c>
      <c r="AK6563">
        <v>0.179254301531835</v>
      </c>
      <c r="AL6563">
        <v>89.703852994899194</v>
      </c>
      <c r="AM6563">
        <v>95.523946849365998</v>
      </c>
      <c r="AN6563">
        <v>0.99999994304427098</v>
      </c>
    </row>
    <row r="6564" spans="1:40" x14ac:dyDescent="0.25">
      <c r="A6564" t="str">
        <f>"20190305135401028"</f>
        <v>20190305135401028</v>
      </c>
      <c r="B6564" t="str">
        <f>"1551765241016694"</f>
        <v>1551765241016694</v>
      </c>
      <c r="C6564" t="s">
        <v>40</v>
      </c>
      <c r="D6564">
        <v>4.4667209999999997</v>
      </c>
      <c r="E6564">
        <v>0.56308780000000003</v>
      </c>
      <c r="F6564" t="s">
        <v>41</v>
      </c>
      <c r="G6564">
        <v>-187.49449999999999</v>
      </c>
      <c r="H6564">
        <v>0.89792700000000003</v>
      </c>
      <c r="I6564">
        <v>32.936340000000001</v>
      </c>
      <c r="J6564">
        <v>-187.57040000000001</v>
      </c>
      <c r="K6564">
        <v>1.1082179999999999</v>
      </c>
      <c r="L6564">
        <v>32.35004</v>
      </c>
      <c r="M6564">
        <v>-1.102679E-2</v>
      </c>
      <c r="N6564">
        <v>-5.363367E-3</v>
      </c>
      <c r="O6564">
        <v>0.99992479999999995</v>
      </c>
      <c r="P6564">
        <v>-0.1067268</v>
      </c>
      <c r="Q6564">
        <v>-3.2271900000000001E-4</v>
      </c>
      <c r="R6564">
        <v>0.99428830000000001</v>
      </c>
      <c r="S6564">
        <v>0.19215389999999999</v>
      </c>
      <c r="T6564">
        <v>-0.57680940000000003</v>
      </c>
      <c r="U6564">
        <v>3.0380250000000002</v>
      </c>
      <c r="V6564">
        <v>-9.5764180000000004E-2</v>
      </c>
      <c r="W6564">
        <v>4.8683140000000003E-3</v>
      </c>
      <c r="X6564">
        <v>0.9953921</v>
      </c>
      <c r="Y6564">
        <v>7.3045509999999994E-2</v>
      </c>
      <c r="Z6564">
        <v>-0.1808111</v>
      </c>
      <c r="AA6564">
        <v>0.98080160000000005</v>
      </c>
      <c r="AB6564">
        <v>54</v>
      </c>
      <c r="AC6564">
        <v>7.5900000000018494E-2</v>
      </c>
      <c r="AD6564">
        <v>-0.21029099999999901</v>
      </c>
      <c r="AE6564">
        <v>0.58630000000000104</v>
      </c>
      <c r="AF6564">
        <v>7.3110077733749695E-2</v>
      </c>
      <c r="AG6564">
        <v>-0.21029099999999901</v>
      </c>
      <c r="AH6564">
        <v>0.51967449057674797</v>
      </c>
      <c r="AI6564">
        <v>111.836619577474</v>
      </c>
      <c r="AJ6564">
        <v>81.991935546584202</v>
      </c>
      <c r="AK6564">
        <v>0.56535737750863102</v>
      </c>
      <c r="AL6564">
        <v>89.721065040274993</v>
      </c>
      <c r="AM6564">
        <v>95.495370207278796</v>
      </c>
      <c r="AN6564">
        <v>0.99999995569734101</v>
      </c>
    </row>
    <row r="6565" spans="1:40" x14ac:dyDescent="0.25">
      <c r="A6565" t="str">
        <f>"20190305135401050"</f>
        <v>20190305135401050</v>
      </c>
      <c r="B6565" t="str">
        <f>"1551765241046951"</f>
        <v>1551765241046951</v>
      </c>
      <c r="C6565" t="s">
        <v>40</v>
      </c>
      <c r="D6565">
        <v>4.4615229999999997</v>
      </c>
      <c r="E6565">
        <v>0.56329130000000005</v>
      </c>
      <c r="F6565" t="s">
        <v>41</v>
      </c>
      <c r="G6565">
        <v>-187.50139999999999</v>
      </c>
      <c r="H6565">
        <v>0.90390490000000001</v>
      </c>
      <c r="I6565">
        <v>33.423969999999997</v>
      </c>
      <c r="J6565">
        <v>-187.5762</v>
      </c>
      <c r="K6565">
        <v>1.108142</v>
      </c>
      <c r="L6565">
        <v>32.882289999999998</v>
      </c>
      <c r="M6565">
        <v>-1.11667E-2</v>
      </c>
      <c r="N6565">
        <v>-5.3870580000000001E-3</v>
      </c>
      <c r="O6565">
        <v>0.99992309999999995</v>
      </c>
      <c r="P6565">
        <v>-0.1071396</v>
      </c>
      <c r="Q6565">
        <v>-1.0256340000000001E-3</v>
      </c>
      <c r="R6565">
        <v>0.9942434</v>
      </c>
      <c r="S6565">
        <v>0.19471740000000001</v>
      </c>
      <c r="T6565">
        <v>-0.5779569</v>
      </c>
      <c r="U6565">
        <v>3.0379330000000002</v>
      </c>
      <c r="V6565">
        <v>-9.6036430000000006E-2</v>
      </c>
      <c r="W6565">
        <v>4.2069469999999999E-3</v>
      </c>
      <c r="X6565">
        <v>0.99536899999999995</v>
      </c>
      <c r="Y6565">
        <v>7.4006520000000006E-2</v>
      </c>
      <c r="Z6565">
        <v>-0.18113899999999999</v>
      </c>
      <c r="AA6565">
        <v>0.98066900000000001</v>
      </c>
      <c r="AB6565">
        <v>54</v>
      </c>
      <c r="AC6565">
        <v>7.48000000000104E-2</v>
      </c>
      <c r="AD6565">
        <v>-0.20423709999999901</v>
      </c>
      <c r="AE6565">
        <v>0.54167999999999905</v>
      </c>
      <c r="AF6565">
        <v>7.0946962697421304E-2</v>
      </c>
      <c r="AG6565">
        <v>-0.20423709999999901</v>
      </c>
      <c r="AH6565">
        <v>0.47460291336718302</v>
      </c>
      <c r="AI6565">
        <v>113.054774324105</v>
      </c>
      <c r="AJ6565">
        <v>81.497982857922494</v>
      </c>
      <c r="AK6565">
        <v>0.52153062221600899</v>
      </c>
      <c r="AL6565">
        <v>89.758958998181697</v>
      </c>
      <c r="AM6565">
        <v>95.511024176474095</v>
      </c>
      <c r="AN6565">
        <v>1.0000000702256</v>
      </c>
    </row>
    <row r="6566" spans="1:40" x14ac:dyDescent="0.25">
      <c r="A6566" t="str">
        <f>"20190305135401075"</f>
        <v>20190305135401075</v>
      </c>
      <c r="B6566" t="str">
        <f>"1551765241066233"</f>
        <v>1551765241066233</v>
      </c>
      <c r="C6566" t="s">
        <v>40</v>
      </c>
      <c r="D6566">
        <v>4.4614449999999897</v>
      </c>
      <c r="E6566">
        <v>0.5634188</v>
      </c>
      <c r="F6566" t="s">
        <v>41</v>
      </c>
      <c r="G6566">
        <v>-187.50970000000001</v>
      </c>
      <c r="H6566">
        <v>0.91117669999999995</v>
      </c>
      <c r="I6566">
        <v>33.913469999999997</v>
      </c>
      <c r="J6566">
        <v>-187.5829</v>
      </c>
      <c r="K6566">
        <v>1.1080589999999999</v>
      </c>
      <c r="L6566">
        <v>33.486820000000002</v>
      </c>
      <c r="M6566">
        <v>-1.1277509999999999E-2</v>
      </c>
      <c r="N6566">
        <v>-5.4140439999999998E-3</v>
      </c>
      <c r="O6566">
        <v>0.99992170000000002</v>
      </c>
      <c r="P6566">
        <v>-0.107336</v>
      </c>
      <c r="Q6566">
        <v>-6.9285020000000002E-4</v>
      </c>
      <c r="R6566">
        <v>0.99422259999999996</v>
      </c>
      <c r="S6566">
        <v>0.19528200000000001</v>
      </c>
      <c r="T6566">
        <v>-0.58025130000000003</v>
      </c>
      <c r="U6566">
        <v>3.037811</v>
      </c>
      <c r="V6566">
        <v>-9.6122170000000007E-2</v>
      </c>
      <c r="W6566">
        <v>4.5850760000000004E-3</v>
      </c>
      <c r="X6566">
        <v>0.99535899999999999</v>
      </c>
      <c r="Y6566">
        <v>7.4292339999999998E-2</v>
      </c>
      <c r="Z6566">
        <v>-0.1818312</v>
      </c>
      <c r="AA6566">
        <v>0.98051929999999998</v>
      </c>
      <c r="AB6566">
        <v>54</v>
      </c>
      <c r="AC6566">
        <v>7.3199999999985693E-2</v>
      </c>
      <c r="AD6566">
        <v>-0.19688229999999901</v>
      </c>
      <c r="AE6566">
        <v>0.42665000000000203</v>
      </c>
      <c r="AF6566">
        <v>6.4636453754776196E-2</v>
      </c>
      <c r="AG6566">
        <v>-0.19688229999999901</v>
      </c>
      <c r="AH6566">
        <v>0.352815034838391</v>
      </c>
      <c r="AI6566">
        <v>118.762265357646</v>
      </c>
      <c r="AJ6566">
        <v>79.618417204126601</v>
      </c>
      <c r="AK6566">
        <v>0.40916862051640601</v>
      </c>
      <c r="AL6566">
        <v>89.737293580354702</v>
      </c>
      <c r="AM6566">
        <v>95.515969086770497</v>
      </c>
      <c r="AN6566">
        <v>1.00000001668421</v>
      </c>
    </row>
    <row r="6567" spans="1:40" x14ac:dyDescent="0.25">
      <c r="A6567" t="str">
        <f>"20190305135401097"</f>
        <v>20190305135401097</v>
      </c>
      <c r="B6567" t="str">
        <f>"1551765241086728"</f>
        <v>1551765241086728</v>
      </c>
      <c r="C6567" t="s">
        <v>40</v>
      </c>
      <c r="D6567">
        <v>4.46591</v>
      </c>
      <c r="E6567">
        <v>0.56344680000000003</v>
      </c>
      <c r="F6567" t="s">
        <v>41</v>
      </c>
      <c r="G6567">
        <v>-187.52330000000001</v>
      </c>
      <c r="H6567">
        <v>0.93183669999999996</v>
      </c>
      <c r="I6567">
        <v>34.410350000000001</v>
      </c>
      <c r="J6567">
        <v>-187.589</v>
      </c>
      <c r="K6567">
        <v>1.1079909999999999</v>
      </c>
      <c r="L6567">
        <v>34.029629999999997</v>
      </c>
      <c r="M6567">
        <v>-1.1347080000000001E-2</v>
      </c>
      <c r="N6567">
        <v>-5.4382659999999998E-3</v>
      </c>
      <c r="O6567">
        <v>0.99992080000000005</v>
      </c>
      <c r="P6567">
        <v>-0.1075204</v>
      </c>
      <c r="Q6567">
        <v>-4.9822080000000001E-4</v>
      </c>
      <c r="R6567">
        <v>0.99420269999999999</v>
      </c>
      <c r="S6567">
        <v>0.19561770000000001</v>
      </c>
      <c r="T6567">
        <v>-0.57971969999999995</v>
      </c>
      <c r="U6567">
        <v>3.0381469999999999</v>
      </c>
      <c r="V6567">
        <v>-9.6236909999999995E-2</v>
      </c>
      <c r="W6567">
        <v>4.8182470000000003E-3</v>
      </c>
      <c r="X6567">
        <v>0.99534679999999998</v>
      </c>
      <c r="Y6567">
        <v>7.4464959999999997E-2</v>
      </c>
      <c r="Z6567">
        <v>-0.1816197</v>
      </c>
      <c r="AA6567">
        <v>0.98054540000000001</v>
      </c>
      <c r="AB6567">
        <v>54</v>
      </c>
      <c r="AC6567">
        <v>6.5700000000020894E-2</v>
      </c>
      <c r="AD6567">
        <v>-0.17615429999999899</v>
      </c>
      <c r="AE6567">
        <v>0.380720000000003</v>
      </c>
      <c r="AF6567">
        <v>5.7965519745348401E-2</v>
      </c>
      <c r="AG6567">
        <v>-0.17615429999999899</v>
      </c>
      <c r="AH6567">
        <v>0.31455711476520098</v>
      </c>
      <c r="AI6567">
        <v>118.843095461427</v>
      </c>
      <c r="AJ6567">
        <v>79.558862468511705</v>
      </c>
      <c r="AK6567">
        <v>0.36515273152099798</v>
      </c>
      <c r="AL6567">
        <v>89.723933715537697</v>
      </c>
      <c r="AM6567">
        <v>95.522580030344301</v>
      </c>
      <c r="AN6567">
        <v>1.0000000053103699</v>
      </c>
    </row>
    <row r="6568" spans="1:40" x14ac:dyDescent="0.25">
      <c r="A6568" t="str">
        <f>"20190305135401118"</f>
        <v>20190305135401118</v>
      </c>
      <c r="B6568" t="str">
        <f>"1551765241106248"</f>
        <v>1551765241106248</v>
      </c>
      <c r="C6568" t="s">
        <v>40</v>
      </c>
      <c r="D6568">
        <v>4.4696980000000002</v>
      </c>
      <c r="E6568">
        <v>0.56352419999999903</v>
      </c>
      <c r="F6568" t="s">
        <v>41</v>
      </c>
      <c r="G6568">
        <v>-187.53270000000001</v>
      </c>
      <c r="H6568">
        <v>0.94119079999999999</v>
      </c>
      <c r="I6568">
        <v>34.903440000000003</v>
      </c>
      <c r="J6568">
        <v>-187.5949</v>
      </c>
      <c r="K6568">
        <v>1.1079410000000001</v>
      </c>
      <c r="L6568">
        <v>34.552489999999999</v>
      </c>
      <c r="M6568">
        <v>-1.1394090000000001E-2</v>
      </c>
      <c r="N6568">
        <v>-5.4616079999999997E-3</v>
      </c>
      <c r="O6568">
        <v>0.99992020000000004</v>
      </c>
      <c r="P6568">
        <v>-0.1075951</v>
      </c>
      <c r="Q6568" s="1">
        <v>-8.9014880000000006E-5</v>
      </c>
      <c r="R6568">
        <v>0.99419480000000005</v>
      </c>
      <c r="S6568">
        <v>0.19502259999999999</v>
      </c>
      <c r="T6568">
        <v>-0.57997480000000001</v>
      </c>
      <c r="U6568">
        <v>3.0383</v>
      </c>
      <c r="V6568">
        <v>-9.6264710000000003E-2</v>
      </c>
      <c r="W6568">
        <v>5.2636059999999997E-3</v>
      </c>
      <c r="X6568">
        <v>0.99534180000000005</v>
      </c>
      <c r="Y6568">
        <v>7.4316709999999994E-2</v>
      </c>
      <c r="Z6568">
        <v>-0.1816691</v>
      </c>
      <c r="AA6568">
        <v>0.98054750000000002</v>
      </c>
      <c r="AB6568">
        <v>55</v>
      </c>
      <c r="AC6568">
        <v>6.2199999999989999E-2</v>
      </c>
      <c r="AD6568">
        <v>-0.16675019999999899</v>
      </c>
      <c r="AE6568">
        <v>0.35095000000000398</v>
      </c>
      <c r="AF6568">
        <v>5.4307777960770499E-2</v>
      </c>
      <c r="AG6568">
        <v>-0.16675019999999899</v>
      </c>
      <c r="AH6568">
        <v>0.28732762511853999</v>
      </c>
      <c r="AI6568">
        <v>119.694035928438</v>
      </c>
      <c r="AJ6568">
        <v>79.296792479381594</v>
      </c>
      <c r="AK6568">
        <v>0.33661866867917001</v>
      </c>
      <c r="AL6568">
        <v>89.698416183313199</v>
      </c>
      <c r="AM6568">
        <v>95.524193052277894</v>
      </c>
      <c r="AN6568">
        <v>0.999999949383372</v>
      </c>
    </row>
    <row r="6569" spans="1:40" x14ac:dyDescent="0.25">
      <c r="A6569" t="str">
        <f>"20190305135401140"</f>
        <v>20190305135401140</v>
      </c>
      <c r="B6569" t="str">
        <f>"1551765241136503"</f>
        <v>1551765241136503</v>
      </c>
      <c r="C6569" t="s">
        <v>40</v>
      </c>
      <c r="D6569">
        <v>4.4944459999999999</v>
      </c>
      <c r="E6569">
        <v>0.56371210000000005</v>
      </c>
      <c r="F6569" t="s">
        <v>41</v>
      </c>
      <c r="G6569">
        <v>-187.54050000000001</v>
      </c>
      <c r="H6569">
        <v>0.9470596</v>
      </c>
      <c r="I6569">
        <v>35.395940000000003</v>
      </c>
      <c r="J6569">
        <v>-187.60069999999999</v>
      </c>
      <c r="K6569">
        <v>1.1078889999999999</v>
      </c>
      <c r="L6569">
        <v>35.063870000000001</v>
      </c>
      <c r="M6569">
        <v>-1.142344E-2</v>
      </c>
      <c r="N6569">
        <v>-5.4844389999999998E-3</v>
      </c>
      <c r="O6569">
        <v>0.99991969999999997</v>
      </c>
      <c r="P6569">
        <v>-0.1082415</v>
      </c>
      <c r="Q6569" s="1">
        <v>-2.1576649999999999E-5</v>
      </c>
      <c r="R6569">
        <v>0.99412469999999997</v>
      </c>
      <c r="S6569">
        <v>0.19525149999999999</v>
      </c>
      <c r="T6569">
        <v>-0.57958690000000002</v>
      </c>
      <c r="U6569">
        <v>3.038605</v>
      </c>
      <c r="V6569">
        <v>-9.6882099999999999E-2</v>
      </c>
      <c r="W6569">
        <v>5.3651710000000002E-3</v>
      </c>
      <c r="X6569">
        <v>0.99528139999999998</v>
      </c>
      <c r="Y6569">
        <v>7.4414980000000006E-2</v>
      </c>
      <c r="Z6569">
        <v>-0.18150649999999999</v>
      </c>
      <c r="AA6569">
        <v>0.9805701</v>
      </c>
      <c r="AB6569">
        <v>55</v>
      </c>
      <c r="AC6569">
        <v>6.0199999999980401E-2</v>
      </c>
      <c r="AD6569">
        <v>-0.16082939999999901</v>
      </c>
      <c r="AE6569">
        <v>0.33207000000000098</v>
      </c>
      <c r="AF6569">
        <v>5.2146698217018797E-2</v>
      </c>
      <c r="AG6569">
        <v>-0.16082939999999901</v>
      </c>
      <c r="AH6569">
        <v>0.270034301226238</v>
      </c>
      <c r="AI6569">
        <v>120.318442157929</v>
      </c>
      <c r="AJ6569">
        <v>79.070073541550897</v>
      </c>
      <c r="AK6569">
        <v>0.31859676375952001</v>
      </c>
      <c r="AL6569">
        <v>89.692596869252995</v>
      </c>
      <c r="AM6569">
        <v>95.5597362632422</v>
      </c>
      <c r="AN6569">
        <v>0.99999999577311405</v>
      </c>
    </row>
    <row r="6570" spans="1:40" x14ac:dyDescent="0.25">
      <c r="A6570" t="str">
        <f>"20190305135401164"</f>
        <v>20190305135401164</v>
      </c>
      <c r="B6570" t="str">
        <f>"1551765241156024"</f>
        <v>1551765241156024</v>
      </c>
      <c r="C6570" t="s">
        <v>40</v>
      </c>
      <c r="D6570">
        <v>4.5467019999999998</v>
      </c>
      <c r="E6570">
        <v>0.56366719999999904</v>
      </c>
      <c r="F6570" t="s">
        <v>41</v>
      </c>
      <c r="G6570">
        <v>-187.54759999999999</v>
      </c>
      <c r="H6570">
        <v>0.95046600000000003</v>
      </c>
      <c r="I6570">
        <v>35.888330000000003</v>
      </c>
      <c r="J6570">
        <v>-187.60759999999999</v>
      </c>
      <c r="K6570">
        <v>1.1078269999999999</v>
      </c>
      <c r="L6570">
        <v>35.664670000000001</v>
      </c>
      <c r="M6570">
        <v>-1.1438490000000001E-2</v>
      </c>
      <c r="N6570">
        <v>-5.5112340000000003E-3</v>
      </c>
      <c r="O6570">
        <v>0.99991940000000001</v>
      </c>
      <c r="P6570">
        <v>-0.10878690000000001</v>
      </c>
      <c r="Q6570" s="1">
        <v>3.43207499999999E-5</v>
      </c>
      <c r="R6570">
        <v>0.99406510000000003</v>
      </c>
      <c r="S6570">
        <v>0.19509889999999999</v>
      </c>
      <c r="T6570">
        <v>-0.58026800000000001</v>
      </c>
      <c r="U6570">
        <v>3.0389710000000001</v>
      </c>
      <c r="V6570">
        <v>-9.741263E-2</v>
      </c>
      <c r="W6570">
        <v>5.4610140000000001E-3</v>
      </c>
      <c r="X6570">
        <v>0.99522909999999998</v>
      </c>
      <c r="Y6570">
        <v>7.4371229999999997E-2</v>
      </c>
      <c r="Z6570">
        <v>-0.1816712</v>
      </c>
      <c r="AA6570">
        <v>0.98054300000000005</v>
      </c>
      <c r="AB6570">
        <v>55</v>
      </c>
      <c r="AC6570">
        <v>6.0000000000002197E-2</v>
      </c>
      <c r="AD6570">
        <v>-0.157361</v>
      </c>
      <c r="AE6570">
        <v>0.223659999999995</v>
      </c>
      <c r="AF6570">
        <v>4.27932902803176E-2</v>
      </c>
      <c r="AG6570">
        <v>-0.157361</v>
      </c>
      <c r="AH6570">
        <v>0.15252554916411901</v>
      </c>
      <c r="AI6570">
        <v>134.80876026868501</v>
      </c>
      <c r="AJ6570">
        <v>74.327753371548496</v>
      </c>
      <c r="AK6570">
        <v>0.223288587173263</v>
      </c>
      <c r="AL6570">
        <v>89.687105391425902</v>
      </c>
      <c r="AM6570">
        <v>95.590281171762598</v>
      </c>
      <c r="AN6570">
        <v>1.0000000023221101</v>
      </c>
    </row>
    <row r="6571" spans="1:40" x14ac:dyDescent="0.25">
      <c r="A6571" t="str">
        <f>"20190305135401187"</f>
        <v>20190305135401187</v>
      </c>
      <c r="B6571" t="str">
        <f>"1551765241176521"</f>
        <v>1551765241176521</v>
      </c>
      <c r="C6571" t="s">
        <v>40</v>
      </c>
      <c r="D6571">
        <v>4.3831639999999998</v>
      </c>
      <c r="E6571">
        <v>0.54164009999999996</v>
      </c>
      <c r="F6571" t="s">
        <v>41</v>
      </c>
      <c r="G6571">
        <v>-187.5615</v>
      </c>
      <c r="H6571">
        <v>0.96932720000000006</v>
      </c>
      <c r="I6571">
        <v>36.38926</v>
      </c>
      <c r="J6571">
        <v>-187.614</v>
      </c>
      <c r="K6571">
        <v>1.107761</v>
      </c>
      <c r="L6571">
        <v>36.221069999999997</v>
      </c>
      <c r="M6571">
        <v>-1.142957E-2</v>
      </c>
      <c r="N6571">
        <v>-5.5360440000000004E-3</v>
      </c>
      <c r="O6571">
        <v>0.99991940000000001</v>
      </c>
      <c r="P6571">
        <v>-0.1084963</v>
      </c>
      <c r="Q6571">
        <v>3.0117970000000002E-4</v>
      </c>
      <c r="R6571">
        <v>0.9940968</v>
      </c>
      <c r="S6571">
        <v>0.1931763</v>
      </c>
      <c r="T6571">
        <v>-0.58090569999999997</v>
      </c>
      <c r="U6571">
        <v>3.0390630000000001</v>
      </c>
      <c r="V6571">
        <v>-9.7129629999999995E-2</v>
      </c>
      <c r="W6571">
        <v>5.7657079999999996E-3</v>
      </c>
      <c r="X6571">
        <v>0.99525509999999995</v>
      </c>
      <c r="Y6571">
        <v>7.3740689999999998E-2</v>
      </c>
      <c r="Z6571">
        <v>-0.18184800000000001</v>
      </c>
      <c r="AA6571">
        <v>0.98055780000000003</v>
      </c>
      <c r="AB6571">
        <v>55</v>
      </c>
      <c r="AC6571">
        <v>5.2500000000008998E-2</v>
      </c>
      <c r="AD6571">
        <v>-0.1384338</v>
      </c>
      <c r="AE6571">
        <v>0.16818999999999501</v>
      </c>
      <c r="AF6571">
        <v>3.3647764623139502E-2</v>
      </c>
      <c r="AG6571">
        <v>-0.1384338</v>
      </c>
      <c r="AH6571">
        <v>0.10361571168339299</v>
      </c>
      <c r="AI6571">
        <v>141.798601431968</v>
      </c>
      <c r="AJ6571">
        <v>72.009514043158603</v>
      </c>
      <c r="AK6571">
        <v>0.176159884066237</v>
      </c>
      <c r="AL6571">
        <v>89.669647455570598</v>
      </c>
      <c r="AM6571">
        <v>95.573998197616802</v>
      </c>
      <c r="AN6571">
        <v>1.00000006124434</v>
      </c>
    </row>
    <row r="6572" spans="1:40" x14ac:dyDescent="0.25">
      <c r="A6572" t="str">
        <f>"20190305135401208"</f>
        <v>20190305135401208</v>
      </c>
      <c r="B6572" t="str">
        <f>"1551765241196040"</f>
        <v>1551765241196040</v>
      </c>
      <c r="C6572" t="s">
        <v>40</v>
      </c>
      <c r="D6572">
        <v>4.4701449999999996</v>
      </c>
      <c r="E6572">
        <v>0.52749140000000005</v>
      </c>
      <c r="F6572" t="s">
        <v>41</v>
      </c>
      <c r="G6572">
        <v>-187.60830000000001</v>
      </c>
      <c r="H6572">
        <v>0.95081020000000005</v>
      </c>
      <c r="I6572">
        <v>37.367759999999997</v>
      </c>
      <c r="J6572">
        <v>-187.62029999999999</v>
      </c>
      <c r="K6572">
        <v>1.107704</v>
      </c>
      <c r="L6572">
        <v>36.773009999999999</v>
      </c>
      <c r="M6572">
        <v>-1.1394339999999999E-2</v>
      </c>
      <c r="N6572">
        <v>-5.5605759999999898E-3</v>
      </c>
      <c r="O6572">
        <v>0.99991960000000002</v>
      </c>
      <c r="P6572">
        <v>-0.1085016</v>
      </c>
      <c r="Q6572">
        <v>4.8114069999999999E-4</v>
      </c>
      <c r="R6572">
        <v>0.99409619999999999</v>
      </c>
      <c r="S6572">
        <v>1.4831540000000001E-2</v>
      </c>
      <c r="T6572">
        <v>-0.4132924</v>
      </c>
      <c r="U6572">
        <v>3.0195620000000001</v>
      </c>
      <c r="V6572">
        <v>-9.716938E-2</v>
      </c>
      <c r="W6572">
        <v>5.9831420000000003E-3</v>
      </c>
      <c r="X6572">
        <v>0.99524990000000002</v>
      </c>
      <c r="Y6572">
        <v>1.6257649999999998E-2</v>
      </c>
      <c r="Z6572">
        <v>-0.13007289999999999</v>
      </c>
      <c r="AA6572">
        <v>0.99137120000000001</v>
      </c>
      <c r="AB6572">
        <v>55</v>
      </c>
      <c r="AC6572">
        <v>1.1999999999972E-2</v>
      </c>
      <c r="AD6572">
        <v>-0.1568938</v>
      </c>
      <c r="AE6572">
        <v>0.594749999999997</v>
      </c>
      <c r="AF6572">
        <v>1.7554968217085999E-2</v>
      </c>
      <c r="AG6572">
        <v>-0.1568938</v>
      </c>
      <c r="AH6572">
        <v>0.55590531765064599</v>
      </c>
      <c r="AI6572">
        <v>105.75325692238</v>
      </c>
      <c r="AJ6572">
        <v>88.191254144474499</v>
      </c>
      <c r="AK6572">
        <v>0.577888019931032</v>
      </c>
      <c r="AL6572">
        <v>89.657189178373002</v>
      </c>
      <c r="AM6572">
        <v>95.576293915973807</v>
      </c>
      <c r="AN6572">
        <v>1.0000000249238901</v>
      </c>
    </row>
    <row r="6573" spans="1:40" x14ac:dyDescent="0.25">
      <c r="A6573" t="str">
        <f>"20190305135401233"</f>
        <v>20190305135401233</v>
      </c>
      <c r="B6573" t="str">
        <f>"1551765241226297"</f>
        <v>1551765241226297</v>
      </c>
      <c r="C6573" t="s">
        <v>40</v>
      </c>
      <c r="D6573">
        <v>4.5282099999999996</v>
      </c>
      <c r="E6573">
        <v>0.51766440000000002</v>
      </c>
      <c r="F6573" t="s">
        <v>41</v>
      </c>
      <c r="G6573">
        <v>-187.65639999999999</v>
      </c>
      <c r="H6573">
        <v>0.97574950000000005</v>
      </c>
      <c r="I6573">
        <v>37.875369999999997</v>
      </c>
      <c r="J6573">
        <v>-187.6268</v>
      </c>
      <c r="K6573">
        <v>1.1076520000000001</v>
      </c>
      <c r="L6573">
        <v>37.348880000000001</v>
      </c>
      <c r="M6573">
        <v>-1.132969E-2</v>
      </c>
      <c r="N6573">
        <v>-5.5861829999999998E-3</v>
      </c>
      <c r="O6573">
        <v>0.99992020000000004</v>
      </c>
      <c r="P6573">
        <v>-0.1072263</v>
      </c>
      <c r="Q6573">
        <v>6.5221019999999895E-4</v>
      </c>
      <c r="R6573">
        <v>0.99423439999999996</v>
      </c>
      <c r="S6573">
        <v>-9.8999019999999993E-2</v>
      </c>
      <c r="T6573">
        <v>-0.3599696</v>
      </c>
      <c r="U6573">
        <v>3.0072019999999999</v>
      </c>
      <c r="V6573">
        <v>-9.5956169999999993E-2</v>
      </c>
      <c r="W6573">
        <v>6.193423E-3</v>
      </c>
      <c r="X6573">
        <v>0.99536630000000004</v>
      </c>
      <c r="Y6573">
        <v>-2.1357770000000002E-2</v>
      </c>
      <c r="Z6573">
        <v>-0.11325</v>
      </c>
      <c r="AA6573">
        <v>0.99333700000000003</v>
      </c>
      <c r="AB6573">
        <v>55</v>
      </c>
      <c r="AC6573">
        <v>-2.9599999999987799E-2</v>
      </c>
      <c r="AD6573">
        <v>-0.13190250000000001</v>
      </c>
      <c r="AE6573">
        <v>0.52649000000000201</v>
      </c>
      <c r="AF6573">
        <v>-2.2241427387604901E-2</v>
      </c>
      <c r="AG6573">
        <v>-0.13190250000000001</v>
      </c>
      <c r="AH6573">
        <v>0.49577190375596197</v>
      </c>
      <c r="AI6573">
        <v>104.88437755632501</v>
      </c>
      <c r="AJ6573">
        <v>92.568693426986002</v>
      </c>
      <c r="AK6573">
        <v>0.51350046850251196</v>
      </c>
      <c r="AL6573">
        <v>89.645140735570706</v>
      </c>
      <c r="AM6573">
        <v>95.506461642311606</v>
      </c>
      <c r="AN6573">
        <v>1.0000000081125999</v>
      </c>
    </row>
    <row r="6574" spans="1:40" x14ac:dyDescent="0.25">
      <c r="A6574" t="str">
        <f>"20190305135401254"</f>
        <v>20190305135401254</v>
      </c>
      <c r="B6574" t="str">
        <f>"1551765241246792"</f>
        <v>1551765241246792</v>
      </c>
      <c r="C6574" t="s">
        <v>40</v>
      </c>
      <c r="D6574">
        <v>4.5213530000000004</v>
      </c>
      <c r="E6574">
        <v>0.51582620000000001</v>
      </c>
      <c r="F6574" t="s">
        <v>41</v>
      </c>
      <c r="G6574">
        <v>-187.68790000000001</v>
      </c>
      <c r="H6574">
        <v>1.0158</v>
      </c>
      <c r="I6574">
        <v>38.394080000000002</v>
      </c>
      <c r="J6574">
        <v>-187.6328</v>
      </c>
      <c r="K6574">
        <v>1.107602</v>
      </c>
      <c r="L6574">
        <v>37.880830000000003</v>
      </c>
      <c r="M6574">
        <v>-1.123788E-2</v>
      </c>
      <c r="N6574">
        <v>-5.6098769999999897E-3</v>
      </c>
      <c r="O6574">
        <v>0.99992110000000001</v>
      </c>
      <c r="P6574">
        <v>-0.1064103</v>
      </c>
      <c r="Q6574">
        <v>1.304068E-3</v>
      </c>
      <c r="R6574">
        <v>0.99432149999999997</v>
      </c>
      <c r="S6574">
        <v>-0.175293</v>
      </c>
      <c r="T6574">
        <v>-0.26352419999999999</v>
      </c>
      <c r="U6574">
        <v>2.9986570000000001</v>
      </c>
      <c r="V6574">
        <v>-9.5229999999999995E-2</v>
      </c>
      <c r="W6574">
        <v>6.8810080000000001E-3</v>
      </c>
      <c r="X6574">
        <v>0.99543150000000002</v>
      </c>
      <c r="Y6574">
        <v>-4.6926950000000002E-2</v>
      </c>
      <c r="Z6574">
        <v>-8.1824930000000004E-2</v>
      </c>
      <c r="AA6574">
        <v>0.99554129999999996</v>
      </c>
      <c r="AB6574">
        <v>55</v>
      </c>
      <c r="AC6574">
        <v>-5.5100000000010099E-2</v>
      </c>
      <c r="AD6574">
        <v>-9.1801999999999898E-2</v>
      </c>
      <c r="AE6574">
        <v>0.51324999999999898</v>
      </c>
      <c r="AF6574">
        <v>-4.7816262061584999E-2</v>
      </c>
      <c r="AG6574">
        <v>-9.1801999999999898E-2</v>
      </c>
      <c r="AH6574">
        <v>0.498083494640502</v>
      </c>
      <c r="AI6574">
        <v>100.396265936004</v>
      </c>
      <c r="AJ6574">
        <v>95.483618549705</v>
      </c>
      <c r="AK6574">
        <v>0.50872504337297697</v>
      </c>
      <c r="AL6574">
        <v>89.605744166092407</v>
      </c>
      <c r="AM6574">
        <v>95.464687701929194</v>
      </c>
      <c r="AN6574">
        <v>0.99999998618167296</v>
      </c>
    </row>
    <row r="6575" spans="1:40" x14ac:dyDescent="0.25">
      <c r="A6575" t="str">
        <f>"20190305135401277"</f>
        <v>20190305135401277</v>
      </c>
      <c r="B6575" t="str">
        <f>"1551765241266313"</f>
        <v>1551765241266313</v>
      </c>
      <c r="C6575" t="s">
        <v>40</v>
      </c>
      <c r="D6575">
        <v>4.527596</v>
      </c>
      <c r="E6575">
        <v>0.5151848</v>
      </c>
      <c r="F6575" t="s">
        <v>42</v>
      </c>
      <c r="G6575">
        <v>-188.54580000000001</v>
      </c>
      <c r="H6575" s="1">
        <v>-1.4607550000000001E-6</v>
      </c>
      <c r="I6575">
        <v>52.436520000000002</v>
      </c>
      <c r="J6575">
        <v>-187.63900000000001</v>
      </c>
      <c r="K6575">
        <v>1.107548</v>
      </c>
      <c r="L6575">
        <v>38.441310000000001</v>
      </c>
      <c r="M6575">
        <v>-1.1097020000000001E-2</v>
      </c>
      <c r="N6575">
        <v>-5.6348259999999999E-3</v>
      </c>
      <c r="O6575">
        <v>0.99992259999999999</v>
      </c>
      <c r="P6575">
        <v>-0.1054262</v>
      </c>
      <c r="Q6575">
        <v>1.855223E-3</v>
      </c>
      <c r="R6575">
        <v>0.99442540000000001</v>
      </c>
      <c r="S6575">
        <v>-0.18800349999999999</v>
      </c>
      <c r="T6575">
        <v>-0.22807810000000001</v>
      </c>
      <c r="U6575">
        <v>2.9973139999999998</v>
      </c>
      <c r="V6575">
        <v>-9.4384209999999996E-2</v>
      </c>
      <c r="W6575">
        <v>7.4708419999999897E-3</v>
      </c>
      <c r="X6575">
        <v>0.99550780000000005</v>
      </c>
      <c r="Y6575">
        <v>-5.1355779999999997E-2</v>
      </c>
      <c r="Z6575">
        <v>-7.0125930000000003E-2</v>
      </c>
      <c r="AA6575">
        <v>0.99621530000000003</v>
      </c>
      <c r="AB6575">
        <v>55</v>
      </c>
      <c r="AC6575">
        <v>-0.90680000000000405</v>
      </c>
      <c r="AD6575">
        <v>-1.107549460755</v>
      </c>
      <c r="AE6575">
        <v>13.99521</v>
      </c>
      <c r="AF6575">
        <v>-0.74677921584583795</v>
      </c>
      <c r="AG6575">
        <v>-1.107549460755</v>
      </c>
      <c r="AH6575">
        <v>13.9176125710738</v>
      </c>
      <c r="AI6575">
        <v>94.543443028519604</v>
      </c>
      <c r="AJ6575">
        <v>93.071382039580001</v>
      </c>
      <c r="AK6575">
        <v>13.981569464253599</v>
      </c>
      <c r="AL6575">
        <v>89.571948296186406</v>
      </c>
      <c r="AM6575">
        <v>95.416030064049707</v>
      </c>
      <c r="AN6575">
        <v>0.99999998621917596</v>
      </c>
    </row>
    <row r="6576" spans="1:40" x14ac:dyDescent="0.25">
      <c r="A6576" t="str">
        <f>"20190305135401299"</f>
        <v>20190305135401299</v>
      </c>
      <c r="B6576" t="str">
        <f>"1551765241296568"</f>
        <v>1551765241296568</v>
      </c>
      <c r="C6576" t="s">
        <v>40</v>
      </c>
      <c r="D6576">
        <v>4.449039</v>
      </c>
      <c r="E6576">
        <v>0.51508149999999997</v>
      </c>
      <c r="F6576" t="s">
        <v>42</v>
      </c>
      <c r="G6576">
        <v>-188.65020000000001</v>
      </c>
      <c r="H6576" s="1">
        <v>-2.2645679999999998E-6</v>
      </c>
      <c r="I6576">
        <v>54.353389999999997</v>
      </c>
      <c r="J6576">
        <v>-187.6454</v>
      </c>
      <c r="K6576">
        <v>1.1074850000000001</v>
      </c>
      <c r="L6576">
        <v>39.025359999999999</v>
      </c>
      <c r="M6576">
        <v>-1.088894E-2</v>
      </c>
      <c r="N6576">
        <v>-5.6609470000000004E-3</v>
      </c>
      <c r="O6576">
        <v>0.9999247</v>
      </c>
      <c r="P6576">
        <v>-0.1047548</v>
      </c>
      <c r="Q6576">
        <v>1.8293020000000001E-3</v>
      </c>
      <c r="R6576">
        <v>0.99449639999999995</v>
      </c>
      <c r="S6576">
        <v>-0.1904449</v>
      </c>
      <c r="T6576">
        <v>-0.20860490000000001</v>
      </c>
      <c r="U6576">
        <v>2.9970089999999998</v>
      </c>
      <c r="V6576">
        <v>-9.391803E-2</v>
      </c>
      <c r="W6576">
        <v>7.4860990000000004E-3</v>
      </c>
      <c r="X6576">
        <v>0.99555179999999999</v>
      </c>
      <c r="Y6576">
        <v>-5.2406349999999997E-2</v>
      </c>
      <c r="Z6576">
        <v>-6.3666500000000001E-2</v>
      </c>
      <c r="AA6576">
        <v>0.99659430000000004</v>
      </c>
      <c r="AB6576">
        <v>56</v>
      </c>
      <c r="AC6576">
        <v>-1.0048000000000099</v>
      </c>
      <c r="AD6576">
        <v>-1.1074872645680001</v>
      </c>
      <c r="AE6576">
        <v>15.32803</v>
      </c>
      <c r="AF6576">
        <v>-0.83349916441759997</v>
      </c>
      <c r="AG6576">
        <v>-1.1074872645680001</v>
      </c>
      <c r="AH6576">
        <v>15.258746502535899</v>
      </c>
      <c r="AI6576">
        <v>94.145118348604797</v>
      </c>
      <c r="AJ6576">
        <v>93.126637615717797</v>
      </c>
      <c r="AK6576">
        <v>15.321572821578</v>
      </c>
      <c r="AL6576">
        <v>89.571074121190406</v>
      </c>
      <c r="AM6576">
        <v>95.389200459397401</v>
      </c>
      <c r="AN6576">
        <v>1.0000000122602699</v>
      </c>
    </row>
    <row r="6577" spans="1:40" x14ac:dyDescent="0.25">
      <c r="A6577" t="str">
        <f>"20190305135401321"</f>
        <v>20190305135401321</v>
      </c>
      <c r="B6577" t="str">
        <f>"1551765241317064"</f>
        <v>1551765241317064</v>
      </c>
      <c r="C6577" t="s">
        <v>40</v>
      </c>
      <c r="D6577">
        <v>4.5587439999999999</v>
      </c>
      <c r="E6577">
        <v>0.51519709999999996</v>
      </c>
      <c r="F6577" t="s">
        <v>42</v>
      </c>
      <c r="G6577">
        <v>-188.7226</v>
      </c>
      <c r="H6577" s="1">
        <v>-2.993984E-6</v>
      </c>
      <c r="I6577">
        <v>56.083629999999999</v>
      </c>
      <c r="J6577">
        <v>-187.65119999999999</v>
      </c>
      <c r="K6577">
        <v>1.107416</v>
      </c>
      <c r="L6577">
        <v>39.569310000000002</v>
      </c>
      <c r="M6577">
        <v>-1.0622990000000001E-2</v>
      </c>
      <c r="N6577">
        <v>-5.6854289999999997E-3</v>
      </c>
      <c r="O6577">
        <v>0.99992740000000002</v>
      </c>
      <c r="P6577">
        <v>-0.1040758</v>
      </c>
      <c r="Q6577">
        <v>2.0557800000000001E-3</v>
      </c>
      <c r="R6577">
        <v>0.99456719999999998</v>
      </c>
      <c r="S6577">
        <v>-0.1892548</v>
      </c>
      <c r="T6577">
        <v>-0.19457920000000001</v>
      </c>
      <c r="U6577">
        <v>2.9970400000000001</v>
      </c>
      <c r="V6577">
        <v>-9.3501509999999996E-2</v>
      </c>
      <c r="W6577">
        <v>7.7535969999999897E-3</v>
      </c>
      <c r="X6577">
        <v>0.99558899999999995</v>
      </c>
      <c r="Y6577">
        <v>-5.2295849999999998E-2</v>
      </c>
      <c r="Z6577">
        <v>-5.9000839999999999E-2</v>
      </c>
      <c r="AA6577">
        <v>0.99688719999999997</v>
      </c>
      <c r="AB6577">
        <v>56</v>
      </c>
      <c r="AC6577">
        <v>-1.0714000000000099</v>
      </c>
      <c r="AD6577">
        <v>-1.107418993984</v>
      </c>
      <c r="AE6577">
        <v>16.514320000000001</v>
      </c>
      <c r="AF6577">
        <v>-0.89191132330383605</v>
      </c>
      <c r="AG6577">
        <v>-1.107418993984</v>
      </c>
      <c r="AH6577">
        <v>16.451102719005</v>
      </c>
      <c r="AI6577">
        <v>93.845470268173599</v>
      </c>
      <c r="AJ6577">
        <v>93.103303994619395</v>
      </c>
      <c r="AK6577">
        <v>16.5124396534288</v>
      </c>
      <c r="AL6577">
        <v>89.555747188386107</v>
      </c>
      <c r="AM6577">
        <v>95.365240208989903</v>
      </c>
      <c r="AN6577">
        <v>1.0000000537798499</v>
      </c>
    </row>
    <row r="6578" spans="1:40" x14ac:dyDescent="0.25">
      <c r="A6578" t="str">
        <f>"20190305135401341"</f>
        <v>20190305135401341</v>
      </c>
      <c r="B6578" t="str">
        <f>"1551765241336584"</f>
        <v>1551765241336584</v>
      </c>
      <c r="C6578" t="s">
        <v>40</v>
      </c>
      <c r="D6578">
        <v>4.5380289999999999</v>
      </c>
      <c r="E6578">
        <v>0.5150728</v>
      </c>
      <c r="F6578" t="s">
        <v>42</v>
      </c>
      <c r="G6578">
        <v>-188.7525</v>
      </c>
      <c r="H6578" s="1">
        <v>-3.5028670000000001E-6</v>
      </c>
      <c r="I6578">
        <v>57.282220000000002</v>
      </c>
      <c r="J6578">
        <v>-187.65639999999999</v>
      </c>
      <c r="K6578">
        <v>1.107334</v>
      </c>
      <c r="L6578">
        <v>40.072629999999997</v>
      </c>
      <c r="M6578">
        <v>-1.030059E-2</v>
      </c>
      <c r="N6578">
        <v>-5.7081110000000001E-3</v>
      </c>
      <c r="O6578">
        <v>0.99993069999999895</v>
      </c>
      <c r="P6578">
        <v>-0.10421850000000001</v>
      </c>
      <c r="Q6578">
        <v>2.2547069999999999E-3</v>
      </c>
      <c r="R6578">
        <v>0.99455179999999999</v>
      </c>
      <c r="S6578">
        <v>-0.18635560000000001</v>
      </c>
      <c r="T6578">
        <v>-0.18739149999999999</v>
      </c>
      <c r="U6578">
        <v>2.9972840000000001</v>
      </c>
      <c r="V6578">
        <v>-9.3963720000000001E-2</v>
      </c>
      <c r="W6578">
        <v>7.992486E-3</v>
      </c>
      <c r="X6578">
        <v>0.99554350000000003</v>
      </c>
      <c r="Y6578">
        <v>-5.1661310000000002E-2</v>
      </c>
      <c r="Z6578">
        <v>-5.6595909999999999E-2</v>
      </c>
      <c r="AA6578">
        <v>0.99705969999999999</v>
      </c>
      <c r="AB6578">
        <v>56</v>
      </c>
      <c r="AC6578">
        <v>-1.0961000000000001</v>
      </c>
      <c r="AD6578">
        <v>-1.1073375028670001</v>
      </c>
      <c r="AE6578">
        <v>17.209589999999999</v>
      </c>
      <c r="AF6578">
        <v>-0.91499709133151297</v>
      </c>
      <c r="AG6578">
        <v>-1.1073375028670001</v>
      </c>
      <c r="AH6578">
        <v>17.1492535208588</v>
      </c>
      <c r="AI6578">
        <v>93.689260765088804</v>
      </c>
      <c r="AJ6578">
        <v>93.054115968981407</v>
      </c>
      <c r="AK6578">
        <v>17.2093088863292</v>
      </c>
      <c r="AL6578">
        <v>89.5420593906546</v>
      </c>
      <c r="AM6578">
        <v>95.391851481085396</v>
      </c>
      <c r="AN6578">
        <v>0.99999996045047301</v>
      </c>
    </row>
    <row r="6579" spans="1:40" x14ac:dyDescent="0.25">
      <c r="A6579" t="str">
        <f>"20190305135401364"</f>
        <v>20190305135401364</v>
      </c>
      <c r="B6579" t="str">
        <f>"1551765241356105"</f>
        <v>1551765241356105</v>
      </c>
      <c r="C6579" t="s">
        <v>40</v>
      </c>
      <c r="D6579">
        <v>4.5523170000000004</v>
      </c>
      <c r="E6579">
        <v>0.5149087</v>
      </c>
      <c r="F6579" t="s">
        <v>42</v>
      </c>
      <c r="G6579">
        <v>-188.80029999999999</v>
      </c>
      <c r="H6579" s="1">
        <v>-3.9426379999999999E-6</v>
      </c>
      <c r="I6579">
        <v>58.327100000000002</v>
      </c>
      <c r="J6579">
        <v>-187.66229999999999</v>
      </c>
      <c r="K6579">
        <v>1.1072310000000001</v>
      </c>
      <c r="L6579">
        <v>40.6571</v>
      </c>
      <c r="M6579">
        <v>-9.8294330000000003E-3</v>
      </c>
      <c r="N6579">
        <v>-5.7345470000000004E-3</v>
      </c>
      <c r="O6579">
        <v>0.99993529999999997</v>
      </c>
      <c r="P6579">
        <v>-0.104144899999999</v>
      </c>
      <c r="Q6579">
        <v>2.3341199999999999E-3</v>
      </c>
      <c r="R6579">
        <v>0.99455939999999998</v>
      </c>
      <c r="S6579">
        <v>-0.18780520000000001</v>
      </c>
      <c r="T6579">
        <v>-0.18181149999999999</v>
      </c>
      <c r="U6579">
        <v>2.9971619999999999</v>
      </c>
      <c r="V6579">
        <v>-9.4357129999999997E-2</v>
      </c>
      <c r="W6579">
        <v>8.1221799999999997E-3</v>
      </c>
      <c r="X6579">
        <v>0.99550530000000004</v>
      </c>
      <c r="Y6579">
        <v>-5.2621279999999999E-2</v>
      </c>
      <c r="Z6579">
        <v>-5.4721260000000001E-2</v>
      </c>
      <c r="AA6579">
        <v>0.9971141</v>
      </c>
      <c r="AB6579">
        <v>56</v>
      </c>
      <c r="AC6579">
        <v>-1.1379999999999999</v>
      </c>
      <c r="AD6579">
        <v>-1.1072349426379999</v>
      </c>
      <c r="AE6579">
        <v>17.670000000000002</v>
      </c>
      <c r="AF6579">
        <v>-0.96050026007497402</v>
      </c>
      <c r="AG6579">
        <v>-1.1072349426379999</v>
      </c>
      <c r="AH6579">
        <v>17.611466488582298</v>
      </c>
      <c r="AI6579">
        <v>93.592133161937099</v>
      </c>
      <c r="AJ6579">
        <v>93.121724403684794</v>
      </c>
      <c r="AK6579">
        <v>17.6723592608984</v>
      </c>
      <c r="AL6579">
        <v>89.534628258046297</v>
      </c>
      <c r="AM6579">
        <v>95.414498890617907</v>
      </c>
      <c r="AN6579">
        <v>1.0000000200589301</v>
      </c>
    </row>
    <row r="6580" spans="1:40" x14ac:dyDescent="0.25">
      <c r="A6580" t="str">
        <f>"20190305135401387"</f>
        <v>20190305135401387</v>
      </c>
      <c r="B6580" t="str">
        <f>"1551765241376604"</f>
        <v>1551765241376604</v>
      </c>
      <c r="C6580" t="s">
        <v>40</v>
      </c>
      <c r="D6580">
        <v>4.553185</v>
      </c>
      <c r="E6580">
        <v>0.51481309999999902</v>
      </c>
      <c r="F6580" t="s">
        <v>42</v>
      </c>
      <c r="G6580">
        <v>-188.83189999999999</v>
      </c>
      <c r="H6580" s="1">
        <v>-4.3184619999999996E-6</v>
      </c>
      <c r="I6580">
        <v>59.216209999999997</v>
      </c>
      <c r="J6580">
        <v>-187.66749999999999</v>
      </c>
      <c r="K6580">
        <v>1.107121</v>
      </c>
      <c r="L6580">
        <v>41.214449999999999</v>
      </c>
      <c r="M6580">
        <v>-9.2650070000000005E-3</v>
      </c>
      <c r="N6580">
        <v>-5.7599900000000004E-3</v>
      </c>
      <c r="O6580">
        <v>0.99994050000000001</v>
      </c>
      <c r="P6580">
        <v>-0.1037304</v>
      </c>
      <c r="Q6580">
        <v>2.8937360000000001E-3</v>
      </c>
      <c r="R6580">
        <v>0.99460119999999996</v>
      </c>
      <c r="S6580">
        <v>-0.18887329999999999</v>
      </c>
      <c r="T6580">
        <v>-0.1788032</v>
      </c>
      <c r="U6580">
        <v>2.9970400000000001</v>
      </c>
      <c r="V6580">
        <v>-9.4501450000000001E-2</v>
      </c>
      <c r="W6580">
        <v>8.7320330000000002E-3</v>
      </c>
      <c r="X6580">
        <v>0.99548639999999999</v>
      </c>
      <c r="Y6580">
        <v>-5.354486E-2</v>
      </c>
      <c r="Z6580">
        <v>-5.3699669999999998E-2</v>
      </c>
      <c r="AA6580">
        <v>0.99712049999999997</v>
      </c>
      <c r="AB6580">
        <v>56</v>
      </c>
      <c r="AC6580">
        <v>-1.1644000000000001</v>
      </c>
      <c r="AD6580">
        <v>-1.107125318462</v>
      </c>
      <c r="AE6580">
        <v>18.001759999999901</v>
      </c>
      <c r="AF6580">
        <v>-0.99381750275311898</v>
      </c>
      <c r="AG6580">
        <v>-1.107125318462</v>
      </c>
      <c r="AH6580">
        <v>17.9441869569755</v>
      </c>
      <c r="AI6580">
        <v>93.525186452798593</v>
      </c>
      <c r="AJ6580">
        <v>93.170020205474898</v>
      </c>
      <c r="AK6580">
        <v>18.005755892115399</v>
      </c>
      <c r="AL6580">
        <v>89.499684990607605</v>
      </c>
      <c r="AM6580">
        <v>95.4228334223384</v>
      </c>
      <c r="AN6580">
        <v>0.999999972518687</v>
      </c>
    </row>
    <row r="6581" spans="1:40" x14ac:dyDescent="0.25">
      <c r="A6581" t="str">
        <f>"20190305135401408"</f>
        <v>20190305135401408</v>
      </c>
      <c r="B6581" t="str">
        <f>"1551765241396120"</f>
        <v>1551765241396120</v>
      </c>
      <c r="C6581" t="s">
        <v>40</v>
      </c>
      <c r="D6581">
        <v>4.5558529999999999</v>
      </c>
      <c r="E6581">
        <v>0.51464799999999999</v>
      </c>
      <c r="F6581" t="s">
        <v>42</v>
      </c>
      <c r="G6581">
        <v>-188.8623</v>
      </c>
      <c r="H6581" s="1">
        <v>-5.005955E-7</v>
      </c>
      <c r="I6581">
        <v>60.229559999999999</v>
      </c>
      <c r="J6581">
        <v>-187.67230000000001</v>
      </c>
      <c r="K6581">
        <v>1.10701</v>
      </c>
      <c r="L6581">
        <v>41.751429999999999</v>
      </c>
      <c r="M6581">
        <v>-8.6191849999999997E-3</v>
      </c>
      <c r="N6581">
        <v>-5.7847929999999999E-3</v>
      </c>
      <c r="O6581">
        <v>0.99994609999999995</v>
      </c>
      <c r="P6581">
        <v>-0.1027309</v>
      </c>
      <c r="Q6581">
        <v>3.7860469999999998E-3</v>
      </c>
      <c r="R6581">
        <v>0.99470199999999998</v>
      </c>
      <c r="S6581">
        <v>-0.18832399999999999</v>
      </c>
      <c r="T6581">
        <v>-0.174504399999999</v>
      </c>
      <c r="U6581">
        <v>2.9971619999999999</v>
      </c>
      <c r="V6581">
        <v>-9.4140329999999994E-2</v>
      </c>
      <c r="W6581">
        <v>9.6746999999999996E-3</v>
      </c>
      <c r="X6581">
        <v>0.99551190000000001</v>
      </c>
      <c r="Y6581">
        <v>-5.401011E-2</v>
      </c>
      <c r="Z6581">
        <v>-5.2247679999999998E-2</v>
      </c>
      <c r="AA6581">
        <v>0.99717250000000002</v>
      </c>
      <c r="AB6581">
        <v>56</v>
      </c>
      <c r="AC6581">
        <v>-1.18999999999999</v>
      </c>
      <c r="AD6581">
        <v>-1.1070105005955</v>
      </c>
      <c r="AE6581">
        <v>18.47813</v>
      </c>
      <c r="AF6581">
        <v>-1.0270158516705901</v>
      </c>
      <c r="AG6581">
        <v>-1.1070105005955</v>
      </c>
      <c r="AH6581">
        <v>18.421855511316</v>
      </c>
      <c r="AI6581">
        <v>93.433577212064506</v>
      </c>
      <c r="AJ6581">
        <v>93.190928526565003</v>
      </c>
      <c r="AK6581">
        <v>18.483641261608</v>
      </c>
      <c r="AL6581">
        <v>89.445671858856301</v>
      </c>
      <c r="AM6581">
        <v>95.402096326466605</v>
      </c>
      <c r="AN6581">
        <v>0.99999997229710402</v>
      </c>
    </row>
    <row r="6582" spans="1:40" x14ac:dyDescent="0.25">
      <c r="A6582" t="str">
        <f>"20190305135401430"</f>
        <v>20190305135401430</v>
      </c>
      <c r="B6582" t="str">
        <f>"1551765241426376"</f>
        <v>1551765241426376</v>
      </c>
      <c r="C6582" t="s">
        <v>40</v>
      </c>
      <c r="D6582">
        <v>4.8333279999999998</v>
      </c>
      <c r="E6582">
        <v>0.51461570000000001</v>
      </c>
      <c r="F6582" t="s">
        <v>42</v>
      </c>
      <c r="G6582">
        <v>-188.88980000000001</v>
      </c>
      <c r="H6582" s="1">
        <v>-9.0816599999999995E-7</v>
      </c>
      <c r="I6582">
        <v>61.290660000000003</v>
      </c>
      <c r="J6582">
        <v>-187.67679999999999</v>
      </c>
      <c r="K6582">
        <v>1.106894</v>
      </c>
      <c r="L6582">
        <v>42.310029999999998</v>
      </c>
      <c r="M6582">
        <v>-7.8530730000000003E-3</v>
      </c>
      <c r="N6582">
        <v>-5.8105910000000004E-3</v>
      </c>
      <c r="O6582">
        <v>0.99995230000000002</v>
      </c>
      <c r="P6582">
        <v>-0.1016117</v>
      </c>
      <c r="Q6582">
        <v>3.7573039999999999E-3</v>
      </c>
      <c r="R6582">
        <v>0.99481699999999995</v>
      </c>
      <c r="S6582">
        <v>-0.18676760000000001</v>
      </c>
      <c r="T6582">
        <v>-0.1698171</v>
      </c>
      <c r="U6582">
        <v>2.9973450000000001</v>
      </c>
      <c r="V6582">
        <v>-9.3780000000000002E-2</v>
      </c>
      <c r="W6582">
        <v>9.6980639999999993E-3</v>
      </c>
      <c r="X6582">
        <v>0.99554569999999998</v>
      </c>
      <c r="Y6582">
        <v>-5.4260780000000002E-2</v>
      </c>
      <c r="Z6582">
        <v>-5.0665439999999999E-2</v>
      </c>
      <c r="AA6582">
        <v>0.99724060000000003</v>
      </c>
      <c r="AB6582">
        <v>56</v>
      </c>
      <c r="AC6582">
        <v>-1.2130000000000201</v>
      </c>
      <c r="AD6582">
        <v>-1.106894908166</v>
      </c>
      <c r="AE6582">
        <v>18.980630000000001</v>
      </c>
      <c r="AF6582">
        <v>-1.06031247832019</v>
      </c>
      <c r="AG6582">
        <v>-1.106894908166</v>
      </c>
      <c r="AH6582">
        <v>18.925469150999401</v>
      </c>
      <c r="AI6582">
        <v>93.342018979531801</v>
      </c>
      <c r="AJ6582">
        <v>93.206683287821903</v>
      </c>
      <c r="AK6582">
        <v>18.9874395713281</v>
      </c>
      <c r="AL6582">
        <v>89.444333147712896</v>
      </c>
      <c r="AM6582">
        <v>95.3813593379992</v>
      </c>
      <c r="AN6582">
        <v>0.99999999081691904</v>
      </c>
    </row>
    <row r="6583" spans="1:40" x14ac:dyDescent="0.25">
      <c r="A6583" t="str">
        <f>"20190305135401453"</f>
        <v>20190305135401453</v>
      </c>
      <c r="B6583" t="str">
        <f>"1551765241446873"</f>
        <v>1551765241446873</v>
      </c>
      <c r="C6583" t="s">
        <v>40</v>
      </c>
      <c r="D6583">
        <v>4.6264059999999896</v>
      </c>
      <c r="E6583">
        <v>0.51466999999999996</v>
      </c>
      <c r="F6583" t="s">
        <v>42</v>
      </c>
      <c r="G6583">
        <v>-188.87809999999999</v>
      </c>
      <c r="H6583" s="1">
        <v>-1.177111E-6</v>
      </c>
      <c r="I6583">
        <v>61.912770000000002</v>
      </c>
      <c r="J6583">
        <v>-187.68109999999999</v>
      </c>
      <c r="K6583">
        <v>1.1067670000000001</v>
      </c>
      <c r="L6583">
        <v>42.896509999999999</v>
      </c>
      <c r="M6583">
        <v>-6.9500339999999999E-3</v>
      </c>
      <c r="N6583">
        <v>-5.8375889999999998E-3</v>
      </c>
      <c r="O6583">
        <v>0.99995880000000004</v>
      </c>
      <c r="P6583">
        <v>-0.1005123</v>
      </c>
      <c r="Q6583">
        <v>4.1804019999999997E-3</v>
      </c>
      <c r="R6583">
        <v>0.99492700000000001</v>
      </c>
      <c r="S6583">
        <v>-0.18370059999999999</v>
      </c>
      <c r="T6583">
        <v>-0.16925780000000001</v>
      </c>
      <c r="U6583">
        <v>2.9974980000000002</v>
      </c>
      <c r="V6583">
        <v>-9.3575439999999996E-2</v>
      </c>
      <c r="W6583">
        <v>1.0176309999999999E-2</v>
      </c>
      <c r="X6583">
        <v>0.99556020000000001</v>
      </c>
      <c r="Y6583">
        <v>-5.4143539999999997E-2</v>
      </c>
      <c r="Z6583">
        <v>-5.0452509999999999E-2</v>
      </c>
      <c r="AA6583">
        <v>0.99725779999999997</v>
      </c>
      <c r="AB6583">
        <v>57</v>
      </c>
      <c r="AC6583">
        <v>-1.1970000000000001</v>
      </c>
      <c r="AD6583">
        <v>-1.1067681771110001</v>
      </c>
      <c r="AE6583">
        <v>19.016259999999999</v>
      </c>
      <c r="AF6583">
        <v>-1.0612246053268399</v>
      </c>
      <c r="AG6583">
        <v>-1.1067681771110001</v>
      </c>
      <c r="AH6583">
        <v>18.960148401427599</v>
      </c>
      <c r="AI6583">
        <v>93.335549068925005</v>
      </c>
      <c r="AJ6583">
        <v>93.203578039140396</v>
      </c>
      <c r="AK6583">
        <v>19.022049333995898</v>
      </c>
      <c r="AL6583">
        <v>89.416930331521996</v>
      </c>
      <c r="AM6583">
        <v>95.369612047564303</v>
      </c>
      <c r="AN6583">
        <v>1.00000001604022</v>
      </c>
    </row>
    <row r="6584" spans="1:40" x14ac:dyDescent="0.25">
      <c r="A6584" t="str">
        <f>"20190305135401478"</f>
        <v>20190305135401478</v>
      </c>
      <c r="B6584" t="str">
        <f>"1551765241466392"</f>
        <v>1551765241466392</v>
      </c>
      <c r="C6584" t="s">
        <v>40</v>
      </c>
      <c r="D6584">
        <v>4.6167889999999998</v>
      </c>
      <c r="E6584">
        <v>0.51502000000000003</v>
      </c>
      <c r="F6584" t="s">
        <v>42</v>
      </c>
      <c r="G6584">
        <v>-188.85130000000001</v>
      </c>
      <c r="H6584" s="1">
        <v>-1.3987029999999999E-6</v>
      </c>
      <c r="I6584">
        <v>62.418199999999999</v>
      </c>
      <c r="J6584">
        <v>-187.685</v>
      </c>
      <c r="K6584">
        <v>1.1066370000000001</v>
      </c>
      <c r="L6584">
        <v>43.507109999999997</v>
      </c>
      <c r="M6584">
        <v>-5.9066129999999998E-3</v>
      </c>
      <c r="N6584">
        <v>-5.8656180000000004E-3</v>
      </c>
      <c r="O6584">
        <v>0.9999654</v>
      </c>
      <c r="P6584">
        <v>-9.9635370000000001E-2</v>
      </c>
      <c r="Q6584">
        <v>4.6074000000000002E-3</v>
      </c>
      <c r="R6584">
        <v>0.99501340000000005</v>
      </c>
      <c r="S6584">
        <v>-0.179702799999999</v>
      </c>
      <c r="T6584">
        <v>-0.16996</v>
      </c>
      <c r="U6584">
        <v>2.997833</v>
      </c>
      <c r="V6584">
        <v>-9.3732099999999999E-2</v>
      </c>
      <c r="W6584">
        <v>1.06617E-2</v>
      </c>
      <c r="X6584">
        <v>0.99554039999999999</v>
      </c>
      <c r="Y6584">
        <v>-5.3852959999999998E-2</v>
      </c>
      <c r="Z6584">
        <v>-5.065414E-2</v>
      </c>
      <c r="AA6584">
        <v>0.99726329999999996</v>
      </c>
      <c r="AB6584">
        <v>57</v>
      </c>
      <c r="AC6584">
        <v>-1.1662999999999999</v>
      </c>
      <c r="AD6584">
        <v>-1.106638398703</v>
      </c>
      <c r="AE6584">
        <v>18.911089999999898</v>
      </c>
      <c r="AF6584">
        <v>-1.0509919188746399</v>
      </c>
      <c r="AG6584">
        <v>-1.106638398703</v>
      </c>
      <c r="AH6584">
        <v>18.853333286700501</v>
      </c>
      <c r="AI6584">
        <v>93.354053476591403</v>
      </c>
      <c r="AJ6584">
        <v>93.190689920343203</v>
      </c>
      <c r="AK6584">
        <v>18.915004852720301</v>
      </c>
      <c r="AL6584">
        <v>89.389118034142498</v>
      </c>
      <c r="AM6584">
        <v>95.378655292009995</v>
      </c>
      <c r="AN6584">
        <v>1.0000000332247201</v>
      </c>
    </row>
    <row r="6585" spans="1:40" x14ac:dyDescent="0.25">
      <c r="A6585" t="str">
        <f>"20190305135401499"</f>
        <v>20190305135401499</v>
      </c>
      <c r="B6585" t="str">
        <f>"1551765241496648"</f>
        <v>1551765241496648</v>
      </c>
      <c r="C6585" t="s">
        <v>40</v>
      </c>
      <c r="D6585">
        <v>4.6237810000000001</v>
      </c>
      <c r="E6585">
        <v>0.51536629999999894</v>
      </c>
      <c r="F6585" t="s">
        <v>42</v>
      </c>
      <c r="G6585">
        <v>-188.82900000000001</v>
      </c>
      <c r="H6585" s="1">
        <v>-1.7354900000000001E-6</v>
      </c>
      <c r="I6585">
        <v>63.19406</v>
      </c>
      <c r="J6585">
        <v>-187.68799999999999</v>
      </c>
      <c r="K6585">
        <v>1.106508</v>
      </c>
      <c r="L6585">
        <v>44.054839999999999</v>
      </c>
      <c r="M6585">
        <v>-4.883185E-3</v>
      </c>
      <c r="N6585">
        <v>-5.8908010000000002E-3</v>
      </c>
      <c r="O6585">
        <v>0.99997069999999999</v>
      </c>
      <c r="P6585">
        <v>-9.880767E-2</v>
      </c>
      <c r="Q6585">
        <v>4.8337120000000004E-3</v>
      </c>
      <c r="R6585">
        <v>0.99509479999999995</v>
      </c>
      <c r="S6585">
        <v>-0.17424010000000001</v>
      </c>
      <c r="T6585">
        <v>-0.16854450000000001</v>
      </c>
      <c r="U6585">
        <v>2.998383</v>
      </c>
      <c r="V6585">
        <v>-9.3919310000000006E-2</v>
      </c>
      <c r="W6585">
        <v>1.094064E-2</v>
      </c>
      <c r="X6585">
        <v>0.99551970000000001</v>
      </c>
      <c r="Y6585">
        <v>-5.3055070000000003E-2</v>
      </c>
      <c r="Z6585">
        <v>-5.0153910000000003E-2</v>
      </c>
      <c r="AA6585">
        <v>0.99733130000000003</v>
      </c>
      <c r="AB6585">
        <v>57</v>
      </c>
      <c r="AC6585">
        <v>-1.14100000000001</v>
      </c>
      <c r="AD6585">
        <v>-1.10650973549</v>
      </c>
      <c r="AE6585">
        <v>19.139219999999899</v>
      </c>
      <c r="AF6585">
        <v>-1.0440471260073401</v>
      </c>
      <c r="AG6585">
        <v>-1.10650973549</v>
      </c>
      <c r="AH6585">
        <v>19.0810125695583</v>
      </c>
      <c r="AI6585">
        <v>93.3139247492919</v>
      </c>
      <c r="AJ6585">
        <v>93.131904182350198</v>
      </c>
      <c r="AK6585">
        <v>19.141563125191801</v>
      </c>
      <c r="AL6585">
        <v>89.373134999042705</v>
      </c>
      <c r="AM6585">
        <v>95.389446226888396</v>
      </c>
      <c r="AN6585">
        <v>1.00000000374128</v>
      </c>
    </row>
    <row r="6586" spans="1:40" x14ac:dyDescent="0.25">
      <c r="A6586" t="str">
        <f>"20190305135401522"</f>
        <v>20190305135401522</v>
      </c>
      <c r="B6586" t="str">
        <f>"1551765241516169"</f>
        <v>1551765241516169</v>
      </c>
      <c r="C6586" t="s">
        <v>40</v>
      </c>
      <c r="D6586">
        <v>4.6058690000000002</v>
      </c>
      <c r="E6586">
        <v>0.51541700000000001</v>
      </c>
      <c r="F6586" t="s">
        <v>42</v>
      </c>
      <c r="G6586">
        <v>-188.7997</v>
      </c>
      <c r="H6586" s="1">
        <v>-1.9955709999999998E-6</v>
      </c>
      <c r="I6586">
        <v>63.78819</v>
      </c>
      <c r="J6586">
        <v>-187.69049999999999</v>
      </c>
      <c r="K6586">
        <v>1.1063810000000001</v>
      </c>
      <c r="L6586">
        <v>44.622250000000001</v>
      </c>
      <c r="M6586">
        <v>-3.744711E-3</v>
      </c>
      <c r="N6586">
        <v>-5.9168819999999896E-3</v>
      </c>
      <c r="O6586">
        <v>0.99997550000000002</v>
      </c>
      <c r="P6586">
        <v>-9.8174269999999994E-2</v>
      </c>
      <c r="Q6586">
        <v>4.9173430000000002E-3</v>
      </c>
      <c r="R6586">
        <v>0.99515710000000002</v>
      </c>
      <c r="S6586">
        <v>-0.16894529999999999</v>
      </c>
      <c r="T6586">
        <v>-0.1681542</v>
      </c>
      <c r="U6586">
        <v>2.99884</v>
      </c>
      <c r="V6586">
        <v>-9.4415230000000003E-2</v>
      </c>
      <c r="W6586">
        <v>1.1080339999999999E-2</v>
      </c>
      <c r="X6586">
        <v>0.9954712</v>
      </c>
      <c r="Y6586">
        <v>-5.2428519999999999E-2</v>
      </c>
      <c r="Z6586">
        <v>-4.9993919999999997E-2</v>
      </c>
      <c r="AA6586">
        <v>0.99737240000000005</v>
      </c>
      <c r="AB6586">
        <v>57</v>
      </c>
      <c r="AC6586">
        <v>-1.10920000000001</v>
      </c>
      <c r="AD6586">
        <v>-1.1063829955710001</v>
      </c>
      <c r="AE6586">
        <v>19.165939999999999</v>
      </c>
      <c r="AF6586">
        <v>-1.0339859589638001</v>
      </c>
      <c r="AG6586">
        <v>-1.1063829955710001</v>
      </c>
      <c r="AH6586">
        <v>19.106502288084801</v>
      </c>
      <c r="AI6586">
        <v>93.309242703608504</v>
      </c>
      <c r="AJ6586">
        <v>93.097652206896896</v>
      </c>
      <c r="AK6586">
        <v>19.1664195921099</v>
      </c>
      <c r="AL6586">
        <v>89.365130265552907</v>
      </c>
      <c r="AM6586">
        <v>95.417997496960496</v>
      </c>
      <c r="AN6586">
        <v>0.99999995980995304</v>
      </c>
    </row>
    <row r="6587" spans="1:40" x14ac:dyDescent="0.25">
      <c r="A6587" t="str">
        <f>"20190305135401541"</f>
        <v>20190305135401541</v>
      </c>
      <c r="B6587" t="str">
        <f>"1551765241536665"</f>
        <v>1551765241536665</v>
      </c>
      <c r="C6587" t="s">
        <v>40</v>
      </c>
      <c r="D6587">
        <v>4.5916709999999998</v>
      </c>
      <c r="E6587">
        <v>0.51545629999999998</v>
      </c>
      <c r="F6587" t="s">
        <v>42</v>
      </c>
      <c r="G6587">
        <v>-188.7809</v>
      </c>
      <c r="H6587" s="1">
        <v>-2.1994640000000001E-6</v>
      </c>
      <c r="I6587">
        <v>64.255709999999993</v>
      </c>
      <c r="J6587">
        <v>-187.69229999999999</v>
      </c>
      <c r="K6587">
        <v>1.1062669999999999</v>
      </c>
      <c r="L6587">
        <v>45.14911</v>
      </c>
      <c r="M6587">
        <v>-2.6258940000000001E-3</v>
      </c>
      <c r="N6587">
        <v>-5.9410340000000004E-3</v>
      </c>
      <c r="O6587">
        <v>0.9999789</v>
      </c>
      <c r="P6587">
        <v>-9.7727620000000001E-2</v>
      </c>
      <c r="Q6587">
        <v>5.0378360000000004E-3</v>
      </c>
      <c r="R6587">
        <v>0.99520050000000004</v>
      </c>
      <c r="S6587">
        <v>-0.16656489999999999</v>
      </c>
      <c r="T6587">
        <v>-0.16899910000000001</v>
      </c>
      <c r="U6587">
        <v>2.998993</v>
      </c>
      <c r="V6587">
        <v>-9.5079109999999994E-2</v>
      </c>
      <c r="W6587">
        <v>1.1252949999999999E-2</v>
      </c>
      <c r="X6587">
        <v>0.99540609999999996</v>
      </c>
      <c r="Y6587">
        <v>-5.2752939999999998E-2</v>
      </c>
      <c r="Z6587">
        <v>-5.0247890000000003E-2</v>
      </c>
      <c r="AA6587">
        <v>0.99734259999999997</v>
      </c>
      <c r="AB6587">
        <v>57</v>
      </c>
      <c r="AC6587">
        <v>-1.08860000000001</v>
      </c>
      <c r="AD6587">
        <v>-1.1062691994639999</v>
      </c>
      <c r="AE6587">
        <v>19.1066</v>
      </c>
      <c r="AF6587">
        <v>-1.03496507242123</v>
      </c>
      <c r="AG6587">
        <v>-1.1062691994639999</v>
      </c>
      <c r="AH6587">
        <v>19.045750491029299</v>
      </c>
      <c r="AI6587">
        <v>93.319394087387494</v>
      </c>
      <c r="AJ6587">
        <v>93.110450534169601</v>
      </c>
      <c r="AK6587">
        <v>19.105904741973301</v>
      </c>
      <c r="AL6587">
        <v>89.355239840211993</v>
      </c>
      <c r="AM6587">
        <v>95.456219690622405</v>
      </c>
      <c r="AN6587">
        <v>0.99999998497965203</v>
      </c>
    </row>
    <row r="6588" spans="1:40" x14ac:dyDescent="0.25">
      <c r="A6588" t="str">
        <f>"20190305135401564"</f>
        <v>20190305135401564</v>
      </c>
      <c r="B6588" t="str">
        <f>"1551765241556185"</f>
        <v>1551765241556185</v>
      </c>
      <c r="C6588" t="s">
        <v>40</v>
      </c>
      <c r="D6588">
        <v>4.5659999999999998</v>
      </c>
      <c r="E6588">
        <v>0.51550909999999905</v>
      </c>
      <c r="F6588" t="s">
        <v>42</v>
      </c>
      <c r="G6588">
        <v>-188.76920000000001</v>
      </c>
      <c r="H6588" s="1">
        <v>-2.4189900000000002E-6</v>
      </c>
      <c r="I6588">
        <v>64.762569999999997</v>
      </c>
      <c r="J6588">
        <v>-187.6936</v>
      </c>
      <c r="K6588">
        <v>1.106142</v>
      </c>
      <c r="L6588">
        <v>45.741549999999997</v>
      </c>
      <c r="M6588">
        <v>-1.3155489999999901E-3</v>
      </c>
      <c r="N6588">
        <v>-5.9678999999999904E-3</v>
      </c>
      <c r="O6588">
        <v>0.99998129999999996</v>
      </c>
      <c r="P6588">
        <v>-9.640464E-2</v>
      </c>
      <c r="Q6588">
        <v>5.4039580000000004E-3</v>
      </c>
      <c r="R6588">
        <v>0.99532750000000003</v>
      </c>
      <c r="S6588">
        <v>-0.16467290000000001</v>
      </c>
      <c r="T6588">
        <v>-0.16916249999999999</v>
      </c>
      <c r="U6588">
        <v>2.9991460000000001</v>
      </c>
      <c r="V6588">
        <v>-9.505537E-2</v>
      </c>
      <c r="W6588">
        <v>1.167349E-2</v>
      </c>
      <c r="X6588">
        <v>0.9954035</v>
      </c>
      <c r="Y6588">
        <v>-5.3431119999999999E-2</v>
      </c>
      <c r="Z6588">
        <v>-5.0272329999999997E-2</v>
      </c>
      <c r="AA6588">
        <v>0.99730529999999995</v>
      </c>
      <c r="AB6588">
        <v>57</v>
      </c>
      <c r="AC6588">
        <v>-1.0755999999999999</v>
      </c>
      <c r="AD6588">
        <v>-1.1061444189899901</v>
      </c>
      <c r="AE6588">
        <v>19.02102</v>
      </c>
      <c r="AF6588">
        <v>-1.0470458597830199</v>
      </c>
      <c r="AG6588">
        <v>-1.1061444189899901</v>
      </c>
      <c r="AH6588">
        <v>18.958507851491898</v>
      </c>
      <c r="AI6588">
        <v>93.3340982723754</v>
      </c>
      <c r="AJ6588">
        <v>93.161136210924795</v>
      </c>
      <c r="AK6588">
        <v>19.019592016213998</v>
      </c>
      <c r="AL6588">
        <v>89.331143073090999</v>
      </c>
      <c r="AM6588">
        <v>95.454879725079493</v>
      </c>
      <c r="AN6588">
        <v>0.99999996077343201</v>
      </c>
    </row>
    <row r="6589" spans="1:40" x14ac:dyDescent="0.25">
      <c r="A6589" t="str">
        <f>"20190305135401588"</f>
        <v>20190305135401588</v>
      </c>
      <c r="B6589" t="str">
        <f>"1551765241576684"</f>
        <v>1551765241576684</v>
      </c>
      <c r="C6589" t="s">
        <v>40</v>
      </c>
      <c r="D6589">
        <v>4.6164509999999996</v>
      </c>
      <c r="E6589">
        <v>0.51570680000000002</v>
      </c>
      <c r="F6589" t="s">
        <v>42</v>
      </c>
      <c r="G6589">
        <v>-188.74430000000001</v>
      </c>
      <c r="H6589" s="1">
        <v>-2.6937530000000001E-6</v>
      </c>
      <c r="I6589">
        <v>65.392759999999996</v>
      </c>
      <c r="J6589">
        <v>-187.69409999999999</v>
      </c>
      <c r="K6589">
        <v>1.1060319999999999</v>
      </c>
      <c r="L6589">
        <v>46.340969999999999</v>
      </c>
      <c r="M6589" s="1">
        <v>5.7225970000000002E-5</v>
      </c>
      <c r="N6589">
        <v>-5.9946969999999898E-3</v>
      </c>
      <c r="O6589">
        <v>0.99998209999999998</v>
      </c>
      <c r="P6589">
        <v>-9.5051140000000006E-2</v>
      </c>
      <c r="Q6589">
        <v>5.6382639999999996E-3</v>
      </c>
      <c r="R6589">
        <v>0.99545640000000002</v>
      </c>
      <c r="S6589">
        <v>-0.16036989999999901</v>
      </c>
      <c r="T6589">
        <v>-0.1688374</v>
      </c>
      <c r="U6589">
        <v>2.9994809999999998</v>
      </c>
      <c r="V6589">
        <v>-9.5064540000000003E-2</v>
      </c>
      <c r="W6589">
        <v>1.196005E-2</v>
      </c>
      <c r="X6589">
        <v>0.99539920000000004</v>
      </c>
      <c r="Y6589">
        <v>-5.3369670000000001E-2</v>
      </c>
      <c r="Z6589">
        <v>-5.0133669999999998E-2</v>
      </c>
      <c r="AA6589">
        <v>0.99731550000000002</v>
      </c>
      <c r="AB6589">
        <v>57</v>
      </c>
      <c r="AC6589">
        <v>-1.05020000000001</v>
      </c>
      <c r="AD6589">
        <v>-1.1060346937529999</v>
      </c>
      <c r="AE6589">
        <v>19.05179</v>
      </c>
      <c r="AF6589">
        <v>-1.0477696957585101</v>
      </c>
      <c r="AG6589">
        <v>-1.1060346937529999</v>
      </c>
      <c r="AH6589">
        <v>18.987929103916699</v>
      </c>
      <c r="AI6589">
        <v>93.328623007976404</v>
      </c>
      <c r="AJ6589">
        <v>93.158425569486297</v>
      </c>
      <c r="AK6589">
        <v>19.048952352675499</v>
      </c>
      <c r="AL6589">
        <v>89.314723232082599</v>
      </c>
      <c r="AM6589">
        <v>95.455426207708499</v>
      </c>
      <c r="AN6589">
        <v>0.99999993846102497</v>
      </c>
    </row>
    <row r="6590" spans="1:40" x14ac:dyDescent="0.25">
      <c r="A6590" t="str">
        <f>"20190305135401608"</f>
        <v>20190305135401608</v>
      </c>
      <c r="B6590" t="str">
        <f>"1551765241606937"</f>
        <v>1551765241606937</v>
      </c>
      <c r="C6590" t="s">
        <v>40</v>
      </c>
      <c r="D6590">
        <v>4.4605569999999997</v>
      </c>
      <c r="E6590">
        <v>0.51584770000000002</v>
      </c>
      <c r="F6590" t="s">
        <v>42</v>
      </c>
      <c r="G6590">
        <v>-188.7148</v>
      </c>
      <c r="H6590" s="1">
        <v>-3.0113969999999998E-6</v>
      </c>
      <c r="I6590">
        <v>66.121020000000001</v>
      </c>
      <c r="J6590">
        <v>-187.69399999999999</v>
      </c>
      <c r="K6590">
        <v>1.105936</v>
      </c>
      <c r="L6590">
        <v>46.87256</v>
      </c>
      <c r="M6590">
        <v>1.300182E-3</v>
      </c>
      <c r="N6590">
        <v>-6.0180650000000004E-3</v>
      </c>
      <c r="O6590">
        <v>0.99998100000000001</v>
      </c>
      <c r="P6590">
        <v>-9.355252E-2</v>
      </c>
      <c r="Q6590">
        <v>5.9767609999999997E-3</v>
      </c>
      <c r="R6590">
        <v>0.99559640000000005</v>
      </c>
      <c r="S6590">
        <v>-0.15480039999999901</v>
      </c>
      <c r="T6590">
        <v>-0.16774169999999999</v>
      </c>
      <c r="U6590">
        <v>2.9998469999999999</v>
      </c>
      <c r="V6590">
        <v>-9.4798789999999994E-2</v>
      </c>
      <c r="W6590">
        <v>1.234149E-2</v>
      </c>
      <c r="X6590">
        <v>0.99541999999999997</v>
      </c>
      <c r="Y6590">
        <v>-5.2759010000000002E-2</v>
      </c>
      <c r="Z6590">
        <v>-4.974369E-2</v>
      </c>
      <c r="AA6590">
        <v>0.99736760000000002</v>
      </c>
      <c r="AB6590">
        <v>57</v>
      </c>
      <c r="AC6590">
        <v>-1.0207999999999799</v>
      </c>
      <c r="AD6590">
        <v>-1.105939011397</v>
      </c>
      <c r="AE6590">
        <v>19.248460000000001</v>
      </c>
      <c r="AF6590">
        <v>-1.0423946022209001</v>
      </c>
      <c r="AG6590">
        <v>-1.105939011397</v>
      </c>
      <c r="AH6590">
        <v>19.183964204549</v>
      </c>
      <c r="AI6590">
        <v>93.294551225164497</v>
      </c>
      <c r="AJ6590">
        <v>93.110208907267705</v>
      </c>
      <c r="AK6590">
        <v>19.244068442122199</v>
      </c>
      <c r="AL6590">
        <v>89.292866793597497</v>
      </c>
      <c r="AM6590">
        <v>95.4401543586618</v>
      </c>
      <c r="AN6590">
        <v>1.00000004968044</v>
      </c>
    </row>
    <row r="6591" spans="1:40" x14ac:dyDescent="0.25">
      <c r="A6591" t="str">
        <f>"20190305135401631"</f>
        <v>20190305135401631</v>
      </c>
      <c r="B6591" t="str">
        <f>"1551765241626457"</f>
        <v>1551765241626457</v>
      </c>
      <c r="C6591" t="s">
        <v>40</v>
      </c>
      <c r="D6591">
        <v>4.562951</v>
      </c>
      <c r="E6591">
        <v>0.51595210000000002</v>
      </c>
      <c r="F6591" t="s">
        <v>42</v>
      </c>
      <c r="G6591">
        <v>-188.6711</v>
      </c>
      <c r="H6591" s="1">
        <v>-3.1911939999999999E-6</v>
      </c>
      <c r="I6591">
        <v>66.522049999999993</v>
      </c>
      <c r="J6591">
        <v>-187.69300000000001</v>
      </c>
      <c r="K6591">
        <v>1.105847</v>
      </c>
      <c r="L6591">
        <v>47.454740000000001</v>
      </c>
      <c r="M6591">
        <v>2.6814740000000001E-3</v>
      </c>
      <c r="N6591">
        <v>-6.0434629999999998E-3</v>
      </c>
      <c r="O6591">
        <v>0.99997809999999998</v>
      </c>
      <c r="P6591">
        <v>-9.1534149999999995E-2</v>
      </c>
      <c r="Q6591">
        <v>5.2780689999999998E-3</v>
      </c>
      <c r="R6591">
        <v>0.99578800000000001</v>
      </c>
      <c r="S6591">
        <v>-0.14920039999999901</v>
      </c>
      <c r="T6591">
        <v>-0.1688656</v>
      </c>
      <c r="U6591">
        <v>3.0002749999999998</v>
      </c>
      <c r="V6591">
        <v>-9.4156340000000005E-2</v>
      </c>
      <c r="W6591">
        <v>1.168636E-2</v>
      </c>
      <c r="X6591">
        <v>0.99548879999999995</v>
      </c>
      <c r="Y6591">
        <v>-5.2273420000000001E-2</v>
      </c>
      <c r="Z6591">
        <v>-5.0085810000000001E-2</v>
      </c>
      <c r="AA6591">
        <v>0.99737600000000004</v>
      </c>
      <c r="AB6591">
        <v>58</v>
      </c>
      <c r="AC6591">
        <v>-0.97810000000001196</v>
      </c>
      <c r="AD6591">
        <v>-1.105850191194</v>
      </c>
      <c r="AE6591">
        <v>19.0673099999999</v>
      </c>
      <c r="AF6591">
        <v>-1.0257845673353601</v>
      </c>
      <c r="AG6591">
        <v>-1.105850191194</v>
      </c>
      <c r="AH6591">
        <v>19.000873667218201</v>
      </c>
      <c r="AI6591">
        <v>93.326022547159894</v>
      </c>
      <c r="AJ6591">
        <v>93.090180421551096</v>
      </c>
      <c r="AK6591">
        <v>19.060648959086699</v>
      </c>
      <c r="AL6591">
        <v>89.330405631684897</v>
      </c>
      <c r="AM6591">
        <v>95.403134232233995</v>
      </c>
      <c r="AN6591">
        <v>0.99999996914884204</v>
      </c>
    </row>
    <row r="6592" spans="1:40" x14ac:dyDescent="0.25">
      <c r="A6592" t="str">
        <f>"20190305135401654"</f>
        <v>20190305135401654</v>
      </c>
      <c r="B6592" t="str">
        <f>"1551765241646953"</f>
        <v>1551765241646953</v>
      </c>
      <c r="C6592" t="s">
        <v>40</v>
      </c>
      <c r="D6592">
        <v>4.5459480000000001</v>
      </c>
      <c r="E6592">
        <v>0.5160555</v>
      </c>
      <c r="F6592" t="s">
        <v>42</v>
      </c>
      <c r="G6592">
        <v>-188.61179999999999</v>
      </c>
      <c r="H6592" s="1">
        <v>-3.3342280000000001E-6</v>
      </c>
      <c r="I6592">
        <v>66.830929999999995</v>
      </c>
      <c r="J6592">
        <v>-187.69120000000001</v>
      </c>
      <c r="K6592">
        <v>1.105753</v>
      </c>
      <c r="L6592">
        <v>48.064790000000002</v>
      </c>
      <c r="M6592">
        <v>4.144071E-3</v>
      </c>
      <c r="N6592">
        <v>-6.0699069999999898E-3</v>
      </c>
      <c r="O6592">
        <v>0.999973</v>
      </c>
      <c r="P6592">
        <v>-8.8820839999999998E-2</v>
      </c>
      <c r="Q6592">
        <v>4.8328479999999998E-3</v>
      </c>
      <c r="R6592">
        <v>0.99603589999999997</v>
      </c>
      <c r="S6592">
        <v>-0.14227290000000001</v>
      </c>
      <c r="T6592">
        <v>-0.1712475</v>
      </c>
      <c r="U6592">
        <v>3.0005190000000002</v>
      </c>
      <c r="V6592">
        <v>-9.2899720000000005E-2</v>
      </c>
      <c r="W6592">
        <v>1.128155E-2</v>
      </c>
      <c r="X6592">
        <v>0.99561149999999998</v>
      </c>
      <c r="Y6592">
        <v>-5.1430879999999998E-2</v>
      </c>
      <c r="Z6592">
        <v>-5.0847900000000001E-2</v>
      </c>
      <c r="AA6592">
        <v>0.99738130000000003</v>
      </c>
      <c r="AB6592">
        <v>58</v>
      </c>
      <c r="AC6592">
        <v>-0.92059999999997899</v>
      </c>
      <c r="AD6592">
        <v>-1.1057563342279999</v>
      </c>
      <c r="AE6592">
        <v>18.76614</v>
      </c>
      <c r="AF6592">
        <v>-0.99491577410140797</v>
      </c>
      <c r="AG6592">
        <v>-1.1057563342279999</v>
      </c>
      <c r="AH6592">
        <v>18.697403820451399</v>
      </c>
      <c r="AI6592">
        <v>93.379735112972895</v>
      </c>
      <c r="AJ6592">
        <v>93.045918282554993</v>
      </c>
      <c r="AK6592">
        <v>18.7564779234608</v>
      </c>
      <c r="AL6592">
        <v>89.353601051114893</v>
      </c>
      <c r="AM6592">
        <v>95.330788505180493</v>
      </c>
      <c r="AN6592">
        <v>0.99999994513936297</v>
      </c>
    </row>
    <row r="6593" spans="1:40" x14ac:dyDescent="0.25">
      <c r="A6593" t="str">
        <f>"20190305135401678"</f>
        <v>20190305135401678</v>
      </c>
      <c r="B6593" t="str">
        <f>"1551765241666472"</f>
        <v>1551765241666472</v>
      </c>
      <c r="C6593" t="s">
        <v>40</v>
      </c>
      <c r="D6593">
        <v>4.5569369999999996</v>
      </c>
      <c r="E6593">
        <v>0.51608759999999998</v>
      </c>
      <c r="F6593" t="s">
        <v>42</v>
      </c>
      <c r="G6593">
        <v>-188.54159999999999</v>
      </c>
      <c r="H6593" s="1">
        <v>-3.5024679999999999E-6</v>
      </c>
      <c r="I6593">
        <v>67.194100000000006</v>
      </c>
      <c r="J6593">
        <v>-187.68860000000001</v>
      </c>
      <c r="K6593">
        <v>1.1056779999999999</v>
      </c>
      <c r="L6593">
        <v>48.664760000000001</v>
      </c>
      <c r="M6593">
        <v>5.5923669999999896E-3</v>
      </c>
      <c r="N6593">
        <v>-6.0959819999999998E-3</v>
      </c>
      <c r="O6593">
        <v>0.99996580000000002</v>
      </c>
      <c r="P6593">
        <v>-8.6266720000000005E-2</v>
      </c>
      <c r="Q6593">
        <v>5.0228800000000004E-3</v>
      </c>
      <c r="R6593">
        <v>0.99625940000000002</v>
      </c>
      <c r="S6593">
        <v>-0.13340759999999999</v>
      </c>
      <c r="T6593">
        <v>-0.17346410000000001</v>
      </c>
      <c r="U6593">
        <v>3.0008849999999998</v>
      </c>
      <c r="V6593">
        <v>-9.1785679999999994E-2</v>
      </c>
      <c r="W6593">
        <v>1.1509470000000001E-2</v>
      </c>
      <c r="X6593">
        <v>0.99571229999999999</v>
      </c>
      <c r="Y6593">
        <v>-4.9929689999999999E-2</v>
      </c>
      <c r="Z6593">
        <v>-5.1554599999999902E-2</v>
      </c>
      <c r="AA6593">
        <v>0.99742129999999996</v>
      </c>
      <c r="AB6593">
        <v>58</v>
      </c>
      <c r="AC6593">
        <v>-0.85299999999998</v>
      </c>
      <c r="AD6593">
        <v>-1.105681502468</v>
      </c>
      <c r="AE6593">
        <v>18.529340000000001</v>
      </c>
      <c r="AF6593">
        <v>-0.95322444787741301</v>
      </c>
      <c r="AG6593">
        <v>-1.105681502468</v>
      </c>
      <c r="AH6593">
        <v>18.458692263628802</v>
      </c>
      <c r="AI6593">
        <v>93.4233885369148</v>
      </c>
      <c r="AJ6593">
        <v>92.956182649191405</v>
      </c>
      <c r="AK6593">
        <v>18.516330319917099</v>
      </c>
      <c r="AL6593">
        <v>89.340541405385494</v>
      </c>
      <c r="AM6593">
        <v>95.266693958756406</v>
      </c>
      <c r="AN6593">
        <v>1.0000000316620099</v>
      </c>
    </row>
    <row r="6594" spans="1:40" x14ac:dyDescent="0.25">
      <c r="A6594" t="str">
        <f>"20190305135401700"</f>
        <v>20190305135401700</v>
      </c>
      <c r="B6594" t="str">
        <f>"1551765241696729"</f>
        <v>1551765241696729</v>
      </c>
      <c r="C6594" t="s">
        <v>40</v>
      </c>
      <c r="D6594">
        <v>4.5829639999999996</v>
      </c>
      <c r="E6594">
        <v>0.51626000000000005</v>
      </c>
      <c r="F6594" t="s">
        <v>42</v>
      </c>
      <c r="G6594">
        <v>-188.48310000000001</v>
      </c>
      <c r="H6594" s="1">
        <v>-3.7272399999999999E-6</v>
      </c>
      <c r="I6594">
        <v>67.693830000000005</v>
      </c>
      <c r="J6594">
        <v>-187.68530000000001</v>
      </c>
      <c r="K6594">
        <v>1.105615</v>
      </c>
      <c r="L6594">
        <v>49.251800000000003</v>
      </c>
      <c r="M6594">
        <v>7.0156359999999996E-3</v>
      </c>
      <c r="N6594">
        <v>-6.1215109999999996E-3</v>
      </c>
      <c r="O6594">
        <v>0.99995670000000003</v>
      </c>
      <c r="P6594">
        <v>-8.3857970000000004E-2</v>
      </c>
      <c r="Q6594">
        <v>5.2887530000000002E-3</v>
      </c>
      <c r="R6594">
        <v>0.99646369999999895</v>
      </c>
      <c r="S6594">
        <v>-0.12530519999999901</v>
      </c>
      <c r="T6594">
        <v>-0.17439079999999901</v>
      </c>
      <c r="U6594">
        <v>3.001312</v>
      </c>
      <c r="V6594">
        <v>-9.0792529999999996E-2</v>
      </c>
      <c r="W6594">
        <v>1.1810330000000001E-2</v>
      </c>
      <c r="X6594">
        <v>0.99579980000000001</v>
      </c>
      <c r="Y6594">
        <v>-4.8656779999999997E-2</v>
      </c>
      <c r="Z6594">
        <v>-5.1832169999999997E-2</v>
      </c>
      <c r="AA6594">
        <v>0.99746979999999996</v>
      </c>
      <c r="AB6594">
        <v>58</v>
      </c>
      <c r="AC6594">
        <v>-0.79779999999999496</v>
      </c>
      <c r="AD6594">
        <v>-1.10561872724</v>
      </c>
      <c r="AE6594">
        <v>18.442029999999999</v>
      </c>
      <c r="AF6594">
        <v>-0.92385111804318498</v>
      </c>
      <c r="AG6594">
        <v>-1.10561872724</v>
      </c>
      <c r="AH6594">
        <v>18.370077897738</v>
      </c>
      <c r="AI6594">
        <v>93.4399035046699</v>
      </c>
      <c r="AJ6594">
        <v>92.879041238877207</v>
      </c>
      <c r="AK6594">
        <v>18.426493307932901</v>
      </c>
      <c r="AL6594">
        <v>89.323302207386007</v>
      </c>
      <c r="AM6594">
        <v>95.209566707744301</v>
      </c>
      <c r="AN6594">
        <v>1.0000000045392701</v>
      </c>
    </row>
    <row r="6595" spans="1:40" x14ac:dyDescent="0.25">
      <c r="A6595" t="str">
        <f>"20190305135401725"</f>
        <v>20190305135401725</v>
      </c>
      <c r="B6595" t="str">
        <f>"1551765241716249"</f>
        <v>1551765241716249</v>
      </c>
      <c r="C6595" t="s">
        <v>40</v>
      </c>
      <c r="D6595">
        <v>4.5895229999999998</v>
      </c>
      <c r="E6595">
        <v>0.51634619999999998</v>
      </c>
      <c r="F6595" t="s">
        <v>42</v>
      </c>
      <c r="G6595">
        <v>-188.4306</v>
      </c>
      <c r="H6595" s="1">
        <v>-4.049458E-6</v>
      </c>
      <c r="I6595">
        <v>68.423230000000004</v>
      </c>
      <c r="J6595">
        <v>-187.6807</v>
      </c>
      <c r="K6595">
        <v>1.105548</v>
      </c>
      <c r="L6595">
        <v>49.889339999999997</v>
      </c>
      <c r="M6595">
        <v>8.5655760000000001E-3</v>
      </c>
      <c r="N6595">
        <v>-6.1490629999999998E-3</v>
      </c>
      <c r="O6595">
        <v>0.99994439999999996</v>
      </c>
      <c r="P6595">
        <v>-8.221531E-2</v>
      </c>
      <c r="Q6595">
        <v>5.0647940000000001E-3</v>
      </c>
      <c r="R6595">
        <v>0.99660170000000003</v>
      </c>
      <c r="S6595">
        <v>-0.1166992</v>
      </c>
      <c r="T6595">
        <v>-0.17311070000000001</v>
      </c>
      <c r="U6595">
        <v>3.0017399999999999</v>
      </c>
      <c r="V6595">
        <v>-9.0693949999999995E-2</v>
      </c>
      <c r="W6595">
        <v>1.162724E-2</v>
      </c>
      <c r="X6595">
        <v>0.99581090000000005</v>
      </c>
      <c r="Y6595">
        <v>-4.7345100000000001E-2</v>
      </c>
      <c r="Z6595">
        <v>-5.1376390000000001E-2</v>
      </c>
      <c r="AA6595">
        <v>0.99755640000000001</v>
      </c>
      <c r="AB6595">
        <v>58</v>
      </c>
      <c r="AC6595">
        <v>-0.74989999999999601</v>
      </c>
      <c r="AD6595">
        <v>-1.105552049458</v>
      </c>
      <c r="AE6595">
        <v>18.53389</v>
      </c>
      <c r="AF6595">
        <v>-0.90541259920129802</v>
      </c>
      <c r="AG6595">
        <v>-1.105552049458</v>
      </c>
      <c r="AH6595">
        <v>18.4612060813811</v>
      </c>
      <c r="AI6595">
        <v>93.422968963764106</v>
      </c>
      <c r="AJ6595">
        <v>92.807768208147905</v>
      </c>
      <c r="AK6595">
        <v>18.5164291181663</v>
      </c>
      <c r="AL6595">
        <v>89.333793186948299</v>
      </c>
      <c r="AM6595">
        <v>95.203883690257896</v>
      </c>
      <c r="AN6595">
        <v>0.99999996691771398</v>
      </c>
    </row>
    <row r="6596" spans="1:40" x14ac:dyDescent="0.25">
      <c r="A6596" t="str">
        <f>"20190305135401745"</f>
        <v>20190305135401745</v>
      </c>
      <c r="B6596" t="str">
        <f>"1551765241736745"</f>
        <v>1551765241736745</v>
      </c>
      <c r="C6596" t="s">
        <v>40</v>
      </c>
      <c r="D6596">
        <v>4.6163040000000004</v>
      </c>
      <c r="E6596">
        <v>0.51643209999999995</v>
      </c>
      <c r="F6596" t="s">
        <v>42</v>
      </c>
      <c r="G6596">
        <v>-188.3879</v>
      </c>
      <c r="H6596" s="1">
        <v>-4.3152499999999999E-6</v>
      </c>
      <c r="I6596">
        <v>69.02516</v>
      </c>
      <c r="J6596">
        <v>-187.67609999999999</v>
      </c>
      <c r="K6596">
        <v>1.1055010000000001</v>
      </c>
      <c r="L6596">
        <v>50.421080000000003</v>
      </c>
      <c r="M6596">
        <v>9.8615049999999996E-3</v>
      </c>
      <c r="N6596">
        <v>-6.171958E-3</v>
      </c>
      <c r="O6596">
        <v>0.9999323</v>
      </c>
      <c r="P6596">
        <v>-8.1672960000000003E-2</v>
      </c>
      <c r="Q6596">
        <v>4.3317900000000003E-3</v>
      </c>
      <c r="R6596">
        <v>0.99664969999999997</v>
      </c>
      <c r="S6596">
        <v>-0.110946699999999</v>
      </c>
      <c r="T6596">
        <v>-0.1734347</v>
      </c>
      <c r="U6596">
        <v>3.0019529999999999</v>
      </c>
      <c r="V6596">
        <v>-9.1444899999999996E-2</v>
      </c>
      <c r="W6596">
        <v>1.093015E-2</v>
      </c>
      <c r="X6596">
        <v>0.99575009999999997</v>
      </c>
      <c r="Y6596">
        <v>-4.6727949999999997E-2</v>
      </c>
      <c r="Z6596">
        <v>-5.145856E-2</v>
      </c>
      <c r="AA6596">
        <v>0.9975813</v>
      </c>
      <c r="AB6596">
        <v>58</v>
      </c>
      <c r="AC6596">
        <v>-0.71180000000000998</v>
      </c>
      <c r="AD6596">
        <v>-1.1055053152500001</v>
      </c>
      <c r="AE6596">
        <v>18.60408</v>
      </c>
      <c r="AF6596">
        <v>-0.89208770205004495</v>
      </c>
      <c r="AG6596">
        <v>-1.1055053152500001</v>
      </c>
      <c r="AH6596">
        <v>18.530817962459999</v>
      </c>
      <c r="AI6596">
        <v>93.410145985026801</v>
      </c>
      <c r="AJ6596">
        <v>92.756134670044702</v>
      </c>
      <c r="AK6596">
        <v>18.585187026985398</v>
      </c>
      <c r="AL6596">
        <v>89.373736033913602</v>
      </c>
      <c r="AM6596">
        <v>95.247051158705602</v>
      </c>
      <c r="AN6596">
        <v>0.99999994978251905</v>
      </c>
    </row>
    <row r="6597" spans="1:40" x14ac:dyDescent="0.25">
      <c r="A6597" t="str">
        <f>"20190305135401766"</f>
        <v>20190305135401766</v>
      </c>
      <c r="B6597" t="str">
        <f>"1551765241757241"</f>
        <v>1551765241757241</v>
      </c>
      <c r="C6597" t="s">
        <v>40</v>
      </c>
      <c r="D6597">
        <v>4.596692</v>
      </c>
      <c r="E6597">
        <v>0.51652180000000003</v>
      </c>
      <c r="F6597" t="s">
        <v>42</v>
      </c>
      <c r="G6597">
        <v>-188.36</v>
      </c>
      <c r="H6597" s="1">
        <v>-4.4602169999999999E-6</v>
      </c>
      <c r="I6597">
        <v>69.351529999999997</v>
      </c>
      <c r="J6597">
        <v>-187.67070000000001</v>
      </c>
      <c r="K6597">
        <v>1.105456</v>
      </c>
      <c r="L6597">
        <v>50.965240000000001</v>
      </c>
      <c r="M6597">
        <v>1.11942E-2</v>
      </c>
      <c r="N6597">
        <v>-6.1953980000000004E-3</v>
      </c>
      <c r="O6597">
        <v>0.99991819999999998</v>
      </c>
      <c r="P6597">
        <v>-8.1933539999999999E-2</v>
      </c>
      <c r="Q6597">
        <v>4.6413679999999999E-3</v>
      </c>
      <c r="R6597">
        <v>0.99662700000000004</v>
      </c>
      <c r="S6597">
        <v>-0.1084442</v>
      </c>
      <c r="T6597">
        <v>-0.17530879999999999</v>
      </c>
      <c r="U6597">
        <v>3.0019529999999999</v>
      </c>
      <c r="V6597">
        <v>-9.3029340000000002E-2</v>
      </c>
      <c r="W6597">
        <v>1.127917E-2</v>
      </c>
      <c r="X6597">
        <v>0.99559949999999997</v>
      </c>
      <c r="Y6597">
        <v>-4.7227470000000001E-2</v>
      </c>
      <c r="Z6597">
        <v>-5.2054759999999999E-2</v>
      </c>
      <c r="AA6597">
        <v>0.99752689999999999</v>
      </c>
      <c r="AB6597">
        <v>58</v>
      </c>
      <c r="AC6597">
        <v>-0.68930000000000202</v>
      </c>
      <c r="AD6597">
        <v>-1.105460460217</v>
      </c>
      <c r="AE6597">
        <v>18.386289999999999</v>
      </c>
      <c r="AF6597">
        <v>-0.89186107824285599</v>
      </c>
      <c r="AG6597">
        <v>-1.105460460217</v>
      </c>
      <c r="AH6597">
        <v>18.311320633635901</v>
      </c>
      <c r="AI6597">
        <v>93.450691523915296</v>
      </c>
      <c r="AJ6597">
        <v>92.788413102718096</v>
      </c>
      <c r="AK6597">
        <v>18.366325771906801</v>
      </c>
      <c r="AL6597">
        <v>89.353737472839597</v>
      </c>
      <c r="AM6597">
        <v>95.338247414676303</v>
      </c>
      <c r="AN6597">
        <v>1.0000000210884801</v>
      </c>
    </row>
    <row r="6598" spans="1:40" x14ac:dyDescent="0.25">
      <c r="A6598" t="str">
        <f>"20190305135401788"</f>
        <v>20190305135401788</v>
      </c>
      <c r="B6598" t="str">
        <f>"1551765241776764"</f>
        <v>1551765241776764</v>
      </c>
      <c r="C6598" t="s">
        <v>40</v>
      </c>
      <c r="D6598">
        <v>4.6196010000000003</v>
      </c>
      <c r="E6598">
        <v>0.51660309999999998</v>
      </c>
      <c r="F6598" t="s">
        <v>42</v>
      </c>
      <c r="G6598">
        <v>-188.3596</v>
      </c>
      <c r="H6598" s="1">
        <v>-5.7433160000000002E-7</v>
      </c>
      <c r="I6598">
        <v>70.053169999999994</v>
      </c>
      <c r="J6598">
        <v>-187.66409999999999</v>
      </c>
      <c r="K6598">
        <v>1.1054090000000001</v>
      </c>
      <c r="L6598">
        <v>51.550840000000001</v>
      </c>
      <c r="M6598">
        <v>1.263624E-2</v>
      </c>
      <c r="N6598">
        <v>-6.2208380000000002E-3</v>
      </c>
      <c r="O6598">
        <v>0.99990080000000003</v>
      </c>
      <c r="P6598">
        <v>-8.2307459999999999E-2</v>
      </c>
      <c r="Q6598">
        <v>5.2662759999999899E-3</v>
      </c>
      <c r="R6598">
        <v>0.99659310000000001</v>
      </c>
      <c r="S6598">
        <v>-0.1083374</v>
      </c>
      <c r="T6598">
        <v>-0.17386019999999999</v>
      </c>
      <c r="U6598">
        <v>3.0020449999999999</v>
      </c>
      <c r="V6598">
        <v>-9.4834360000000006E-2</v>
      </c>
      <c r="W6598">
        <v>1.194717E-2</v>
      </c>
      <c r="X6598">
        <v>0.99542140000000001</v>
      </c>
      <c r="Y6598">
        <v>-4.8632130000000003E-2</v>
      </c>
      <c r="Z6598">
        <v>-5.154421E-2</v>
      </c>
      <c r="AA6598">
        <v>0.99748590000000004</v>
      </c>
      <c r="AB6598">
        <v>58</v>
      </c>
      <c r="AC6598">
        <v>-0.695500000000009</v>
      </c>
      <c r="AD6598">
        <v>-1.1054095743315999</v>
      </c>
      <c r="AE6598">
        <v>18.502329999999901</v>
      </c>
      <c r="AF6598">
        <v>-0.92594847254703005</v>
      </c>
      <c r="AG6598">
        <v>-1.1054095743315999</v>
      </c>
      <c r="AH6598">
        <v>18.426385939544801</v>
      </c>
      <c r="AI6598">
        <v>93.428776477285098</v>
      </c>
      <c r="AJ6598">
        <v>92.876763303495906</v>
      </c>
      <c r="AK6598">
        <v>18.482721923296101</v>
      </c>
      <c r="AL6598">
        <v>89.315461315206605</v>
      </c>
      <c r="AM6598">
        <v>95.442175729295499</v>
      </c>
      <c r="AN6598">
        <v>1.00000002714278</v>
      </c>
    </row>
    <row r="6599" spans="1:40" x14ac:dyDescent="0.25">
      <c r="A6599" t="str">
        <f>"20190305135401809"</f>
        <v>20190305135401809</v>
      </c>
      <c r="B6599" t="str">
        <f>"1551765241807016"</f>
        <v>1551765241807016</v>
      </c>
      <c r="C6599" t="s">
        <v>40</v>
      </c>
      <c r="D6599">
        <v>4.5743559999999999</v>
      </c>
      <c r="E6599">
        <v>0.51666670000000003</v>
      </c>
      <c r="F6599" t="s">
        <v>42</v>
      </c>
      <c r="G6599">
        <v>-188.36269999999999</v>
      </c>
      <c r="H6599" s="1">
        <v>-8.45761E-7</v>
      </c>
      <c r="I6599">
        <v>70.853229999999996</v>
      </c>
      <c r="J6599">
        <v>-187.65710000000001</v>
      </c>
      <c r="K6599">
        <v>1.105378</v>
      </c>
      <c r="L6599">
        <v>52.103059999999999</v>
      </c>
      <c r="M6599">
        <v>1.4003150000000001E-2</v>
      </c>
      <c r="N6599">
        <v>-6.2449219999999904E-3</v>
      </c>
      <c r="O6599">
        <v>0.99988250000000001</v>
      </c>
      <c r="P6599">
        <v>-8.2597169999999998E-2</v>
      </c>
      <c r="Q6599">
        <v>5.8374450000000001E-3</v>
      </c>
      <c r="R6599">
        <v>0.9965659</v>
      </c>
      <c r="S6599">
        <v>-0.1086578</v>
      </c>
      <c r="T6599">
        <v>-0.17192979999999899</v>
      </c>
      <c r="U6599">
        <v>3.0021969999999998</v>
      </c>
      <c r="V6599">
        <v>-9.6480070000000001E-2</v>
      </c>
      <c r="W6599">
        <v>1.255796E-2</v>
      </c>
      <c r="X6599">
        <v>0.99525569999999997</v>
      </c>
      <c r="Y6599">
        <v>-5.010303E-2</v>
      </c>
      <c r="Z6599">
        <v>-5.0873969999999998E-2</v>
      </c>
      <c r="AA6599">
        <v>0.99744750000000004</v>
      </c>
      <c r="AB6599">
        <v>59</v>
      </c>
      <c r="AC6599">
        <v>-0.70559999999997502</v>
      </c>
      <c r="AD6599">
        <v>-1.1053788457610001</v>
      </c>
      <c r="AE6599">
        <v>18.750170000000001</v>
      </c>
      <c r="AF6599">
        <v>-0.96474916135515998</v>
      </c>
      <c r="AG6599">
        <v>-1.1053788457610001</v>
      </c>
      <c r="AH6599">
        <v>18.6736430195011</v>
      </c>
      <c r="AI6599">
        <v>93.383146189426199</v>
      </c>
      <c r="AJ6599">
        <v>92.957481516401998</v>
      </c>
      <c r="AK6599">
        <v>18.731191818908702</v>
      </c>
      <c r="AL6599">
        <v>89.280462985016996</v>
      </c>
      <c r="AM6599">
        <v>95.536950866041593</v>
      </c>
      <c r="AN6599">
        <v>1.0000000073245201</v>
      </c>
    </row>
    <row r="6600" spans="1:40" x14ac:dyDescent="0.25">
      <c r="A6600" t="str">
        <f>"20190305135401834"</f>
        <v>20190305135401834</v>
      </c>
      <c r="B6600" t="str">
        <f>"1551765241826537"</f>
        <v>1551765241826537</v>
      </c>
      <c r="C6600" t="s">
        <v>40</v>
      </c>
      <c r="D6600">
        <v>4.6070039999999999</v>
      </c>
      <c r="E6600">
        <v>0.5167659</v>
      </c>
      <c r="F6600" t="s">
        <v>42</v>
      </c>
      <c r="G6600">
        <v>-188.36619999999999</v>
      </c>
      <c r="H6600" s="1">
        <v>-1.1416260000000001E-6</v>
      </c>
      <c r="I6600">
        <v>71.618369999999999</v>
      </c>
      <c r="J6600">
        <v>-187.6481</v>
      </c>
      <c r="K6600">
        <v>1.1053360000000001</v>
      </c>
      <c r="L6600">
        <v>52.736910000000002</v>
      </c>
      <c r="M6600">
        <v>1.558149E-2</v>
      </c>
      <c r="N6600">
        <v>-6.2725309999999996E-3</v>
      </c>
      <c r="O6600">
        <v>0.99985889999999999</v>
      </c>
      <c r="P6600">
        <v>-8.2098110000000002E-2</v>
      </c>
      <c r="Q6600">
        <v>6.6146750000000004E-3</v>
      </c>
      <c r="R6600">
        <v>0.99660230000000005</v>
      </c>
      <c r="S6600">
        <v>-0.1090851</v>
      </c>
      <c r="T6600">
        <v>-0.1700546</v>
      </c>
      <c r="U6600">
        <v>3.0022890000000002</v>
      </c>
      <c r="V6600">
        <v>-9.7547259999999997E-2</v>
      </c>
      <c r="W6600">
        <v>1.3376620000000001E-2</v>
      </c>
      <c r="X6600">
        <v>0.99514100000000005</v>
      </c>
      <c r="Y6600">
        <v>-5.1821079999999999E-2</v>
      </c>
      <c r="Z6600">
        <v>-5.021875E-2</v>
      </c>
      <c r="AA6600">
        <v>0.99739299999999997</v>
      </c>
      <c r="AB6600">
        <v>59</v>
      </c>
      <c r="AC6600">
        <v>-0.71809999999999197</v>
      </c>
      <c r="AD6600">
        <v>-1.1053371416260001</v>
      </c>
      <c r="AE6600">
        <v>18.881460000000001</v>
      </c>
      <c r="AF6600">
        <v>-1.00876780770496</v>
      </c>
      <c r="AG6600">
        <v>-1.1053371416260001</v>
      </c>
      <c r="AH6600">
        <v>18.803630832149398</v>
      </c>
      <c r="AI6600">
        <v>93.359336936576</v>
      </c>
      <c r="AJ6600">
        <v>93.070831651174004</v>
      </c>
      <c r="AK6600">
        <v>18.863083394776101</v>
      </c>
      <c r="AL6600">
        <v>89.233553275979204</v>
      </c>
      <c r="AM6600">
        <v>95.598450669221293</v>
      </c>
      <c r="AN6600">
        <v>1.0000000058885601</v>
      </c>
    </row>
    <row r="6601" spans="1:40" x14ac:dyDescent="0.25">
      <c r="A6601" t="str">
        <f>"20190305135401855"</f>
        <v>20190305135401855</v>
      </c>
      <c r="B6601" t="str">
        <f>"1551765241847033"</f>
        <v>1551765241847033</v>
      </c>
      <c r="C6601" t="s">
        <v>40</v>
      </c>
      <c r="D6601">
        <v>4.6309139999999998</v>
      </c>
      <c r="E6601">
        <v>0.5168391</v>
      </c>
      <c r="F6601" t="s">
        <v>42</v>
      </c>
      <c r="G6601">
        <v>-188.35239999999999</v>
      </c>
      <c r="H6601" s="1">
        <v>-1.5396010000000001E-6</v>
      </c>
      <c r="I6601">
        <v>72.540359999999893</v>
      </c>
      <c r="J6601">
        <v>-187.63900000000001</v>
      </c>
      <c r="K6601">
        <v>1.1053090000000001</v>
      </c>
      <c r="L6601">
        <v>53.31729</v>
      </c>
      <c r="M6601">
        <v>1.7034230000000001E-2</v>
      </c>
      <c r="N6601">
        <v>-6.2976899999999999E-3</v>
      </c>
      <c r="O6601">
        <v>0.99983509999999998</v>
      </c>
      <c r="P6601">
        <v>-8.0805559999999998E-2</v>
      </c>
      <c r="Q6601">
        <v>6.2509660000000002E-3</v>
      </c>
      <c r="R6601">
        <v>0.99671030000000005</v>
      </c>
      <c r="S6601">
        <v>-0.106781</v>
      </c>
      <c r="T6601">
        <v>-0.1675876</v>
      </c>
      <c r="U6601">
        <v>3.0025330000000001</v>
      </c>
      <c r="V6601">
        <v>-9.770334E-2</v>
      </c>
      <c r="W6601">
        <v>1.3046200000000001E-2</v>
      </c>
      <c r="X6601">
        <v>0.99513010000000002</v>
      </c>
      <c r="Y6601">
        <v>-5.2506190000000001E-2</v>
      </c>
      <c r="Z6601">
        <v>-4.9369660000000003E-2</v>
      </c>
      <c r="AA6601">
        <v>0.99739949999999999</v>
      </c>
      <c r="AB6601">
        <v>59</v>
      </c>
      <c r="AC6601">
        <v>-0.71339999999997805</v>
      </c>
      <c r="AD6601">
        <v>-1.1053105396009999</v>
      </c>
      <c r="AE6601">
        <v>19.22307</v>
      </c>
      <c r="AF6601">
        <v>-1.03732831662509</v>
      </c>
      <c r="AG6601">
        <v>-1.1053105396009999</v>
      </c>
      <c r="AH6601">
        <v>19.1449192934591</v>
      </c>
      <c r="AI6601">
        <v>93.2994109548994</v>
      </c>
      <c r="AJ6601">
        <v>93.1014220195147</v>
      </c>
      <c r="AK6601">
        <v>19.204835229141899</v>
      </c>
      <c r="AL6601">
        <v>89.2524866185544</v>
      </c>
      <c r="AM6601">
        <v>95.607412426538602</v>
      </c>
      <c r="AN6601">
        <v>1.0000000309538</v>
      </c>
    </row>
    <row r="6602" spans="1:40" x14ac:dyDescent="0.25">
      <c r="A6602" t="str">
        <f>"20190305135401878"</f>
        <v>20190305135401878</v>
      </c>
      <c r="B6602" t="str">
        <f>"1551765241866552"</f>
        <v>1551765241866552</v>
      </c>
      <c r="C6602" t="s">
        <v>40</v>
      </c>
      <c r="D6602">
        <v>4.6255860000000002</v>
      </c>
      <c r="E6602">
        <v>0.51689759999999996</v>
      </c>
      <c r="F6602" t="s">
        <v>42</v>
      </c>
      <c r="G6602">
        <v>-188.30850000000001</v>
      </c>
      <c r="H6602" s="1">
        <v>-1.7582740000000001E-6</v>
      </c>
      <c r="I6602">
        <v>73.031949999999995</v>
      </c>
      <c r="J6602">
        <v>-187.62889999999999</v>
      </c>
      <c r="K6602">
        <v>1.1052740000000001</v>
      </c>
      <c r="L6602">
        <v>53.906860000000002</v>
      </c>
      <c r="M6602">
        <v>1.8515759999999999E-2</v>
      </c>
      <c r="N6602">
        <v>-6.3231779999999996E-3</v>
      </c>
      <c r="O6602">
        <v>0.99980849999999999</v>
      </c>
      <c r="P6602">
        <v>-7.9427139999999993E-2</v>
      </c>
      <c r="Q6602">
        <v>5.7093329999999996E-3</v>
      </c>
      <c r="R6602">
        <v>0.9968243</v>
      </c>
      <c r="S6602">
        <v>-0.1019745</v>
      </c>
      <c r="T6602">
        <v>-0.16834689999999999</v>
      </c>
      <c r="U6602">
        <v>3.0026860000000002</v>
      </c>
      <c r="V6602">
        <v>-9.7803600000000004E-2</v>
      </c>
      <c r="W6602">
        <v>1.253698E-2</v>
      </c>
      <c r="X6602">
        <v>0.99512679999999998</v>
      </c>
      <c r="Y6602">
        <v>-5.238905E-2</v>
      </c>
      <c r="Z6602">
        <v>-4.9592259999999999E-2</v>
      </c>
      <c r="AA6602">
        <v>0.99739460000000002</v>
      </c>
      <c r="AB6602">
        <v>59</v>
      </c>
      <c r="AC6602">
        <v>-0.67960000000002097</v>
      </c>
      <c r="AD6602">
        <v>-1.10527575827399</v>
      </c>
      <c r="AE6602">
        <v>19.12509</v>
      </c>
      <c r="AF6602">
        <v>-1.0301698405745101</v>
      </c>
      <c r="AG6602">
        <v>-1.10527575827399</v>
      </c>
      <c r="AH6602">
        <v>19.045697036777302</v>
      </c>
      <c r="AI6602">
        <v>93.316474189808005</v>
      </c>
      <c r="AJ6602">
        <v>93.096075874634806</v>
      </c>
      <c r="AK6602">
        <v>19.1055348006531</v>
      </c>
      <c r="AL6602">
        <v>89.281665164305096</v>
      </c>
      <c r="AM6602">
        <v>95.613148338284205</v>
      </c>
      <c r="AN6602">
        <v>1.00000003405935</v>
      </c>
    </row>
    <row r="6603" spans="1:40" x14ac:dyDescent="0.25">
      <c r="A6603" t="str">
        <f>"20190305135401913"</f>
        <v>20190305135401913</v>
      </c>
      <c r="B6603" t="str">
        <f>"1551765241906568"</f>
        <v>1551765241906568</v>
      </c>
      <c r="C6603" t="s">
        <v>40</v>
      </c>
      <c r="D6603">
        <v>4.6055380000000001</v>
      </c>
      <c r="E6603">
        <v>0.51702399999999904</v>
      </c>
      <c r="F6603" t="s">
        <v>42</v>
      </c>
      <c r="G6603">
        <v>-188.26310000000001</v>
      </c>
      <c r="H6603" s="1">
        <v>-1.9653539999999999E-6</v>
      </c>
      <c r="I6603">
        <v>73.49588</v>
      </c>
      <c r="J6603">
        <v>-187.61160000000001</v>
      </c>
      <c r="K6603">
        <v>1.105229</v>
      </c>
      <c r="L6603">
        <v>54.818150000000003</v>
      </c>
      <c r="M6603">
        <v>2.081392E-2</v>
      </c>
      <c r="N6603">
        <v>-6.3624919999999904E-3</v>
      </c>
      <c r="O6603">
        <v>0.99976310000000002</v>
      </c>
      <c r="P6603">
        <v>-7.6972990000000005E-2</v>
      </c>
      <c r="Q6603">
        <v>5.0766090000000002E-3</v>
      </c>
      <c r="R6603">
        <v>0.99702020000000002</v>
      </c>
      <c r="S6603">
        <v>-9.7213750000000002E-2</v>
      </c>
      <c r="T6603">
        <v>-0.16942639999999901</v>
      </c>
      <c r="U6603">
        <v>3.002777</v>
      </c>
      <c r="V6603">
        <v>-9.7643930000000004E-2</v>
      </c>
      <c r="W6603">
        <v>1.195099E-2</v>
      </c>
      <c r="X6603">
        <v>0.99514970000000003</v>
      </c>
      <c r="Y6603">
        <v>-5.3103150000000002E-2</v>
      </c>
      <c r="Z6603">
        <v>-4.9905239999999997E-2</v>
      </c>
      <c r="AA6603">
        <v>0.99734120000000004</v>
      </c>
      <c r="AB6603">
        <v>59</v>
      </c>
      <c r="AC6603">
        <v>-0.65149999999999797</v>
      </c>
      <c r="AD6603">
        <v>-1.105230965354</v>
      </c>
      <c r="AE6603">
        <v>18.67773</v>
      </c>
      <c r="AF6603">
        <v>-1.0364985922415999</v>
      </c>
      <c r="AG6603">
        <v>-1.105230965354</v>
      </c>
      <c r="AH6603">
        <v>18.595090925654599</v>
      </c>
      <c r="AI6603">
        <v>93.396211176405899</v>
      </c>
      <c r="AJ6603">
        <v>93.190390645466707</v>
      </c>
      <c r="AK6603">
        <v>18.6567218811842</v>
      </c>
      <c r="AL6603">
        <v>89.315242441470005</v>
      </c>
      <c r="AM6603">
        <v>95.603914793380895</v>
      </c>
      <c r="AN6603">
        <v>1.0000000443189501</v>
      </c>
    </row>
    <row r="6604" spans="1:40" x14ac:dyDescent="0.25">
      <c r="A6604" t="str">
        <f>"20190305135401933"</f>
        <v>20190305135401933</v>
      </c>
      <c r="B6604" t="str">
        <f>"1551765241927064"</f>
        <v>1551765241927064</v>
      </c>
      <c r="C6604" t="s">
        <v>40</v>
      </c>
      <c r="D6604">
        <v>4.6356909999999996</v>
      </c>
      <c r="E6604">
        <v>0.5170709</v>
      </c>
      <c r="F6604" t="s">
        <v>42</v>
      </c>
      <c r="G6604">
        <v>-188.184</v>
      </c>
      <c r="H6604" s="1">
        <v>-2.3267780000000001E-6</v>
      </c>
      <c r="I6604">
        <v>74.305639999999997</v>
      </c>
      <c r="J6604">
        <v>-187.5994</v>
      </c>
      <c r="K6604">
        <v>1.1052090000000001</v>
      </c>
      <c r="L6604">
        <v>55.40314</v>
      </c>
      <c r="M6604">
        <v>2.2292470000000002E-2</v>
      </c>
      <c r="N6604">
        <v>-6.3876480000000001E-3</v>
      </c>
      <c r="O6604">
        <v>0.99973109999999998</v>
      </c>
      <c r="P6604">
        <v>-7.5412950000000006E-2</v>
      </c>
      <c r="Q6604">
        <v>5.6906839999999997E-3</v>
      </c>
      <c r="R6604">
        <v>0.99713620000000003</v>
      </c>
      <c r="S6604">
        <v>-8.8195800000000005E-2</v>
      </c>
      <c r="T6604">
        <v>-0.170316</v>
      </c>
      <c r="U6604">
        <v>3.0030209999999999</v>
      </c>
      <c r="V6604">
        <v>-9.755395E-2</v>
      </c>
      <c r="W6604">
        <v>1.2594670000000001E-2</v>
      </c>
      <c r="X6604">
        <v>0.9951506</v>
      </c>
      <c r="Y6604">
        <v>-5.1584999999999999E-2</v>
      </c>
      <c r="Z6604">
        <v>-5.0172290000000001E-2</v>
      </c>
      <c r="AA6604">
        <v>0.9974075</v>
      </c>
      <c r="AB6604">
        <v>59</v>
      </c>
      <c r="AC6604">
        <v>-0.58460000000002299</v>
      </c>
      <c r="AD6604">
        <v>-1.1052113267779999</v>
      </c>
      <c r="AE6604">
        <v>18.9025</v>
      </c>
      <c r="AF6604">
        <v>-1.0024230819387601</v>
      </c>
      <c r="AG6604">
        <v>-1.1052113267779999</v>
      </c>
      <c r="AH6604">
        <v>18.820491119767699</v>
      </c>
      <c r="AI6604">
        <v>93.356021949560301</v>
      </c>
      <c r="AJ6604">
        <v>93.048825462008097</v>
      </c>
      <c r="AK6604">
        <v>18.879545283223798</v>
      </c>
      <c r="AL6604">
        <v>89.278359527021806</v>
      </c>
      <c r="AM6604">
        <v>95.598778515957505</v>
      </c>
      <c r="AN6604">
        <v>1.0000000577766801</v>
      </c>
    </row>
    <row r="6605" spans="1:40" x14ac:dyDescent="0.25">
      <c r="A6605" t="str">
        <f>"20190305135401956"</f>
        <v>20190305135401956</v>
      </c>
      <c r="B6605" t="str">
        <f>"1551765241946584"</f>
        <v>1551765241946584</v>
      </c>
      <c r="C6605" t="s">
        <v>40</v>
      </c>
      <c r="D6605">
        <v>4.5027589999999904</v>
      </c>
      <c r="E6605">
        <v>0.51714659999999901</v>
      </c>
      <c r="F6605" t="s">
        <v>42</v>
      </c>
      <c r="G6605">
        <v>-188.1456</v>
      </c>
      <c r="H6605" s="1">
        <v>-2.6996400000000002E-6</v>
      </c>
      <c r="I6605">
        <v>75.158919999999995</v>
      </c>
      <c r="J6605">
        <v>-187.58629999999999</v>
      </c>
      <c r="K6605">
        <v>1.105191</v>
      </c>
      <c r="L6605">
        <v>55.990690000000001</v>
      </c>
      <c r="M6605">
        <v>2.3779109999999999E-2</v>
      </c>
      <c r="N6605">
        <v>-6.412928E-3</v>
      </c>
      <c r="O6605">
        <v>0.99969669999999999</v>
      </c>
      <c r="P6605">
        <v>-7.4271149999999994E-2</v>
      </c>
      <c r="Q6605">
        <v>6.2028710000000004E-3</v>
      </c>
      <c r="R6605">
        <v>0.99721879999999996</v>
      </c>
      <c r="S6605">
        <v>-8.3023070000000004E-2</v>
      </c>
      <c r="T6605">
        <v>-0.16801549999999901</v>
      </c>
      <c r="U6605">
        <v>3.0032960000000002</v>
      </c>
      <c r="V6605">
        <v>-9.7891110000000003E-2</v>
      </c>
      <c r="W6605">
        <v>1.3138220000000001E-2</v>
      </c>
      <c r="X6605">
        <v>0.99511039999999995</v>
      </c>
      <c r="Y6605">
        <v>-5.1352130000000003E-2</v>
      </c>
      <c r="Z6605">
        <v>-4.9379029999999997E-2</v>
      </c>
      <c r="AA6605">
        <v>0.99745910000000004</v>
      </c>
      <c r="AB6605">
        <v>59</v>
      </c>
      <c r="AC6605">
        <v>-0.55930000000000701</v>
      </c>
      <c r="AD6605">
        <v>-1.10519369964</v>
      </c>
      <c r="AE6605">
        <v>19.168229999999902</v>
      </c>
      <c r="AF6605">
        <v>-1.0115945717699899</v>
      </c>
      <c r="AG6605">
        <v>-1.10519369964</v>
      </c>
      <c r="AH6605">
        <v>19.0861139511474</v>
      </c>
      <c r="AI6605">
        <v>93.309413439913698</v>
      </c>
      <c r="AJ6605">
        <v>93.033929155727193</v>
      </c>
      <c r="AK6605">
        <v>19.144830175468801</v>
      </c>
      <c r="AL6605">
        <v>89.247213782264893</v>
      </c>
      <c r="AM6605">
        <v>95.618230597073605</v>
      </c>
      <c r="AN6605">
        <v>0.99999999521497995</v>
      </c>
    </row>
    <row r="6606" spans="1:40" x14ac:dyDescent="0.25">
      <c r="A6606" t="str">
        <f>"20190305135401978"</f>
        <v>20190305135401978</v>
      </c>
      <c r="B6606" t="str">
        <f>"1551765241967080"</f>
        <v>1551765241967080</v>
      </c>
      <c r="C6606" t="s">
        <v>40</v>
      </c>
      <c r="D6606">
        <v>4.6471390000000001</v>
      </c>
      <c r="E6606">
        <v>0.51718229999999998</v>
      </c>
      <c r="F6606" t="s">
        <v>42</v>
      </c>
      <c r="G6606">
        <v>-188.1121</v>
      </c>
      <c r="H6606" s="1">
        <v>-3.080118E-6</v>
      </c>
      <c r="I6606">
        <v>76.031970000000001</v>
      </c>
      <c r="J6606">
        <v>-187.57239999999999</v>
      </c>
      <c r="K6606">
        <v>1.105173</v>
      </c>
      <c r="L6606">
        <v>56.574620000000003</v>
      </c>
      <c r="M6606">
        <v>2.525707E-2</v>
      </c>
      <c r="N6606">
        <v>-6.4380349999999999E-3</v>
      </c>
      <c r="O6606">
        <v>0.99966029999999995</v>
      </c>
      <c r="P6606">
        <v>-7.3421970000000003E-2</v>
      </c>
      <c r="Q6606">
        <v>6.4282089999999998E-3</v>
      </c>
      <c r="R6606">
        <v>0.99728019999999995</v>
      </c>
      <c r="S6606">
        <v>-7.8796389999999994E-2</v>
      </c>
      <c r="T6606">
        <v>-0.16563120000000001</v>
      </c>
      <c r="U6606">
        <v>3.0035099999999999</v>
      </c>
      <c r="V6606">
        <v>-9.8512829999999996E-2</v>
      </c>
      <c r="W6606">
        <v>1.339569E-2</v>
      </c>
      <c r="X6606">
        <v>0.99504559999999997</v>
      </c>
      <c r="Y6606">
        <v>-5.1425129999999999E-2</v>
      </c>
      <c r="Z6606">
        <v>-4.8558480000000001E-2</v>
      </c>
      <c r="AA6606">
        <v>0.99749569999999999</v>
      </c>
      <c r="AB6606">
        <v>59</v>
      </c>
      <c r="AC6606">
        <v>-0.53970000000000995</v>
      </c>
      <c r="AD6606">
        <v>-1.1051760801179999</v>
      </c>
      <c r="AE6606">
        <v>19.457350000000002</v>
      </c>
      <c r="AF6606">
        <v>-1.0276607153861801</v>
      </c>
      <c r="AG6606">
        <v>-1.1051760801179999</v>
      </c>
      <c r="AH6606">
        <v>19.375050768118399</v>
      </c>
      <c r="AI6606">
        <v>93.260109444254297</v>
      </c>
      <c r="AJ6606">
        <v>93.036146820098296</v>
      </c>
      <c r="AK6606">
        <v>19.433735950176398</v>
      </c>
      <c r="AL6606">
        <v>89.232460530863605</v>
      </c>
      <c r="AM6606">
        <v>95.654048106929594</v>
      </c>
      <c r="AN6606">
        <v>0.99999998413227198</v>
      </c>
    </row>
    <row r="6607" spans="1:40" x14ac:dyDescent="0.25">
      <c r="A6607" t="str">
        <f>"20190305135401999"</f>
        <v>20190305135401999</v>
      </c>
      <c r="B6607" t="str">
        <f>"1551765241986604"</f>
        <v>1551765241986604</v>
      </c>
      <c r="C6607" t="s">
        <v>40</v>
      </c>
      <c r="D6607">
        <v>4.6239780000000001</v>
      </c>
      <c r="E6607">
        <v>0.51723589999999997</v>
      </c>
      <c r="F6607" t="s">
        <v>42</v>
      </c>
      <c r="G6607">
        <v>-188.0805</v>
      </c>
      <c r="H6607" s="1">
        <v>-3.3938699999999901E-6</v>
      </c>
      <c r="I6607">
        <v>76.75027</v>
      </c>
      <c r="J6607">
        <v>-187.5583</v>
      </c>
      <c r="K6607">
        <v>1.105162</v>
      </c>
      <c r="L6607">
        <v>57.132199999999997</v>
      </c>
      <c r="M6607">
        <v>2.666841E-2</v>
      </c>
      <c r="N6607">
        <v>-6.4619630000000003E-3</v>
      </c>
      <c r="O6607">
        <v>0.9996235</v>
      </c>
      <c r="P6607">
        <v>-7.3350639999999995E-2</v>
      </c>
      <c r="Q6607">
        <v>6.7039369999999897E-3</v>
      </c>
      <c r="R6607">
        <v>0.9972837</v>
      </c>
      <c r="S6607">
        <v>-7.5637819999999995E-2</v>
      </c>
      <c r="T6607">
        <v>-0.1645337</v>
      </c>
      <c r="U6607">
        <v>3.0036619999999998</v>
      </c>
      <c r="V6607">
        <v>-9.9844180000000005E-2</v>
      </c>
      <c r="W6607">
        <v>1.3706080000000001E-2</v>
      </c>
      <c r="X6607">
        <v>0.99490869999999998</v>
      </c>
      <c r="Y6607">
        <v>-5.1785949999999997E-2</v>
      </c>
      <c r="Z6607">
        <v>-4.8165619999999999E-2</v>
      </c>
      <c r="AA6607">
        <v>0.99749600000000005</v>
      </c>
      <c r="AB6607">
        <v>60</v>
      </c>
      <c r="AC6607">
        <v>-0.522199999999998</v>
      </c>
      <c r="AD6607">
        <v>-1.1051653938699999</v>
      </c>
      <c r="AE6607">
        <v>19.618069999999999</v>
      </c>
      <c r="AF6607">
        <v>-1.04190372776927</v>
      </c>
      <c r="AG6607">
        <v>-1.1051653938699999</v>
      </c>
      <c r="AH6607">
        <v>19.53521410326</v>
      </c>
      <c r="AI6607">
        <v>93.233356187500206</v>
      </c>
      <c r="AJ6607">
        <v>93.052957508908094</v>
      </c>
      <c r="AK6607">
        <v>19.594171173743401</v>
      </c>
      <c r="AL6607">
        <v>89.2146748879521</v>
      </c>
      <c r="AM6607">
        <v>95.730737738614906</v>
      </c>
      <c r="AN6607">
        <v>1.00000001912226</v>
      </c>
    </row>
    <row r="6608" spans="1:40" x14ac:dyDescent="0.25">
      <c r="A6608" t="str">
        <f>"20190305135402022"</f>
        <v>20190305135402022</v>
      </c>
      <c r="B6608" t="str">
        <f>"1551765242016857"</f>
        <v>1551765242016857</v>
      </c>
      <c r="C6608" t="s">
        <v>40</v>
      </c>
      <c r="D6608">
        <v>4.6192520000000004</v>
      </c>
      <c r="E6608">
        <v>0.51731289999999996</v>
      </c>
      <c r="F6608" t="s">
        <v>42</v>
      </c>
      <c r="G6608">
        <v>-188.06379999999999</v>
      </c>
      <c r="H6608" s="1">
        <v>-3.7002179999999998E-6</v>
      </c>
      <c r="I6608">
        <v>77.457499999999996</v>
      </c>
      <c r="J6608">
        <v>-187.542</v>
      </c>
      <c r="K6608">
        <v>1.1051500000000001</v>
      </c>
      <c r="L6608">
        <v>57.745119999999901</v>
      </c>
      <c r="M6608">
        <v>2.8219600000000001E-2</v>
      </c>
      <c r="N6608">
        <v>-6.4882069999999898E-3</v>
      </c>
      <c r="O6608">
        <v>0.99958069999999999</v>
      </c>
      <c r="P6608">
        <v>-7.3492550000000004E-2</v>
      </c>
      <c r="Q6608">
        <v>7.8764500000000001E-3</v>
      </c>
      <c r="R6608">
        <v>0.9972647</v>
      </c>
      <c r="S6608">
        <v>-7.4707029999999994E-2</v>
      </c>
      <c r="T6608">
        <v>-0.16332749999999999</v>
      </c>
      <c r="U6608">
        <v>3.003784</v>
      </c>
      <c r="V6608">
        <v>-0.10152170000000001</v>
      </c>
      <c r="W6608">
        <v>1.4917130000000001E-2</v>
      </c>
      <c r="X6608">
        <v>0.99472150000000004</v>
      </c>
      <c r="Y6608">
        <v>-5.3026009999999998E-2</v>
      </c>
      <c r="Z6608">
        <v>-4.7732660000000003E-2</v>
      </c>
      <c r="AA6608">
        <v>0.99745170000000005</v>
      </c>
      <c r="AB6608">
        <v>60</v>
      </c>
      <c r="AC6608">
        <v>-0.52179999999998405</v>
      </c>
      <c r="AD6608">
        <v>-1.1051537002179901</v>
      </c>
      <c r="AE6608">
        <v>19.71238</v>
      </c>
      <c r="AF6608">
        <v>-1.0745043856454699</v>
      </c>
      <c r="AG6608">
        <v>-1.1051537002179901</v>
      </c>
      <c r="AH6608">
        <v>19.628152541882699</v>
      </c>
      <c r="AI6608">
        <v>93.217800983333703</v>
      </c>
      <c r="AJ6608">
        <v>93.1334165409842</v>
      </c>
      <c r="AK6608">
        <v>19.688582899317399</v>
      </c>
      <c r="AL6608">
        <v>89.145279724343098</v>
      </c>
      <c r="AM6608">
        <v>95.827453998292299</v>
      </c>
      <c r="AN6608">
        <v>1.0000000194502801</v>
      </c>
    </row>
    <row r="6609" spans="1:40" x14ac:dyDescent="0.25">
      <c r="A6609" t="str">
        <f>"20190305135402045"</f>
        <v>20190305135402045</v>
      </c>
      <c r="B6609" t="str">
        <f>"1551765242036377"</f>
        <v>1551765242036377</v>
      </c>
      <c r="C6609" t="s">
        <v>40</v>
      </c>
      <c r="D6609">
        <v>4.6614329999999997</v>
      </c>
      <c r="E6609">
        <v>0.51732109999999998</v>
      </c>
      <c r="F6609" t="s">
        <v>42</v>
      </c>
      <c r="G6609">
        <v>-188.05760000000001</v>
      </c>
      <c r="H6609" s="1">
        <v>-4.1642169999999997E-6</v>
      </c>
      <c r="I6609">
        <v>78.536509999999893</v>
      </c>
      <c r="J6609">
        <v>-187.52440000000001</v>
      </c>
      <c r="K6609">
        <v>1.1051340000000001</v>
      </c>
      <c r="L6609">
        <v>58.368839999999999</v>
      </c>
      <c r="M6609">
        <v>2.9792229999999999E-2</v>
      </c>
      <c r="N6609">
        <v>-6.5147269999999997E-3</v>
      </c>
      <c r="O6609">
        <v>0.9995349</v>
      </c>
      <c r="P6609">
        <v>-7.3523409999999997E-2</v>
      </c>
      <c r="Q6609">
        <v>8.9967450000000004E-3</v>
      </c>
      <c r="R6609">
        <v>0.9972529</v>
      </c>
      <c r="S6609">
        <v>-7.4493409999999996E-2</v>
      </c>
      <c r="T6609">
        <v>-0.1596757</v>
      </c>
      <c r="U6609">
        <v>3.0039980000000002</v>
      </c>
      <c r="V6609">
        <v>-0.1031101</v>
      </c>
      <c r="W6609">
        <v>1.6074740000000001E-2</v>
      </c>
      <c r="X6609">
        <v>0.99453999999999998</v>
      </c>
      <c r="Y6609">
        <v>-5.4525740000000003E-2</v>
      </c>
      <c r="Z6609">
        <v>-4.648745E-2</v>
      </c>
      <c r="AA6609">
        <v>0.99742960000000003</v>
      </c>
      <c r="AB6609">
        <v>60</v>
      </c>
      <c r="AC6609">
        <v>-0.53319999999999301</v>
      </c>
      <c r="AD6609">
        <v>-1.105138164217</v>
      </c>
      <c r="AE6609">
        <v>20.167669999999902</v>
      </c>
      <c r="AF6609">
        <v>-1.13042388377165</v>
      </c>
      <c r="AG6609">
        <v>-1.105138164217</v>
      </c>
      <c r="AH6609">
        <v>20.0825707316814</v>
      </c>
      <c r="AI6609">
        <v>93.144825441459105</v>
      </c>
      <c r="AJ6609">
        <v>93.2217111737057</v>
      </c>
      <c r="AK6609">
        <v>20.144697458934399</v>
      </c>
      <c r="AL6609">
        <v>89.078945526675795</v>
      </c>
      <c r="AM6609">
        <v>95.919060037584202</v>
      </c>
      <c r="AN6609">
        <v>0.99999995079403703</v>
      </c>
    </row>
    <row r="6610" spans="1:40" x14ac:dyDescent="0.25">
      <c r="A6610" t="str">
        <f>"20190305135402068"</f>
        <v>20190305135402068</v>
      </c>
      <c r="B6610" t="str">
        <f>"1551765242056876"</f>
        <v>1551765242056876</v>
      </c>
      <c r="C6610" t="s">
        <v>40</v>
      </c>
      <c r="D6610">
        <v>4.6472980000000002</v>
      </c>
      <c r="E6610">
        <v>0.51735980000000004</v>
      </c>
      <c r="F6610" t="s">
        <v>42</v>
      </c>
      <c r="G6610">
        <v>-188.05160000000001</v>
      </c>
      <c r="H6610" s="1">
        <v>-4.6238329999999999E-6</v>
      </c>
      <c r="I6610">
        <v>79.605400000000003</v>
      </c>
      <c r="J6610">
        <v>-187.50649999999999</v>
      </c>
      <c r="K6610">
        <v>1.105129</v>
      </c>
      <c r="L6610">
        <v>58.971679999999999</v>
      </c>
      <c r="M6610">
        <v>3.1290529999999997E-2</v>
      </c>
      <c r="N6610">
        <v>-6.5402100000000003E-3</v>
      </c>
      <c r="O6610">
        <v>0.99948890000000001</v>
      </c>
      <c r="P6610">
        <v>-7.2786779999999995E-2</v>
      </c>
      <c r="Q6610">
        <v>1.0273320000000001E-2</v>
      </c>
      <c r="R6610">
        <v>0.99729460000000003</v>
      </c>
      <c r="S6610">
        <v>-7.4569700000000003E-2</v>
      </c>
      <c r="T6610">
        <v>-0.1563358</v>
      </c>
      <c r="U6610">
        <v>3.004181</v>
      </c>
      <c r="V6610">
        <v>-0.10385850000000001</v>
      </c>
      <c r="W6610">
        <v>1.7381569999999999E-2</v>
      </c>
      <c r="X6610">
        <v>0.9944402</v>
      </c>
      <c r="Y6610">
        <v>-5.6047449999999999E-2</v>
      </c>
      <c r="Z6610">
        <v>-4.5347110000000003E-2</v>
      </c>
      <c r="AA6610">
        <v>0.9973978</v>
      </c>
      <c r="AB6610">
        <v>60</v>
      </c>
      <c r="AC6610">
        <v>-0.54510000000001901</v>
      </c>
      <c r="AD6610">
        <v>-1.1051336238330001</v>
      </c>
      <c r="AE6610">
        <v>20.63372</v>
      </c>
      <c r="AF6610">
        <v>-1.1870840057283101</v>
      </c>
      <c r="AG6610">
        <v>-1.1051336238330001</v>
      </c>
      <c r="AH6610">
        <v>20.547656537295399</v>
      </c>
      <c r="AI6610">
        <v>93.073510686807396</v>
      </c>
      <c r="AJ6610">
        <v>93.306429857718996</v>
      </c>
      <c r="AK6610">
        <v>20.6115666056184</v>
      </c>
      <c r="AL6610">
        <v>89.004059253779104</v>
      </c>
      <c r="AM6610">
        <v>95.962307795473293</v>
      </c>
      <c r="AN6610">
        <v>1.0000000091869701</v>
      </c>
    </row>
    <row r="6611" spans="1:40" x14ac:dyDescent="0.25">
      <c r="A6611" t="str">
        <f>"20190305135402090"</f>
        <v>20190305135402090</v>
      </c>
      <c r="B6611" t="str">
        <f>"1551765242076397"</f>
        <v>1551765242076397</v>
      </c>
      <c r="C6611" t="s">
        <v>40</v>
      </c>
      <c r="D6611">
        <v>4.652018</v>
      </c>
      <c r="E6611">
        <v>0.51745580000000002</v>
      </c>
      <c r="F6611" t="s">
        <v>42</v>
      </c>
      <c r="G6611">
        <v>-188.02930000000001</v>
      </c>
      <c r="H6611" s="1">
        <v>-8.9042940000000001E-7</v>
      </c>
      <c r="I6611">
        <v>80.723819999999904</v>
      </c>
      <c r="J6611">
        <v>-187.488</v>
      </c>
      <c r="K6611">
        <v>1.1051409999999999</v>
      </c>
      <c r="L6611">
        <v>59.561160000000001</v>
      </c>
      <c r="M6611">
        <v>3.2716530000000001E-2</v>
      </c>
      <c r="N6611">
        <v>-6.5644579999999996E-3</v>
      </c>
      <c r="O6611">
        <v>0.99944310000000003</v>
      </c>
      <c r="P6611">
        <v>-7.1383429999999998E-2</v>
      </c>
      <c r="Q6611">
        <v>1.0413179999999999E-2</v>
      </c>
      <c r="R6611">
        <v>0.99739460000000002</v>
      </c>
      <c r="S6611">
        <v>-7.2219850000000002E-2</v>
      </c>
      <c r="T6611">
        <v>-0.1526431</v>
      </c>
      <c r="U6611">
        <v>3.0044559999999998</v>
      </c>
      <c r="V6611">
        <v>-0.1038772</v>
      </c>
      <c r="W6611">
        <v>1.7543199999999998E-2</v>
      </c>
      <c r="X6611">
        <v>0.99443539999999997</v>
      </c>
      <c r="Y6611">
        <v>-5.6691480000000002E-2</v>
      </c>
      <c r="Z6611">
        <v>-4.4091619999999998E-2</v>
      </c>
      <c r="AA6611">
        <v>0.99741769999999996</v>
      </c>
      <c r="AB6611">
        <v>60</v>
      </c>
      <c r="AC6611">
        <v>-0.541300000000006</v>
      </c>
      <c r="AD6611">
        <v>-1.1051418904293999</v>
      </c>
      <c r="AE6611">
        <v>21.162659999999899</v>
      </c>
      <c r="AF6611">
        <v>-1.2300417308960001</v>
      </c>
      <c r="AG6611">
        <v>-1.1051418904293999</v>
      </c>
      <c r="AH6611">
        <v>21.076182135933401</v>
      </c>
      <c r="AI6611">
        <v>92.996499135082999</v>
      </c>
      <c r="AJ6611">
        <v>93.340090081027796</v>
      </c>
      <c r="AK6611">
        <v>21.140950657072299</v>
      </c>
      <c r="AL6611">
        <v>88.994797116157997</v>
      </c>
      <c r="AM6611">
        <v>95.963402166453903</v>
      </c>
      <c r="AN6611">
        <v>1.0000000006596199</v>
      </c>
    </row>
    <row r="6612" spans="1:40" x14ac:dyDescent="0.25">
      <c r="A6612" t="str">
        <f>"20190305135402113"</f>
        <v>20190305135402113</v>
      </c>
      <c r="B6612" t="str">
        <f>"1551765242106648"</f>
        <v>1551765242106648</v>
      </c>
      <c r="C6612" t="s">
        <v>40</v>
      </c>
      <c r="D6612">
        <v>4.6623919999999996</v>
      </c>
      <c r="E6612">
        <v>0.51748269999999996</v>
      </c>
      <c r="F6612" t="s">
        <v>42</v>
      </c>
      <c r="G6612">
        <v>-187.97839999999999</v>
      </c>
      <c r="H6612" s="1">
        <v>-1.125972E-6</v>
      </c>
      <c r="I6612">
        <v>81.376130000000003</v>
      </c>
      <c r="J6612">
        <v>-187.4675</v>
      </c>
      <c r="K6612">
        <v>1.105164</v>
      </c>
      <c r="L6612">
        <v>60.188809999999997</v>
      </c>
      <c r="M6612">
        <v>3.4184109999999997E-2</v>
      </c>
      <c r="N6612">
        <v>-6.5896219999999998E-3</v>
      </c>
      <c r="O6612">
        <v>0.9993938</v>
      </c>
      <c r="P6612">
        <v>-6.9458939999999997E-2</v>
      </c>
      <c r="Q6612">
        <v>1.0665040000000001E-2</v>
      </c>
      <c r="R6612">
        <v>0.99752779999999996</v>
      </c>
      <c r="S6612">
        <v>-6.7535399999999995E-2</v>
      </c>
      <c r="T6612">
        <v>-0.15221129999999999</v>
      </c>
      <c r="U6612">
        <v>3.004578</v>
      </c>
      <c r="V6612">
        <v>-0.1034181</v>
      </c>
      <c r="W6612">
        <v>1.7811609999999999E-2</v>
      </c>
      <c r="X6612">
        <v>0.99447850000000004</v>
      </c>
      <c r="Y6612">
        <v>-5.6602510000000002E-2</v>
      </c>
      <c r="Z6612">
        <v>-4.3918840000000001E-2</v>
      </c>
      <c r="AA6612">
        <v>0.99743029999999999</v>
      </c>
      <c r="AB6612">
        <v>60</v>
      </c>
      <c r="AC6612">
        <v>-0.51089999999999203</v>
      </c>
      <c r="AD6612">
        <v>-1.1051651259719999</v>
      </c>
      <c r="AE6612">
        <v>21.18732</v>
      </c>
      <c r="AF6612">
        <v>-1.23153795110919</v>
      </c>
      <c r="AG6612">
        <v>-1.1051651259719999</v>
      </c>
      <c r="AH6612">
        <v>21.100095017866199</v>
      </c>
      <c r="AI6612">
        <v>92.9931713473283</v>
      </c>
      <c r="AJ6612">
        <v>93.340362390276894</v>
      </c>
      <c r="AK6612">
        <v>21.1648785832489</v>
      </c>
      <c r="AL6612">
        <v>88.979415974210596</v>
      </c>
      <c r="AM6612">
        <v>95.936979270980004</v>
      </c>
      <c r="AN6612">
        <v>1.00000002191032</v>
      </c>
    </row>
    <row r="6613" spans="1:40" x14ac:dyDescent="0.25">
      <c r="A6613" t="str">
        <f>"20190305135402134"</f>
        <v>20190305135402134</v>
      </c>
      <c r="B6613" t="str">
        <f>"1551765242127145"</f>
        <v>1551765242127145</v>
      </c>
      <c r="C6613" t="s">
        <v>40</v>
      </c>
      <c r="D6613">
        <v>4.685003</v>
      </c>
      <c r="E6613">
        <v>0.51752719999999997</v>
      </c>
      <c r="F6613" t="s">
        <v>42</v>
      </c>
      <c r="G6613">
        <v>-187.91739999999999</v>
      </c>
      <c r="H6613" s="1">
        <v>-1.425869E-6</v>
      </c>
      <c r="I6613">
        <v>82.095380000000006</v>
      </c>
      <c r="J6613">
        <v>-187.44669999999999</v>
      </c>
      <c r="K6613">
        <v>1.105192</v>
      </c>
      <c r="L6613">
        <v>60.799529999999997</v>
      </c>
      <c r="M6613">
        <v>3.5535190000000001E-2</v>
      </c>
      <c r="N6613">
        <v>-6.6134979999999998E-3</v>
      </c>
      <c r="O6613">
        <v>0.99934659999999997</v>
      </c>
      <c r="P6613">
        <v>-6.6142099999999995E-2</v>
      </c>
      <c r="Q6613">
        <v>1.074022E-2</v>
      </c>
      <c r="R6613">
        <v>0.99775239999999998</v>
      </c>
      <c r="S6613">
        <v>-6.1706539999999997E-2</v>
      </c>
      <c r="T6613">
        <v>-0.15158720000000001</v>
      </c>
      <c r="U6613">
        <v>3.0047609999999998</v>
      </c>
      <c r="V6613">
        <v>-0.10145750000000001</v>
      </c>
      <c r="W6613">
        <v>1.7890280000000001E-2</v>
      </c>
      <c r="X6613">
        <v>0.99467899999999998</v>
      </c>
      <c r="Y6613">
        <v>-5.601722E-2</v>
      </c>
      <c r="Z6613">
        <v>-4.3683760000000002E-2</v>
      </c>
      <c r="AA6613">
        <v>0.99747370000000002</v>
      </c>
      <c r="AB6613">
        <v>60</v>
      </c>
      <c r="AC6613">
        <v>-0.47069999999999301</v>
      </c>
      <c r="AD6613">
        <v>-1.1051934258689999</v>
      </c>
      <c r="AE6613">
        <v>21.295850000000002</v>
      </c>
      <c r="AF6613">
        <v>-1.2238766158180601</v>
      </c>
      <c r="AG6613">
        <v>-1.1051934258689999</v>
      </c>
      <c r="AH6613">
        <v>21.2085792988285</v>
      </c>
      <c r="AI6613">
        <v>92.978078129120306</v>
      </c>
      <c r="AJ6613">
        <v>93.302686190998401</v>
      </c>
      <c r="AK6613">
        <v>21.272591810920201</v>
      </c>
      <c r="AL6613">
        <v>88.974907774260899</v>
      </c>
      <c r="AM6613">
        <v>95.824041312360904</v>
      </c>
      <c r="AN6613">
        <v>0.99999999973286402</v>
      </c>
    </row>
    <row r="6614" spans="1:40" x14ac:dyDescent="0.25">
      <c r="A6614" t="str">
        <f>"20190305135402157"</f>
        <v>20190305135402157</v>
      </c>
      <c r="B6614" t="str">
        <f>"1551765242146668"</f>
        <v>1551765242146668</v>
      </c>
      <c r="C6614" t="s">
        <v>40</v>
      </c>
      <c r="D6614">
        <v>4.7024679999999996</v>
      </c>
      <c r="E6614">
        <v>0.51756639999999998</v>
      </c>
      <c r="F6614" t="s">
        <v>42</v>
      </c>
      <c r="G6614">
        <v>-187.82570000000001</v>
      </c>
      <c r="H6614" s="1">
        <v>-1.706467E-6</v>
      </c>
      <c r="I6614">
        <v>82.711550000000003</v>
      </c>
      <c r="J6614">
        <v>-187.42599999999999</v>
      </c>
      <c r="K6614">
        <v>1.1052409999999999</v>
      </c>
      <c r="L6614">
        <v>61.387700000000002</v>
      </c>
      <c r="M6614">
        <v>3.6727889999999999E-2</v>
      </c>
      <c r="N6614">
        <v>-6.6360289999999999E-3</v>
      </c>
      <c r="O6614">
        <v>0.99930330000000001</v>
      </c>
      <c r="P6614">
        <v>-6.2313689999999998E-2</v>
      </c>
      <c r="Q6614">
        <v>9.8364650000000008E-3</v>
      </c>
      <c r="R6614">
        <v>0.99800809999999995</v>
      </c>
      <c r="S6614">
        <v>-5.1971440000000001E-2</v>
      </c>
      <c r="T6614">
        <v>-0.15156269999999999</v>
      </c>
      <c r="U6614">
        <v>3.0049440000000001</v>
      </c>
      <c r="V6614">
        <v>-9.883625E-2</v>
      </c>
      <c r="W6614">
        <v>1.6979660000000001E-2</v>
      </c>
      <c r="X6614">
        <v>0.99495880000000003</v>
      </c>
      <c r="Y6614">
        <v>-5.3977520000000001E-2</v>
      </c>
      <c r="Z6614">
        <v>-4.3651490000000001E-2</v>
      </c>
      <c r="AA6614">
        <v>0.99758760000000002</v>
      </c>
      <c r="AB6614">
        <v>60</v>
      </c>
      <c r="AC6614">
        <v>-0.39970000000002398</v>
      </c>
      <c r="AD6614">
        <v>-1.1052427064669901</v>
      </c>
      <c r="AE6614">
        <v>21.32385</v>
      </c>
      <c r="AF6614">
        <v>-1.17946006412104</v>
      </c>
      <c r="AG6614">
        <v>-1.1052427064669901</v>
      </c>
      <c r="AH6614">
        <v>21.2377469737451</v>
      </c>
      <c r="AI6614">
        <v>92.974491526162495</v>
      </c>
      <c r="AJ6614">
        <v>93.178714589763203</v>
      </c>
      <c r="AK6614">
        <v>21.299168622363499</v>
      </c>
      <c r="AL6614">
        <v>89.027090355290895</v>
      </c>
      <c r="AM6614">
        <v>95.672981260581295</v>
      </c>
      <c r="AN6614">
        <v>0.999999963432608</v>
      </c>
    </row>
    <row r="6615" spans="1:40" x14ac:dyDescent="0.25">
      <c r="A6615" t="str">
        <f>"20190305135402178"</f>
        <v>20190305135402178</v>
      </c>
      <c r="B6615" t="str">
        <f>"1551765242166192"</f>
        <v>1551765242166192</v>
      </c>
      <c r="C6615" t="s">
        <v>40</v>
      </c>
      <c r="D6615">
        <v>5.0621499999999999</v>
      </c>
      <c r="E6615">
        <v>0.51760479999999998</v>
      </c>
      <c r="F6615" t="s">
        <v>42</v>
      </c>
      <c r="G6615">
        <v>-187.7176</v>
      </c>
      <c r="H6615" s="1">
        <v>-1.8250000000000001E-6</v>
      </c>
      <c r="I6615">
        <v>82.943150000000003</v>
      </c>
      <c r="J6615">
        <v>-187.40459999999999</v>
      </c>
      <c r="K6615">
        <v>1.105329</v>
      </c>
      <c r="L6615">
        <v>61.975769999999997</v>
      </c>
      <c r="M6615">
        <v>3.7776360000000002E-2</v>
      </c>
      <c r="N6615">
        <v>-6.6581059999999996E-3</v>
      </c>
      <c r="O6615">
        <v>0.99926409999999999</v>
      </c>
      <c r="P6615">
        <v>-5.8314419999999999E-2</v>
      </c>
      <c r="Q6615">
        <v>8.5676069999999997E-3</v>
      </c>
      <c r="R6615">
        <v>0.99826150000000002</v>
      </c>
      <c r="S6615">
        <v>-4.0649409999999997E-2</v>
      </c>
      <c r="T6615">
        <v>-0.1540782</v>
      </c>
      <c r="U6615">
        <v>3.0049739999999998</v>
      </c>
      <c r="V6615">
        <v>-9.5903950000000002E-2</v>
      </c>
      <c r="W6615">
        <v>1.5695230000000001E-2</v>
      </c>
      <c r="X6615">
        <v>0.99526689999999995</v>
      </c>
      <c r="Y6615">
        <v>-5.1266920000000001E-2</v>
      </c>
      <c r="Z6615">
        <v>-4.4464110000000001E-2</v>
      </c>
      <c r="AA6615">
        <v>0.99769470000000005</v>
      </c>
      <c r="AB6615">
        <v>61</v>
      </c>
      <c r="AC6615">
        <v>-0.31300000000001599</v>
      </c>
      <c r="AD6615">
        <v>-1.105330825</v>
      </c>
      <c r="AE6615">
        <v>20.967379999999999</v>
      </c>
      <c r="AF6615">
        <v>-1.10180409347221</v>
      </c>
      <c r="AG6615">
        <v>-1.105330825</v>
      </c>
      <c r="AH6615">
        <v>20.882568195400001</v>
      </c>
      <c r="AI6615">
        <v>93.025682676340793</v>
      </c>
      <c r="AJ6615">
        <v>93.020233997369601</v>
      </c>
      <c r="AK6615">
        <v>20.940806644649999</v>
      </c>
      <c r="AL6615">
        <v>89.100692686849797</v>
      </c>
      <c r="AM6615">
        <v>95.5040296642442</v>
      </c>
      <c r="AN6615">
        <v>1.00000005505298</v>
      </c>
    </row>
    <row r="6616" spans="1:40" x14ac:dyDescent="0.25">
      <c r="A6616" t="str">
        <f>"20190305135402200"</f>
        <v>20190305135402200</v>
      </c>
      <c r="B6616" t="str">
        <f>"1551765242196447"</f>
        <v>1551765242196447</v>
      </c>
      <c r="C6616" t="s">
        <v>40</v>
      </c>
      <c r="D6616">
        <v>4.7260999999999997</v>
      </c>
      <c r="E6616">
        <v>0.54093930000000001</v>
      </c>
      <c r="F6616" t="s">
        <v>42</v>
      </c>
      <c r="G6616">
        <v>-187.60659999999999</v>
      </c>
      <c r="H6616" s="1">
        <v>-1.896516E-6</v>
      </c>
      <c r="I6616">
        <v>83.063959999999994</v>
      </c>
      <c r="J6616">
        <v>-187.3827</v>
      </c>
      <c r="K6616">
        <v>1.1054619999999999</v>
      </c>
      <c r="L6616">
        <v>62.564329999999998</v>
      </c>
      <c r="M6616">
        <v>3.865437E-2</v>
      </c>
      <c r="N6616">
        <v>-6.679936E-3</v>
      </c>
      <c r="O6616">
        <v>0.99923030000000002</v>
      </c>
      <c r="P6616">
        <v>-5.535996E-2</v>
      </c>
      <c r="Q6616">
        <v>7.8378519999999993E-3</v>
      </c>
      <c r="R6616">
        <v>0.99843570000000004</v>
      </c>
      <c r="S6616">
        <v>-2.8778080000000001E-2</v>
      </c>
      <c r="T6616">
        <v>-0.1574999</v>
      </c>
      <c r="U6616">
        <v>3.004883</v>
      </c>
      <c r="V6616">
        <v>-9.3841339999999995E-2</v>
      </c>
      <c r="W6616">
        <v>1.4947159999999999E-2</v>
      </c>
      <c r="X6616">
        <v>0.99547490000000005</v>
      </c>
      <c r="Y6616">
        <v>-4.8203469999999998E-2</v>
      </c>
      <c r="Z6616">
        <v>-4.5579359999999999E-2</v>
      </c>
      <c r="AA6616">
        <v>0.99779709999999999</v>
      </c>
      <c r="AB6616">
        <v>61</v>
      </c>
      <c r="AC6616">
        <v>-0.223899999999986</v>
      </c>
      <c r="AD6616">
        <v>-1.105463896516</v>
      </c>
      <c r="AE6616">
        <v>20.4996299999999</v>
      </c>
      <c r="AF6616">
        <v>-1.01320456585583</v>
      </c>
      <c r="AG6616">
        <v>-1.105463896516</v>
      </c>
      <c r="AH6616">
        <v>20.416289961347101</v>
      </c>
      <c r="AI6616">
        <v>93.095518326881006</v>
      </c>
      <c r="AJ6616">
        <v>92.841101760086303</v>
      </c>
      <c r="AK6616">
        <v>20.4712854922346</v>
      </c>
      <c r="AL6616">
        <v>89.143558877019601</v>
      </c>
      <c r="AM6616">
        <v>95.385239244941801</v>
      </c>
      <c r="AN6616">
        <v>0.99999994560753402</v>
      </c>
    </row>
    <row r="6617" spans="1:40" x14ac:dyDescent="0.25">
      <c r="A6617" t="str">
        <f>"20190305135402223"</f>
        <v>20190305135402223</v>
      </c>
      <c r="B6617" t="str">
        <f>"1551765242216943"</f>
        <v>1551765242216943</v>
      </c>
      <c r="C6617" t="s">
        <v>40</v>
      </c>
      <c r="D6617">
        <v>4.8035319999999997</v>
      </c>
      <c r="E6617">
        <v>0.55535299999999999</v>
      </c>
      <c r="F6617" t="s">
        <v>42</v>
      </c>
      <c r="G6617">
        <v>-186.04859999999999</v>
      </c>
      <c r="H6617" s="1">
        <v>-3.8156719999999998E-6</v>
      </c>
      <c r="I6617">
        <v>86.893360000000001</v>
      </c>
      <c r="J6617">
        <v>-187.35849999999999</v>
      </c>
      <c r="K6617">
        <v>1.1056280000000001</v>
      </c>
      <c r="L6617">
        <v>63.201689999999999</v>
      </c>
      <c r="M6617">
        <v>3.9405959999999997E-2</v>
      </c>
      <c r="N6617">
        <v>-6.7037889999999999E-3</v>
      </c>
      <c r="O6617">
        <v>0.9992008</v>
      </c>
      <c r="P6617">
        <v>-5.3529390000000003E-2</v>
      </c>
      <c r="Q6617">
        <v>7.2005929999999999E-3</v>
      </c>
      <c r="R6617">
        <v>0.99854030000000005</v>
      </c>
      <c r="S6617">
        <v>0.165329</v>
      </c>
      <c r="T6617">
        <v>-0.136993899999999</v>
      </c>
      <c r="U6617">
        <v>3.0149539999999999</v>
      </c>
      <c r="V6617">
        <v>-9.2774159999999994E-2</v>
      </c>
      <c r="W6617">
        <v>1.429063E-2</v>
      </c>
      <c r="X6617">
        <v>0.99558460000000004</v>
      </c>
      <c r="Y6617">
        <v>1.532027E-2</v>
      </c>
      <c r="Z6617">
        <v>-3.861117E-2</v>
      </c>
      <c r="AA6617">
        <v>0.99913689999999999</v>
      </c>
      <c r="AB6617">
        <v>61</v>
      </c>
      <c r="AC6617">
        <v>1.3098999999999901</v>
      </c>
      <c r="AD6617">
        <v>-1.105631815672</v>
      </c>
      <c r="AE6617">
        <v>23.691669999999998</v>
      </c>
      <c r="AF6617">
        <v>0.37445553247823199</v>
      </c>
      <c r="AG6617">
        <v>-1.105631815672</v>
      </c>
      <c r="AH6617">
        <v>23.6734861075773</v>
      </c>
      <c r="AI6617">
        <v>92.673629576905299</v>
      </c>
      <c r="AJ6617">
        <v>89.093799176010904</v>
      </c>
      <c r="AK6617">
        <v>23.702248482860998</v>
      </c>
      <c r="AL6617">
        <v>89.181179327288902</v>
      </c>
      <c r="AM6617">
        <v>95.323768036357194</v>
      </c>
      <c r="AN6617">
        <v>0.99999998131333101</v>
      </c>
    </row>
    <row r="6618" spans="1:40" x14ac:dyDescent="0.25">
      <c r="A6618" t="str">
        <f>"20190305135402246"</f>
        <v>20190305135402246</v>
      </c>
      <c r="B6618" t="str">
        <f>"1551765242236466"</f>
        <v>1551765242236466</v>
      </c>
      <c r="C6618" t="s">
        <v>40</v>
      </c>
      <c r="D6618">
        <v>4.7398749999999996</v>
      </c>
      <c r="E6618">
        <v>0.56304929999999997</v>
      </c>
      <c r="F6618" t="s">
        <v>42</v>
      </c>
      <c r="G6618">
        <v>-185.51570000000001</v>
      </c>
      <c r="H6618" s="1">
        <v>-2.208418E-6</v>
      </c>
      <c r="I6618">
        <v>82.631479999999996</v>
      </c>
      <c r="J6618">
        <v>-187.33510000000001</v>
      </c>
      <c r="K6618">
        <v>1.1058030000000001</v>
      </c>
      <c r="L6618">
        <v>63.8063</v>
      </c>
      <c r="M6618">
        <v>3.9935470000000001E-2</v>
      </c>
      <c r="N6618">
        <v>-6.7271190000000002E-3</v>
      </c>
      <c r="O6618">
        <v>0.99917959999999995</v>
      </c>
      <c r="P6618">
        <v>-5.2914120000000002E-2</v>
      </c>
      <c r="Q6618">
        <v>6.3287400000000002E-3</v>
      </c>
      <c r="R6618">
        <v>0.99857899999999999</v>
      </c>
      <c r="S6618">
        <v>0.2865143</v>
      </c>
      <c r="T6618">
        <v>-0.17190469999999999</v>
      </c>
      <c r="U6618">
        <v>3.020966</v>
      </c>
      <c r="V6618">
        <v>-9.2697920000000003E-2</v>
      </c>
      <c r="W6618">
        <v>1.340236E-2</v>
      </c>
      <c r="X6618">
        <v>0.99560409999999999</v>
      </c>
      <c r="Y6618">
        <v>5.4455839999999998E-2</v>
      </c>
      <c r="Z6618">
        <v>-4.9870570000000003E-2</v>
      </c>
      <c r="AA6618">
        <v>0.99726999999999999</v>
      </c>
      <c r="AB6618">
        <v>61</v>
      </c>
      <c r="AC6618">
        <v>1.8193999999999999</v>
      </c>
      <c r="AD6618">
        <v>-1.1058052084179999</v>
      </c>
      <c r="AE6618">
        <v>18.82518</v>
      </c>
      <c r="AF6618">
        <v>1.06250686672266</v>
      </c>
      <c r="AG6618">
        <v>-1.1058052084179999</v>
      </c>
      <c r="AH6618">
        <v>18.818490134858902</v>
      </c>
      <c r="AI6618">
        <v>93.357591290074197</v>
      </c>
      <c r="AJ6618">
        <v>86.7684658183544</v>
      </c>
      <c r="AK6618">
        <v>18.880871191673801</v>
      </c>
      <c r="AL6618">
        <v>89.232078365683094</v>
      </c>
      <c r="AM6618">
        <v>95.319314585347001</v>
      </c>
      <c r="AN6618">
        <v>1.0000000257813499</v>
      </c>
    </row>
    <row r="6619" spans="1:40" x14ac:dyDescent="0.25">
      <c r="A6619" t="str">
        <f>"20190305135402267"</f>
        <v>20190305135402267</v>
      </c>
      <c r="B6619" t="str">
        <f>"1551765242256958"</f>
        <v>1551765242256958</v>
      </c>
      <c r="C6619" t="s">
        <v>40</v>
      </c>
      <c r="D6619">
        <v>4.7332960000000002</v>
      </c>
      <c r="E6619">
        <v>0.56562599999999996</v>
      </c>
      <c r="F6619" t="s">
        <v>41</v>
      </c>
      <c r="G6619">
        <v>-187.18989999999999</v>
      </c>
      <c r="H6619">
        <v>1.0276719999999999</v>
      </c>
      <c r="I6619">
        <v>65.059169999999995</v>
      </c>
      <c r="J6619">
        <v>-187.31190000000001</v>
      </c>
      <c r="K6619">
        <v>1.105972</v>
      </c>
      <c r="L6619">
        <v>64.399140000000003</v>
      </c>
      <c r="M6619">
        <v>4.0292300000000003E-2</v>
      </c>
      <c r="N6619">
        <v>-6.7507359999999898E-3</v>
      </c>
      <c r="O6619">
        <v>0.99916510000000003</v>
      </c>
      <c r="P6619">
        <v>-5.3692160000000003E-2</v>
      </c>
      <c r="Q6619">
        <v>6.3136219999999996E-3</v>
      </c>
      <c r="R6619">
        <v>0.99853760000000003</v>
      </c>
      <c r="S6619">
        <v>0.35008240000000002</v>
      </c>
      <c r="T6619">
        <v>-0.18860879999999999</v>
      </c>
      <c r="U6619">
        <v>3.0240170000000002</v>
      </c>
      <c r="V6619">
        <v>-9.3835370000000001E-2</v>
      </c>
      <c r="W6619">
        <v>1.337471E-2</v>
      </c>
      <c r="X6619">
        <v>0.99549790000000005</v>
      </c>
      <c r="Y6619">
        <v>7.4687589999999998E-2</v>
      </c>
      <c r="Z6619">
        <v>-5.5157459999999998E-2</v>
      </c>
      <c r="AA6619">
        <v>0.99568040000000002</v>
      </c>
      <c r="AB6619">
        <v>61</v>
      </c>
      <c r="AC6619">
        <v>0.122000000000014</v>
      </c>
      <c r="AD6619">
        <v>-7.8299999999999995E-2</v>
      </c>
      <c r="AE6619">
        <v>0.66002999999999101</v>
      </c>
      <c r="AF6619">
        <v>9.4026641098638203E-2</v>
      </c>
      <c r="AG6619">
        <v>-7.8299999999999995E-2</v>
      </c>
      <c r="AH6619">
        <v>0.65548961883264201</v>
      </c>
      <c r="AI6619">
        <v>96.743478404675102</v>
      </c>
      <c r="AJ6619">
        <v>81.836898029134204</v>
      </c>
      <c r="AK6619">
        <v>0.66681222216877101</v>
      </c>
      <c r="AL6619">
        <v>89.233662727091399</v>
      </c>
      <c r="AM6619">
        <v>95.384774979176299</v>
      </c>
      <c r="AN6619">
        <v>1.0000000142175101</v>
      </c>
    </row>
    <row r="6620" spans="1:40" x14ac:dyDescent="0.25">
      <c r="A6620" t="str">
        <f>"20190305135402289"</f>
        <v>20190305135402289</v>
      </c>
      <c r="B6620" t="str">
        <f>"1551765242276555"</f>
        <v>1551765242276555</v>
      </c>
      <c r="C6620" t="s">
        <v>40</v>
      </c>
      <c r="D6620">
        <v>4.7071389999999997</v>
      </c>
      <c r="E6620">
        <v>0.56726100000000002</v>
      </c>
      <c r="F6620" t="s">
        <v>41</v>
      </c>
      <c r="G6620">
        <v>-187.16489999999999</v>
      </c>
      <c r="H6620">
        <v>1.028273</v>
      </c>
      <c r="I6620">
        <v>65.606819999999999</v>
      </c>
      <c r="J6620">
        <v>-187.28819999999999</v>
      </c>
      <c r="K6620">
        <v>1.106139</v>
      </c>
      <c r="L6620">
        <v>64.997159999999994</v>
      </c>
      <c r="M6620">
        <v>4.052389E-2</v>
      </c>
      <c r="N6620">
        <v>-6.7751019999999999E-3</v>
      </c>
      <c r="O6620">
        <v>0.99915560000000003</v>
      </c>
      <c r="P6620">
        <v>-5.513171E-2</v>
      </c>
      <c r="Q6620">
        <v>6.1580589999999996E-3</v>
      </c>
      <c r="R6620">
        <v>0.99846009999999996</v>
      </c>
      <c r="S6620">
        <v>0.36853029999999998</v>
      </c>
      <c r="T6620">
        <v>-0.19462499999999999</v>
      </c>
      <c r="U6620">
        <v>3.025452</v>
      </c>
      <c r="V6620">
        <v>-9.5507320000000007E-2</v>
      </c>
      <c r="W6620">
        <v>1.3208309999999999E-2</v>
      </c>
      <c r="X6620">
        <v>0.99534109999999998</v>
      </c>
      <c r="Y6620">
        <v>8.0373399999999998E-2</v>
      </c>
      <c r="Z6620">
        <v>-5.7033059999999997E-2</v>
      </c>
      <c r="AA6620">
        <v>0.99513189999999996</v>
      </c>
      <c r="AB6620">
        <v>61</v>
      </c>
      <c r="AC6620">
        <v>0.12330000000000001</v>
      </c>
      <c r="AD6620">
        <v>-7.7865999999999894E-2</v>
      </c>
      <c r="AE6620">
        <v>0.60966000000000498</v>
      </c>
      <c r="AF6620">
        <v>9.6972645521570797E-2</v>
      </c>
      <c r="AG6620">
        <v>-7.7865999999999894E-2</v>
      </c>
      <c r="AH6620">
        <v>0.604679663950632</v>
      </c>
      <c r="AI6620">
        <v>97.246143056892095</v>
      </c>
      <c r="AJ6620">
        <v>80.889038491549698</v>
      </c>
      <c r="AK6620">
        <v>0.61733645925937497</v>
      </c>
      <c r="AL6620">
        <v>89.243197581099196</v>
      </c>
      <c r="AM6620">
        <v>95.480999434249199</v>
      </c>
      <c r="AN6620">
        <v>1.00000000648792</v>
      </c>
    </row>
    <row r="6621" spans="1:40" x14ac:dyDescent="0.25">
      <c r="A6621" t="str">
        <f>"20190305135402313"</f>
        <v>20190305135402313</v>
      </c>
      <c r="B6621" t="str">
        <f>"1551765242306811"</f>
        <v>1551765242306811</v>
      </c>
      <c r="C6621" t="s">
        <v>40</v>
      </c>
      <c r="D6621">
        <v>4.7443099999999996</v>
      </c>
      <c r="E6621">
        <v>0.5687082</v>
      </c>
      <c r="F6621" t="s">
        <v>41</v>
      </c>
      <c r="G6621">
        <v>-187.14349999999999</v>
      </c>
      <c r="H6621">
        <v>1.0313399999999999</v>
      </c>
      <c r="I6621">
        <v>66.156710000000004</v>
      </c>
      <c r="J6621">
        <v>-187.26179999999999</v>
      </c>
      <c r="K6621">
        <v>1.106317</v>
      </c>
      <c r="L6621">
        <v>65.656769999999995</v>
      </c>
      <c r="M6621">
        <v>4.065643E-2</v>
      </c>
      <c r="N6621">
        <v>-6.8024319999999997E-3</v>
      </c>
      <c r="O6621">
        <v>0.99914999999999998</v>
      </c>
      <c r="P6621">
        <v>-5.593393E-2</v>
      </c>
      <c r="Q6621">
        <v>7.141433E-3</v>
      </c>
      <c r="R6621">
        <v>0.99840890000000004</v>
      </c>
      <c r="S6621">
        <v>0.37733460000000002</v>
      </c>
      <c r="T6621">
        <v>-0.19524150000000001</v>
      </c>
      <c r="U6621">
        <v>3.0266419999999998</v>
      </c>
      <c r="V6621">
        <v>-9.6441449999999998E-2</v>
      </c>
      <c r="W6621">
        <v>1.417858E-2</v>
      </c>
      <c r="X6621">
        <v>0.99523759999999994</v>
      </c>
      <c r="Y6621">
        <v>8.3043720000000001E-2</v>
      </c>
      <c r="Z6621">
        <v>-5.7163829999999999E-2</v>
      </c>
      <c r="AA6621">
        <v>0.99490509999999999</v>
      </c>
      <c r="AB6621">
        <v>61</v>
      </c>
      <c r="AC6621">
        <v>0.118300000000004</v>
      </c>
      <c r="AD6621">
        <v>-7.4977000000000002E-2</v>
      </c>
      <c r="AE6621">
        <v>0.49994000000000899</v>
      </c>
      <c r="AF6621">
        <v>9.5834751986539804E-2</v>
      </c>
      <c r="AG6621">
        <v>-7.4977000000000002E-2</v>
      </c>
      <c r="AH6621">
        <v>0.49381854678188802</v>
      </c>
      <c r="AI6621">
        <v>98.477536169657299</v>
      </c>
      <c r="AJ6621">
        <v>79.017201671137201</v>
      </c>
      <c r="AK6621">
        <v>0.50858883920422104</v>
      </c>
      <c r="AL6621">
        <v>89.1875999307195</v>
      </c>
      <c r="AM6621">
        <v>95.534848278791301</v>
      </c>
      <c r="AN6621">
        <v>0.99999993293133704</v>
      </c>
    </row>
    <row r="6622" spans="1:40" x14ac:dyDescent="0.25">
      <c r="A6622" t="str">
        <f>"20190305135402336"</f>
        <v>20190305135402336</v>
      </c>
      <c r="B6622" t="str">
        <f>"1551765242326331"</f>
        <v>1551765242326331</v>
      </c>
      <c r="C6622" t="s">
        <v>40</v>
      </c>
      <c r="D6622">
        <v>4.7113459999999998</v>
      </c>
      <c r="E6622">
        <v>0.56920249999999994</v>
      </c>
      <c r="F6622" t="s">
        <v>41</v>
      </c>
      <c r="G6622">
        <v>-187.1275</v>
      </c>
      <c r="H6622">
        <v>1.0362089999999999</v>
      </c>
      <c r="I6622">
        <v>66.708579999999998</v>
      </c>
      <c r="J6622">
        <v>-187.23660000000001</v>
      </c>
      <c r="K6622">
        <v>1.1064750000000001</v>
      </c>
      <c r="L6622">
        <v>66.282929999999993</v>
      </c>
      <c r="M6622">
        <v>4.0695500000000003E-2</v>
      </c>
      <c r="N6622">
        <v>-6.8284560000000001E-3</v>
      </c>
      <c r="O6622">
        <v>0.99914820000000004</v>
      </c>
      <c r="P6622">
        <v>-5.5298140000000003E-2</v>
      </c>
      <c r="Q6622">
        <v>7.1170309999999898E-3</v>
      </c>
      <c r="R6622">
        <v>0.99844449999999996</v>
      </c>
      <c r="S6622">
        <v>0.38645940000000001</v>
      </c>
      <c r="T6622">
        <v>-0.20182449999999999</v>
      </c>
      <c r="U6622">
        <v>3.027863</v>
      </c>
      <c r="V6622">
        <v>-9.5852080000000006E-2</v>
      </c>
      <c r="W6622">
        <v>1.414139E-2</v>
      </c>
      <c r="X6622">
        <v>0.99529509999999999</v>
      </c>
      <c r="Y6622">
        <v>8.5889729999999997E-2</v>
      </c>
      <c r="Z6622">
        <v>-5.923892E-2</v>
      </c>
      <c r="AA6622">
        <v>0.99454189999999998</v>
      </c>
      <c r="AB6622">
        <v>61</v>
      </c>
      <c r="AC6622">
        <v>0.10910000000001201</v>
      </c>
      <c r="AD6622">
        <v>-7.0266000000000106E-2</v>
      </c>
      <c r="AE6622">
        <v>0.42564999999998998</v>
      </c>
      <c r="AF6622">
        <v>8.9401077273694396E-2</v>
      </c>
      <c r="AG6622">
        <v>-7.0266000000000106E-2</v>
      </c>
      <c r="AH6622">
        <v>0.41902243890916002</v>
      </c>
      <c r="AI6622">
        <v>99.313551320295403</v>
      </c>
      <c r="AJ6622">
        <v>77.956166238875696</v>
      </c>
      <c r="AK6622">
        <v>0.43417700040775797</v>
      </c>
      <c r="AL6622">
        <v>89.189731003068403</v>
      </c>
      <c r="AM6622">
        <v>95.500916147929004</v>
      </c>
      <c r="AN6622">
        <v>0.99999996811773295</v>
      </c>
    </row>
    <row r="6623" spans="1:40" x14ac:dyDescent="0.25">
      <c r="A6623" t="str">
        <f>"20190305135402358"</f>
        <v>20190305135402358</v>
      </c>
      <c r="B6623" t="str">
        <f>"1551765242346830"</f>
        <v>1551765242346830</v>
      </c>
      <c r="C6623" t="s">
        <v>40</v>
      </c>
      <c r="D6623">
        <v>4.7066759999999999</v>
      </c>
      <c r="E6623">
        <v>0.56977889999999998</v>
      </c>
      <c r="F6623" t="s">
        <v>41</v>
      </c>
      <c r="G6623">
        <v>-187.11</v>
      </c>
      <c r="H6623">
        <v>1.039415</v>
      </c>
      <c r="I6623">
        <v>67.260490000000004</v>
      </c>
      <c r="J6623">
        <v>-187.21209999999999</v>
      </c>
      <c r="K6623">
        <v>1.106614</v>
      </c>
      <c r="L6623">
        <v>66.890379999999993</v>
      </c>
      <c r="M6623">
        <v>4.0675749999999997E-2</v>
      </c>
      <c r="N6623">
        <v>-6.8536889999999996E-3</v>
      </c>
      <c r="O6623">
        <v>0.99914890000000001</v>
      </c>
      <c r="P6623">
        <v>-5.3984169999999998E-2</v>
      </c>
      <c r="Q6623">
        <v>6.5131169999999997E-3</v>
      </c>
      <c r="R6623">
        <v>0.99852059999999998</v>
      </c>
      <c r="S6623">
        <v>0.39202880000000001</v>
      </c>
      <c r="T6623">
        <v>-0.20772669999999999</v>
      </c>
      <c r="U6623">
        <v>3.027863</v>
      </c>
      <c r="V6623">
        <v>-9.4529150000000006E-2</v>
      </c>
      <c r="W6623">
        <v>1.352633E-2</v>
      </c>
      <c r="X6623">
        <v>0.99543020000000004</v>
      </c>
      <c r="Y6623">
        <v>8.7693179999999996E-2</v>
      </c>
      <c r="Z6623">
        <v>-6.1124039999999998E-2</v>
      </c>
      <c r="AA6623">
        <v>0.9942704</v>
      </c>
      <c r="AB6623">
        <v>61</v>
      </c>
      <c r="AC6623">
        <v>0.102099999999978</v>
      </c>
      <c r="AD6623">
        <v>-6.7198999999999995E-2</v>
      </c>
      <c r="AE6623">
        <v>0.370109999999996</v>
      </c>
      <c r="AF6623">
        <v>8.4375830190790896E-2</v>
      </c>
      <c r="AG6623">
        <v>-6.7198999999999995E-2</v>
      </c>
      <c r="AH6623">
        <v>0.36284130706718498</v>
      </c>
      <c r="AI6623">
        <v>100.225563665165</v>
      </c>
      <c r="AJ6623">
        <v>76.908986172844905</v>
      </c>
      <c r="AK6623">
        <v>0.37853507160580102</v>
      </c>
      <c r="AL6623">
        <v>89.224974746052197</v>
      </c>
      <c r="AM6623">
        <v>95.424717893039102</v>
      </c>
      <c r="AN6623">
        <v>1.00000000243751</v>
      </c>
    </row>
    <row r="6624" spans="1:40" x14ac:dyDescent="0.25">
      <c r="A6624" t="str">
        <f>"20190305135402380"</f>
        <v>20190305135402380</v>
      </c>
      <c r="B6624" t="str">
        <f>"1551765242377083"</f>
        <v>1551765242377083</v>
      </c>
      <c r="C6624" t="s">
        <v>40</v>
      </c>
      <c r="D6624">
        <v>4.6619149999999996</v>
      </c>
      <c r="E6624">
        <v>0.57066600000000001</v>
      </c>
      <c r="F6624" t="s">
        <v>41</v>
      </c>
      <c r="G6624">
        <v>-187.09</v>
      </c>
      <c r="H6624">
        <v>1.042187</v>
      </c>
      <c r="I6624">
        <v>67.813009999999906</v>
      </c>
      <c r="J6624">
        <v>-187.18799999999999</v>
      </c>
      <c r="K6624">
        <v>1.106741</v>
      </c>
      <c r="L6624">
        <v>67.484650000000002</v>
      </c>
      <c r="M6624">
        <v>4.0619469999999998E-2</v>
      </c>
      <c r="N6624">
        <v>-6.87836E-3</v>
      </c>
      <c r="O6624">
        <v>0.99915100000000001</v>
      </c>
      <c r="P6624">
        <v>-5.2280310000000003E-2</v>
      </c>
      <c r="Q6624">
        <v>5.6697839999999998E-3</v>
      </c>
      <c r="R6624">
        <v>0.99861630000000001</v>
      </c>
      <c r="S6624">
        <v>0.40057369999999998</v>
      </c>
      <c r="T6624">
        <v>-0.21141760000000001</v>
      </c>
      <c r="U6624">
        <v>3.0274960000000002</v>
      </c>
      <c r="V6624">
        <v>-9.278045E-2</v>
      </c>
      <c r="W6624">
        <v>1.2675250000000001E-2</v>
      </c>
      <c r="X6624">
        <v>0.99560590000000004</v>
      </c>
      <c r="Y6624">
        <v>9.0512629999999997E-2</v>
      </c>
      <c r="Z6624">
        <v>-6.2289089999999998E-2</v>
      </c>
      <c r="AA6624">
        <v>0.99394539999999998</v>
      </c>
      <c r="AB6624">
        <v>62</v>
      </c>
      <c r="AC6624">
        <v>9.7999999999984697E-2</v>
      </c>
      <c r="AD6624">
        <v>-6.4554E-2</v>
      </c>
      <c r="AE6624">
        <v>0.32835999999998899</v>
      </c>
      <c r="AF6624">
        <v>8.1682206916287498E-2</v>
      </c>
      <c r="AG6624">
        <v>-6.4554E-2</v>
      </c>
      <c r="AH6624">
        <v>0.320688999532173</v>
      </c>
      <c r="AI6624">
        <v>101.03804815046701</v>
      </c>
      <c r="AJ6624">
        <v>75.710132440162099</v>
      </c>
      <c r="AK6624">
        <v>0.33716559175524002</v>
      </c>
      <c r="AL6624">
        <v>89.273742216297407</v>
      </c>
      <c r="AM6624">
        <v>95.324013658766603</v>
      </c>
      <c r="AN6624">
        <v>0.99999999098978698</v>
      </c>
    </row>
    <row r="6625" spans="1:40" x14ac:dyDescent="0.25">
      <c r="A6625" t="str">
        <f>"20190305135402401"</f>
        <v>20190305135402401</v>
      </c>
      <c r="B6625" t="str">
        <f>"1551765242396605"</f>
        <v>1551765242396605</v>
      </c>
      <c r="C6625" t="s">
        <v>40</v>
      </c>
      <c r="D6625">
        <v>4.7194500000000001</v>
      </c>
      <c r="E6625">
        <v>0.57111519999999905</v>
      </c>
      <c r="F6625" t="s">
        <v>41</v>
      </c>
      <c r="G6625">
        <v>-187.0675</v>
      </c>
      <c r="H6625">
        <v>1.0445120000000001</v>
      </c>
      <c r="I6625">
        <v>68.366119999999995</v>
      </c>
      <c r="J6625">
        <v>-187.16319999999999</v>
      </c>
      <c r="K6625">
        <v>1.1068659999999999</v>
      </c>
      <c r="L6625">
        <v>68.095950000000002</v>
      </c>
      <c r="M6625">
        <v>4.0538390000000001E-2</v>
      </c>
      <c r="N6625">
        <v>-6.9037019999999899E-3</v>
      </c>
      <c r="O6625">
        <v>0.99915419999999999</v>
      </c>
      <c r="P6625">
        <v>-5.0589050000000003E-2</v>
      </c>
      <c r="Q6625">
        <v>5.3205630000000004E-3</v>
      </c>
      <c r="R6625">
        <v>0.99870539999999997</v>
      </c>
      <c r="S6625">
        <v>0.41304020000000002</v>
      </c>
      <c r="T6625">
        <v>-0.21374679999999999</v>
      </c>
      <c r="U6625">
        <v>3.0269780000000002</v>
      </c>
      <c r="V6625">
        <v>-9.1017509999999996E-2</v>
      </c>
      <c r="W6625">
        <v>1.232099E-2</v>
      </c>
      <c r="X6625">
        <v>0.99577309999999997</v>
      </c>
      <c r="Y6625">
        <v>9.4628210000000004E-2</v>
      </c>
      <c r="Z6625">
        <v>-6.3002440000000007E-2</v>
      </c>
      <c r="AA6625">
        <v>0.99351710000000004</v>
      </c>
      <c r="AB6625">
        <v>62</v>
      </c>
      <c r="AC6625">
        <v>9.5699999999993596E-2</v>
      </c>
      <c r="AD6625">
        <v>-6.2353999999999798E-2</v>
      </c>
      <c r="AE6625">
        <v>0.27016999999999303</v>
      </c>
      <c r="AF6625">
        <v>8.0842678866202097E-2</v>
      </c>
      <c r="AG6625">
        <v>-6.2353999999999798E-2</v>
      </c>
      <c r="AH6625">
        <v>0.26145341837614</v>
      </c>
      <c r="AI6625">
        <v>102.835525131484</v>
      </c>
      <c r="AJ6625">
        <v>72.818134779785794</v>
      </c>
      <c r="AK6625">
        <v>0.28068033422887501</v>
      </c>
      <c r="AL6625">
        <v>89.294041432650303</v>
      </c>
      <c r="AM6625">
        <v>95.222543753816097</v>
      </c>
      <c r="AN6625">
        <v>1.0000000303023899</v>
      </c>
    </row>
    <row r="6626" spans="1:40" x14ac:dyDescent="0.25">
      <c r="A6626" t="str">
        <f>"20190305135402423"</f>
        <v>20190305135402423</v>
      </c>
      <c r="B6626" t="str">
        <f>"1551765242417099"</f>
        <v>1551765242417099</v>
      </c>
      <c r="C6626" t="s">
        <v>40</v>
      </c>
      <c r="D6626">
        <v>4.6648310000000004</v>
      </c>
      <c r="E6626">
        <v>0.57145269999999904</v>
      </c>
      <c r="F6626" t="s">
        <v>41</v>
      </c>
      <c r="G6626">
        <v>-187.04810000000001</v>
      </c>
      <c r="H6626">
        <v>1.0477970000000001</v>
      </c>
      <c r="I6626">
        <v>68.921549999999996</v>
      </c>
      <c r="J6626">
        <v>-187.1378</v>
      </c>
      <c r="K6626">
        <v>1.1069770000000001</v>
      </c>
      <c r="L6626">
        <v>68.722319999999996</v>
      </c>
      <c r="M6626">
        <v>4.0443470000000002E-2</v>
      </c>
      <c r="N6626">
        <v>-6.929607E-3</v>
      </c>
      <c r="O6626">
        <v>0.99915779999999998</v>
      </c>
      <c r="P6626">
        <v>-4.8091229999999999E-2</v>
      </c>
      <c r="Q6626">
        <v>4.7652689999999999E-3</v>
      </c>
      <c r="R6626">
        <v>0.99883160000000004</v>
      </c>
      <c r="S6626">
        <v>0.42218020000000001</v>
      </c>
      <c r="T6626">
        <v>-0.2165155</v>
      </c>
      <c r="U6626">
        <v>3.0264280000000001</v>
      </c>
      <c r="V6626">
        <v>-8.8436199999999895E-2</v>
      </c>
      <c r="W6626">
        <v>1.176408E-2</v>
      </c>
      <c r="X6626">
        <v>0.99601240000000002</v>
      </c>
      <c r="Y6626">
        <v>9.7682119999999997E-2</v>
      </c>
      <c r="Z6626">
        <v>-6.3866179999999995E-2</v>
      </c>
      <c r="AA6626">
        <v>0.99316629999999995</v>
      </c>
      <c r="AB6626">
        <v>62</v>
      </c>
      <c r="AC6626">
        <v>8.9699999999993396E-2</v>
      </c>
      <c r="AD6626">
        <v>-5.9180000000000198E-2</v>
      </c>
      <c r="AE6626">
        <v>0.19922999999999999</v>
      </c>
      <c r="AF6626">
        <v>7.5993703514875402E-2</v>
      </c>
      <c r="AG6626">
        <v>-5.9180000000000198E-2</v>
      </c>
      <c r="AH6626">
        <v>0.188840846374529</v>
      </c>
      <c r="AI6626">
        <v>106.210615342819</v>
      </c>
      <c r="AJ6626">
        <v>68.079062854203301</v>
      </c>
      <c r="AK6626">
        <v>0.21198627463436301</v>
      </c>
      <c r="AL6626">
        <v>89.325952337099295</v>
      </c>
      <c r="AM6626">
        <v>95.074001094521606</v>
      </c>
      <c r="AN6626">
        <v>1.00000002800122</v>
      </c>
    </row>
    <row r="6627" spans="1:40" x14ac:dyDescent="0.25">
      <c r="A6627" t="str">
        <f>"20190305135402448"</f>
        <v>20190305135402448</v>
      </c>
      <c r="B6627" t="str">
        <f>"1551765242436619"</f>
        <v>1551765242436619</v>
      </c>
      <c r="C6627" t="s">
        <v>40</v>
      </c>
      <c r="D6627">
        <v>4.7015949999999904</v>
      </c>
      <c r="E6627">
        <v>0.57165350000000004</v>
      </c>
      <c r="F6627" t="s">
        <v>41</v>
      </c>
      <c r="G6627">
        <v>-187.02940000000001</v>
      </c>
      <c r="H6627">
        <v>1.0525990000000001</v>
      </c>
      <c r="I6627">
        <v>69.479640000000003</v>
      </c>
      <c r="J6627">
        <v>-187.1122</v>
      </c>
      <c r="K6627">
        <v>1.1070759999999999</v>
      </c>
      <c r="L6627">
        <v>69.355590000000007</v>
      </c>
      <c r="M6627">
        <v>4.0345560000000003E-2</v>
      </c>
      <c r="N6627">
        <v>-6.9557380000000004E-3</v>
      </c>
      <c r="O6627">
        <v>0.99916159999999998</v>
      </c>
      <c r="P6627">
        <v>-4.628256E-2</v>
      </c>
      <c r="Q6627">
        <v>4.6207619999999996E-3</v>
      </c>
      <c r="R6627">
        <v>0.99891770000000002</v>
      </c>
      <c r="S6627">
        <v>0.43247989999999997</v>
      </c>
      <c r="T6627">
        <v>-0.21726719999999999</v>
      </c>
      <c r="U6627">
        <v>3.02536</v>
      </c>
      <c r="V6627">
        <v>-8.6538340000000005E-2</v>
      </c>
      <c r="W6627">
        <v>1.1622469999999999E-2</v>
      </c>
      <c r="X6627">
        <v>0.99618070000000003</v>
      </c>
      <c r="Y6627">
        <v>0.10113900000000001</v>
      </c>
      <c r="Z6627">
        <v>-6.4081189999999996E-2</v>
      </c>
      <c r="AA6627">
        <v>0.99280639999999998</v>
      </c>
      <c r="AB6627">
        <v>62</v>
      </c>
      <c r="AC6627">
        <v>8.27999999999917E-2</v>
      </c>
      <c r="AD6627">
        <v>-5.4476999999999803E-2</v>
      </c>
      <c r="AE6627">
        <v>0.124049999999996</v>
      </c>
      <c r="AF6627">
        <v>6.8578151974428903E-2</v>
      </c>
      <c r="AG6627">
        <v>-5.4476999999999803E-2</v>
      </c>
      <c r="AH6627">
        <v>0.11230621094863601</v>
      </c>
      <c r="AI6627">
        <v>112.48925040397501</v>
      </c>
      <c r="AJ6627">
        <v>58.5902821175074</v>
      </c>
      <c r="AK6627">
        <v>0.14241977206437101</v>
      </c>
      <c r="AL6627">
        <v>89.334066512725997</v>
      </c>
      <c r="AM6627">
        <v>94.964827562191104</v>
      </c>
      <c r="AN6627">
        <v>0.99999997657567297</v>
      </c>
    </row>
    <row r="6628" spans="1:40" x14ac:dyDescent="0.25">
      <c r="A6628" t="str">
        <f>"20190305135402468"</f>
        <v>20190305135402468</v>
      </c>
      <c r="B6628" t="str">
        <f>"1551765242457115"</f>
        <v>1551765242457115</v>
      </c>
      <c r="C6628" t="s">
        <v>40</v>
      </c>
      <c r="D6628">
        <v>4.6914680000000004</v>
      </c>
      <c r="E6628">
        <v>0.57189899999999905</v>
      </c>
      <c r="F6628" t="s">
        <v>41</v>
      </c>
      <c r="G6628">
        <v>-186.93549999999999</v>
      </c>
      <c r="H6628">
        <v>1.018807</v>
      </c>
      <c r="I6628">
        <v>70.569599999999994</v>
      </c>
      <c r="J6628">
        <v>-187.0882</v>
      </c>
      <c r="K6628">
        <v>1.1071580000000001</v>
      </c>
      <c r="L6628">
        <v>69.950590000000005</v>
      </c>
      <c r="M6628">
        <v>4.0254329999999998E-2</v>
      </c>
      <c r="N6628">
        <v>-6.9799049999999998E-3</v>
      </c>
      <c r="O6628">
        <v>0.99916510000000003</v>
      </c>
      <c r="P6628">
        <v>-4.5395419999999999E-2</v>
      </c>
      <c r="Q6628">
        <v>4.7645099999999996E-3</v>
      </c>
      <c r="R6628">
        <v>0.99895780000000001</v>
      </c>
      <c r="S6628">
        <v>0.44003300000000001</v>
      </c>
      <c r="T6628">
        <v>-0.2199451</v>
      </c>
      <c r="U6628">
        <v>3.0246580000000001</v>
      </c>
      <c r="V6628">
        <v>-8.5564840000000003E-2</v>
      </c>
      <c r="W6628">
        <v>1.1772660000000001E-2</v>
      </c>
      <c r="X6628">
        <v>0.99626300000000001</v>
      </c>
      <c r="Y6628">
        <v>0.1036815</v>
      </c>
      <c r="Z6628">
        <v>-6.4923159999999994E-2</v>
      </c>
      <c r="AA6628">
        <v>0.99248930000000002</v>
      </c>
      <c r="AB6628">
        <v>62</v>
      </c>
      <c r="AC6628">
        <v>0.15270000000000999</v>
      </c>
      <c r="AD6628">
        <v>-8.8350999999999999E-2</v>
      </c>
      <c r="AE6628">
        <v>0.61900999999998796</v>
      </c>
      <c r="AF6628">
        <v>0.125252543216995</v>
      </c>
      <c r="AG6628">
        <v>-8.8350999999999999E-2</v>
      </c>
      <c r="AH6628">
        <v>0.61288589612511402</v>
      </c>
      <c r="AI6628">
        <v>98.039082661416799</v>
      </c>
      <c r="AJ6628">
        <v>78.449783125206594</v>
      </c>
      <c r="AK6628">
        <v>0.63176199668261901</v>
      </c>
      <c r="AL6628">
        <v>89.325460653517794</v>
      </c>
      <c r="AM6628">
        <v>94.908847411843496</v>
      </c>
      <c r="AN6628">
        <v>0.99999995126834895</v>
      </c>
    </row>
    <row r="6629" spans="1:40" x14ac:dyDescent="0.25">
      <c r="A6629" t="str">
        <f>"20190305135402491"</f>
        <v>20190305135402491</v>
      </c>
      <c r="B6629" t="str">
        <f>"1551765242486396"</f>
        <v>1551765242486396</v>
      </c>
      <c r="C6629" t="s">
        <v>40</v>
      </c>
      <c r="D6629">
        <v>4.7041890000000004</v>
      </c>
      <c r="E6629">
        <v>0.57205249999999996</v>
      </c>
      <c r="F6629" t="s">
        <v>41</v>
      </c>
      <c r="G6629">
        <v>-186.91480000000001</v>
      </c>
      <c r="H6629">
        <v>1.0219290000000001</v>
      </c>
      <c r="I6629">
        <v>71.127700000000004</v>
      </c>
      <c r="J6629">
        <v>-187.0633</v>
      </c>
      <c r="K6629">
        <v>1.1072310000000001</v>
      </c>
      <c r="L6629">
        <v>70.565889999999996</v>
      </c>
      <c r="M6629">
        <v>4.016057E-2</v>
      </c>
      <c r="N6629">
        <v>-7.0046529999999996E-3</v>
      </c>
      <c r="O6629">
        <v>0.99916870000000002</v>
      </c>
      <c r="P6629">
        <v>-4.5178320000000001E-2</v>
      </c>
      <c r="Q6629">
        <v>4.5655779999999998E-3</v>
      </c>
      <c r="R6629">
        <v>0.99896850000000004</v>
      </c>
      <c r="S6629">
        <v>0.4452972</v>
      </c>
      <c r="T6629">
        <v>-0.2189894</v>
      </c>
      <c r="U6629">
        <v>3.024384</v>
      </c>
      <c r="V6629">
        <v>-8.5256719999999994E-2</v>
      </c>
      <c r="W6629">
        <v>1.158242E-2</v>
      </c>
      <c r="X6629">
        <v>0.9962917</v>
      </c>
      <c r="Y6629">
        <v>0.10548159999999999</v>
      </c>
      <c r="Z6629">
        <v>-6.4579020000000001E-2</v>
      </c>
      <c r="AA6629">
        <v>0.99232209999999998</v>
      </c>
      <c r="AB6629">
        <v>62</v>
      </c>
      <c r="AC6629">
        <v>0.14849999999998401</v>
      </c>
      <c r="AD6629">
        <v>-8.5301999999999698E-2</v>
      </c>
      <c r="AE6629">
        <v>0.56181000000000803</v>
      </c>
      <c r="AF6629">
        <v>0.12316309273059201</v>
      </c>
      <c r="AG6629">
        <v>-8.5301999999999698E-2</v>
      </c>
      <c r="AH6629">
        <v>0.55535388459872803</v>
      </c>
      <c r="AI6629">
        <v>98.528295738096503</v>
      </c>
      <c r="AJ6629">
        <v>77.495663359521103</v>
      </c>
      <c r="AK6629">
        <v>0.57520736761090097</v>
      </c>
      <c r="AL6629">
        <v>89.336361382827207</v>
      </c>
      <c r="AM6629">
        <v>94.891116288193402</v>
      </c>
      <c r="AN6629">
        <v>1.0000000061235499</v>
      </c>
    </row>
    <row r="6630" spans="1:40" x14ac:dyDescent="0.25">
      <c r="A6630" t="str">
        <f>"20190305135402515"</f>
        <v>20190305135402515</v>
      </c>
      <c r="B6630" t="str">
        <f>"1551765242506892"</f>
        <v>1551765242506892</v>
      </c>
      <c r="C6630" t="s">
        <v>40</v>
      </c>
      <c r="D6630">
        <v>4.6449889999999998</v>
      </c>
      <c r="E6630">
        <v>0.57226909999999998</v>
      </c>
      <c r="F6630" t="s">
        <v>41</v>
      </c>
      <c r="G6630">
        <v>-186.8974</v>
      </c>
      <c r="H6630">
        <v>1.024559</v>
      </c>
      <c r="I6630">
        <v>71.686569999999904</v>
      </c>
      <c r="J6630">
        <v>-187.03620000000001</v>
      </c>
      <c r="K6630">
        <v>1.107305</v>
      </c>
      <c r="L6630">
        <v>71.240939999999995</v>
      </c>
      <c r="M6630">
        <v>4.0056750000000002E-2</v>
      </c>
      <c r="N6630">
        <v>-7.0318269999999896E-3</v>
      </c>
      <c r="O6630">
        <v>0.99917270000000002</v>
      </c>
      <c r="P6630">
        <v>-4.5119350000000003E-2</v>
      </c>
      <c r="Q6630">
        <v>4.5843630000000002E-3</v>
      </c>
      <c r="R6630">
        <v>0.9989711</v>
      </c>
      <c r="S6630">
        <v>0.44758609999999999</v>
      </c>
      <c r="T6630">
        <v>-0.22312860000000001</v>
      </c>
      <c r="U6630">
        <v>3.024384</v>
      </c>
      <c r="V6630">
        <v>-8.509659E-2</v>
      </c>
      <c r="W6630">
        <v>1.1613409999999999E-2</v>
      </c>
      <c r="X6630">
        <v>0.996305</v>
      </c>
      <c r="Y6630">
        <v>0.106306399999999</v>
      </c>
      <c r="Z6630">
        <v>-6.5891099999999994E-2</v>
      </c>
      <c r="AA6630">
        <v>0.99214780000000002</v>
      </c>
      <c r="AB6630">
        <v>62</v>
      </c>
      <c r="AC6630">
        <v>0.138800000000003</v>
      </c>
      <c r="AD6630">
        <v>-8.2745999999999903E-2</v>
      </c>
      <c r="AE6630">
        <v>0.44562999999997899</v>
      </c>
      <c r="AF6630">
        <v>0.117155558307423</v>
      </c>
      <c r="AG6630">
        <v>-8.2745999999999903E-2</v>
      </c>
      <c r="AH6630">
        <v>0.43709479494470399</v>
      </c>
      <c r="AI6630">
        <v>100.362323456803</v>
      </c>
      <c r="AJ6630">
        <v>74.995553060979006</v>
      </c>
      <c r="AK6630">
        <v>0.46002628742939999</v>
      </c>
      <c r="AL6630">
        <v>89.334585647801703</v>
      </c>
      <c r="AM6630">
        <v>94.881909330682902</v>
      </c>
      <c r="AN6630">
        <v>0.99999997697322696</v>
      </c>
    </row>
    <row r="6631" spans="1:40" x14ac:dyDescent="0.25">
      <c r="A6631" t="str">
        <f>"20190305135402538"</f>
        <v>20190305135402538</v>
      </c>
      <c r="B6631" t="str">
        <f>"1551765242526411"</f>
        <v>1551765242526411</v>
      </c>
      <c r="C6631" t="s">
        <v>40</v>
      </c>
      <c r="D6631">
        <v>4.6641469999999998</v>
      </c>
      <c r="E6631">
        <v>0.57246859999999999</v>
      </c>
      <c r="F6631" t="s">
        <v>41</v>
      </c>
      <c r="G6631">
        <v>-186.8862</v>
      </c>
      <c r="H6631">
        <v>1.0330699999999999</v>
      </c>
      <c r="I6631">
        <v>72.249359999999996</v>
      </c>
      <c r="J6631">
        <v>-187.01060000000001</v>
      </c>
      <c r="K6631">
        <v>1.107359</v>
      </c>
      <c r="L6631">
        <v>71.877009999999999</v>
      </c>
      <c r="M6631">
        <v>3.995634E-2</v>
      </c>
      <c r="N6631">
        <v>-7.0574219999999998E-3</v>
      </c>
      <c r="O6631">
        <v>0.99917650000000002</v>
      </c>
      <c r="P6631">
        <v>-4.4501789999999999E-2</v>
      </c>
      <c r="Q6631">
        <v>4.4276029999999996E-3</v>
      </c>
      <c r="R6631">
        <v>0.99899950000000004</v>
      </c>
      <c r="S6631">
        <v>0.44981379999999999</v>
      </c>
      <c r="T6631">
        <v>-0.2226418</v>
      </c>
      <c r="U6631">
        <v>3.0244140000000002</v>
      </c>
      <c r="V6631">
        <v>-8.4382200000000004E-2</v>
      </c>
      <c r="W6631">
        <v>1.147132E-2</v>
      </c>
      <c r="X6631">
        <v>0.99636749999999996</v>
      </c>
      <c r="Y6631">
        <v>0.10712149999999999</v>
      </c>
      <c r="Z6631">
        <v>-6.5700090000000003E-2</v>
      </c>
      <c r="AA6631">
        <v>0.99207279999999998</v>
      </c>
      <c r="AB6631">
        <v>62</v>
      </c>
      <c r="AC6631">
        <v>0.124400000000008</v>
      </c>
      <c r="AD6631">
        <v>-7.42889999999998E-2</v>
      </c>
      <c r="AE6631">
        <v>0.37234999999999702</v>
      </c>
      <c r="AF6631">
        <v>0.105639702647155</v>
      </c>
      <c r="AG6631">
        <v>-7.42889999999998E-2</v>
      </c>
      <c r="AH6631">
        <v>0.363989291481849</v>
      </c>
      <c r="AI6631">
        <v>101.089861775549</v>
      </c>
      <c r="AJ6631">
        <v>73.815818031010195</v>
      </c>
      <c r="AK6631">
        <v>0.38622118871164701</v>
      </c>
      <c r="AL6631">
        <v>89.342727409445203</v>
      </c>
      <c r="AM6631">
        <v>94.840818834960899</v>
      </c>
      <c r="AN6631">
        <v>1.0000000709578101</v>
      </c>
    </row>
    <row r="6632" spans="1:40" x14ac:dyDescent="0.25">
      <c r="A6632" t="str">
        <f>"20190305135402557"</f>
        <v>20190305135402557</v>
      </c>
      <c r="B6632" t="str">
        <f>"1551765242546909"</f>
        <v>1551765242546909</v>
      </c>
      <c r="C6632" t="s">
        <v>40</v>
      </c>
      <c r="D6632">
        <v>4.6143660000000004</v>
      </c>
      <c r="E6632">
        <v>0.57262239999999998</v>
      </c>
      <c r="F6632" t="s">
        <v>41</v>
      </c>
      <c r="G6632">
        <v>-186.87039999999999</v>
      </c>
      <c r="H6632">
        <v>1.0386010000000001</v>
      </c>
      <c r="I6632">
        <v>72.811480000000003</v>
      </c>
      <c r="J6632">
        <v>-186.98820000000001</v>
      </c>
      <c r="K6632">
        <v>1.1073959999999901</v>
      </c>
      <c r="L6632">
        <v>72.43777</v>
      </c>
      <c r="M6632">
        <v>3.9864740000000003E-2</v>
      </c>
      <c r="N6632">
        <v>-7.0812019999999896E-3</v>
      </c>
      <c r="O6632">
        <v>0.99917999999999996</v>
      </c>
      <c r="P6632">
        <v>-4.3610419999999997E-2</v>
      </c>
      <c r="Q6632">
        <v>4.7252639999999999E-3</v>
      </c>
      <c r="R6632">
        <v>0.99903739999999996</v>
      </c>
      <c r="S6632">
        <v>0.4532776</v>
      </c>
      <c r="T6632">
        <v>-0.22255659999999999</v>
      </c>
      <c r="U6632">
        <v>3.0242</v>
      </c>
      <c r="V6632">
        <v>-8.3402649999999995E-2</v>
      </c>
      <c r="W6632">
        <v>1.178411E-2</v>
      </c>
      <c r="X6632">
        <v>0.99644630000000001</v>
      </c>
      <c r="Y6632">
        <v>0.1083344</v>
      </c>
      <c r="Z6632">
        <v>-6.5643419999999994E-2</v>
      </c>
      <c r="AA6632">
        <v>0.99194479999999996</v>
      </c>
      <c r="AB6632">
        <v>63</v>
      </c>
      <c r="AC6632">
        <v>0.117800000000016</v>
      </c>
      <c r="AD6632">
        <v>-6.8794999999999704E-2</v>
      </c>
      <c r="AE6632">
        <v>0.37371000000000199</v>
      </c>
      <c r="AF6632">
        <v>9.9733830558943304E-2</v>
      </c>
      <c r="AG6632">
        <v>-6.8794999999999704E-2</v>
      </c>
      <c r="AH6632">
        <v>0.366802406218385</v>
      </c>
      <c r="AI6632">
        <v>100.25849383623699</v>
      </c>
      <c r="AJ6632">
        <v>74.788971025021795</v>
      </c>
      <c r="AK6632">
        <v>0.38629469863118299</v>
      </c>
      <c r="AL6632">
        <v>89.324804636635307</v>
      </c>
      <c r="AM6632">
        <v>94.784510030138506</v>
      </c>
      <c r="AN6632">
        <v>1.0000000480296001</v>
      </c>
    </row>
    <row r="6633" spans="1:40" x14ac:dyDescent="0.25">
      <c r="A6633" t="str">
        <f>"20190305135402580"</f>
        <v>20190305135402580</v>
      </c>
      <c r="B6633" t="str">
        <f>"1551765242566427"</f>
        <v>1551765242566427</v>
      </c>
      <c r="C6633" t="s">
        <v>40</v>
      </c>
      <c r="D6633">
        <v>4.6380879999999998</v>
      </c>
      <c r="E6633">
        <v>0.57275339999999997</v>
      </c>
      <c r="F6633" t="s">
        <v>41</v>
      </c>
      <c r="G6633">
        <v>-186.8468</v>
      </c>
      <c r="H6633">
        <v>1.0394680000000001</v>
      </c>
      <c r="I6633">
        <v>73.372050000000002</v>
      </c>
      <c r="J6633">
        <v>-186.96350000000001</v>
      </c>
      <c r="K6633">
        <v>1.1074440000000001</v>
      </c>
      <c r="L6633">
        <v>73.055539999999993</v>
      </c>
      <c r="M6633">
        <v>3.9760110000000001E-2</v>
      </c>
      <c r="N6633">
        <v>-7.1154670000000003E-3</v>
      </c>
      <c r="O6633">
        <v>0.99918390000000001</v>
      </c>
      <c r="P6633">
        <v>-4.2806839999999999E-2</v>
      </c>
      <c r="Q6633">
        <v>5.8537569999999898E-3</v>
      </c>
      <c r="R6633">
        <v>0.99906620000000002</v>
      </c>
      <c r="S6633">
        <v>0.45732119999999998</v>
      </c>
      <c r="T6633">
        <v>-0.21986700000000001</v>
      </c>
      <c r="U6633">
        <v>3.023895</v>
      </c>
      <c r="V6633">
        <v>-8.2497719999999997E-2</v>
      </c>
      <c r="W6633">
        <v>1.2939869999999999E-2</v>
      </c>
      <c r="X6633">
        <v>0.99650720000000004</v>
      </c>
      <c r="Y6633">
        <v>0.1097587</v>
      </c>
      <c r="Z6633">
        <v>-6.4730070000000001E-2</v>
      </c>
      <c r="AA6633">
        <v>0.99184830000000002</v>
      </c>
      <c r="AB6633">
        <v>63</v>
      </c>
      <c r="AC6633">
        <v>0.11670000000000801</v>
      </c>
      <c r="AD6633">
        <v>-6.7975999999999995E-2</v>
      </c>
      <c r="AE6633">
        <v>0.31650999999999302</v>
      </c>
      <c r="AF6633">
        <v>9.9963898466328402E-2</v>
      </c>
      <c r="AG6633">
        <v>-6.7975999999999995E-2</v>
      </c>
      <c r="AH6633">
        <v>0.30837816176682697</v>
      </c>
      <c r="AI6633">
        <v>101.842699129043</v>
      </c>
      <c r="AJ6633">
        <v>72.039374037817595</v>
      </c>
      <c r="AK6633">
        <v>0.33122591720346101</v>
      </c>
      <c r="AL6633">
        <v>89.258579337965998</v>
      </c>
      <c r="AM6633">
        <v>94.732546631841501</v>
      </c>
      <c r="AN6633">
        <v>0.99999995684632603</v>
      </c>
    </row>
    <row r="6634" spans="1:40" x14ac:dyDescent="0.25">
      <c r="A6634" t="str">
        <f>"20190305135402602"</f>
        <v>20190305135402602</v>
      </c>
      <c r="B6634" t="str">
        <f>"1551765242596684"</f>
        <v>1551765242596684</v>
      </c>
      <c r="C6634" t="s">
        <v>40</v>
      </c>
      <c r="D6634">
        <v>4.6239559999999997</v>
      </c>
      <c r="E6634">
        <v>0.57297299999999995</v>
      </c>
      <c r="F6634" t="s">
        <v>41</v>
      </c>
      <c r="G6634">
        <v>-186.82919999999999</v>
      </c>
      <c r="H6634">
        <v>1.044497</v>
      </c>
      <c r="I6634">
        <v>73.935649999999995</v>
      </c>
      <c r="J6634">
        <v>-186.93790000000001</v>
      </c>
      <c r="K6634">
        <v>1.1074870000000001</v>
      </c>
      <c r="L6634">
        <v>73.699010000000001</v>
      </c>
      <c r="M6634">
        <v>3.964666E-2</v>
      </c>
      <c r="N6634">
        <v>-7.1741030000000003E-3</v>
      </c>
      <c r="O6634">
        <v>0.99918799999999997</v>
      </c>
      <c r="P6634">
        <v>-4.2578119999999997E-2</v>
      </c>
      <c r="Q6634">
        <v>6.3261639999999996E-3</v>
      </c>
      <c r="R6634">
        <v>0.99907310000000005</v>
      </c>
      <c r="S6634">
        <v>0.46063229999999999</v>
      </c>
      <c r="T6634">
        <v>-0.21631120000000001</v>
      </c>
      <c r="U6634">
        <v>3.0238040000000002</v>
      </c>
      <c r="V6634">
        <v>-8.2157389999999997E-2</v>
      </c>
      <c r="W6634">
        <v>1.3463869999999999E-2</v>
      </c>
      <c r="X6634">
        <v>0.99652839999999998</v>
      </c>
      <c r="Y6634">
        <v>0.1109493</v>
      </c>
      <c r="Z6634">
        <v>-6.350799E-2</v>
      </c>
      <c r="AA6634">
        <v>0.99179479999999998</v>
      </c>
      <c r="AB6634">
        <v>63</v>
      </c>
      <c r="AC6634">
        <v>0.108700000000027</v>
      </c>
      <c r="AD6634">
        <v>-6.2990000000000101E-2</v>
      </c>
      <c r="AE6634">
        <v>0.23663999999999399</v>
      </c>
      <c r="AF6634">
        <v>9.3747246392601194E-2</v>
      </c>
      <c r="AG6634">
        <v>-6.2990000000000101E-2</v>
      </c>
      <c r="AH6634">
        <v>0.22745544635738699</v>
      </c>
      <c r="AI6634">
        <v>104.36142685769499</v>
      </c>
      <c r="AJ6634">
        <v>67.600672533333196</v>
      </c>
      <c r="AK6634">
        <v>0.253953275985629</v>
      </c>
      <c r="AL6634">
        <v>89.228553750787199</v>
      </c>
      <c r="AM6634">
        <v>94.713011651760297</v>
      </c>
      <c r="AN6634">
        <v>0.999999982266774</v>
      </c>
    </row>
    <row r="6635" spans="1:40" x14ac:dyDescent="0.25">
      <c r="A6635" t="str">
        <f>"20190305135402625"</f>
        <v>20190305135402625</v>
      </c>
      <c r="B6635" t="str">
        <f>"1551765242617179"</f>
        <v>1551765242617179</v>
      </c>
      <c r="C6635" t="s">
        <v>40</v>
      </c>
      <c r="D6635">
        <v>4.6813310000000001</v>
      </c>
      <c r="E6635">
        <v>0.57301119999999905</v>
      </c>
      <c r="F6635" t="s">
        <v>41</v>
      </c>
      <c r="G6635">
        <v>-186.81479999999999</v>
      </c>
      <c r="H6635">
        <v>1.049717</v>
      </c>
      <c r="I6635">
        <v>74.502110000000002</v>
      </c>
      <c r="J6635">
        <v>-186.91220000000001</v>
      </c>
      <c r="K6635">
        <v>1.1075349999999999</v>
      </c>
      <c r="L6635">
        <v>74.345860000000002</v>
      </c>
      <c r="M6635">
        <v>3.9528210000000001E-2</v>
      </c>
      <c r="N6635">
        <v>-7.2821789999999997E-3</v>
      </c>
      <c r="O6635">
        <v>0.99919190000000002</v>
      </c>
      <c r="P6635">
        <v>-4.2446890000000001E-2</v>
      </c>
      <c r="Q6635">
        <v>6.753663E-3</v>
      </c>
      <c r="R6635">
        <v>0.99907590000000002</v>
      </c>
      <c r="S6635">
        <v>0.46327210000000002</v>
      </c>
      <c r="T6635">
        <v>-0.217531</v>
      </c>
      <c r="U6635">
        <v>3.023895</v>
      </c>
      <c r="V6635">
        <v>-8.1909689999999993E-2</v>
      </c>
      <c r="W6635">
        <v>1.3994059999999999E-2</v>
      </c>
      <c r="X6635">
        <v>0.99654149999999997</v>
      </c>
      <c r="Y6635">
        <v>0.111905</v>
      </c>
      <c r="Z6635">
        <v>-6.3786969999999998E-2</v>
      </c>
      <c r="AA6635">
        <v>0.99166949999999998</v>
      </c>
      <c r="AB6635">
        <v>63</v>
      </c>
      <c r="AC6635">
        <v>9.7400000000021594E-2</v>
      </c>
      <c r="AD6635">
        <v>-5.7817999999999897E-2</v>
      </c>
      <c r="AE6635">
        <v>0.15625</v>
      </c>
      <c r="AF6635">
        <v>8.2966222927112698E-2</v>
      </c>
      <c r="AG6635">
        <v>-5.7817999999999897E-2</v>
      </c>
      <c r="AH6635">
        <v>0.14561873126685801</v>
      </c>
      <c r="AI6635">
        <v>109.03370001223701</v>
      </c>
      <c r="AJ6635">
        <v>60.327686942090502</v>
      </c>
      <c r="AK6635">
        <v>0.177288268553113</v>
      </c>
      <c r="AL6635">
        <v>89.198173248403805</v>
      </c>
      <c r="AM6635">
        <v>94.698804412138699</v>
      </c>
      <c r="AN6635">
        <v>0.99999999612671397</v>
      </c>
    </row>
    <row r="6636" spans="1:40" x14ac:dyDescent="0.25">
      <c r="A6636" t="str">
        <f>"20190305135402647"</f>
        <v>20190305135402647</v>
      </c>
      <c r="B6636" t="str">
        <f>"1551765242636703"</f>
        <v>1551765242636703</v>
      </c>
      <c r="C6636" t="s">
        <v>40</v>
      </c>
      <c r="D6636">
        <v>4.5466470000000001</v>
      </c>
      <c r="E6636">
        <v>0.57313419999999904</v>
      </c>
      <c r="F6636" t="s">
        <v>41</v>
      </c>
      <c r="G6636">
        <v>-186.7184</v>
      </c>
      <c r="H6636">
        <v>1.0163979999999999</v>
      </c>
      <c r="I6636">
        <v>75.608440000000002</v>
      </c>
      <c r="J6636">
        <v>-186.88800000000001</v>
      </c>
      <c r="K6636">
        <v>1.107599</v>
      </c>
      <c r="L6636">
        <v>74.955719999999999</v>
      </c>
      <c r="M6636">
        <v>3.9412799999999998E-2</v>
      </c>
      <c r="N6636">
        <v>-7.4746639999999998E-3</v>
      </c>
      <c r="O6636">
        <v>0.99919500000000006</v>
      </c>
      <c r="P6636">
        <v>-4.2068439999999999E-2</v>
      </c>
      <c r="Q6636">
        <v>6.9349579999999997E-3</v>
      </c>
      <c r="R6636">
        <v>0.9990907</v>
      </c>
      <c r="S6636">
        <v>0.46398929999999999</v>
      </c>
      <c r="T6636">
        <v>-0.2182895</v>
      </c>
      <c r="U6636">
        <v>3.0239560000000001</v>
      </c>
      <c r="V6636">
        <v>-8.1417459999999997E-2</v>
      </c>
      <c r="W6636">
        <v>1.4363570000000001E-2</v>
      </c>
      <c r="X6636">
        <v>0.99657660000000003</v>
      </c>
      <c r="Y6636">
        <v>0.11224480000000001</v>
      </c>
      <c r="Z6636">
        <v>-6.3838400000000003E-2</v>
      </c>
      <c r="AA6636">
        <v>0.99162779999999995</v>
      </c>
      <c r="AB6636">
        <v>63</v>
      </c>
      <c r="AC6636">
        <v>0.169600000000002</v>
      </c>
      <c r="AD6636">
        <v>-9.1201000000000004E-2</v>
      </c>
      <c r="AE6636">
        <v>0.65272000000000197</v>
      </c>
      <c r="AF6636">
        <v>0.14116039982634801</v>
      </c>
      <c r="AG6636">
        <v>-9.1201000000000004E-2</v>
      </c>
      <c r="AH6636">
        <v>0.64706376813541899</v>
      </c>
      <c r="AI6636">
        <v>97.8407246781493</v>
      </c>
      <c r="AJ6636">
        <v>77.693433737585593</v>
      </c>
      <c r="AK6636">
        <v>0.66853227365157297</v>
      </c>
      <c r="AL6636">
        <v>89.176999773687896</v>
      </c>
      <c r="AM6636">
        <v>94.670528836319406</v>
      </c>
      <c r="AN6636">
        <v>1.00000001730177</v>
      </c>
    </row>
    <row r="6637" spans="1:40" x14ac:dyDescent="0.25">
      <c r="A6637" t="str">
        <f>"20190305135402669"</f>
        <v>20190305135402669</v>
      </c>
      <c r="B6637" t="str">
        <f>"1551765242666869"</f>
        <v>1551765242666869</v>
      </c>
      <c r="C6637" t="s">
        <v>40</v>
      </c>
      <c r="D6637">
        <v>4.5912850000000001</v>
      </c>
      <c r="E6637">
        <v>0.57343820000000001</v>
      </c>
      <c r="F6637" t="s">
        <v>41</v>
      </c>
      <c r="G6637">
        <v>-186.7004</v>
      </c>
      <c r="H6637">
        <v>1.019182</v>
      </c>
      <c r="I6637">
        <v>76.173259999999999</v>
      </c>
      <c r="J6637">
        <v>-186.86330000000001</v>
      </c>
      <c r="K6637">
        <v>1.107672</v>
      </c>
      <c r="L6637">
        <v>75.583529999999996</v>
      </c>
      <c r="M6637">
        <v>3.9290609999999997E-2</v>
      </c>
      <c r="N6637">
        <v>-7.7495639999999996E-3</v>
      </c>
      <c r="O6637">
        <v>0.99919780000000002</v>
      </c>
      <c r="P6637">
        <v>-4.1942970000000003E-2</v>
      </c>
      <c r="Q6637">
        <v>6.8508850000000001E-3</v>
      </c>
      <c r="R6637">
        <v>0.99909650000000005</v>
      </c>
      <c r="S6637">
        <v>0.4658813</v>
      </c>
      <c r="T6637">
        <v>-0.21960589999999999</v>
      </c>
      <c r="U6637">
        <v>3.0238649999999998</v>
      </c>
      <c r="V6637">
        <v>-8.1171060000000003E-2</v>
      </c>
      <c r="W6637">
        <v>1.454999E-2</v>
      </c>
      <c r="X6637">
        <v>0.99659399999999998</v>
      </c>
      <c r="Y6637">
        <v>0.1129737</v>
      </c>
      <c r="Z6637">
        <v>-6.3989039999999997E-2</v>
      </c>
      <c r="AA6637">
        <v>0.99153539999999996</v>
      </c>
      <c r="AB6637">
        <v>63</v>
      </c>
      <c r="AC6637">
        <v>0.16290000000000701</v>
      </c>
      <c r="AD6637">
        <v>-8.8489999999999902E-2</v>
      </c>
      <c r="AE6637">
        <v>0.58972999999998799</v>
      </c>
      <c r="AF6637">
        <v>0.136742105129259</v>
      </c>
      <c r="AG6637">
        <v>-8.8489999999999902E-2</v>
      </c>
      <c r="AH6637">
        <v>0.58346943983385002</v>
      </c>
      <c r="AI6637">
        <v>98.399646035693905</v>
      </c>
      <c r="AJ6637">
        <v>76.810184686959104</v>
      </c>
      <c r="AK6637">
        <v>0.605776749830503</v>
      </c>
      <c r="AL6637">
        <v>89.166317582228999</v>
      </c>
      <c r="AM6637">
        <v>94.656375360090806</v>
      </c>
      <c r="AN6637">
        <v>1.0000000220132601</v>
      </c>
    </row>
    <row r="6638" spans="1:40" x14ac:dyDescent="0.25">
      <c r="A6638" t="str">
        <f>"20190305135402694"</f>
        <v>20190305135402694</v>
      </c>
      <c r="B6638" t="str">
        <f>"1551765242686373"</f>
        <v>1551765242686373</v>
      </c>
      <c r="C6638" t="s">
        <v>40</v>
      </c>
      <c r="D6638">
        <v>4.5838169999999998</v>
      </c>
      <c r="E6638">
        <v>0.57355</v>
      </c>
      <c r="F6638" t="s">
        <v>41</v>
      </c>
      <c r="G6638">
        <v>-186.6842</v>
      </c>
      <c r="H6638">
        <v>1.0230570000000001</v>
      </c>
      <c r="I6638">
        <v>76.738849999999999</v>
      </c>
      <c r="J6638">
        <v>-186.8365</v>
      </c>
      <c r="K6638">
        <v>1.1077699999999999</v>
      </c>
      <c r="L6638">
        <v>76.265500000000003</v>
      </c>
      <c r="M6638">
        <v>3.915308E-2</v>
      </c>
      <c r="N6638">
        <v>-8.174298E-3</v>
      </c>
      <c r="O6638">
        <v>0.99919979999999997</v>
      </c>
      <c r="P6638">
        <v>-4.2234050000000002E-2</v>
      </c>
      <c r="Q6638">
        <v>6.417173E-3</v>
      </c>
      <c r="R6638">
        <v>0.99908719999999995</v>
      </c>
      <c r="S6638">
        <v>0.46879579999999998</v>
      </c>
      <c r="T6638">
        <v>-0.22146730000000001</v>
      </c>
      <c r="U6638">
        <v>3.023895</v>
      </c>
      <c r="V6638">
        <v>-8.1325540000000002E-2</v>
      </c>
      <c r="W6638">
        <v>1.4536169999999999E-2</v>
      </c>
      <c r="X6638">
        <v>0.99658159999999896</v>
      </c>
      <c r="Y6638">
        <v>0.11403770000000001</v>
      </c>
      <c r="Z6638">
        <v>-6.4161549999999998E-2</v>
      </c>
      <c r="AA6638">
        <v>0.99140240000000002</v>
      </c>
      <c r="AB6638">
        <v>63</v>
      </c>
      <c r="AC6638">
        <v>0.15229999999999599</v>
      </c>
      <c r="AD6638">
        <v>-8.4713000000000205E-2</v>
      </c>
      <c r="AE6638">
        <v>0.473349999999996</v>
      </c>
      <c r="AF6638">
        <v>0.12987987640784901</v>
      </c>
      <c r="AG6638">
        <v>-8.4713000000000205E-2</v>
      </c>
      <c r="AH6638">
        <v>0.465441362732679</v>
      </c>
      <c r="AI6638">
        <v>99.943384184865806</v>
      </c>
      <c r="AJ6638">
        <v>74.408415230149103</v>
      </c>
      <c r="AK6638">
        <v>0.49059223068366198</v>
      </c>
      <c r="AL6638">
        <v>89.167109487439504</v>
      </c>
      <c r="AM6638">
        <v>94.665255812777602</v>
      </c>
      <c r="AN6638">
        <v>1.00000001457656</v>
      </c>
    </row>
    <row r="6639" spans="1:40" x14ac:dyDescent="0.25">
      <c r="A6639" t="str">
        <f>"20190305135402717"</f>
        <v>20190305135402717</v>
      </c>
      <c r="B6639" t="str">
        <f>"1551765242706869"</f>
        <v>1551765242706869</v>
      </c>
      <c r="C6639" t="s">
        <v>40</v>
      </c>
      <c r="D6639">
        <v>4.5709309999999999</v>
      </c>
      <c r="E6639">
        <v>0.57364890000000002</v>
      </c>
      <c r="F6639" t="s">
        <v>41</v>
      </c>
      <c r="G6639">
        <v>-186.67500000000001</v>
      </c>
      <c r="H6639">
        <v>1.030408</v>
      </c>
      <c r="I6639">
        <v>77.306209999999993</v>
      </c>
      <c r="J6639">
        <v>-186.81129999999999</v>
      </c>
      <c r="K6639">
        <v>1.107888</v>
      </c>
      <c r="L6639">
        <v>76.906890000000004</v>
      </c>
      <c r="M6639">
        <v>3.9021849999999997E-2</v>
      </c>
      <c r="N6639">
        <v>-8.7343309999999997E-3</v>
      </c>
      <c r="O6639">
        <v>0.99920019999999998</v>
      </c>
      <c r="P6639">
        <v>-4.3130710000000003E-2</v>
      </c>
      <c r="Q6639">
        <v>5.5350109999999899E-3</v>
      </c>
      <c r="R6639">
        <v>0.99905409999999994</v>
      </c>
      <c r="S6639">
        <v>0.46871950000000001</v>
      </c>
      <c r="T6639">
        <v>-0.22483629999999999</v>
      </c>
      <c r="U6639">
        <v>3.023987</v>
      </c>
      <c r="V6639">
        <v>-8.2089540000000003E-2</v>
      </c>
      <c r="W6639">
        <v>1.4208139999999999E-2</v>
      </c>
      <c r="X6639">
        <v>0.99652370000000001</v>
      </c>
      <c r="Y6639">
        <v>0.1141303</v>
      </c>
      <c r="Z6639">
        <v>-6.4696859999999995E-2</v>
      </c>
      <c r="AA6639">
        <v>0.99135700000000004</v>
      </c>
      <c r="AB6639">
        <v>63</v>
      </c>
      <c r="AC6639">
        <v>0.136299999999977</v>
      </c>
      <c r="AD6639">
        <v>-7.7479999999999993E-2</v>
      </c>
      <c r="AE6639">
        <v>0.39931999999998802</v>
      </c>
      <c r="AF6639">
        <v>0.116679068397483</v>
      </c>
      <c r="AG6639">
        <v>-7.7479999999999993E-2</v>
      </c>
      <c r="AH6639">
        <v>0.39114564185342499</v>
      </c>
      <c r="AI6639">
        <v>100.747977101098</v>
      </c>
      <c r="AJ6639">
        <v>73.390114408150296</v>
      </c>
      <c r="AK6639">
        <v>0.41546608591199402</v>
      </c>
      <c r="AL6639">
        <v>89.185906171081598</v>
      </c>
      <c r="AM6639">
        <v>94.709159015165895</v>
      </c>
      <c r="AN6639">
        <v>1.0000000242406799</v>
      </c>
    </row>
    <row r="6640" spans="1:40" x14ac:dyDescent="0.25">
      <c r="A6640" t="str">
        <f>"20190305135402739"</f>
        <v>20190305135402739</v>
      </c>
      <c r="B6640" t="str">
        <f>"1551765242736148"</f>
        <v>1551765242736148</v>
      </c>
      <c r="C6640" t="s">
        <v>40</v>
      </c>
      <c r="D6640">
        <v>4.5342669999999998</v>
      </c>
      <c r="E6640">
        <v>0.57394780000000001</v>
      </c>
      <c r="F6640" t="s">
        <v>41</v>
      </c>
      <c r="G6640">
        <v>-186.66239999999999</v>
      </c>
      <c r="H6640">
        <v>1.0346470000000001</v>
      </c>
      <c r="I6640">
        <v>77.871650000000002</v>
      </c>
      <c r="J6640">
        <v>-186.78649999999999</v>
      </c>
      <c r="K6640">
        <v>1.108031</v>
      </c>
      <c r="L6640">
        <v>77.544370000000001</v>
      </c>
      <c r="M6640">
        <v>3.8896310000000003E-2</v>
      </c>
      <c r="N6640">
        <v>-9.4266869999999996E-3</v>
      </c>
      <c r="O6640">
        <v>0.99919880000000005</v>
      </c>
      <c r="P6640">
        <v>-4.4752309999999997E-2</v>
      </c>
      <c r="Q6640">
        <v>4.3336190000000004E-3</v>
      </c>
      <c r="R6640">
        <v>0.99898869999999895</v>
      </c>
      <c r="S6640">
        <v>0.46685789999999999</v>
      </c>
      <c r="T6640">
        <v>-0.22959160000000001</v>
      </c>
      <c r="U6640">
        <v>3.0242610000000001</v>
      </c>
      <c r="V6640">
        <v>-8.3582589999999998E-2</v>
      </c>
      <c r="W6640">
        <v>1.369273E-2</v>
      </c>
      <c r="X6640">
        <v>0.99640680000000004</v>
      </c>
      <c r="Y6640">
        <v>0.1136325</v>
      </c>
      <c r="Z6640">
        <v>-6.5551680000000001E-2</v>
      </c>
      <c r="AA6640">
        <v>0.99135799999999996</v>
      </c>
      <c r="AB6640">
        <v>63</v>
      </c>
      <c r="AC6640">
        <v>0.124099999999998</v>
      </c>
      <c r="AD6640">
        <v>-7.3384000000000102E-2</v>
      </c>
      <c r="AE6640">
        <v>0.32728000000000101</v>
      </c>
      <c r="AF6640">
        <v>0.106590223762209</v>
      </c>
      <c r="AG6640">
        <v>-7.3384000000000102E-2</v>
      </c>
      <c r="AH6640">
        <v>0.317886461788152</v>
      </c>
      <c r="AI6640">
        <v>102.34582321285799</v>
      </c>
      <c r="AJ6640">
        <v>71.463228797327702</v>
      </c>
      <c r="AK6640">
        <v>0.343217846048058</v>
      </c>
      <c r="AL6640">
        <v>89.215439863498403</v>
      </c>
      <c r="AM6640">
        <v>94.794973656967201</v>
      </c>
      <c r="AN6640">
        <v>1.0000000256460999</v>
      </c>
    </row>
    <row r="6641" spans="1:40" x14ac:dyDescent="0.25">
      <c r="A6641" t="str">
        <f>"20190305135402759"</f>
        <v>20190305135402759</v>
      </c>
      <c r="B6641" t="str">
        <f>"1551765242746888"</f>
        <v>1551765242746888</v>
      </c>
      <c r="C6641" t="s">
        <v>40</v>
      </c>
      <c r="D6641">
        <v>4.5297900000000002</v>
      </c>
      <c r="E6641">
        <v>0.5740864</v>
      </c>
      <c r="F6641" t="s">
        <v>41</v>
      </c>
      <c r="G6641">
        <v>-186.64930000000001</v>
      </c>
      <c r="H6641">
        <v>1.039326</v>
      </c>
      <c r="I6641">
        <v>78.436809999999994</v>
      </c>
      <c r="J6641">
        <v>-186.76509999999999</v>
      </c>
      <c r="K6641">
        <v>1.108152</v>
      </c>
      <c r="L6641">
        <v>78.094669999999994</v>
      </c>
      <c r="M6641">
        <v>3.8788690000000001E-2</v>
      </c>
      <c r="N6641">
        <v>-1.006435E-2</v>
      </c>
      <c r="O6641">
        <v>0.9991968</v>
      </c>
      <c r="P6641">
        <v>-4.6615249999999997E-2</v>
      </c>
      <c r="Q6641">
        <v>3.1786700000000002E-3</v>
      </c>
      <c r="R6641">
        <v>0.99890789999999996</v>
      </c>
      <c r="S6641">
        <v>0.46452329999999997</v>
      </c>
      <c r="T6641">
        <v>-0.2328887</v>
      </c>
      <c r="U6641">
        <v>3.0248409999999999</v>
      </c>
      <c r="V6641">
        <v>-8.5333899999999893E-2</v>
      </c>
      <c r="W6641">
        <v>1.3169210000000001E-2</v>
      </c>
      <c r="X6641">
        <v>0.99626539999999997</v>
      </c>
      <c r="Y6641">
        <v>0.1129551</v>
      </c>
      <c r="Z6641">
        <v>-6.5981079999999998E-2</v>
      </c>
      <c r="AA6641">
        <v>0.99140689999999998</v>
      </c>
      <c r="AB6641">
        <v>63</v>
      </c>
      <c r="AC6641">
        <v>0.115799999999978</v>
      </c>
      <c r="AD6641">
        <v>-6.8825999999999998E-2</v>
      </c>
      <c r="AE6641">
        <v>0.34214</v>
      </c>
      <c r="AF6641">
        <v>9.8851943495235198E-2</v>
      </c>
      <c r="AG6641">
        <v>-6.8825999999999998E-2</v>
      </c>
      <c r="AH6641">
        <v>0.33423906473620202</v>
      </c>
      <c r="AI6641">
        <v>101.17012282927701</v>
      </c>
      <c r="AJ6641">
        <v>73.524300564261296</v>
      </c>
      <c r="AK6641">
        <v>0.35528084300242802</v>
      </c>
      <c r="AL6641">
        <v>89.245438054829705</v>
      </c>
      <c r="AM6641">
        <v>94.895651146869398</v>
      </c>
      <c r="AN6641">
        <v>1.00000002490919</v>
      </c>
    </row>
    <row r="6642" spans="1:40" x14ac:dyDescent="0.25">
      <c r="A6642" t="str">
        <f>"20190305135402782"</f>
        <v>20190305135402782</v>
      </c>
      <c r="B6642" t="str">
        <f>"1551765242776326"</f>
        <v>1551765242776326</v>
      </c>
      <c r="C6642" t="s">
        <v>40</v>
      </c>
      <c r="D6642">
        <v>4.6468550000000004</v>
      </c>
      <c r="E6642">
        <v>0.5744264</v>
      </c>
      <c r="F6642" t="s">
        <v>41</v>
      </c>
      <c r="G6642">
        <v>-186.6277</v>
      </c>
      <c r="H6642">
        <v>1.0376780000000001</v>
      </c>
      <c r="I6642">
        <v>78.998180000000005</v>
      </c>
      <c r="J6642">
        <v>-186.73990000000001</v>
      </c>
      <c r="K6642">
        <v>1.1082700000000001</v>
      </c>
      <c r="L6642">
        <v>78.744290000000007</v>
      </c>
      <c r="M6642">
        <v>3.8657230000000001E-2</v>
      </c>
      <c r="N6642">
        <v>-1.07925E-2</v>
      </c>
      <c r="O6642">
        <v>0.99919429999999998</v>
      </c>
      <c r="P6642">
        <v>-4.8961999999999999E-2</v>
      </c>
      <c r="Q6642">
        <v>3.074635E-3</v>
      </c>
      <c r="R6642">
        <v>0.99879589999999996</v>
      </c>
      <c r="S6642">
        <v>0.46025090000000002</v>
      </c>
      <c r="T6642">
        <v>-0.23598440000000001</v>
      </c>
      <c r="U6642">
        <v>3.0255130000000001</v>
      </c>
      <c r="V6642">
        <v>-8.7544810000000001E-2</v>
      </c>
      <c r="W6642">
        <v>1.37857E-2</v>
      </c>
      <c r="X6642">
        <v>0.99606519999999998</v>
      </c>
      <c r="Y6642">
        <v>0.1116777</v>
      </c>
      <c r="Z6642">
        <v>-6.6258650000000002E-2</v>
      </c>
      <c r="AA6642">
        <v>0.99153309999999995</v>
      </c>
      <c r="AB6642">
        <v>63</v>
      </c>
      <c r="AC6642">
        <v>0.11220000000000099</v>
      </c>
      <c r="AD6642">
        <v>-7.0591999999999905E-2</v>
      </c>
      <c r="AE6642">
        <v>0.25388999999999801</v>
      </c>
      <c r="AF6642">
        <v>9.6086372714910301E-2</v>
      </c>
      <c r="AG6642">
        <v>-7.0591999999999905E-2</v>
      </c>
      <c r="AH6642">
        <v>0.24236271059742701</v>
      </c>
      <c r="AI6642">
        <v>105.15032248031601</v>
      </c>
      <c r="AJ6642">
        <v>68.373807297559196</v>
      </c>
      <c r="AK6642">
        <v>0.27010276743054801</v>
      </c>
      <c r="AL6642">
        <v>89.210112560586495</v>
      </c>
      <c r="AM6642">
        <v>95.022855925295602</v>
      </c>
      <c r="AN6642">
        <v>1.00000001096673</v>
      </c>
    </row>
    <row r="6643" spans="1:40" x14ac:dyDescent="0.25">
      <c r="A6643" t="str">
        <f>"20190305135402805"</f>
        <v>20190305135402805</v>
      </c>
      <c r="B6643" t="str">
        <f>"1551765242796822"</f>
        <v>1551765242796822</v>
      </c>
      <c r="C6643" t="s">
        <v>40</v>
      </c>
      <c r="D6643">
        <v>4.6503829999999997</v>
      </c>
      <c r="E6643">
        <v>0.57467559999999995</v>
      </c>
      <c r="F6643" t="s">
        <v>41</v>
      </c>
      <c r="G6643">
        <v>-186.6165</v>
      </c>
      <c r="H6643">
        <v>1.0438590000000001</v>
      </c>
      <c r="I6643">
        <v>79.56353</v>
      </c>
      <c r="J6643">
        <v>-186.7149</v>
      </c>
      <c r="K6643">
        <v>1.1083609999999999</v>
      </c>
      <c r="L6643">
        <v>79.391199999999998</v>
      </c>
      <c r="M6643">
        <v>3.851686E-2</v>
      </c>
      <c r="N6643">
        <v>-1.145358E-2</v>
      </c>
      <c r="O6643">
        <v>0.99919230000000003</v>
      </c>
      <c r="P6643">
        <v>-5.1211010000000001E-2</v>
      </c>
      <c r="Q6643">
        <v>3.0540939999999998E-3</v>
      </c>
      <c r="R6643">
        <v>0.99868319999999999</v>
      </c>
      <c r="S6643">
        <v>0.45571899999999999</v>
      </c>
      <c r="T6643">
        <v>-0.2379954</v>
      </c>
      <c r="U6643">
        <v>3.0267029999999999</v>
      </c>
      <c r="V6643">
        <v>-8.964838E-2</v>
      </c>
      <c r="W6643">
        <v>1.441888E-2</v>
      </c>
      <c r="X6643">
        <v>0.99586909999999895</v>
      </c>
      <c r="Y6643">
        <v>0.11030429999999999</v>
      </c>
      <c r="Z6643">
        <v>-6.6238259999999993E-2</v>
      </c>
      <c r="AA6643">
        <v>0.99168820000000002</v>
      </c>
      <c r="AB6643">
        <v>63</v>
      </c>
      <c r="AC6643">
        <v>9.8399999999998003E-2</v>
      </c>
      <c r="AD6643">
        <v>-6.4502000000000004E-2</v>
      </c>
      <c r="AE6643">
        <v>0.17233000000000201</v>
      </c>
      <c r="AF6643">
        <v>8.2927640429252505E-2</v>
      </c>
      <c r="AG6643">
        <v>-6.4502000000000004E-2</v>
      </c>
      <c r="AH6643">
        <v>0.15917555254885599</v>
      </c>
      <c r="AI6643">
        <v>109.767336730284</v>
      </c>
      <c r="AJ6643">
        <v>62.481285313700802</v>
      </c>
      <c r="AK6643">
        <v>0.19072062835571099</v>
      </c>
      <c r="AL6643">
        <v>89.173830401861593</v>
      </c>
      <c r="AM6643">
        <v>95.143915167621699</v>
      </c>
      <c r="AN6643">
        <v>1.0000000002359399</v>
      </c>
    </row>
    <row r="6644" spans="1:40" x14ac:dyDescent="0.25">
      <c r="A6644" t="str">
        <f>"20190305135402827"</f>
        <v>20190305135402827</v>
      </c>
      <c r="B6644" t="str">
        <f>"1551765242816342"</f>
        <v>1551765242816342</v>
      </c>
      <c r="C6644" t="s">
        <v>40</v>
      </c>
      <c r="D6644">
        <v>4.7164679999999999</v>
      </c>
      <c r="E6644">
        <v>0.57479290000000005</v>
      </c>
      <c r="F6644" t="s">
        <v>41</v>
      </c>
      <c r="G6644">
        <v>-186.60470000000001</v>
      </c>
      <c r="H6644">
        <v>1.050055</v>
      </c>
      <c r="I6644">
        <v>80.130549999999999</v>
      </c>
      <c r="J6644">
        <v>-186.6917</v>
      </c>
      <c r="K6644">
        <v>1.1084309999999999</v>
      </c>
      <c r="L6644">
        <v>79.995059999999995</v>
      </c>
      <c r="M6644">
        <v>3.8369170000000001E-2</v>
      </c>
      <c r="N6644">
        <v>-1.2000810000000001E-2</v>
      </c>
      <c r="O6644">
        <v>0.99919159999999996</v>
      </c>
      <c r="P6644">
        <v>-5.374251E-2</v>
      </c>
      <c r="Q6644">
        <v>2.7163159999999999E-3</v>
      </c>
      <c r="R6644">
        <v>0.99855110000000002</v>
      </c>
      <c r="S6644">
        <v>0.4513855</v>
      </c>
      <c r="T6644">
        <v>-0.23875779999999999</v>
      </c>
      <c r="U6644">
        <v>3.0278320000000001</v>
      </c>
      <c r="V6644">
        <v>-9.2026469999999999E-2</v>
      </c>
      <c r="W6644">
        <v>1.461961E-2</v>
      </c>
      <c r="X6644">
        <v>0.99564920000000001</v>
      </c>
      <c r="Y6644">
        <v>0.1090088</v>
      </c>
      <c r="Z6644">
        <v>-6.5926540000000006E-2</v>
      </c>
      <c r="AA6644">
        <v>0.99185219999999996</v>
      </c>
      <c r="AB6644">
        <v>63</v>
      </c>
      <c r="AC6644">
        <v>8.6999999999989003E-2</v>
      </c>
      <c r="AD6644">
        <v>-5.83759999999999E-2</v>
      </c>
      <c r="AE6644">
        <v>0.135490000000004</v>
      </c>
      <c r="AF6644">
        <v>7.2241558635139105E-2</v>
      </c>
      <c r="AG6644">
        <v>-5.83759999999999E-2</v>
      </c>
      <c r="AH6644">
        <v>0.122612512548792</v>
      </c>
      <c r="AI6644">
        <v>112.30332381327101</v>
      </c>
      <c r="AJ6644">
        <v>59.494009359355204</v>
      </c>
      <c r="AK6644">
        <v>0.15381946692002901</v>
      </c>
      <c r="AL6644">
        <v>89.162328179584904</v>
      </c>
      <c r="AM6644">
        <v>95.280765329870604</v>
      </c>
      <c r="AN6644">
        <v>0.999999966818926</v>
      </c>
    </row>
    <row r="6645" spans="1:40" x14ac:dyDescent="0.25">
      <c r="A6645" t="str">
        <f>"20190305135402849"</f>
        <v>20190305135402849</v>
      </c>
      <c r="B6645" t="str">
        <f>"1551765242836842"</f>
        <v>1551765242836842</v>
      </c>
      <c r="C6645" t="s">
        <v>40</v>
      </c>
      <c r="D6645">
        <v>4.4748150000000004</v>
      </c>
      <c r="E6645">
        <v>0.57376300000000002</v>
      </c>
      <c r="F6645" t="s">
        <v>41</v>
      </c>
      <c r="G6645">
        <v>-186.5104</v>
      </c>
      <c r="H6645">
        <v>1.0108170000000001</v>
      </c>
      <c r="I6645">
        <v>81.228809999999996</v>
      </c>
      <c r="J6645">
        <v>-186.6678</v>
      </c>
      <c r="K6645">
        <v>1.1084860000000001</v>
      </c>
      <c r="L6645">
        <v>80.618769999999998</v>
      </c>
      <c r="M6645">
        <v>3.8193270000000001E-2</v>
      </c>
      <c r="N6645">
        <v>-1.250507E-2</v>
      </c>
      <c r="O6645">
        <v>0.99919210000000003</v>
      </c>
      <c r="P6645">
        <v>-5.6371869999999998E-2</v>
      </c>
      <c r="Q6645">
        <v>2.7200990000000001E-3</v>
      </c>
      <c r="R6645">
        <v>0.99840609999999996</v>
      </c>
      <c r="S6645">
        <v>0.4446869</v>
      </c>
      <c r="T6645">
        <v>-0.23967050000000001</v>
      </c>
      <c r="U6645">
        <v>3.028931</v>
      </c>
      <c r="V6645">
        <v>-9.4474320000000001E-2</v>
      </c>
      <c r="W6645">
        <v>1.511785E-2</v>
      </c>
      <c r="X6645">
        <v>0.99541250000000003</v>
      </c>
      <c r="Y6645">
        <v>0.1069845</v>
      </c>
      <c r="Z6645">
        <v>-6.5714170000000002E-2</v>
      </c>
      <c r="AA6645">
        <v>0.99208660000000004</v>
      </c>
      <c r="AB6645">
        <v>63</v>
      </c>
      <c r="AC6645">
        <v>0.15739999999999499</v>
      </c>
      <c r="AD6645">
        <v>-9.7669000000000006E-2</v>
      </c>
      <c r="AE6645">
        <v>0.61003999999999703</v>
      </c>
      <c r="AF6645">
        <v>0.130839439269961</v>
      </c>
      <c r="AG6645">
        <v>-9.7669000000000006E-2</v>
      </c>
      <c r="AH6645">
        <v>0.60115930283007002</v>
      </c>
      <c r="AI6645">
        <v>99.020502548425995</v>
      </c>
      <c r="AJ6645">
        <v>77.7213360807378</v>
      </c>
      <c r="AK6645">
        <v>0.622937155585228</v>
      </c>
      <c r="AL6645">
        <v>89.133777998197999</v>
      </c>
      <c r="AM6645">
        <v>95.421685963105105</v>
      </c>
      <c r="AN6645">
        <v>0.99999999584216703</v>
      </c>
    </row>
    <row r="6646" spans="1:40" x14ac:dyDescent="0.25">
      <c r="A6646" t="str">
        <f>"20190305135402870"</f>
        <v>20190305135402870</v>
      </c>
      <c r="B6646" t="str">
        <f>"1551765242866118"</f>
        <v>1551765242866118</v>
      </c>
      <c r="C6646" t="s">
        <v>40</v>
      </c>
      <c r="D6646">
        <v>4.4227720000000001</v>
      </c>
      <c r="E6646">
        <v>0.50587870000000001</v>
      </c>
      <c r="F6646" t="s">
        <v>41</v>
      </c>
      <c r="G6646">
        <v>-186.50190000000001</v>
      </c>
      <c r="H6646">
        <v>1.0165</v>
      </c>
      <c r="I6646">
        <v>81.791790000000006</v>
      </c>
      <c r="J6646">
        <v>-186.64490000000001</v>
      </c>
      <c r="K6646">
        <v>1.10853</v>
      </c>
      <c r="L6646">
        <v>81.221739999999997</v>
      </c>
      <c r="M6646">
        <v>3.8000939999999997E-2</v>
      </c>
      <c r="N6646">
        <v>-1.294036E-2</v>
      </c>
      <c r="O6646">
        <v>0.99919389999999997</v>
      </c>
      <c r="P6646">
        <v>-5.8695669999999998E-2</v>
      </c>
      <c r="Q6646">
        <v>2.7980150000000001E-3</v>
      </c>
      <c r="R6646">
        <v>0.99827200000000005</v>
      </c>
      <c r="S6646">
        <v>0.42837520000000001</v>
      </c>
      <c r="T6646">
        <v>-0.23757610000000001</v>
      </c>
      <c r="U6646">
        <v>3.029633</v>
      </c>
      <c r="V6646">
        <v>-9.6601199999999998E-2</v>
      </c>
      <c r="W6646">
        <v>1.5619900000000001E-2</v>
      </c>
      <c r="X6646">
        <v>0.99520059999999999</v>
      </c>
      <c r="Y6646">
        <v>0.1019193</v>
      </c>
      <c r="Z6646">
        <v>-6.4633389999999999E-2</v>
      </c>
      <c r="AA6646">
        <v>0.99269079999999998</v>
      </c>
      <c r="AB6646">
        <v>63</v>
      </c>
      <c r="AC6646">
        <v>0.14299999999999999</v>
      </c>
      <c r="AD6646">
        <v>-9.2030000000000001E-2</v>
      </c>
      <c r="AE6646">
        <v>0.57005000000000905</v>
      </c>
      <c r="AF6646">
        <v>0.118330913437691</v>
      </c>
      <c r="AG6646">
        <v>-9.2030000000000001E-2</v>
      </c>
      <c r="AH6646">
        <v>0.56130920437381304</v>
      </c>
      <c r="AI6646">
        <v>99.114288083915994</v>
      </c>
      <c r="AJ6646">
        <v>78.095649751489802</v>
      </c>
      <c r="AK6646">
        <v>0.58098171132124399</v>
      </c>
      <c r="AL6646">
        <v>89.105009260863099</v>
      </c>
      <c r="AM6646">
        <v>95.544164213267194</v>
      </c>
      <c r="AN6646">
        <v>1.0000000036789001</v>
      </c>
    </row>
    <row r="6647" spans="1:40" x14ac:dyDescent="0.25">
      <c r="A6647" t="str">
        <f>"20190305135402893"</f>
        <v>20190305135402893</v>
      </c>
      <c r="B6647" t="str">
        <f>"1551765242886146"</f>
        <v>1551765242886146</v>
      </c>
      <c r="C6647" t="s">
        <v>40</v>
      </c>
      <c r="D6647">
        <v>4.3433359999999999</v>
      </c>
      <c r="E6647">
        <v>0.50888319999999998</v>
      </c>
      <c r="F6647" t="s">
        <v>42</v>
      </c>
      <c r="G6647">
        <v>-188.0462</v>
      </c>
      <c r="H6647" s="1">
        <v>-2.5692220000000001E-6</v>
      </c>
      <c r="I6647">
        <v>114.8138</v>
      </c>
      <c r="J6647">
        <v>-186.62010000000001</v>
      </c>
      <c r="K6647">
        <v>1.108589</v>
      </c>
      <c r="L6647">
        <v>81.876890000000003</v>
      </c>
      <c r="M6647">
        <v>3.7757939999999997E-2</v>
      </c>
      <c r="N6647">
        <v>-1.3359060000000001E-2</v>
      </c>
      <c r="O6647">
        <v>0.99919760000000002</v>
      </c>
      <c r="P6647">
        <v>-6.0130219999999998E-2</v>
      </c>
      <c r="Q6647">
        <v>2.4167329999999999E-3</v>
      </c>
      <c r="R6647">
        <v>0.99818759999999995</v>
      </c>
      <c r="S6647">
        <v>-0.1250763</v>
      </c>
      <c r="T6647">
        <v>-9.8937990000000003E-2</v>
      </c>
      <c r="U6647">
        <v>2.998138</v>
      </c>
      <c r="V6647">
        <v>-9.7791249999999996E-2</v>
      </c>
      <c r="W6647">
        <v>1.5645650000000001E-2</v>
      </c>
      <c r="X6647">
        <v>0.99508399999999997</v>
      </c>
      <c r="Y6647">
        <v>-7.9347970000000004E-2</v>
      </c>
      <c r="Z6647">
        <v>-1.9515020000000001E-2</v>
      </c>
      <c r="AA6647">
        <v>0.99665590000000004</v>
      </c>
      <c r="AB6647">
        <v>63</v>
      </c>
      <c r="AC6647">
        <v>-1.4260999999999899</v>
      </c>
      <c r="AD6647">
        <v>-1.1085915692219901</v>
      </c>
      <c r="AE6647">
        <v>32.936909999999997</v>
      </c>
      <c r="AF6647">
        <v>-2.66580941809679</v>
      </c>
      <c r="AG6647">
        <v>-1.1085915692219901</v>
      </c>
      <c r="AH6647">
        <v>32.822453806196798</v>
      </c>
      <c r="AI6647">
        <v>91.928108459394394</v>
      </c>
      <c r="AJ6647">
        <v>94.643318309923799</v>
      </c>
      <c r="AK6647">
        <v>32.9491879866695</v>
      </c>
      <c r="AL6647">
        <v>89.103533747693504</v>
      </c>
      <c r="AM6647">
        <v>95.612683930188496</v>
      </c>
      <c r="AN6647">
        <v>1.0000000409982399</v>
      </c>
    </row>
    <row r="6648" spans="1:40" x14ac:dyDescent="0.25">
      <c r="A6648" t="str">
        <f>"20190305135402917"</f>
        <v>20190305135402917</v>
      </c>
      <c r="B6648" t="str">
        <f>"1551765242906642"</f>
        <v>1551765242906642</v>
      </c>
      <c r="C6648" t="s">
        <v>40</v>
      </c>
      <c r="D6648">
        <v>4.4179750000000002</v>
      </c>
      <c r="E6648">
        <v>0.50816209999999995</v>
      </c>
      <c r="F6648" t="s">
        <v>42</v>
      </c>
      <c r="G6648">
        <v>-187.93219999999999</v>
      </c>
      <c r="H6648" s="1">
        <v>-4.3867580000000002E-6</v>
      </c>
      <c r="I6648">
        <v>119.0034</v>
      </c>
      <c r="J6648">
        <v>-186.5958</v>
      </c>
      <c r="K6648">
        <v>1.1086499999999999</v>
      </c>
      <c r="L6648">
        <v>82.522639999999996</v>
      </c>
      <c r="M6648">
        <v>3.7471110000000002E-2</v>
      </c>
      <c r="N6648">
        <v>-1.372195E-2</v>
      </c>
      <c r="O6648">
        <v>0.99920350000000002</v>
      </c>
      <c r="P6648">
        <v>-6.1992909999999998E-2</v>
      </c>
      <c r="Q6648">
        <v>2.6468030000000001E-3</v>
      </c>
      <c r="R6648">
        <v>0.99807310000000005</v>
      </c>
      <c r="S6648">
        <v>-0.10600279999999999</v>
      </c>
      <c r="T6648">
        <v>-8.9557769999999995E-2</v>
      </c>
      <c r="U6648">
        <v>2.9992679999999998</v>
      </c>
      <c r="V6648">
        <v>-9.9364110000000005E-2</v>
      </c>
      <c r="W6648">
        <v>1.6223979999999999E-2</v>
      </c>
      <c r="X6648">
        <v>0.99491890000000005</v>
      </c>
      <c r="Y6648">
        <v>-7.2720999999999994E-2</v>
      </c>
      <c r="Z6648">
        <v>-1.60386E-2</v>
      </c>
      <c r="AA6648">
        <v>0.99722339999999998</v>
      </c>
      <c r="AB6648">
        <v>63</v>
      </c>
      <c r="AC6648">
        <v>-1.33639999999999</v>
      </c>
      <c r="AD6648">
        <v>-1.1086543867580001</v>
      </c>
      <c r="AE6648">
        <v>36.480759999999997</v>
      </c>
      <c r="AF6648">
        <v>-2.7000742260310702</v>
      </c>
      <c r="AG6648">
        <v>-1.1086543867580001</v>
      </c>
      <c r="AH6648">
        <v>36.371507831689001</v>
      </c>
      <c r="AI6648">
        <v>91.7411267397285</v>
      </c>
      <c r="AJ6648">
        <v>94.245620119902696</v>
      </c>
      <c r="AK6648">
        <v>36.488437858121102</v>
      </c>
      <c r="AL6648">
        <v>89.070393663174798</v>
      </c>
      <c r="AM6648">
        <v>95.703307258043594</v>
      </c>
      <c r="AN6648">
        <v>1.00000003073017</v>
      </c>
    </row>
    <row r="6649" spans="1:40" x14ac:dyDescent="0.25">
      <c r="A6649" t="str">
        <f>"20190305135402948"</f>
        <v>20190305135402948</v>
      </c>
      <c r="B6649" t="str">
        <f>"1551765242936899"</f>
        <v>1551765242936899</v>
      </c>
      <c r="C6649" t="s">
        <v>40</v>
      </c>
      <c r="D6649">
        <v>4.4798519999999904</v>
      </c>
      <c r="E6649">
        <v>0.5069669</v>
      </c>
      <c r="F6649" t="s">
        <v>42</v>
      </c>
      <c r="G6649">
        <v>-187.79740000000001</v>
      </c>
      <c r="H6649" s="1">
        <v>-2.0107909999999998E-6</v>
      </c>
      <c r="I6649">
        <v>113.4092</v>
      </c>
      <c r="J6649">
        <v>-186.5633</v>
      </c>
      <c r="K6649">
        <v>1.1087400000000001</v>
      </c>
      <c r="L6649">
        <v>83.396270000000001</v>
      </c>
      <c r="M6649">
        <v>3.6981559999999997E-2</v>
      </c>
      <c r="N6649">
        <v>-1.4142389999999999E-2</v>
      </c>
      <c r="O6649">
        <v>0.99921579999999999</v>
      </c>
      <c r="P6649">
        <v>-6.313589E-2</v>
      </c>
      <c r="Q6649">
        <v>1.884141E-3</v>
      </c>
      <c r="R6649">
        <v>0.99800319999999998</v>
      </c>
      <c r="S6649">
        <v>-0.1166687</v>
      </c>
      <c r="T6649">
        <v>-0.10764120000000001</v>
      </c>
      <c r="U6649">
        <v>2.99884</v>
      </c>
      <c r="V6649">
        <v>-0.10001939999999999</v>
      </c>
      <c r="W6649">
        <v>1.5859720000000001E-2</v>
      </c>
      <c r="X6649">
        <v>0.9948591</v>
      </c>
      <c r="Y6649">
        <v>-7.5770000000000004E-2</v>
      </c>
      <c r="Z6649">
        <v>-2.1622249999999999E-2</v>
      </c>
      <c r="AA6649">
        <v>0.99689079999999997</v>
      </c>
      <c r="AB6649">
        <v>63</v>
      </c>
      <c r="AC6649">
        <v>-1.23410000000001</v>
      </c>
      <c r="AD6649">
        <v>-1.108742010791</v>
      </c>
      <c r="AE6649">
        <v>30.012930000000001</v>
      </c>
      <c r="AF6649">
        <v>-2.3401035057203798</v>
      </c>
      <c r="AG6649">
        <v>-1.108742010791</v>
      </c>
      <c r="AH6649">
        <v>29.906007477965801</v>
      </c>
      <c r="AI6649">
        <v>92.116759619836103</v>
      </c>
      <c r="AJ6649">
        <v>94.474198341015693</v>
      </c>
      <c r="AK6649">
        <v>30.017905931895498</v>
      </c>
      <c r="AL6649">
        <v>89.091266899462099</v>
      </c>
      <c r="AM6649">
        <v>95.741011992767895</v>
      </c>
      <c r="AN6649">
        <v>1.0000000199738199</v>
      </c>
    </row>
    <row r="6650" spans="1:40" x14ac:dyDescent="0.25">
      <c r="A6650" t="str">
        <f>"20190305135402971"</f>
        <v>20190305135402971</v>
      </c>
      <c r="B6650" t="str">
        <f>"1551765242956418"</f>
        <v>1551765242956418</v>
      </c>
      <c r="C6650" t="s">
        <v>40</v>
      </c>
      <c r="D6650">
        <v>4.4572229999999999</v>
      </c>
      <c r="E6650">
        <v>0.50672150000000005</v>
      </c>
      <c r="F6650" t="s">
        <v>42</v>
      </c>
      <c r="G6650">
        <v>-187.63220000000001</v>
      </c>
      <c r="H6650" s="1">
        <v>-4.1303750000000002E-6</v>
      </c>
      <c r="I6650">
        <v>108.2817</v>
      </c>
      <c r="J6650">
        <v>-186.5402</v>
      </c>
      <c r="K6650">
        <v>1.1088169999999999</v>
      </c>
      <c r="L6650">
        <v>84.028989999999993</v>
      </c>
      <c r="M6650">
        <v>3.6531920000000002E-2</v>
      </c>
      <c r="N6650">
        <v>-1.4398640000000001E-2</v>
      </c>
      <c r="O6650">
        <v>0.99922880000000003</v>
      </c>
      <c r="P6650">
        <v>-6.4200190000000004E-2</v>
      </c>
      <c r="Q6650">
        <v>5.9580159999999996E-4</v>
      </c>
      <c r="R6650">
        <v>0.99793679999999996</v>
      </c>
      <c r="S6650">
        <v>-0.12876889999999999</v>
      </c>
      <c r="T6650">
        <v>-0.13357749999999999</v>
      </c>
      <c r="U6650">
        <v>2.9981080000000002</v>
      </c>
      <c r="V6650">
        <v>-0.1006344</v>
      </c>
      <c r="W6650">
        <v>1.4806990000000001E-2</v>
      </c>
      <c r="X6650">
        <v>0.99481330000000001</v>
      </c>
      <c r="Y6650">
        <v>-7.9330910000000004E-2</v>
      </c>
      <c r="Z6650">
        <v>-2.997437E-2</v>
      </c>
      <c r="AA6650">
        <v>0.99639759999999999</v>
      </c>
      <c r="AB6650">
        <v>62</v>
      </c>
      <c r="AC6650">
        <v>-1.0920000000000101</v>
      </c>
      <c r="AD6650">
        <v>-1.108821130375</v>
      </c>
      <c r="AE6650">
        <v>24.25271</v>
      </c>
      <c r="AF6650">
        <v>-1.9732445307984301</v>
      </c>
      <c r="AG6650">
        <v>-1.108821130375</v>
      </c>
      <c r="AH6650">
        <v>24.146250572022701</v>
      </c>
      <c r="AI6650">
        <v>92.620511737407497</v>
      </c>
      <c r="AJ6650">
        <v>94.671860304906303</v>
      </c>
      <c r="AK6650">
        <v>24.252104959454499</v>
      </c>
      <c r="AL6650">
        <v>89.151590975199298</v>
      </c>
      <c r="AM6650">
        <v>95.776338529802004</v>
      </c>
      <c r="AN6650">
        <v>1.0000000156365501</v>
      </c>
    </row>
    <row r="6651" spans="1:40" x14ac:dyDescent="0.25">
      <c r="A6651" t="str">
        <f>"20190305135402994"</f>
        <v>20190305135402994</v>
      </c>
      <c r="B6651" t="str">
        <f>"1551765242986675"</f>
        <v>1551765242986675</v>
      </c>
      <c r="C6651" t="s">
        <v>40</v>
      </c>
      <c r="D6651">
        <v>4.2271939999999999</v>
      </c>
      <c r="E6651">
        <v>0.50702079999999905</v>
      </c>
      <c r="F6651" t="s">
        <v>42</v>
      </c>
      <c r="G6651">
        <v>-187.5522</v>
      </c>
      <c r="H6651" s="1">
        <v>-3.4854749999999999E-6</v>
      </c>
      <c r="I6651">
        <v>106.7454</v>
      </c>
      <c r="J6651">
        <v>-186.51689999999999</v>
      </c>
      <c r="K6651">
        <v>1.1089009999999999</v>
      </c>
      <c r="L6651">
        <v>84.673069999999996</v>
      </c>
      <c r="M6651">
        <v>3.5997830000000001E-2</v>
      </c>
      <c r="N6651">
        <v>-1.462548E-2</v>
      </c>
      <c r="O6651">
        <v>0.99924489999999999</v>
      </c>
      <c r="P6651">
        <v>-6.5993060000000006E-2</v>
      </c>
      <c r="Q6651">
        <v>-7.8219179999999995E-4</v>
      </c>
      <c r="R6651">
        <v>0.99781980000000003</v>
      </c>
      <c r="S6651">
        <v>-0.13354489999999999</v>
      </c>
      <c r="T6651">
        <v>-0.146322799999999</v>
      </c>
      <c r="U6651">
        <v>2.9977109999999998</v>
      </c>
      <c r="V6651">
        <v>-0.1018916</v>
      </c>
      <c r="W6651">
        <v>1.3631229999999999E-2</v>
      </c>
      <c r="X6651">
        <v>0.99470210000000003</v>
      </c>
      <c r="Y6651">
        <v>-8.0378950000000005E-2</v>
      </c>
      <c r="Z6651">
        <v>-3.3978149999999999E-2</v>
      </c>
      <c r="AA6651">
        <v>0.99618510000000005</v>
      </c>
      <c r="AB6651">
        <v>62</v>
      </c>
      <c r="AC6651">
        <v>-1.0353000000000001</v>
      </c>
      <c r="AD6651">
        <v>-1.1089044854750001</v>
      </c>
      <c r="AE6651">
        <v>22.072330000000001</v>
      </c>
      <c r="AF6651">
        <v>-1.8246743794623099</v>
      </c>
      <c r="AG6651">
        <v>-1.1089044854750001</v>
      </c>
      <c r="AH6651">
        <v>21.965429255582901</v>
      </c>
      <c r="AI6651">
        <v>92.880167454596204</v>
      </c>
      <c r="AJ6651">
        <v>94.748673517279997</v>
      </c>
      <c r="AK6651">
        <v>22.068964364713398</v>
      </c>
      <c r="AL6651">
        <v>89.218963853465198</v>
      </c>
      <c r="AM6651">
        <v>95.848653009816502</v>
      </c>
      <c r="AN6651">
        <v>0.99999998816314095</v>
      </c>
    </row>
    <row r="6652" spans="1:40" x14ac:dyDescent="0.25">
      <c r="A6652" t="str">
        <f>"20190305135403016"</f>
        <v>20190305135403016</v>
      </c>
      <c r="B6652" t="str">
        <f>"1551765243006194"</f>
        <v>1551765243006194</v>
      </c>
      <c r="C6652" t="s">
        <v>40</v>
      </c>
      <c r="D6652">
        <v>4.4499879999999896</v>
      </c>
      <c r="E6652">
        <v>0.50697740000000002</v>
      </c>
      <c r="F6652" t="s">
        <v>42</v>
      </c>
      <c r="G6652">
        <v>-187.4717</v>
      </c>
      <c r="H6652" s="1">
        <v>-3.0342110000000002E-6</v>
      </c>
      <c r="I6652">
        <v>105.6602</v>
      </c>
      <c r="J6652">
        <v>-186.49440000000001</v>
      </c>
      <c r="K6652">
        <v>1.109005</v>
      </c>
      <c r="L6652">
        <v>85.307009999999906</v>
      </c>
      <c r="M6652">
        <v>3.538844E-2</v>
      </c>
      <c r="N6652">
        <v>-1.481912E-2</v>
      </c>
      <c r="O6652">
        <v>0.99926380000000004</v>
      </c>
      <c r="P6652">
        <v>-6.8105449999999998E-2</v>
      </c>
      <c r="Q6652">
        <v>-1.207514E-3</v>
      </c>
      <c r="R6652">
        <v>0.99767740000000005</v>
      </c>
      <c r="S6652">
        <v>-0.13636779999999901</v>
      </c>
      <c r="T6652">
        <v>-0.15837499999999999</v>
      </c>
      <c r="U6652">
        <v>2.9974059999999998</v>
      </c>
      <c r="V6652">
        <v>-0.103394</v>
      </c>
      <c r="W6652">
        <v>1.337089E-2</v>
      </c>
      <c r="X6652">
        <v>0.99455059999999995</v>
      </c>
      <c r="Y6652">
        <v>-8.0702570000000001E-2</v>
      </c>
      <c r="Z6652">
        <v>-3.7784810000000002E-2</v>
      </c>
      <c r="AA6652">
        <v>0.99602179999999996</v>
      </c>
      <c r="AB6652">
        <v>62</v>
      </c>
      <c r="AC6652">
        <v>-0.97729999999998496</v>
      </c>
      <c r="AD6652">
        <v>-1.109008034211</v>
      </c>
      <c r="AE6652">
        <v>20.353190000000001</v>
      </c>
      <c r="AF6652">
        <v>-1.6920224366157901</v>
      </c>
      <c r="AG6652">
        <v>-1.109008034211</v>
      </c>
      <c r="AH6652">
        <v>20.245878772173501</v>
      </c>
      <c r="AI6652">
        <v>93.124485306611106</v>
      </c>
      <c r="AJ6652">
        <v>94.777316854877498</v>
      </c>
      <c r="AK6652">
        <v>20.346706023420602</v>
      </c>
      <c r="AL6652">
        <v>89.2338816040739</v>
      </c>
      <c r="AM6652">
        <v>95.935178397491697</v>
      </c>
      <c r="AN6652">
        <v>0.99999999794787597</v>
      </c>
    </row>
    <row r="6653" spans="1:40" x14ac:dyDescent="0.25">
      <c r="A6653" t="str">
        <f>"20190305135403038"</f>
        <v>20190305135403038</v>
      </c>
      <c r="B6653" t="str">
        <f>"1551765243026694"</f>
        <v>1551765243026694</v>
      </c>
      <c r="C6653" t="s">
        <v>40</v>
      </c>
      <c r="D6653">
        <v>4.4471920000000003</v>
      </c>
      <c r="E6653">
        <v>0.50692159999999997</v>
      </c>
      <c r="F6653" t="s">
        <v>42</v>
      </c>
      <c r="G6653">
        <v>-187.44820000000001</v>
      </c>
      <c r="H6653" s="1">
        <v>-2.9057209999999999E-6</v>
      </c>
      <c r="I6653">
        <v>105.351</v>
      </c>
      <c r="J6653">
        <v>-186.47329999999999</v>
      </c>
      <c r="K6653">
        <v>1.109116</v>
      </c>
      <c r="L6653">
        <v>85.910129999999995</v>
      </c>
      <c r="M6653">
        <v>3.4725770000000003E-2</v>
      </c>
      <c r="N6653">
        <v>-1.4979040000000001E-2</v>
      </c>
      <c r="O6653">
        <v>0.99928459999999997</v>
      </c>
      <c r="P6653">
        <v>-7.0367860000000004E-2</v>
      </c>
      <c r="Q6653">
        <v>-1.578381E-3</v>
      </c>
      <c r="R6653">
        <v>0.99751990000000001</v>
      </c>
      <c r="S6653">
        <v>-0.1426239</v>
      </c>
      <c r="T6653">
        <v>-0.16582259999999999</v>
      </c>
      <c r="U6653">
        <v>2.9970400000000001</v>
      </c>
      <c r="V6653">
        <v>-0.1049924</v>
      </c>
      <c r="W6653">
        <v>1.313011E-2</v>
      </c>
      <c r="X6653">
        <v>0.99438629999999995</v>
      </c>
      <c r="Y6653">
        <v>-8.2114679999999995E-2</v>
      </c>
      <c r="Z6653">
        <v>-4.0095249999999999E-2</v>
      </c>
      <c r="AA6653">
        <v>0.99581609999999998</v>
      </c>
      <c r="AB6653">
        <v>62</v>
      </c>
      <c r="AC6653">
        <v>-0.97490000000001897</v>
      </c>
      <c r="AD6653">
        <v>-1.109118905721</v>
      </c>
      <c r="AE6653">
        <v>19.440869999999901</v>
      </c>
      <c r="AF6653">
        <v>-1.6441488684118399</v>
      </c>
      <c r="AG6653">
        <v>-1.109118905721</v>
      </c>
      <c r="AH6653">
        <v>19.332518491505599</v>
      </c>
      <c r="AI6653">
        <v>93.271711441064596</v>
      </c>
      <c r="AJ6653">
        <v>94.861066370497895</v>
      </c>
      <c r="AK6653">
        <v>19.433981616563599</v>
      </c>
      <c r="AL6653">
        <v>89.247678463678596</v>
      </c>
      <c r="AM6653">
        <v>96.027250437139799</v>
      </c>
      <c r="AN6653">
        <v>0.99999995873702996</v>
      </c>
    </row>
    <row r="6654" spans="1:40" x14ac:dyDescent="0.25">
      <c r="A6654" t="str">
        <f>"20190305135403061"</f>
        <v>20190305135403061</v>
      </c>
      <c r="B6654" t="str">
        <f>"1551765243056946"</f>
        <v>1551765243056946</v>
      </c>
      <c r="C6654" t="s">
        <v>40</v>
      </c>
      <c r="D6654">
        <v>4.4385779999999997</v>
      </c>
      <c r="E6654">
        <v>0.50717820000000002</v>
      </c>
      <c r="F6654" t="s">
        <v>42</v>
      </c>
      <c r="G6654">
        <v>-187.4427</v>
      </c>
      <c r="H6654" s="1">
        <v>-2.8811330000000001E-6</v>
      </c>
      <c r="I6654">
        <v>105.2914</v>
      </c>
      <c r="J6654">
        <v>-186.4521</v>
      </c>
      <c r="K6654">
        <v>1.1092470000000001</v>
      </c>
      <c r="L6654">
        <v>86.530090000000001</v>
      </c>
      <c r="M6654">
        <v>3.3961409999999997E-2</v>
      </c>
      <c r="N6654">
        <v>-1.512179E-2</v>
      </c>
      <c r="O6654">
        <v>0.9993088</v>
      </c>
      <c r="P6654">
        <v>-7.3085929999999993E-2</v>
      </c>
      <c r="Q6654">
        <v>-1.101508E-3</v>
      </c>
      <c r="R6654">
        <v>0.99732509999999996</v>
      </c>
      <c r="S6654">
        <v>-0.1498871</v>
      </c>
      <c r="T6654">
        <v>-0.17148529999999901</v>
      </c>
      <c r="U6654">
        <v>2.996613</v>
      </c>
      <c r="V6654">
        <v>-0.10694629999999999</v>
      </c>
      <c r="W6654">
        <v>1.371466E-2</v>
      </c>
      <c r="X6654">
        <v>0.9941702</v>
      </c>
      <c r="Y6654">
        <v>-8.3760849999999998E-2</v>
      </c>
      <c r="Z6654">
        <v>-4.1831149999999998E-2</v>
      </c>
      <c r="AA6654">
        <v>0.99560749999999998</v>
      </c>
      <c r="AB6654">
        <v>62</v>
      </c>
      <c r="AC6654">
        <v>-0.99060000000000004</v>
      </c>
      <c r="AD6654">
        <v>-1.1092498811329901</v>
      </c>
      <c r="AE6654">
        <v>18.761309999999899</v>
      </c>
      <c r="AF6654">
        <v>-1.6216089233001001</v>
      </c>
      <c r="AG6654">
        <v>-1.1092498811329901</v>
      </c>
      <c r="AH6654">
        <v>18.651819305453799</v>
      </c>
      <c r="AI6654">
        <v>93.390691176403706</v>
      </c>
      <c r="AJ6654">
        <v>94.9688614278747</v>
      </c>
      <c r="AK6654">
        <v>18.7550103759561</v>
      </c>
      <c r="AL6654">
        <v>89.214183224829398</v>
      </c>
      <c r="AM6654">
        <v>96.139892562608196</v>
      </c>
      <c r="AN6654">
        <v>0.99999999477532198</v>
      </c>
    </row>
    <row r="6655" spans="1:40" x14ac:dyDescent="0.25">
      <c r="A6655" t="str">
        <f>"20190305135403084"</f>
        <v>20190305135403084</v>
      </c>
      <c r="B6655" t="str">
        <f>"1551765243076468"</f>
        <v>1551765243076468</v>
      </c>
      <c r="C6655" t="s">
        <v>40</v>
      </c>
      <c r="D6655">
        <v>4.4874070000000001</v>
      </c>
      <c r="E6655">
        <v>0.50717570000000001</v>
      </c>
      <c r="F6655" t="s">
        <v>42</v>
      </c>
      <c r="G6655">
        <v>-187.44319999999999</v>
      </c>
      <c r="H6655" s="1">
        <v>-3.0077629999999999E-6</v>
      </c>
      <c r="I6655">
        <v>105.58669999999999</v>
      </c>
      <c r="J6655">
        <v>-186.4307</v>
      </c>
      <c r="K6655">
        <v>1.1093820000000001</v>
      </c>
      <c r="L6655">
        <v>87.170810000000003</v>
      </c>
      <c r="M6655">
        <v>3.3086989999999997E-2</v>
      </c>
      <c r="N6655">
        <v>-1.5249250000000001E-2</v>
      </c>
      <c r="O6655">
        <v>0.99933609999999995</v>
      </c>
      <c r="P6655">
        <v>-7.5910779999999997E-2</v>
      </c>
      <c r="Q6655">
        <v>-3.6118259999999997E-4</v>
      </c>
      <c r="R6655">
        <v>0.99711450000000001</v>
      </c>
      <c r="S6655">
        <v>-0.155838</v>
      </c>
      <c r="T6655">
        <v>-0.17441799999999999</v>
      </c>
      <c r="U6655">
        <v>2.9964599999999999</v>
      </c>
      <c r="V6655">
        <v>-0.10889890000000001</v>
      </c>
      <c r="W6655">
        <v>1.454476E-2</v>
      </c>
      <c r="X6655">
        <v>0.99394640000000001</v>
      </c>
      <c r="Y6655">
        <v>-8.486001E-2</v>
      </c>
      <c r="Z6655">
        <v>-4.2674749999999997E-2</v>
      </c>
      <c r="AA6655">
        <v>0.99547859999999999</v>
      </c>
      <c r="AB6655">
        <v>62</v>
      </c>
      <c r="AC6655">
        <v>-1.01249999999998</v>
      </c>
      <c r="AD6655">
        <v>-1.1093850077630001</v>
      </c>
      <c r="AE6655">
        <v>18.415889999999902</v>
      </c>
      <c r="AF6655">
        <v>-1.6154978822794801</v>
      </c>
      <c r="AG6655">
        <v>-1.1093850077630001</v>
      </c>
      <c r="AH6655">
        <v>18.306068703729501</v>
      </c>
      <c r="AI6655">
        <v>93.454606087768894</v>
      </c>
      <c r="AJ6655">
        <v>95.043247761113307</v>
      </c>
      <c r="AK6655">
        <v>18.410668643174301</v>
      </c>
      <c r="AL6655">
        <v>89.166617238570595</v>
      </c>
      <c r="AM6655">
        <v>96.2525100173402</v>
      </c>
      <c r="AN6655">
        <v>0.99999998326881301</v>
      </c>
    </row>
    <row r="6656" spans="1:40" x14ac:dyDescent="0.25">
      <c r="A6656" t="str">
        <f>"20190305135403106"</f>
        <v>20190305135403106</v>
      </c>
      <c r="B6656" t="str">
        <f>"1551765243096962"</f>
        <v>1551765243096962</v>
      </c>
      <c r="C6656" t="s">
        <v>40</v>
      </c>
      <c r="D6656">
        <v>4.3316540000000003</v>
      </c>
      <c r="E6656">
        <v>0.50720189999999998</v>
      </c>
      <c r="F6656" t="s">
        <v>42</v>
      </c>
      <c r="G6656">
        <v>-187.4667</v>
      </c>
      <c r="H6656" s="1">
        <v>-3.2185030000000001E-6</v>
      </c>
      <c r="I6656">
        <v>106.0877</v>
      </c>
      <c r="J6656">
        <v>-186.4102</v>
      </c>
      <c r="K6656">
        <v>1.109524</v>
      </c>
      <c r="L6656">
        <v>87.802000000000007</v>
      </c>
      <c r="M6656">
        <v>3.2139420000000002E-2</v>
      </c>
      <c r="N6656">
        <v>-1.535633E-2</v>
      </c>
      <c r="O6656">
        <v>0.99936539999999996</v>
      </c>
      <c r="P6656">
        <v>-7.901743E-2</v>
      </c>
      <c r="Q6656">
        <v>1.02432E-3</v>
      </c>
      <c r="R6656">
        <v>0.99687269999999994</v>
      </c>
      <c r="S6656">
        <v>-0.16409299999999999</v>
      </c>
      <c r="T6656">
        <v>-0.17570820000000001</v>
      </c>
      <c r="U6656">
        <v>2.996124</v>
      </c>
      <c r="V6656">
        <v>-0.1110612</v>
      </c>
      <c r="W6656">
        <v>1.599751E-2</v>
      </c>
      <c r="X6656">
        <v>0.99368480000000003</v>
      </c>
      <c r="Y6656">
        <v>-8.6653469999999996E-2</v>
      </c>
      <c r="Z6656">
        <v>-4.2995110000000003E-2</v>
      </c>
      <c r="AA6656">
        <v>0.99531029999999998</v>
      </c>
      <c r="AB6656">
        <v>62</v>
      </c>
      <c r="AC6656">
        <v>-1.05649999999999</v>
      </c>
      <c r="AD6656">
        <v>-1.1095272185029901</v>
      </c>
      <c r="AE6656">
        <v>18.285699999999899</v>
      </c>
      <c r="AF6656">
        <v>-1.6377056480432099</v>
      </c>
      <c r="AG6656">
        <v>-1.1095272185029901</v>
      </c>
      <c r="AH6656">
        <v>18.1755968712128</v>
      </c>
      <c r="AI6656">
        <v>93.479219120082604</v>
      </c>
      <c r="AJ6656">
        <v>95.148711869884806</v>
      </c>
      <c r="AK6656">
        <v>18.282927885409102</v>
      </c>
      <c r="AL6656">
        <v>89.083371090553399</v>
      </c>
      <c r="AM6656">
        <v>96.377312208221298</v>
      </c>
      <c r="AN6656">
        <v>0.99999999611134005</v>
      </c>
    </row>
    <row r="6657" spans="1:40" x14ac:dyDescent="0.25">
      <c r="A6657" t="str">
        <f>"20190305135403129"</f>
        <v>20190305135403129</v>
      </c>
      <c r="B6657" t="str">
        <f>"1551765243116482"</f>
        <v>1551765243116482</v>
      </c>
      <c r="C6657" t="s">
        <v>40</v>
      </c>
      <c r="D6657">
        <v>4.528448</v>
      </c>
      <c r="E6657">
        <v>0.50742080000000001</v>
      </c>
      <c r="F6657" t="s">
        <v>42</v>
      </c>
      <c r="G6657">
        <v>-187.49629999999999</v>
      </c>
      <c r="H6657" s="1">
        <v>-3.426678E-6</v>
      </c>
      <c r="I6657">
        <v>106.5852</v>
      </c>
      <c r="J6657">
        <v>-186.39060000000001</v>
      </c>
      <c r="K6657">
        <v>1.109658</v>
      </c>
      <c r="L6657">
        <v>88.425539999999998</v>
      </c>
      <c r="M6657">
        <v>3.1125670000000001E-2</v>
      </c>
      <c r="N6657">
        <v>-1.544681E-2</v>
      </c>
      <c r="O6657">
        <v>0.99939610000000001</v>
      </c>
      <c r="P6657">
        <v>-8.2358329999999993E-2</v>
      </c>
      <c r="Q6657">
        <v>1.8063179999999999E-3</v>
      </c>
      <c r="R6657">
        <v>0.99660119999999996</v>
      </c>
      <c r="S6657">
        <v>-0.173233</v>
      </c>
      <c r="T6657">
        <v>-0.17696519999999999</v>
      </c>
      <c r="U6657">
        <v>2.9958499999999999</v>
      </c>
      <c r="V6657">
        <v>-0.11339100000000001</v>
      </c>
      <c r="W6657">
        <v>1.6828530000000001E-2</v>
      </c>
      <c r="X6657">
        <v>0.99340790000000001</v>
      </c>
      <c r="Y6657">
        <v>-8.867216E-2</v>
      </c>
      <c r="Z6657">
        <v>-4.3318589999999997E-2</v>
      </c>
      <c r="AA6657">
        <v>0.99511839999999996</v>
      </c>
      <c r="AB6657">
        <v>62</v>
      </c>
      <c r="AC6657">
        <v>-1.1056999999999799</v>
      </c>
      <c r="AD6657">
        <v>-1.1096614266780001</v>
      </c>
      <c r="AE6657">
        <v>18.159659999999999</v>
      </c>
      <c r="AF6657">
        <v>-1.66427186110779</v>
      </c>
      <c r="AG6657">
        <v>-1.1096614266780001</v>
      </c>
      <c r="AH6657">
        <v>18.049293628993901</v>
      </c>
      <c r="AI6657">
        <v>93.503263632927997</v>
      </c>
      <c r="AJ6657">
        <v>95.268177428504302</v>
      </c>
      <c r="AK6657">
        <v>18.1597948726072</v>
      </c>
      <c r="AL6657">
        <v>89.035750726970804</v>
      </c>
      <c r="AM6657">
        <v>96.511755288139199</v>
      </c>
      <c r="AN6657">
        <v>0.999999987042685</v>
      </c>
    </row>
    <row r="6658" spans="1:40" x14ac:dyDescent="0.25">
      <c r="A6658" t="str">
        <f>"20190305135403149"</f>
        <v>20190305135403149</v>
      </c>
      <c r="B6658" t="str">
        <f>"1551765243136979"</f>
        <v>1551765243136979</v>
      </c>
      <c r="C6658" t="s">
        <v>40</v>
      </c>
      <c r="D6658">
        <v>4.3608789999999997</v>
      </c>
      <c r="E6658">
        <v>0.50731970000000004</v>
      </c>
      <c r="F6658" t="s">
        <v>42</v>
      </c>
      <c r="G6658">
        <v>-187.5129</v>
      </c>
      <c r="H6658" s="1">
        <v>-3.5844200000000001E-6</v>
      </c>
      <c r="I6658">
        <v>106.9598</v>
      </c>
      <c r="J6658">
        <v>-186.3733</v>
      </c>
      <c r="K6658">
        <v>1.10978</v>
      </c>
      <c r="L6658">
        <v>88.992219999999904</v>
      </c>
      <c r="M6658">
        <v>3.0151270000000001E-2</v>
      </c>
      <c r="N6658">
        <v>-1.5518290000000001E-2</v>
      </c>
      <c r="O6658">
        <v>0.99942489999999995</v>
      </c>
      <c r="P6658">
        <v>-8.5504350000000007E-2</v>
      </c>
      <c r="Q6658">
        <v>2.8155160000000001E-3</v>
      </c>
      <c r="R6658">
        <v>0.99633380000000005</v>
      </c>
      <c r="S6658">
        <v>-0.18139649999999999</v>
      </c>
      <c r="T6658">
        <v>-0.179345799999999</v>
      </c>
      <c r="U6658">
        <v>2.9955440000000002</v>
      </c>
      <c r="V6658">
        <v>-0.11556569999999999</v>
      </c>
      <c r="W6658">
        <v>1.7870730000000001E-2</v>
      </c>
      <c r="X6658">
        <v>0.99313910000000005</v>
      </c>
      <c r="Y6658">
        <v>-9.0405460000000007E-2</v>
      </c>
      <c r="Z6658">
        <v>-4.4034469999999999E-2</v>
      </c>
      <c r="AA6658">
        <v>0.99493100000000001</v>
      </c>
      <c r="AB6658">
        <v>62</v>
      </c>
      <c r="AC6658">
        <v>-1.1395999999999999</v>
      </c>
      <c r="AD6658">
        <v>-1.1097835844199999</v>
      </c>
      <c r="AE6658">
        <v>17.967580000000002</v>
      </c>
      <c r="AF6658">
        <v>-1.6745295618480001</v>
      </c>
      <c r="AG6658">
        <v>-1.1097835844199999</v>
      </c>
      <c r="AH6658">
        <v>17.857191813498499</v>
      </c>
      <c r="AI6658">
        <v>93.540733980964106</v>
      </c>
      <c r="AJ6658">
        <v>95.3571539880909</v>
      </c>
      <c r="AK6658">
        <v>17.9698349553308</v>
      </c>
      <c r="AL6658">
        <v>88.976028119899595</v>
      </c>
      <c r="AM6658">
        <v>96.637319311547799</v>
      </c>
      <c r="AN6658">
        <v>1.0000000329780101</v>
      </c>
    </row>
    <row r="6659" spans="1:40" x14ac:dyDescent="0.25">
      <c r="A6659" t="str">
        <f>"20190305135403173"</f>
        <v>20190305135403173</v>
      </c>
      <c r="B6659" t="str">
        <f>"1551765243167235"</f>
        <v>1551765243167235</v>
      </c>
      <c r="C6659" t="s">
        <v>40</v>
      </c>
      <c r="D6659">
        <v>4.3465749999999996</v>
      </c>
      <c r="E6659">
        <v>0.5062991</v>
      </c>
      <c r="F6659" t="s">
        <v>42</v>
      </c>
      <c r="G6659">
        <v>-187.59039999999999</v>
      </c>
      <c r="H6659" s="1">
        <v>-4.0067479999999997E-6</v>
      </c>
      <c r="I6659">
        <v>107.97629999999999</v>
      </c>
      <c r="J6659">
        <v>-186.3544</v>
      </c>
      <c r="K6659">
        <v>1.10991</v>
      </c>
      <c r="L6659">
        <v>89.636899999999997</v>
      </c>
      <c r="M6659">
        <v>2.898131E-2</v>
      </c>
      <c r="N6659">
        <v>-1.5587760000000001E-2</v>
      </c>
      <c r="O6659">
        <v>0.99945839999999997</v>
      </c>
      <c r="P6659">
        <v>-8.9640940000000002E-2</v>
      </c>
      <c r="Q6659">
        <v>3.143369E-3</v>
      </c>
      <c r="R6659">
        <v>0.9959692</v>
      </c>
      <c r="S6659">
        <v>-0.19201660000000001</v>
      </c>
      <c r="T6659">
        <v>-0.1750872</v>
      </c>
      <c r="U6659">
        <v>2.9950559999999999</v>
      </c>
      <c r="V6659">
        <v>-0.11853329999999999</v>
      </c>
      <c r="W6659">
        <v>1.8221629999999999E-2</v>
      </c>
      <c r="X6659">
        <v>0.99278290000000002</v>
      </c>
      <c r="Y6659">
        <v>-9.2766899999999999E-2</v>
      </c>
      <c r="Z6659">
        <v>-4.2554259999999997E-2</v>
      </c>
      <c r="AA6659">
        <v>0.9947781</v>
      </c>
      <c r="AB6659">
        <v>62</v>
      </c>
      <c r="AC6659">
        <v>-1.23599999999999</v>
      </c>
      <c r="AD6659">
        <v>-1.109914006748</v>
      </c>
      <c r="AE6659">
        <v>18.339400000000001</v>
      </c>
      <c r="AF6659">
        <v>-1.76062553048509</v>
      </c>
      <c r="AG6659">
        <v>-1.109914006748</v>
      </c>
      <c r="AH6659">
        <v>18.229401472213802</v>
      </c>
      <c r="AI6659">
        <v>93.468107399607902</v>
      </c>
      <c r="AJ6659">
        <v>95.516609932611601</v>
      </c>
      <c r="AK6659">
        <v>18.347827920386699</v>
      </c>
      <c r="AL6659">
        <v>88.9559197524772</v>
      </c>
      <c r="AM6659">
        <v>96.808598282918894</v>
      </c>
      <c r="AN6659">
        <v>1.0000000287705699</v>
      </c>
    </row>
    <row r="6660" spans="1:40" x14ac:dyDescent="0.25">
      <c r="A6660" t="str">
        <f>"20190305135403195"</f>
        <v>20190305135403195</v>
      </c>
      <c r="B6660" t="str">
        <f>"1551765243186755"</f>
        <v>1551765243186755</v>
      </c>
      <c r="C6660" t="s">
        <v>40</v>
      </c>
      <c r="D6660">
        <v>4.3399140000000003</v>
      </c>
      <c r="E6660">
        <v>0.50597630000000005</v>
      </c>
      <c r="F6660" t="s">
        <v>42</v>
      </c>
      <c r="G6660">
        <v>-187.7775</v>
      </c>
      <c r="H6660" s="1">
        <v>-5.9253179999999999E-7</v>
      </c>
      <c r="I6660">
        <v>109.6516</v>
      </c>
      <c r="J6660">
        <v>-186.3365</v>
      </c>
      <c r="K6660">
        <v>1.110039</v>
      </c>
      <c r="L6660">
        <v>90.266720000000007</v>
      </c>
      <c r="M6660">
        <v>2.7777940000000001E-2</v>
      </c>
      <c r="N6660">
        <v>-1.5645470000000002E-2</v>
      </c>
      <c r="O6660">
        <v>0.99949169999999998</v>
      </c>
      <c r="P6660">
        <v>-9.3852140000000001E-2</v>
      </c>
      <c r="Q6660">
        <v>3.801067E-3</v>
      </c>
      <c r="R6660">
        <v>0.99557890000000004</v>
      </c>
      <c r="S6660">
        <v>-0.2128601</v>
      </c>
      <c r="T6660">
        <v>-0.16600419999999999</v>
      </c>
      <c r="U6660">
        <v>2.9935</v>
      </c>
      <c r="V6660">
        <v>-0.121543899999999</v>
      </c>
      <c r="W6660">
        <v>1.8889079999999999E-2</v>
      </c>
      <c r="X6660">
        <v>0.99240629999999996</v>
      </c>
      <c r="Y6660">
        <v>-9.8502259999999994E-2</v>
      </c>
      <c r="Z6660">
        <v>-3.9490039999999997E-2</v>
      </c>
      <c r="AA6660">
        <v>0.99435300000000004</v>
      </c>
      <c r="AB6660">
        <v>62</v>
      </c>
      <c r="AC6660">
        <v>-1.4410000000000001</v>
      </c>
      <c r="AD6660">
        <v>-1.1100395925318001</v>
      </c>
      <c r="AE6660">
        <v>19.384879999999999</v>
      </c>
      <c r="AF6660">
        <v>-1.97254916253027</v>
      </c>
      <c r="AG6660">
        <v>-1.1100395925318001</v>
      </c>
      <c r="AH6660">
        <v>19.274509853662401</v>
      </c>
      <c r="AI6660">
        <v>93.278995454151399</v>
      </c>
      <c r="AJ6660">
        <v>95.843294545179205</v>
      </c>
      <c r="AK6660">
        <v>19.406954119451999</v>
      </c>
      <c r="AL6660">
        <v>88.917671058444796</v>
      </c>
      <c r="AM6660">
        <v>96.982465853997894</v>
      </c>
      <c r="AN6660">
        <v>0.99999999062507305</v>
      </c>
    </row>
    <row r="6661" spans="1:40" x14ac:dyDescent="0.25">
      <c r="A6661" t="str">
        <f>"20190305135403217"</f>
        <v>20190305135403217</v>
      </c>
      <c r="B6661" t="str">
        <f>"1551765243206274"</f>
        <v>1551765243206274</v>
      </c>
      <c r="C6661" t="s">
        <v>40</v>
      </c>
      <c r="D6661">
        <v>4.3331150000000003</v>
      </c>
      <c r="E6661">
        <v>0.50576149999999997</v>
      </c>
      <c r="F6661" t="s">
        <v>42</v>
      </c>
      <c r="G6661">
        <v>-187.93629999999999</v>
      </c>
      <c r="H6661" s="1">
        <v>-1.0971160000000001E-6</v>
      </c>
      <c r="I6661">
        <v>111.2585</v>
      </c>
      <c r="J6661">
        <v>-186.32040000000001</v>
      </c>
      <c r="K6661">
        <v>1.110155</v>
      </c>
      <c r="L6661">
        <v>90.862880000000004</v>
      </c>
      <c r="M6661">
        <v>2.658369E-2</v>
      </c>
      <c r="N6661">
        <v>-1.569218E-2</v>
      </c>
      <c r="O6661">
        <v>0.99952339999999995</v>
      </c>
      <c r="P6661">
        <v>-9.8280179999999995E-2</v>
      </c>
      <c r="Q6661">
        <v>4.2212639999999997E-3</v>
      </c>
      <c r="R6661">
        <v>0.99514990000000003</v>
      </c>
      <c r="S6661">
        <v>-0.22805790000000001</v>
      </c>
      <c r="T6661">
        <v>-0.1582392</v>
      </c>
      <c r="U6661">
        <v>2.992432</v>
      </c>
      <c r="V6661">
        <v>-0.124779</v>
      </c>
      <c r="W6661">
        <v>1.9307669999999999E-2</v>
      </c>
      <c r="X6661">
        <v>0.99199669999999895</v>
      </c>
      <c r="Y6661">
        <v>-0.10236779999999999</v>
      </c>
      <c r="Z6661">
        <v>-3.687066E-2</v>
      </c>
      <c r="AA6661">
        <v>0.99406309999999998</v>
      </c>
      <c r="AB6661">
        <v>62</v>
      </c>
      <c r="AC6661">
        <v>-1.6158999999999799</v>
      </c>
      <c r="AD6661">
        <v>-1.1101560971160001</v>
      </c>
      <c r="AE6661">
        <v>20.395619999999901</v>
      </c>
      <c r="AF6661">
        <v>-2.1512525485074101</v>
      </c>
      <c r="AG6661">
        <v>-1.1101560971160001</v>
      </c>
      <c r="AH6661">
        <v>20.285721843504799</v>
      </c>
      <c r="AI6661">
        <v>93.115011075564794</v>
      </c>
      <c r="AJ6661">
        <v>96.053456198686703</v>
      </c>
      <c r="AK6661">
        <v>20.4296560127544</v>
      </c>
      <c r="AL6661">
        <v>88.893683273815896</v>
      </c>
      <c r="AM6661">
        <v>97.169336813809906</v>
      </c>
      <c r="AN6661">
        <v>1.00000001888635</v>
      </c>
    </row>
    <row r="6662" spans="1:40" x14ac:dyDescent="0.25">
      <c r="A6662" t="str">
        <f>"20190305135403239"</f>
        <v>20190305135403239</v>
      </c>
      <c r="B6662" t="str">
        <f>"1551765243226774"</f>
        <v>1551765243226774</v>
      </c>
      <c r="C6662" t="s">
        <v>40</v>
      </c>
      <c r="D6662">
        <v>4.3572709999999999</v>
      </c>
      <c r="E6662">
        <v>0.5053185</v>
      </c>
      <c r="F6662" t="s">
        <v>42</v>
      </c>
      <c r="G6662">
        <v>-188.08949999999999</v>
      </c>
      <c r="H6662" s="1">
        <v>-1.6247310000000001E-6</v>
      </c>
      <c r="I6662">
        <v>112.6301</v>
      </c>
      <c r="J6662">
        <v>-186.3048</v>
      </c>
      <c r="K6662">
        <v>1.110271</v>
      </c>
      <c r="L6662">
        <v>91.463409999999996</v>
      </c>
      <c r="M6662">
        <v>2.532479E-2</v>
      </c>
      <c r="N6662">
        <v>-1.5732690000000001E-2</v>
      </c>
      <c r="O6662">
        <v>0.99955550000000004</v>
      </c>
      <c r="P6662">
        <v>-0.1027846</v>
      </c>
      <c r="Q6662">
        <v>3.9459380000000004E-3</v>
      </c>
      <c r="R6662">
        <v>0.99469580000000002</v>
      </c>
      <c r="S6662">
        <v>-0.24311830000000001</v>
      </c>
      <c r="T6662">
        <v>-0.1525571</v>
      </c>
      <c r="U6662">
        <v>2.991241</v>
      </c>
      <c r="V6662">
        <v>-0.12802450000000001</v>
      </c>
      <c r="W6662">
        <v>1.9022569999999999E-2</v>
      </c>
      <c r="X6662">
        <v>0.99158860000000004</v>
      </c>
      <c r="Y6662">
        <v>-0.1061232</v>
      </c>
      <c r="Z6662">
        <v>-3.4948640000000003E-2</v>
      </c>
      <c r="AA6662">
        <v>0.99373869999999997</v>
      </c>
      <c r="AB6662">
        <v>62</v>
      </c>
      <c r="AC6662">
        <v>-1.78469999999998</v>
      </c>
      <c r="AD6662">
        <v>-1.110272624731</v>
      </c>
      <c r="AE6662">
        <v>21.166689999999999</v>
      </c>
      <c r="AF6662">
        <v>-2.3139142210607302</v>
      </c>
      <c r="AG6662">
        <v>-1.110272624731</v>
      </c>
      <c r="AH6662">
        <v>21.0571692424651</v>
      </c>
      <c r="AI6662">
        <v>93.000189581210904</v>
      </c>
      <c r="AJ6662">
        <v>96.270915007846</v>
      </c>
      <c r="AK6662">
        <v>21.212997921780701</v>
      </c>
      <c r="AL6662">
        <v>88.910021325406007</v>
      </c>
      <c r="AM6662">
        <v>97.356788836693994</v>
      </c>
      <c r="AN6662">
        <v>1.0000000412098</v>
      </c>
    </row>
    <row r="6663" spans="1:40" x14ac:dyDescent="0.25">
      <c r="A6663" t="str">
        <f>"20190305135403261"</f>
        <v>20190305135403261</v>
      </c>
      <c r="B6663" t="str">
        <f>"1551765243257026"</f>
        <v>1551765243257026</v>
      </c>
      <c r="C6663" t="s">
        <v>40</v>
      </c>
      <c r="D6663">
        <v>4.400074</v>
      </c>
      <c r="E6663">
        <v>0.50478149999999999</v>
      </c>
      <c r="F6663" t="s">
        <v>42</v>
      </c>
      <c r="G6663">
        <v>-188.22</v>
      </c>
      <c r="H6663" s="1">
        <v>-1.9622E-6</v>
      </c>
      <c r="I6663">
        <v>113.47069999999999</v>
      </c>
      <c r="J6663">
        <v>-186.2894</v>
      </c>
      <c r="K6663">
        <v>1.1103889999999901</v>
      </c>
      <c r="L6663">
        <v>92.089659999999995</v>
      </c>
      <c r="M6663">
        <v>2.394746E-2</v>
      </c>
      <c r="N6663">
        <v>-1.5768939999999999E-2</v>
      </c>
      <c r="O6663">
        <v>0.99958880000000006</v>
      </c>
      <c r="P6663">
        <v>-0.1084826</v>
      </c>
      <c r="Q6663">
        <v>3.4527189999999999E-3</v>
      </c>
      <c r="R6663">
        <v>0.99409230000000004</v>
      </c>
      <c r="S6663">
        <v>-0.26017760000000001</v>
      </c>
      <c r="T6663">
        <v>-0.15083189999999999</v>
      </c>
      <c r="U6663">
        <v>2.989716</v>
      </c>
      <c r="V6663">
        <v>-0.13234279999999901</v>
      </c>
      <c r="W6663">
        <v>1.8504340000000001E-2</v>
      </c>
      <c r="X6663">
        <v>0.99103129999999995</v>
      </c>
      <c r="Y6663">
        <v>-0.1104233</v>
      </c>
      <c r="Z6663">
        <v>-3.4344380000000001E-2</v>
      </c>
      <c r="AA6663">
        <v>0.99329109999999998</v>
      </c>
      <c r="AB6663">
        <v>62</v>
      </c>
      <c r="AC6663">
        <v>-1.9305999999999901</v>
      </c>
      <c r="AD6663">
        <v>-1.1103909622000001</v>
      </c>
      <c r="AE6663">
        <v>21.381039999999999</v>
      </c>
      <c r="AF6663">
        <v>-2.4356155666474701</v>
      </c>
      <c r="AG6663">
        <v>-1.1103909622000001</v>
      </c>
      <c r="AH6663">
        <v>21.271760361185301</v>
      </c>
      <c r="AI6663">
        <v>92.968778933703604</v>
      </c>
      <c r="AJ6663">
        <v>96.531918187104495</v>
      </c>
      <c r="AK6663">
        <v>21.4395191210326</v>
      </c>
      <c r="AL6663">
        <v>88.939718935277398</v>
      </c>
      <c r="AM6663">
        <v>97.606304625189907</v>
      </c>
      <c r="AN6663">
        <v>1.0000000324451801</v>
      </c>
    </row>
    <row r="6664" spans="1:40" x14ac:dyDescent="0.25">
      <c r="A6664" t="str">
        <f>"20190305135403284"</f>
        <v>20190305135403284</v>
      </c>
      <c r="B6664" t="str">
        <f>"1551765243276547"</f>
        <v>1551765243276547</v>
      </c>
      <c r="C6664" t="s">
        <v>40</v>
      </c>
      <c r="D6664">
        <v>4.3950300000000002</v>
      </c>
      <c r="E6664">
        <v>0.50455369999999999</v>
      </c>
      <c r="F6664" t="s">
        <v>42</v>
      </c>
      <c r="G6664">
        <v>-188.38040000000001</v>
      </c>
      <c r="H6664" s="1">
        <v>-2.2783840000000001E-6</v>
      </c>
      <c r="I6664">
        <v>114.2741</v>
      </c>
      <c r="J6664">
        <v>-186.2749</v>
      </c>
      <c r="K6664">
        <v>1.1105130000000001</v>
      </c>
      <c r="L6664">
        <v>92.715090000000004</v>
      </c>
      <c r="M6664">
        <v>2.2497329999999999E-2</v>
      </c>
      <c r="N6664">
        <v>-1.5799799999999999E-2</v>
      </c>
      <c r="O6664">
        <v>0.99962200000000001</v>
      </c>
      <c r="P6664">
        <v>-0.1141278</v>
      </c>
      <c r="Q6664">
        <v>2.8225749999999999E-3</v>
      </c>
      <c r="R6664">
        <v>0.99346210000000001</v>
      </c>
      <c r="S6664">
        <v>-0.28160099999999999</v>
      </c>
      <c r="T6664">
        <v>-0.14953820000000001</v>
      </c>
      <c r="U6664">
        <v>2.9876100000000001</v>
      </c>
      <c r="V6664">
        <v>-0.136536299999999</v>
      </c>
      <c r="W6664">
        <v>1.7840689999999999E-2</v>
      </c>
      <c r="X6664">
        <v>0.99047439999999998</v>
      </c>
      <c r="Y6664">
        <v>-0.11610330000000001</v>
      </c>
      <c r="Z6664">
        <v>-3.3889290000000002E-2</v>
      </c>
      <c r="AA6664">
        <v>0.99265879999999995</v>
      </c>
      <c r="AB6664">
        <v>62</v>
      </c>
      <c r="AC6664">
        <v>-2.1055000000000001</v>
      </c>
      <c r="AD6664">
        <v>-1.11051527838399</v>
      </c>
      <c r="AE6664">
        <v>21.559010000000001</v>
      </c>
      <c r="AF6664">
        <v>-2.5832582244153102</v>
      </c>
      <c r="AG6664">
        <v>-1.11051527838399</v>
      </c>
      <c r="AH6664">
        <v>21.449802351418398</v>
      </c>
      <c r="AI6664">
        <v>92.942489618303696</v>
      </c>
      <c r="AJ6664">
        <v>96.8672137221414</v>
      </c>
      <c r="AK6664">
        <v>21.633318935208401</v>
      </c>
      <c r="AL6664">
        <v>88.977749519903796</v>
      </c>
      <c r="AM6664">
        <v>97.848723164661706</v>
      </c>
      <c r="AN6664">
        <v>0.99999999424636299</v>
      </c>
    </row>
    <row r="6665" spans="1:40" x14ac:dyDescent="0.25">
      <c r="A6665" t="str">
        <f>"20190305135403308"</f>
        <v>20190305135403308</v>
      </c>
      <c r="B6665" t="str">
        <f>"1551765243297042"</f>
        <v>1551765243297042</v>
      </c>
      <c r="C6665" t="s">
        <v>40</v>
      </c>
      <c r="D6665">
        <v>4.4003690000000004</v>
      </c>
      <c r="E6665">
        <v>0.50439599999999996</v>
      </c>
      <c r="F6665" t="s">
        <v>42</v>
      </c>
      <c r="G6665">
        <v>-188.5129</v>
      </c>
      <c r="H6665" s="1">
        <v>-2.5453279999999999E-6</v>
      </c>
      <c r="I6665">
        <v>114.9511</v>
      </c>
      <c r="J6665">
        <v>-186.2612</v>
      </c>
      <c r="K6665">
        <v>1.1106469999999999</v>
      </c>
      <c r="L6665">
        <v>93.348969999999994</v>
      </c>
      <c r="M6665">
        <v>2.0926750000000001E-2</v>
      </c>
      <c r="N6665">
        <v>-1.582625E-2</v>
      </c>
      <c r="O6665">
        <v>0.99965570000000004</v>
      </c>
      <c r="P6665">
        <v>-0.11848400000000001</v>
      </c>
      <c r="Q6665">
        <v>3.239914E-3</v>
      </c>
      <c r="R6665">
        <v>0.99295069999999996</v>
      </c>
      <c r="S6665">
        <v>-0.30050660000000001</v>
      </c>
      <c r="T6665">
        <v>-0.14910860000000001</v>
      </c>
      <c r="U6665">
        <v>2.9856259999999999</v>
      </c>
      <c r="V6665">
        <v>-0.13933129999999999</v>
      </c>
      <c r="W6665">
        <v>1.8223059999999999E-2</v>
      </c>
      <c r="X6665">
        <v>0.99007820000000002</v>
      </c>
      <c r="Y6665">
        <v>-0.1208278</v>
      </c>
      <c r="Z6665">
        <v>-3.3726550000000001E-2</v>
      </c>
      <c r="AA6665">
        <v>0.99210039999999999</v>
      </c>
      <c r="AB6665">
        <v>62</v>
      </c>
      <c r="AC6665">
        <v>-2.2517</v>
      </c>
      <c r="AD6665">
        <v>-1.1106495453280001</v>
      </c>
      <c r="AE6665">
        <v>21.602129999999999</v>
      </c>
      <c r="AF6665">
        <v>-2.69627510141548</v>
      </c>
      <c r="AG6665">
        <v>-1.1106495453280001</v>
      </c>
      <c r="AH6665">
        <v>21.4940650553187</v>
      </c>
      <c r="AI6665">
        <v>92.935016934877396</v>
      </c>
      <c r="AJ6665">
        <v>97.1499936595051</v>
      </c>
      <c r="AK6665">
        <v>21.6909721874637</v>
      </c>
      <c r="AL6665">
        <v>88.955837845407999</v>
      </c>
      <c r="AM6665">
        <v>98.010491686583094</v>
      </c>
      <c r="AN6665">
        <v>1.0000000665953399</v>
      </c>
    </row>
    <row r="6666" spans="1:40" x14ac:dyDescent="0.25">
      <c r="A6666" t="str">
        <f>"20190305135403330"</f>
        <v>20190305135403330</v>
      </c>
      <c r="B6666" t="str">
        <f>"1551765243316563"</f>
        <v>1551765243316563</v>
      </c>
      <c r="C6666" t="s">
        <v>40</v>
      </c>
      <c r="D6666">
        <v>4.4380959999999998</v>
      </c>
      <c r="E6666">
        <v>0.50434590000000001</v>
      </c>
      <c r="F6666" t="s">
        <v>42</v>
      </c>
      <c r="G6666">
        <v>-188.66030000000001</v>
      </c>
      <c r="H6666" s="1">
        <v>-2.9987429999999999E-6</v>
      </c>
      <c r="I6666">
        <v>116.069</v>
      </c>
      <c r="J6666">
        <v>-186.249</v>
      </c>
      <c r="K6666">
        <v>1.1107860000000001</v>
      </c>
      <c r="L6666">
        <v>93.957210000000003</v>
      </c>
      <c r="M6666">
        <v>1.931151E-2</v>
      </c>
      <c r="N6666">
        <v>-1.5848190000000002E-2</v>
      </c>
      <c r="O6666">
        <v>0.99968789999999996</v>
      </c>
      <c r="P6666">
        <v>-0.1216182</v>
      </c>
      <c r="Q6666">
        <v>3.8289769999999999E-3</v>
      </c>
      <c r="R6666">
        <v>0.99256960000000005</v>
      </c>
      <c r="S6666">
        <v>-0.31510929999999998</v>
      </c>
      <c r="T6666">
        <v>-0.1458786</v>
      </c>
      <c r="U6666">
        <v>2.9841609999999998</v>
      </c>
      <c r="V6666">
        <v>-0.1408664</v>
      </c>
      <c r="W6666">
        <v>1.8778E-2</v>
      </c>
      <c r="X6666">
        <v>0.98985049999999997</v>
      </c>
      <c r="Y6666">
        <v>-0.12407840000000001</v>
      </c>
      <c r="Z6666">
        <v>-3.2637609999999997E-2</v>
      </c>
      <c r="AA6666">
        <v>0.99173549999999999</v>
      </c>
      <c r="AB6666">
        <v>62</v>
      </c>
      <c r="AC6666">
        <v>-2.4112999999999798</v>
      </c>
      <c r="AD6666">
        <v>-1.110788998743</v>
      </c>
      <c r="AE6666">
        <v>22.111789999999999</v>
      </c>
      <c r="AF6666">
        <v>-2.8308559998314098</v>
      </c>
      <c r="AG6666">
        <v>-1.110788998743</v>
      </c>
      <c r="AH6666">
        <v>22.006212199275499</v>
      </c>
      <c r="AI6666">
        <v>92.866041831375099</v>
      </c>
      <c r="AJ6666">
        <v>97.330212329358801</v>
      </c>
      <c r="AK6666">
        <v>22.215331941050401</v>
      </c>
      <c r="AL6666">
        <v>88.924036595755794</v>
      </c>
      <c r="AM6666">
        <v>98.099421995272706</v>
      </c>
      <c r="AN6666">
        <v>0.99999998414160396</v>
      </c>
    </row>
    <row r="6667" spans="1:40" x14ac:dyDescent="0.25">
      <c r="A6667" t="str">
        <f>"20190305135403352"</f>
        <v>20190305135403352</v>
      </c>
      <c r="B6667" t="str">
        <f>"1551765243346819"</f>
        <v>1551765243346819</v>
      </c>
      <c r="C6667" t="s">
        <v>40</v>
      </c>
      <c r="D6667">
        <v>4.4249499999999999</v>
      </c>
      <c r="E6667">
        <v>0.5043221</v>
      </c>
      <c r="F6667" t="s">
        <v>42</v>
      </c>
      <c r="G6667">
        <v>-188.78819999999999</v>
      </c>
      <c r="H6667" s="1">
        <v>-3.4831210000000001E-6</v>
      </c>
      <c r="I6667">
        <v>117.251</v>
      </c>
      <c r="J6667">
        <v>-186.23779999999999</v>
      </c>
      <c r="K6667">
        <v>1.110927</v>
      </c>
      <c r="L6667">
        <v>94.566770000000005</v>
      </c>
      <c r="M6667">
        <v>1.75889999999999E-2</v>
      </c>
      <c r="N6667">
        <v>-1.5867510000000001E-2</v>
      </c>
      <c r="O6667">
        <v>0.99971940000000004</v>
      </c>
      <c r="P6667">
        <v>-0.12320399999999999</v>
      </c>
      <c r="Q6667">
        <v>4.242371E-3</v>
      </c>
      <c r="R6667">
        <v>0.99237229999999998</v>
      </c>
      <c r="S6667">
        <v>-0.32519530000000002</v>
      </c>
      <c r="T6667">
        <v>-0.1422552</v>
      </c>
      <c r="U6667">
        <v>2.9831539999999999</v>
      </c>
      <c r="V6667">
        <v>-0.1407516</v>
      </c>
      <c r="W6667">
        <v>1.9164170000000001E-2</v>
      </c>
      <c r="X6667">
        <v>0.9898595</v>
      </c>
      <c r="Y6667">
        <v>-0.1257229</v>
      </c>
      <c r="Z6667">
        <v>-3.1421539999999998E-2</v>
      </c>
      <c r="AA6667">
        <v>0.99156770000000005</v>
      </c>
      <c r="AB6667">
        <v>62</v>
      </c>
      <c r="AC6667">
        <v>-2.55039999999999</v>
      </c>
      <c r="AD6667">
        <v>-1.1109304831209901</v>
      </c>
      <c r="AE6667">
        <v>22.684229999999999</v>
      </c>
      <c r="AF6667">
        <v>-2.9420802435428599</v>
      </c>
      <c r="AG6667">
        <v>-1.1109304831209901</v>
      </c>
      <c r="AH6667">
        <v>22.5823693024888</v>
      </c>
      <c r="AI6667">
        <v>92.792807869998001</v>
      </c>
      <c r="AJ6667">
        <v>97.422810437461905</v>
      </c>
      <c r="AK6667">
        <v>22.8002939895906</v>
      </c>
      <c r="AL6667">
        <v>88.901906778187197</v>
      </c>
      <c r="AM6667">
        <v>98.092836188978197</v>
      </c>
      <c r="AN6667">
        <v>1.00000005402729</v>
      </c>
    </row>
    <row r="6668" spans="1:40" x14ac:dyDescent="0.25">
      <c r="A6668" t="str">
        <f>"20190305135403374"</f>
        <v>20190305135403374</v>
      </c>
      <c r="B6668" t="str">
        <f>"1551765243366339"</f>
        <v>1551765243366339</v>
      </c>
      <c r="C6668" t="s">
        <v>40</v>
      </c>
      <c r="D6668">
        <v>4.4629770000000004</v>
      </c>
      <c r="E6668">
        <v>0.50435649999999999</v>
      </c>
      <c r="F6668" t="s">
        <v>42</v>
      </c>
      <c r="G6668">
        <v>-188.87790000000001</v>
      </c>
      <c r="H6668" s="1">
        <v>-3.9583669999999998E-6</v>
      </c>
      <c r="I6668">
        <v>118.3959</v>
      </c>
      <c r="J6668">
        <v>-186.22749999999999</v>
      </c>
      <c r="K6668">
        <v>1.111084</v>
      </c>
      <c r="L6668">
        <v>95.193539999999999</v>
      </c>
      <c r="M6668">
        <v>1.5688110000000002E-2</v>
      </c>
      <c r="N6668">
        <v>-1.5884829999999999E-2</v>
      </c>
      <c r="O6668">
        <v>0.99975069999999999</v>
      </c>
      <c r="P6668">
        <v>-0.1237888</v>
      </c>
      <c r="Q6668">
        <v>3.5904520000000001E-3</v>
      </c>
      <c r="R6668">
        <v>0.99230209999999996</v>
      </c>
      <c r="S6668">
        <v>-0.33045960000000002</v>
      </c>
      <c r="T6668">
        <v>-0.1390527</v>
      </c>
      <c r="U6668">
        <v>2.9826350000000001</v>
      </c>
      <c r="V6668">
        <v>-0.13945569999999999</v>
      </c>
      <c r="W6668">
        <v>1.8487179999999999E-2</v>
      </c>
      <c r="X6668">
        <v>0.99005569999999998</v>
      </c>
      <c r="Y6668">
        <v>-0.12558910000000001</v>
      </c>
      <c r="Z6668">
        <v>-3.0348799999999999E-2</v>
      </c>
      <c r="AA6668">
        <v>0.991618</v>
      </c>
      <c r="AB6668">
        <v>62</v>
      </c>
      <c r="AC6668">
        <v>-2.6504000000000101</v>
      </c>
      <c r="AD6668">
        <v>-1.1110879583669999</v>
      </c>
      <c r="AE6668">
        <v>23.202359999999999</v>
      </c>
      <c r="AF6668">
        <v>-3.00731347248685</v>
      </c>
      <c r="AG6668">
        <v>-1.1110879583669999</v>
      </c>
      <c r="AH6668">
        <v>23.105616647907901</v>
      </c>
      <c r="AI6668">
        <v>92.730089708576998</v>
      </c>
      <c r="AJ6668">
        <v>97.415649934100699</v>
      </c>
      <c r="AK6668">
        <v>23.326979475558101</v>
      </c>
      <c r="AL6668">
        <v>88.940702241987097</v>
      </c>
      <c r="AM6668">
        <v>98.017730621321306</v>
      </c>
      <c r="AN6668">
        <v>0.99999997859466505</v>
      </c>
    </row>
    <row r="6669" spans="1:40" x14ac:dyDescent="0.25">
      <c r="A6669" t="str">
        <f>"20190305135403396"</f>
        <v>20190305135403396</v>
      </c>
      <c r="B6669" t="str">
        <f>"1551765243386838"</f>
        <v>1551765243386838</v>
      </c>
      <c r="C6669" t="s">
        <v>40</v>
      </c>
      <c r="D6669">
        <v>4.4463030000000003</v>
      </c>
      <c r="E6669">
        <v>0.50440289999999999</v>
      </c>
      <c r="F6669" t="s">
        <v>42</v>
      </c>
      <c r="G6669">
        <v>-188.8672</v>
      </c>
      <c r="H6669" s="1">
        <v>-4.1728239999999999E-6</v>
      </c>
      <c r="I6669">
        <v>118.8913</v>
      </c>
      <c r="J6669">
        <v>-186.21850000000001</v>
      </c>
      <c r="K6669">
        <v>1.1112470000000001</v>
      </c>
      <c r="L6669">
        <v>95.807130000000001</v>
      </c>
      <c r="M6669">
        <v>1.367749E-2</v>
      </c>
      <c r="N6669">
        <v>-1.5899739999999999E-2</v>
      </c>
      <c r="O6669">
        <v>0.99978009999999995</v>
      </c>
      <c r="P6669">
        <v>-0.12422850000000001</v>
      </c>
      <c r="Q6669">
        <v>3.0148359999999999E-3</v>
      </c>
      <c r="R6669">
        <v>0.99224909999999999</v>
      </c>
      <c r="S6669">
        <v>-0.33221440000000002</v>
      </c>
      <c r="T6669">
        <v>-0.13983010000000001</v>
      </c>
      <c r="U6669">
        <v>2.982361</v>
      </c>
      <c r="V6669">
        <v>-0.13790720000000001</v>
      </c>
      <c r="W6669">
        <v>1.7882169999999999E-2</v>
      </c>
      <c r="X6669">
        <v>0.99028369999999999</v>
      </c>
      <c r="Y6669">
        <v>-0.1241797</v>
      </c>
      <c r="Z6669">
        <v>-3.0602609999999999E-2</v>
      </c>
      <c r="AA6669">
        <v>0.99178770000000005</v>
      </c>
      <c r="AB6669">
        <v>62</v>
      </c>
      <c r="AC6669">
        <v>-2.6486999999999901</v>
      </c>
      <c r="AD6669">
        <v>-1.11125117282399</v>
      </c>
      <c r="AE6669">
        <v>23.08417</v>
      </c>
      <c r="AF6669">
        <v>-2.9574610933591798</v>
      </c>
      <c r="AG6669">
        <v>-1.11125117282399</v>
      </c>
      <c r="AH6669">
        <v>22.9931865891553</v>
      </c>
      <c r="AI6669">
        <v>92.744355169012493</v>
      </c>
      <c r="AJ6669">
        <v>97.329334140698705</v>
      </c>
      <c r="AK6669">
        <v>23.209224132046</v>
      </c>
      <c r="AL6669">
        <v>88.975372504485094</v>
      </c>
      <c r="AM6669">
        <v>97.928038911818604</v>
      </c>
      <c r="AN6669">
        <v>0.99999998715071903</v>
      </c>
    </row>
    <row r="6670" spans="1:40" x14ac:dyDescent="0.25">
      <c r="A6670" t="str">
        <f>"20190305135403420"</f>
        <v>20190305135403420</v>
      </c>
      <c r="B6670" t="str">
        <f>"1551765243417090"</f>
        <v>1551765243417090</v>
      </c>
      <c r="C6670" t="s">
        <v>40</v>
      </c>
      <c r="D6670">
        <v>4.8735460000000002</v>
      </c>
      <c r="E6670">
        <v>0.50438139999999998</v>
      </c>
      <c r="F6670" t="s">
        <v>42</v>
      </c>
      <c r="G6670">
        <v>-188.8528</v>
      </c>
      <c r="H6670" s="1">
        <v>-4.3902260000000002E-6</v>
      </c>
      <c r="I6670">
        <v>119.3921</v>
      </c>
      <c r="J6670">
        <v>-186.21080000000001</v>
      </c>
      <c r="K6670">
        <v>1.111442</v>
      </c>
      <c r="L6670">
        <v>96.424319999999994</v>
      </c>
      <c r="M6670">
        <v>1.1490419999999999E-2</v>
      </c>
      <c r="N6670">
        <v>-1.5913429999999999E-2</v>
      </c>
      <c r="O6670">
        <v>0.99980740000000001</v>
      </c>
      <c r="P6670">
        <v>-0.1229478</v>
      </c>
      <c r="Q6670">
        <v>2.5638520000000001E-3</v>
      </c>
      <c r="R6670">
        <v>0.99240980000000001</v>
      </c>
      <c r="S6670">
        <v>-0.33308409999999999</v>
      </c>
      <c r="T6670">
        <v>-0.14051079999999999</v>
      </c>
      <c r="U6670">
        <v>2.9821780000000002</v>
      </c>
      <c r="V6670">
        <v>-0.13446649999999999</v>
      </c>
      <c r="W6670">
        <v>1.7413040000000001E-2</v>
      </c>
      <c r="X6670">
        <v>0.99076520000000001</v>
      </c>
      <c r="Y6670">
        <v>-0.1223012</v>
      </c>
      <c r="Z6670">
        <v>-3.0826349999999999E-2</v>
      </c>
      <c r="AA6670">
        <v>0.99201419999999996</v>
      </c>
      <c r="AB6670">
        <v>61</v>
      </c>
      <c r="AC6670">
        <v>-2.6419999999999901</v>
      </c>
      <c r="AD6670">
        <v>-1.1114463902259999</v>
      </c>
      <c r="AE6670">
        <v>22.967780000000001</v>
      </c>
      <c r="AF6670">
        <v>-2.8990681745249298</v>
      </c>
      <c r="AG6670">
        <v>-1.1114463902259999</v>
      </c>
      <c r="AH6670">
        <v>22.8830155004418</v>
      </c>
      <c r="AI6670">
        <v>92.758699848119306</v>
      </c>
      <c r="AJ6670">
        <v>97.220383287243493</v>
      </c>
      <c r="AK6670">
        <v>23.092689487202399</v>
      </c>
      <c r="AL6670">
        <v>89.002255940928805</v>
      </c>
      <c r="AM6670">
        <v>97.728949794211701</v>
      </c>
      <c r="AN6670">
        <v>1.0000000675576599</v>
      </c>
    </row>
    <row r="6671" spans="1:40" x14ac:dyDescent="0.25">
      <c r="A6671" t="str">
        <f>"20190305135403442"</f>
        <v>20190305135403442</v>
      </c>
      <c r="B6671" t="str">
        <f>"1551765243436611"</f>
        <v>1551765243436611</v>
      </c>
      <c r="C6671" t="s">
        <v>40</v>
      </c>
      <c r="D6671">
        <v>4.7771480000000004</v>
      </c>
      <c r="E6671">
        <v>0.55964399999999903</v>
      </c>
      <c r="F6671" t="s">
        <v>78</v>
      </c>
      <c r="G6671">
        <v>-188.78620000000001</v>
      </c>
      <c r="H6671" s="1">
        <v>-3.4847159999999998E-7</v>
      </c>
      <c r="I6671">
        <v>119.7411</v>
      </c>
      <c r="J6671">
        <v>-186.2045</v>
      </c>
      <c r="K6671">
        <v>1.1116469999999901</v>
      </c>
      <c r="L6671">
        <v>97.039580000000001</v>
      </c>
      <c r="M6671">
        <v>9.1437040000000008E-3</v>
      </c>
      <c r="N6671">
        <v>-1.5926070000000001E-2</v>
      </c>
      <c r="O6671">
        <v>0.99983140000000004</v>
      </c>
      <c r="P6671">
        <v>-0.1223862</v>
      </c>
      <c r="Q6671">
        <v>3.134918E-3</v>
      </c>
      <c r="R6671">
        <v>0.99247759999999996</v>
      </c>
      <c r="S6671">
        <v>-0.32942199999999999</v>
      </c>
      <c r="T6671">
        <v>-0.142166299999999</v>
      </c>
      <c r="U6671">
        <v>2.9824830000000002</v>
      </c>
      <c r="V6671">
        <v>-0.131592299999999</v>
      </c>
      <c r="W6671">
        <v>1.7957979999999998E-2</v>
      </c>
      <c r="X6671">
        <v>0.9911413</v>
      </c>
      <c r="Y6671">
        <v>-0.1187559</v>
      </c>
      <c r="Z6671">
        <v>-3.1375970000000003E-2</v>
      </c>
      <c r="AA6671">
        <v>0.99242759999999997</v>
      </c>
      <c r="AB6671">
        <v>61</v>
      </c>
      <c r="AC6671">
        <v>-2.5817000000000099</v>
      </c>
      <c r="AD6671">
        <v>-1.1116473484715901</v>
      </c>
      <c r="AE6671">
        <v>22.701519999999999</v>
      </c>
      <c r="AF6671">
        <v>-2.7826072303126801</v>
      </c>
      <c r="AG6671">
        <v>-1.1116473484715901</v>
      </c>
      <c r="AH6671">
        <v>22.623406263708901</v>
      </c>
      <c r="AI6671">
        <v>92.792076155671893</v>
      </c>
      <c r="AJ6671">
        <v>97.011981122365995</v>
      </c>
      <c r="AK6671">
        <v>22.820980999912699</v>
      </c>
      <c r="AL6671">
        <v>88.971028277966596</v>
      </c>
      <c r="AM6671">
        <v>97.562841255868804</v>
      </c>
      <c r="AN6671">
        <v>1.0000000495153201</v>
      </c>
    </row>
    <row r="6672" spans="1:40" x14ac:dyDescent="0.25">
      <c r="A6672" t="str">
        <f>"20190305135403464"</f>
        <v>20190305135403464</v>
      </c>
      <c r="B6672" t="str">
        <f>"1551765243456131"</f>
        <v>1551765243456131</v>
      </c>
      <c r="C6672" t="s">
        <v>40</v>
      </c>
      <c r="D6672">
        <v>4.72079</v>
      </c>
      <c r="E6672">
        <v>0.56927240000000001</v>
      </c>
      <c r="F6672" t="s">
        <v>42</v>
      </c>
      <c r="G6672">
        <v>-185.56909999999999</v>
      </c>
      <c r="H6672" s="1">
        <v>-2.8018279999999999E-6</v>
      </c>
      <c r="I6672">
        <v>114.3318</v>
      </c>
      <c r="J6672">
        <v>-186.1996</v>
      </c>
      <c r="K6672">
        <v>1.1118749999999999</v>
      </c>
      <c r="L6672">
        <v>97.651399999999995</v>
      </c>
      <c r="M6672">
        <v>6.6786170000000004E-3</v>
      </c>
      <c r="N6672">
        <v>-1.5999929999999999E-2</v>
      </c>
      <c r="O6672">
        <v>0.99984969999999995</v>
      </c>
      <c r="P6672">
        <v>-0.1217618</v>
      </c>
      <c r="Q6672">
        <v>3.7010200000000002E-3</v>
      </c>
      <c r="R6672">
        <v>0.99255249999999995</v>
      </c>
      <c r="S6672">
        <v>0.1116028</v>
      </c>
      <c r="T6672">
        <v>-0.19524430000000001</v>
      </c>
      <c r="U6672">
        <v>3.0371090000000001</v>
      </c>
      <c r="V6672">
        <v>-0.1285376</v>
      </c>
      <c r="W6672">
        <v>1.856298E-2</v>
      </c>
      <c r="X6672">
        <v>0.99153089999999999</v>
      </c>
      <c r="Y6672">
        <v>2.9983969999999999E-2</v>
      </c>
      <c r="Z6672">
        <v>-4.8142459999999998E-2</v>
      </c>
      <c r="AA6672">
        <v>0.99839029999999995</v>
      </c>
      <c r="AB6672">
        <v>61</v>
      </c>
      <c r="AC6672">
        <v>0.63050000000001205</v>
      </c>
      <c r="AD6672">
        <v>-1.111877801828</v>
      </c>
      <c r="AE6672">
        <v>16.680399999999999</v>
      </c>
      <c r="AF6672">
        <v>0.51677677633119901</v>
      </c>
      <c r="AG6672">
        <v>-1.111877801828</v>
      </c>
      <c r="AH6672">
        <v>16.610539743603901</v>
      </c>
      <c r="AI6672">
        <v>93.827710649235499</v>
      </c>
      <c r="AJ6672">
        <v>88.218024148070896</v>
      </c>
      <c r="AK6672">
        <v>16.655730577089599</v>
      </c>
      <c r="AL6672">
        <v>88.936358512197103</v>
      </c>
      <c r="AM6672">
        <v>97.386373713362801</v>
      </c>
      <c r="AN6672">
        <v>1.0000000122475201</v>
      </c>
    </row>
    <row r="6673" spans="1:40" x14ac:dyDescent="0.25">
      <c r="A6673" t="str">
        <f>"20190305135403488"</f>
        <v>20190305135403488</v>
      </c>
      <c r="B6673" t="str">
        <f>"1551765243476627"</f>
        <v>1551765243476627</v>
      </c>
      <c r="C6673" t="s">
        <v>40</v>
      </c>
      <c r="D6673">
        <v>4.694814</v>
      </c>
      <c r="E6673">
        <v>0.57145259999999998</v>
      </c>
      <c r="F6673" t="s">
        <v>41</v>
      </c>
      <c r="G6673">
        <v>-186.1516</v>
      </c>
      <c r="H6673">
        <v>1.0478320000000001</v>
      </c>
      <c r="I6673">
        <v>98.413020000000003</v>
      </c>
      <c r="J6673">
        <v>-186.19640000000001</v>
      </c>
      <c r="K6673">
        <v>1.1121350000000001</v>
      </c>
      <c r="L6673">
        <v>98.278689999999997</v>
      </c>
      <c r="M6673">
        <v>4.0612829999999997E-3</v>
      </c>
      <c r="N6673">
        <v>-1.6241060000000002E-2</v>
      </c>
      <c r="O6673">
        <v>0.99985990000000002</v>
      </c>
      <c r="P6673">
        <v>-0.1221665</v>
      </c>
      <c r="Q6673">
        <v>4.5515779999999997E-3</v>
      </c>
      <c r="R6673">
        <v>0.99249920000000003</v>
      </c>
      <c r="S6673">
        <v>0.19174189999999999</v>
      </c>
      <c r="T6673">
        <v>-0.25637779999999999</v>
      </c>
      <c r="U6673">
        <v>3.0469970000000002</v>
      </c>
      <c r="V6673">
        <v>-0.1263637</v>
      </c>
      <c r="W6673">
        <v>1.9615649999999998E-2</v>
      </c>
      <c r="X6673">
        <v>0.99178999999999995</v>
      </c>
      <c r="Y6673">
        <v>5.8558720000000002E-2</v>
      </c>
      <c r="Z6673">
        <v>-6.7496780000000006E-2</v>
      </c>
      <c r="AA6673">
        <v>0.99599950000000004</v>
      </c>
      <c r="AB6673">
        <v>61</v>
      </c>
      <c r="AC6673">
        <v>4.4800000000009201E-2</v>
      </c>
      <c r="AD6673">
        <v>-6.4303000000000193E-2</v>
      </c>
      <c r="AE6673">
        <v>0.13432999999999101</v>
      </c>
      <c r="AF6673">
        <v>3.66884186318851E-2</v>
      </c>
      <c r="AG6673">
        <v>-6.4303000000000193E-2</v>
      </c>
      <c r="AH6673">
        <v>0.111515119175226</v>
      </c>
      <c r="AI6673">
        <v>118.711616091292</v>
      </c>
      <c r="AJ6673">
        <v>71.7888202136389</v>
      </c>
      <c r="AK6673">
        <v>0.133852671528712</v>
      </c>
      <c r="AL6673">
        <v>88.876033934892106</v>
      </c>
      <c r="AM6673">
        <v>97.260919253954697</v>
      </c>
      <c r="AN6673">
        <v>0.99999998125130596</v>
      </c>
    </row>
    <row r="6674" spans="1:40" x14ac:dyDescent="0.25">
      <c r="A6674" t="str">
        <f>"20190305135403510"</f>
        <v>20190305135403510</v>
      </c>
      <c r="B6674" t="str">
        <f>"1551765243506882"</f>
        <v>1551765243506882</v>
      </c>
      <c r="C6674" t="s">
        <v>40</v>
      </c>
      <c r="D6674">
        <v>4.7810990000000002</v>
      </c>
      <c r="E6674">
        <v>0.57299599999999995</v>
      </c>
      <c r="F6674" t="s">
        <v>41</v>
      </c>
      <c r="G6674">
        <v>-186.1138</v>
      </c>
      <c r="H6674">
        <v>1.0040500000000001</v>
      </c>
      <c r="I6674">
        <v>99.480050000000006</v>
      </c>
      <c r="J6674">
        <v>-186.19470000000001</v>
      </c>
      <c r="K6674">
        <v>1.1124000000000001</v>
      </c>
      <c r="L6674">
        <v>98.891909999999996</v>
      </c>
      <c r="M6674">
        <v>1.447821E-3</v>
      </c>
      <c r="N6674">
        <v>-1.6645989999999999E-2</v>
      </c>
      <c r="O6674">
        <v>0.99986039999999998</v>
      </c>
      <c r="P6674">
        <v>-0.1232321</v>
      </c>
      <c r="Q6674">
        <v>5.441403E-3</v>
      </c>
      <c r="R6674">
        <v>0.992363</v>
      </c>
      <c r="S6674">
        <v>0.20899960000000001</v>
      </c>
      <c r="T6674">
        <v>-0.27449889999999999</v>
      </c>
      <c r="U6674">
        <v>3.049652</v>
      </c>
      <c r="V6674">
        <v>-0.1248551</v>
      </c>
      <c r="W6674">
        <v>2.0872809999999999E-2</v>
      </c>
      <c r="X6674">
        <v>0.99195540000000004</v>
      </c>
      <c r="Y6674">
        <v>6.668644E-2</v>
      </c>
      <c r="Z6674">
        <v>-7.2852890000000003E-2</v>
      </c>
      <c r="AA6674">
        <v>0.99511079999999996</v>
      </c>
      <c r="AB6674">
        <v>61</v>
      </c>
      <c r="AC6674">
        <v>8.0900000000013905E-2</v>
      </c>
      <c r="AD6674">
        <v>-0.108349999999999</v>
      </c>
      <c r="AE6674">
        <v>0.58814000000000899</v>
      </c>
      <c r="AF6674">
        <v>7.7467929479215394E-2</v>
      </c>
      <c r="AG6674">
        <v>-0.108349999999999</v>
      </c>
      <c r="AH6674">
        <v>0.56929415192351696</v>
      </c>
      <c r="AI6674">
        <v>100.679719882429</v>
      </c>
      <c r="AJ6674">
        <v>82.250949030400307</v>
      </c>
      <c r="AK6674">
        <v>0.584668140069316</v>
      </c>
      <c r="AL6674">
        <v>88.803989216022998</v>
      </c>
      <c r="AM6674">
        <v>97.173959261563198</v>
      </c>
      <c r="AN6674">
        <v>0.99999999289123298</v>
      </c>
    </row>
    <row r="6675" spans="1:40" x14ac:dyDescent="0.25">
      <c r="A6675" t="str">
        <f>"20190305135403532"</f>
        <v>20190305135403532</v>
      </c>
      <c r="B6675" t="str">
        <f>"1551765243526403"</f>
        <v>1551765243526403</v>
      </c>
      <c r="C6675" t="s">
        <v>40</v>
      </c>
      <c r="D6675">
        <v>4.8421430000000001</v>
      </c>
      <c r="E6675">
        <v>0.57280369999999903</v>
      </c>
      <c r="F6675" t="s">
        <v>41</v>
      </c>
      <c r="G6675">
        <v>-186.11369999999999</v>
      </c>
      <c r="H6675">
        <v>1.007355</v>
      </c>
      <c r="I6675">
        <v>100.0252</v>
      </c>
      <c r="J6675">
        <v>-186.19479999999999</v>
      </c>
      <c r="K6675">
        <v>1.1126549999999999</v>
      </c>
      <c r="L6675">
        <v>99.493189999999998</v>
      </c>
      <c r="M6675">
        <v>-1.1428339999999999E-3</v>
      </c>
      <c r="N6675">
        <v>-1.7162239999999999E-2</v>
      </c>
      <c r="O6675">
        <v>0.99985210000000002</v>
      </c>
      <c r="P6675">
        <v>-0.123614</v>
      </c>
      <c r="Q6675">
        <v>5.9508089999999996E-3</v>
      </c>
      <c r="R6675">
        <v>0.99231259999999999</v>
      </c>
      <c r="S6675">
        <v>0.21830749999999999</v>
      </c>
      <c r="T6675">
        <v>-0.28289969999999998</v>
      </c>
      <c r="U6675">
        <v>3.051758</v>
      </c>
      <c r="V6675">
        <v>-0.1226825</v>
      </c>
      <c r="W6675">
        <v>2.1873940000000001E-2</v>
      </c>
      <c r="X6675">
        <v>0.99220489999999995</v>
      </c>
      <c r="Y6675">
        <v>7.2223979999999993E-2</v>
      </c>
      <c r="Z6675">
        <v>-7.4964219999999998E-2</v>
      </c>
      <c r="AA6675">
        <v>0.99456730000000004</v>
      </c>
      <c r="AB6675">
        <v>61</v>
      </c>
      <c r="AC6675">
        <v>8.1099999999992095E-2</v>
      </c>
      <c r="AD6675">
        <v>-0.10529999999999901</v>
      </c>
      <c r="AE6675">
        <v>0.53200999999999898</v>
      </c>
      <c r="AF6675">
        <v>7.8695111721966401E-2</v>
      </c>
      <c r="AG6675">
        <v>-0.10529999999999901</v>
      </c>
      <c r="AH6675">
        <v>0.51230290695401004</v>
      </c>
      <c r="AI6675">
        <v>101.48389191990699</v>
      </c>
      <c r="AJ6675">
        <v>81.267027331666398</v>
      </c>
      <c r="AK6675">
        <v>0.52890006530767397</v>
      </c>
      <c r="AL6675">
        <v>88.746615610093301</v>
      </c>
      <c r="AM6675">
        <v>97.048637628606102</v>
      </c>
      <c r="AN6675">
        <v>1.00000001432069</v>
      </c>
    </row>
    <row r="6676" spans="1:40" x14ac:dyDescent="0.25">
      <c r="A6676" t="str">
        <f>"20190305135403555"</f>
        <v>20190305135403555</v>
      </c>
      <c r="B6676" t="str">
        <f>"1551765243546899"</f>
        <v>1551765243546899</v>
      </c>
      <c r="C6676" t="s">
        <v>40</v>
      </c>
      <c r="D6676">
        <v>4.7764939999999996</v>
      </c>
      <c r="E6676">
        <v>0.57303539999999997</v>
      </c>
      <c r="F6676" t="s">
        <v>41</v>
      </c>
      <c r="G6676">
        <v>-186.11879999999999</v>
      </c>
      <c r="H6676">
        <v>1.008783</v>
      </c>
      <c r="I6676">
        <v>100.56780000000001</v>
      </c>
      <c r="J6676">
        <v>-186.19640000000001</v>
      </c>
      <c r="K6676">
        <v>1.112911</v>
      </c>
      <c r="L6676">
        <v>100.11</v>
      </c>
      <c r="M6676">
        <v>-3.7954590000000002E-3</v>
      </c>
      <c r="N6676">
        <v>-1.7768720000000002E-2</v>
      </c>
      <c r="O6676">
        <v>0.99983489999999997</v>
      </c>
      <c r="P6676">
        <v>-0.1237943</v>
      </c>
      <c r="Q6676">
        <v>6.3371139999999996E-3</v>
      </c>
      <c r="R6676">
        <v>0.99228769999999999</v>
      </c>
      <c r="S6676">
        <v>0.21519469999999999</v>
      </c>
      <c r="T6676">
        <v>-0.29509639999999998</v>
      </c>
      <c r="U6676">
        <v>3.0518190000000001</v>
      </c>
      <c r="V6676">
        <v>-0.120246699999999</v>
      </c>
      <c r="W6676">
        <v>2.2847880000000001E-2</v>
      </c>
      <c r="X6676">
        <v>0.9924811</v>
      </c>
      <c r="Y6676">
        <v>7.3834200000000003E-2</v>
      </c>
      <c r="Z6676">
        <v>-7.8291970000000002E-2</v>
      </c>
      <c r="AA6676">
        <v>0.99419259999999998</v>
      </c>
      <c r="AB6676">
        <v>61</v>
      </c>
      <c r="AC6676">
        <v>7.7600000000018099E-2</v>
      </c>
      <c r="AD6676">
        <v>-0.104128</v>
      </c>
      <c r="AE6676">
        <v>0.45780000000000598</v>
      </c>
      <c r="AF6676">
        <v>7.5538452665449202E-2</v>
      </c>
      <c r="AG6676">
        <v>-0.104128</v>
      </c>
      <c r="AH6676">
        <v>0.435596031979465</v>
      </c>
      <c r="AI6676">
        <v>103.253428384237</v>
      </c>
      <c r="AJ6676">
        <v>80.161948744676096</v>
      </c>
      <c r="AK6676">
        <v>0.45419445317104601</v>
      </c>
      <c r="AL6676">
        <v>88.690799000801306</v>
      </c>
      <c r="AM6676">
        <v>96.908152585145302</v>
      </c>
      <c r="AN6676">
        <v>1.00000001416929</v>
      </c>
    </row>
    <row r="6677" spans="1:40" x14ac:dyDescent="0.25">
      <c r="A6677" t="str">
        <f>"20190305135403576"</f>
        <v>20190305135403576</v>
      </c>
      <c r="B6677" t="str">
        <f>"1551765243566419"</f>
        <v>1551765243566419</v>
      </c>
      <c r="C6677" t="s">
        <v>40</v>
      </c>
      <c r="D6677">
        <v>4.8017370000000001</v>
      </c>
      <c r="E6677">
        <v>0.57307580000000002</v>
      </c>
      <c r="F6677" t="s">
        <v>41</v>
      </c>
      <c r="G6677">
        <v>-186.1258</v>
      </c>
      <c r="H6677">
        <v>1.012737</v>
      </c>
      <c r="I6677">
        <v>101.1101</v>
      </c>
      <c r="J6677">
        <v>-186.1995</v>
      </c>
      <c r="K6677">
        <v>1.113137</v>
      </c>
      <c r="L6677">
        <v>100.68129999999999</v>
      </c>
      <c r="M6677">
        <v>-6.2013279999999999E-3</v>
      </c>
      <c r="N6677">
        <v>-1.8409419999999999E-2</v>
      </c>
      <c r="O6677">
        <v>0.99981129999999996</v>
      </c>
      <c r="P6677">
        <v>-0.123602</v>
      </c>
      <c r="Q6677">
        <v>6.2537869999999898E-3</v>
      </c>
      <c r="R6677">
        <v>0.99231219999999998</v>
      </c>
      <c r="S6677">
        <v>0.21522520000000001</v>
      </c>
      <c r="T6677">
        <v>-0.3057491</v>
      </c>
      <c r="U6677">
        <v>3.0521240000000001</v>
      </c>
      <c r="V6677">
        <v>-0.1176765</v>
      </c>
      <c r="W6677">
        <v>2.3397999999999999E-2</v>
      </c>
      <c r="X6677">
        <v>0.99277629999999994</v>
      </c>
      <c r="Y6677">
        <v>7.6212920000000003E-2</v>
      </c>
      <c r="Z6677">
        <v>-8.1068169999999995E-2</v>
      </c>
      <c r="AA6677">
        <v>0.99379050000000002</v>
      </c>
      <c r="AB6677">
        <v>61</v>
      </c>
      <c r="AC6677">
        <v>7.3700000000002305E-2</v>
      </c>
      <c r="AD6677">
        <v>-0.1004</v>
      </c>
      <c r="AE6677">
        <v>0.42880000000000901</v>
      </c>
      <c r="AF6677">
        <v>7.2497707556653898E-2</v>
      </c>
      <c r="AG6677">
        <v>-0.1004</v>
      </c>
      <c r="AH6677">
        <v>0.40667923629601599</v>
      </c>
      <c r="AI6677">
        <v>103.66063150863999</v>
      </c>
      <c r="AJ6677">
        <v>79.892202634062599</v>
      </c>
      <c r="AK6677">
        <v>0.42511654735528898</v>
      </c>
      <c r="AL6677">
        <v>88.659271002582301</v>
      </c>
      <c r="AM6677">
        <v>96.759884951356298</v>
      </c>
      <c r="AN6677">
        <v>1.00000000344896</v>
      </c>
    </row>
    <row r="6678" spans="1:40" x14ac:dyDescent="0.25">
      <c r="A6678" t="str">
        <f>"20190305135403598"</f>
        <v>20190305135403598</v>
      </c>
      <c r="B6678" t="str">
        <f>"1551765243586915"</f>
        <v>1551765243586915</v>
      </c>
      <c r="C6678" t="s">
        <v>40</v>
      </c>
      <c r="D6678">
        <v>4.8605159999999996</v>
      </c>
      <c r="E6678">
        <v>0.57296029999999998</v>
      </c>
      <c r="F6678" t="s">
        <v>41</v>
      </c>
      <c r="G6678">
        <v>-186.1309</v>
      </c>
      <c r="H6678">
        <v>1.012902</v>
      </c>
      <c r="I6678">
        <v>101.64870000000001</v>
      </c>
      <c r="J6678">
        <v>-186.20429999999999</v>
      </c>
      <c r="K6678">
        <v>1.113356</v>
      </c>
      <c r="L6678">
        <v>101.2855</v>
      </c>
      <c r="M6678">
        <v>-8.6593079999999992E-3</v>
      </c>
      <c r="N6678">
        <v>-1.9199520000000001E-2</v>
      </c>
      <c r="O6678">
        <v>0.99977819999999995</v>
      </c>
      <c r="P6678">
        <v>-0.12327</v>
      </c>
      <c r="Q6678">
        <v>5.243658E-3</v>
      </c>
      <c r="R6678">
        <v>0.99235930000000006</v>
      </c>
      <c r="S6678">
        <v>0.2156372</v>
      </c>
      <c r="T6678">
        <v>-0.31635479999999999</v>
      </c>
      <c r="U6678">
        <v>3.0520939999999999</v>
      </c>
      <c r="V6678">
        <v>-0.1149049</v>
      </c>
      <c r="W6678">
        <v>2.3182999999999999E-2</v>
      </c>
      <c r="X6678">
        <v>0.99310589999999999</v>
      </c>
      <c r="Y6678">
        <v>7.8773259999999998E-2</v>
      </c>
      <c r="Z6678">
        <v>-8.3684410000000001E-2</v>
      </c>
      <c r="AA6678">
        <v>0.99337390000000003</v>
      </c>
      <c r="AB6678">
        <v>60</v>
      </c>
      <c r="AC6678">
        <v>7.3399999999992305E-2</v>
      </c>
      <c r="AD6678">
        <v>-0.100454</v>
      </c>
      <c r="AE6678">
        <v>0.36320000000000602</v>
      </c>
      <c r="AF6678">
        <v>7.1302504512929896E-2</v>
      </c>
      <c r="AG6678">
        <v>-0.100454</v>
      </c>
      <c r="AH6678">
        <v>0.33772923202569499</v>
      </c>
      <c r="AI6678">
        <v>106.226276712692</v>
      </c>
      <c r="AJ6678">
        <v>78.078593773383602</v>
      </c>
      <c r="AK6678">
        <v>0.35949421056601399</v>
      </c>
      <c r="AL6678">
        <v>88.671592877325693</v>
      </c>
      <c r="AM6678">
        <v>96.599921828138704</v>
      </c>
      <c r="AN6678">
        <v>0.99999995807390896</v>
      </c>
    </row>
    <row r="6679" spans="1:40" x14ac:dyDescent="0.25">
      <c r="A6679" t="str">
        <f>"20190305135403620"</f>
        <v>20190305135403620</v>
      </c>
      <c r="B6679" t="str">
        <f>"1551765243616195"</f>
        <v>1551765243616195</v>
      </c>
      <c r="C6679" t="s">
        <v>40</v>
      </c>
      <c r="D6679">
        <v>4.8834140000000001</v>
      </c>
      <c r="E6679">
        <v>0.57307140000000001</v>
      </c>
      <c r="F6679" t="s">
        <v>41</v>
      </c>
      <c r="G6679">
        <v>-186.14070000000001</v>
      </c>
      <c r="H6679">
        <v>1.016359</v>
      </c>
      <c r="I6679">
        <v>102.18680000000001</v>
      </c>
      <c r="J6679">
        <v>-186.21029999999999</v>
      </c>
      <c r="K6679">
        <v>1.1135349999999999</v>
      </c>
      <c r="L6679">
        <v>101.8462</v>
      </c>
      <c r="M6679">
        <v>-1.0846410000000001E-2</v>
      </c>
      <c r="N6679">
        <v>-2.00444E-2</v>
      </c>
      <c r="O6679">
        <v>0.99974019999999997</v>
      </c>
      <c r="P6679">
        <v>-0.1219331</v>
      </c>
      <c r="Q6679">
        <v>5.274445E-3</v>
      </c>
      <c r="R6679">
        <v>0.99252430000000003</v>
      </c>
      <c r="S6679">
        <v>0.21545410000000001</v>
      </c>
      <c r="T6679">
        <v>-0.32839059999999998</v>
      </c>
      <c r="U6679">
        <v>3.0516049999999999</v>
      </c>
      <c r="V6679">
        <v>-0.11140369999999999</v>
      </c>
      <c r="W6679">
        <v>2.408588E-2</v>
      </c>
      <c r="X6679">
        <v>0.99348329999999996</v>
      </c>
      <c r="Y6679">
        <v>8.0877000000000004E-2</v>
      </c>
      <c r="Z6679">
        <v>-8.672009E-2</v>
      </c>
      <c r="AA6679">
        <v>0.99294439999999995</v>
      </c>
      <c r="AB6679">
        <v>60</v>
      </c>
      <c r="AC6679">
        <v>6.95999999999799E-2</v>
      </c>
      <c r="AD6679">
        <v>-9.7175999999999901E-2</v>
      </c>
      <c r="AE6679">
        <v>0.34060000000000901</v>
      </c>
      <c r="AF6679">
        <v>6.7979176676265698E-2</v>
      </c>
      <c r="AG6679">
        <v>-9.7175999999999901E-2</v>
      </c>
      <c r="AH6679">
        <v>0.31519609975547203</v>
      </c>
      <c r="AI6679">
        <v>106.77143152076501</v>
      </c>
      <c r="AJ6679">
        <v>77.829287967497294</v>
      </c>
      <c r="AK6679">
        <v>0.33676835471677602</v>
      </c>
      <c r="AL6679">
        <v>88.619847250761197</v>
      </c>
      <c r="AM6679">
        <v>96.398102989136504</v>
      </c>
      <c r="AN6679">
        <v>0.99999999068397705</v>
      </c>
    </row>
    <row r="6680" spans="1:40" x14ac:dyDescent="0.25">
      <c r="A6680" t="str">
        <f>"20190305135403641"</f>
        <v>20190305135403641</v>
      </c>
      <c r="B6680" t="str">
        <f>"1551765243636691"</f>
        <v>1551765243636691</v>
      </c>
      <c r="C6680" t="s">
        <v>40</v>
      </c>
      <c r="D6680">
        <v>4.8468119999999999</v>
      </c>
      <c r="E6680">
        <v>0.57328639999999997</v>
      </c>
      <c r="F6680" t="s">
        <v>41</v>
      </c>
      <c r="G6680">
        <v>-186.14689999999999</v>
      </c>
      <c r="H6680">
        <v>1.016621</v>
      </c>
      <c r="I6680">
        <v>102.721</v>
      </c>
      <c r="J6680">
        <v>-186.21799999999999</v>
      </c>
      <c r="K6680">
        <v>1.11371</v>
      </c>
      <c r="L6680">
        <v>102.43470000000001</v>
      </c>
      <c r="M6680">
        <v>-1.303641E-2</v>
      </c>
      <c r="N6680">
        <v>-2.1028680000000001E-2</v>
      </c>
      <c r="O6680">
        <v>0.99969390000000002</v>
      </c>
      <c r="P6680">
        <v>-0.120385199999999</v>
      </c>
      <c r="Q6680">
        <v>6.4614659999999999E-3</v>
      </c>
      <c r="R6680">
        <v>0.99270619999999998</v>
      </c>
      <c r="S6680">
        <v>0.22044369999999999</v>
      </c>
      <c r="T6680">
        <v>-0.3382251</v>
      </c>
      <c r="U6680">
        <v>3.0514830000000002</v>
      </c>
      <c r="V6680">
        <v>-0.107698</v>
      </c>
      <c r="W6680">
        <v>2.6295789999999999E-2</v>
      </c>
      <c r="X6680">
        <v>0.99383580000000005</v>
      </c>
      <c r="Y6680">
        <v>8.4650550000000005E-2</v>
      </c>
      <c r="Z6680">
        <v>-8.8876759999999999E-2</v>
      </c>
      <c r="AA6680">
        <v>0.99243899999999996</v>
      </c>
      <c r="AB6680">
        <v>60</v>
      </c>
      <c r="AC6680">
        <v>7.1100000000001204E-2</v>
      </c>
      <c r="AD6680">
        <v>-9.7088999999999898E-2</v>
      </c>
      <c r="AE6680">
        <v>0.286299999999997</v>
      </c>
      <c r="AF6680">
        <v>6.7514022280606101E-2</v>
      </c>
      <c r="AG6680">
        <v>-9.7088999999999898E-2</v>
      </c>
      <c r="AH6680">
        <v>0.25746057483708001</v>
      </c>
      <c r="AI6680">
        <v>110.040414244001</v>
      </c>
      <c r="AJ6680">
        <v>75.3061414025765</v>
      </c>
      <c r="AK6680">
        <v>0.28332025116631898</v>
      </c>
      <c r="AL6680">
        <v>88.493188471459902</v>
      </c>
      <c r="AM6680">
        <v>96.184779523304002</v>
      </c>
      <c r="AN6680">
        <v>0.99999996256868096</v>
      </c>
    </row>
    <row r="6681" spans="1:40" x14ac:dyDescent="0.25">
      <c r="A6681" t="str">
        <f>"20190305135403665"</f>
        <v>20190305135403665</v>
      </c>
      <c r="B6681" t="str">
        <f>"1551765243657187"</f>
        <v>1551765243657187</v>
      </c>
      <c r="C6681" t="s">
        <v>40</v>
      </c>
      <c r="D6681">
        <v>4.8661209999999997</v>
      </c>
      <c r="E6681">
        <v>0.57331719999999997</v>
      </c>
      <c r="F6681" t="s">
        <v>41</v>
      </c>
      <c r="G6681">
        <v>-186.15700000000001</v>
      </c>
      <c r="H6681">
        <v>1.022295</v>
      </c>
      <c r="I6681">
        <v>103.2552</v>
      </c>
      <c r="J6681">
        <v>-186.2278</v>
      </c>
      <c r="K6681">
        <v>1.113861</v>
      </c>
      <c r="L6681">
        <v>103.06140000000001</v>
      </c>
      <c r="M6681">
        <v>-1.523968E-2</v>
      </c>
      <c r="N6681">
        <v>-2.2150639999999999E-2</v>
      </c>
      <c r="O6681">
        <v>0.99963849999999999</v>
      </c>
      <c r="P6681">
        <v>-0.1185437</v>
      </c>
      <c r="Q6681">
        <v>8.8407920000000001E-3</v>
      </c>
      <c r="R6681">
        <v>0.9929095</v>
      </c>
      <c r="S6681">
        <v>0.2267303</v>
      </c>
      <c r="T6681">
        <v>-0.33998579999999901</v>
      </c>
      <c r="U6681">
        <v>3.051758</v>
      </c>
      <c r="V6681">
        <v>-0.1036947</v>
      </c>
      <c r="W6681">
        <v>2.9846350000000001E-2</v>
      </c>
      <c r="X6681">
        <v>0.99416119999999997</v>
      </c>
      <c r="Y6681">
        <v>8.8863070000000002E-2</v>
      </c>
      <c r="Z6681">
        <v>-8.8278809999999999E-2</v>
      </c>
      <c r="AA6681">
        <v>0.99212409999999995</v>
      </c>
      <c r="AB6681">
        <v>60</v>
      </c>
      <c r="AC6681">
        <v>7.07999999999913E-2</v>
      </c>
      <c r="AD6681">
        <v>-9.15659999999998E-2</v>
      </c>
      <c r="AE6681">
        <v>0.193799999999996</v>
      </c>
      <c r="AF6681">
        <v>6.1611603863471899E-2</v>
      </c>
      <c r="AG6681">
        <v>-9.15659999999998E-2</v>
      </c>
      <c r="AH6681">
        <v>0.160991191753103</v>
      </c>
      <c r="AI6681">
        <v>117.976939208489</v>
      </c>
      <c r="AJ6681">
        <v>69.058066234869997</v>
      </c>
      <c r="AK6681">
        <v>0.195188334458578</v>
      </c>
      <c r="AL6681">
        <v>88.2896760229509</v>
      </c>
      <c r="AM6681">
        <v>95.954630578283798</v>
      </c>
      <c r="AN6681">
        <v>0.99999994350092403</v>
      </c>
    </row>
    <row r="6682" spans="1:40" x14ac:dyDescent="0.25">
      <c r="A6682" t="str">
        <f>"20190305135403689"</f>
        <v>20190305135403689</v>
      </c>
      <c r="B6682" t="str">
        <f>"1551765243676707"</f>
        <v>1551765243676707</v>
      </c>
      <c r="C6682" t="s">
        <v>40</v>
      </c>
      <c r="D6682">
        <v>4.884951</v>
      </c>
      <c r="E6682">
        <v>0.5733608</v>
      </c>
      <c r="F6682" t="s">
        <v>41</v>
      </c>
      <c r="G6682">
        <v>-186.17230000000001</v>
      </c>
      <c r="H6682">
        <v>1.0328710000000001</v>
      </c>
      <c r="I6682">
        <v>103.7891</v>
      </c>
      <c r="J6682">
        <v>-186.239</v>
      </c>
      <c r="K6682">
        <v>1.1139300000000001</v>
      </c>
      <c r="L6682">
        <v>103.67</v>
      </c>
      <c r="M6682">
        <v>-1.7291569999999999E-2</v>
      </c>
      <c r="N6682">
        <v>-2.325317E-2</v>
      </c>
      <c r="O6682">
        <v>0.99958009999999997</v>
      </c>
      <c r="P6682">
        <v>-0.11629399999999999</v>
      </c>
      <c r="Q6682">
        <v>1.0717920000000001E-2</v>
      </c>
      <c r="R6682">
        <v>0.99315699999999996</v>
      </c>
      <c r="S6682">
        <v>0.23193359999999999</v>
      </c>
      <c r="T6682">
        <v>-0.339804299999999</v>
      </c>
      <c r="U6682">
        <v>3.0521389999999999</v>
      </c>
      <c r="V6682">
        <v>-9.9422060000000007E-2</v>
      </c>
      <c r="W6682">
        <v>3.2890889999999999E-2</v>
      </c>
      <c r="X6682">
        <v>0.99450159999999999</v>
      </c>
      <c r="Y6682">
        <v>9.2574660000000003E-2</v>
      </c>
      <c r="Z6682">
        <v>-8.7074470000000001E-2</v>
      </c>
      <c r="AA6682">
        <v>0.99189110000000003</v>
      </c>
      <c r="AB6682">
        <v>59</v>
      </c>
      <c r="AC6682">
        <v>6.6699999999997303E-2</v>
      </c>
      <c r="AD6682">
        <v>-8.1058999999999895E-2</v>
      </c>
      <c r="AE6682">
        <v>0.119100000000003</v>
      </c>
      <c r="AF6682">
        <v>5.0827395685145597E-2</v>
      </c>
      <c r="AG6682">
        <v>-8.1058999999999895E-2</v>
      </c>
      <c r="AH6682">
        <v>8.7185444439856194E-2</v>
      </c>
      <c r="AI6682">
        <v>128.77161535914999</v>
      </c>
      <c r="AJ6682">
        <v>59.758657468549799</v>
      </c>
      <c r="AK6682">
        <v>0.12944221627934799</v>
      </c>
      <c r="AL6682">
        <v>88.115150862393605</v>
      </c>
      <c r="AM6682">
        <v>95.708990249021198</v>
      </c>
      <c r="AN6682">
        <v>0.999999994531097</v>
      </c>
    </row>
    <row r="6683" spans="1:40" x14ac:dyDescent="0.25">
      <c r="A6683" t="str">
        <f>"20190305135403711"</f>
        <v>20190305135403711</v>
      </c>
      <c r="B6683" t="str">
        <f>"1551765243706962"</f>
        <v>1551765243706962</v>
      </c>
      <c r="C6683" t="s">
        <v>40</v>
      </c>
      <c r="D6683">
        <v>4.8316809999999997</v>
      </c>
      <c r="E6683">
        <v>0.57348920000000003</v>
      </c>
      <c r="F6683" t="s">
        <v>41</v>
      </c>
      <c r="G6683">
        <v>-186.14940000000001</v>
      </c>
      <c r="H6683">
        <v>0.98639710000000003</v>
      </c>
      <c r="I6683">
        <v>104.8159</v>
      </c>
      <c r="J6683">
        <v>-186.25149999999999</v>
      </c>
      <c r="K6683">
        <v>1.1139300000000001</v>
      </c>
      <c r="L6683">
        <v>104.27330000000001</v>
      </c>
      <c r="M6683">
        <v>-1.9336260000000001E-2</v>
      </c>
      <c r="N6683">
        <v>-2.4310310000000002E-2</v>
      </c>
      <c r="O6683">
        <v>0.9995174</v>
      </c>
      <c r="P6683">
        <v>-0.113743899999999</v>
      </c>
      <c r="Q6683">
        <v>1.151926E-2</v>
      </c>
      <c r="R6683">
        <v>0.99344330000000003</v>
      </c>
      <c r="S6683">
        <v>0.23854059999999999</v>
      </c>
      <c r="T6683">
        <v>-0.33973120000000001</v>
      </c>
      <c r="U6683">
        <v>3.0522770000000001</v>
      </c>
      <c r="V6683">
        <v>-9.4837649999999996E-2</v>
      </c>
      <c r="W6683">
        <v>3.48305E-2</v>
      </c>
      <c r="X6683">
        <v>0.99488319999999997</v>
      </c>
      <c r="Y6683">
        <v>9.6735009999999996E-2</v>
      </c>
      <c r="Z6683">
        <v>-8.595245E-2</v>
      </c>
      <c r="AA6683">
        <v>0.99159189999999997</v>
      </c>
      <c r="AB6683">
        <v>59</v>
      </c>
      <c r="AC6683">
        <v>0.102099999999978</v>
      </c>
      <c r="AD6683">
        <v>-0.12753289999999901</v>
      </c>
      <c r="AE6683">
        <v>0.54259999999999298</v>
      </c>
      <c r="AF6683">
        <v>0.106873632615337</v>
      </c>
      <c r="AG6683">
        <v>-0.12753289999999901</v>
      </c>
      <c r="AH6683">
        <v>0.51314492057251404</v>
      </c>
      <c r="AI6683">
        <v>103.674966183224</v>
      </c>
      <c r="AJ6683">
        <v>78.235088304859303</v>
      </c>
      <c r="AK6683">
        <v>0.53944816566578502</v>
      </c>
      <c r="AL6683">
        <v>88.003955550098794</v>
      </c>
      <c r="AM6683">
        <v>95.445289849163203</v>
      </c>
      <c r="AN6683">
        <v>0.99999996261500501</v>
      </c>
    </row>
    <row r="6684" spans="1:40" x14ac:dyDescent="0.25">
      <c r="A6684" t="str">
        <f>"20190305135403734"</f>
        <v>20190305135403734</v>
      </c>
      <c r="B6684" t="str">
        <f>"1551765243726483"</f>
        <v>1551765243726483</v>
      </c>
      <c r="C6684" t="s">
        <v>40</v>
      </c>
      <c r="D6684">
        <v>4.8693549999999997</v>
      </c>
      <c r="E6684">
        <v>0.57357279999999999</v>
      </c>
      <c r="F6684" t="s">
        <v>41</v>
      </c>
      <c r="G6684">
        <v>-186.1652</v>
      </c>
      <c r="H6684">
        <v>0.99367380000000005</v>
      </c>
      <c r="I6684">
        <v>105.3395</v>
      </c>
      <c r="J6684">
        <v>-186.26429999999999</v>
      </c>
      <c r="K6684">
        <v>1.1138749999999999</v>
      </c>
      <c r="L6684">
        <v>104.8404</v>
      </c>
      <c r="M6684">
        <v>-2.1289530000000001E-2</v>
      </c>
      <c r="N6684">
        <v>-2.527395E-2</v>
      </c>
      <c r="O6684">
        <v>0.99945379999999995</v>
      </c>
      <c r="P6684">
        <v>-0.1110806</v>
      </c>
      <c r="Q6684">
        <v>1.081875E-2</v>
      </c>
      <c r="R6684">
        <v>0.99375250000000004</v>
      </c>
      <c r="S6684">
        <v>0.2468262</v>
      </c>
      <c r="T6684">
        <v>-0.3442672</v>
      </c>
      <c r="U6684">
        <v>3.052063</v>
      </c>
      <c r="V6684">
        <v>-9.021113E-2</v>
      </c>
      <c r="W6684">
        <v>3.5178389999999997E-2</v>
      </c>
      <c r="X6684">
        <v>0.9953012</v>
      </c>
      <c r="Y6684">
        <v>0.10133929999999999</v>
      </c>
      <c r="Z6684">
        <v>-8.6408529999999997E-2</v>
      </c>
      <c r="AA6684">
        <v>0.99109230000000004</v>
      </c>
      <c r="AB6684">
        <v>58</v>
      </c>
      <c r="AC6684">
        <v>9.9099999999992805E-2</v>
      </c>
      <c r="AD6684">
        <v>-0.12020119999999899</v>
      </c>
      <c r="AE6684">
        <v>0.49909999999999799</v>
      </c>
      <c r="AF6684">
        <v>0.10390824354181701</v>
      </c>
      <c r="AG6684">
        <v>-0.12020119999999899</v>
      </c>
      <c r="AH6684">
        <v>0.47061510563880798</v>
      </c>
      <c r="AI6684">
        <v>104.004213592966</v>
      </c>
      <c r="AJ6684">
        <v>77.549282908764397</v>
      </c>
      <c r="AK6684">
        <v>0.49671302500821501</v>
      </c>
      <c r="AL6684">
        <v>87.984010819050596</v>
      </c>
      <c r="AM6684">
        <v>95.178967516348095</v>
      </c>
      <c r="AN6684">
        <v>1.00000002291015</v>
      </c>
    </row>
    <row r="6685" spans="1:40" x14ac:dyDescent="0.25">
      <c r="A6685" t="str">
        <f>"20190305135403756"</f>
        <v>20190305135403756</v>
      </c>
      <c r="B6685" t="str">
        <f>"1551765243746979"</f>
        <v>1551765243746979</v>
      </c>
      <c r="C6685" t="s">
        <v>40</v>
      </c>
      <c r="D6685">
        <v>4.7893270000000001</v>
      </c>
      <c r="E6685">
        <v>0.57369169999999903</v>
      </c>
      <c r="F6685" t="s">
        <v>41</v>
      </c>
      <c r="G6685">
        <v>-186.179</v>
      </c>
      <c r="H6685">
        <v>0.99720140000000002</v>
      </c>
      <c r="I6685">
        <v>105.8582</v>
      </c>
      <c r="J6685">
        <v>-186.27860000000001</v>
      </c>
      <c r="K6685">
        <v>1.113796</v>
      </c>
      <c r="L6685">
        <v>105.42140000000001</v>
      </c>
      <c r="M6685">
        <v>-2.330161E-2</v>
      </c>
      <c r="N6685">
        <v>-2.6239450000000001E-2</v>
      </c>
      <c r="O6685">
        <v>0.99938400000000005</v>
      </c>
      <c r="P6685">
        <v>-0.1075937</v>
      </c>
      <c r="Q6685">
        <v>9.4476690000000006E-3</v>
      </c>
      <c r="R6685">
        <v>0.99414999999999998</v>
      </c>
      <c r="S6685">
        <v>0.25552370000000002</v>
      </c>
      <c r="T6685">
        <v>-0.3498</v>
      </c>
      <c r="U6685">
        <v>3.0512389999999998</v>
      </c>
      <c r="V6685">
        <v>-8.4692080000000003E-2</v>
      </c>
      <c r="W6685">
        <v>3.4867199999999897E-2</v>
      </c>
      <c r="X6685">
        <v>0.99579689999999998</v>
      </c>
      <c r="Y6685">
        <v>0.1061438</v>
      </c>
      <c r="Z6685">
        <v>-8.7198380000000006E-2</v>
      </c>
      <c r="AA6685">
        <v>0.99052010000000001</v>
      </c>
      <c r="AB6685">
        <v>58</v>
      </c>
      <c r="AC6685">
        <v>9.9600000000009403E-2</v>
      </c>
      <c r="AD6685">
        <v>-0.11659459999999899</v>
      </c>
      <c r="AE6685">
        <v>0.43679999999999097</v>
      </c>
      <c r="AF6685">
        <v>0.102792495787548</v>
      </c>
      <c r="AG6685">
        <v>-0.11659459999999899</v>
      </c>
      <c r="AH6685">
        <v>0.406806825802908</v>
      </c>
      <c r="AI6685">
        <v>105.529315179713</v>
      </c>
      <c r="AJ6685">
        <v>75.819255312222694</v>
      </c>
      <c r="AK6685">
        <v>0.43549097747166998</v>
      </c>
      <c r="AL6685">
        <v>88.001851527774704</v>
      </c>
      <c r="AM6685">
        <v>94.861281649182899</v>
      </c>
      <c r="AN6685">
        <v>0.99999996805008695</v>
      </c>
    </row>
    <row r="6686" spans="1:40" x14ac:dyDescent="0.25">
      <c r="A6686" t="str">
        <f>"20190305135403779"</f>
        <v>20190305135403779</v>
      </c>
      <c r="B6686" t="str">
        <f>"1551765243766499"</f>
        <v>1551765243766499</v>
      </c>
      <c r="C6686" t="s">
        <v>40</v>
      </c>
      <c r="D6686">
        <v>4.8178000000000001</v>
      </c>
      <c r="E6686">
        <v>0.5737776</v>
      </c>
      <c r="F6686" t="s">
        <v>41</v>
      </c>
      <c r="G6686">
        <v>-186.1953</v>
      </c>
      <c r="H6686">
        <v>1.0023740000000001</v>
      </c>
      <c r="I6686">
        <v>106.3745</v>
      </c>
      <c r="J6686">
        <v>-186.29349999999999</v>
      </c>
      <c r="K6686">
        <v>1.113745</v>
      </c>
      <c r="L6686">
        <v>105.988</v>
      </c>
      <c r="M6686">
        <v>-2.522098E-2</v>
      </c>
      <c r="N6686">
        <v>-2.719912E-2</v>
      </c>
      <c r="O6686">
        <v>0.99931179999999997</v>
      </c>
      <c r="P6686">
        <v>-0.1033101</v>
      </c>
      <c r="Q6686">
        <v>7.8365969999999903E-3</v>
      </c>
      <c r="R6686">
        <v>0.99461829999999996</v>
      </c>
      <c r="S6686">
        <v>0.26644899999999999</v>
      </c>
      <c r="T6686">
        <v>-0.35650739999999997</v>
      </c>
      <c r="U6686">
        <v>3.0498660000000002</v>
      </c>
      <c r="V6686">
        <v>-7.8464530000000005E-2</v>
      </c>
      <c r="W6686">
        <v>3.4312009999999997E-2</v>
      </c>
      <c r="X6686">
        <v>0.9963263</v>
      </c>
      <c r="Y6686">
        <v>0.111580399999999</v>
      </c>
      <c r="Z6686">
        <v>-8.8379199999999894E-2</v>
      </c>
      <c r="AA6686">
        <v>0.98981759999999996</v>
      </c>
      <c r="AB6686">
        <v>58</v>
      </c>
      <c r="AC6686">
        <v>9.8199999999991405E-2</v>
      </c>
      <c r="AD6686">
        <v>-0.111371</v>
      </c>
      <c r="AE6686">
        <v>0.38649999999999801</v>
      </c>
      <c r="AF6686">
        <v>0.10011184020076799</v>
      </c>
      <c r="AG6686">
        <v>-0.111371</v>
      </c>
      <c r="AH6686">
        <v>0.35612285780619102</v>
      </c>
      <c r="AI6686">
        <v>106.755063836071</v>
      </c>
      <c r="AJ6686">
        <v>74.298476229297705</v>
      </c>
      <c r="AK6686">
        <v>0.386328060126925</v>
      </c>
      <c r="AL6686">
        <v>88.033680773436203</v>
      </c>
      <c r="AM6686">
        <v>94.502969067475902</v>
      </c>
      <c r="AN6686">
        <v>1.00000004628502</v>
      </c>
    </row>
    <row r="6687" spans="1:40" x14ac:dyDescent="0.25">
      <c r="A6687" t="str">
        <f>"20190305135403799"</f>
        <v>20190305135403799</v>
      </c>
      <c r="B6687" t="str">
        <f>"1551765243786994"</f>
        <v>1551765243786994</v>
      </c>
      <c r="C6687" t="s">
        <v>40</v>
      </c>
      <c r="D6687">
        <v>4.8653050000000002</v>
      </c>
      <c r="E6687">
        <v>0.57398329999999997</v>
      </c>
      <c r="F6687" t="s">
        <v>41</v>
      </c>
      <c r="G6687">
        <v>-186.21090000000001</v>
      </c>
      <c r="H6687">
        <v>1.006251</v>
      </c>
      <c r="I6687">
        <v>106.88679999999999</v>
      </c>
      <c r="J6687">
        <v>-186.30850000000001</v>
      </c>
      <c r="K6687">
        <v>1.1137090000000001</v>
      </c>
      <c r="L6687">
        <v>106.5223</v>
      </c>
      <c r="M6687">
        <v>-2.694649E-2</v>
      </c>
      <c r="N6687">
        <v>-2.8147660000000001E-2</v>
      </c>
      <c r="O6687">
        <v>0.99924049999999998</v>
      </c>
      <c r="P6687">
        <v>-9.8900639999999998E-2</v>
      </c>
      <c r="Q6687">
        <v>5.8959529999999998E-3</v>
      </c>
      <c r="R6687">
        <v>0.99507990000000002</v>
      </c>
      <c r="S6687">
        <v>0.27972409999999998</v>
      </c>
      <c r="T6687">
        <v>-0.3645854</v>
      </c>
      <c r="U6687">
        <v>3.0481569999999998</v>
      </c>
      <c r="V6687">
        <v>-7.2301539999999997E-2</v>
      </c>
      <c r="W6687">
        <v>3.3408439999999998E-2</v>
      </c>
      <c r="X6687">
        <v>0.99682309999999996</v>
      </c>
      <c r="Y6687">
        <v>0.1175802</v>
      </c>
      <c r="Z6687">
        <v>-9.0010419999999994E-2</v>
      </c>
      <c r="AA6687">
        <v>0.98897579999999996</v>
      </c>
      <c r="AB6687">
        <v>57</v>
      </c>
      <c r="AC6687">
        <v>9.7599999999999895E-2</v>
      </c>
      <c r="AD6687">
        <v>-0.107458</v>
      </c>
      <c r="AE6687">
        <v>0.364499999999992</v>
      </c>
      <c r="AF6687">
        <v>9.9334583260183504E-2</v>
      </c>
      <c r="AG6687">
        <v>-0.107458</v>
      </c>
      <c r="AH6687">
        <v>0.334601039201814</v>
      </c>
      <c r="AI6687">
        <v>107.11213245925499</v>
      </c>
      <c r="AJ6687">
        <v>73.465177919110602</v>
      </c>
      <c r="AK6687">
        <v>0.36520191213958297</v>
      </c>
      <c r="AL6687">
        <v>88.085481067405496</v>
      </c>
      <c r="AM6687">
        <v>94.1485108079805</v>
      </c>
      <c r="AN6687">
        <v>0.99999996462160601</v>
      </c>
    </row>
    <row r="6688" spans="1:40" x14ac:dyDescent="0.25">
      <c r="A6688" t="str">
        <f>"20190305135403820"</f>
        <v>20190305135403820</v>
      </c>
      <c r="B6688" t="str">
        <f>"1551765243817252"</f>
        <v>1551765243817252</v>
      </c>
      <c r="C6688" t="s">
        <v>40</v>
      </c>
      <c r="D6688">
        <v>4.8669909999999996</v>
      </c>
      <c r="E6688">
        <v>0.57407489999999906</v>
      </c>
      <c r="F6688" t="s">
        <v>41</v>
      </c>
      <c r="G6688">
        <v>-186.2242</v>
      </c>
      <c r="H6688">
        <v>1.0068269999999999</v>
      </c>
      <c r="I6688">
        <v>107.3938</v>
      </c>
      <c r="J6688">
        <v>-186.32380000000001</v>
      </c>
      <c r="K6688">
        <v>1.1136699999999999</v>
      </c>
      <c r="L6688">
        <v>107.0431</v>
      </c>
      <c r="M6688">
        <v>-2.8521100000000001E-2</v>
      </c>
      <c r="N6688">
        <v>-2.9104330000000001E-2</v>
      </c>
      <c r="O6688">
        <v>0.99916939999999999</v>
      </c>
      <c r="P6688">
        <v>-9.3898869999999995E-2</v>
      </c>
      <c r="Q6688">
        <v>4.6278909999999899E-3</v>
      </c>
      <c r="R6688">
        <v>0.99557099999999998</v>
      </c>
      <c r="S6688">
        <v>0.2946472</v>
      </c>
      <c r="T6688">
        <v>-0.3735811</v>
      </c>
      <c r="U6688">
        <v>3.0463260000000001</v>
      </c>
      <c r="V6688">
        <v>-6.56997E-2</v>
      </c>
      <c r="W6688">
        <v>3.3184930000000001E-2</v>
      </c>
      <c r="X6688">
        <v>0.99728749999999999</v>
      </c>
      <c r="Y6688">
        <v>0.1239533</v>
      </c>
      <c r="Z6688">
        <v>-9.1920089999999996E-2</v>
      </c>
      <c r="AA6688">
        <v>0.98802140000000005</v>
      </c>
      <c r="AB6688">
        <v>57</v>
      </c>
      <c r="AC6688">
        <v>9.9600000000009403E-2</v>
      </c>
      <c r="AD6688">
        <v>-0.10684299999999999</v>
      </c>
      <c r="AE6688">
        <v>0.35070000000000301</v>
      </c>
      <c r="AF6688">
        <v>0.100899944240208</v>
      </c>
      <c r="AG6688">
        <v>-0.10684299999999999</v>
      </c>
      <c r="AH6688">
        <v>0.32021287039133001</v>
      </c>
      <c r="AI6688">
        <v>107.653015602357</v>
      </c>
      <c r="AJ6688">
        <v>72.510219036030094</v>
      </c>
      <c r="AK6688">
        <v>0.35232443537304098</v>
      </c>
      <c r="AL6688">
        <v>88.098294465168195</v>
      </c>
      <c r="AM6688">
        <v>93.769107703195402</v>
      </c>
      <c r="AN6688">
        <v>1.00000002390772</v>
      </c>
    </row>
    <row r="6689" spans="1:40" x14ac:dyDescent="0.25">
      <c r="A6689" t="str">
        <f>"20190305135403843"</f>
        <v>20190305135403843</v>
      </c>
      <c r="B6689" t="str">
        <f>"1551765243836772"</f>
        <v>1551765243836772</v>
      </c>
      <c r="C6689" t="s">
        <v>40</v>
      </c>
      <c r="D6689">
        <v>4.8868660000000004</v>
      </c>
      <c r="E6689">
        <v>0.57416650000000002</v>
      </c>
      <c r="F6689" t="s">
        <v>41</v>
      </c>
      <c r="G6689">
        <v>-186.2363</v>
      </c>
      <c r="H6689">
        <v>1.007344</v>
      </c>
      <c r="I6689">
        <v>107.8972</v>
      </c>
      <c r="J6689">
        <v>-186.34190000000001</v>
      </c>
      <c r="K6689">
        <v>1.1135969999999999</v>
      </c>
      <c r="L6689">
        <v>107.6306</v>
      </c>
      <c r="M6689">
        <v>-3.0143880000000001E-2</v>
      </c>
      <c r="N6689">
        <v>-3.0187680000000001E-2</v>
      </c>
      <c r="O6689">
        <v>0.99908960000000002</v>
      </c>
      <c r="P6689">
        <v>-8.7620310000000007E-2</v>
      </c>
      <c r="Q6689">
        <v>3.859454E-3</v>
      </c>
      <c r="R6689">
        <v>0.99614639999999999</v>
      </c>
      <c r="S6689">
        <v>0.31135559999999901</v>
      </c>
      <c r="T6689">
        <v>-0.37911699999999998</v>
      </c>
      <c r="U6689">
        <v>3.0444789999999999</v>
      </c>
      <c r="V6689">
        <v>-5.7771009999999998E-2</v>
      </c>
      <c r="W6689">
        <v>3.3599560000000001E-2</v>
      </c>
      <c r="X6689">
        <v>0.99776430000000005</v>
      </c>
      <c r="Y6689">
        <v>0.1309507</v>
      </c>
      <c r="Z6689">
        <v>-9.2580999999999997E-2</v>
      </c>
      <c r="AA6689">
        <v>0.98705659999999895</v>
      </c>
      <c r="AB6689">
        <v>57</v>
      </c>
      <c r="AC6689">
        <v>0.10560000000000901</v>
      </c>
      <c r="AD6689">
        <v>-0.106252999999999</v>
      </c>
      <c r="AE6689">
        <v>0.26659999999999601</v>
      </c>
      <c r="AF6689">
        <v>9.9878712135423306E-2</v>
      </c>
      <c r="AG6689">
        <v>-0.106252999999999</v>
      </c>
      <c r="AH6689">
        <v>0.23150817833958301</v>
      </c>
      <c r="AI6689">
        <v>112.85123928468499</v>
      </c>
      <c r="AJ6689">
        <v>66.663363212341807</v>
      </c>
      <c r="AK6689">
        <v>0.27360828530025</v>
      </c>
      <c r="AL6689">
        <v>88.074524632298306</v>
      </c>
      <c r="AM6689">
        <v>93.313752105930007</v>
      </c>
      <c r="AN6689">
        <v>1.00000000919155</v>
      </c>
    </row>
    <row r="6690" spans="1:40" x14ac:dyDescent="0.25">
      <c r="A6690" t="str">
        <f>"20190305135403867"</f>
        <v>20190305135403867</v>
      </c>
      <c r="B6690" t="str">
        <f>"1551765243856291"</f>
        <v>1551765243856291</v>
      </c>
      <c r="C6690" t="s">
        <v>40</v>
      </c>
      <c r="D6690">
        <v>4.882409</v>
      </c>
      <c r="E6690">
        <v>0.57420150000000003</v>
      </c>
      <c r="F6690" t="s">
        <v>41</v>
      </c>
      <c r="G6690">
        <v>-186.25800000000001</v>
      </c>
      <c r="H6690">
        <v>1.016543</v>
      </c>
      <c r="I6690">
        <v>108.4008</v>
      </c>
      <c r="J6690">
        <v>-186.35980000000001</v>
      </c>
      <c r="K6690">
        <v>1.1134790000000001</v>
      </c>
      <c r="L6690">
        <v>108.18729999999999</v>
      </c>
      <c r="M6690">
        <v>-3.1475339999999997E-2</v>
      </c>
      <c r="N6690">
        <v>-3.1177059999999999E-2</v>
      </c>
      <c r="O6690">
        <v>0.99901819999999997</v>
      </c>
      <c r="P6690">
        <v>-8.0079399999999995E-2</v>
      </c>
      <c r="Q6690">
        <v>2.6809360000000001E-3</v>
      </c>
      <c r="R6690">
        <v>0.99678489999999997</v>
      </c>
      <c r="S6690">
        <v>0.33139039999999997</v>
      </c>
      <c r="T6690">
        <v>-0.38344279999999997</v>
      </c>
      <c r="U6690">
        <v>3.0422359999999999</v>
      </c>
      <c r="V6690">
        <v>-4.8862530000000001E-2</v>
      </c>
      <c r="W6690">
        <v>3.3512340000000002E-2</v>
      </c>
      <c r="X6690">
        <v>0.9982432</v>
      </c>
      <c r="Y6690">
        <v>0.13873289999999999</v>
      </c>
      <c r="Z6690">
        <v>-9.2944979999999996E-2</v>
      </c>
      <c r="AA6690">
        <v>0.98595860000000002</v>
      </c>
      <c r="AB6690">
        <v>56</v>
      </c>
      <c r="AC6690">
        <v>0.101800000000025</v>
      </c>
      <c r="AD6690">
        <v>-9.6936000000000105E-2</v>
      </c>
      <c r="AE6690">
        <v>0.21350000000000999</v>
      </c>
      <c r="AF6690">
        <v>9.2873722006952E-2</v>
      </c>
      <c r="AG6690">
        <v>-9.6936000000000105E-2</v>
      </c>
      <c r="AH6690">
        <v>0.17996200111980601</v>
      </c>
      <c r="AI6690">
        <v>115.578742118313</v>
      </c>
      <c r="AJ6690">
        <v>62.702914614561799</v>
      </c>
      <c r="AK6690">
        <v>0.22451823574593999</v>
      </c>
      <c r="AL6690">
        <v>88.079524874145804</v>
      </c>
      <c r="AM6690">
        <v>92.802307126035402</v>
      </c>
      <c r="AN6690">
        <v>1.00000005505825</v>
      </c>
    </row>
    <row r="6691" spans="1:40" x14ac:dyDescent="0.25">
      <c r="A6691" t="str">
        <f>"20190305135403888"</f>
        <v>20190305135403888</v>
      </c>
      <c r="B6691" t="str">
        <f>"1551765243876791"</f>
        <v>1551765243876791</v>
      </c>
      <c r="C6691" t="s">
        <v>40</v>
      </c>
      <c r="D6691">
        <v>4.8918799999999996</v>
      </c>
      <c r="E6691">
        <v>0.57418780000000003</v>
      </c>
      <c r="F6691" t="s">
        <v>41</v>
      </c>
      <c r="G6691">
        <v>-186.22239999999999</v>
      </c>
      <c r="H6691">
        <v>0.96320859999999997</v>
      </c>
      <c r="I6691">
        <v>109.3646</v>
      </c>
      <c r="J6691">
        <v>-186.3777</v>
      </c>
      <c r="K6691">
        <v>1.1133010000000001</v>
      </c>
      <c r="L6691">
        <v>108.72709999999999</v>
      </c>
      <c r="M6691">
        <v>-3.2507460000000002E-2</v>
      </c>
      <c r="N6691">
        <v>-3.2069590000000002E-2</v>
      </c>
      <c r="O6691">
        <v>0.99895690000000004</v>
      </c>
      <c r="P6691">
        <v>-7.2537610000000002E-2</v>
      </c>
      <c r="Q6691">
        <v>6.7505720000000003E-4</v>
      </c>
      <c r="R6691">
        <v>0.99736550000000002</v>
      </c>
      <c r="S6691">
        <v>0.35478209999999999</v>
      </c>
      <c r="T6691">
        <v>-0.38792310000000002</v>
      </c>
      <c r="U6691">
        <v>3.0392000000000001</v>
      </c>
      <c r="V6691">
        <v>-4.024469E-2</v>
      </c>
      <c r="W6691">
        <v>3.2492470000000002E-2</v>
      </c>
      <c r="X6691">
        <v>0.99866140000000003</v>
      </c>
      <c r="Y6691">
        <v>0.14730770000000001</v>
      </c>
      <c r="Z6691">
        <v>-9.346488E-2</v>
      </c>
      <c r="AA6691">
        <v>0.98466480000000001</v>
      </c>
      <c r="AB6691">
        <v>55</v>
      </c>
      <c r="AC6691">
        <v>0.15530000000001101</v>
      </c>
      <c r="AD6691">
        <v>-0.15009239999999999</v>
      </c>
      <c r="AE6691">
        <v>0.63750000000000195</v>
      </c>
      <c r="AF6691">
        <v>0.16720290539465399</v>
      </c>
      <c r="AG6691">
        <v>-0.15009239999999999</v>
      </c>
      <c r="AH6691">
        <v>0.60068036638213695</v>
      </c>
      <c r="AI6691">
        <v>103.534675488018</v>
      </c>
      <c r="AJ6691">
        <v>74.445144050206096</v>
      </c>
      <c r="AK6691">
        <v>0.64132787454402196</v>
      </c>
      <c r="AL6691">
        <v>88.137990854054394</v>
      </c>
      <c r="AM6691">
        <v>92.307692958964395</v>
      </c>
      <c r="AN6691">
        <v>0.99999999376492799</v>
      </c>
    </row>
    <row r="6692" spans="1:40" x14ac:dyDescent="0.25">
      <c r="A6692" t="str">
        <f>"20190305135403909"</f>
        <v>20190305135403909</v>
      </c>
      <c r="B6692" t="str">
        <f>"1551765243896311"</f>
        <v>1551765243896311</v>
      </c>
      <c r="C6692" t="s">
        <v>40</v>
      </c>
      <c r="D6692">
        <v>4.8779879999999904</v>
      </c>
      <c r="E6692">
        <v>0.57407619999999904</v>
      </c>
      <c r="F6692" t="s">
        <v>41</v>
      </c>
      <c r="G6692">
        <v>-186.2371</v>
      </c>
      <c r="H6692">
        <v>0.96732320000000005</v>
      </c>
      <c r="I6692">
        <v>109.8544</v>
      </c>
      <c r="J6692">
        <v>-186.39449999999999</v>
      </c>
      <c r="K6692">
        <v>1.1130930000000001</v>
      </c>
      <c r="L6692">
        <v>109.22320000000001</v>
      </c>
      <c r="M6692">
        <v>-3.3240209999999999E-2</v>
      </c>
      <c r="N6692">
        <v>-3.2822039999999997E-2</v>
      </c>
      <c r="O6692">
        <v>0.99890829999999997</v>
      </c>
      <c r="P6692">
        <v>-6.5847130000000004E-2</v>
      </c>
      <c r="Q6692">
        <v>-1.1326439999999999E-3</v>
      </c>
      <c r="R6692">
        <v>0.99782910000000002</v>
      </c>
      <c r="S6692">
        <v>0.37831120000000001</v>
      </c>
      <c r="T6692">
        <v>-0.39312180000000002</v>
      </c>
      <c r="U6692">
        <v>3.0357059999999998</v>
      </c>
      <c r="V6692">
        <v>-3.2781190000000002E-2</v>
      </c>
      <c r="W6692">
        <v>3.1510679999999999E-2</v>
      </c>
      <c r="X6692">
        <v>0.99896569999999996</v>
      </c>
      <c r="Y6692">
        <v>0.155633299999999</v>
      </c>
      <c r="Z6692">
        <v>-9.4366889999999995E-2</v>
      </c>
      <c r="AA6692">
        <v>0.98329710000000004</v>
      </c>
      <c r="AB6692">
        <v>55</v>
      </c>
      <c r="AC6692">
        <v>0.15739999999999499</v>
      </c>
      <c r="AD6692">
        <v>-0.1457698</v>
      </c>
      <c r="AE6692">
        <v>0.63119999999999199</v>
      </c>
      <c r="AF6692">
        <v>0.16978055255236099</v>
      </c>
      <c r="AG6692">
        <v>-0.1457698</v>
      </c>
      <c r="AH6692">
        <v>0.595704865085811</v>
      </c>
      <c r="AI6692">
        <v>103.242473252416</v>
      </c>
      <c r="AJ6692">
        <v>74.092033001223399</v>
      </c>
      <c r="AK6692">
        <v>0.63634782698138403</v>
      </c>
      <c r="AL6692">
        <v>88.194272116755499</v>
      </c>
      <c r="AM6692">
        <v>91.879494052688102</v>
      </c>
      <c r="AN6692">
        <v>0.99999999957418395</v>
      </c>
    </row>
    <row r="6693" spans="1:40" x14ac:dyDescent="0.25">
      <c r="A6693" t="str">
        <f>"20190305135403934"</f>
        <v>20190305135403934</v>
      </c>
      <c r="B6693" t="str">
        <f>"1551765243926567"</f>
        <v>1551765243926567</v>
      </c>
      <c r="C6693" t="s">
        <v>40</v>
      </c>
      <c r="D6693">
        <v>4.8927659999999999</v>
      </c>
      <c r="E6693">
        <v>0.57380730000000002</v>
      </c>
      <c r="F6693" t="s">
        <v>41</v>
      </c>
      <c r="G6693">
        <v>-186.24780000000001</v>
      </c>
      <c r="H6693">
        <v>0.96660829999999998</v>
      </c>
      <c r="I6693">
        <v>110.3383</v>
      </c>
      <c r="J6693">
        <v>-186.41480000000001</v>
      </c>
      <c r="K6693">
        <v>1.1127720000000001</v>
      </c>
      <c r="L6693">
        <v>109.8201</v>
      </c>
      <c r="M6693">
        <v>-3.3724549999999999E-2</v>
      </c>
      <c r="N6693">
        <v>-3.363725E-2</v>
      </c>
      <c r="O6693">
        <v>0.99886490000000006</v>
      </c>
      <c r="P6693">
        <v>-5.8575420000000003E-2</v>
      </c>
      <c r="Q6693">
        <v>-1.6936049999999999E-3</v>
      </c>
      <c r="R6693">
        <v>0.99828150000000004</v>
      </c>
      <c r="S6693">
        <v>0.39888000000000001</v>
      </c>
      <c r="T6693">
        <v>-0.39831569999999999</v>
      </c>
      <c r="U6693">
        <v>3.032394</v>
      </c>
      <c r="V6693">
        <v>-2.498322E-2</v>
      </c>
      <c r="W6693">
        <v>3.1834769999999998E-2</v>
      </c>
      <c r="X6693">
        <v>0.99918090000000004</v>
      </c>
      <c r="Y6693">
        <v>0.16275519999999999</v>
      </c>
      <c r="Z6693">
        <v>-9.5210870000000003E-2</v>
      </c>
      <c r="AA6693">
        <v>0.98206190000000004</v>
      </c>
      <c r="AB6693">
        <v>54</v>
      </c>
      <c r="AC6693">
        <v>0.16700000000000101</v>
      </c>
      <c r="AD6693">
        <v>-0.14616369999999901</v>
      </c>
      <c r="AE6693">
        <v>0.51820000000000699</v>
      </c>
      <c r="AF6693">
        <v>0.17199471936429001</v>
      </c>
      <c r="AG6693">
        <v>-0.14616369999999901</v>
      </c>
      <c r="AH6693">
        <v>0.47783109710928401</v>
      </c>
      <c r="AI6693">
        <v>106.056487389227</v>
      </c>
      <c r="AJ6693">
        <v>70.203721793479303</v>
      </c>
      <c r="AK6693">
        <v>0.52845867203741903</v>
      </c>
      <c r="AL6693">
        <v>88.175693884764897</v>
      </c>
      <c r="AM6693">
        <v>91.432308076526596</v>
      </c>
      <c r="AN6693">
        <v>1.0000000423936599</v>
      </c>
    </row>
    <row r="6694" spans="1:40" x14ac:dyDescent="0.25">
      <c r="A6694" t="str">
        <f>"20190305135403958"</f>
        <v>20190305135403958</v>
      </c>
      <c r="B6694" t="str">
        <f>"1551765243947064"</f>
        <v>1551765243947064</v>
      </c>
      <c r="C6694" t="s">
        <v>40</v>
      </c>
      <c r="D6694">
        <v>4.8710060000000004</v>
      </c>
      <c r="E6694">
        <v>0.5736945</v>
      </c>
      <c r="F6694" t="s">
        <v>41</v>
      </c>
      <c r="G6694">
        <v>-186.27539999999999</v>
      </c>
      <c r="H6694">
        <v>0.98050179999999998</v>
      </c>
      <c r="I6694">
        <v>110.8245</v>
      </c>
      <c r="J6694">
        <v>-186.434</v>
      </c>
      <c r="K6694">
        <v>1.1123700000000001</v>
      </c>
      <c r="L6694">
        <v>110.3896</v>
      </c>
      <c r="M6694">
        <v>-3.3658090000000002E-2</v>
      </c>
      <c r="N6694">
        <v>-3.4355669999999998E-2</v>
      </c>
      <c r="O6694">
        <v>0.99884269999999997</v>
      </c>
      <c r="P6694">
        <v>-5.0757490000000002E-2</v>
      </c>
      <c r="Q6694">
        <v>-2.1300970000000001E-3</v>
      </c>
      <c r="R6694">
        <v>0.9987087</v>
      </c>
      <c r="S6694">
        <v>0.41998289999999999</v>
      </c>
      <c r="T6694">
        <v>-0.39891510000000002</v>
      </c>
      <c r="U6694">
        <v>3.0291440000000001</v>
      </c>
      <c r="V6694">
        <v>-1.7185780000000001E-2</v>
      </c>
      <c r="W6694">
        <v>3.2173149999999998E-2</v>
      </c>
      <c r="X6694">
        <v>0.99933459999999996</v>
      </c>
      <c r="Y6694">
        <v>0.16951669999999999</v>
      </c>
      <c r="Z6694">
        <v>-9.468377E-2</v>
      </c>
      <c r="AA6694">
        <v>0.98096839999999996</v>
      </c>
      <c r="AB6694">
        <v>54</v>
      </c>
      <c r="AC6694">
        <v>0.15860000000003499</v>
      </c>
      <c r="AD6694">
        <v>-0.13186819999999999</v>
      </c>
      <c r="AE6694">
        <v>0.43489999999999801</v>
      </c>
      <c r="AF6694">
        <v>0.16016002322188999</v>
      </c>
      <c r="AG6694">
        <v>-0.13186819999999999</v>
      </c>
      <c r="AH6694">
        <v>0.39708923735824703</v>
      </c>
      <c r="AI6694">
        <v>107.117767023965</v>
      </c>
      <c r="AJ6694">
        <v>68.034050389483795</v>
      </c>
      <c r="AK6694">
        <v>0.44801821127654101</v>
      </c>
      <c r="AL6694">
        <v>88.156296221989606</v>
      </c>
      <c r="AM6694">
        <v>90.985231181187999</v>
      </c>
      <c r="AN6694">
        <v>1.0000000526861399</v>
      </c>
    </row>
    <row r="6695" spans="1:40" x14ac:dyDescent="0.25">
      <c r="A6695" t="str">
        <f>"20190305135403978"</f>
        <v>20190305135403978</v>
      </c>
      <c r="B6695" t="str">
        <f>"1551765243966584"</f>
        <v>1551765243966584</v>
      </c>
      <c r="C6695" t="s">
        <v>40</v>
      </c>
      <c r="D6695">
        <v>4.8891939999999998</v>
      </c>
      <c r="E6695">
        <v>0.57340360000000001</v>
      </c>
      <c r="F6695" t="s">
        <v>41</v>
      </c>
      <c r="G6695">
        <v>-186.29990000000001</v>
      </c>
      <c r="H6695">
        <v>0.99147359999999896</v>
      </c>
      <c r="I6695">
        <v>111.3056</v>
      </c>
      <c r="J6695">
        <v>-186.45050000000001</v>
      </c>
      <c r="K6695">
        <v>1.1119319999999999</v>
      </c>
      <c r="L6695">
        <v>110.89360000000001</v>
      </c>
      <c r="M6695">
        <v>-3.3030980000000001E-2</v>
      </c>
      <c r="N6695">
        <v>-3.4965709999999997E-2</v>
      </c>
      <c r="O6695">
        <v>0.99884249999999997</v>
      </c>
      <c r="P6695">
        <v>-3.8933959999999997E-2</v>
      </c>
      <c r="Q6695">
        <v>-1.8289869999999999E-4</v>
      </c>
      <c r="R6695">
        <v>0.99924179999999996</v>
      </c>
      <c r="S6695">
        <v>0.44294739999999999</v>
      </c>
      <c r="T6695">
        <v>-0.3993198</v>
      </c>
      <c r="U6695">
        <v>3.0255580000000002</v>
      </c>
      <c r="V6695">
        <v>-5.9409249999999997E-3</v>
      </c>
      <c r="W6695">
        <v>3.4773320000000003E-2</v>
      </c>
      <c r="X6695">
        <v>0.99937750000000003</v>
      </c>
      <c r="Y6695">
        <v>0.1763256</v>
      </c>
      <c r="Z6695">
        <v>-9.4208940000000005E-2</v>
      </c>
      <c r="AA6695">
        <v>0.97981320000000005</v>
      </c>
      <c r="AB6695">
        <v>54</v>
      </c>
      <c r="AC6695">
        <v>0.15059999999999699</v>
      </c>
      <c r="AD6695">
        <v>-0.12045839999999999</v>
      </c>
      <c r="AE6695">
        <v>0.41199999999999098</v>
      </c>
      <c r="AF6695">
        <v>0.15262570020631</v>
      </c>
      <c r="AG6695">
        <v>-0.12045839999999999</v>
      </c>
      <c r="AH6695">
        <v>0.37827281825612702</v>
      </c>
      <c r="AI6695">
        <v>106.452467215401</v>
      </c>
      <c r="AJ6695">
        <v>68.026885804116603</v>
      </c>
      <c r="AK6695">
        <v>0.425317711276476</v>
      </c>
      <c r="AL6695">
        <v>88.0072336495451</v>
      </c>
      <c r="AM6695">
        <v>90.340597941575993</v>
      </c>
      <c r="AN6695">
        <v>0.99999993293996103</v>
      </c>
    </row>
    <row r="6696" spans="1:40" x14ac:dyDescent="0.25">
      <c r="A6696" t="str">
        <f>"20190305135404010"</f>
        <v>20190305135404010</v>
      </c>
      <c r="B6696" t="str">
        <f>"1551765244007105"</f>
        <v>1551765244007105</v>
      </c>
      <c r="C6696" t="s">
        <v>40</v>
      </c>
      <c r="D6696">
        <v>4.9590990000000001</v>
      </c>
      <c r="E6696">
        <v>0.57266209999999995</v>
      </c>
      <c r="F6696" t="s">
        <v>41</v>
      </c>
      <c r="G6696">
        <v>-186.3107</v>
      </c>
      <c r="H6696">
        <v>0.99605630000000001</v>
      </c>
      <c r="I6696">
        <v>111.7803</v>
      </c>
      <c r="J6696">
        <v>-186.47319999999999</v>
      </c>
      <c r="K6696">
        <v>1.111094</v>
      </c>
      <c r="L6696">
        <v>111.6307</v>
      </c>
      <c r="M6696">
        <v>-3.0977729999999998E-2</v>
      </c>
      <c r="N6696">
        <v>-3.5851010000000003E-2</v>
      </c>
      <c r="O6696">
        <v>0.99887689999999996</v>
      </c>
      <c r="P6696">
        <v>-2.5843149999999999E-2</v>
      </c>
      <c r="Q6696">
        <v>1.104822E-4</v>
      </c>
      <c r="R6696">
        <v>0.99966600000000005</v>
      </c>
      <c r="S6696">
        <v>0.4760895</v>
      </c>
      <c r="T6696">
        <v>-0.3947116</v>
      </c>
      <c r="U6696">
        <v>3.0207519999999999</v>
      </c>
      <c r="V6696">
        <v>5.1842659999999999E-3</v>
      </c>
      <c r="W6696">
        <v>3.5957040000000003E-2</v>
      </c>
      <c r="X6696">
        <v>0.99933989999999995</v>
      </c>
      <c r="Y6696">
        <v>0.18502389999999999</v>
      </c>
      <c r="Z6696">
        <v>-9.1858789999999996E-2</v>
      </c>
      <c r="AA6696">
        <v>0.97843150000000001</v>
      </c>
      <c r="AB6696">
        <v>53</v>
      </c>
      <c r="AC6696">
        <v>0.16249999999999401</v>
      </c>
      <c r="AD6696">
        <v>-0.11503770000000001</v>
      </c>
      <c r="AE6696">
        <v>0.14959999999999199</v>
      </c>
      <c r="AF6696">
        <v>0.13141254284992601</v>
      </c>
      <c r="AG6696">
        <v>-0.11503770000000001</v>
      </c>
      <c r="AH6696">
        <v>0.113659906212548</v>
      </c>
      <c r="AI6696">
        <v>123.50858215728</v>
      </c>
      <c r="AJ6696">
        <v>40.856826680214503</v>
      </c>
      <c r="AK6696">
        <v>0.20837826930805201</v>
      </c>
      <c r="AL6696">
        <v>87.939369188570396</v>
      </c>
      <c r="AM6696">
        <v>89.702769901324601</v>
      </c>
      <c r="AN6696">
        <v>1.00000001053576</v>
      </c>
    </row>
    <row r="6697" spans="1:40" x14ac:dyDescent="0.25">
      <c r="A6697" t="str">
        <f>"20190305135404032"</f>
        <v>20190305135404032</v>
      </c>
      <c r="B6697" t="str">
        <f>"1551765244026625"</f>
        <v>1551765244026625</v>
      </c>
      <c r="C6697" t="s">
        <v>40</v>
      </c>
      <c r="D6697">
        <v>4.9798070000000001</v>
      </c>
      <c r="E6697">
        <v>0.57226679999999996</v>
      </c>
      <c r="F6697" t="s">
        <v>78</v>
      </c>
      <c r="G6697">
        <v>-185.02850000000001</v>
      </c>
      <c r="H6697" s="1">
        <v>-1.4691949999999999E-6</v>
      </c>
      <c r="I6697">
        <v>120.1516</v>
      </c>
      <c r="J6697">
        <v>-186.4873</v>
      </c>
      <c r="K6697">
        <v>1.1103959999999999</v>
      </c>
      <c r="L6697">
        <v>112.1455</v>
      </c>
      <c r="M6697">
        <v>-2.867312E-2</v>
      </c>
      <c r="N6697">
        <v>-3.6471900000000002E-2</v>
      </c>
      <c r="O6697">
        <v>0.99892320000000001</v>
      </c>
      <c r="P6697">
        <v>-1.639587E-2</v>
      </c>
      <c r="Q6697">
        <v>-1.323098E-3</v>
      </c>
      <c r="R6697">
        <v>0.99986470000000005</v>
      </c>
      <c r="S6697">
        <v>0.51103209999999999</v>
      </c>
      <c r="T6697">
        <v>-0.39304630000000002</v>
      </c>
      <c r="U6697">
        <v>3.0142519999999999</v>
      </c>
      <c r="V6697">
        <v>1.2393E-2</v>
      </c>
      <c r="W6697">
        <v>3.5114050000000001E-2</v>
      </c>
      <c r="X6697">
        <v>0.99930640000000004</v>
      </c>
      <c r="Y6697">
        <v>0.19409950000000001</v>
      </c>
      <c r="Z6697">
        <v>-9.0758900000000003E-2</v>
      </c>
      <c r="AA6697">
        <v>0.97677440000000004</v>
      </c>
      <c r="AB6697">
        <v>52</v>
      </c>
      <c r="AC6697">
        <v>1.4587999999999901</v>
      </c>
      <c r="AD6697">
        <v>-1.110397469195</v>
      </c>
      <c r="AE6697">
        <v>8.0061</v>
      </c>
      <c r="AF6697">
        <v>1.6570611527332599</v>
      </c>
      <c r="AG6697">
        <v>-1.110397469195</v>
      </c>
      <c r="AH6697">
        <v>7.8154407322519601</v>
      </c>
      <c r="AI6697">
        <v>97.912716879009693</v>
      </c>
      <c r="AJ6697">
        <v>78.029196648151398</v>
      </c>
      <c r="AK6697">
        <v>8.0659747112692699</v>
      </c>
      <c r="AL6697">
        <v>87.987699325387595</v>
      </c>
      <c r="AM6697">
        <v>89.289476985054904</v>
      </c>
      <c r="AN6697">
        <v>0.99999993201867898</v>
      </c>
    </row>
    <row r="6698" spans="1:40" x14ac:dyDescent="0.25">
      <c r="A6698" t="str">
        <f>"20190305135404054"</f>
        <v>20190305135404054</v>
      </c>
      <c r="B6698" t="str">
        <f>"1551765244047122"</f>
        <v>1551765244047122</v>
      </c>
      <c r="C6698" t="s">
        <v>40</v>
      </c>
      <c r="D6698">
        <v>4.9593939999999996</v>
      </c>
      <c r="E6698">
        <v>0.57187779999999999</v>
      </c>
      <c r="F6698" t="s">
        <v>78</v>
      </c>
      <c r="G6698">
        <v>-184.97620000000001</v>
      </c>
      <c r="H6698" s="1">
        <v>-1.6144569999999901E-6</v>
      </c>
      <c r="I6698">
        <v>120.5975</v>
      </c>
      <c r="J6698">
        <v>-186.49979999999999</v>
      </c>
      <c r="K6698">
        <v>1.1096429999999999</v>
      </c>
      <c r="L6698">
        <v>112.6712</v>
      </c>
      <c r="M6698">
        <v>-2.564346E-2</v>
      </c>
      <c r="N6698">
        <v>-3.7093370000000001E-2</v>
      </c>
      <c r="O6698">
        <v>0.9989827</v>
      </c>
      <c r="P6698">
        <v>-6.5814910000000001E-3</v>
      </c>
      <c r="Q6698">
        <v>-2.9750449999999999E-3</v>
      </c>
      <c r="R6698">
        <v>0.99997389999999997</v>
      </c>
      <c r="S6698">
        <v>0.53791809999999995</v>
      </c>
      <c r="T6698">
        <v>-0.39527580000000001</v>
      </c>
      <c r="U6698">
        <v>3.0087130000000002</v>
      </c>
      <c r="V6698">
        <v>1.9240710000000001E-2</v>
      </c>
      <c r="W6698">
        <v>3.4023699999999997E-2</v>
      </c>
      <c r="X6698">
        <v>0.99923580000000001</v>
      </c>
      <c r="Y6698">
        <v>0.1998539</v>
      </c>
      <c r="Z6698">
        <v>-9.092952E-2</v>
      </c>
      <c r="AA6698">
        <v>0.97559739999999995</v>
      </c>
      <c r="AB6698">
        <v>52</v>
      </c>
      <c r="AC6698">
        <v>1.5235999999999801</v>
      </c>
      <c r="AD6698">
        <v>-1.109644614457</v>
      </c>
      <c r="AE6698">
        <v>7.9262999999999897</v>
      </c>
      <c r="AF6698">
        <v>1.6944699699101</v>
      </c>
      <c r="AG6698">
        <v>-1.109644614457</v>
      </c>
      <c r="AH6698">
        <v>7.7383354568133802</v>
      </c>
      <c r="AI6698">
        <v>97.973930236747194</v>
      </c>
      <c r="AJ6698">
        <v>77.648836810894906</v>
      </c>
      <c r="AK6698">
        <v>7.9990233961087904</v>
      </c>
      <c r="AL6698">
        <v>88.050209280605401</v>
      </c>
      <c r="AM6698">
        <v>88.896881736431794</v>
      </c>
      <c r="AN6698">
        <v>1.00000000054231</v>
      </c>
    </row>
    <row r="6699" spans="1:40" x14ac:dyDescent="0.25">
      <c r="A6699" t="str">
        <f>"20190305135404077"</f>
        <v>20190305135404077</v>
      </c>
      <c r="B6699" t="str">
        <f>"1551765244066641"</f>
        <v>1551765244066641</v>
      </c>
      <c r="C6699" t="s">
        <v>40</v>
      </c>
      <c r="D6699">
        <v>4.9409720000000004</v>
      </c>
      <c r="E6699">
        <v>0.57145990000000002</v>
      </c>
      <c r="F6699" t="s">
        <v>78</v>
      </c>
      <c r="G6699">
        <v>-184.93299999999999</v>
      </c>
      <c r="H6699" s="1">
        <v>-1.7446180000000001E-6</v>
      </c>
      <c r="I6699">
        <v>121.0004</v>
      </c>
      <c r="J6699">
        <v>-186.50970000000001</v>
      </c>
      <c r="K6699">
        <v>1.1089039999999999</v>
      </c>
      <c r="L6699">
        <v>113.1788</v>
      </c>
      <c r="M6699">
        <v>-2.203391E-2</v>
      </c>
      <c r="N6699">
        <v>-3.7675559999999997E-2</v>
      </c>
      <c r="O6699">
        <v>0.99904709999999997</v>
      </c>
      <c r="P6699">
        <v>3.831358E-3</v>
      </c>
      <c r="Q6699">
        <v>-4.9369899999999996E-3</v>
      </c>
      <c r="R6699">
        <v>0.99998039999999999</v>
      </c>
      <c r="S6699">
        <v>0.56480410000000003</v>
      </c>
      <c r="T6699">
        <v>-0.40001609999999999</v>
      </c>
      <c r="U6699">
        <v>3.0025940000000002</v>
      </c>
      <c r="V6699">
        <v>2.6095879999999998E-2</v>
      </c>
      <c r="W6699">
        <v>3.2556809999999999E-2</v>
      </c>
      <c r="X6699">
        <v>0.99912920000000005</v>
      </c>
      <c r="Y6699">
        <v>0.20505499999999999</v>
      </c>
      <c r="Z6699">
        <v>-9.1970720000000006E-2</v>
      </c>
      <c r="AA6699">
        <v>0.9744197</v>
      </c>
      <c r="AB6699">
        <v>51</v>
      </c>
      <c r="AC6699">
        <v>1.57670000000001</v>
      </c>
      <c r="AD6699">
        <v>-1.108905744618</v>
      </c>
      <c r="AE6699">
        <v>7.8216000000000001</v>
      </c>
      <c r="AF6699">
        <v>1.71564156898581</v>
      </c>
      <c r="AG6699">
        <v>-1.108905744618</v>
      </c>
      <c r="AH6699">
        <v>7.6374146091792801</v>
      </c>
      <c r="AI6699">
        <v>98.063072380443998</v>
      </c>
      <c r="AJ6699">
        <v>77.339445202633499</v>
      </c>
      <c r="AK6699">
        <v>7.9058965245052404</v>
      </c>
      <c r="AL6699">
        <v>88.134302596326194</v>
      </c>
      <c r="AM6699">
        <v>88.503853225696702</v>
      </c>
      <c r="AN6699">
        <v>1.00000004956149</v>
      </c>
    </row>
    <row r="6700" spans="1:40" x14ac:dyDescent="0.25">
      <c r="A6700" t="str">
        <f>"20190305135404098"</f>
        <v>20190305135404098</v>
      </c>
      <c r="B6700" t="str">
        <f>"1551765244087137"</f>
        <v>1551765244087137</v>
      </c>
      <c r="C6700" t="s">
        <v>40</v>
      </c>
      <c r="D6700">
        <v>4.9700069999999998</v>
      </c>
      <c r="E6700">
        <v>0.57101539999999995</v>
      </c>
      <c r="F6700" t="s">
        <v>78</v>
      </c>
      <c r="G6700">
        <v>-184.8871</v>
      </c>
      <c r="H6700" s="1">
        <v>-1.8674220000000001E-6</v>
      </c>
      <c r="I6700">
        <v>121.3759</v>
      </c>
      <c r="J6700">
        <v>-186.51679999999999</v>
      </c>
      <c r="K6700">
        <v>1.1082529999999999</v>
      </c>
      <c r="L6700">
        <v>113.6499</v>
      </c>
      <c r="M6700">
        <v>-1.806733E-2</v>
      </c>
      <c r="N6700">
        <v>-3.8227999999999998E-2</v>
      </c>
      <c r="O6700">
        <v>0.99910569999999999</v>
      </c>
      <c r="P6700">
        <v>1.4245580000000001E-2</v>
      </c>
      <c r="Q6700">
        <v>-8.488598E-3</v>
      </c>
      <c r="R6700">
        <v>0.99986249999999999</v>
      </c>
      <c r="S6700">
        <v>0.59301759999999903</v>
      </c>
      <c r="T6700">
        <v>-0.4052695</v>
      </c>
      <c r="U6700">
        <v>2.9957889999999998</v>
      </c>
      <c r="V6700">
        <v>3.2568430000000002E-2</v>
      </c>
      <c r="W6700">
        <v>2.9453610000000002E-2</v>
      </c>
      <c r="X6700">
        <v>0.99903540000000002</v>
      </c>
      <c r="Y6700">
        <v>0.2103573</v>
      </c>
      <c r="Z6700">
        <v>-9.3223739999999999E-2</v>
      </c>
      <c r="AA6700">
        <v>0.97316959999999997</v>
      </c>
      <c r="AB6700">
        <v>51</v>
      </c>
      <c r="AC6700">
        <v>1.6296999999999799</v>
      </c>
      <c r="AD6700">
        <v>-1.1082548674220001</v>
      </c>
      <c r="AE6700">
        <v>7.7259999999999902</v>
      </c>
      <c r="AF6700">
        <v>1.7349456629273901</v>
      </c>
      <c r="AG6700">
        <v>-1.1082548674220001</v>
      </c>
      <c r="AH6700">
        <v>7.5466039434377103</v>
      </c>
      <c r="AI6700">
        <v>98.144933685379996</v>
      </c>
      <c r="AJ6700">
        <v>77.052811326098407</v>
      </c>
      <c r="AK6700">
        <v>7.8223715319322897</v>
      </c>
      <c r="AL6700">
        <v>88.312188318170797</v>
      </c>
      <c r="AM6700">
        <v>88.132825961942203</v>
      </c>
      <c r="AN6700">
        <v>0.99999997411392805</v>
      </c>
    </row>
    <row r="6701" spans="1:40" x14ac:dyDescent="0.25">
      <c r="A6701" t="str">
        <f>"20190305135404121"</f>
        <v>20190305135404121</v>
      </c>
      <c r="B6701" t="str">
        <f>"1551765244116417"</f>
        <v>1551765244116417</v>
      </c>
      <c r="C6701" t="s">
        <v>40</v>
      </c>
      <c r="D6701">
        <v>4.848052</v>
      </c>
      <c r="E6701">
        <v>0.55802859999999999</v>
      </c>
      <c r="F6701" t="s">
        <v>78</v>
      </c>
      <c r="G6701">
        <v>-184.86179999999999</v>
      </c>
      <c r="H6701" s="1">
        <v>-1.943365E-6</v>
      </c>
      <c r="I6701">
        <v>121.6109</v>
      </c>
      <c r="J6701">
        <v>-186.52170000000001</v>
      </c>
      <c r="K6701">
        <v>1.10765</v>
      </c>
      <c r="L6701">
        <v>114.1412</v>
      </c>
      <c r="M6701">
        <v>-1.330873E-2</v>
      </c>
      <c r="N6701">
        <v>-3.8834809999999997E-2</v>
      </c>
      <c r="O6701">
        <v>0.99915699999999996</v>
      </c>
      <c r="P6701">
        <v>2.4905119999999999E-2</v>
      </c>
      <c r="Q6701">
        <v>-1.1697569999999999E-2</v>
      </c>
      <c r="R6701">
        <v>0.99962139999999999</v>
      </c>
      <c r="S6701">
        <v>0.62117</v>
      </c>
      <c r="T6701">
        <v>-0.41596359999999899</v>
      </c>
      <c r="U6701">
        <v>2.988022</v>
      </c>
      <c r="V6701">
        <v>3.8486609999999997E-2</v>
      </c>
      <c r="W6701">
        <v>2.6730520000000001E-2</v>
      </c>
      <c r="X6701">
        <v>0.9989015</v>
      </c>
      <c r="Y6701">
        <v>0.21488640000000001</v>
      </c>
      <c r="Z6701">
        <v>-9.6213300000000002E-2</v>
      </c>
      <c r="AA6701">
        <v>0.97188830000000004</v>
      </c>
      <c r="AB6701">
        <v>50</v>
      </c>
      <c r="AC6701">
        <v>1.6599000000000199</v>
      </c>
      <c r="AD6701">
        <v>-1.1076519433650001</v>
      </c>
      <c r="AE6701">
        <v>7.4696999999999996</v>
      </c>
      <c r="AF6701">
        <v>1.72313347694943</v>
      </c>
      <c r="AG6701">
        <v>-1.1076519433650001</v>
      </c>
      <c r="AH6701">
        <v>7.2940891641982502</v>
      </c>
      <c r="AI6701">
        <v>98.406787991456198</v>
      </c>
      <c r="AJ6701">
        <v>76.708303651494205</v>
      </c>
      <c r="AK6701">
        <v>7.5762667945564397</v>
      </c>
      <c r="AL6701">
        <v>88.468271533312702</v>
      </c>
      <c r="AM6701">
        <v>87.793546070171601</v>
      </c>
      <c r="AN6701">
        <v>0.99999997327550505</v>
      </c>
    </row>
    <row r="6702" spans="1:40" x14ac:dyDescent="0.25">
      <c r="A6702" t="str">
        <f>"20190305135404143"</f>
        <v>20190305135404143</v>
      </c>
      <c r="B6702" t="str">
        <f>"1551765244136915"</f>
        <v>1551765244136915</v>
      </c>
      <c r="C6702" t="s">
        <v>40</v>
      </c>
      <c r="D6702">
        <v>4.7969589999999904</v>
      </c>
      <c r="E6702">
        <v>0.56133199999999905</v>
      </c>
      <c r="F6702" t="s">
        <v>78</v>
      </c>
      <c r="G6702">
        <v>-184.75309999999999</v>
      </c>
      <c r="H6702" s="1">
        <v>-2.9933019999999998E-6</v>
      </c>
      <c r="I6702">
        <v>123.7546</v>
      </c>
      <c r="J6702">
        <v>-186.524</v>
      </c>
      <c r="K6702">
        <v>1.1070770000000001</v>
      </c>
      <c r="L6702">
        <v>114.65600000000001</v>
      </c>
      <c r="M6702">
        <v>-7.6450040000000004E-3</v>
      </c>
      <c r="N6702">
        <v>-3.9491650000000003E-2</v>
      </c>
      <c r="O6702">
        <v>0.99919060000000004</v>
      </c>
      <c r="P6702">
        <v>3.7161079999999999E-2</v>
      </c>
      <c r="Q6702">
        <v>-1.294331E-2</v>
      </c>
      <c r="R6702">
        <v>0.99922540000000004</v>
      </c>
      <c r="S6702">
        <v>0.54887390000000003</v>
      </c>
      <c r="T6702">
        <v>-0.34375109999999998</v>
      </c>
      <c r="U6702">
        <v>2.9834290000000001</v>
      </c>
      <c r="V6702">
        <v>4.511097E-2</v>
      </c>
      <c r="W6702">
        <v>2.599168E-2</v>
      </c>
      <c r="X6702">
        <v>0.99864379999999997</v>
      </c>
      <c r="Y6702">
        <v>0.18740970000000001</v>
      </c>
      <c r="Z6702">
        <v>-7.3161290000000004E-2</v>
      </c>
      <c r="AA6702">
        <v>0.97955349999999997</v>
      </c>
      <c r="AB6702">
        <v>50</v>
      </c>
      <c r="AC6702">
        <v>1.7709000000000099</v>
      </c>
      <c r="AD6702">
        <v>-1.1070799933019999</v>
      </c>
      <c r="AE6702">
        <v>9.0985999999999905</v>
      </c>
      <c r="AF6702">
        <v>1.81457703087642</v>
      </c>
      <c r="AG6702">
        <v>-1.1070799933019999</v>
      </c>
      <c r="AH6702">
        <v>8.9570160209700393</v>
      </c>
      <c r="AI6702">
        <v>96.907060854295693</v>
      </c>
      <c r="AJ6702">
        <v>78.547602987680904</v>
      </c>
      <c r="AK6702">
        <v>9.2057836120814702</v>
      </c>
      <c r="AL6702">
        <v>88.510618709895596</v>
      </c>
      <c r="AM6702">
        <v>87.413579988689605</v>
      </c>
      <c r="AN6702">
        <v>1.0000000031609999</v>
      </c>
    </row>
    <row r="6703" spans="1:40" x14ac:dyDescent="0.25">
      <c r="A6703" t="str">
        <f>"20190305135404168"</f>
        <v>20190305135404168</v>
      </c>
      <c r="B6703" t="str">
        <f>"1551765244156432"</f>
        <v>1551765244156432</v>
      </c>
      <c r="C6703" t="s">
        <v>40</v>
      </c>
      <c r="D6703">
        <v>4.8459560000000002</v>
      </c>
      <c r="E6703">
        <v>0.56187659999999995</v>
      </c>
      <c r="F6703" t="s">
        <v>78</v>
      </c>
      <c r="G6703">
        <v>-184.20240000000001</v>
      </c>
      <c r="H6703" s="1">
        <v>-3.8917819999999997E-6</v>
      </c>
      <c r="I6703">
        <v>125.9616</v>
      </c>
      <c r="J6703">
        <v>-186.523</v>
      </c>
      <c r="K6703">
        <v>1.106554</v>
      </c>
      <c r="L6703">
        <v>115.1666</v>
      </c>
      <c r="M6703">
        <v>-1.2785159999999999E-3</v>
      </c>
      <c r="N6703">
        <v>-4.0137619999999999E-2</v>
      </c>
      <c r="O6703">
        <v>0.99919340000000001</v>
      </c>
      <c r="P6703">
        <v>5.108977E-2</v>
      </c>
      <c r="Q6703">
        <v>-1.323274E-2</v>
      </c>
      <c r="R6703">
        <v>0.99860640000000001</v>
      </c>
      <c r="S6703">
        <v>0.61109919999999995</v>
      </c>
      <c r="T6703">
        <v>-0.29140349999999998</v>
      </c>
      <c r="U6703">
        <v>2.9758300000000002</v>
      </c>
      <c r="V6703">
        <v>5.271617E-2</v>
      </c>
      <c r="W6703">
        <v>2.616566E-2</v>
      </c>
      <c r="X6703">
        <v>0.99826669999999995</v>
      </c>
      <c r="Y6703">
        <v>0.20155480000000001</v>
      </c>
      <c r="Z6703">
        <v>-5.543849E-2</v>
      </c>
      <c r="AA6703">
        <v>0.97790710000000003</v>
      </c>
      <c r="AB6703">
        <v>49</v>
      </c>
      <c r="AC6703">
        <v>2.3205999999999798</v>
      </c>
      <c r="AD6703">
        <v>-1.106557891782</v>
      </c>
      <c r="AE6703">
        <v>10.795</v>
      </c>
      <c r="AF6703">
        <v>2.3111983867085701</v>
      </c>
      <c r="AG6703">
        <v>-1.106557891782</v>
      </c>
      <c r="AH6703">
        <v>10.6847104062655</v>
      </c>
      <c r="AI6703">
        <v>95.779996549954902</v>
      </c>
      <c r="AJ6703">
        <v>77.794455937787006</v>
      </c>
      <c r="AK6703">
        <v>10.9876815032266</v>
      </c>
      <c r="AL6703">
        <v>88.500647024509504</v>
      </c>
      <c r="AM6703">
        <v>86.977149380814794</v>
      </c>
      <c r="AN6703">
        <v>1.0000000203357899</v>
      </c>
    </row>
    <row r="6704" spans="1:40" x14ac:dyDescent="0.25">
      <c r="A6704" t="str">
        <f>"20190305135404188"</f>
        <v>20190305135404188</v>
      </c>
      <c r="B6704" t="str">
        <f>"1551765244176929"</f>
        <v>1551765244176929</v>
      </c>
      <c r="C6704" t="s">
        <v>40</v>
      </c>
      <c r="D6704">
        <v>4.7766549999999999</v>
      </c>
      <c r="E6704">
        <v>0.56182209999999999</v>
      </c>
      <c r="F6704" t="s">
        <v>78</v>
      </c>
      <c r="G6704">
        <v>-183.86760000000001</v>
      </c>
      <c r="H6704" s="1">
        <v>-4.2547799999999998E-6</v>
      </c>
      <c r="I6704">
        <v>127.1798</v>
      </c>
      <c r="J6704">
        <v>-186.51910000000001</v>
      </c>
      <c r="K6704">
        <v>1.1061049999999999</v>
      </c>
      <c r="L6704">
        <v>115.6208</v>
      </c>
      <c r="M6704">
        <v>4.983599E-3</v>
      </c>
      <c r="N6704">
        <v>-4.068865E-2</v>
      </c>
      <c r="O6704">
        <v>0.99915949999999998</v>
      </c>
      <c r="P6704">
        <v>6.4848779999999995E-2</v>
      </c>
      <c r="Q6704">
        <v>-1.3753720000000001E-2</v>
      </c>
      <c r="R6704">
        <v>0.99780029999999997</v>
      </c>
      <c r="S6704">
        <v>0.65582280000000004</v>
      </c>
      <c r="T6704">
        <v>-0.27329779999999998</v>
      </c>
      <c r="U6704">
        <v>2.9670260000000002</v>
      </c>
      <c r="V6704">
        <v>6.0252380000000001E-2</v>
      </c>
      <c r="W6704">
        <v>2.600359E-2</v>
      </c>
      <c r="X6704">
        <v>0.99784439999999996</v>
      </c>
      <c r="Y6704">
        <v>0.21014240000000001</v>
      </c>
      <c r="Z6704">
        <v>-4.90523E-2</v>
      </c>
      <c r="AA6704">
        <v>0.97643950000000002</v>
      </c>
      <c r="AB6704">
        <v>48</v>
      </c>
      <c r="AC6704">
        <v>2.6514999999999902</v>
      </c>
      <c r="AD6704">
        <v>-1.10610925477999</v>
      </c>
      <c r="AE6704">
        <v>11.5589999999999</v>
      </c>
      <c r="AF6704">
        <v>2.57144409291107</v>
      </c>
      <c r="AG6704">
        <v>-1.10610925477999</v>
      </c>
      <c r="AH6704">
        <v>11.4722803741804</v>
      </c>
      <c r="AI6704">
        <v>95.374648136632104</v>
      </c>
      <c r="AJ6704">
        <v>77.366300882120299</v>
      </c>
      <c r="AK6704">
        <v>11.808853432500699</v>
      </c>
      <c r="AL6704">
        <v>88.5099360687623</v>
      </c>
      <c r="AM6704">
        <v>86.544530797557599</v>
      </c>
      <c r="AN6704">
        <v>0.99999999129995598</v>
      </c>
    </row>
    <row r="6705" spans="1:40" x14ac:dyDescent="0.25">
      <c r="A6705" t="str">
        <f>"20190305135404210"</f>
        <v>20190305135404210</v>
      </c>
      <c r="B6705" t="str">
        <f>"1551765244207185"</f>
        <v>1551765244207185</v>
      </c>
      <c r="C6705" t="s">
        <v>40</v>
      </c>
      <c r="D6705">
        <v>4.7307189999999997</v>
      </c>
      <c r="E6705">
        <v>0.56212189999999995</v>
      </c>
      <c r="F6705" t="s">
        <v>78</v>
      </c>
      <c r="G6705">
        <v>-183.55240000000001</v>
      </c>
      <c r="H6705" s="1">
        <v>-4.6413169999999998E-6</v>
      </c>
      <c r="I6705">
        <v>128.23740000000001</v>
      </c>
      <c r="J6705">
        <v>-186.51230000000001</v>
      </c>
      <c r="K6705">
        <v>1.1056790000000001</v>
      </c>
      <c r="L6705">
        <v>116.0699</v>
      </c>
      <c r="M6705">
        <v>1.1693E-2</v>
      </c>
      <c r="N6705">
        <v>-4.1199720000000002E-2</v>
      </c>
      <c r="O6705">
        <v>0.99908249999999998</v>
      </c>
      <c r="P6705">
        <v>7.8855419999999996E-2</v>
      </c>
      <c r="Q6705">
        <v>-1.532493E-2</v>
      </c>
      <c r="R6705">
        <v>0.99676819999999999</v>
      </c>
      <c r="S6705">
        <v>0.69551090000000004</v>
      </c>
      <c r="T6705">
        <v>-0.2593162</v>
      </c>
      <c r="U6705">
        <v>2.95784</v>
      </c>
      <c r="V6705">
        <v>6.7578910000000006E-2</v>
      </c>
      <c r="W6705">
        <v>2.4738949999999999E-2</v>
      </c>
      <c r="X6705">
        <v>0.99740720000000005</v>
      </c>
      <c r="Y6705">
        <v>0.21671029999999999</v>
      </c>
      <c r="Z6705">
        <v>-4.40744E-2</v>
      </c>
      <c r="AA6705">
        <v>0.97524049999999995</v>
      </c>
      <c r="AB6705">
        <v>48</v>
      </c>
      <c r="AC6705">
        <v>2.9599000000000002</v>
      </c>
      <c r="AD6705">
        <v>-1.1056836413169999</v>
      </c>
      <c r="AE6705">
        <v>12.1675</v>
      </c>
      <c r="AF6705">
        <v>2.7955071032893</v>
      </c>
      <c r="AG6705">
        <v>-1.1056836413169999</v>
      </c>
      <c r="AH6705">
        <v>12.1069166683475</v>
      </c>
      <c r="AI6705">
        <v>95.085086236869998</v>
      </c>
      <c r="AJ6705">
        <v>76.998179663390601</v>
      </c>
      <c r="AK6705">
        <v>12.474567226702799</v>
      </c>
      <c r="AL6705">
        <v>88.582417986825504</v>
      </c>
      <c r="AM6705">
        <v>86.123872404119595</v>
      </c>
      <c r="AN6705">
        <v>1.0000000236678599</v>
      </c>
    </row>
    <row r="6706" spans="1:40" x14ac:dyDescent="0.25">
      <c r="A6706" t="str">
        <f>"20190305135404233"</f>
        <v>20190305135404233</v>
      </c>
      <c r="B6706" t="str">
        <f>"1551765244226705"</f>
        <v>1551765244226705</v>
      </c>
      <c r="C6706" t="s">
        <v>40</v>
      </c>
      <c r="D6706">
        <v>4.8412179999999996</v>
      </c>
      <c r="E6706">
        <v>0.56206739999999999</v>
      </c>
      <c r="F6706" t="s">
        <v>78</v>
      </c>
      <c r="G6706">
        <v>-183.376</v>
      </c>
      <c r="H6706" s="1">
        <v>-4.7883249999999996E-6</v>
      </c>
      <c r="I6706">
        <v>128.5615</v>
      </c>
      <c r="J6706">
        <v>-186.5017</v>
      </c>
      <c r="K6706">
        <v>1.105245</v>
      </c>
      <c r="L6706">
        <v>116.548</v>
      </c>
      <c r="M6706">
        <v>1.940528E-2</v>
      </c>
      <c r="N6706">
        <v>-4.1697049999999999E-2</v>
      </c>
      <c r="O6706">
        <v>0.99894179999999999</v>
      </c>
      <c r="P6706">
        <v>9.4511780000000004E-2</v>
      </c>
      <c r="Q6706">
        <v>-1.7241739999999998E-2</v>
      </c>
      <c r="R6706">
        <v>0.99537439999999999</v>
      </c>
      <c r="S6706">
        <v>0.7399597</v>
      </c>
      <c r="T6706">
        <v>-0.2608685</v>
      </c>
      <c r="U6706">
        <v>2.9471889999999998</v>
      </c>
      <c r="V6706">
        <v>7.5559559999999998E-2</v>
      </c>
      <c r="W6706">
        <v>2.3081939999999999E-2</v>
      </c>
      <c r="X6706">
        <v>0.99687409999999999</v>
      </c>
      <c r="Y6706">
        <v>0.22380720000000001</v>
      </c>
      <c r="Z6706">
        <v>-4.4192870000000002E-2</v>
      </c>
      <c r="AA6706">
        <v>0.97363100000000002</v>
      </c>
      <c r="AB6706">
        <v>47</v>
      </c>
      <c r="AC6706">
        <v>3.1257000000000201</v>
      </c>
      <c r="AD6706">
        <v>-1.1052497883249901</v>
      </c>
      <c r="AE6706">
        <v>12.013500000000001</v>
      </c>
      <c r="AF6706">
        <v>2.8690379260193901</v>
      </c>
      <c r="AG6706">
        <v>-1.1052497883249901</v>
      </c>
      <c r="AH6706">
        <v>11.976994527611099</v>
      </c>
      <c r="AI6706">
        <v>95.128110740958903</v>
      </c>
      <c r="AJ6706">
        <v>76.528879331013101</v>
      </c>
      <c r="AK6706">
        <v>12.3653286907367</v>
      </c>
      <c r="AL6706">
        <v>88.677384790600897</v>
      </c>
      <c r="AM6706">
        <v>85.665468996232207</v>
      </c>
      <c r="AN6706">
        <v>0.99999999715618304</v>
      </c>
    </row>
    <row r="6707" spans="1:40" x14ac:dyDescent="0.25">
      <c r="A6707" t="str">
        <f>"20190305135404255"</f>
        <v>20190305135404255</v>
      </c>
      <c r="B6707" t="str">
        <f>"1551765244246225"</f>
        <v>1551765244246225</v>
      </c>
      <c r="C6707" t="s">
        <v>40</v>
      </c>
      <c r="D6707">
        <v>4.8293929999999996</v>
      </c>
      <c r="E6707">
        <v>0.56131089999999995</v>
      </c>
      <c r="F6707" t="s">
        <v>78</v>
      </c>
      <c r="G6707">
        <v>-183.15899999999999</v>
      </c>
      <c r="H6707" s="1">
        <v>-4.9960960000000002E-6</v>
      </c>
      <c r="I6707">
        <v>129.02379999999999</v>
      </c>
      <c r="J6707">
        <v>-186.48759999999999</v>
      </c>
      <c r="K6707">
        <v>1.1048260000000001</v>
      </c>
      <c r="L6707">
        <v>117.0218</v>
      </c>
      <c r="M6707">
        <v>2.763295E-2</v>
      </c>
      <c r="N6707">
        <v>-4.2136340000000001E-2</v>
      </c>
      <c r="O6707">
        <v>0.9987296</v>
      </c>
      <c r="P6707">
        <v>0.11136989999999899</v>
      </c>
      <c r="Q6707">
        <v>-1.80226E-2</v>
      </c>
      <c r="R6707">
        <v>0.99361560000000004</v>
      </c>
      <c r="S6707">
        <v>0.78631589999999996</v>
      </c>
      <c r="T6707">
        <v>-0.25999529999999998</v>
      </c>
      <c r="U6707">
        <v>2.9347840000000001</v>
      </c>
      <c r="V6707">
        <v>8.4262420000000005E-2</v>
      </c>
      <c r="W6707">
        <v>2.2468410000000001E-2</v>
      </c>
      <c r="X6707">
        <v>0.99619020000000003</v>
      </c>
      <c r="Y6707">
        <v>0.23112969999999999</v>
      </c>
      <c r="Z6707">
        <v>-4.3603700000000002E-2</v>
      </c>
      <c r="AA6707">
        <v>0.97194530000000001</v>
      </c>
      <c r="AB6707">
        <v>47</v>
      </c>
      <c r="AC6707">
        <v>3.3285999999999598</v>
      </c>
      <c r="AD6707">
        <v>-1.1048309960959899</v>
      </c>
      <c r="AE6707">
        <v>12.001999999999899</v>
      </c>
      <c r="AF6707">
        <v>2.9719954469820302</v>
      </c>
      <c r="AG6707">
        <v>-1.1048309960959899</v>
      </c>
      <c r="AH6707">
        <v>11.995083884543201</v>
      </c>
      <c r="AI6707">
        <v>95.108869478298402</v>
      </c>
      <c r="AJ6707">
        <v>76.084192417076807</v>
      </c>
      <c r="AK6707">
        <v>12.407072413105499</v>
      </c>
      <c r="AL6707">
        <v>88.712546530328197</v>
      </c>
      <c r="AM6707">
        <v>85.165163827705101</v>
      </c>
      <c r="AN6707">
        <v>0.99999994972411099</v>
      </c>
    </row>
    <row r="6708" spans="1:40" x14ac:dyDescent="0.25">
      <c r="A6708" t="str">
        <f>"20190305135404290"</f>
        <v>20190305135404290</v>
      </c>
      <c r="B6708" t="str">
        <f>"1551765244286241"</f>
        <v>1551765244286241</v>
      </c>
      <c r="C6708" t="s">
        <v>40</v>
      </c>
      <c r="D6708">
        <v>4.8351550000000003</v>
      </c>
      <c r="E6708">
        <v>0.55947919999999995</v>
      </c>
      <c r="F6708" t="s">
        <v>78</v>
      </c>
      <c r="G6708">
        <v>-182.9161</v>
      </c>
      <c r="H6708" s="1">
        <v>-5.2503929999999998E-6</v>
      </c>
      <c r="I6708">
        <v>129.59289999999999</v>
      </c>
      <c r="J6708">
        <v>-186.46029999999999</v>
      </c>
      <c r="K6708">
        <v>1.1042149999999999</v>
      </c>
      <c r="L6708">
        <v>117.706</v>
      </c>
      <c r="M6708">
        <v>4.060068E-2</v>
      </c>
      <c r="N6708">
        <v>-4.2671880000000002E-2</v>
      </c>
      <c r="O6708">
        <v>0.99826380000000003</v>
      </c>
      <c r="P6708">
        <v>0.13632139999999901</v>
      </c>
      <c r="Q6708">
        <v>-1.6925050000000001E-2</v>
      </c>
      <c r="R6708">
        <v>0.99052010000000001</v>
      </c>
      <c r="S6708">
        <v>0.83003229999999995</v>
      </c>
      <c r="T6708">
        <v>-0.25676769999999999</v>
      </c>
      <c r="U6708">
        <v>2.92157</v>
      </c>
      <c r="V6708">
        <v>9.6437579999999995E-2</v>
      </c>
      <c r="W6708">
        <v>2.3679249999999999E-2</v>
      </c>
      <c r="X6708">
        <v>0.99505730000000003</v>
      </c>
      <c r="Y6708">
        <v>0.2331087</v>
      </c>
      <c r="Z6708">
        <v>-4.2224089999999999E-2</v>
      </c>
      <c r="AA6708">
        <v>0.97153350000000005</v>
      </c>
      <c r="AB6708">
        <v>46</v>
      </c>
      <c r="AC6708">
        <v>3.54419999999998</v>
      </c>
      <c r="AD6708">
        <v>-1.1042202503930001</v>
      </c>
      <c r="AE6708">
        <v>11.886899999999899</v>
      </c>
      <c r="AF6708">
        <v>3.0341709734145299</v>
      </c>
      <c r="AG6708">
        <v>-1.1042202503930001</v>
      </c>
      <c r="AH6708">
        <v>11.9265934697967</v>
      </c>
      <c r="AI6708">
        <v>95.127226642045301</v>
      </c>
      <c r="AJ6708">
        <v>75.726525618383207</v>
      </c>
      <c r="AK6708">
        <v>12.3559349161076</v>
      </c>
      <c r="AL6708">
        <v>88.643152055823293</v>
      </c>
      <c r="AM6708">
        <v>84.464375822727405</v>
      </c>
      <c r="AN6708">
        <v>0.99999997200005397</v>
      </c>
    </row>
    <row r="6709" spans="1:40" x14ac:dyDescent="0.25">
      <c r="A6709" t="str">
        <f>"20190305135404309"</f>
        <v>20190305135404309</v>
      </c>
      <c r="B6709" t="str">
        <f>"1551765244306737"</f>
        <v>1551765244306737</v>
      </c>
      <c r="C6709" t="s">
        <v>40</v>
      </c>
      <c r="D6709">
        <v>4.8618290000000002</v>
      </c>
      <c r="E6709">
        <v>0.55855949999999999</v>
      </c>
      <c r="F6709" t="s">
        <v>78</v>
      </c>
      <c r="G6709">
        <v>-182.614</v>
      </c>
      <c r="H6709" s="1">
        <v>-5.4865099999999998E-6</v>
      </c>
      <c r="I6709">
        <v>130.2687</v>
      </c>
      <c r="J6709">
        <v>-186.44030000000001</v>
      </c>
      <c r="K6709">
        <v>1.1038479999999999</v>
      </c>
      <c r="L6709">
        <v>118.1044</v>
      </c>
      <c r="M6709">
        <v>4.8808219999999999E-2</v>
      </c>
      <c r="N6709">
        <v>-4.2932169999999999E-2</v>
      </c>
      <c r="O6709">
        <v>0.99788500000000002</v>
      </c>
      <c r="P6709">
        <v>0.149901799999999</v>
      </c>
      <c r="Q6709">
        <v>-1.725055E-2</v>
      </c>
      <c r="R6709">
        <v>0.98855040000000005</v>
      </c>
      <c r="S6709">
        <v>0.88851930000000001</v>
      </c>
      <c r="T6709">
        <v>-0.25508120000000001</v>
      </c>
      <c r="U6709">
        <v>2.902069</v>
      </c>
      <c r="V6709">
        <v>0.1019297</v>
      </c>
      <c r="W6709">
        <v>2.338465E-2</v>
      </c>
      <c r="X6709">
        <v>0.99451670000000003</v>
      </c>
      <c r="Y6709">
        <v>0.24478520000000001</v>
      </c>
      <c r="Z6709">
        <v>-4.1617750000000002E-2</v>
      </c>
      <c r="AA6709">
        <v>0.96868370000000004</v>
      </c>
      <c r="AB6709">
        <v>45</v>
      </c>
      <c r="AC6709">
        <v>3.8262999999999998</v>
      </c>
      <c r="AD6709">
        <v>-1.10385348651</v>
      </c>
      <c r="AE6709">
        <v>12.1642999999999</v>
      </c>
      <c r="AF6709">
        <v>3.2034609664207601</v>
      </c>
      <c r="AG6709">
        <v>-1.10385348651</v>
      </c>
      <c r="AH6709">
        <v>12.244947507623699</v>
      </c>
      <c r="AI6709">
        <v>94.984299321685</v>
      </c>
      <c r="AJ6709">
        <v>75.339148665898193</v>
      </c>
      <c r="AK6709">
        <v>12.705093236474999</v>
      </c>
      <c r="AL6709">
        <v>88.660036087313898</v>
      </c>
      <c r="AM6709">
        <v>84.148092036089807</v>
      </c>
      <c r="AN6709">
        <v>0.99999998608830099</v>
      </c>
    </row>
    <row r="6710" spans="1:40" x14ac:dyDescent="0.25">
      <c r="A6710" t="str">
        <f>"20190305135404334"</f>
        <v>20190305135404334</v>
      </c>
      <c r="B6710" t="str">
        <f>"1551765244327233"</f>
        <v>1551765244327233</v>
      </c>
      <c r="C6710" t="s">
        <v>40</v>
      </c>
      <c r="D6710">
        <v>5.075113</v>
      </c>
      <c r="E6710">
        <v>0.5582085</v>
      </c>
      <c r="F6710" t="s">
        <v>78</v>
      </c>
      <c r="G6710">
        <v>-182.429</v>
      </c>
      <c r="H6710" s="1">
        <v>-5.631722E-6</v>
      </c>
      <c r="I6710">
        <v>130.6891</v>
      </c>
      <c r="J6710">
        <v>-186.4128</v>
      </c>
      <c r="K6710">
        <v>1.103418</v>
      </c>
      <c r="L6710">
        <v>118.5664</v>
      </c>
      <c r="M6710">
        <v>5.8937829999999997E-2</v>
      </c>
      <c r="N6710">
        <v>-4.3195890000000001E-2</v>
      </c>
      <c r="O6710">
        <v>0.99732670000000001</v>
      </c>
      <c r="P6710">
        <v>0.165234299999999</v>
      </c>
      <c r="Q6710">
        <v>-1.946848E-2</v>
      </c>
      <c r="R6710">
        <v>0.9860622</v>
      </c>
      <c r="S6710">
        <v>0.92135619999999996</v>
      </c>
      <c r="T6710">
        <v>-0.25354520000000003</v>
      </c>
      <c r="U6710">
        <v>2.8905940000000001</v>
      </c>
      <c r="V6710">
        <v>0.1072581</v>
      </c>
      <c r="W6710">
        <v>2.1180299999999999E-2</v>
      </c>
      <c r="X6710">
        <v>0.99400560000000004</v>
      </c>
      <c r="Y6710">
        <v>0.24604010000000001</v>
      </c>
      <c r="Z6710">
        <v>-4.102567E-2</v>
      </c>
      <c r="AA6710">
        <v>0.968391</v>
      </c>
      <c r="AB6710">
        <v>44</v>
      </c>
      <c r="AC6710">
        <v>3.9838</v>
      </c>
      <c r="AD6710">
        <v>-1.1034236317219901</v>
      </c>
      <c r="AE6710">
        <v>12.122699999999901</v>
      </c>
      <c r="AF6710">
        <v>3.2375007364691801</v>
      </c>
      <c r="AG6710">
        <v>-1.1034236317219901</v>
      </c>
      <c r="AH6710">
        <v>12.245042326694699</v>
      </c>
      <c r="AI6710">
        <v>94.9789435088381</v>
      </c>
      <c r="AJ6710">
        <v>75.190286277393199</v>
      </c>
      <c r="AK6710">
        <v>12.7137727017682</v>
      </c>
      <c r="AL6710">
        <v>88.786367472384399</v>
      </c>
      <c r="AM6710">
        <v>83.841332186091293</v>
      </c>
      <c r="AN6710">
        <v>1.00000001897753</v>
      </c>
    </row>
    <row r="6711" spans="1:40" x14ac:dyDescent="0.25">
      <c r="A6711" t="str">
        <f>"20190305135404357"</f>
        <v>20190305135404357</v>
      </c>
      <c r="B6711" t="str">
        <f>"1551765244346753"</f>
        <v>1551765244346753</v>
      </c>
      <c r="C6711" t="s">
        <v>40</v>
      </c>
      <c r="D6711">
        <v>5.000559</v>
      </c>
      <c r="E6711">
        <v>0.62737559999999903</v>
      </c>
      <c r="F6711" t="s">
        <v>78</v>
      </c>
      <c r="G6711">
        <v>-182.3776</v>
      </c>
      <c r="H6711" s="1">
        <v>-5.6091719999999997E-6</v>
      </c>
      <c r="I6711">
        <v>130.60929999999999</v>
      </c>
      <c r="J6711">
        <v>-186.38069999999999</v>
      </c>
      <c r="K6711">
        <v>1.102981</v>
      </c>
      <c r="L6711">
        <v>119.0283</v>
      </c>
      <c r="M6711">
        <v>6.9733199999999995E-2</v>
      </c>
      <c r="N6711">
        <v>-4.341892E-2</v>
      </c>
      <c r="O6711">
        <v>0.99662039999999996</v>
      </c>
      <c r="P6711">
        <v>0.1829971</v>
      </c>
      <c r="Q6711">
        <v>-2.5803710000000001E-2</v>
      </c>
      <c r="R6711">
        <v>0.9827747</v>
      </c>
      <c r="S6711">
        <v>0.96356200000000003</v>
      </c>
      <c r="T6711">
        <v>-0.26348820000000001</v>
      </c>
      <c r="U6711">
        <v>2.8757320000000002</v>
      </c>
      <c r="V6711">
        <v>0.1143178</v>
      </c>
      <c r="W6711">
        <v>1.475597E-2</v>
      </c>
      <c r="X6711">
        <v>0.99333470000000001</v>
      </c>
      <c r="Y6711">
        <v>0.24974969999999999</v>
      </c>
      <c r="Z6711">
        <v>-4.4266430000000002E-2</v>
      </c>
      <c r="AA6711">
        <v>0.96729810000000005</v>
      </c>
      <c r="AB6711">
        <v>44</v>
      </c>
      <c r="AC6711">
        <v>4.0030999999999803</v>
      </c>
      <c r="AD6711">
        <v>-1.102986609172</v>
      </c>
      <c r="AE6711">
        <v>11.5809999999999</v>
      </c>
      <c r="AF6711">
        <v>3.1593945767007399</v>
      </c>
      <c r="AG6711">
        <v>-1.102986609172</v>
      </c>
      <c r="AH6711">
        <v>11.7370649720313</v>
      </c>
      <c r="AI6711">
        <v>95.185077986126501</v>
      </c>
      <c r="AJ6711">
        <v>74.934172122952006</v>
      </c>
      <c r="AK6711">
        <v>12.204796094527101</v>
      </c>
      <c r="AL6711">
        <v>89.154514564545707</v>
      </c>
      <c r="AM6711">
        <v>83.435004127480298</v>
      </c>
      <c r="AN6711">
        <v>1.0000000621357801</v>
      </c>
    </row>
    <row r="6712" spans="1:40" x14ac:dyDescent="0.25">
      <c r="A6712" t="str">
        <f>"20190305135404378"</f>
        <v>20190305135404378</v>
      </c>
      <c r="B6712" t="str">
        <f>"1551765244366273"</f>
        <v>1551765244366273</v>
      </c>
      <c r="C6712" t="s">
        <v>40</v>
      </c>
      <c r="D6712">
        <v>4.9663599999999999</v>
      </c>
      <c r="E6712">
        <v>0.64354460000000002</v>
      </c>
      <c r="F6712" t="s">
        <v>78</v>
      </c>
      <c r="G6712">
        <v>-182.72640000000001</v>
      </c>
      <c r="H6712" s="1">
        <v>-3.960367E-6</v>
      </c>
      <c r="I6712">
        <v>125.4344</v>
      </c>
      <c r="J6712">
        <v>-186.3486</v>
      </c>
      <c r="K6712">
        <v>1.1026</v>
      </c>
      <c r="L6712">
        <v>119.4323</v>
      </c>
      <c r="M6712">
        <v>7.9768400000000003E-2</v>
      </c>
      <c r="N6712">
        <v>-4.3581340000000003E-2</v>
      </c>
      <c r="O6712">
        <v>0.99586030000000003</v>
      </c>
      <c r="P6712">
        <v>0.19743169999999999</v>
      </c>
      <c r="Q6712">
        <v>-3.4525859999999998E-2</v>
      </c>
      <c r="R6712">
        <v>0.97970849999999998</v>
      </c>
      <c r="S6712">
        <v>1.5677190000000001</v>
      </c>
      <c r="T6712">
        <v>-0.47318690000000002</v>
      </c>
      <c r="U6712">
        <v>2.7482600000000001</v>
      </c>
      <c r="V6712">
        <v>0.1187508</v>
      </c>
      <c r="W6712">
        <v>5.9550089999999998E-3</v>
      </c>
      <c r="X6712">
        <v>0.99290619999999996</v>
      </c>
      <c r="Y6712">
        <v>0.42003970000000002</v>
      </c>
      <c r="Z6712">
        <v>-0.1077497</v>
      </c>
      <c r="AA6712">
        <v>0.90108639999999995</v>
      </c>
      <c r="AB6712">
        <v>43</v>
      </c>
      <c r="AC6712">
        <v>3.6221999999999901</v>
      </c>
      <c r="AD6712">
        <v>-1.1026039603669999</v>
      </c>
      <c r="AE6712">
        <v>6.0020999999999898</v>
      </c>
      <c r="AF6712">
        <v>3.0558094137057799</v>
      </c>
      <c r="AG6712">
        <v>-1.1026039603669999</v>
      </c>
      <c r="AH6712">
        <v>6.1207378004115798</v>
      </c>
      <c r="AI6712">
        <v>99.155750196012406</v>
      </c>
      <c r="AJ6712">
        <v>63.469103812124999</v>
      </c>
      <c r="AK6712">
        <v>6.9294399404062297</v>
      </c>
      <c r="AL6712">
        <v>89.658801089899697</v>
      </c>
      <c r="AM6712">
        <v>83.179865090038902</v>
      </c>
      <c r="AN6712">
        <v>0.99999996831563398</v>
      </c>
    </row>
    <row r="6713" spans="1:40" x14ac:dyDescent="0.25">
      <c r="A6713" t="str">
        <f>"20190305135404399"</f>
        <v>20190305135404399</v>
      </c>
      <c r="B6713" t="str">
        <f>"1551765244386360"</f>
        <v>1551765244386360</v>
      </c>
      <c r="C6713" t="s">
        <v>40</v>
      </c>
      <c r="D6713">
        <v>4.9121519999999999</v>
      </c>
      <c r="E6713">
        <v>0.64609869999999903</v>
      </c>
      <c r="F6713" t="s">
        <v>78</v>
      </c>
      <c r="G6713">
        <v>-182.0727</v>
      </c>
      <c r="H6713" s="1">
        <v>-4.2196929999999996E-6</v>
      </c>
      <c r="I6713">
        <v>126.08240000000001</v>
      </c>
      <c r="J6713">
        <v>-186.31360000000001</v>
      </c>
      <c r="K6713">
        <v>1.10225</v>
      </c>
      <c r="L6713">
        <v>119.82380000000001</v>
      </c>
      <c r="M6713">
        <v>9.0047290000000002E-2</v>
      </c>
      <c r="N6713">
        <v>-4.3711859999999998E-2</v>
      </c>
      <c r="O6713">
        <v>0.99497780000000002</v>
      </c>
      <c r="P6713">
        <v>0.20961070000000001</v>
      </c>
      <c r="Q6713">
        <v>-4.0515040000000002E-2</v>
      </c>
      <c r="R6713">
        <v>0.97694519999999996</v>
      </c>
      <c r="S6713">
        <v>1.7340549999999999</v>
      </c>
      <c r="T6713">
        <v>-0.4471562</v>
      </c>
      <c r="U6713">
        <v>2.69693</v>
      </c>
      <c r="V6713">
        <v>0.1207365</v>
      </c>
      <c r="W6713" s="1">
        <v>-7.6496740000000005E-5</v>
      </c>
      <c r="X6713">
        <v>0.99268460000000003</v>
      </c>
      <c r="Y6713">
        <v>0.45852579999999998</v>
      </c>
      <c r="Z6713">
        <v>-9.8346959999999997E-2</v>
      </c>
      <c r="AA6713">
        <v>0.88322250000000002</v>
      </c>
      <c r="AB6713">
        <v>43</v>
      </c>
      <c r="AC6713">
        <v>4.2409000000000097</v>
      </c>
      <c r="AD6713">
        <v>-1.1022542196930001</v>
      </c>
      <c r="AE6713">
        <v>6.2586000000000004</v>
      </c>
      <c r="AF6713">
        <v>3.5833568236595101</v>
      </c>
      <c r="AG6713">
        <v>-1.1022542196930001</v>
      </c>
      <c r="AH6713">
        <v>6.4776749821109902</v>
      </c>
      <c r="AI6713">
        <v>98.469000788423799</v>
      </c>
      <c r="AJ6713">
        <v>61.049261116551698</v>
      </c>
      <c r="AK6713">
        <v>7.4843626090913604</v>
      </c>
      <c r="AL6713">
        <v>90.004382940301596</v>
      </c>
      <c r="AM6713">
        <v>83.0653900809383</v>
      </c>
      <c r="AN6713">
        <v>1.0000000116805801</v>
      </c>
    </row>
    <row r="6714" spans="1:40" x14ac:dyDescent="0.25">
      <c r="A6714" t="str">
        <f>"20190305135404421"</f>
        <v>20190305135404421</v>
      </c>
      <c r="B6714" t="str">
        <f>"1551765244416617"</f>
        <v>1551765244416617</v>
      </c>
      <c r="C6714" t="s">
        <v>40</v>
      </c>
      <c r="D6714">
        <v>4.9311179999999997</v>
      </c>
      <c r="E6714">
        <v>0.64580479999999996</v>
      </c>
      <c r="F6714" t="s">
        <v>78</v>
      </c>
      <c r="G6714">
        <v>-181.7353</v>
      </c>
      <c r="H6714" s="1">
        <v>-4.4181920000000001E-6</v>
      </c>
      <c r="I6714">
        <v>126.6658</v>
      </c>
      <c r="J6714">
        <v>-186.2714</v>
      </c>
      <c r="K6714">
        <v>1.1018790000000001</v>
      </c>
      <c r="L6714">
        <v>120.2457</v>
      </c>
      <c r="M6714">
        <v>0.1017444</v>
      </c>
      <c r="N6714">
        <v>-4.382664E-2</v>
      </c>
      <c r="O6714">
        <v>0.99384470000000003</v>
      </c>
      <c r="P6714">
        <v>0.22360530000000001</v>
      </c>
      <c r="Q6714">
        <v>-4.3814220000000001E-2</v>
      </c>
      <c r="R6714">
        <v>0.97369450000000002</v>
      </c>
      <c r="S6714">
        <v>1.78639199999999</v>
      </c>
      <c r="T6714">
        <v>-0.43008449999999998</v>
      </c>
      <c r="U6714">
        <v>2.6696780000000002</v>
      </c>
      <c r="V6714">
        <v>0.1232313</v>
      </c>
      <c r="W6714">
        <v>-3.4569650000000002E-3</v>
      </c>
      <c r="X6714">
        <v>0.99237200000000003</v>
      </c>
      <c r="Y6714">
        <v>0.46454269999999998</v>
      </c>
      <c r="Z6714">
        <v>-9.3157740000000003E-2</v>
      </c>
      <c r="AA6714">
        <v>0.88063709999999995</v>
      </c>
      <c r="AB6714">
        <v>42</v>
      </c>
      <c r="AC6714">
        <v>4.5361000000000002</v>
      </c>
      <c r="AD6714">
        <v>-1.1018834181919901</v>
      </c>
      <c r="AE6714">
        <v>6.4200999999999997</v>
      </c>
      <c r="AF6714">
        <v>3.7843217302626502</v>
      </c>
      <c r="AG6714">
        <v>-1.1018834181919901</v>
      </c>
      <c r="AH6714">
        <v>6.7167134897486198</v>
      </c>
      <c r="AI6714">
        <v>98.134006794971199</v>
      </c>
      <c r="AJ6714">
        <v>60.602277931252999</v>
      </c>
      <c r="AK6714">
        <v>7.7877774832615501</v>
      </c>
      <c r="AL6714">
        <v>90.198069889992993</v>
      </c>
      <c r="AM6714">
        <v>82.921330769234501</v>
      </c>
      <c r="AN6714">
        <v>1.0000000451453399</v>
      </c>
    </row>
    <row r="6715" spans="1:40" x14ac:dyDescent="0.25">
      <c r="A6715" t="str">
        <f>"20190305135404443"</f>
        <v>20190305135404443</v>
      </c>
      <c r="B6715" t="str">
        <f>"1551765244437113"</f>
        <v>1551765244437113</v>
      </c>
      <c r="C6715" t="s">
        <v>40</v>
      </c>
      <c r="D6715">
        <v>4.9366989999999999</v>
      </c>
      <c r="E6715">
        <v>0.6448429</v>
      </c>
      <c r="F6715" t="s">
        <v>78</v>
      </c>
      <c r="G6715">
        <v>-181.6036</v>
      </c>
      <c r="H6715" s="1">
        <v>-4.5301299999999996E-6</v>
      </c>
      <c r="I6715">
        <v>127.0262</v>
      </c>
      <c r="J6715">
        <v>-186.22460000000001</v>
      </c>
      <c r="K6715">
        <v>1.101512</v>
      </c>
      <c r="L6715">
        <v>120.66549999999999</v>
      </c>
      <c r="M6715">
        <v>0.11403190000000001</v>
      </c>
      <c r="N6715">
        <v>-4.3918110000000003E-2</v>
      </c>
      <c r="O6715">
        <v>0.99250590000000005</v>
      </c>
      <c r="P6715">
        <v>0.23856260000000001</v>
      </c>
      <c r="Q6715">
        <v>-4.7763119999999999E-2</v>
      </c>
      <c r="R6715">
        <v>0.96995180000000003</v>
      </c>
      <c r="S6715">
        <v>1.8200069999999999</v>
      </c>
      <c r="T6715">
        <v>-0.42962879999999998</v>
      </c>
      <c r="U6715">
        <v>2.6437529999999998</v>
      </c>
      <c r="V6715">
        <v>0.12613679999999999</v>
      </c>
      <c r="W6715">
        <v>-7.5249089999999998E-3</v>
      </c>
      <c r="X6715">
        <v>0.99198430000000004</v>
      </c>
      <c r="Y6715">
        <v>0.46520810000000001</v>
      </c>
      <c r="Z6715">
        <v>-9.3461219999999998E-2</v>
      </c>
      <c r="AA6715">
        <v>0.88025359999999997</v>
      </c>
      <c r="AB6715">
        <v>42</v>
      </c>
      <c r="AC6715">
        <v>4.6210000000000004</v>
      </c>
      <c r="AD6715">
        <v>-1.1015165301300001</v>
      </c>
      <c r="AE6715">
        <v>6.3606999999999996</v>
      </c>
      <c r="AF6715">
        <v>3.7903730244521001</v>
      </c>
      <c r="AG6715">
        <v>-1.1015165301300001</v>
      </c>
      <c r="AH6715">
        <v>6.7147722802912204</v>
      </c>
      <c r="AI6715">
        <v>98.130001180462997</v>
      </c>
      <c r="AJ6715">
        <v>60.556022223338502</v>
      </c>
      <c r="AK6715">
        <v>7.7889943578623297</v>
      </c>
      <c r="AL6715">
        <v>90.431149602801099</v>
      </c>
      <c r="AM6715">
        <v>82.753384335387594</v>
      </c>
      <c r="AN6715">
        <v>0.99999998400809398</v>
      </c>
    </row>
    <row r="6716" spans="1:40" x14ac:dyDescent="0.25">
      <c r="A6716" t="str">
        <f>"20190305135404468"</f>
        <v>20190305135404468</v>
      </c>
      <c r="B6716" t="str">
        <f>"1551765244456636"</f>
        <v>1551765244456636</v>
      </c>
      <c r="C6716" t="s">
        <v>40</v>
      </c>
      <c r="D6716">
        <v>4.9289420000000002</v>
      </c>
      <c r="E6716">
        <v>0.64387159999999999</v>
      </c>
      <c r="F6716" t="s">
        <v>78</v>
      </c>
      <c r="G6716">
        <v>-181.5804</v>
      </c>
      <c r="H6716" s="1">
        <v>-4.5858490000000001E-6</v>
      </c>
      <c r="I6716">
        <v>127.2283</v>
      </c>
      <c r="J6716">
        <v>-186.17429999999999</v>
      </c>
      <c r="K6716">
        <v>1.1011709999999999</v>
      </c>
      <c r="L6716">
        <v>121.071</v>
      </c>
      <c r="M6716">
        <v>0.12656729999999999</v>
      </c>
      <c r="N6716">
        <v>-4.3986150000000002E-2</v>
      </c>
      <c r="O6716">
        <v>0.99098229999999998</v>
      </c>
      <c r="P6716">
        <v>0.2533321</v>
      </c>
      <c r="Q6716">
        <v>-5.059085E-2</v>
      </c>
      <c r="R6716">
        <v>0.96605560000000001</v>
      </c>
      <c r="S6716">
        <v>1.851227</v>
      </c>
      <c r="T6716">
        <v>-0.43907620000000003</v>
      </c>
      <c r="U6716">
        <v>2.6160130000000001</v>
      </c>
      <c r="V6716">
        <v>0.12866440000000001</v>
      </c>
      <c r="W6716">
        <v>-1.0476289999999999E-2</v>
      </c>
      <c r="X6716">
        <v>0.99163290000000004</v>
      </c>
      <c r="Y6716">
        <v>0.46520159999999999</v>
      </c>
      <c r="Z6716">
        <v>-9.6965659999999995E-2</v>
      </c>
      <c r="AA6716">
        <v>0.87987789999999999</v>
      </c>
      <c r="AB6716">
        <v>41</v>
      </c>
      <c r="AC6716">
        <v>4.5938999999999899</v>
      </c>
      <c r="AD6716">
        <v>-1.101175585849</v>
      </c>
      <c r="AE6716">
        <v>6.1573000000000002</v>
      </c>
      <c r="AF6716">
        <v>3.7007775542699601</v>
      </c>
      <c r="AG6716">
        <v>-1.101175585849</v>
      </c>
      <c r="AH6716">
        <v>6.5550040612838503</v>
      </c>
      <c r="AI6716">
        <v>98.322554906776702</v>
      </c>
      <c r="AJ6716">
        <v>60.552105316252202</v>
      </c>
      <c r="AK6716">
        <v>7.6076553826067901</v>
      </c>
      <c r="AL6716">
        <v>90.6002581556194</v>
      </c>
      <c r="AM6716">
        <v>82.607172440414502</v>
      </c>
      <c r="AN6716">
        <v>1.00000004442096</v>
      </c>
    </row>
    <row r="6717" spans="1:40" x14ac:dyDescent="0.25">
      <c r="A6717" t="str">
        <f>"20190305135404488"</f>
        <v>20190305135404488</v>
      </c>
      <c r="B6717" t="str">
        <f>"1551765244476753"</f>
        <v>1551765244476753</v>
      </c>
      <c r="C6717" t="s">
        <v>40</v>
      </c>
      <c r="D6717">
        <v>4.9408779999999997</v>
      </c>
      <c r="E6717">
        <v>0.64289529999999995</v>
      </c>
      <c r="F6717" t="s">
        <v>78</v>
      </c>
      <c r="G6717">
        <v>-181.471</v>
      </c>
      <c r="H6717" s="1">
        <v>-4.6807750000000001E-6</v>
      </c>
      <c r="I6717">
        <v>127.5351</v>
      </c>
      <c r="J6717">
        <v>-186.1215</v>
      </c>
      <c r="K6717">
        <v>1.100873</v>
      </c>
      <c r="L6717">
        <v>121.45780000000001</v>
      </c>
      <c r="M6717">
        <v>0.13911470000000001</v>
      </c>
      <c r="N6717">
        <v>-4.4037340000000001E-2</v>
      </c>
      <c r="O6717">
        <v>0.98929659999999997</v>
      </c>
      <c r="P6717">
        <v>0.26730920000000002</v>
      </c>
      <c r="Q6717">
        <v>-5.2750720000000001E-2</v>
      </c>
      <c r="R6717">
        <v>0.96216579999999996</v>
      </c>
      <c r="S6717">
        <v>1.8833470000000001</v>
      </c>
      <c r="T6717">
        <v>-0.44094129999999998</v>
      </c>
      <c r="U6717">
        <v>2.588425</v>
      </c>
      <c r="V6717">
        <v>0.13041920000000001</v>
      </c>
      <c r="W6717">
        <v>-1.2740929999999999E-2</v>
      </c>
      <c r="X6717">
        <v>0.99137710000000001</v>
      </c>
      <c r="Y6717">
        <v>0.46552209999999999</v>
      </c>
      <c r="Z6717">
        <v>-9.806848E-2</v>
      </c>
      <c r="AA6717">
        <v>0.87958619999999899</v>
      </c>
      <c r="AB6717">
        <v>40</v>
      </c>
      <c r="AC6717">
        <v>4.6505000000000196</v>
      </c>
      <c r="AD6717">
        <v>-1.100877680775</v>
      </c>
      <c r="AE6717">
        <v>6.0772999999999904</v>
      </c>
      <c r="AF6717">
        <v>3.6827138949595599</v>
      </c>
      <c r="AG6717">
        <v>-1.100877680775</v>
      </c>
      <c r="AH6717">
        <v>6.5305206976735404</v>
      </c>
      <c r="AI6717">
        <v>98.353377969066401</v>
      </c>
      <c r="AJ6717">
        <v>60.5803284640876</v>
      </c>
      <c r="AK6717">
        <v>7.5777314470030799</v>
      </c>
      <c r="AL6717">
        <v>90.730021248359606</v>
      </c>
      <c r="AM6717">
        <v>82.505571449799305</v>
      </c>
      <c r="AN6717">
        <v>1.0000000267151501</v>
      </c>
    </row>
    <row r="6718" spans="1:40" x14ac:dyDescent="0.25">
      <c r="A6718" t="str">
        <f>"20190305135404510"</f>
        <v>20190305135404510</v>
      </c>
      <c r="B6718" t="str">
        <f>"1551765244506997"</f>
        <v>1551765244506997</v>
      </c>
      <c r="C6718" t="s">
        <v>40</v>
      </c>
      <c r="D6718">
        <v>4.9428269999999896</v>
      </c>
      <c r="E6718">
        <v>0.64109749999999999</v>
      </c>
      <c r="F6718" t="s">
        <v>78</v>
      </c>
      <c r="G6718">
        <v>-181.25649999999999</v>
      </c>
      <c r="H6718" s="1">
        <v>-4.8229379999999998E-6</v>
      </c>
      <c r="I6718">
        <v>127.9675</v>
      </c>
      <c r="J6718">
        <v>-186.06360000000001</v>
      </c>
      <c r="K6718">
        <v>1.1006309999999999</v>
      </c>
      <c r="L6718">
        <v>121.8464</v>
      </c>
      <c r="M6718">
        <v>0.15224489999999999</v>
      </c>
      <c r="N6718">
        <v>-4.4087000000000001E-2</v>
      </c>
      <c r="O6718">
        <v>0.98735899999999999</v>
      </c>
      <c r="P6718">
        <v>0.28019429999999901</v>
      </c>
      <c r="Q6718">
        <v>-5.5877570000000001E-2</v>
      </c>
      <c r="R6718">
        <v>0.95831560000000005</v>
      </c>
      <c r="S6718">
        <v>1.9149020000000001</v>
      </c>
      <c r="T6718">
        <v>-0.43330869999999999</v>
      </c>
      <c r="U6718">
        <v>2.5622250000000002</v>
      </c>
      <c r="V6718">
        <v>0.13048080000000001</v>
      </c>
      <c r="W6718">
        <v>-1.5907830000000001E-2</v>
      </c>
      <c r="X6718">
        <v>0.99132319999999996</v>
      </c>
      <c r="Y6718">
        <v>0.46517799999999998</v>
      </c>
      <c r="Z6718">
        <v>-9.6131640000000004E-2</v>
      </c>
      <c r="AA6718">
        <v>0.87998189999999998</v>
      </c>
      <c r="AB6718">
        <v>40</v>
      </c>
      <c r="AC6718">
        <v>4.8071000000000197</v>
      </c>
      <c r="AD6718">
        <v>-1.100635822938</v>
      </c>
      <c r="AE6718">
        <v>6.1210999999999904</v>
      </c>
      <c r="AF6718">
        <v>3.74328157275994</v>
      </c>
      <c r="AG6718">
        <v>-1.100635822938</v>
      </c>
      <c r="AH6718">
        <v>6.6492034358424599</v>
      </c>
      <c r="AI6718">
        <v>98.207858952749106</v>
      </c>
      <c r="AJ6718">
        <v>60.621928142580899</v>
      </c>
      <c r="AK6718">
        <v>7.7094398291262198</v>
      </c>
      <c r="AL6718">
        <v>90.911489973232605</v>
      </c>
      <c r="AM6718">
        <v>82.501668887023598</v>
      </c>
      <c r="AN6718">
        <v>0.99999999254109395</v>
      </c>
    </row>
    <row r="6719" spans="1:40" x14ac:dyDescent="0.25">
      <c r="A6719" t="str">
        <f>"20190305135404533"</f>
        <v>20190305135404533</v>
      </c>
      <c r="B6719" t="str">
        <f>"1551765244526516"</f>
        <v>1551765244526516</v>
      </c>
      <c r="C6719" t="s">
        <v>40</v>
      </c>
      <c r="D6719">
        <v>4.9866299999999999</v>
      </c>
      <c r="E6719">
        <v>0.63990419999999903</v>
      </c>
      <c r="F6719" t="s">
        <v>78</v>
      </c>
      <c r="G6719">
        <v>-181.08670000000001</v>
      </c>
      <c r="H6719" s="1">
        <v>-4.9518440000000001E-6</v>
      </c>
      <c r="I6719">
        <v>128.37280000000001</v>
      </c>
      <c r="J6719">
        <v>-186.0008</v>
      </c>
      <c r="K6719">
        <v>1.100433</v>
      </c>
      <c r="L6719">
        <v>122.2349</v>
      </c>
      <c r="M6719">
        <v>0.16588</v>
      </c>
      <c r="N6719">
        <v>-4.4136229999999999E-2</v>
      </c>
      <c r="O6719">
        <v>0.98515779999999997</v>
      </c>
      <c r="P6719">
        <v>0.29401559999999999</v>
      </c>
      <c r="Q6719">
        <v>-5.6897080000000003E-2</v>
      </c>
      <c r="R6719">
        <v>0.95410569999999895</v>
      </c>
      <c r="S6719">
        <v>1.936447</v>
      </c>
      <c r="T6719">
        <v>-0.42824240000000002</v>
      </c>
      <c r="U6719">
        <v>2.5393520000000001</v>
      </c>
      <c r="V6719">
        <v>0.1310759</v>
      </c>
      <c r="W6719">
        <v>-1.696868E-2</v>
      </c>
      <c r="X6719">
        <v>0.99122710000000003</v>
      </c>
      <c r="Y6719">
        <v>0.46157599999999999</v>
      </c>
      <c r="Z6719">
        <v>-9.5055189999999998E-2</v>
      </c>
      <c r="AA6719">
        <v>0.88199329999999998</v>
      </c>
      <c r="AB6719">
        <v>39</v>
      </c>
      <c r="AC6719">
        <v>4.9140999999999897</v>
      </c>
      <c r="AD6719">
        <v>-1.100437951844</v>
      </c>
      <c r="AE6719">
        <v>6.1379000000000099</v>
      </c>
      <c r="AF6719">
        <v>3.7532205193297399</v>
      </c>
      <c r="AG6719">
        <v>-1.100437951844</v>
      </c>
      <c r="AH6719">
        <v>6.7366868745750201</v>
      </c>
      <c r="AI6719">
        <v>98.121168384515101</v>
      </c>
      <c r="AJ6719">
        <v>60.8764427203363</v>
      </c>
      <c r="AK6719">
        <v>7.7897739375830302</v>
      </c>
      <c r="AL6719">
        <v>90.9722804149838</v>
      </c>
      <c r="AM6719">
        <v>82.467140233105994</v>
      </c>
      <c r="AN6719">
        <v>0.99999999571808096</v>
      </c>
    </row>
    <row r="6720" spans="1:40" x14ac:dyDescent="0.25">
      <c r="A6720" t="str">
        <f>"20190305135404557"</f>
        <v>20190305135404557</v>
      </c>
      <c r="B6720" t="str">
        <f>"1551765244547012"</f>
        <v>1551765244547012</v>
      </c>
      <c r="C6720" t="s">
        <v>40</v>
      </c>
      <c r="D6720">
        <v>4.9656989999999999</v>
      </c>
      <c r="E6720">
        <v>0.63870109999999902</v>
      </c>
      <c r="F6720" t="s">
        <v>78</v>
      </c>
      <c r="G6720">
        <v>-180.9555</v>
      </c>
      <c r="H6720" s="1">
        <v>-5.0535120000000003E-6</v>
      </c>
      <c r="I6720">
        <v>128.69390000000001</v>
      </c>
      <c r="J6720">
        <v>-185.93190000000001</v>
      </c>
      <c r="K6720">
        <v>1.100274</v>
      </c>
      <c r="L6720">
        <v>122.6284</v>
      </c>
      <c r="M6720">
        <v>0.1801963</v>
      </c>
      <c r="N6720">
        <v>-4.4182819999999998E-2</v>
      </c>
      <c r="O6720">
        <v>0.98263789999999995</v>
      </c>
      <c r="P6720">
        <v>0.30822270000000002</v>
      </c>
      <c r="Q6720">
        <v>-5.6612629999999997E-2</v>
      </c>
      <c r="R6720">
        <v>0.94962820000000003</v>
      </c>
      <c r="S6720">
        <v>1.963516</v>
      </c>
      <c r="T6720">
        <v>-0.42826510000000001</v>
      </c>
      <c r="U6720">
        <v>2.5137019999999999</v>
      </c>
      <c r="V6720">
        <v>0.13144589999999901</v>
      </c>
      <c r="W6720">
        <v>-1.6706479999999999E-2</v>
      </c>
      <c r="X6720">
        <v>0.99118260000000002</v>
      </c>
      <c r="Y6720">
        <v>0.45892300000000003</v>
      </c>
      <c r="Z6720">
        <v>-9.5526260000000002E-2</v>
      </c>
      <c r="AA6720">
        <v>0.88332579999999905</v>
      </c>
      <c r="AB6720">
        <v>38</v>
      </c>
      <c r="AC6720">
        <v>4.9764000000000097</v>
      </c>
      <c r="AD6720">
        <v>-1.1002790535119999</v>
      </c>
      <c r="AE6720">
        <v>6.0655000000000099</v>
      </c>
      <c r="AF6720">
        <v>3.7274219055654099</v>
      </c>
      <c r="AG6720">
        <v>-1.1002790535119999</v>
      </c>
      <c r="AH6720">
        <v>6.7312365423182703</v>
      </c>
      <c r="AI6720">
        <v>98.1380153699332</v>
      </c>
      <c r="AJ6720">
        <v>61.024510599210402</v>
      </c>
      <c r="AK6720">
        <v>7.7726336235748903</v>
      </c>
      <c r="AL6720">
        <v>90.957255290235594</v>
      </c>
      <c r="AM6720">
        <v>82.4457865219849</v>
      </c>
      <c r="AN6720">
        <v>1.00000003882177</v>
      </c>
    </row>
    <row r="6721" spans="1:40" x14ac:dyDescent="0.25">
      <c r="A6721" t="str">
        <f>"20190305135404578"</f>
        <v>20190305135404578</v>
      </c>
      <c r="B6721" t="str">
        <f>"1551765244566533"</f>
        <v>1551765244566533</v>
      </c>
      <c r="C6721" t="s">
        <v>40</v>
      </c>
      <c r="D6721">
        <v>4.9580979999999997</v>
      </c>
      <c r="E6721">
        <v>0.63819479999999995</v>
      </c>
      <c r="F6721" t="s">
        <v>78</v>
      </c>
      <c r="G6721">
        <v>-180.7516</v>
      </c>
      <c r="H6721" s="1">
        <v>-5.1873810000000002E-6</v>
      </c>
      <c r="I6721">
        <v>129.1001</v>
      </c>
      <c r="J6721">
        <v>-185.86519999999999</v>
      </c>
      <c r="K6721">
        <v>1.10015</v>
      </c>
      <c r="L6721">
        <v>122.9825</v>
      </c>
      <c r="M6721">
        <v>0.19351170000000001</v>
      </c>
      <c r="N6721">
        <v>-4.4221040000000003E-2</v>
      </c>
      <c r="O6721">
        <v>0.98010090000000005</v>
      </c>
      <c r="P6721">
        <v>0.32101869999999999</v>
      </c>
      <c r="Q6721">
        <v>-6.151976E-2</v>
      </c>
      <c r="R6721">
        <v>0.94507269999999999</v>
      </c>
      <c r="S6721">
        <v>1.9912110000000001</v>
      </c>
      <c r="T6721">
        <v>-0.42292639999999998</v>
      </c>
      <c r="U6721">
        <v>2.4876100000000001</v>
      </c>
      <c r="V6721">
        <v>0.131292299999999</v>
      </c>
      <c r="W6721">
        <v>-2.162213E-2</v>
      </c>
      <c r="X6721">
        <v>0.99110790000000004</v>
      </c>
      <c r="Y6721">
        <v>0.45748660000000002</v>
      </c>
      <c r="Z6721">
        <v>-9.426437E-2</v>
      </c>
      <c r="AA6721">
        <v>0.88420599999999905</v>
      </c>
      <c r="AB6721">
        <v>38</v>
      </c>
      <c r="AC6721">
        <v>5.1135999999999902</v>
      </c>
      <c r="AD6721">
        <v>-1.100155187381</v>
      </c>
      <c r="AE6721">
        <v>6.1175999999999897</v>
      </c>
      <c r="AF6721">
        <v>3.7601775336978598</v>
      </c>
      <c r="AG6721">
        <v>-1.100155187381</v>
      </c>
      <c r="AH6721">
        <v>6.86161288842779</v>
      </c>
      <c r="AI6721">
        <v>98.003680820194603</v>
      </c>
      <c r="AJ6721">
        <v>61.277170924744603</v>
      </c>
      <c r="AK6721">
        <v>7.9013295053355304</v>
      </c>
      <c r="AL6721">
        <v>91.238953310947906</v>
      </c>
      <c r="AM6721">
        <v>82.453950014320696</v>
      </c>
      <c r="AN6721">
        <v>1.0000000269937099</v>
      </c>
    </row>
    <row r="6722" spans="1:40" x14ac:dyDescent="0.25">
      <c r="A6722" t="str">
        <f>"20190305135404600"</f>
        <v>20190305135404600</v>
      </c>
      <c r="B6722" t="str">
        <f>"1551765244596788"</f>
        <v>1551765244596788</v>
      </c>
      <c r="C6722" t="s">
        <v>40</v>
      </c>
      <c r="D6722">
        <v>5.1715099999999996</v>
      </c>
      <c r="E6722">
        <v>0.62511369999999999</v>
      </c>
      <c r="F6722" t="s">
        <v>78</v>
      </c>
      <c r="G6722">
        <v>-180.74950000000001</v>
      </c>
      <c r="H6722" s="1">
        <v>-5.2160090000000002E-6</v>
      </c>
      <c r="I6722">
        <v>129.20920000000001</v>
      </c>
      <c r="J6722">
        <v>-185.7928</v>
      </c>
      <c r="K6722">
        <v>1.1000399999999999</v>
      </c>
      <c r="L6722">
        <v>123.3415</v>
      </c>
      <c r="M6722">
        <v>0.20740939999999999</v>
      </c>
      <c r="N6722">
        <v>-4.4257119999999997E-2</v>
      </c>
      <c r="O6722">
        <v>0.97725260000000003</v>
      </c>
      <c r="P6722">
        <v>0.33705639999999998</v>
      </c>
      <c r="Q6722">
        <v>-6.7866040000000002E-2</v>
      </c>
      <c r="R6722">
        <v>0.93903519999999896</v>
      </c>
      <c r="S6722">
        <v>2.020813</v>
      </c>
      <c r="T6722">
        <v>-0.434581</v>
      </c>
      <c r="U6722">
        <v>2.459641</v>
      </c>
      <c r="V6722">
        <v>0.13397510000000001</v>
      </c>
      <c r="W6722">
        <v>-2.8077479999999998E-2</v>
      </c>
      <c r="X6722">
        <v>0.99058690000000005</v>
      </c>
      <c r="Y6722">
        <v>0.45587490000000003</v>
      </c>
      <c r="Z6722">
        <v>-9.8357780000000006E-2</v>
      </c>
      <c r="AA6722">
        <v>0.884592499999999</v>
      </c>
      <c r="AB6722">
        <v>37</v>
      </c>
      <c r="AC6722">
        <v>5.0432999999999799</v>
      </c>
      <c r="AD6722">
        <v>-1.100045216009</v>
      </c>
      <c r="AE6722">
        <v>5.8677000000000099</v>
      </c>
      <c r="AF6722">
        <v>3.6415914664722902</v>
      </c>
      <c r="AG6722">
        <v>-1.100045216009</v>
      </c>
      <c r="AH6722">
        <v>6.6524314527691599</v>
      </c>
      <c r="AI6722">
        <v>98.253161946487296</v>
      </c>
      <c r="AJ6722">
        <v>61.303368832563898</v>
      </c>
      <c r="AK6722">
        <v>7.6632977313778197</v>
      </c>
      <c r="AL6722">
        <v>91.608932486186006</v>
      </c>
      <c r="AM6722">
        <v>82.297586138444501</v>
      </c>
      <c r="AN6722">
        <v>1.00000003937738</v>
      </c>
    </row>
    <row r="6723" spans="1:40" x14ac:dyDescent="0.25">
      <c r="A6723" t="str">
        <f>"20190305135404623"</f>
        <v>20190305135404623</v>
      </c>
      <c r="B6723" t="str">
        <f>"1551765244616308"</f>
        <v>1551765244616308</v>
      </c>
      <c r="C6723" t="s">
        <v>40</v>
      </c>
      <c r="D6723">
        <v>4.9513920000000002</v>
      </c>
      <c r="E6723">
        <v>0.62337849999999995</v>
      </c>
      <c r="F6723" t="s">
        <v>78</v>
      </c>
      <c r="G6723">
        <v>-179.97890000000001</v>
      </c>
      <c r="H6723" s="1">
        <v>-5.7925750000000002E-6</v>
      </c>
      <c r="I6723">
        <v>130.65280000000001</v>
      </c>
      <c r="J6723">
        <v>-185.71619999999999</v>
      </c>
      <c r="K6723">
        <v>1.0999460000000001</v>
      </c>
      <c r="L6723">
        <v>123.6977</v>
      </c>
      <c r="M6723">
        <v>0.2215731</v>
      </c>
      <c r="N6723">
        <v>-4.4292310000000001E-2</v>
      </c>
      <c r="O6723">
        <v>0.97413740000000004</v>
      </c>
      <c r="P6723">
        <v>0.35670420000000003</v>
      </c>
      <c r="Q6723">
        <v>-7.419307E-2</v>
      </c>
      <c r="R6723">
        <v>0.93126660000000006</v>
      </c>
      <c r="S6723">
        <v>1.959778</v>
      </c>
      <c r="T6723">
        <v>-0.37080980000000002</v>
      </c>
      <c r="U6723">
        <v>2.4645389999999998</v>
      </c>
      <c r="V6723">
        <v>0.14029330000000001</v>
      </c>
      <c r="W6723">
        <v>-3.4640709999999998E-2</v>
      </c>
      <c r="X6723">
        <v>0.98950380000000004</v>
      </c>
      <c r="Y6723">
        <v>0.42996509999999999</v>
      </c>
      <c r="Z6723">
        <v>-7.9169719999999999E-2</v>
      </c>
      <c r="AA6723">
        <v>0.89936769999999999</v>
      </c>
      <c r="AB6723">
        <v>37</v>
      </c>
      <c r="AC6723">
        <v>5.7372999999999701</v>
      </c>
      <c r="AD6723">
        <v>-1.099951792575</v>
      </c>
      <c r="AE6723">
        <v>6.9551000000000096</v>
      </c>
      <c r="AF6723">
        <v>3.992409889848</v>
      </c>
      <c r="AG6723">
        <v>-1.099951792575</v>
      </c>
      <c r="AH6723">
        <v>7.9362379740925402</v>
      </c>
      <c r="AI6723">
        <v>97.058123816005093</v>
      </c>
      <c r="AJ6723">
        <v>63.294825849376302</v>
      </c>
      <c r="AK6723">
        <v>8.9517095493527705</v>
      </c>
      <c r="AL6723">
        <v>91.985163683800806</v>
      </c>
      <c r="AM6723">
        <v>81.9303057943863</v>
      </c>
      <c r="AN6723">
        <v>0.99999997951431596</v>
      </c>
    </row>
    <row r="6724" spans="1:40" x14ac:dyDescent="0.25">
      <c r="A6724" t="str">
        <f>"20190305135404638"</f>
        <v>20190305135404638</v>
      </c>
      <c r="B6724" t="str">
        <f>"1551765244627045"</f>
        <v>1551765244627045</v>
      </c>
      <c r="C6724" t="s">
        <v>40</v>
      </c>
      <c r="D6724">
        <v>4.976394</v>
      </c>
      <c r="E6724">
        <v>0.62282289999999996</v>
      </c>
      <c r="F6724" t="s">
        <v>78</v>
      </c>
      <c r="G6724">
        <v>-180.12799999999999</v>
      </c>
      <c r="H6724" s="1">
        <v>-5.7195540000000003E-6</v>
      </c>
      <c r="I6724">
        <v>130.48140000000001</v>
      </c>
      <c r="J6724">
        <v>-185.66040000000001</v>
      </c>
      <c r="K6724">
        <v>1.0999110000000001</v>
      </c>
      <c r="L6724">
        <v>123.94199999999999</v>
      </c>
      <c r="M6724">
        <v>0.23151579999999999</v>
      </c>
      <c r="N6724">
        <v>-4.431744E-2</v>
      </c>
      <c r="O6724">
        <v>0.97182120000000005</v>
      </c>
      <c r="P6724">
        <v>0.36948789999999998</v>
      </c>
      <c r="Q6724">
        <v>-7.7756850000000002E-2</v>
      </c>
      <c r="R6724">
        <v>0.92597660000000004</v>
      </c>
      <c r="S6724">
        <v>1.997574</v>
      </c>
      <c r="T6724">
        <v>-0.39319500000000002</v>
      </c>
      <c r="U6724">
        <v>2.424957</v>
      </c>
      <c r="V6724">
        <v>0.1437476</v>
      </c>
      <c r="W6724">
        <v>-3.8327819999999999E-2</v>
      </c>
      <c r="X6724">
        <v>0.98887190000000003</v>
      </c>
      <c r="Y6724">
        <v>0.43576520000000002</v>
      </c>
      <c r="Z6724">
        <v>-8.6923120000000006E-2</v>
      </c>
      <c r="AA6724">
        <v>0.89585329999999996</v>
      </c>
      <c r="AB6724">
        <v>36</v>
      </c>
      <c r="AC6724">
        <v>5.5324000000000204</v>
      </c>
      <c r="AD6724">
        <v>-1.0999167195540001</v>
      </c>
      <c r="AE6724">
        <v>6.5393999999999997</v>
      </c>
      <c r="AF6724">
        <v>3.8036100872241798</v>
      </c>
      <c r="AG6724">
        <v>-1.0999167195540001</v>
      </c>
      <c r="AH6724">
        <v>7.5194863962978102</v>
      </c>
      <c r="AI6724">
        <v>97.436591465252704</v>
      </c>
      <c r="AJ6724">
        <v>63.168173354027303</v>
      </c>
      <c r="AK6724">
        <v>8.4982317072256794</v>
      </c>
      <c r="AL6724">
        <v>92.1965603153606</v>
      </c>
      <c r="AM6724">
        <v>81.729118109288095</v>
      </c>
      <c r="AN6724">
        <v>1.00000001445066</v>
      </c>
    </row>
    <row r="6725" spans="1:40" x14ac:dyDescent="0.25">
      <c r="A6725" t="str">
        <f>"20190305135404656"</f>
        <v>20190305135404656</v>
      </c>
      <c r="B6725" t="str">
        <f>"1551765244646563"</f>
        <v>1551765244646563</v>
      </c>
      <c r="C6725" t="s">
        <v>40</v>
      </c>
      <c r="D6725">
        <v>4.9835399999999996</v>
      </c>
      <c r="E6725">
        <v>0.62140099999999998</v>
      </c>
      <c r="F6725" t="s">
        <v>78</v>
      </c>
      <c r="G6725">
        <v>-180.1455</v>
      </c>
      <c r="H6725" s="1">
        <v>-5.71270599999999E-6</v>
      </c>
      <c r="I6725">
        <v>130.46629999999999</v>
      </c>
      <c r="J6725">
        <v>-185.59139999999999</v>
      </c>
      <c r="K6725">
        <v>1.09989</v>
      </c>
      <c r="L6725">
        <v>124.2313</v>
      </c>
      <c r="M6725">
        <v>0.24347559999999999</v>
      </c>
      <c r="N6725">
        <v>-4.4348930000000002E-2</v>
      </c>
      <c r="O6725">
        <v>0.96889259999999999</v>
      </c>
      <c r="P6725">
        <v>0.38784920000000001</v>
      </c>
      <c r="Q6725">
        <v>-8.5335949999999994E-2</v>
      </c>
      <c r="R6725">
        <v>0.91776400000000002</v>
      </c>
      <c r="S6725">
        <v>2.0263979999999999</v>
      </c>
      <c r="T6725">
        <v>-0.40415469999999998</v>
      </c>
      <c r="U6725">
        <v>2.3972929999999999</v>
      </c>
      <c r="V6725">
        <v>0.15115229999999999</v>
      </c>
      <c r="W6725">
        <v>-4.6182130000000002E-2</v>
      </c>
      <c r="X6725">
        <v>0.98743110000000001</v>
      </c>
      <c r="Y6725">
        <v>0.43580210000000003</v>
      </c>
      <c r="Z6725">
        <v>-9.0753860000000006E-2</v>
      </c>
      <c r="AA6725">
        <v>0.89545540000000001</v>
      </c>
      <c r="AB6725">
        <v>36</v>
      </c>
      <c r="AC6725">
        <v>5.4458999999999902</v>
      </c>
      <c r="AD6725">
        <v>-1.0998957127060001</v>
      </c>
      <c r="AE6725">
        <v>6.2349999999999799</v>
      </c>
      <c r="AF6725">
        <v>3.69686485057245</v>
      </c>
      <c r="AG6725">
        <v>-1.0998957127060001</v>
      </c>
      <c r="AH6725">
        <v>7.2463295236816698</v>
      </c>
      <c r="AI6725">
        <v>97.700125939392606</v>
      </c>
      <c r="AJ6725">
        <v>62.9706583192986</v>
      </c>
      <c r="AK6725">
        <v>8.2088898072764795</v>
      </c>
      <c r="AL6725">
        <v>92.646982637384198</v>
      </c>
      <c r="AM6725">
        <v>81.296932181543596</v>
      </c>
      <c r="AN6725">
        <v>0.99999999208691803</v>
      </c>
    </row>
    <row r="6726" spans="1:40" x14ac:dyDescent="0.25">
      <c r="A6726" t="str">
        <f>"20190305135404671"</f>
        <v>20190305135404671</v>
      </c>
      <c r="B6726" t="str">
        <f>"1551765244667061"</f>
        <v>1551765244667061</v>
      </c>
      <c r="C6726" t="s">
        <v>40</v>
      </c>
      <c r="D6726">
        <v>4.9857339999999999</v>
      </c>
      <c r="E6726">
        <v>0.61954189999999998</v>
      </c>
      <c r="F6726" t="s">
        <v>78</v>
      </c>
      <c r="G6726">
        <v>-180.333</v>
      </c>
      <c r="H6726" s="1">
        <v>-5.617861E-6</v>
      </c>
      <c r="I6726">
        <v>130.24209999999999</v>
      </c>
      <c r="J6726">
        <v>-185.53569999999999</v>
      </c>
      <c r="K6726">
        <v>1.099899</v>
      </c>
      <c r="L6726">
        <v>124.4552</v>
      </c>
      <c r="M6726">
        <v>0.2528685</v>
      </c>
      <c r="N6726">
        <v>-4.4375690000000002E-2</v>
      </c>
      <c r="O6726">
        <v>0.96648250000000002</v>
      </c>
      <c r="P6726">
        <v>0.4004508</v>
      </c>
      <c r="Q6726">
        <v>-8.685756E-2</v>
      </c>
      <c r="R6726">
        <v>0.91219240000000001</v>
      </c>
      <c r="S6726">
        <v>2.0621489999999998</v>
      </c>
      <c r="T6726">
        <v>-0.43133840000000001</v>
      </c>
      <c r="U6726">
        <v>2.3572389999999999</v>
      </c>
      <c r="V6726">
        <v>0.155141</v>
      </c>
      <c r="W6726">
        <v>-4.783258E-2</v>
      </c>
      <c r="X6726">
        <v>0.98673370000000005</v>
      </c>
      <c r="Y6726">
        <v>0.44157590000000002</v>
      </c>
      <c r="Z6726">
        <v>-0.10007249999999999</v>
      </c>
      <c r="AA6726">
        <v>0.89162559999999902</v>
      </c>
      <c r="AB6726">
        <v>35</v>
      </c>
      <c r="AC6726">
        <v>5.2026999999999903</v>
      </c>
      <c r="AD6726">
        <v>-1.0999046178609999</v>
      </c>
      <c r="AE6726">
        <v>5.7868999999999797</v>
      </c>
      <c r="AF6726">
        <v>3.4986137849318699</v>
      </c>
      <c r="AG6726">
        <v>-1.0999046178609999</v>
      </c>
      <c r="AH6726">
        <v>6.7798999404126397</v>
      </c>
      <c r="AI6726">
        <v>98.203642376458404</v>
      </c>
      <c r="AJ6726">
        <v>62.705028529920497</v>
      </c>
      <c r="AK6726">
        <v>7.7082508902159299</v>
      </c>
      <c r="AL6726">
        <v>92.741650988289706</v>
      </c>
      <c r="AM6726">
        <v>81.064715279276598</v>
      </c>
      <c r="AN6726">
        <v>1.00000004015307</v>
      </c>
    </row>
    <row r="6727" spans="1:40" x14ac:dyDescent="0.25">
      <c r="A6727" t="str">
        <f>"20190305135404690"</f>
        <v>20190305135404690</v>
      </c>
      <c r="B6727" t="str">
        <f>"1551765244687087"</f>
        <v>1551765244687087</v>
      </c>
      <c r="C6727" t="s">
        <v>40</v>
      </c>
      <c r="D6727">
        <v>4.9992340000000004</v>
      </c>
      <c r="E6727">
        <v>0.61793969999999998</v>
      </c>
      <c r="F6727" t="s">
        <v>78</v>
      </c>
      <c r="G6727">
        <v>-180.27119999999999</v>
      </c>
      <c r="H6727" s="1">
        <v>-5.6662519999999998E-6</v>
      </c>
      <c r="I6727">
        <v>130.36500000000001</v>
      </c>
      <c r="J6727">
        <v>-185.46299999999999</v>
      </c>
      <c r="K6727">
        <v>1.099947</v>
      </c>
      <c r="L6727">
        <v>124.735</v>
      </c>
      <c r="M6727">
        <v>0.26477119999999998</v>
      </c>
      <c r="N6727">
        <v>-4.4413699999999903E-2</v>
      </c>
      <c r="O6727">
        <v>0.96328789999999997</v>
      </c>
      <c r="P6727">
        <v>0.42022520000000002</v>
      </c>
      <c r="Q6727">
        <v>-8.4423529999999997E-2</v>
      </c>
      <c r="R6727">
        <v>0.90348410000000001</v>
      </c>
      <c r="S6727">
        <v>2.07959</v>
      </c>
      <c r="T6727">
        <v>-0.43448219999999999</v>
      </c>
      <c r="U6727">
        <v>2.3344879999999999</v>
      </c>
      <c r="V6727">
        <v>0.16443769999999999</v>
      </c>
      <c r="W6727">
        <v>-4.5696880000000002E-2</v>
      </c>
      <c r="X6727">
        <v>0.98532839999999999</v>
      </c>
      <c r="Y6727">
        <v>0.43844670000000002</v>
      </c>
      <c r="Z6727">
        <v>-0.1014123</v>
      </c>
      <c r="AA6727">
        <v>0.89301739999999996</v>
      </c>
      <c r="AB6727">
        <v>35</v>
      </c>
      <c r="AC6727">
        <v>5.1917999999999997</v>
      </c>
      <c r="AD6727">
        <v>-1.0999526662520001</v>
      </c>
      <c r="AE6727">
        <v>5.6300000000000097</v>
      </c>
      <c r="AF6727">
        <v>3.4429804007551899</v>
      </c>
      <c r="AG6727">
        <v>-1.0999526662520001</v>
      </c>
      <c r="AH6727">
        <v>6.6671319812249097</v>
      </c>
      <c r="AI6727">
        <v>98.339536172661894</v>
      </c>
      <c r="AJ6727">
        <v>62.687671342027699</v>
      </c>
      <c r="AK6727">
        <v>7.5838419526682701</v>
      </c>
      <c r="AL6727">
        <v>92.619150431182405</v>
      </c>
      <c r="AM6727">
        <v>80.525440552424598</v>
      </c>
      <c r="AN6727">
        <v>1.00000000893479</v>
      </c>
    </row>
    <row r="6728" spans="1:40" x14ac:dyDescent="0.25">
      <c r="A6728" t="str">
        <f>"20190305135404706"</f>
        <v>20190305135404706</v>
      </c>
      <c r="B6728" t="str">
        <f>"1551765244696848"</f>
        <v>1551765244696848</v>
      </c>
      <c r="C6728" t="s">
        <v>40</v>
      </c>
      <c r="D6728">
        <v>5.0017040000000001</v>
      </c>
      <c r="E6728">
        <v>0.61793969999999998</v>
      </c>
      <c r="F6728" t="s">
        <v>78</v>
      </c>
      <c r="G6728">
        <v>-180.0489</v>
      </c>
      <c r="H6728" s="1">
        <v>-5.77056E-6</v>
      </c>
      <c r="I6728">
        <v>130.60749999999999</v>
      </c>
      <c r="J6728">
        <v>-185.3998</v>
      </c>
      <c r="K6728">
        <v>1.1000000000000001</v>
      </c>
      <c r="L6728">
        <v>124.9695</v>
      </c>
      <c r="M6728">
        <v>0.27486290000000002</v>
      </c>
      <c r="N6728">
        <v>-4.4449969999999998E-2</v>
      </c>
      <c r="O6728">
        <v>0.96045539999999996</v>
      </c>
      <c r="P6728">
        <v>0.43405359999999998</v>
      </c>
      <c r="Q6728">
        <v>-8.1682409999999997E-2</v>
      </c>
      <c r="R6728">
        <v>0.89717639999999999</v>
      </c>
      <c r="S6728">
        <v>2.1166230000000001</v>
      </c>
      <c r="T6728">
        <v>-0.43002220000000002</v>
      </c>
      <c r="U6728">
        <v>2.2958219999999998</v>
      </c>
      <c r="V6728">
        <v>0.169233299999999</v>
      </c>
      <c r="W6728">
        <v>-4.3082929999999998E-2</v>
      </c>
      <c r="X6728">
        <v>0.98463389999999995</v>
      </c>
      <c r="Y6728">
        <v>0.44434560000000001</v>
      </c>
      <c r="Z6728">
        <v>-0.1004538</v>
      </c>
      <c r="AA6728">
        <v>0.89020560000000004</v>
      </c>
      <c r="AB6728">
        <v>34</v>
      </c>
      <c r="AC6728">
        <v>5.3508999999999904</v>
      </c>
      <c r="AD6728">
        <v>-1.1000057705599999</v>
      </c>
      <c r="AE6728">
        <v>5.6379999999999901</v>
      </c>
      <c r="AF6728">
        <v>3.5226277006017002</v>
      </c>
      <c r="AG6728">
        <v>-1.1000057705599999</v>
      </c>
      <c r="AH6728">
        <v>6.7572959354245601</v>
      </c>
      <c r="AI6728">
        <v>98.2139538960149</v>
      </c>
      <c r="AJ6728">
        <v>62.466639928325101</v>
      </c>
      <c r="AK6728">
        <v>7.6993484770607097</v>
      </c>
      <c r="AL6728">
        <v>92.469234376153906</v>
      </c>
      <c r="AM6728">
        <v>80.247611884835905</v>
      </c>
      <c r="AN6728">
        <v>0.99999998285774205</v>
      </c>
    </row>
    <row r="6729" spans="1:40" x14ac:dyDescent="0.25">
      <c r="A6729" t="str">
        <f>"20190305135404723"</f>
        <v>20190305135404723</v>
      </c>
      <c r="B6729" t="str">
        <f>"1551765244716368"</f>
        <v>1551765244716368</v>
      </c>
      <c r="C6729" t="s">
        <v>40</v>
      </c>
      <c r="D6729">
        <v>4.9899329999999997</v>
      </c>
      <c r="E6729">
        <v>0.60090949999999999</v>
      </c>
      <c r="F6729" t="s">
        <v>78</v>
      </c>
      <c r="G6729">
        <v>-179.80779999999999</v>
      </c>
      <c r="H6729" s="1">
        <v>-5.7714619999999999E-6</v>
      </c>
      <c r="I6729">
        <v>130.85419999999999</v>
      </c>
      <c r="J6729">
        <v>-185.32849999999999</v>
      </c>
      <c r="K6729">
        <v>1.100079</v>
      </c>
      <c r="L6729">
        <v>125.2214</v>
      </c>
      <c r="M6729">
        <v>0.28585490000000002</v>
      </c>
      <c r="N6729">
        <v>-4.4494810000000003E-2</v>
      </c>
      <c r="O6729">
        <v>0.95723939999999996</v>
      </c>
      <c r="P6729">
        <v>0.45309159999999998</v>
      </c>
      <c r="Q6729">
        <v>-7.5806289999999998E-2</v>
      </c>
      <c r="R6729">
        <v>0.888235</v>
      </c>
      <c r="S6729">
        <v>2.151688</v>
      </c>
      <c r="T6729">
        <v>-0.4232593</v>
      </c>
      <c r="U6729">
        <v>2.264313</v>
      </c>
      <c r="V6729">
        <v>0.178941299999999</v>
      </c>
      <c r="W6729">
        <v>-3.749711E-2</v>
      </c>
      <c r="X6729">
        <v>0.98314489999999999</v>
      </c>
      <c r="Y6729">
        <v>0.44767099999999999</v>
      </c>
      <c r="Z6729">
        <v>-9.8472939999999995E-2</v>
      </c>
      <c r="AA6729">
        <v>0.88875969999999904</v>
      </c>
      <c r="AB6729">
        <v>34</v>
      </c>
      <c r="AC6729">
        <v>5.5206999999999997</v>
      </c>
      <c r="AD6729">
        <v>-1.1000847714619999</v>
      </c>
      <c r="AE6729">
        <v>5.63279999999998</v>
      </c>
      <c r="AF6729">
        <v>3.6079210142173301</v>
      </c>
      <c r="AG6729">
        <v>-1.1000847714619999</v>
      </c>
      <c r="AH6729">
        <v>6.8438248665262398</v>
      </c>
      <c r="AI6729">
        <v>98.0927632109303</v>
      </c>
      <c r="AJ6729">
        <v>62.2027416092984</v>
      </c>
      <c r="AK6729">
        <v>7.8144238017218299</v>
      </c>
      <c r="AL6729">
        <v>92.1489300152803</v>
      </c>
      <c r="AM6729">
        <v>79.684566161866101</v>
      </c>
      <c r="AN6729">
        <v>0.99999995825002497</v>
      </c>
    </row>
    <row r="6730" spans="1:40" x14ac:dyDescent="0.25">
      <c r="A6730" t="str">
        <f>"20190305135404740"</f>
        <v>20190305135404740</v>
      </c>
      <c r="B6730" t="str">
        <f>"1551765244736864"</f>
        <v>1551765244736864</v>
      </c>
      <c r="C6730" t="s">
        <v>40</v>
      </c>
      <c r="D6730">
        <v>5.2475519999999998</v>
      </c>
      <c r="E6730">
        <v>0.60047240000000002</v>
      </c>
      <c r="F6730" t="s">
        <v>78</v>
      </c>
      <c r="G6730">
        <v>-178.899</v>
      </c>
      <c r="H6730" s="1">
        <v>-5.7082650000000001E-6</v>
      </c>
      <c r="I6730">
        <v>132.2912</v>
      </c>
      <c r="J6730">
        <v>-185.25899999999999</v>
      </c>
      <c r="K6730">
        <v>1.10015</v>
      </c>
      <c r="L6730">
        <v>125.4577</v>
      </c>
      <c r="M6730">
        <v>0.2962803</v>
      </c>
      <c r="N6730">
        <v>-4.454147E-2</v>
      </c>
      <c r="O6730">
        <v>0.95406190000000002</v>
      </c>
      <c r="P6730">
        <v>0.46657700000000002</v>
      </c>
      <c r="Q6730">
        <v>-7.5841850000000002E-2</v>
      </c>
      <c r="R6730">
        <v>0.88122299999999998</v>
      </c>
      <c r="S6730">
        <v>2.0793300000000001</v>
      </c>
      <c r="T6730">
        <v>-0.35577389999999998</v>
      </c>
      <c r="U6730">
        <v>2.2864230000000001</v>
      </c>
      <c r="V6730">
        <v>0.18319089999999999</v>
      </c>
      <c r="W6730">
        <v>-3.7629370000000002E-2</v>
      </c>
      <c r="X6730">
        <v>0.98235689999999998</v>
      </c>
      <c r="Y6730">
        <v>0.41976910000000001</v>
      </c>
      <c r="Z6730">
        <v>-7.7279199999999895E-2</v>
      </c>
      <c r="AA6730">
        <v>0.904335</v>
      </c>
      <c r="AB6730">
        <v>34</v>
      </c>
      <c r="AC6730">
        <v>6.3600000000000101</v>
      </c>
      <c r="AD6730">
        <v>-1.100155708265</v>
      </c>
      <c r="AE6730">
        <v>6.8334999999999999</v>
      </c>
      <c r="AF6730">
        <v>3.9917785201570499</v>
      </c>
      <c r="AG6730">
        <v>-1.100155708265</v>
      </c>
      <c r="AH6730">
        <v>8.2970388325962094</v>
      </c>
      <c r="AI6730">
        <v>96.813784014114503</v>
      </c>
      <c r="AJ6730">
        <v>64.307382562309499</v>
      </c>
      <c r="AK6730">
        <v>9.2728362287934694</v>
      </c>
      <c r="AL6730">
        <v>92.156513266505897</v>
      </c>
      <c r="AM6730">
        <v>79.436756485492495</v>
      </c>
      <c r="AN6730">
        <v>0.99999997715350797</v>
      </c>
    </row>
    <row r="6731" spans="1:40" x14ac:dyDescent="0.25">
      <c r="A6731" t="str">
        <f>"20190305135404758"</f>
        <v>20190305135404758</v>
      </c>
      <c r="B6731" t="str">
        <f>"1551765244746623"</f>
        <v>1551765244746623</v>
      </c>
      <c r="C6731" t="s">
        <v>40</v>
      </c>
      <c r="D6731">
        <v>5.0320210000000003</v>
      </c>
      <c r="E6731">
        <v>0.59918890000000002</v>
      </c>
      <c r="F6731" t="s">
        <v>78</v>
      </c>
      <c r="G6731">
        <v>-177.94</v>
      </c>
      <c r="H6731" s="1">
        <v>-5.4504130000000001E-6</v>
      </c>
      <c r="I6731">
        <v>133.292</v>
      </c>
      <c r="J6731">
        <v>-185.18029999999999</v>
      </c>
      <c r="K6731">
        <v>1.1001320000000001</v>
      </c>
      <c r="L6731">
        <v>125.7148</v>
      </c>
      <c r="M6731">
        <v>0.307849599999999</v>
      </c>
      <c r="N6731">
        <v>-4.4558300000000002E-2</v>
      </c>
      <c r="O6731">
        <v>0.95039110000000004</v>
      </c>
      <c r="P6731">
        <v>0.48325050000000003</v>
      </c>
      <c r="Q6731">
        <v>-7.9716699999999904E-2</v>
      </c>
      <c r="R6731">
        <v>0.87184530000000005</v>
      </c>
      <c r="S6731">
        <v>2.11084</v>
      </c>
      <c r="T6731">
        <v>-0.31729030000000003</v>
      </c>
      <c r="U6731">
        <v>2.2594449999999999</v>
      </c>
      <c r="V6731">
        <v>0.18990099999999999</v>
      </c>
      <c r="W6731">
        <v>-4.1765780000000002E-2</v>
      </c>
      <c r="X6731">
        <v>0.98091450000000002</v>
      </c>
      <c r="Y6731">
        <v>0.42159340000000001</v>
      </c>
      <c r="Z6731">
        <v>-6.4883049999999998E-2</v>
      </c>
      <c r="AA6731">
        <v>0.90446070000000001</v>
      </c>
      <c r="AB6731">
        <v>33</v>
      </c>
      <c r="AC6731">
        <v>7.2402999999999897</v>
      </c>
      <c r="AD6731">
        <v>-1.1001374504129999</v>
      </c>
      <c r="AE6731">
        <v>7.5772000000000004</v>
      </c>
      <c r="AF6731">
        <v>4.5033771016097397</v>
      </c>
      <c r="AG6731">
        <v>-1.1001374504129999</v>
      </c>
      <c r="AH6731">
        <v>9.3367191024294396</v>
      </c>
      <c r="AI6731">
        <v>96.0580684892618</v>
      </c>
      <c r="AJ6731">
        <v>64.250605275512697</v>
      </c>
      <c r="AK6731">
        <v>10.4242520751742</v>
      </c>
      <c r="AL6731">
        <v>92.3936991549255</v>
      </c>
      <c r="AM6731">
        <v>79.0433148212026</v>
      </c>
      <c r="AN6731">
        <v>1.0000000132451199</v>
      </c>
    </row>
    <row r="6732" spans="1:40" x14ac:dyDescent="0.25">
      <c r="A6732" t="str">
        <f>"20190305135404779"</f>
        <v>20190305135404779</v>
      </c>
      <c r="B6732" t="str">
        <f>"1551765244767120"</f>
        <v>1551765244767120</v>
      </c>
      <c r="C6732" t="s">
        <v>40</v>
      </c>
      <c r="D6732">
        <v>5.0452680000000001</v>
      </c>
      <c r="E6732">
        <v>0.59667349999999997</v>
      </c>
      <c r="F6732" t="s">
        <v>78</v>
      </c>
      <c r="G6732">
        <v>-177.7747</v>
      </c>
      <c r="H6732" s="1">
        <v>-5.3754240000000001E-6</v>
      </c>
      <c r="I6732">
        <v>133.3914</v>
      </c>
      <c r="J6732">
        <v>-185.0882</v>
      </c>
      <c r="K6732">
        <v>1.0999110000000001</v>
      </c>
      <c r="L6732">
        <v>126.002</v>
      </c>
      <c r="M6732">
        <v>0.32111869999999998</v>
      </c>
      <c r="N6732">
        <v>-4.4473489999999997E-2</v>
      </c>
      <c r="O6732">
        <v>0.94599409999999895</v>
      </c>
      <c r="P6732">
        <v>0.4999593</v>
      </c>
      <c r="Q6732">
        <v>-8.5434759999999998E-2</v>
      </c>
      <c r="R6732">
        <v>0.86182459999999905</v>
      </c>
      <c r="S6732">
        <v>2.1446230000000002</v>
      </c>
      <c r="T6732">
        <v>-0.31859480000000001</v>
      </c>
      <c r="U6732">
        <v>2.2231139999999998</v>
      </c>
      <c r="V6732">
        <v>0.19503789999999999</v>
      </c>
      <c r="W6732">
        <v>-4.7869460000000003E-2</v>
      </c>
      <c r="X6732">
        <v>0.97962680000000002</v>
      </c>
      <c r="Y6732">
        <v>0.42336079999999998</v>
      </c>
      <c r="Z6732">
        <v>-6.5712670000000001E-2</v>
      </c>
      <c r="AA6732">
        <v>0.90357480000000001</v>
      </c>
      <c r="AB6732">
        <v>33</v>
      </c>
      <c r="AC6732">
        <v>7.3135000000000003</v>
      </c>
      <c r="AD6732">
        <v>-1.099916375424</v>
      </c>
      <c r="AE6732">
        <v>7.3893999999999904</v>
      </c>
      <c r="AF6732">
        <v>4.4997910800215699</v>
      </c>
      <c r="AG6732">
        <v>-1.099916375424</v>
      </c>
      <c r="AH6732">
        <v>9.2446085879641604</v>
      </c>
      <c r="AI6732">
        <v>96.106238836742193</v>
      </c>
      <c r="AJ6732">
        <v>64.045607988857199</v>
      </c>
      <c r="AK6732">
        <v>10.340247760156799</v>
      </c>
      <c r="AL6732">
        <v>92.743766679494897</v>
      </c>
      <c r="AM6732">
        <v>78.739985043609195</v>
      </c>
      <c r="AN6732">
        <v>0.99999996745766995</v>
      </c>
    </row>
    <row r="6733" spans="1:40" x14ac:dyDescent="0.25">
      <c r="A6733" t="str">
        <f>"20190305135404801"</f>
        <v>20190305135404801</v>
      </c>
      <c r="B6733" t="str">
        <f>"1551765244796400"</f>
        <v>1551765244796400</v>
      </c>
      <c r="C6733" t="s">
        <v>40</v>
      </c>
      <c r="D6733">
        <v>5.0649220000000001</v>
      </c>
      <c r="E6733">
        <v>0.59327019999999997</v>
      </c>
      <c r="F6733" t="s">
        <v>78</v>
      </c>
      <c r="G6733">
        <v>-177.77670000000001</v>
      </c>
      <c r="H6733" s="1">
        <v>-5.3744429999999999E-6</v>
      </c>
      <c r="I6733">
        <v>133.38509999999999</v>
      </c>
      <c r="J6733">
        <v>-184.99010000000001</v>
      </c>
      <c r="K6733">
        <v>1.0995680000000001</v>
      </c>
      <c r="L6733">
        <v>126.2923</v>
      </c>
      <c r="M6733">
        <v>0.33477610000000002</v>
      </c>
      <c r="N6733">
        <v>-4.4308130000000001E-2</v>
      </c>
      <c r="O6733">
        <v>0.94125539999999996</v>
      </c>
      <c r="P6733">
        <v>0.51933580000000001</v>
      </c>
      <c r="Q6733">
        <v>-8.8605580000000003E-2</v>
      </c>
      <c r="R6733">
        <v>0.84996430000000001</v>
      </c>
      <c r="S6733">
        <v>2.1690520000000002</v>
      </c>
      <c r="T6733">
        <v>-0.32630720000000002</v>
      </c>
      <c r="U6733">
        <v>2.1903229999999998</v>
      </c>
      <c r="V6733">
        <v>0.20297219999999999</v>
      </c>
      <c r="W6733">
        <v>-5.1662109999999997E-2</v>
      </c>
      <c r="X6733">
        <v>0.97782069999999999</v>
      </c>
      <c r="Y6733">
        <v>0.421929</v>
      </c>
      <c r="Z6733">
        <v>-6.8714239999999996E-2</v>
      </c>
      <c r="AA6733">
        <v>0.90402110000000002</v>
      </c>
      <c r="AB6733">
        <v>32</v>
      </c>
      <c r="AC6733">
        <v>7.2134</v>
      </c>
      <c r="AD6733">
        <v>-1.0995733744429901</v>
      </c>
      <c r="AE6733">
        <v>7.0927999999999898</v>
      </c>
      <c r="AF6733">
        <v>4.3678896742448599</v>
      </c>
      <c r="AG6733">
        <v>-1.0995733744429901</v>
      </c>
      <c r="AH6733">
        <v>8.9936952676246502</v>
      </c>
      <c r="AI6733">
        <v>96.275972486310295</v>
      </c>
      <c r="AJ6733">
        <v>64.095948725147906</v>
      </c>
      <c r="AK6733">
        <v>10.058532516180099</v>
      </c>
      <c r="AL6733">
        <v>92.961339137360497</v>
      </c>
      <c r="AM6733">
        <v>78.273299285129497</v>
      </c>
      <c r="AN6733">
        <v>1.00000000446549</v>
      </c>
    </row>
    <row r="6734" spans="1:40" x14ac:dyDescent="0.25">
      <c r="A6734" t="str">
        <f>"20190305135404814"</f>
        <v>20190305135404814</v>
      </c>
      <c r="B6734" t="str">
        <f>"1551765244806160"</f>
        <v>1551765244806160</v>
      </c>
      <c r="C6734" t="s">
        <v>40</v>
      </c>
      <c r="D6734">
        <v>5.1123159999999999</v>
      </c>
      <c r="E6734">
        <v>0.59242189999999995</v>
      </c>
      <c r="F6734" t="s">
        <v>78</v>
      </c>
      <c r="G6734">
        <v>-178.20910000000001</v>
      </c>
      <c r="H6734" s="1">
        <v>-5.4999059999999901E-6</v>
      </c>
      <c r="I6734">
        <v>132.93870000000001</v>
      </c>
      <c r="J6734">
        <v>-184.92160000000001</v>
      </c>
      <c r="K6734">
        <v>1.099386</v>
      </c>
      <c r="L6734">
        <v>126.48609999999999</v>
      </c>
      <c r="M6734">
        <v>0.3439334</v>
      </c>
      <c r="N6734">
        <v>-4.4202890000000002E-2</v>
      </c>
      <c r="O6734">
        <v>0.93795309999999998</v>
      </c>
      <c r="P6734">
        <v>0.5318252</v>
      </c>
      <c r="Q6734">
        <v>-9.0088940000000006E-2</v>
      </c>
      <c r="R6734">
        <v>0.84204859999999904</v>
      </c>
      <c r="S6734">
        <v>2.194931</v>
      </c>
      <c r="T6734">
        <v>-0.35591460000000003</v>
      </c>
      <c r="U6734">
        <v>2.1513209999999998</v>
      </c>
      <c r="V6734">
        <v>0.20784159999999999</v>
      </c>
      <c r="W6734">
        <v>-5.3529189999999997E-2</v>
      </c>
      <c r="X6734">
        <v>0.97669669999999997</v>
      </c>
      <c r="Y6734">
        <v>0.425927</v>
      </c>
      <c r="Z6734">
        <v>-7.9001899999999903E-2</v>
      </c>
      <c r="AA6734">
        <v>0.90130169999999998</v>
      </c>
      <c r="AB6734">
        <v>32</v>
      </c>
      <c r="AC6734">
        <v>6.7125000000000004</v>
      </c>
      <c r="AD6734">
        <v>-1.0993914999059999</v>
      </c>
      <c r="AE6734">
        <v>6.4526000000000101</v>
      </c>
      <c r="AF6734">
        <v>4.0246236574360701</v>
      </c>
      <c r="AG6734">
        <v>-1.0993914999059999</v>
      </c>
      <c r="AH6734">
        <v>8.2539937628411497</v>
      </c>
      <c r="AI6734">
        <v>96.8270340210683</v>
      </c>
      <c r="AJ6734">
        <v>64.006270143204702</v>
      </c>
      <c r="AK6734">
        <v>9.2484955690685293</v>
      </c>
      <c r="AL6734">
        <v>93.068463320584897</v>
      </c>
      <c r="AM6734">
        <v>77.986625174232003</v>
      </c>
      <c r="AN6734">
        <v>0.99999997433175203</v>
      </c>
    </row>
    <row r="6735" spans="1:40" x14ac:dyDescent="0.25">
      <c r="A6735" t="str">
        <f>"20190305135404827"</f>
        <v>20190305135404827</v>
      </c>
      <c r="B6735" t="str">
        <f>"1551765244816896"</f>
        <v>1551765244816896</v>
      </c>
      <c r="C6735" t="s">
        <v>40</v>
      </c>
      <c r="D6735">
        <v>5.0921250000000002</v>
      </c>
      <c r="E6735">
        <v>0.59152720000000003</v>
      </c>
      <c r="F6735" t="s">
        <v>78</v>
      </c>
      <c r="G6735">
        <v>-178.19540000000001</v>
      </c>
      <c r="H6735" s="1">
        <v>-5.4805359999999996E-6</v>
      </c>
      <c r="I6735">
        <v>132.91220000000001</v>
      </c>
      <c r="J6735">
        <v>-184.8631</v>
      </c>
      <c r="K6735">
        <v>1.0992630000000001</v>
      </c>
      <c r="L6735">
        <v>126.6474</v>
      </c>
      <c r="M6735">
        <v>0.35154960000000002</v>
      </c>
      <c r="N6735">
        <v>-4.4126579999999999E-2</v>
      </c>
      <c r="O6735">
        <v>0.93512870000000003</v>
      </c>
      <c r="P6735">
        <v>0.54336669999999998</v>
      </c>
      <c r="Q6735">
        <v>-9.1719720000000005E-2</v>
      </c>
      <c r="R6735">
        <v>0.83447000000000005</v>
      </c>
      <c r="S6735">
        <v>2.22052</v>
      </c>
      <c r="T6735">
        <v>-0.3629445</v>
      </c>
      <c r="U6735">
        <v>2.1214599999999999</v>
      </c>
      <c r="V6735">
        <v>0.21331629999999999</v>
      </c>
      <c r="W6735">
        <v>-5.551855E-2</v>
      </c>
      <c r="X6735">
        <v>0.97540439999999995</v>
      </c>
      <c r="Y6735">
        <v>0.4299018</v>
      </c>
      <c r="Z6735">
        <v>-8.1650050000000002E-2</v>
      </c>
      <c r="AA6735">
        <v>0.89917610000000003</v>
      </c>
      <c r="AB6735">
        <v>31</v>
      </c>
      <c r="AC6735">
        <v>6.6676999999999902</v>
      </c>
      <c r="AD6735">
        <v>-1.09926848053599</v>
      </c>
      <c r="AE6735">
        <v>6.2648000000000001</v>
      </c>
      <c r="AF6735">
        <v>3.97925660425601</v>
      </c>
      <c r="AG6735">
        <v>-1.09926848053599</v>
      </c>
      <c r="AH6735">
        <v>8.0935789919567007</v>
      </c>
      <c r="AI6735">
        <v>96.949220275305905</v>
      </c>
      <c r="AJ6735">
        <v>63.818685039633003</v>
      </c>
      <c r="AK6735">
        <v>9.0856422565417905</v>
      </c>
      <c r="AL6735">
        <v>93.182615161579804</v>
      </c>
      <c r="AM6735">
        <v>77.663906957668601</v>
      </c>
      <c r="AN6735">
        <v>0.99999994838957396</v>
      </c>
    </row>
    <row r="6736" spans="1:40" x14ac:dyDescent="0.25">
      <c r="A6736" t="str">
        <f>"20190305135404840"</f>
        <v>20190305135404840</v>
      </c>
      <c r="B6736" t="str">
        <f>"1551765244836415"</f>
        <v>1551765244836415</v>
      </c>
      <c r="C6736" t="s">
        <v>40</v>
      </c>
      <c r="D6736">
        <v>5.1157219999999999</v>
      </c>
      <c r="E6736">
        <v>0.58963390000000004</v>
      </c>
      <c r="F6736" t="s">
        <v>78</v>
      </c>
      <c r="G6736">
        <v>-178.2252</v>
      </c>
      <c r="H6736" s="1">
        <v>-5.4745979999999996E-6</v>
      </c>
      <c r="I6736">
        <v>132.84309999999999</v>
      </c>
      <c r="J6736">
        <v>-184.80170000000001</v>
      </c>
      <c r="K6736">
        <v>1.099208</v>
      </c>
      <c r="L6736">
        <v>126.8104</v>
      </c>
      <c r="M6736">
        <v>0.35923490000000002</v>
      </c>
      <c r="N6736">
        <v>-4.407809E-2</v>
      </c>
      <c r="O6736">
        <v>0.93220570000000003</v>
      </c>
      <c r="P6736">
        <v>0.55488519999999997</v>
      </c>
      <c r="Q6736">
        <v>-9.3535900000000005E-2</v>
      </c>
      <c r="R6736">
        <v>0.82665200000000005</v>
      </c>
      <c r="S6736">
        <v>2.2431179999999999</v>
      </c>
      <c r="T6736">
        <v>-0.37147069999999999</v>
      </c>
      <c r="U6736">
        <v>2.093658</v>
      </c>
      <c r="V6736">
        <v>0.21879599999999999</v>
      </c>
      <c r="W6736">
        <v>-5.7640839999999999E-2</v>
      </c>
      <c r="X6736">
        <v>0.97406669999999995</v>
      </c>
      <c r="Y6736">
        <v>0.4327164</v>
      </c>
      <c r="Z6736">
        <v>-8.4734260000000006E-2</v>
      </c>
      <c r="AA6736">
        <v>0.89753919999999998</v>
      </c>
      <c r="AB6736">
        <v>30</v>
      </c>
      <c r="AC6736">
        <v>6.5765000000000002</v>
      </c>
      <c r="AD6736">
        <v>-1.099213474598</v>
      </c>
      <c r="AE6736">
        <v>6.0326999999999904</v>
      </c>
      <c r="AF6736">
        <v>3.9080613051003699</v>
      </c>
      <c r="AG6736">
        <v>-1.099213474598</v>
      </c>
      <c r="AH6736">
        <v>7.8745309653813198</v>
      </c>
      <c r="AI6736">
        <v>97.127211239595795</v>
      </c>
      <c r="AJ6736">
        <v>63.6051946086952</v>
      </c>
      <c r="AK6736">
        <v>8.8594272586838194</v>
      </c>
      <c r="AL6736">
        <v>93.304408230363805</v>
      </c>
      <c r="AM6736">
        <v>77.340277759249702</v>
      </c>
      <c r="AN6736">
        <v>1.0000000460503899</v>
      </c>
    </row>
    <row r="6737" spans="1:40" x14ac:dyDescent="0.25">
      <c r="A6737" t="str">
        <f>"20190305135404855"</f>
        <v>20190305135404855</v>
      </c>
      <c r="B6737" t="str">
        <f>"1551765244847152"</f>
        <v>1551765244847152</v>
      </c>
      <c r="C6737" t="s">
        <v>40</v>
      </c>
      <c r="D6737">
        <v>5.1691250000000002</v>
      </c>
      <c r="E6737">
        <v>0.58871709999999899</v>
      </c>
      <c r="F6737" t="s">
        <v>78</v>
      </c>
      <c r="G6737">
        <v>-178.30609999999999</v>
      </c>
      <c r="H6737" s="1">
        <v>-5.4985120000000003E-6</v>
      </c>
      <c r="I6737">
        <v>132.76060000000001</v>
      </c>
      <c r="J6737">
        <v>-184.7252</v>
      </c>
      <c r="K6737">
        <v>1.0992010000000001</v>
      </c>
      <c r="L6737">
        <v>127.0078</v>
      </c>
      <c r="M6737">
        <v>0.3685312</v>
      </c>
      <c r="N6737">
        <v>-4.4046879999999997E-2</v>
      </c>
      <c r="O6737">
        <v>0.92857129999999999</v>
      </c>
      <c r="P6737">
        <v>0.57118139999999995</v>
      </c>
      <c r="Q6737">
        <v>-9.8238409999999998E-2</v>
      </c>
      <c r="R6737">
        <v>0.81492390000000003</v>
      </c>
      <c r="S6737">
        <v>2.259109</v>
      </c>
      <c r="T6737">
        <v>-0.38229289999999999</v>
      </c>
      <c r="U6737">
        <v>2.0694119999999998</v>
      </c>
      <c r="V6737">
        <v>0.22839960000000001</v>
      </c>
      <c r="W6737">
        <v>-6.2795229999999994E-2</v>
      </c>
      <c r="X6737">
        <v>0.97154019999999996</v>
      </c>
      <c r="Y6737">
        <v>0.4318285</v>
      </c>
      <c r="Z6737">
        <v>-8.8509169999999998E-2</v>
      </c>
      <c r="AA6737">
        <v>0.89760249999999997</v>
      </c>
      <c r="AB6737">
        <v>30</v>
      </c>
      <c r="AC6737">
        <v>6.41910000000001</v>
      </c>
      <c r="AD6737">
        <v>-1.099206498512</v>
      </c>
      <c r="AE6737">
        <v>5.7527999999999997</v>
      </c>
      <c r="AF6737">
        <v>3.7827222427667602</v>
      </c>
      <c r="AG6737">
        <v>-1.099206498512</v>
      </c>
      <c r="AH6737">
        <v>7.59155770108387</v>
      </c>
      <c r="AI6737">
        <v>97.384152389601198</v>
      </c>
      <c r="AJ6737">
        <v>63.513836775202897</v>
      </c>
      <c r="AK6737">
        <v>8.55271832934881</v>
      </c>
      <c r="AL6737">
        <v>93.600270462671006</v>
      </c>
      <c r="AM6737">
        <v>76.770550175471399</v>
      </c>
      <c r="AN6737">
        <v>0.99999998920347599</v>
      </c>
    </row>
    <row r="6738" spans="1:40" x14ac:dyDescent="0.25">
      <c r="A6738" t="str">
        <f>"20190305135404878"</f>
        <v>20190305135404878</v>
      </c>
      <c r="B6738" t="str">
        <f>"1551765244866671"</f>
        <v>1551765244866671</v>
      </c>
      <c r="C6738" t="s">
        <v>40</v>
      </c>
      <c r="D6738">
        <v>5.1071689999999998</v>
      </c>
      <c r="E6738">
        <v>0.57050459999999903</v>
      </c>
      <c r="F6738" t="s">
        <v>78</v>
      </c>
      <c r="G6738">
        <v>-178.38149999999999</v>
      </c>
      <c r="H6738" s="1">
        <v>-5.4936259999999997E-6</v>
      </c>
      <c r="I6738">
        <v>132.6122</v>
      </c>
      <c r="J6738">
        <v>-184.614</v>
      </c>
      <c r="K6738">
        <v>1.099226</v>
      </c>
      <c r="L6738">
        <v>127.2835</v>
      </c>
      <c r="M6738">
        <v>0.38179049999999998</v>
      </c>
      <c r="N6738">
        <v>-4.3999030000000001E-2</v>
      </c>
      <c r="O6738">
        <v>0.92320100000000005</v>
      </c>
      <c r="P6738">
        <v>0.58906059999999905</v>
      </c>
      <c r="Q6738">
        <v>-0.1011063</v>
      </c>
      <c r="R6738">
        <v>0.80173890000000003</v>
      </c>
      <c r="S6738">
        <v>2.293304</v>
      </c>
      <c r="T6738">
        <v>-0.39737080000000002</v>
      </c>
      <c r="U6738">
        <v>2.026062</v>
      </c>
      <c r="V6738">
        <v>0.23597850000000001</v>
      </c>
      <c r="W6738">
        <v>-6.6028920000000005E-2</v>
      </c>
      <c r="X6738">
        <v>0.96951240000000005</v>
      </c>
      <c r="Y6738">
        <v>0.43465019999999999</v>
      </c>
      <c r="Z6738">
        <v>-9.3778319999999998E-2</v>
      </c>
      <c r="AA6738">
        <v>0.89570360000000004</v>
      </c>
      <c r="AB6738">
        <v>30</v>
      </c>
      <c r="AC6738">
        <v>6.2325000000000097</v>
      </c>
      <c r="AD6738">
        <v>-1.0992314936259999</v>
      </c>
      <c r="AE6738">
        <v>5.3286999999999898</v>
      </c>
      <c r="AF6738">
        <v>3.65728598500873</v>
      </c>
      <c r="AG6738">
        <v>-1.0992314936259999</v>
      </c>
      <c r="AH6738">
        <v>7.1770714191396499</v>
      </c>
      <c r="AI6738">
        <v>97.770727369253194</v>
      </c>
      <c r="AJ6738">
        <v>62.997557193199299</v>
      </c>
      <c r="AK6738">
        <v>8.1298465427184894</v>
      </c>
      <c r="AL6738">
        <v>93.785932911546794</v>
      </c>
      <c r="AM6738">
        <v>76.320259044708493</v>
      </c>
      <c r="AN6738">
        <v>0.99999998224618802</v>
      </c>
    </row>
    <row r="6739" spans="1:40" x14ac:dyDescent="0.25">
      <c r="A6739" t="str">
        <f>"20190305135404893"</f>
        <v>20190305135404893</v>
      </c>
      <c r="B6739" t="str">
        <f>"1551765244886700"</f>
        <v>1551765244886700</v>
      </c>
      <c r="C6739" t="s">
        <v>40</v>
      </c>
      <c r="D6739">
        <v>5.120539</v>
      </c>
      <c r="E6739">
        <v>0.56911020000000001</v>
      </c>
      <c r="F6739" t="s">
        <v>78</v>
      </c>
      <c r="G6739">
        <v>-178.8426</v>
      </c>
      <c r="H6739" s="1">
        <v>-5.7923600000000004E-6</v>
      </c>
      <c r="I6739">
        <v>132.63229999999999</v>
      </c>
      <c r="J6739">
        <v>-184.54069999999999</v>
      </c>
      <c r="K6739">
        <v>1.0991799999999901</v>
      </c>
      <c r="L6739">
        <v>127.4579</v>
      </c>
      <c r="M6739">
        <v>0.3906229</v>
      </c>
      <c r="N6739">
        <v>-4.3911569999999997E-2</v>
      </c>
      <c r="O6739">
        <v>0.91950290000000001</v>
      </c>
      <c r="P6739">
        <v>0.5994855</v>
      </c>
      <c r="Q6739">
        <v>-0.10169350000000001</v>
      </c>
      <c r="R6739">
        <v>0.79389900000000002</v>
      </c>
      <c r="S6739">
        <v>2.2200319999999998</v>
      </c>
      <c r="T6739">
        <v>-0.42283080000000001</v>
      </c>
      <c r="U6739">
        <v>2.0574490000000001</v>
      </c>
      <c r="V6739">
        <v>0.2393402</v>
      </c>
      <c r="W6739">
        <v>-6.6864569999999998E-2</v>
      </c>
      <c r="X6739">
        <v>0.96863069999999896</v>
      </c>
      <c r="Y6739">
        <v>0.40382560000000001</v>
      </c>
      <c r="Z6739">
        <v>-0.10235130000000001</v>
      </c>
      <c r="AA6739">
        <v>0.90909249999999997</v>
      </c>
      <c r="AB6739">
        <v>29</v>
      </c>
      <c r="AC6739">
        <v>5.6980999999999797</v>
      </c>
      <c r="AD6739">
        <v>-1.0991857923599999</v>
      </c>
      <c r="AE6739">
        <v>5.1743999999999897</v>
      </c>
      <c r="AF6739">
        <v>3.1569048413991201</v>
      </c>
      <c r="AG6739">
        <v>-1.0991857923599999</v>
      </c>
      <c r="AH6739">
        <v>6.8507118858476996</v>
      </c>
      <c r="AI6739">
        <v>98.290829724928301</v>
      </c>
      <c r="AJ6739">
        <v>65.259081967340506</v>
      </c>
      <c r="AK6739">
        <v>7.6227626833497997</v>
      </c>
      <c r="AL6739">
        <v>93.833918045273606</v>
      </c>
      <c r="AM6739">
        <v>76.120717541764193</v>
      </c>
      <c r="AN6739">
        <v>1.0000000175199</v>
      </c>
    </row>
    <row r="6740" spans="1:40" x14ac:dyDescent="0.25">
      <c r="A6740" t="str">
        <f>"20190305135404907"</f>
        <v>20190305135404907</v>
      </c>
      <c r="B6740" t="str">
        <f>"1551765244896460"</f>
        <v>1551765244896460</v>
      </c>
      <c r="C6740" t="s">
        <v>40</v>
      </c>
      <c r="D6740">
        <v>5.1471499999999999</v>
      </c>
      <c r="E6740">
        <v>0.56911020000000001</v>
      </c>
      <c r="F6740" t="s">
        <v>78</v>
      </c>
      <c r="G6740">
        <v>-178.59399999999999</v>
      </c>
      <c r="H6740" s="1">
        <v>-5.7200149999999996E-6</v>
      </c>
      <c r="I6740">
        <v>132.86789999999999</v>
      </c>
      <c r="J6740">
        <v>-184.4649</v>
      </c>
      <c r="K6740">
        <v>1.099081</v>
      </c>
      <c r="L6740">
        <v>127.6331</v>
      </c>
      <c r="M6740">
        <v>0.39986690000000003</v>
      </c>
      <c r="N6740">
        <v>-4.3778310000000001E-2</v>
      </c>
      <c r="O6740">
        <v>0.91552719999999999</v>
      </c>
      <c r="P6740">
        <v>0.60976660000000005</v>
      </c>
      <c r="Q6740">
        <v>-0.10177509999999999</v>
      </c>
      <c r="R6740">
        <v>0.78601940000000003</v>
      </c>
      <c r="S6740">
        <v>2.2379150000000001</v>
      </c>
      <c r="T6740">
        <v>-0.41365790000000002</v>
      </c>
      <c r="U6740">
        <v>2.035965</v>
      </c>
      <c r="V6740">
        <v>0.2421632</v>
      </c>
      <c r="W6740">
        <v>-6.7234959999999996E-2</v>
      </c>
      <c r="X6740">
        <v>0.96790310000000002</v>
      </c>
      <c r="Y6740">
        <v>0.40326299999999998</v>
      </c>
      <c r="Z6740">
        <v>-9.9510130000000002E-2</v>
      </c>
      <c r="AA6740">
        <v>0.90965750000000001</v>
      </c>
      <c r="AB6740">
        <v>29</v>
      </c>
      <c r="AC6740">
        <v>5.8708999999999696</v>
      </c>
      <c r="AD6740">
        <v>-1.0990867200149901</v>
      </c>
      <c r="AE6740">
        <v>5.2347999999999901</v>
      </c>
      <c r="AF6740">
        <v>3.2219868622372898</v>
      </c>
      <c r="AG6740">
        <v>-1.0990867200149901</v>
      </c>
      <c r="AH6740">
        <v>7.0101621573025197</v>
      </c>
      <c r="AI6740">
        <v>98.107700742193899</v>
      </c>
      <c r="AJ6740">
        <v>65.315703378018796</v>
      </c>
      <c r="AK6740">
        <v>7.7930459019705101</v>
      </c>
      <c r="AL6740">
        <v>93.855187826084304</v>
      </c>
      <c r="AM6740">
        <v>75.953314872245102</v>
      </c>
      <c r="AN6740">
        <v>0.99999998313502503</v>
      </c>
    </row>
    <row r="6741" spans="1:40" x14ac:dyDescent="0.25">
      <c r="A6741" t="str">
        <f>"20190305135404924"</f>
        <v>20190305135404924</v>
      </c>
      <c r="B6741" t="str">
        <f>"1551765244916956"</f>
        <v>1551765244916956</v>
      </c>
      <c r="C6741" t="s">
        <v>40</v>
      </c>
      <c r="D6741">
        <v>5.1088449999999996</v>
      </c>
      <c r="E6741">
        <v>0.56754559999999998</v>
      </c>
      <c r="F6741" t="s">
        <v>78</v>
      </c>
      <c r="G6741">
        <v>-178.4442</v>
      </c>
      <c r="H6741" s="1">
        <v>-5.6617710000000004E-6</v>
      </c>
      <c r="I6741">
        <v>132.96809999999999</v>
      </c>
      <c r="J6741">
        <v>-184.37479999999999</v>
      </c>
      <c r="K6741">
        <v>1.0989439999999999</v>
      </c>
      <c r="L6741">
        <v>127.8336</v>
      </c>
      <c r="M6741">
        <v>0.410881</v>
      </c>
      <c r="N6741">
        <v>-4.362576E-2</v>
      </c>
      <c r="O6741">
        <v>0.91064460000000003</v>
      </c>
      <c r="P6741">
        <v>0.62390780000000001</v>
      </c>
      <c r="Q6741">
        <v>-0.1002</v>
      </c>
      <c r="R6741">
        <v>0.77504779999999995</v>
      </c>
      <c r="S6741">
        <v>2.2644199999999999</v>
      </c>
      <c r="T6741">
        <v>-0.4133675</v>
      </c>
      <c r="U6741">
        <v>2.006516</v>
      </c>
      <c r="V6741">
        <v>0.247949</v>
      </c>
      <c r="W6741">
        <v>-6.6088069999999999E-2</v>
      </c>
      <c r="X6741">
        <v>0.96651629999999999</v>
      </c>
      <c r="Y6741">
        <v>0.40415050000000002</v>
      </c>
      <c r="Z6741">
        <v>-9.9548120000000004E-2</v>
      </c>
      <c r="AA6741">
        <v>0.90925929999999999</v>
      </c>
      <c r="AB6741">
        <v>28</v>
      </c>
      <c r="AC6741">
        <v>5.9305999999999903</v>
      </c>
      <c r="AD6741">
        <v>-1.098949661771</v>
      </c>
      <c r="AE6741">
        <v>5.1344999999999796</v>
      </c>
      <c r="AF6741">
        <v>3.2307301566817501</v>
      </c>
      <c r="AG6741">
        <v>-1.098949661771</v>
      </c>
      <c r="AH6741">
        <v>6.9822202024898399</v>
      </c>
      <c r="AI6741">
        <v>98.129276391570102</v>
      </c>
      <c r="AJ6741">
        <v>65.169635109825904</v>
      </c>
      <c r="AK6741">
        <v>7.7715318091388301</v>
      </c>
      <c r="AL6741">
        <v>93.789329122813399</v>
      </c>
      <c r="AM6741">
        <v>75.611691172693696</v>
      </c>
      <c r="AN6741">
        <v>1.0000000488815</v>
      </c>
    </row>
    <row r="6742" spans="1:40" x14ac:dyDescent="0.25">
      <c r="A6742" t="str">
        <f>"20190305135404936"</f>
        <v>20190305135404936</v>
      </c>
      <c r="B6742" t="str">
        <f>"1551765244926715"</f>
        <v>1551765244926715</v>
      </c>
      <c r="C6742" t="s">
        <v>40</v>
      </c>
      <c r="D6742">
        <v>4.9744400000000004</v>
      </c>
      <c r="E6742">
        <v>0.569106</v>
      </c>
      <c r="F6742" t="s">
        <v>78</v>
      </c>
      <c r="G6742">
        <v>-176.73859999999999</v>
      </c>
      <c r="H6742" s="1">
        <v>-5.0670930000000002E-6</v>
      </c>
      <c r="I6742">
        <v>134.44130000000001</v>
      </c>
      <c r="J6742">
        <v>-184.31010000000001</v>
      </c>
      <c r="K6742">
        <v>1.0989180000000001</v>
      </c>
      <c r="L6742">
        <v>127.9722</v>
      </c>
      <c r="M6742">
        <v>0.41867339999999997</v>
      </c>
      <c r="N6742">
        <v>-4.3567010000000003E-2</v>
      </c>
      <c r="O6742">
        <v>0.90709130000000004</v>
      </c>
      <c r="P6742">
        <v>0.63285649999999904</v>
      </c>
      <c r="Q6742">
        <v>-0.10023459999999999</v>
      </c>
      <c r="R6742">
        <v>0.76775369999999998</v>
      </c>
      <c r="S6742">
        <v>2.2918400000000001</v>
      </c>
      <c r="T6742">
        <v>-0.32982440000000002</v>
      </c>
      <c r="U6742">
        <v>1.9831540000000001</v>
      </c>
      <c r="V6742">
        <v>0.25086120000000001</v>
      </c>
      <c r="W6742">
        <v>-6.6303280000000006E-2</v>
      </c>
      <c r="X6742">
        <v>0.96574970000000004</v>
      </c>
      <c r="Y6742">
        <v>0.40910550000000001</v>
      </c>
      <c r="Z6742">
        <v>-7.2485640000000004E-2</v>
      </c>
      <c r="AA6742">
        <v>0.90960350000000001</v>
      </c>
      <c r="AB6742">
        <v>28</v>
      </c>
      <c r="AC6742">
        <v>7.5715000000000101</v>
      </c>
      <c r="AD6742">
        <v>-1.0989230670929999</v>
      </c>
      <c r="AE6742">
        <v>6.4691000000000098</v>
      </c>
      <c r="AF6742">
        <v>4.1134668599729798</v>
      </c>
      <c r="AG6742">
        <v>-1.0989230670929999</v>
      </c>
      <c r="AH6742">
        <v>8.9378074789999999</v>
      </c>
      <c r="AI6742">
        <v>96.373012396297497</v>
      </c>
      <c r="AJ6742">
        <v>65.286589831351705</v>
      </c>
      <c r="AK6742">
        <v>9.9001335368344101</v>
      </c>
      <c r="AL6742">
        <v>93.801687133575996</v>
      </c>
      <c r="AM6742">
        <v>75.438772770635197</v>
      </c>
      <c r="AN6742">
        <v>0.99999997482714298</v>
      </c>
    </row>
    <row r="6743" spans="1:40" x14ac:dyDescent="0.25">
      <c r="A6743" t="str">
        <f>"20190305135404952"</f>
        <v>20190305135404952</v>
      </c>
      <c r="B6743" t="str">
        <f>"1551765244946236"</f>
        <v>1551765244946236</v>
      </c>
      <c r="C6743" t="s">
        <v>40</v>
      </c>
      <c r="D6743">
        <v>4.9488510000000003</v>
      </c>
      <c r="E6743">
        <v>0.56851640000000003</v>
      </c>
      <c r="F6743" t="s">
        <v>78</v>
      </c>
      <c r="G6743">
        <v>-175.60679999999999</v>
      </c>
      <c r="H6743" s="1">
        <v>-4.6142060000000004E-6</v>
      </c>
      <c r="I6743">
        <v>135.2824</v>
      </c>
      <c r="J6743">
        <v>-184.2354</v>
      </c>
      <c r="K6743">
        <v>1.0989169999999999</v>
      </c>
      <c r="L6743">
        <v>128.12899999999999</v>
      </c>
      <c r="M6743">
        <v>0.42752519999999999</v>
      </c>
      <c r="N6743">
        <v>-4.3527929999999999E-2</v>
      </c>
      <c r="O6743">
        <v>0.9029549</v>
      </c>
      <c r="P6743">
        <v>0.64293849999999997</v>
      </c>
      <c r="Q6743">
        <v>-0.10157720000000001</v>
      </c>
      <c r="R6743">
        <v>0.75915239999999995</v>
      </c>
      <c r="S6743">
        <v>2.3249050000000002</v>
      </c>
      <c r="T6743">
        <v>-0.2935565</v>
      </c>
      <c r="U6743">
        <v>1.952774</v>
      </c>
      <c r="V6743">
        <v>0.254189</v>
      </c>
      <c r="W6743">
        <v>-6.7814760000000002E-2</v>
      </c>
      <c r="X6743">
        <v>0.96477409999999997</v>
      </c>
      <c r="Y6743">
        <v>0.41427029999999898</v>
      </c>
      <c r="Z6743">
        <v>-6.0762690000000001E-2</v>
      </c>
      <c r="AA6743">
        <v>0.90812340000000003</v>
      </c>
      <c r="AB6743">
        <v>28</v>
      </c>
      <c r="AC6743">
        <v>8.6286000000000005</v>
      </c>
      <c r="AD6743">
        <v>-1.0989216142060001</v>
      </c>
      <c r="AE6743">
        <v>7.1534000000000004</v>
      </c>
      <c r="AF6743">
        <v>4.6923600403961796</v>
      </c>
      <c r="AG6743">
        <v>-1.0989216142060001</v>
      </c>
      <c r="AH6743">
        <v>10.0610513985814</v>
      </c>
      <c r="AI6743">
        <v>95.653217464255306</v>
      </c>
      <c r="AJ6743">
        <v>64.996189097786498</v>
      </c>
      <c r="AK6743">
        <v>11.155744112688</v>
      </c>
      <c r="AL6743">
        <v>93.888483940355897</v>
      </c>
      <c r="AM6743">
        <v>75.239716099286795</v>
      </c>
      <c r="AN6743">
        <v>0.99999997671283303</v>
      </c>
    </row>
    <row r="6744" spans="1:40" x14ac:dyDescent="0.25">
      <c r="A6744" t="str">
        <f>"20190305135404966"</f>
        <v>20190305135404966</v>
      </c>
      <c r="B6744" t="str">
        <f>"1551765244956971"</f>
        <v>1551765244956971</v>
      </c>
      <c r="C6744" t="s">
        <v>40</v>
      </c>
      <c r="D6744">
        <v>4.9440999999999997</v>
      </c>
      <c r="E6744">
        <v>0.56793400000000005</v>
      </c>
      <c r="F6744" t="s">
        <v>78</v>
      </c>
      <c r="G6744">
        <v>-174.75190000000001</v>
      </c>
      <c r="H6744" s="1">
        <v>-4.3209060000000002E-6</v>
      </c>
      <c r="I6744">
        <v>135.91679999999999</v>
      </c>
      <c r="J6744">
        <v>-184.148</v>
      </c>
      <c r="K6744">
        <v>1.098992</v>
      </c>
      <c r="L6744">
        <v>128.30719999999999</v>
      </c>
      <c r="M6744">
        <v>0.43765749999999998</v>
      </c>
      <c r="N6744">
        <v>-4.353427E-2</v>
      </c>
      <c r="O6744">
        <v>0.89808719999999997</v>
      </c>
      <c r="P6744">
        <v>0.65412720000000002</v>
      </c>
      <c r="Q6744">
        <v>-0.10402500000000001</v>
      </c>
      <c r="R6744">
        <v>0.74919720000000001</v>
      </c>
      <c r="S6744">
        <v>2.3471980000000001</v>
      </c>
      <c r="T6744">
        <v>-0.27198610000000001</v>
      </c>
      <c r="U6744">
        <v>1.927505</v>
      </c>
      <c r="V6744">
        <v>0.25770929999999997</v>
      </c>
      <c r="W6744">
        <v>-7.0367540000000006E-2</v>
      </c>
      <c r="X6744">
        <v>0.96365670000000003</v>
      </c>
      <c r="Y6744">
        <v>0.41449269999999999</v>
      </c>
      <c r="Z6744">
        <v>-5.3787160000000001E-2</v>
      </c>
      <c r="AA6744">
        <v>0.90846170000000004</v>
      </c>
      <c r="AB6744">
        <v>27</v>
      </c>
      <c r="AC6744">
        <v>9.3960999999999899</v>
      </c>
      <c r="AD6744">
        <v>-1.0989963209060001</v>
      </c>
      <c r="AE6744">
        <v>7.6096000000000004</v>
      </c>
      <c r="AF6744">
        <v>5.0710708029613301</v>
      </c>
      <c r="AG6744">
        <v>-1.0989963209060001</v>
      </c>
      <c r="AH6744">
        <v>10.8669669715577</v>
      </c>
      <c r="AI6744">
        <v>95.236219307088703</v>
      </c>
      <c r="AJ6744">
        <v>64.983887802302903</v>
      </c>
      <c r="AK6744">
        <v>12.0421976052105</v>
      </c>
      <c r="AL6744">
        <v>94.035097948924005</v>
      </c>
      <c r="AM6744">
        <v>75.027836738324098</v>
      </c>
      <c r="AN6744">
        <v>0.999999954723514</v>
      </c>
    </row>
    <row r="6745" spans="1:40" x14ac:dyDescent="0.25">
      <c r="A6745" t="str">
        <f>"20190305135404980"</f>
        <v>20190305135404980</v>
      </c>
      <c r="B6745" t="str">
        <f>"1551765244976491"</f>
        <v>1551765244976491</v>
      </c>
      <c r="C6745" t="s">
        <v>40</v>
      </c>
      <c r="D6745">
        <v>4.9734129999999999</v>
      </c>
      <c r="E6745">
        <v>0.56686809999999999</v>
      </c>
      <c r="F6745" t="s">
        <v>78</v>
      </c>
      <c r="G6745">
        <v>-174.57980000000001</v>
      </c>
      <c r="H6745" s="1">
        <v>-4.2581650000000003E-6</v>
      </c>
      <c r="I6745">
        <v>135.95259999999999</v>
      </c>
      <c r="J6745">
        <v>-184.07490000000001</v>
      </c>
      <c r="K6745">
        <v>1.0990249999999999</v>
      </c>
      <c r="L6745">
        <v>128.4513</v>
      </c>
      <c r="M6745">
        <v>0.44590540000000001</v>
      </c>
      <c r="N6745">
        <v>-4.358248E-2</v>
      </c>
      <c r="O6745">
        <v>0.89401839999999999</v>
      </c>
      <c r="P6745">
        <v>0.66756530000000003</v>
      </c>
      <c r="Q6745">
        <v>-0.1150746</v>
      </c>
      <c r="R6745">
        <v>0.73560479999999995</v>
      </c>
      <c r="S6745">
        <v>2.3721009999999998</v>
      </c>
      <c r="T6745">
        <v>-0.27245580000000003</v>
      </c>
      <c r="U6745">
        <v>1.895386</v>
      </c>
      <c r="V6745">
        <v>0.26661550000000001</v>
      </c>
      <c r="W6745">
        <v>-8.1741090000000002E-2</v>
      </c>
      <c r="X6745">
        <v>0.96033049999999998</v>
      </c>
      <c r="Y6745">
        <v>0.4182456</v>
      </c>
      <c r="Z6745">
        <v>-5.4107389999999998E-2</v>
      </c>
      <c r="AA6745">
        <v>0.906721</v>
      </c>
      <c r="AB6745">
        <v>27</v>
      </c>
      <c r="AC6745">
        <v>9.4951000000000008</v>
      </c>
      <c r="AD6745">
        <v>-1.0990292581650001</v>
      </c>
      <c r="AE6745">
        <v>7.5012999999999801</v>
      </c>
      <c r="AF6745">
        <v>5.1066914017887797</v>
      </c>
      <c r="AG6745">
        <v>-1.0990292581650001</v>
      </c>
      <c r="AH6745">
        <v>10.8610295779122</v>
      </c>
      <c r="AI6745">
        <v>95.232152393665899</v>
      </c>
      <c r="AJ6745">
        <v>64.817801938603495</v>
      </c>
      <c r="AK6745">
        <v>12.0518930411654</v>
      </c>
      <c r="AL6745">
        <v>94.688650439698904</v>
      </c>
      <c r="AM6745">
        <v>74.483808358623307</v>
      </c>
      <c r="AN6745">
        <v>1.00000004993244</v>
      </c>
    </row>
    <row r="6746" spans="1:40" x14ac:dyDescent="0.25">
      <c r="A6746" t="str">
        <f>"20190305135405013"</f>
        <v>20190305135405013</v>
      </c>
      <c r="B6746" t="str">
        <f>"1551765245006751"</f>
        <v>1551765245006751</v>
      </c>
      <c r="C6746" t="s">
        <v>40</v>
      </c>
      <c r="D6746">
        <v>5.9567560000000004</v>
      </c>
      <c r="E6746">
        <v>0.56636999999999904</v>
      </c>
      <c r="F6746" t="s">
        <v>78</v>
      </c>
      <c r="G6746">
        <v>-174.81360000000001</v>
      </c>
      <c r="H6746" s="1">
        <v>-4.2325489999999996E-6</v>
      </c>
      <c r="I6746">
        <v>135.61179999999999</v>
      </c>
      <c r="J6746">
        <v>-183.8954</v>
      </c>
      <c r="K6746">
        <v>1.09914</v>
      </c>
      <c r="L6746">
        <v>128.78980000000001</v>
      </c>
      <c r="M6746">
        <v>0.46589360000000002</v>
      </c>
      <c r="N6746">
        <v>-4.3648819999999998E-2</v>
      </c>
      <c r="O6746">
        <v>0.88376359999999998</v>
      </c>
      <c r="P6746">
        <v>0.68903199999999998</v>
      </c>
      <c r="Q6746">
        <v>-0.12475319999999999</v>
      </c>
      <c r="R6746">
        <v>0.71391280000000001</v>
      </c>
      <c r="S6746">
        <v>2.4000699999999999</v>
      </c>
      <c r="T6746">
        <v>-0.28481420000000002</v>
      </c>
      <c r="U6746">
        <v>1.8556520000000001</v>
      </c>
      <c r="V6746">
        <v>0.27386840000000001</v>
      </c>
      <c r="W6746">
        <v>-9.1643829999999996E-2</v>
      </c>
      <c r="X6746">
        <v>0.95739099999999999</v>
      </c>
      <c r="Y6746">
        <v>0.41210760000000002</v>
      </c>
      <c r="Z6746">
        <v>-5.8003949999999999E-2</v>
      </c>
      <c r="AA6746">
        <v>0.90928699999999996</v>
      </c>
      <c r="AB6746">
        <v>27</v>
      </c>
      <c r="AC6746">
        <v>9.0817999999999799</v>
      </c>
      <c r="AD6746">
        <v>-1.099144232549</v>
      </c>
      <c r="AE6746">
        <v>6.8219999999999699</v>
      </c>
      <c r="AF6746">
        <v>4.8074460137877804</v>
      </c>
      <c r="AG6746">
        <v>-1.099144232549</v>
      </c>
      <c r="AH6746">
        <v>10.1747000556887</v>
      </c>
      <c r="AI6746">
        <v>95.578574455772895</v>
      </c>
      <c r="AJ6746">
        <v>64.709724861538803</v>
      </c>
      <c r="AK6746">
        <v>11.3068199084738</v>
      </c>
      <c r="AL6746">
        <v>95.258182438977997</v>
      </c>
      <c r="AM6746">
        <v>74.036451479230095</v>
      </c>
      <c r="AN6746">
        <v>1.0000000094883099</v>
      </c>
    </row>
    <row r="6747" spans="1:40" x14ac:dyDescent="0.25">
      <c r="A6747" t="str">
        <f>"20190305135405035"</f>
        <v>20190305135405035</v>
      </c>
      <c r="B6747" t="str">
        <f>"1551765245026267"</f>
        <v>1551765245026267</v>
      </c>
      <c r="C6747" t="s">
        <v>40</v>
      </c>
      <c r="D6747">
        <v>5.2201089999999999</v>
      </c>
      <c r="E6747">
        <v>0.62063990000000002</v>
      </c>
      <c r="F6747" t="s">
        <v>78</v>
      </c>
      <c r="G6747">
        <v>-174.7208</v>
      </c>
      <c r="H6747" s="1">
        <v>-4.1377799999999999E-6</v>
      </c>
      <c r="I6747">
        <v>135.47049999999999</v>
      </c>
      <c r="J6747">
        <v>-183.76920000000001</v>
      </c>
      <c r="K6747">
        <v>1.0990599999999999</v>
      </c>
      <c r="L6747">
        <v>129.0145</v>
      </c>
      <c r="M6747">
        <v>0.47977730000000002</v>
      </c>
      <c r="N6747">
        <v>-4.3582599999999999E-2</v>
      </c>
      <c r="O6747">
        <v>0.87630719999999995</v>
      </c>
      <c r="P6747">
        <v>0.70586159999999998</v>
      </c>
      <c r="Q6747">
        <v>-0.1229112</v>
      </c>
      <c r="R6747">
        <v>0.69760469999999997</v>
      </c>
      <c r="S6747">
        <v>2.4513400000000001</v>
      </c>
      <c r="T6747">
        <v>-0.29367759999999998</v>
      </c>
      <c r="U6747">
        <v>1.785004</v>
      </c>
      <c r="V6747">
        <v>0.2814257</v>
      </c>
      <c r="W6747">
        <v>-9.0254109999999999E-2</v>
      </c>
      <c r="X6747">
        <v>0.95532910000000004</v>
      </c>
      <c r="Y6747">
        <v>0.423647</v>
      </c>
      <c r="Z6747">
        <v>-6.1427740000000002E-2</v>
      </c>
      <c r="AA6747">
        <v>0.90374209999999999</v>
      </c>
      <c r="AB6747">
        <v>26</v>
      </c>
      <c r="AC6747">
        <v>9.0484000000000098</v>
      </c>
      <c r="AD6747">
        <v>-1.0990641377799999</v>
      </c>
      <c r="AE6747">
        <v>6.45599999999998</v>
      </c>
      <c r="AF6747">
        <v>4.7895057158366399</v>
      </c>
      <c r="AG6747">
        <v>-1.0990641377799999</v>
      </c>
      <c r="AH6747">
        <v>9.9112664328997795</v>
      </c>
      <c r="AI6747">
        <v>95.7017291504431</v>
      </c>
      <c r="AJ6747">
        <v>64.208377359606004</v>
      </c>
      <c r="AK6747">
        <v>11.062572453317999</v>
      </c>
      <c r="AL6747">
        <v>95.178226228526697</v>
      </c>
      <c r="AM6747">
        <v>73.585813135144306</v>
      </c>
      <c r="AN6747">
        <v>0.99999995914959505</v>
      </c>
    </row>
    <row r="6748" spans="1:40" x14ac:dyDescent="0.25">
      <c r="A6748" t="str">
        <f>"20190305135405056"</f>
        <v>20190305135405056</v>
      </c>
      <c r="B6748" t="str">
        <f>"1551765245046764"</f>
        <v>1551765245046764</v>
      </c>
      <c r="C6748" t="s">
        <v>40</v>
      </c>
      <c r="D6748">
        <v>5.1289610000000003</v>
      </c>
      <c r="E6748">
        <v>0.63212539999999995</v>
      </c>
      <c r="F6748" t="s">
        <v>78</v>
      </c>
      <c r="G6748">
        <v>-170.38130000000001</v>
      </c>
      <c r="H6748" s="1">
        <v>-2.1665360000000001E-6</v>
      </c>
      <c r="I6748">
        <v>135.8365</v>
      </c>
      <c r="J6748">
        <v>-183.64699999999999</v>
      </c>
      <c r="K6748">
        <v>1.0990260000000001</v>
      </c>
      <c r="L6748">
        <v>129.22200000000001</v>
      </c>
      <c r="M6748">
        <v>0.49287150000000002</v>
      </c>
      <c r="N6748">
        <v>-4.3526160000000001E-2</v>
      </c>
      <c r="O6748">
        <v>0.86901280000000003</v>
      </c>
      <c r="P6748">
        <v>0.72310010000000002</v>
      </c>
      <c r="Q6748">
        <v>-0.1191755</v>
      </c>
      <c r="R6748">
        <v>0.68038480000000001</v>
      </c>
      <c r="S6748">
        <v>2.8000029999999998</v>
      </c>
      <c r="T6748">
        <v>-0.2298625</v>
      </c>
      <c r="U6748">
        <v>1.4267729999999901</v>
      </c>
      <c r="V6748">
        <v>0.2907111</v>
      </c>
      <c r="W6748">
        <v>-8.7018040000000005E-2</v>
      </c>
      <c r="X6748">
        <v>0.95284570000000002</v>
      </c>
      <c r="Y6748">
        <v>0.54911149999999997</v>
      </c>
      <c r="Z6748">
        <v>-4.2870640000000002E-2</v>
      </c>
      <c r="AA6748">
        <v>0.83464879999999997</v>
      </c>
      <c r="AB6748">
        <v>25</v>
      </c>
      <c r="AC6748">
        <v>13.265700000000001</v>
      </c>
      <c r="AD6748">
        <v>-1.099028166536</v>
      </c>
      <c r="AE6748">
        <v>6.6144999999999898</v>
      </c>
      <c r="AF6748">
        <v>8.2305636910986699</v>
      </c>
      <c r="AG6748">
        <v>-1.099028166536</v>
      </c>
      <c r="AH6748">
        <v>12.230792132808499</v>
      </c>
      <c r="AI6748">
        <v>94.263483111272606</v>
      </c>
      <c r="AJ6748">
        <v>56.061894891949599</v>
      </c>
      <c r="AK6748">
        <v>14.7831768500563</v>
      </c>
      <c r="AL6748">
        <v>94.992080096474893</v>
      </c>
      <c r="AM6748">
        <v>73.0331691050676</v>
      </c>
      <c r="AN6748">
        <v>1.00000000547857</v>
      </c>
    </row>
    <row r="6749" spans="1:40" x14ac:dyDescent="0.25">
      <c r="A6749" t="str">
        <f>"20190305135405079"</f>
        <v>20190305135405079</v>
      </c>
      <c r="B6749" t="str">
        <f>"1551765245077019"</f>
        <v>1551765245077019</v>
      </c>
      <c r="C6749" t="s">
        <v>40</v>
      </c>
      <c r="D6749">
        <v>5.1485729999999998</v>
      </c>
      <c r="E6749">
        <v>0.63483389999999995</v>
      </c>
      <c r="F6749" t="s">
        <v>78</v>
      </c>
      <c r="G6749">
        <v>-169.98869999999999</v>
      </c>
      <c r="H6749" s="1">
        <v>-1.704802E-6</v>
      </c>
      <c r="I6749">
        <v>135.29910000000001</v>
      </c>
      <c r="J6749">
        <v>-183.51560000000001</v>
      </c>
      <c r="K6749">
        <v>1.0991610000000001</v>
      </c>
      <c r="L6749">
        <v>129.43549999999999</v>
      </c>
      <c r="M6749">
        <v>0.50649789999999995</v>
      </c>
      <c r="N6749">
        <v>-4.3549740000000003E-2</v>
      </c>
      <c r="O6749">
        <v>0.86114069999999898</v>
      </c>
      <c r="P6749">
        <v>0.74035139999999999</v>
      </c>
      <c r="Q6749">
        <v>-0.1167728</v>
      </c>
      <c r="R6749">
        <v>0.66200000000000003</v>
      </c>
      <c r="S6749">
        <v>2.8973849999999999</v>
      </c>
      <c r="T6749">
        <v>-0.23314009999999999</v>
      </c>
      <c r="U6749">
        <v>1.2891539999999999</v>
      </c>
      <c r="V6749">
        <v>0.30000480000000002</v>
      </c>
      <c r="W6749">
        <v>-8.495788E-2</v>
      </c>
      <c r="X6749">
        <v>0.95014699999999996</v>
      </c>
      <c r="Y6749">
        <v>0.57937819999999995</v>
      </c>
      <c r="Z6749">
        <v>-4.4669059999999997E-2</v>
      </c>
      <c r="AA6749">
        <v>0.81383380000000005</v>
      </c>
      <c r="AB6749">
        <v>25</v>
      </c>
      <c r="AC6749">
        <v>13.526899999999999</v>
      </c>
      <c r="AD6749">
        <v>-1.0991627048019901</v>
      </c>
      <c r="AE6749">
        <v>5.8636000000000204</v>
      </c>
      <c r="AF6749">
        <v>8.6388865854422594</v>
      </c>
      <c r="AG6749">
        <v>-1.0991627048019901</v>
      </c>
      <c r="AH6749">
        <v>11.846187053132599</v>
      </c>
      <c r="AI6749">
        <v>94.287376319602799</v>
      </c>
      <c r="AJ6749">
        <v>53.898426261569803</v>
      </c>
      <c r="AK6749">
        <v>14.7027435462082</v>
      </c>
      <c r="AL6749">
        <v>94.873602705128505</v>
      </c>
      <c r="AM6749">
        <v>72.476713896418403</v>
      </c>
      <c r="AN6749">
        <v>1.00000002150306</v>
      </c>
    </row>
    <row r="6750" spans="1:40" x14ac:dyDescent="0.25">
      <c r="A6750" t="str">
        <f>"20190305135405102"</f>
        <v>20190305135405102</v>
      </c>
      <c r="B6750" t="str">
        <f>"1551765245096540"</f>
        <v>1551765245096540</v>
      </c>
      <c r="C6750" t="s">
        <v>40</v>
      </c>
      <c r="D6750">
        <v>5.1838620000000004</v>
      </c>
      <c r="E6750">
        <v>0.63435079999999999</v>
      </c>
      <c r="F6750" t="s">
        <v>42</v>
      </c>
      <c r="G6750">
        <v>-169.5882</v>
      </c>
      <c r="H6750" s="1">
        <v>-1.3428829999999901E-6</v>
      </c>
      <c r="I6750">
        <v>135.1044</v>
      </c>
      <c r="J6750">
        <v>-183.38310000000001</v>
      </c>
      <c r="K6750">
        <v>1.0994710000000001</v>
      </c>
      <c r="L6750">
        <v>129.64109999999999</v>
      </c>
      <c r="M6750">
        <v>0.51979149999999996</v>
      </c>
      <c r="N6750">
        <v>-4.366507E-2</v>
      </c>
      <c r="O6750">
        <v>0.85317649999999901</v>
      </c>
      <c r="P6750">
        <v>0.75528649999999997</v>
      </c>
      <c r="Q6750">
        <v>-0.1162941</v>
      </c>
      <c r="R6750">
        <v>0.64499459999999997</v>
      </c>
      <c r="S6750">
        <v>2.944</v>
      </c>
      <c r="T6750">
        <v>-0.23234270000000001</v>
      </c>
      <c r="U6750">
        <v>1.1983029999999999</v>
      </c>
      <c r="V6750">
        <v>0.30695339999999999</v>
      </c>
      <c r="W6750">
        <v>-8.4524329999999995E-2</v>
      </c>
      <c r="X6750">
        <v>0.94796380000000002</v>
      </c>
      <c r="Y6750">
        <v>0.59274359999999904</v>
      </c>
      <c r="Z6750">
        <v>-4.4979249999999998E-2</v>
      </c>
      <c r="AA6750">
        <v>0.80413419999999902</v>
      </c>
      <c r="AB6750">
        <v>24</v>
      </c>
      <c r="AC6750">
        <v>13.7949</v>
      </c>
      <c r="AD6750">
        <v>-1.09947234288299</v>
      </c>
      <c r="AE6750">
        <v>5.4633000000000003</v>
      </c>
      <c r="AF6750">
        <v>8.8894204110066894</v>
      </c>
      <c r="AG6750">
        <v>-1.09947234288299</v>
      </c>
      <c r="AH6750">
        <v>11.7782514581925</v>
      </c>
      <c r="AI6750">
        <v>94.261152874068102</v>
      </c>
      <c r="AJ6750">
        <v>52.956985880050802</v>
      </c>
      <c r="AK6750">
        <v>14.797224134573399</v>
      </c>
      <c r="AL6750">
        <v>94.848672263362602</v>
      </c>
      <c r="AM6750">
        <v>72.057897917326102</v>
      </c>
      <c r="AN6750">
        <v>1.00000005912197</v>
      </c>
    </row>
    <row r="6751" spans="1:40" x14ac:dyDescent="0.25">
      <c r="A6751" t="str">
        <f>"20190305135405124"</f>
        <v>20190305135405124</v>
      </c>
      <c r="B6751" t="str">
        <f>"1551765245117037"</f>
        <v>1551765245117037</v>
      </c>
      <c r="C6751" t="s">
        <v>40</v>
      </c>
      <c r="D6751">
        <v>5.1927329999999996</v>
      </c>
      <c r="E6751">
        <v>0.63312440000000003</v>
      </c>
      <c r="F6751" t="s">
        <v>78</v>
      </c>
      <c r="G6751">
        <v>-170.1164</v>
      </c>
      <c r="H6751" s="1">
        <v>-1.5126970000000001E-6</v>
      </c>
      <c r="I6751">
        <v>134.70079999999999</v>
      </c>
      <c r="J6751">
        <v>-183.25239999999999</v>
      </c>
      <c r="K6751">
        <v>1.0998779999999999</v>
      </c>
      <c r="L6751">
        <v>129.8355</v>
      </c>
      <c r="M6751">
        <v>0.53260450000000004</v>
      </c>
      <c r="N6751">
        <v>-4.3834169999999999E-2</v>
      </c>
      <c r="O6751">
        <v>0.84522839999999999</v>
      </c>
      <c r="P6751">
        <v>0.76757649999999999</v>
      </c>
      <c r="Q6751">
        <v>-0.1140289</v>
      </c>
      <c r="R6751">
        <v>0.63073279999999998</v>
      </c>
      <c r="S6751">
        <v>2.9676209999999998</v>
      </c>
      <c r="T6751">
        <v>-0.24594009999999999</v>
      </c>
      <c r="U6751">
        <v>1.1318049999999999</v>
      </c>
      <c r="V6751">
        <v>0.31080720000000001</v>
      </c>
      <c r="W6751">
        <v>-8.2033170000000002E-2</v>
      </c>
      <c r="X6751">
        <v>0.9469263</v>
      </c>
      <c r="Y6751">
        <v>0.59815090000000004</v>
      </c>
      <c r="Z6751">
        <v>-4.9775E-2</v>
      </c>
      <c r="AA6751">
        <v>0.799836199999999</v>
      </c>
      <c r="AB6751">
        <v>24</v>
      </c>
      <c r="AC6751">
        <v>13.1359999999999</v>
      </c>
      <c r="AD6751">
        <v>-1.099879512697</v>
      </c>
      <c r="AE6751">
        <v>4.8652999999999897</v>
      </c>
      <c r="AF6751">
        <v>8.4676254386006597</v>
      </c>
      <c r="AG6751">
        <v>-1.099879512697</v>
      </c>
      <c r="AH6751">
        <v>11.051139364204399</v>
      </c>
      <c r="AI6751">
        <v>94.517082269646593</v>
      </c>
      <c r="AJ6751">
        <v>52.539872090005098</v>
      </c>
      <c r="AK6751">
        <v>13.9656040599021</v>
      </c>
      <c r="AL6751">
        <v>94.705442078441607</v>
      </c>
      <c r="AM6751">
        <v>71.828744504529595</v>
      </c>
      <c r="AN6751">
        <v>0.99999998709188898</v>
      </c>
    </row>
    <row r="6752" spans="1:40" x14ac:dyDescent="0.25">
      <c r="A6752" t="str">
        <f>"20190305135405146"</f>
        <v>20190305135405146</v>
      </c>
      <c r="B6752" t="str">
        <f>"1551765245136556"</f>
        <v>1551765245136556</v>
      </c>
      <c r="C6752" t="s">
        <v>40</v>
      </c>
      <c r="D6752">
        <v>5.1779570000000001</v>
      </c>
      <c r="E6752">
        <v>0.63178080000000003</v>
      </c>
      <c r="F6752" t="s">
        <v>42</v>
      </c>
      <c r="G6752">
        <v>-169.899</v>
      </c>
      <c r="H6752" s="1">
        <v>-1.335968E-6</v>
      </c>
      <c r="I6752">
        <v>134.68170000000001</v>
      </c>
      <c r="J6752">
        <v>-183.12610000000001</v>
      </c>
      <c r="K6752">
        <v>1.100276</v>
      </c>
      <c r="L6752">
        <v>130.0155</v>
      </c>
      <c r="M6752">
        <v>0.54477019999999998</v>
      </c>
      <c r="N6752">
        <v>-4.4013120000000003E-2</v>
      </c>
      <c r="O6752">
        <v>0.8374296</v>
      </c>
      <c r="P6752">
        <v>0.77907029999999999</v>
      </c>
      <c r="Q6752">
        <v>-0.1072052</v>
      </c>
      <c r="R6752">
        <v>0.6177028</v>
      </c>
      <c r="S6752">
        <v>2.9824679999999999</v>
      </c>
      <c r="T6752">
        <v>-0.24565719999999999</v>
      </c>
      <c r="U6752">
        <v>1.082382</v>
      </c>
      <c r="V6752">
        <v>0.31414059999999999</v>
      </c>
      <c r="W6752">
        <v>-7.4926329999999999E-2</v>
      </c>
      <c r="X6752">
        <v>0.94641520000000001</v>
      </c>
      <c r="Y6752">
        <v>0.59953120000000004</v>
      </c>
      <c r="Z6752">
        <v>-4.9943340000000003E-2</v>
      </c>
      <c r="AA6752">
        <v>0.79879149999999999</v>
      </c>
      <c r="AB6752">
        <v>23</v>
      </c>
      <c r="AC6752">
        <v>13.2271</v>
      </c>
      <c r="AD6752">
        <v>-1.100277335968</v>
      </c>
      <c r="AE6752">
        <v>4.6661999999999999</v>
      </c>
      <c r="AF6752">
        <v>8.4907871455892803</v>
      </c>
      <c r="AG6752">
        <v>-1.100277335968</v>
      </c>
      <c r="AH6752">
        <v>11.056087789247901</v>
      </c>
      <c r="AI6752">
        <v>94.512891152368894</v>
      </c>
      <c r="AJ6752">
        <v>52.4766770805048</v>
      </c>
      <c r="AK6752">
        <v>13.9836030325273</v>
      </c>
      <c r="AL6752">
        <v>94.296989409602304</v>
      </c>
      <c r="AM6752">
        <v>71.637609636169898</v>
      </c>
      <c r="AN6752">
        <v>1.0000000011433301</v>
      </c>
    </row>
    <row r="6753" spans="1:40" x14ac:dyDescent="0.25">
      <c r="A6753" t="str">
        <f>"20190305135405168"</f>
        <v>20190305135405168</v>
      </c>
      <c r="B6753" t="str">
        <f>"1551765245157051"</f>
        <v>1551765245157051</v>
      </c>
      <c r="C6753" t="s">
        <v>40</v>
      </c>
      <c r="D6753">
        <v>5.1700220000000003</v>
      </c>
      <c r="E6753">
        <v>0.63017860000000003</v>
      </c>
      <c r="F6753" t="s">
        <v>42</v>
      </c>
      <c r="G6753">
        <v>-169.25909999999999</v>
      </c>
      <c r="H6753" s="1">
        <v>-1.5447269999999999E-6</v>
      </c>
      <c r="I6753">
        <v>134.82069999999999</v>
      </c>
      <c r="J6753">
        <v>-182.99350000000001</v>
      </c>
      <c r="K6753">
        <v>1.100792</v>
      </c>
      <c r="L6753">
        <v>130.19659999999999</v>
      </c>
      <c r="M6753">
        <v>0.55707450000000003</v>
      </c>
      <c r="N6753">
        <v>-4.4256200000000002E-2</v>
      </c>
      <c r="O6753">
        <v>0.82928239999999998</v>
      </c>
      <c r="P6753">
        <v>0.79103749999999995</v>
      </c>
      <c r="Q6753">
        <v>-0.10127170000000001</v>
      </c>
      <c r="R6753">
        <v>0.60332730000000001</v>
      </c>
      <c r="S6753">
        <v>2.9951479999999999</v>
      </c>
      <c r="T6753">
        <v>-0.2376508</v>
      </c>
      <c r="U6753">
        <v>1.0378719999999999</v>
      </c>
      <c r="V6753">
        <v>0.31838179999999999</v>
      </c>
      <c r="W6753">
        <v>-6.8596359999999995E-2</v>
      </c>
      <c r="X6753">
        <v>0.94547740000000002</v>
      </c>
      <c r="Y6753">
        <v>0.59949509999999995</v>
      </c>
      <c r="Z6753">
        <v>-4.7531770000000001E-2</v>
      </c>
      <c r="AA6753">
        <v>0.79896579999999995</v>
      </c>
      <c r="AB6753">
        <v>22</v>
      </c>
      <c r="AC6753">
        <v>13.734400000000001</v>
      </c>
      <c r="AD6753">
        <v>-1.1007935447270001</v>
      </c>
      <c r="AE6753">
        <v>4.6240999999999897</v>
      </c>
      <c r="AF6753">
        <v>8.7717613003403603</v>
      </c>
      <c r="AG6753">
        <v>-1.1007935447270001</v>
      </c>
      <c r="AH6753">
        <v>11.431079097502201</v>
      </c>
      <c r="AI6753">
        <v>94.368758658509293</v>
      </c>
      <c r="AJ6753">
        <v>52.498782884330701</v>
      </c>
      <c r="AK6753">
        <v>14.4507824034414</v>
      </c>
      <c r="AL6753">
        <v>93.933370868887707</v>
      </c>
      <c r="AM6753">
        <v>71.389467493766205</v>
      </c>
      <c r="AN6753">
        <v>0.99999997254362405</v>
      </c>
    </row>
    <row r="6754" spans="1:40" x14ac:dyDescent="0.25">
      <c r="A6754" t="str">
        <f>"20190305135405191"</f>
        <v>20190305135405191</v>
      </c>
      <c r="B6754" t="str">
        <f>"1551765245186332"</f>
        <v>1551765245186332</v>
      </c>
      <c r="C6754" t="s">
        <v>40</v>
      </c>
      <c r="D6754">
        <v>5.1908960000000004</v>
      </c>
      <c r="E6754">
        <v>0.62739529999999999</v>
      </c>
      <c r="F6754" t="s">
        <v>42</v>
      </c>
      <c r="G6754">
        <v>-168.6335</v>
      </c>
      <c r="H6754" s="1">
        <v>-1.7560330000000001E-6</v>
      </c>
      <c r="I6754">
        <v>134.92949999999999</v>
      </c>
      <c r="J6754">
        <v>-182.86359999999999</v>
      </c>
      <c r="K6754">
        <v>1.1012660000000001</v>
      </c>
      <c r="L6754">
        <v>130.3672</v>
      </c>
      <c r="M6754">
        <v>0.56893319999999903</v>
      </c>
      <c r="N6754">
        <v>-4.4501640000000002E-2</v>
      </c>
      <c r="O6754">
        <v>0.82117879999999999</v>
      </c>
      <c r="P6754">
        <v>0.80093300000000001</v>
      </c>
      <c r="Q6754">
        <v>-9.846154E-2</v>
      </c>
      <c r="R6754">
        <v>0.59060279999999998</v>
      </c>
      <c r="S6754">
        <v>3.0070800000000002</v>
      </c>
      <c r="T6754">
        <v>-0.23051289999999999</v>
      </c>
      <c r="U6754">
        <v>0.99108890000000005</v>
      </c>
      <c r="V6754">
        <v>0.32033539999999999</v>
      </c>
      <c r="W6754">
        <v>-6.5319050000000003E-2</v>
      </c>
      <c r="X6754">
        <v>0.94504949999999999</v>
      </c>
      <c r="Y6754">
        <v>0.60025530000000005</v>
      </c>
      <c r="Z6754">
        <v>-4.5453319999999998E-2</v>
      </c>
      <c r="AA6754">
        <v>0.79851589999999995</v>
      </c>
      <c r="AB6754">
        <v>22</v>
      </c>
      <c r="AC6754">
        <v>14.230099999999901</v>
      </c>
      <c r="AD6754">
        <v>-1.101267756033</v>
      </c>
      <c r="AE6754">
        <v>4.5622999999999898</v>
      </c>
      <c r="AF6754">
        <v>9.0496781029203994</v>
      </c>
      <c r="AG6754">
        <v>-1.101267756033</v>
      </c>
      <c r="AH6754">
        <v>11.790152244284</v>
      </c>
      <c r="AI6754">
        <v>94.237605439323403</v>
      </c>
      <c r="AJ6754">
        <v>52.491509735298699</v>
      </c>
      <c r="AK6754">
        <v>14.903595350798801</v>
      </c>
      <c r="AL6754">
        <v>93.745172471352404</v>
      </c>
      <c r="AM6754">
        <v>71.2753194588513</v>
      </c>
      <c r="AN6754">
        <v>0.99999995211815496</v>
      </c>
    </row>
    <row r="6755" spans="1:40" x14ac:dyDescent="0.25">
      <c r="A6755" t="str">
        <f>"20190305135405213"</f>
        <v>20190305135405213</v>
      </c>
      <c r="B6755" t="str">
        <f>"1551765245206828"</f>
        <v>1551765245206828</v>
      </c>
      <c r="C6755" t="s">
        <v>40</v>
      </c>
      <c r="D6755">
        <v>5.2194969999999996</v>
      </c>
      <c r="E6755">
        <v>0.62643439999999995</v>
      </c>
      <c r="F6755" t="s">
        <v>42</v>
      </c>
      <c r="G6755">
        <v>-168.57329999999999</v>
      </c>
      <c r="H6755" s="1">
        <v>-1.7810570000000001E-6</v>
      </c>
      <c r="I6755">
        <v>134.92230000000001</v>
      </c>
      <c r="J6755">
        <v>-182.7304</v>
      </c>
      <c r="K6755">
        <v>1.1013679999999999</v>
      </c>
      <c r="L6755">
        <v>130.53469999999999</v>
      </c>
      <c r="M6755">
        <v>0.58159919999999998</v>
      </c>
      <c r="N6755">
        <v>-4.4580540000000002E-2</v>
      </c>
      <c r="O6755">
        <v>0.812253</v>
      </c>
      <c r="P6755">
        <v>0.81071219999999999</v>
      </c>
      <c r="Q6755">
        <v>-9.9297969999999999E-2</v>
      </c>
      <c r="R6755">
        <v>0.57696239999999999</v>
      </c>
      <c r="S6755">
        <v>3.0097049999999999</v>
      </c>
      <c r="T6755">
        <v>-0.23193929999999999</v>
      </c>
      <c r="U6755">
        <v>0.95935060000000005</v>
      </c>
      <c r="V6755">
        <v>0.32157790000000003</v>
      </c>
      <c r="W6755">
        <v>-6.6062309999999999E-2</v>
      </c>
      <c r="X6755">
        <v>0.94457579999999997</v>
      </c>
      <c r="Y6755">
        <v>0.59564980000000001</v>
      </c>
      <c r="Z6755">
        <v>-4.6051399999999999E-2</v>
      </c>
      <c r="AA6755">
        <v>0.80192299999999905</v>
      </c>
      <c r="AB6755">
        <v>21</v>
      </c>
      <c r="AC6755">
        <v>14.1571</v>
      </c>
      <c r="AD6755">
        <v>-1.101369781057</v>
      </c>
      <c r="AE6755">
        <v>4.3876000000000204</v>
      </c>
      <c r="AF6755">
        <v>8.9070430938191691</v>
      </c>
      <c r="AG6755">
        <v>-1.101369781057</v>
      </c>
      <c r="AH6755">
        <v>11.744488670713601</v>
      </c>
      <c r="AI6755">
        <v>94.273180104285601</v>
      </c>
      <c r="AJ6755">
        <v>52.823249252054303</v>
      </c>
      <c r="AK6755">
        <v>14.781117894337299</v>
      </c>
      <c r="AL6755">
        <v>93.787850105192106</v>
      </c>
      <c r="AM6755">
        <v>71.199017854914302</v>
      </c>
      <c r="AN6755">
        <v>1.0000000082582901</v>
      </c>
    </row>
    <row r="6756" spans="1:40" x14ac:dyDescent="0.25">
      <c r="A6756" t="str">
        <f>"20190305135405236"</f>
        <v>20190305135405236</v>
      </c>
      <c r="B6756" t="str">
        <f>"1551765245226348"</f>
        <v>1551765245226348</v>
      </c>
      <c r="C6756" t="s">
        <v>40</v>
      </c>
      <c r="D6756">
        <v>5.2553799999999997</v>
      </c>
      <c r="E6756">
        <v>0.60524529999999999</v>
      </c>
      <c r="F6756" t="s">
        <v>42</v>
      </c>
      <c r="G6756">
        <v>-168.63149999999999</v>
      </c>
      <c r="H6756" s="1">
        <v>-1.7906240000000001E-6</v>
      </c>
      <c r="I6756">
        <v>134.8023</v>
      </c>
      <c r="J6756">
        <v>-182.60040000000001</v>
      </c>
      <c r="K6756">
        <v>1.100997</v>
      </c>
      <c r="L6756">
        <v>130.6901</v>
      </c>
      <c r="M6756">
        <v>0.59478940000000002</v>
      </c>
      <c r="N6756">
        <v>-4.4339969999999999E-2</v>
      </c>
      <c r="O6756">
        <v>0.80265779999999998</v>
      </c>
      <c r="P6756">
        <v>0.82169309999999995</v>
      </c>
      <c r="Q6756">
        <v>-0.1000041</v>
      </c>
      <c r="R6756">
        <v>0.56108800000000003</v>
      </c>
      <c r="S6756">
        <v>3.0207980000000001</v>
      </c>
      <c r="T6756">
        <v>-0.23597689999999999</v>
      </c>
      <c r="U6756">
        <v>0.91436770000000001</v>
      </c>
      <c r="V6756">
        <v>0.32436890000000002</v>
      </c>
      <c r="W6756">
        <v>-6.7348389999999994E-2</v>
      </c>
      <c r="X6756">
        <v>0.94353010000000004</v>
      </c>
      <c r="Y6756">
        <v>0.59420759999999995</v>
      </c>
      <c r="Z6756">
        <v>-4.770361E-2</v>
      </c>
      <c r="AA6756">
        <v>0.80289580000000005</v>
      </c>
      <c r="AB6756">
        <v>20</v>
      </c>
      <c r="AC6756">
        <v>13.9689</v>
      </c>
      <c r="AD6756">
        <v>-1.100998790624</v>
      </c>
      <c r="AE6756">
        <v>4.1121999999999996</v>
      </c>
      <c r="AF6756">
        <v>8.7251038159883496</v>
      </c>
      <c r="AG6756">
        <v>-1.100998790624</v>
      </c>
      <c r="AH6756">
        <v>11.5546161866981</v>
      </c>
      <c r="AI6756">
        <v>94.348514614395398</v>
      </c>
      <c r="AJ6756">
        <v>52.942873200333999</v>
      </c>
      <c r="AK6756">
        <v>14.520633256116501</v>
      </c>
      <c r="AL6756">
        <v>93.861701511320504</v>
      </c>
      <c r="AM6756">
        <v>71.027939726668507</v>
      </c>
      <c r="AN6756">
        <v>1.0000000192644001</v>
      </c>
    </row>
    <row r="6757" spans="1:40" x14ac:dyDescent="0.25">
      <c r="A6757" t="str">
        <f>"20190305135405257"</f>
        <v>20190305135405257</v>
      </c>
      <c r="B6757" t="str">
        <f>"1551765245246844"</f>
        <v>1551765245246844</v>
      </c>
      <c r="C6757" t="s">
        <v>40</v>
      </c>
      <c r="D6757">
        <v>5.2601079999999998</v>
      </c>
      <c r="E6757">
        <v>0.60352280000000003</v>
      </c>
      <c r="F6757" t="s">
        <v>78</v>
      </c>
      <c r="G6757">
        <v>-172.6045</v>
      </c>
      <c r="H6757" s="1">
        <v>-2.6389139999999998E-6</v>
      </c>
      <c r="I6757">
        <v>134.04089999999999</v>
      </c>
      <c r="J6757">
        <v>-182.47040000000001</v>
      </c>
      <c r="K6757">
        <v>1.10046</v>
      </c>
      <c r="L6757">
        <v>130.8373</v>
      </c>
      <c r="M6757">
        <v>0.60845669999999996</v>
      </c>
      <c r="N6757">
        <v>-4.3922900000000001E-2</v>
      </c>
      <c r="O6757">
        <v>0.79237069999999998</v>
      </c>
      <c r="P6757">
        <v>0.83356939999999902</v>
      </c>
      <c r="Q6757">
        <v>-9.7176819999999997E-2</v>
      </c>
      <c r="R6757">
        <v>0.54380030000000001</v>
      </c>
      <c r="S6757">
        <v>2.9388730000000001</v>
      </c>
      <c r="T6757">
        <v>-0.32370379999999999</v>
      </c>
      <c r="U6757">
        <v>0.9851685</v>
      </c>
      <c r="V6757">
        <v>0.3281713</v>
      </c>
      <c r="W6757">
        <v>-6.5414710000000001E-2</v>
      </c>
      <c r="X6757">
        <v>0.94235049999999998</v>
      </c>
      <c r="Y6757">
        <v>0.55406</v>
      </c>
      <c r="Z6757">
        <v>-7.5026090000000004E-2</v>
      </c>
      <c r="AA6757">
        <v>0.82908899999999996</v>
      </c>
      <c r="AB6757">
        <v>20</v>
      </c>
      <c r="AC6757">
        <v>9.8658999999999999</v>
      </c>
      <c r="AD6757">
        <v>-1.100462638914</v>
      </c>
      <c r="AE6757">
        <v>3.20359999999999</v>
      </c>
      <c r="AF6757">
        <v>5.8084925402497696</v>
      </c>
      <c r="AG6757">
        <v>-1.100462638914</v>
      </c>
      <c r="AH6757">
        <v>8.4545076000753792</v>
      </c>
      <c r="AI6757">
        <v>96.1234537930264</v>
      </c>
      <c r="AJ6757">
        <v>55.509803026223899</v>
      </c>
      <c r="AK6757">
        <v>10.316409373881701</v>
      </c>
      <c r="AL6757">
        <v>93.750665044704604</v>
      </c>
      <c r="AM6757">
        <v>70.799450380560899</v>
      </c>
      <c r="AN6757">
        <v>0.99999997563916099</v>
      </c>
    </row>
    <row r="6758" spans="1:40" x14ac:dyDescent="0.25">
      <c r="A6758" t="str">
        <f>"20190305135405280"</f>
        <v>20190305135405280</v>
      </c>
      <c r="B6758" t="str">
        <f>"1551765245277100"</f>
        <v>1551765245277100</v>
      </c>
      <c r="C6758" t="s">
        <v>40</v>
      </c>
      <c r="D6758">
        <v>5.2458109999999998</v>
      </c>
      <c r="E6758">
        <v>0.60077879999999995</v>
      </c>
      <c r="F6758" t="s">
        <v>78</v>
      </c>
      <c r="G6758">
        <v>-172.57980000000001</v>
      </c>
      <c r="H6758" s="1">
        <v>-2.5915469999999999E-6</v>
      </c>
      <c r="I6758">
        <v>133.9657</v>
      </c>
      <c r="J6758">
        <v>-182.33690000000001</v>
      </c>
      <c r="K6758">
        <v>1.1000449999999999</v>
      </c>
      <c r="L6758">
        <v>130.9804</v>
      </c>
      <c r="M6758">
        <v>0.62262919999999999</v>
      </c>
      <c r="N6758">
        <v>-4.3527919999999998E-2</v>
      </c>
      <c r="O6758">
        <v>0.78130549999999999</v>
      </c>
      <c r="P6758">
        <v>0.84447129999999904</v>
      </c>
      <c r="Q6758">
        <v>-9.4996120000000003E-2</v>
      </c>
      <c r="R6758">
        <v>0.5271091</v>
      </c>
      <c r="S6758">
        <v>2.9516300000000002</v>
      </c>
      <c r="T6758">
        <v>-0.32840799999999998</v>
      </c>
      <c r="U6758">
        <v>0.93360900000000002</v>
      </c>
      <c r="V6758">
        <v>0.33014559999999998</v>
      </c>
      <c r="W6758">
        <v>-6.3958970000000004E-2</v>
      </c>
      <c r="X6758">
        <v>0.94176070000000001</v>
      </c>
      <c r="Y6758">
        <v>0.55312469999999903</v>
      </c>
      <c r="Z6758">
        <v>-7.6761200000000002E-2</v>
      </c>
      <c r="AA6758">
        <v>0.82955460000000003</v>
      </c>
      <c r="AB6758">
        <v>20</v>
      </c>
      <c r="AC6758">
        <v>9.7570999999999994</v>
      </c>
      <c r="AD6758">
        <v>-1.100047591547</v>
      </c>
      <c r="AE6758">
        <v>2.9852999999999899</v>
      </c>
      <c r="AF6758">
        <v>5.70371521676537</v>
      </c>
      <c r="AG6758">
        <v>-1.100047591547</v>
      </c>
      <c r="AH6758">
        <v>8.3187733703501401</v>
      </c>
      <c r="AI6758">
        <v>96.224251795862401</v>
      </c>
      <c r="AJ6758">
        <v>55.563758490268299</v>
      </c>
      <c r="AK6758">
        <v>10.146155053264</v>
      </c>
      <c r="AL6758">
        <v>93.667081980297198</v>
      </c>
      <c r="AM6758">
        <v>70.6812680053891</v>
      </c>
      <c r="AN6758">
        <v>1.0000000415536501</v>
      </c>
    </row>
    <row r="6759" spans="1:40" x14ac:dyDescent="0.25">
      <c r="A6759" t="str">
        <f>"20190305135405303"</f>
        <v>20190305135405303</v>
      </c>
      <c r="B6759" t="str">
        <f>"1551765245296620"</f>
        <v>1551765245296620</v>
      </c>
      <c r="C6759" t="s">
        <v>40</v>
      </c>
      <c r="D6759">
        <v>5.2627030000000001</v>
      </c>
      <c r="E6759">
        <v>0.59905369999999902</v>
      </c>
      <c r="F6759" t="s">
        <v>78</v>
      </c>
      <c r="G6759">
        <v>-172.4119</v>
      </c>
      <c r="H6759" s="1">
        <v>-2.499656E-6</v>
      </c>
      <c r="I6759">
        <v>133.9744</v>
      </c>
      <c r="J6759">
        <v>-182.1951</v>
      </c>
      <c r="K6759">
        <v>1.099917</v>
      </c>
      <c r="L6759">
        <v>131.124</v>
      </c>
      <c r="M6759">
        <v>0.63766119999999904</v>
      </c>
      <c r="N6759">
        <v>-4.3264110000000001E-2</v>
      </c>
      <c r="O6759">
        <v>0.76910100000000003</v>
      </c>
      <c r="P6759">
        <v>0.85374749999999999</v>
      </c>
      <c r="Q6759">
        <v>-9.4838809999999996E-2</v>
      </c>
      <c r="R6759">
        <v>0.51197709999999996</v>
      </c>
      <c r="S6759">
        <v>2.9585569999999999</v>
      </c>
      <c r="T6759">
        <v>-0.32791340000000002</v>
      </c>
      <c r="U6759">
        <v>0.89248660000000002</v>
      </c>
      <c r="V6759">
        <v>0.32867580000000002</v>
      </c>
      <c r="W6759">
        <v>-6.4070630000000003E-2</v>
      </c>
      <c r="X6759">
        <v>0.94226710000000002</v>
      </c>
      <c r="Y6759">
        <v>0.54810419999999904</v>
      </c>
      <c r="Z6759">
        <v>-7.6549809999999996E-2</v>
      </c>
      <c r="AA6759">
        <v>0.83289969999999902</v>
      </c>
      <c r="AB6759">
        <v>19</v>
      </c>
      <c r="AC6759">
        <v>9.7831999999999901</v>
      </c>
      <c r="AD6759">
        <v>-1.099919499656</v>
      </c>
      <c r="AE6759">
        <v>2.8504</v>
      </c>
      <c r="AF6759">
        <v>5.6462418258759604</v>
      </c>
      <c r="AG6759">
        <v>-1.099919499656</v>
      </c>
      <c r="AH6759">
        <v>8.3413266561987793</v>
      </c>
      <c r="AI6759">
        <v>96.231943167218503</v>
      </c>
      <c r="AJ6759">
        <v>55.905939086197002</v>
      </c>
      <c r="AK6759">
        <v>10.132502161233701</v>
      </c>
      <c r="AL6759">
        <v>93.673492717208205</v>
      </c>
      <c r="AM6759">
        <v>70.770521632518296</v>
      </c>
      <c r="AN6759">
        <v>1.0000000574383201</v>
      </c>
    </row>
    <row r="6760" spans="1:40" x14ac:dyDescent="0.25">
      <c r="A6760" t="str">
        <f>"20190305135405324"</f>
        <v>20190305135405324</v>
      </c>
      <c r="B6760" t="str">
        <f>"1551765245317116"</f>
        <v>1551765245317116</v>
      </c>
      <c r="C6760" t="s">
        <v>40</v>
      </c>
      <c r="D6760">
        <v>5.3974909999999996</v>
      </c>
      <c r="E6760">
        <v>0.5982324</v>
      </c>
      <c r="F6760" t="s">
        <v>78</v>
      </c>
      <c r="G6760">
        <v>-172.2998</v>
      </c>
      <c r="H6760" s="1">
        <v>-2.4308289999999998E-6</v>
      </c>
      <c r="I6760">
        <v>133.9633</v>
      </c>
      <c r="J6760">
        <v>-182.066</v>
      </c>
      <c r="K6760">
        <v>1.1000650000000001</v>
      </c>
      <c r="L6760">
        <v>131.24770000000001</v>
      </c>
      <c r="M6760">
        <v>0.65139789999999997</v>
      </c>
      <c r="N6760">
        <v>-4.3158639999999998E-2</v>
      </c>
      <c r="O6760">
        <v>0.75750779999999995</v>
      </c>
      <c r="P6760">
        <v>0.86172029999999999</v>
      </c>
      <c r="Q6760">
        <v>-9.5973059999999999E-2</v>
      </c>
      <c r="R6760">
        <v>0.49822430000000001</v>
      </c>
      <c r="S6760">
        <v>2.9667819999999998</v>
      </c>
      <c r="T6760">
        <v>-0.32977390000000001</v>
      </c>
      <c r="U6760">
        <v>0.8512421</v>
      </c>
      <c r="V6760">
        <v>0.32672449999999997</v>
      </c>
      <c r="W6760">
        <v>-6.5119159999999995E-2</v>
      </c>
      <c r="X6760">
        <v>0.94287359999999998</v>
      </c>
      <c r="Y6760">
        <v>0.54432569999999902</v>
      </c>
      <c r="Z6760">
        <v>-7.6950359999999995E-2</v>
      </c>
      <c r="AA6760">
        <v>0.835337199999999</v>
      </c>
      <c r="AB6760">
        <v>19</v>
      </c>
      <c r="AC6760">
        <v>9.7661999999999694</v>
      </c>
      <c r="AD6760">
        <v>-1.1000674308289999</v>
      </c>
      <c r="AE6760">
        <v>2.71559999999999</v>
      </c>
      <c r="AF6760">
        <v>5.5687025618254102</v>
      </c>
      <c r="AG6760">
        <v>-1.1000674308289999</v>
      </c>
      <c r="AH6760">
        <v>8.3285350351637106</v>
      </c>
      <c r="AI6760">
        <v>96.266037757260094</v>
      </c>
      <c r="AJ6760">
        <v>56.232152503810902</v>
      </c>
      <c r="AK6760">
        <v>10.0789430202973</v>
      </c>
      <c r="AL6760">
        <v>93.733694947760895</v>
      </c>
      <c r="AM6760">
        <v>70.887779086745596</v>
      </c>
      <c r="AN6760">
        <v>1.00000001473815</v>
      </c>
    </row>
    <row r="6761" spans="1:40" x14ac:dyDescent="0.25">
      <c r="A6761" t="str">
        <f>"20190305135405347"</f>
        <v>20190305135405347</v>
      </c>
      <c r="B6761" t="str">
        <f>"1551765245336636"</f>
        <v>1551765245336636</v>
      </c>
      <c r="C6761" t="s">
        <v>40</v>
      </c>
      <c r="D6761">
        <v>5.2623160000000002</v>
      </c>
      <c r="E6761">
        <v>0.621695199999999</v>
      </c>
      <c r="F6761" t="s">
        <v>78</v>
      </c>
      <c r="G6761">
        <v>-172.39160000000001</v>
      </c>
      <c r="H6761" s="1">
        <v>-2.4452520000000001E-6</v>
      </c>
      <c r="I6761">
        <v>133.8776</v>
      </c>
      <c r="J6761">
        <v>-181.9341</v>
      </c>
      <c r="K6761">
        <v>1.100366</v>
      </c>
      <c r="L6761">
        <v>131.3672</v>
      </c>
      <c r="M6761">
        <v>0.6656436</v>
      </c>
      <c r="N6761">
        <v>-4.312444E-2</v>
      </c>
      <c r="O6761">
        <v>0.74502270000000004</v>
      </c>
      <c r="P6761">
        <v>0.87097069999999999</v>
      </c>
      <c r="Q6761">
        <v>-9.7268629999999995E-2</v>
      </c>
      <c r="R6761">
        <v>0.48161100000000001</v>
      </c>
      <c r="S6761">
        <v>2.9759669999999998</v>
      </c>
      <c r="T6761">
        <v>-0.33839560000000002</v>
      </c>
      <c r="U6761">
        <v>0.80900569999999905</v>
      </c>
      <c r="V6761">
        <v>0.32682240000000001</v>
      </c>
      <c r="W6761">
        <v>-6.6236820000000002E-2</v>
      </c>
      <c r="X6761">
        <v>0.94276179999999998</v>
      </c>
      <c r="Y6761">
        <v>0.53987810000000003</v>
      </c>
      <c r="Z6761">
        <v>-7.9214690000000004E-2</v>
      </c>
      <c r="AA6761">
        <v>0.83800759999999996</v>
      </c>
      <c r="AB6761">
        <v>18</v>
      </c>
      <c r="AC6761">
        <v>9.5424999999999898</v>
      </c>
      <c r="AD6761">
        <v>-1.1003684452519999</v>
      </c>
      <c r="AE6761">
        <v>2.5104000000000002</v>
      </c>
      <c r="AF6761">
        <v>5.3765474566104299</v>
      </c>
      <c r="AG6761">
        <v>-1.1003684452519999</v>
      </c>
      <c r="AH6761">
        <v>8.1287739954900307</v>
      </c>
      <c r="AI6761">
        <v>96.441688726659393</v>
      </c>
      <c r="AJ6761">
        <v>56.518485163542202</v>
      </c>
      <c r="AK6761">
        <v>9.8079070110929099</v>
      </c>
      <c r="AL6761">
        <v>93.797870753896902</v>
      </c>
      <c r="AM6761">
        <v>70.880365395958705</v>
      </c>
      <c r="AN6761">
        <v>1.00000000450235</v>
      </c>
    </row>
    <row r="6762" spans="1:40" x14ac:dyDescent="0.25">
      <c r="A6762" t="str">
        <f>"20190305135405370"</f>
        <v>20190305135405370</v>
      </c>
      <c r="B6762" t="str">
        <f>"1551765245366891"</f>
        <v>1551765245366891</v>
      </c>
      <c r="C6762" t="s">
        <v>40</v>
      </c>
      <c r="D6762">
        <v>5.222963</v>
      </c>
      <c r="E6762">
        <v>0.62571869999999996</v>
      </c>
      <c r="F6762" t="s">
        <v>78</v>
      </c>
      <c r="G6762">
        <v>-170.42080000000001</v>
      </c>
      <c r="H6762" s="1">
        <v>-1.190936E-6</v>
      </c>
      <c r="I6762">
        <v>133.5823</v>
      </c>
      <c r="J6762">
        <v>-181.79259999999999</v>
      </c>
      <c r="K6762">
        <v>1.1007720000000001</v>
      </c>
      <c r="L6762">
        <v>131.48830000000001</v>
      </c>
      <c r="M6762">
        <v>0.68125429999999998</v>
      </c>
      <c r="N6762">
        <v>-4.312763E-2</v>
      </c>
      <c r="O6762">
        <v>0.73077539999999996</v>
      </c>
      <c r="P6762">
        <v>0.88191119999999901</v>
      </c>
      <c r="Q6762">
        <v>-9.8681840000000007E-2</v>
      </c>
      <c r="R6762">
        <v>0.46097139999999998</v>
      </c>
      <c r="S6762">
        <v>3.0834809999999999</v>
      </c>
      <c r="T6762">
        <v>-0.29469919999999999</v>
      </c>
      <c r="U6762">
        <v>0.593261699999999</v>
      </c>
      <c r="V6762">
        <v>0.32896979999999998</v>
      </c>
      <c r="W6762">
        <v>-6.7454199999999895E-2</v>
      </c>
      <c r="X6762">
        <v>0.94192830000000005</v>
      </c>
      <c r="Y6762">
        <v>0.58560919999999905</v>
      </c>
      <c r="Z6762">
        <v>-6.7143599999999998E-2</v>
      </c>
      <c r="AA6762">
        <v>0.80780790000000002</v>
      </c>
      <c r="AB6762">
        <v>17</v>
      </c>
      <c r="AC6762">
        <v>11.371799999999901</v>
      </c>
      <c r="AD6762">
        <v>-1.1007731909359999</v>
      </c>
      <c r="AE6762">
        <v>2.0939999999999901</v>
      </c>
      <c r="AF6762">
        <v>6.8282138251092803</v>
      </c>
      <c r="AG6762">
        <v>-1.1007731909359999</v>
      </c>
      <c r="AH6762">
        <v>9.2025710570493899</v>
      </c>
      <c r="AI6762">
        <v>95.487038900040602</v>
      </c>
      <c r="AJ6762">
        <v>53.424962015782</v>
      </c>
      <c r="AK6762">
        <v>11.511886019212399</v>
      </c>
      <c r="AL6762">
        <v>93.867777636178403</v>
      </c>
      <c r="AM6762">
        <v>70.748172272848393</v>
      </c>
      <c r="AN6762">
        <v>1.0000000603752801</v>
      </c>
    </row>
    <row r="6763" spans="1:40" x14ac:dyDescent="0.25">
      <c r="A6763" t="str">
        <f>"20190305135405393"</f>
        <v>20190305135405393</v>
      </c>
      <c r="B6763" t="str">
        <f>"1551765245386411"</f>
        <v>1551765245386411</v>
      </c>
      <c r="C6763" t="s">
        <v>40</v>
      </c>
      <c r="D6763">
        <v>5.5098900000000004</v>
      </c>
      <c r="E6763">
        <v>0.62458919999999996</v>
      </c>
      <c r="F6763" t="s">
        <v>78</v>
      </c>
      <c r="G6763">
        <v>-170.34020000000001</v>
      </c>
      <c r="H6763" s="1">
        <v>-1.020637E-6</v>
      </c>
      <c r="I6763">
        <v>133.3015</v>
      </c>
      <c r="J6763">
        <v>-181.66159999999999</v>
      </c>
      <c r="K6763">
        <v>1.1011690000000001</v>
      </c>
      <c r="L6763">
        <v>131.59450000000001</v>
      </c>
      <c r="M6763">
        <v>0.69595490000000004</v>
      </c>
      <c r="N6763">
        <v>-4.3159589999999998E-2</v>
      </c>
      <c r="O6763">
        <v>0.71678730000000002</v>
      </c>
      <c r="P6763">
        <v>0.89150110000000005</v>
      </c>
      <c r="Q6763">
        <v>-9.9442559999999999E-2</v>
      </c>
      <c r="R6763">
        <v>0.44196940000000001</v>
      </c>
      <c r="S6763">
        <v>3.1108250000000002</v>
      </c>
      <c r="T6763">
        <v>-0.2990044</v>
      </c>
      <c r="U6763">
        <v>0.4925079</v>
      </c>
      <c r="V6763">
        <v>0.32999260000000002</v>
      </c>
      <c r="W6763">
        <v>-6.7953189999999997E-2</v>
      </c>
      <c r="X6763">
        <v>0.94153450000000005</v>
      </c>
      <c r="Y6763">
        <v>0.59566790000000003</v>
      </c>
      <c r="Z6763">
        <v>-6.8757970000000002E-2</v>
      </c>
      <c r="AA6763">
        <v>0.80028250000000001</v>
      </c>
      <c r="AB6763">
        <v>17</v>
      </c>
      <c r="AC6763">
        <v>11.321399999999899</v>
      </c>
      <c r="AD6763">
        <v>-1.1011700206370001</v>
      </c>
      <c r="AE6763">
        <v>1.7069999999999901</v>
      </c>
      <c r="AF6763">
        <v>6.8699537063923799</v>
      </c>
      <c r="AG6763">
        <v>-1.1011700206370001</v>
      </c>
      <c r="AH6763">
        <v>9.0277223725191806</v>
      </c>
      <c r="AI6763">
        <v>95.544162986649397</v>
      </c>
      <c r="AJ6763">
        <v>52.729440005066799</v>
      </c>
      <c r="AK6763">
        <v>11.3977458551069</v>
      </c>
      <c r="AL6763">
        <v>93.8964337076616</v>
      </c>
      <c r="AM6763">
        <v>70.685262323438906</v>
      </c>
      <c r="AN6763">
        <v>0.99999998338809204</v>
      </c>
    </row>
    <row r="6764" spans="1:40" x14ac:dyDescent="0.25">
      <c r="A6764" t="str">
        <f>"20190305135405414"</f>
        <v>20190305135405414</v>
      </c>
      <c r="B6764" t="str">
        <f>"1551765245406908"</f>
        <v>1551765245406908</v>
      </c>
      <c r="C6764" t="s">
        <v>40</v>
      </c>
      <c r="D6764">
        <v>5.2368750000000004</v>
      </c>
      <c r="E6764">
        <v>0.62328950000000005</v>
      </c>
      <c r="F6764" t="s">
        <v>42</v>
      </c>
      <c r="G6764">
        <v>-169.2722</v>
      </c>
      <c r="H6764" s="1">
        <v>-1.9367640000000001E-6</v>
      </c>
      <c r="I6764">
        <v>133.32830000000001</v>
      </c>
      <c r="J6764">
        <v>-181.53270000000001</v>
      </c>
      <c r="K6764">
        <v>1.10154</v>
      </c>
      <c r="L6764">
        <v>131.6934</v>
      </c>
      <c r="M6764">
        <v>0.71059640000000002</v>
      </c>
      <c r="N6764">
        <v>-4.32091E-2</v>
      </c>
      <c r="O6764">
        <v>0.7022718</v>
      </c>
      <c r="P6764">
        <v>0.90048309999999998</v>
      </c>
      <c r="Q6764">
        <v>-9.9902870000000005E-2</v>
      </c>
      <c r="R6764">
        <v>0.42326079999999999</v>
      </c>
      <c r="S6764">
        <v>3.117874</v>
      </c>
      <c r="T6764">
        <v>-0.27711740000000001</v>
      </c>
      <c r="U6764">
        <v>0.43632510000000002</v>
      </c>
      <c r="V6764">
        <v>0.33022489999999999</v>
      </c>
      <c r="W6764">
        <v>-6.8121630000000002E-2</v>
      </c>
      <c r="X6764">
        <v>0.94144090000000002</v>
      </c>
      <c r="Y6764">
        <v>0.59410419999999997</v>
      </c>
      <c r="Z6764">
        <v>-6.2108110000000001E-2</v>
      </c>
      <c r="AA6764">
        <v>0.8019868</v>
      </c>
      <c r="AB6764">
        <v>16</v>
      </c>
      <c r="AC6764">
        <v>12.2605</v>
      </c>
      <c r="AD6764">
        <v>-1.101541936764</v>
      </c>
      <c r="AE6764">
        <v>1.63490000000001</v>
      </c>
      <c r="AF6764">
        <v>7.3967484586007597</v>
      </c>
      <c r="AG6764">
        <v>-1.101541936764</v>
      </c>
      <c r="AH6764">
        <v>9.7919686191067399</v>
      </c>
      <c r="AI6764">
        <v>95.129283330034099</v>
      </c>
      <c r="AJ6764">
        <v>52.932990667747497</v>
      </c>
      <c r="AK6764">
        <v>12.3210361510643</v>
      </c>
      <c r="AL6764">
        <v>93.9061069411527</v>
      </c>
      <c r="AM6764">
        <v>70.670894455611602</v>
      </c>
      <c r="AN6764">
        <v>1.0000000046233299</v>
      </c>
    </row>
    <row r="6765" spans="1:40" x14ac:dyDescent="0.25">
      <c r="A6765" t="str">
        <f>"20190305135405436"</f>
        <v>20190305135405436</v>
      </c>
      <c r="B6765" t="str">
        <f>"1551765245426428"</f>
        <v>1551765245426428</v>
      </c>
      <c r="C6765" t="s">
        <v>40</v>
      </c>
      <c r="D6765">
        <v>5.1920279999999996</v>
      </c>
      <c r="E6765">
        <v>0.62174240000000003</v>
      </c>
      <c r="F6765" t="s">
        <v>42</v>
      </c>
      <c r="G6765">
        <v>-168.8366</v>
      </c>
      <c r="H6765" s="1">
        <v>-2.1265319999999999E-6</v>
      </c>
      <c r="I6765">
        <v>133.2439</v>
      </c>
      <c r="J6765">
        <v>-181.40559999999999</v>
      </c>
      <c r="K6765">
        <v>1.10186299999999</v>
      </c>
      <c r="L6765">
        <v>131.78559999999999</v>
      </c>
      <c r="M6765">
        <v>0.72511639999999999</v>
      </c>
      <c r="N6765">
        <v>-4.3246920000000001E-2</v>
      </c>
      <c r="O6765">
        <v>0.68726699999999996</v>
      </c>
      <c r="P6765">
        <v>0.90983309999999995</v>
      </c>
      <c r="Q6765">
        <v>-9.6682740000000003E-2</v>
      </c>
      <c r="R6765">
        <v>0.40355439999999998</v>
      </c>
      <c r="S6765">
        <v>3.1222840000000001</v>
      </c>
      <c r="T6765">
        <v>-0.270895099999999</v>
      </c>
      <c r="U6765">
        <v>0.38130190000000003</v>
      </c>
      <c r="V6765">
        <v>0.331414599999999</v>
      </c>
      <c r="W6765">
        <v>-6.4677639999999995E-2</v>
      </c>
      <c r="X6765">
        <v>0.94126580000000004</v>
      </c>
      <c r="Y6765">
        <v>0.59152729999999998</v>
      </c>
      <c r="Z6765">
        <v>-6.013135E-2</v>
      </c>
      <c r="AA6765">
        <v>0.80403959999999997</v>
      </c>
      <c r="AB6765">
        <v>16</v>
      </c>
      <c r="AC6765">
        <v>12.5689999999999</v>
      </c>
      <c r="AD6765">
        <v>-1.1018651265320001</v>
      </c>
      <c r="AE6765">
        <v>1.4582999999999999</v>
      </c>
      <c r="AF6765">
        <v>7.5308136579457203</v>
      </c>
      <c r="AG6765">
        <v>-1.1018651265320001</v>
      </c>
      <c r="AH6765">
        <v>10.049496283567301</v>
      </c>
      <c r="AI6765">
        <v>95.014375214441301</v>
      </c>
      <c r="AJ6765">
        <v>53.153128383045399</v>
      </c>
      <c r="AK6765">
        <v>12.606333196501</v>
      </c>
      <c r="AL6765">
        <v>93.708344066940398</v>
      </c>
      <c r="AM6765">
        <v>70.603109284806493</v>
      </c>
      <c r="AN6765">
        <v>1.0000000702293801</v>
      </c>
    </row>
    <row r="6766" spans="1:40" x14ac:dyDescent="0.25">
      <c r="A6766" t="str">
        <f>"20190305135405458"</f>
        <v>20190305135405458</v>
      </c>
      <c r="B6766" t="str">
        <f>"1551765245446925"</f>
        <v>1551765245446925</v>
      </c>
      <c r="C6766" t="s">
        <v>40</v>
      </c>
      <c r="D6766">
        <v>5.2494560000000003</v>
      </c>
      <c r="E6766">
        <v>0.62002440000000003</v>
      </c>
      <c r="F6766" t="s">
        <v>42</v>
      </c>
      <c r="G6766">
        <v>-168.17689999999999</v>
      </c>
      <c r="H6766" s="1">
        <v>-2.4023899999999998E-6</v>
      </c>
      <c r="I6766">
        <v>133.1591</v>
      </c>
      <c r="J6766">
        <v>-181.27619999999999</v>
      </c>
      <c r="K6766">
        <v>1.1021570000000001</v>
      </c>
      <c r="L6766">
        <v>131.874</v>
      </c>
      <c r="M6766">
        <v>0.7398306</v>
      </c>
      <c r="N6766">
        <v>-4.3242860000000001E-2</v>
      </c>
      <c r="O6766">
        <v>0.6714021</v>
      </c>
      <c r="P6766">
        <v>0.91878729999999997</v>
      </c>
      <c r="Q6766">
        <v>-9.1583339999999999E-2</v>
      </c>
      <c r="R6766">
        <v>0.38398270000000001</v>
      </c>
      <c r="S6766">
        <v>3.125702</v>
      </c>
      <c r="T6766">
        <v>-0.26035199999999997</v>
      </c>
      <c r="U6766">
        <v>0.32453920000000003</v>
      </c>
      <c r="V6766">
        <v>0.331704099999999</v>
      </c>
      <c r="W6766">
        <v>-5.9362039999999998E-2</v>
      </c>
      <c r="X6766">
        <v>0.94151399999999996</v>
      </c>
      <c r="Y6766">
        <v>0.58887319999999999</v>
      </c>
      <c r="Z6766">
        <v>-5.6930090000000003E-2</v>
      </c>
      <c r="AA6766">
        <v>0.80621790000000004</v>
      </c>
      <c r="AB6766">
        <v>15</v>
      </c>
      <c r="AC6766">
        <v>13.099299999999999</v>
      </c>
      <c r="AD6766">
        <v>-1.1021594023899901</v>
      </c>
      <c r="AE6766">
        <v>1.2850999999999999</v>
      </c>
      <c r="AF6766">
        <v>7.7968153007775296</v>
      </c>
      <c r="AG6766">
        <v>-1.1021594023899901</v>
      </c>
      <c r="AH6766">
        <v>10.4904060551592</v>
      </c>
      <c r="AI6766">
        <v>94.820004030890502</v>
      </c>
      <c r="AJ6766">
        <v>53.379052893773903</v>
      </c>
      <c r="AK6766">
        <v>13.116924311165199</v>
      </c>
      <c r="AL6766">
        <v>93.403194954360103</v>
      </c>
      <c r="AM6766">
        <v>70.592167208168902</v>
      </c>
      <c r="AN6766">
        <v>1.0000000369728801</v>
      </c>
    </row>
    <row r="6767" spans="1:40" x14ac:dyDescent="0.25">
      <c r="A6767" t="str">
        <f>"20190305135405481"</f>
        <v>20190305135405481</v>
      </c>
      <c r="B6767" t="str">
        <f>"1551765245477180"</f>
        <v>1551765245477180</v>
      </c>
      <c r="C6767" t="s">
        <v>40</v>
      </c>
      <c r="D6767">
        <v>5.2773960000000004</v>
      </c>
      <c r="E6767">
        <v>0.61732419999999899</v>
      </c>
      <c r="F6767" t="s">
        <v>42</v>
      </c>
      <c r="G6767">
        <v>-166.80840000000001</v>
      </c>
      <c r="H6767" s="1">
        <v>-2.9369650000000001E-6</v>
      </c>
      <c r="I6767">
        <v>133.1251</v>
      </c>
      <c r="J6767">
        <v>-181.1514</v>
      </c>
      <c r="K6767">
        <v>1.1027400000000001</v>
      </c>
      <c r="L6767">
        <v>131.95429999999999</v>
      </c>
      <c r="M6767">
        <v>0.75363559999999996</v>
      </c>
      <c r="N6767">
        <v>-4.3366990000000001E-2</v>
      </c>
      <c r="O6767">
        <v>0.65586029999999995</v>
      </c>
      <c r="P6767">
        <v>0.92547330000000005</v>
      </c>
      <c r="Q6767">
        <v>-8.9878239999999998E-2</v>
      </c>
      <c r="R6767">
        <v>0.3679963</v>
      </c>
      <c r="S6767">
        <v>3.128342</v>
      </c>
      <c r="T6767">
        <v>-0.2383189</v>
      </c>
      <c r="U6767">
        <v>0.27053829999999901</v>
      </c>
      <c r="V6767">
        <v>0.32867669999999999</v>
      </c>
      <c r="W6767">
        <v>-5.6989949999999998E-2</v>
      </c>
      <c r="X6767">
        <v>0.94272149999999999</v>
      </c>
      <c r="Y6767">
        <v>0.58644759999999996</v>
      </c>
      <c r="Z6767">
        <v>-5.0437389999999999E-2</v>
      </c>
      <c r="AA6767">
        <v>0.80841529999999995</v>
      </c>
      <c r="AB6767">
        <v>15</v>
      </c>
      <c r="AC6767">
        <v>14.3429999999999</v>
      </c>
      <c r="AD6767">
        <v>-1.1027429369649999</v>
      </c>
      <c r="AE6767">
        <v>1.1708000000000101</v>
      </c>
      <c r="AF6767">
        <v>8.4828637998093797</v>
      </c>
      <c r="AG6767">
        <v>-1.1027429369649999</v>
      </c>
      <c r="AH6767">
        <v>11.5205301371824</v>
      </c>
      <c r="AI6767">
        <v>94.407574494850095</v>
      </c>
      <c r="AJ6767">
        <v>53.634824777730898</v>
      </c>
      <c r="AK6767">
        <v>14.3491335931083</v>
      </c>
      <c r="AL6767">
        <v>93.267053637146006</v>
      </c>
      <c r="AM6767">
        <v>70.779061581089096</v>
      </c>
      <c r="AN6767">
        <v>1.00000002704307</v>
      </c>
    </row>
    <row r="6768" spans="1:40" x14ac:dyDescent="0.25">
      <c r="A6768" t="str">
        <f>"20190305135405504"</f>
        <v>20190305135405504</v>
      </c>
      <c r="B6768" t="str">
        <f>"1551765245496700"</f>
        <v>1551765245496700</v>
      </c>
      <c r="C6768" t="s">
        <v>40</v>
      </c>
      <c r="D6768">
        <v>5.2398680000000004</v>
      </c>
      <c r="E6768">
        <v>0.61548480000000005</v>
      </c>
      <c r="F6768" t="s">
        <v>42</v>
      </c>
      <c r="G6768">
        <v>-166.34360000000001</v>
      </c>
      <c r="H6768" s="1">
        <v>-3.129145E-6</v>
      </c>
      <c r="I6768">
        <v>133.0737</v>
      </c>
      <c r="J6768">
        <v>-181.023</v>
      </c>
      <c r="K6768">
        <v>1.1037129999999999</v>
      </c>
      <c r="L6768">
        <v>132.0326</v>
      </c>
      <c r="M6768">
        <v>0.76731479999999996</v>
      </c>
      <c r="N6768">
        <v>-4.3696079999999998E-2</v>
      </c>
      <c r="O6768">
        <v>0.63978020000000002</v>
      </c>
      <c r="P6768">
        <v>0.93096350000000005</v>
      </c>
      <c r="Q6768">
        <v>-9.5129710000000006E-2</v>
      </c>
      <c r="R6768">
        <v>0.35250150000000002</v>
      </c>
      <c r="S6768">
        <v>3.1250460000000002</v>
      </c>
      <c r="T6768">
        <v>-0.2327244</v>
      </c>
      <c r="U6768">
        <v>0.23623659999999999</v>
      </c>
      <c r="V6768">
        <v>0.32418010000000003</v>
      </c>
      <c r="W6768">
        <v>-6.1067040000000003E-2</v>
      </c>
      <c r="X6768">
        <v>0.94402229999999998</v>
      </c>
      <c r="Y6768">
        <v>0.5782022</v>
      </c>
      <c r="Z6768">
        <v>-4.8357730000000002E-2</v>
      </c>
      <c r="AA6768">
        <v>0.81445909999999999</v>
      </c>
      <c r="AB6768">
        <v>14</v>
      </c>
      <c r="AC6768">
        <v>14.6793999999999</v>
      </c>
      <c r="AD6768">
        <v>-1.1037161291449999</v>
      </c>
      <c r="AE6768">
        <v>1.0410999999999999</v>
      </c>
      <c r="AF6768">
        <v>8.5528434543236305</v>
      </c>
      <c r="AG6768">
        <v>-1.1037161291449999</v>
      </c>
      <c r="AH6768">
        <v>11.8744080911239</v>
      </c>
      <c r="AI6768">
        <v>94.313172089858995</v>
      </c>
      <c r="AJ6768">
        <v>54.235723926074897</v>
      </c>
      <c r="AK6768">
        <v>14.6755200235784</v>
      </c>
      <c r="AL6768">
        <v>93.501061938777099</v>
      </c>
      <c r="AM6768">
        <v>71.047374145621006</v>
      </c>
      <c r="AN6768">
        <v>1.0000000117538299</v>
      </c>
    </row>
    <row r="6769" spans="1:40" x14ac:dyDescent="0.25">
      <c r="A6769" t="str">
        <f>"20190305135405525"</f>
        <v>20190305135405525</v>
      </c>
      <c r="B6769" t="str">
        <f>"1551765245516220"</f>
        <v>1551765245516220</v>
      </c>
      <c r="C6769" t="s">
        <v>40</v>
      </c>
      <c r="D6769">
        <v>5.2571979999999998</v>
      </c>
      <c r="E6769">
        <v>0.61371309999999901</v>
      </c>
      <c r="F6769" t="s">
        <v>42</v>
      </c>
      <c r="G6769">
        <v>-167.40649999999999</v>
      </c>
      <c r="H6769" s="1">
        <v>-2.7687030000000001E-6</v>
      </c>
      <c r="I6769">
        <v>132.89439999999999</v>
      </c>
      <c r="J6769">
        <v>-180.90629999999999</v>
      </c>
      <c r="K6769">
        <v>1.1046860000000001</v>
      </c>
      <c r="L6769">
        <v>132.1001</v>
      </c>
      <c r="M6769">
        <v>0.77943450000000003</v>
      </c>
      <c r="N6769">
        <v>-4.4020730000000001E-2</v>
      </c>
      <c r="O6769">
        <v>0.62493520000000002</v>
      </c>
      <c r="P6769">
        <v>0.93608959999999997</v>
      </c>
      <c r="Q6769">
        <v>-0.10039679999999999</v>
      </c>
      <c r="R6769">
        <v>0.33712989999999998</v>
      </c>
      <c r="S6769">
        <v>3.1217959999999998</v>
      </c>
      <c r="T6769">
        <v>-0.25304349999999998</v>
      </c>
      <c r="U6769">
        <v>0.19758609999999999</v>
      </c>
      <c r="V6769">
        <v>0.32130989999999998</v>
      </c>
      <c r="W6769">
        <v>-6.5234909999999993E-2</v>
      </c>
      <c r="X6769">
        <v>0.94472449999999997</v>
      </c>
      <c r="Y6769">
        <v>0.57208389999999998</v>
      </c>
      <c r="Z6769">
        <v>-5.3619460000000001E-2</v>
      </c>
      <c r="AA6769">
        <v>0.81844059999999996</v>
      </c>
      <c r="AB6769">
        <v>14</v>
      </c>
      <c r="AC6769">
        <v>13.499799999999899</v>
      </c>
      <c r="AD6769">
        <v>-1.104688768703</v>
      </c>
      <c r="AE6769">
        <v>0.79429999999999201</v>
      </c>
      <c r="AF6769">
        <v>7.7731105609555096</v>
      </c>
      <c r="AG6769">
        <v>-1.104688768703</v>
      </c>
      <c r="AH6769">
        <v>10.956176556249901</v>
      </c>
      <c r="AI6769">
        <v>94.701074492526402</v>
      </c>
      <c r="AJ6769">
        <v>54.6453312882036</v>
      </c>
      <c r="AK6769">
        <v>13.4788497209612</v>
      </c>
      <c r="AL6769">
        <v>93.740341071772605</v>
      </c>
      <c r="AM6769">
        <v>71.216336518040805</v>
      </c>
      <c r="AN6769">
        <v>1.00000001311048</v>
      </c>
    </row>
    <row r="6770" spans="1:40" x14ac:dyDescent="0.25">
      <c r="A6770" t="str">
        <f>"20190305135405548"</f>
        <v>20190305135405548</v>
      </c>
      <c r="B6770" t="str">
        <f>"1551765245536715"</f>
        <v>1551765245536715</v>
      </c>
      <c r="C6770" t="s">
        <v>40</v>
      </c>
      <c r="D6770">
        <v>5.2514830000000003</v>
      </c>
      <c r="E6770">
        <v>0.61211409999999999</v>
      </c>
      <c r="F6770" t="s">
        <v>42</v>
      </c>
      <c r="G6770">
        <v>-168.3279</v>
      </c>
      <c r="H6770" s="1">
        <v>-2.4552959999999999E-6</v>
      </c>
      <c r="I6770">
        <v>132.7424</v>
      </c>
      <c r="J6770">
        <v>-180.78809999999999</v>
      </c>
      <c r="K6770">
        <v>1.105369</v>
      </c>
      <c r="L6770">
        <v>132.16489999999999</v>
      </c>
      <c r="M6770">
        <v>0.79152939999999905</v>
      </c>
      <c r="N6770">
        <v>-4.4072119999999999E-2</v>
      </c>
      <c r="O6770">
        <v>0.60953990000000002</v>
      </c>
      <c r="P6770">
        <v>0.94231690000000001</v>
      </c>
      <c r="Q6770">
        <v>-0.1013926</v>
      </c>
      <c r="R6770">
        <v>0.3189959</v>
      </c>
      <c r="S6770">
        <v>3.1180880000000002</v>
      </c>
      <c r="T6770">
        <v>-0.2738429</v>
      </c>
      <c r="U6770">
        <v>0.15922549999999999</v>
      </c>
      <c r="V6770">
        <v>0.32105909999999999</v>
      </c>
      <c r="W6770">
        <v>-6.5652559999999999E-2</v>
      </c>
      <c r="X6770">
        <v>0.94478079999999998</v>
      </c>
      <c r="Y6770">
        <v>0.56549729999999998</v>
      </c>
      <c r="Z6770">
        <v>-5.8884060000000002E-2</v>
      </c>
      <c r="AA6770">
        <v>0.82264539999999997</v>
      </c>
      <c r="AB6770">
        <v>13</v>
      </c>
      <c r="AC6770">
        <v>12.460199999999899</v>
      </c>
      <c r="AD6770">
        <v>-1.1053714552959999</v>
      </c>
      <c r="AE6770">
        <v>0.577500000000014</v>
      </c>
      <c r="AF6770">
        <v>7.0891519923226403</v>
      </c>
      <c r="AG6770">
        <v>-1.1053714552959999</v>
      </c>
      <c r="AH6770">
        <v>10.144890790098801</v>
      </c>
      <c r="AI6770">
        <v>95.103713741783096</v>
      </c>
      <c r="AJ6770">
        <v>55.054520785945599</v>
      </c>
      <c r="AK6770">
        <v>12.425648118608001</v>
      </c>
      <c r="AL6770">
        <v>93.764322179504902</v>
      </c>
      <c r="AM6770">
        <v>71.231011320188898</v>
      </c>
      <c r="AN6770">
        <v>0.99999998218800101</v>
      </c>
    </row>
    <row r="6771" spans="1:40" x14ac:dyDescent="0.25">
      <c r="A6771" t="str">
        <f>"20190305135405563"</f>
        <v>20190305135405563</v>
      </c>
      <c r="B6771" t="str">
        <f>"1551765245557213"</f>
        <v>1551765245557213</v>
      </c>
      <c r="C6771" t="s">
        <v>40</v>
      </c>
      <c r="D6771">
        <v>5.2327709999999996</v>
      </c>
      <c r="E6771">
        <v>0.61055700000000002</v>
      </c>
      <c r="F6771" t="s">
        <v>42</v>
      </c>
      <c r="G6771">
        <v>-168.7099</v>
      </c>
      <c r="H6771" s="1">
        <v>-2.3483110000000001E-6</v>
      </c>
      <c r="I6771">
        <v>132.5932</v>
      </c>
      <c r="J6771">
        <v>-180.71459999999999</v>
      </c>
      <c r="K6771">
        <v>1.1055549999999901</v>
      </c>
      <c r="L6771">
        <v>132.20339999999999</v>
      </c>
      <c r="M6771">
        <v>0.79889330000000003</v>
      </c>
      <c r="N6771">
        <v>-4.3884800000000002E-2</v>
      </c>
      <c r="O6771">
        <v>0.59986969999999995</v>
      </c>
      <c r="P6771">
        <v>0.94615780000000005</v>
      </c>
      <c r="Q6771">
        <v>-0.1003053</v>
      </c>
      <c r="R6771">
        <v>0.30777339999999997</v>
      </c>
      <c r="S6771">
        <v>3.1155550000000001</v>
      </c>
      <c r="T6771">
        <v>-0.28512900000000002</v>
      </c>
      <c r="U6771">
        <v>0.11047360000000001</v>
      </c>
      <c r="V6771">
        <v>0.32091789999999998</v>
      </c>
      <c r="W6771">
        <v>-6.4548839999999996E-2</v>
      </c>
      <c r="X6771">
        <v>0.94490490000000005</v>
      </c>
      <c r="Y6771">
        <v>0.56796049999999998</v>
      </c>
      <c r="Z6771">
        <v>-6.2177509999999998E-2</v>
      </c>
      <c r="AA6771">
        <v>0.82070390000000004</v>
      </c>
      <c r="AB6771">
        <v>12</v>
      </c>
      <c r="AC6771">
        <v>12.0046999999999</v>
      </c>
      <c r="AD6771">
        <v>-1.1055573483109999</v>
      </c>
      <c r="AE6771">
        <v>0.38980000000000797</v>
      </c>
      <c r="AF6771">
        <v>6.83855274566075</v>
      </c>
      <c r="AG6771">
        <v>-1.1055573483109999</v>
      </c>
      <c r="AH6771">
        <v>9.7511623497382303</v>
      </c>
      <c r="AI6771">
        <v>95.303285654565997</v>
      </c>
      <c r="AJ6771">
        <v>54.957774200115999</v>
      </c>
      <c r="AK6771">
        <v>11.9613221625596</v>
      </c>
      <c r="AL6771">
        <v>93.700948953460298</v>
      </c>
      <c r="AM6771">
        <v>71.240979862872507</v>
      </c>
      <c r="AN6771">
        <v>1.00000006066488</v>
      </c>
    </row>
    <row r="6772" spans="1:40" x14ac:dyDescent="0.25">
      <c r="A6772" t="str">
        <f>"20190305135405576"</f>
        <v>20190305135405576</v>
      </c>
      <c r="B6772" t="str">
        <f>"1551765245566972"</f>
        <v>1551765245566972</v>
      </c>
      <c r="C6772" t="s">
        <v>40</v>
      </c>
      <c r="D6772">
        <v>5.2653619999999997</v>
      </c>
      <c r="E6772">
        <v>0.6097861</v>
      </c>
      <c r="F6772" t="s">
        <v>42</v>
      </c>
      <c r="G6772">
        <v>-168.68610000000001</v>
      </c>
      <c r="H6772" s="1">
        <v>-2.373897E-6</v>
      </c>
      <c r="I6772">
        <v>132.53129999999999</v>
      </c>
      <c r="J6772">
        <v>-180.6447</v>
      </c>
      <c r="K6772">
        <v>1.1056280000000001</v>
      </c>
      <c r="L6772">
        <v>132.23840000000001</v>
      </c>
      <c r="M6772">
        <v>0.80571289999999995</v>
      </c>
      <c r="N6772">
        <v>-4.3566939999999998E-2</v>
      </c>
      <c r="O6772">
        <v>0.59070180000000005</v>
      </c>
      <c r="P6772">
        <v>0.9495595</v>
      </c>
      <c r="Q6772">
        <v>-9.7990389999999997E-2</v>
      </c>
      <c r="R6772">
        <v>0.29788389999999998</v>
      </c>
      <c r="S6772">
        <v>3.112762</v>
      </c>
      <c r="T6772">
        <v>-0.28609899999999999</v>
      </c>
      <c r="U6772">
        <v>8.485413E-2</v>
      </c>
      <c r="V6772">
        <v>0.32017509999999999</v>
      </c>
      <c r="W6772">
        <v>-6.2385910000000003E-2</v>
      </c>
      <c r="X6772">
        <v>0.94530199999999998</v>
      </c>
      <c r="Y6772">
        <v>0.56526180000000004</v>
      </c>
      <c r="Z6772">
        <v>-6.2292060000000003E-2</v>
      </c>
      <c r="AA6772">
        <v>0.82255630000000002</v>
      </c>
      <c r="AB6772">
        <v>12</v>
      </c>
      <c r="AC6772">
        <v>11.958599999999899</v>
      </c>
      <c r="AD6772">
        <v>-1.1056303738969999</v>
      </c>
      <c r="AE6772">
        <v>0.29289999999997401</v>
      </c>
      <c r="AF6772">
        <v>6.7765718810520301</v>
      </c>
      <c r="AG6772">
        <v>-1.1056303738969999</v>
      </c>
      <c r="AH6772">
        <v>9.7343780653124892</v>
      </c>
      <c r="AI6772">
        <v>95.325533813383004</v>
      </c>
      <c r="AJ6772">
        <v>55.156354962596303</v>
      </c>
      <c r="AK6772">
        <v>11.912281951884101</v>
      </c>
      <c r="AL6772">
        <v>93.576772099519104</v>
      </c>
      <c r="AM6772">
        <v>71.288688166025494</v>
      </c>
      <c r="AN6772">
        <v>0.999999983815268</v>
      </c>
    </row>
    <row r="6773" spans="1:40" x14ac:dyDescent="0.25">
      <c r="A6773" t="str">
        <f>"20190305135405594"</f>
        <v>20190305135405594</v>
      </c>
      <c r="B6773" t="str">
        <f>"1551765245586492"</f>
        <v>1551765245586492</v>
      </c>
      <c r="C6773" t="s">
        <v>40</v>
      </c>
      <c r="D6773">
        <v>5.2488000000000001</v>
      </c>
      <c r="E6773">
        <v>0.58808240000000001</v>
      </c>
      <c r="F6773" t="s">
        <v>42</v>
      </c>
      <c r="G6773">
        <v>-168.43889999999999</v>
      </c>
      <c r="H6773" s="1">
        <v>-2.4861249999999999E-6</v>
      </c>
      <c r="I6773">
        <v>132.46639999999999</v>
      </c>
      <c r="J6773">
        <v>-180.56100000000001</v>
      </c>
      <c r="K6773">
        <v>1.105729</v>
      </c>
      <c r="L6773">
        <v>132.27889999999999</v>
      </c>
      <c r="M6773">
        <v>0.81364590000000003</v>
      </c>
      <c r="N6773">
        <v>-4.3127159999999998E-2</v>
      </c>
      <c r="O6773">
        <v>0.57975900000000002</v>
      </c>
      <c r="P6773">
        <v>0.95235910000000001</v>
      </c>
      <c r="Q6773">
        <v>-9.6136239999999998E-2</v>
      </c>
      <c r="R6773">
        <v>0.28943079999999999</v>
      </c>
      <c r="S6773">
        <v>3.1120299999999999</v>
      </c>
      <c r="T6773">
        <v>-0.28189330000000001</v>
      </c>
      <c r="U6773">
        <v>5.8120730000000002E-2</v>
      </c>
      <c r="V6773">
        <v>0.31596619999999997</v>
      </c>
      <c r="W6773">
        <v>-6.0662269999999997E-2</v>
      </c>
      <c r="X6773">
        <v>0.94682909999999998</v>
      </c>
      <c r="Y6773">
        <v>0.56130500000000005</v>
      </c>
      <c r="Z6773">
        <v>-6.0869079999999999E-2</v>
      </c>
      <c r="AA6773">
        <v>0.82536759999999998</v>
      </c>
      <c r="AB6773">
        <v>12</v>
      </c>
      <c r="AC6773">
        <v>12.1220999999999</v>
      </c>
      <c r="AD6773">
        <v>-1.1057314861250001</v>
      </c>
      <c r="AE6773">
        <v>0.1875</v>
      </c>
      <c r="AF6773">
        <v>6.8249676503818799</v>
      </c>
      <c r="AG6773">
        <v>-1.1057314861250001</v>
      </c>
      <c r="AH6773">
        <v>9.8987460490697696</v>
      </c>
      <c r="AI6773">
        <v>95.254366079705207</v>
      </c>
      <c r="AJ6773">
        <v>55.4145910753818</v>
      </c>
      <c r="AK6773">
        <v>12.0742701184022</v>
      </c>
      <c r="AL6773">
        <v>93.477827473236204</v>
      </c>
      <c r="AM6773">
        <v>71.545637669530905</v>
      </c>
      <c r="AN6773">
        <v>0.99999994757540001</v>
      </c>
    </row>
    <row r="6774" spans="1:40" x14ac:dyDescent="0.25">
      <c r="A6774" t="str">
        <f>"20190305135405611"</f>
        <v>20190305135405611</v>
      </c>
      <c r="B6774" t="str">
        <f>"1551765245606987"</f>
        <v>1551765245606987</v>
      </c>
      <c r="C6774" t="s">
        <v>40</v>
      </c>
      <c r="D6774">
        <v>5.2418610000000001</v>
      </c>
      <c r="E6774">
        <v>0.58629909999999996</v>
      </c>
      <c r="F6774" t="s">
        <v>42</v>
      </c>
      <c r="G6774">
        <v>-169.61500000000001</v>
      </c>
      <c r="H6774" s="1">
        <v>-1.900093E-6</v>
      </c>
      <c r="I6774">
        <v>132.97139999999999</v>
      </c>
      <c r="J6774">
        <v>-180.47669999999999</v>
      </c>
      <c r="K6774">
        <v>1.1060540000000001</v>
      </c>
      <c r="L6774">
        <v>132.31780000000001</v>
      </c>
      <c r="M6774">
        <v>0.82130499999999995</v>
      </c>
      <c r="N6774">
        <v>-4.277955E-2</v>
      </c>
      <c r="O6774">
        <v>0.56888309999999997</v>
      </c>
      <c r="P6774">
        <v>0.95531980000000005</v>
      </c>
      <c r="Q6774">
        <v>-9.6053180000000002E-2</v>
      </c>
      <c r="R6774">
        <v>0.2795319</v>
      </c>
      <c r="S6774">
        <v>3.060028</v>
      </c>
      <c r="T6774">
        <v>-0.30911470000000002</v>
      </c>
      <c r="U6774">
        <v>0.19358829999999999</v>
      </c>
      <c r="V6774">
        <v>0.3132509</v>
      </c>
      <c r="W6774">
        <v>-6.0537199999999902E-2</v>
      </c>
      <c r="X6774">
        <v>0.94773890000000005</v>
      </c>
      <c r="Y6774">
        <v>0.51212190000000002</v>
      </c>
      <c r="Z6774">
        <v>-6.5413869999999999E-2</v>
      </c>
      <c r="AA6774">
        <v>0.85641829999999997</v>
      </c>
      <c r="AB6774">
        <v>12</v>
      </c>
      <c r="AC6774">
        <v>10.8616999999999</v>
      </c>
      <c r="AD6774">
        <v>-1.1060559000929999</v>
      </c>
      <c r="AE6774">
        <v>0.65359999999998297</v>
      </c>
      <c r="AF6774">
        <v>5.5896498369550702</v>
      </c>
      <c r="AG6774">
        <v>-1.1060559000929999</v>
      </c>
      <c r="AH6774">
        <v>9.20598822292094</v>
      </c>
      <c r="AI6774">
        <v>95.863559405088097</v>
      </c>
      <c r="AJ6774">
        <v>58.734904795636901</v>
      </c>
      <c r="AK6774">
        <v>10.8267152966382</v>
      </c>
      <c r="AL6774">
        <v>93.470648284393704</v>
      </c>
      <c r="AM6774">
        <v>71.710015306591004</v>
      </c>
      <c r="AN6774">
        <v>0.999999950753928</v>
      </c>
    </row>
    <row r="6775" spans="1:40" x14ac:dyDescent="0.25">
      <c r="A6775" t="str">
        <f>"20190305135405626"</f>
        <v>20190305135405626</v>
      </c>
      <c r="B6775" t="str">
        <f>"1551765245616748"</f>
        <v>1551765245616748</v>
      </c>
      <c r="C6775" t="s">
        <v>40</v>
      </c>
      <c r="D6775">
        <v>5.2600239999999996</v>
      </c>
      <c r="E6775">
        <v>0.58576819999999996</v>
      </c>
      <c r="F6775" t="s">
        <v>42</v>
      </c>
      <c r="G6775">
        <v>-169.29810000000001</v>
      </c>
      <c r="H6775" s="1">
        <v>-2.024522E-6</v>
      </c>
      <c r="I6775">
        <v>132.96119999999999</v>
      </c>
      <c r="J6775">
        <v>-180.40539999999999</v>
      </c>
      <c r="K6775">
        <v>1.106708</v>
      </c>
      <c r="L6775">
        <v>132.34960000000001</v>
      </c>
      <c r="M6775">
        <v>0.82746640000000005</v>
      </c>
      <c r="N6775">
        <v>-4.2723329999999997E-2</v>
      </c>
      <c r="O6775">
        <v>0.55988760000000004</v>
      </c>
      <c r="P6775">
        <v>0.9561134</v>
      </c>
      <c r="Q6775">
        <v>-9.9276500000000004E-2</v>
      </c>
      <c r="R6775">
        <v>0.27566550000000001</v>
      </c>
      <c r="S6775">
        <v>3.058411</v>
      </c>
      <c r="T6775">
        <v>-0.30261290000000002</v>
      </c>
      <c r="U6775">
        <v>0.1760101</v>
      </c>
      <c r="V6775">
        <v>0.30661660000000002</v>
      </c>
      <c r="W6775">
        <v>-6.316803E-2</v>
      </c>
      <c r="X6775">
        <v>0.94973470000000004</v>
      </c>
      <c r="Y6775">
        <v>0.50784319999999905</v>
      </c>
      <c r="Z6775">
        <v>-6.3248260000000001E-2</v>
      </c>
      <c r="AA6775">
        <v>0.85912449999999996</v>
      </c>
      <c r="AB6775">
        <v>11</v>
      </c>
      <c r="AC6775">
        <v>11.107299999999899</v>
      </c>
      <c r="AD6775">
        <v>-1.1067100245219901</v>
      </c>
      <c r="AE6775">
        <v>0.61159999999998105</v>
      </c>
      <c r="AF6775">
        <v>5.6619413857034102</v>
      </c>
      <c r="AG6775">
        <v>-1.1067100245219901</v>
      </c>
      <c r="AH6775">
        <v>9.4485378662078201</v>
      </c>
      <c r="AI6775">
        <v>95.737371883588196</v>
      </c>
      <c r="AJ6775">
        <v>59.0682744200287</v>
      </c>
      <c r="AK6775">
        <v>11.070558032126501</v>
      </c>
      <c r="AL6775">
        <v>93.621672890037203</v>
      </c>
      <c r="AM6775">
        <v>72.107612882236793</v>
      </c>
      <c r="AN6775">
        <v>0.99999996989686502</v>
      </c>
    </row>
    <row r="6776" spans="1:40" x14ac:dyDescent="0.25">
      <c r="A6776" t="str">
        <f>"20190305135405648"</f>
        <v>20190305135405648</v>
      </c>
      <c r="B6776" t="str">
        <f>"1551765245637244"</f>
        <v>1551765245637244</v>
      </c>
      <c r="C6776" t="s">
        <v>40</v>
      </c>
      <c r="D6776">
        <v>5.2310400000000001</v>
      </c>
      <c r="E6776">
        <v>0.58453559999999904</v>
      </c>
      <c r="F6776" t="s">
        <v>42</v>
      </c>
      <c r="G6776">
        <v>-169.3937</v>
      </c>
      <c r="H6776" s="1">
        <v>-1.989761E-6</v>
      </c>
      <c r="I6776">
        <v>132.9539</v>
      </c>
      <c r="J6776">
        <v>-180.30680000000001</v>
      </c>
      <c r="K6776">
        <v>1.1080460000000001</v>
      </c>
      <c r="L6776">
        <v>132.392</v>
      </c>
      <c r="M6776">
        <v>0.83567000000000002</v>
      </c>
      <c r="N6776">
        <v>-4.2914340000000002E-2</v>
      </c>
      <c r="O6776">
        <v>0.54755279999999995</v>
      </c>
      <c r="P6776">
        <v>0.95755230000000002</v>
      </c>
      <c r="Q6776">
        <v>-0.10157040000000001</v>
      </c>
      <c r="R6776">
        <v>0.26977319999999999</v>
      </c>
      <c r="S6776">
        <v>3.057404</v>
      </c>
      <c r="T6776">
        <v>-0.30727840000000001</v>
      </c>
      <c r="U6776">
        <v>0.16777039999999999</v>
      </c>
      <c r="V6776">
        <v>0.29843059999999899</v>
      </c>
      <c r="W6776">
        <v>-6.4174149999999999E-2</v>
      </c>
      <c r="X6776">
        <v>0.95227139999999999</v>
      </c>
      <c r="Y6776">
        <v>0.49729410000000002</v>
      </c>
      <c r="Z6776">
        <v>-6.3243419999999995E-2</v>
      </c>
      <c r="AA6776">
        <v>0.86527379999999998</v>
      </c>
      <c r="AB6776">
        <v>11</v>
      </c>
      <c r="AC6776">
        <v>10.9131</v>
      </c>
      <c r="AD6776">
        <v>-1.1080479897609901</v>
      </c>
      <c r="AE6776">
        <v>0.56190000000000795</v>
      </c>
      <c r="AF6776">
        <v>5.4549256194482902</v>
      </c>
      <c r="AG6776">
        <v>-1.1080479897609901</v>
      </c>
      <c r="AH6776">
        <v>9.3400796385074099</v>
      </c>
      <c r="AI6776">
        <v>95.849090682254996</v>
      </c>
      <c r="AJ6776">
        <v>59.7136119632153</v>
      </c>
      <c r="AK6776">
        <v>10.872951370947399</v>
      </c>
      <c r="AL6776">
        <v>93.679436485733902</v>
      </c>
      <c r="AM6776">
        <v>72.599625666520495</v>
      </c>
      <c r="AN6776">
        <v>0.99999998190127104</v>
      </c>
    </row>
    <row r="6777" spans="1:40" x14ac:dyDescent="0.25">
      <c r="A6777" t="str">
        <f>"20190305135405664"</f>
        <v>20190305135405664</v>
      </c>
      <c r="B6777" t="str">
        <f>"1551765245656764"</f>
        <v>1551765245656764</v>
      </c>
      <c r="C6777" t="s">
        <v>40</v>
      </c>
      <c r="D6777">
        <v>5.2235719999999999</v>
      </c>
      <c r="E6777">
        <v>0.58079510000000001</v>
      </c>
      <c r="F6777" t="s">
        <v>42</v>
      </c>
      <c r="G6777">
        <v>-169.2456</v>
      </c>
      <c r="H6777" s="1">
        <v>-2.043015E-6</v>
      </c>
      <c r="I6777">
        <v>132.9675</v>
      </c>
      <c r="J6777">
        <v>-180.2355</v>
      </c>
      <c r="K6777">
        <v>1.1090340000000001</v>
      </c>
      <c r="L6777">
        <v>132.42189999999999</v>
      </c>
      <c r="M6777">
        <v>0.84152839999999995</v>
      </c>
      <c r="N6777">
        <v>-4.306335E-2</v>
      </c>
      <c r="O6777">
        <v>0.53849380000000002</v>
      </c>
      <c r="P6777">
        <v>0.95912220000000004</v>
      </c>
      <c r="Q6777">
        <v>-0.10157670000000001</v>
      </c>
      <c r="R6777">
        <v>0.264134599999999</v>
      </c>
      <c r="S6777">
        <v>3.0557400000000001</v>
      </c>
      <c r="T6777">
        <v>-0.30610609999999999</v>
      </c>
      <c r="U6777">
        <v>0.15898129999999999</v>
      </c>
      <c r="V6777">
        <v>0.29390690000000003</v>
      </c>
      <c r="W6777">
        <v>-6.3273010000000005E-2</v>
      </c>
      <c r="X6777">
        <v>0.95373750000000002</v>
      </c>
      <c r="Y6777">
        <v>0.49046279999999998</v>
      </c>
      <c r="Z6777">
        <v>-6.2157749999999998E-2</v>
      </c>
      <c r="AA6777">
        <v>0.86924249999999903</v>
      </c>
      <c r="AB6777">
        <v>10</v>
      </c>
      <c r="AC6777">
        <v>10.9899</v>
      </c>
      <c r="AD6777">
        <v>-1.1090360430149999</v>
      </c>
      <c r="AE6777">
        <v>0.54560000000000697</v>
      </c>
      <c r="AF6777">
        <v>5.4089758264271204</v>
      </c>
      <c r="AG6777">
        <v>-1.1090360430149999</v>
      </c>
      <c r="AH6777">
        <v>9.4549258465874502</v>
      </c>
      <c r="AI6777">
        <v>95.813472774390704</v>
      </c>
      <c r="AJ6777">
        <v>60.226981525722103</v>
      </c>
      <c r="AK6777">
        <v>10.949091432627901</v>
      </c>
      <c r="AL6777">
        <v>93.627699823509104</v>
      </c>
      <c r="AM6777">
        <v>72.872622081412302</v>
      </c>
      <c r="AN6777">
        <v>0.99999997928415896</v>
      </c>
    </row>
    <row r="6778" spans="1:40" x14ac:dyDescent="0.25">
      <c r="A6778" t="str">
        <f>"20190305135405680"</f>
        <v>20190305135405680</v>
      </c>
      <c r="B6778" t="str">
        <f>"1551765245666525"</f>
        <v>1551765245666525</v>
      </c>
      <c r="C6778" t="s">
        <v>40</v>
      </c>
      <c r="D6778">
        <v>5.2480099999999998</v>
      </c>
      <c r="E6778">
        <v>0.57928990000000002</v>
      </c>
      <c r="F6778" t="s">
        <v>42</v>
      </c>
      <c r="G6778">
        <v>-163.87960000000001</v>
      </c>
      <c r="H6778" s="1">
        <v>-3.9945609999999998E-6</v>
      </c>
      <c r="I6778">
        <v>133.3775</v>
      </c>
      <c r="J6778">
        <v>-180.17359999999999</v>
      </c>
      <c r="K6778">
        <v>1.1094949999999999</v>
      </c>
      <c r="L6778">
        <v>132.44730000000001</v>
      </c>
      <c r="M6778">
        <v>0.84661299999999995</v>
      </c>
      <c r="N6778">
        <v>-4.286765E-2</v>
      </c>
      <c r="O6778">
        <v>0.5304797</v>
      </c>
      <c r="P6778">
        <v>0.96049370000000001</v>
      </c>
      <c r="Q6778">
        <v>-9.9746290000000001E-2</v>
      </c>
      <c r="R6778">
        <v>0.25981300000000002</v>
      </c>
      <c r="S6778">
        <v>3.0567169999999999</v>
      </c>
      <c r="T6778">
        <v>-0.20726530000000001</v>
      </c>
      <c r="U6778">
        <v>0.1785736</v>
      </c>
      <c r="V6778">
        <v>0.28934559999999998</v>
      </c>
      <c r="W6778">
        <v>-6.1176630000000003E-2</v>
      </c>
      <c r="X6778">
        <v>0.9552678</v>
      </c>
      <c r="Y6778">
        <v>0.4788483</v>
      </c>
      <c r="Z6778">
        <v>-3.7028499999999999E-2</v>
      </c>
      <c r="AA6778">
        <v>0.87711640000000002</v>
      </c>
      <c r="AB6778">
        <v>10</v>
      </c>
      <c r="AC6778">
        <v>16.293999999999901</v>
      </c>
      <c r="AD6778">
        <v>-1.1094989945610001</v>
      </c>
      <c r="AE6778">
        <v>0.93019999999998404</v>
      </c>
      <c r="AF6778">
        <v>7.8271719700625697</v>
      </c>
      <c r="AG6778">
        <v>-1.1094989945610001</v>
      </c>
      <c r="AH6778">
        <v>14.235521539953901</v>
      </c>
      <c r="AI6778">
        <v>93.907004287572505</v>
      </c>
      <c r="AJ6778">
        <v>61.196514458692</v>
      </c>
      <c r="AK6778">
        <v>16.283294586242501</v>
      </c>
      <c r="AL6778">
        <v>93.507352740621698</v>
      </c>
      <c r="AM6778">
        <v>73.148714991060501</v>
      </c>
      <c r="AN6778">
        <v>1.00000001300717</v>
      </c>
    </row>
    <row r="6779" spans="1:40" x14ac:dyDescent="0.25">
      <c r="A6779" t="str">
        <f>"20190305135405695"</f>
        <v>20190305135405695</v>
      </c>
      <c r="B6779" t="str">
        <f>"1551765245687172"</f>
        <v>1551765245687172</v>
      </c>
      <c r="C6779" t="s">
        <v>40</v>
      </c>
      <c r="D6779">
        <v>5.2590680000000001</v>
      </c>
      <c r="E6779">
        <v>0.57738210000000001</v>
      </c>
      <c r="F6779" t="s">
        <v>42</v>
      </c>
      <c r="G6779">
        <v>-164.2098</v>
      </c>
      <c r="H6779" s="1">
        <v>-3.8713709999999997E-6</v>
      </c>
      <c r="I6779">
        <v>133.3638</v>
      </c>
      <c r="J6779">
        <v>-180.10890000000001</v>
      </c>
      <c r="K6779">
        <v>1.1095410000000001</v>
      </c>
      <c r="L6779">
        <v>132.47319999999999</v>
      </c>
      <c r="M6779">
        <v>0.85184509999999902</v>
      </c>
      <c r="N6779">
        <v>-4.226299E-2</v>
      </c>
      <c r="O6779">
        <v>0.52208599999999905</v>
      </c>
      <c r="P6779">
        <v>0.96093819999999996</v>
      </c>
      <c r="Q6779">
        <v>-9.5495819999999995E-2</v>
      </c>
      <c r="R6779">
        <v>0.25976639999999901</v>
      </c>
      <c r="S6779">
        <v>3.053925</v>
      </c>
      <c r="T6779">
        <v>-0.21224999999999999</v>
      </c>
      <c r="U6779">
        <v>0.17533869999999999</v>
      </c>
      <c r="V6779">
        <v>0.28023399999999998</v>
      </c>
      <c r="W6779">
        <v>-5.7186920000000002E-2</v>
      </c>
      <c r="X6779">
        <v>0.95822680000000005</v>
      </c>
      <c r="Y6779">
        <v>0.47096440000000001</v>
      </c>
      <c r="Z6779">
        <v>-3.794894E-2</v>
      </c>
      <c r="AA6779">
        <v>0.8813356</v>
      </c>
      <c r="AB6779">
        <v>10</v>
      </c>
      <c r="AC6779">
        <v>15.899100000000001</v>
      </c>
      <c r="AD6779">
        <v>-1.1095448713710001</v>
      </c>
      <c r="AE6779">
        <v>0.89060000000000605</v>
      </c>
      <c r="AF6779">
        <v>7.5123169985289397</v>
      </c>
      <c r="AG6779">
        <v>-1.1095448713710001</v>
      </c>
      <c r="AH6779">
        <v>13.953324983017501</v>
      </c>
      <c r="AI6779">
        <v>94.0050678867062</v>
      </c>
      <c r="AJ6779">
        <v>61.702465298867203</v>
      </c>
      <c r="AK6779">
        <v>15.8858828709541</v>
      </c>
      <c r="AL6779">
        <v>93.278357646992703</v>
      </c>
      <c r="AM6779">
        <v>73.698409511360097</v>
      </c>
      <c r="AN6779">
        <v>1.0000000194066601</v>
      </c>
    </row>
    <row r="6780" spans="1:40" x14ac:dyDescent="0.25">
      <c r="A6780" t="str">
        <f>"20190305135405717"</f>
        <v>20190305135405717</v>
      </c>
      <c r="B6780" t="str">
        <f>"1551765245706691"</f>
        <v>1551765245706691</v>
      </c>
      <c r="C6780" t="s">
        <v>40</v>
      </c>
      <c r="D6780">
        <v>5.2596339999999904</v>
      </c>
      <c r="E6780">
        <v>0.57533829999999997</v>
      </c>
      <c r="F6780" t="s">
        <v>42</v>
      </c>
      <c r="G6780">
        <v>-164.77340000000001</v>
      </c>
      <c r="H6780" s="1">
        <v>-3.6403979999999999E-6</v>
      </c>
      <c r="I6780">
        <v>133.41839999999999</v>
      </c>
      <c r="J6780">
        <v>-180.02520000000001</v>
      </c>
      <c r="K6780">
        <v>1.1091959999999901</v>
      </c>
      <c r="L6780">
        <v>132.5052</v>
      </c>
      <c r="M6780">
        <v>0.85846389999999995</v>
      </c>
      <c r="N6780">
        <v>-4.1005060000000003E-2</v>
      </c>
      <c r="O6780">
        <v>0.51123209999999997</v>
      </c>
      <c r="P6780">
        <v>0.96194120000000005</v>
      </c>
      <c r="Q6780">
        <v>-8.9107660000000005E-2</v>
      </c>
      <c r="R6780">
        <v>0.25831929999999997</v>
      </c>
      <c r="S6780">
        <v>3.04921</v>
      </c>
      <c r="T6780">
        <v>-0.22061539999999999</v>
      </c>
      <c r="U6780">
        <v>0.18794250000000001</v>
      </c>
      <c r="V6780">
        <v>0.26984360000000002</v>
      </c>
      <c r="W6780">
        <v>-5.1855940000000003E-2</v>
      </c>
      <c r="X6780">
        <v>0.96150679999999999</v>
      </c>
      <c r="Y6780">
        <v>0.4558817</v>
      </c>
      <c r="Z6780">
        <v>-3.9381720000000002E-2</v>
      </c>
      <c r="AA6780">
        <v>0.88916870000000003</v>
      </c>
      <c r="AB6780">
        <v>9</v>
      </c>
      <c r="AC6780">
        <v>15.251799999999999</v>
      </c>
      <c r="AD6780">
        <v>-1.10919964039799</v>
      </c>
      <c r="AE6780">
        <v>0.91319999999998902</v>
      </c>
      <c r="AF6780">
        <v>6.9823661321901698</v>
      </c>
      <c r="AG6780">
        <v>-1.10919964039799</v>
      </c>
      <c r="AH6780">
        <v>13.5002433006884</v>
      </c>
      <c r="AI6780">
        <v>94.173954736526994</v>
      </c>
      <c r="AJ6780">
        <v>62.651859765670899</v>
      </c>
      <c r="AK6780">
        <v>15.239433382642501</v>
      </c>
      <c r="AL6780">
        <v>92.972459796541997</v>
      </c>
      <c r="AM6780">
        <v>74.3234060128935</v>
      </c>
      <c r="AN6780">
        <v>0.99999996671024105</v>
      </c>
    </row>
    <row r="6781" spans="1:40" x14ac:dyDescent="0.25">
      <c r="A6781" t="str">
        <f>"20190305135405738"</f>
        <v>20190305135405738</v>
      </c>
      <c r="B6781" t="str">
        <f>"1551765245727187"</f>
        <v>1551765245727187</v>
      </c>
      <c r="C6781" t="s">
        <v>40</v>
      </c>
      <c r="D6781">
        <v>5.2651409999999998</v>
      </c>
      <c r="E6781">
        <v>0.57372250000000002</v>
      </c>
      <c r="F6781" t="s">
        <v>42</v>
      </c>
      <c r="G6781">
        <v>-164.8853</v>
      </c>
      <c r="H6781" s="1">
        <v>-3.5794829999999999E-6</v>
      </c>
      <c r="I6781">
        <v>133.48599999999999</v>
      </c>
      <c r="J6781">
        <v>-179.94069999999999</v>
      </c>
      <c r="K6781">
        <v>1.10887</v>
      </c>
      <c r="L6781">
        <v>132.536</v>
      </c>
      <c r="M6781">
        <v>0.8650601</v>
      </c>
      <c r="N6781">
        <v>-3.9528790000000001E-2</v>
      </c>
      <c r="O6781">
        <v>0.50010849999999996</v>
      </c>
      <c r="P6781">
        <v>0.96236370000000004</v>
      </c>
      <c r="Q6781">
        <v>-8.4332069999999995E-2</v>
      </c>
      <c r="R6781">
        <v>0.25834950000000001</v>
      </c>
      <c r="S6781">
        <v>3.0450590000000002</v>
      </c>
      <c r="T6781">
        <v>-0.22309039999999999</v>
      </c>
      <c r="U6781">
        <v>0.19725039999999999</v>
      </c>
      <c r="V6781">
        <v>0.25761849999999997</v>
      </c>
      <c r="W6781">
        <v>-4.8302079999999997E-2</v>
      </c>
      <c r="X6781">
        <v>0.96503870000000003</v>
      </c>
      <c r="Y6781">
        <v>0.44153949999999997</v>
      </c>
      <c r="Z6781">
        <v>-3.9449600000000001E-2</v>
      </c>
      <c r="AA6781">
        <v>0.89637420000000001</v>
      </c>
      <c r="AB6781">
        <v>9</v>
      </c>
      <c r="AC6781">
        <v>15.055399999999899</v>
      </c>
      <c r="AD6781">
        <v>-1.108873579483</v>
      </c>
      <c r="AE6781">
        <v>0.94999999999998797</v>
      </c>
      <c r="AF6781">
        <v>6.67669710827934</v>
      </c>
      <c r="AG6781">
        <v>-1.108873579483</v>
      </c>
      <c r="AH6781">
        <v>13.4368847759084</v>
      </c>
      <c r="AI6781">
        <v>94.226695406819204</v>
      </c>
      <c r="AJ6781">
        <v>63.577529456863701</v>
      </c>
      <c r="AK6781">
        <v>15.045190506338599</v>
      </c>
      <c r="AL6781">
        <v>92.7685824935038</v>
      </c>
      <c r="AM6781">
        <v>75.053349204269196</v>
      </c>
      <c r="AN6781">
        <v>1.00000003748613</v>
      </c>
    </row>
    <row r="6782" spans="1:40" x14ac:dyDescent="0.25">
      <c r="A6782" t="str">
        <f>"20190305135405760"</f>
        <v>20190305135405760</v>
      </c>
      <c r="B6782" t="str">
        <f>"1551765245756467"</f>
        <v>1551765245756467</v>
      </c>
      <c r="C6782" t="s">
        <v>40</v>
      </c>
      <c r="D6782">
        <v>5.2793659999999996</v>
      </c>
      <c r="E6782">
        <v>0.57199820000000001</v>
      </c>
      <c r="F6782" t="s">
        <v>42</v>
      </c>
      <c r="G6782">
        <v>-164.39920000000001</v>
      </c>
      <c r="H6782" s="1">
        <v>-3.7346830000000002E-6</v>
      </c>
      <c r="I6782">
        <v>133.60419999999999</v>
      </c>
      <c r="J6782">
        <v>-179.8546</v>
      </c>
      <c r="K6782">
        <v>1.108859</v>
      </c>
      <c r="L6782">
        <v>132.5659</v>
      </c>
      <c r="M6782">
        <v>0.87177499999999997</v>
      </c>
      <c r="N6782">
        <v>-3.8020600000000002E-2</v>
      </c>
      <c r="O6782">
        <v>0.4884289</v>
      </c>
      <c r="P6782">
        <v>0.9626787</v>
      </c>
      <c r="Q6782">
        <v>-8.340053E-2</v>
      </c>
      <c r="R6782">
        <v>0.25747629999999999</v>
      </c>
      <c r="S6782">
        <v>3.04216</v>
      </c>
      <c r="T6782">
        <v>-0.2170551</v>
      </c>
      <c r="U6782">
        <v>0.2091064</v>
      </c>
      <c r="V6782">
        <v>0.24555579999999999</v>
      </c>
      <c r="W6782">
        <v>-4.8488589999999998E-2</v>
      </c>
      <c r="X6782">
        <v>0.96816899999999995</v>
      </c>
      <c r="Y6782">
        <v>0.42601339999999999</v>
      </c>
      <c r="Z6782">
        <v>-3.7468399999999999E-2</v>
      </c>
      <c r="AA6782">
        <v>0.90394070000000004</v>
      </c>
      <c r="AB6782">
        <v>9</v>
      </c>
      <c r="AC6782">
        <v>15.4553999999999</v>
      </c>
      <c r="AD6782">
        <v>-1.108862734683</v>
      </c>
      <c r="AE6782">
        <v>1.03829999999999</v>
      </c>
      <c r="AF6782">
        <v>6.6146115464089803</v>
      </c>
      <c r="AG6782">
        <v>-1.108862734683</v>
      </c>
      <c r="AH6782">
        <v>13.9195542692116</v>
      </c>
      <c r="AI6782">
        <v>94.115421958440095</v>
      </c>
      <c r="AJ6782">
        <v>64.582800812619794</v>
      </c>
      <c r="AK6782">
        <v>15.4511052526278</v>
      </c>
      <c r="AL6782">
        <v>92.7792813599021</v>
      </c>
      <c r="AM6782">
        <v>75.768225231871199</v>
      </c>
      <c r="AN6782">
        <v>1.0000000034174099</v>
      </c>
    </row>
    <row r="6783" spans="1:40" x14ac:dyDescent="0.25">
      <c r="A6783" t="str">
        <f>"20190305135405775"</f>
        <v>20190305135405775</v>
      </c>
      <c r="B6783" t="str">
        <f>"1551765245767203"</f>
        <v>1551765245767203</v>
      </c>
      <c r="C6783" t="s">
        <v>40</v>
      </c>
      <c r="D6783">
        <v>5.2547949999999997</v>
      </c>
      <c r="E6783">
        <v>0.56258090000000005</v>
      </c>
      <c r="F6783" t="s">
        <v>42</v>
      </c>
      <c r="G6783">
        <v>-164.5829</v>
      </c>
      <c r="H6783" s="1">
        <v>-3.647317E-6</v>
      </c>
      <c r="I6783">
        <v>133.66739999999999</v>
      </c>
      <c r="J6783">
        <v>-179.79409999999999</v>
      </c>
      <c r="K6783">
        <v>1.10893</v>
      </c>
      <c r="L6783">
        <v>132.58629999999999</v>
      </c>
      <c r="M6783">
        <v>0.87646250000000003</v>
      </c>
      <c r="N6783">
        <v>-3.6895659999999997E-2</v>
      </c>
      <c r="O6783">
        <v>0.4800545</v>
      </c>
      <c r="P6783">
        <v>0.96356019999999998</v>
      </c>
      <c r="Q6783">
        <v>-8.3760890000000005E-2</v>
      </c>
      <c r="R6783">
        <v>0.25403920000000002</v>
      </c>
      <c r="S6783">
        <v>3.038605</v>
      </c>
      <c r="T6783">
        <v>-0.22063140000000001</v>
      </c>
      <c r="U6783">
        <v>0.2191467</v>
      </c>
      <c r="V6783">
        <v>0.23972479999999999</v>
      </c>
      <c r="W6783">
        <v>-4.9709969999999999E-2</v>
      </c>
      <c r="X6783">
        <v>0.96956739999999997</v>
      </c>
      <c r="Y6783">
        <v>0.41423100000000002</v>
      </c>
      <c r="Z6783">
        <v>-3.7807359999999998E-2</v>
      </c>
      <c r="AA6783">
        <v>0.90938620000000003</v>
      </c>
      <c r="AB6783">
        <v>9</v>
      </c>
      <c r="AC6783">
        <v>15.2111999999999</v>
      </c>
      <c r="AD6783">
        <v>-1.1089336473169999</v>
      </c>
      <c r="AE6783">
        <v>1.08109999999999</v>
      </c>
      <c r="AF6783">
        <v>6.3255408815834402</v>
      </c>
      <c r="AG6783">
        <v>-1.1089336473169999</v>
      </c>
      <c r="AH6783">
        <v>13.7875603204063</v>
      </c>
      <c r="AI6783">
        <v>94.181087571677296</v>
      </c>
      <c r="AJ6783">
        <v>65.355001268790005</v>
      </c>
      <c r="AK6783">
        <v>15.2098330322058</v>
      </c>
      <c r="AL6783">
        <v>92.849345791779797</v>
      </c>
      <c r="AM6783">
        <v>76.112188367624896</v>
      </c>
      <c r="AN6783">
        <v>1.0000000019976001</v>
      </c>
    </row>
    <row r="6784" spans="1:40" x14ac:dyDescent="0.25">
      <c r="A6784" t="str">
        <f>"20190305135405795"</f>
        <v>20190305135405795</v>
      </c>
      <c r="B6784" t="str">
        <f>"1551765245786723"</f>
        <v>1551765245786723</v>
      </c>
      <c r="C6784" t="s">
        <v>40</v>
      </c>
      <c r="D6784">
        <v>5.3116770000000004</v>
      </c>
      <c r="E6784">
        <v>0.56191569999999902</v>
      </c>
      <c r="F6784" t="s">
        <v>42</v>
      </c>
      <c r="G6784">
        <v>-168.1508</v>
      </c>
      <c r="H6784" s="1">
        <v>-2.281673E-6</v>
      </c>
      <c r="I6784">
        <v>133.6506</v>
      </c>
      <c r="J6784">
        <v>-179.72099999999901</v>
      </c>
      <c r="K6784">
        <v>1.1089659999999999</v>
      </c>
      <c r="L6784">
        <v>132.6104</v>
      </c>
      <c r="M6784">
        <v>0.88202320000000001</v>
      </c>
      <c r="N6784">
        <v>-3.538753E-2</v>
      </c>
      <c r="O6784">
        <v>0.4698754</v>
      </c>
      <c r="P6784">
        <v>0.96379530000000002</v>
      </c>
      <c r="Q6784">
        <v>-8.5546430000000007E-2</v>
      </c>
      <c r="R6784">
        <v>0.25254840000000001</v>
      </c>
      <c r="S6784">
        <v>3.0158079999999998</v>
      </c>
      <c r="T6784">
        <v>-0.28723029999999999</v>
      </c>
      <c r="U6784">
        <v>0.2756653</v>
      </c>
      <c r="V6784">
        <v>0.2299177</v>
      </c>
      <c r="W6784">
        <v>-5.2680459999999998E-2</v>
      </c>
      <c r="X6784">
        <v>0.97178319999999996</v>
      </c>
      <c r="Y6784">
        <v>0.38487149999999998</v>
      </c>
      <c r="Z6784">
        <v>-5.0845840000000003E-2</v>
      </c>
      <c r="AA6784">
        <v>0.92156859999999996</v>
      </c>
      <c r="AB6784">
        <v>9</v>
      </c>
      <c r="AC6784">
        <v>11.5701999999999</v>
      </c>
      <c r="AD6784">
        <v>-1.108968281673</v>
      </c>
      <c r="AE6784">
        <v>1.04019999999999</v>
      </c>
      <c r="AF6784">
        <v>4.48106795290097</v>
      </c>
      <c r="AG6784">
        <v>-1.108968281673</v>
      </c>
      <c r="AH6784">
        <v>10.604016719028801</v>
      </c>
      <c r="AI6784">
        <v>95.502430922916901</v>
      </c>
      <c r="AJ6784">
        <v>67.0919494620547</v>
      </c>
      <c r="AK6784">
        <v>11.565247564393699</v>
      </c>
      <c r="AL6784">
        <v>93.019765927787105</v>
      </c>
      <c r="AM6784">
        <v>76.688950730069905</v>
      </c>
      <c r="AN6784">
        <v>0.99999998372067</v>
      </c>
    </row>
    <row r="6785" spans="1:40" x14ac:dyDescent="0.25">
      <c r="A6785" t="str">
        <f>"20190305135405817"</f>
        <v>20190305135405817</v>
      </c>
      <c r="B6785" t="str">
        <f>"1551765245807219"</f>
        <v>1551765245807219</v>
      </c>
      <c r="C6785" t="s">
        <v>40</v>
      </c>
      <c r="D6785">
        <v>5.272405</v>
      </c>
      <c r="E6785">
        <v>0.56203649999999905</v>
      </c>
      <c r="F6785" t="s">
        <v>42</v>
      </c>
      <c r="G6785">
        <v>-168.32490000000001</v>
      </c>
      <c r="H6785" s="1">
        <v>-2.213829E-6</v>
      </c>
      <c r="I6785">
        <v>133.65430000000001</v>
      </c>
      <c r="J6785">
        <v>-179.63329999999999</v>
      </c>
      <c r="K6785">
        <v>1.1088549999999999</v>
      </c>
      <c r="L6785">
        <v>132.63839999999999</v>
      </c>
      <c r="M6785">
        <v>0.8884301</v>
      </c>
      <c r="N6785">
        <v>-3.337586E-2</v>
      </c>
      <c r="O6785">
        <v>0.45779710000000001</v>
      </c>
      <c r="P6785">
        <v>0.96508000000000005</v>
      </c>
      <c r="Q6785">
        <v>-8.3552080000000001E-2</v>
      </c>
      <c r="R6785">
        <v>0.24827370000000001</v>
      </c>
      <c r="S6785">
        <v>3.014313</v>
      </c>
      <c r="T6785">
        <v>-0.29332639999999999</v>
      </c>
      <c r="U6785">
        <v>0.27610780000000001</v>
      </c>
      <c r="V6785">
        <v>0.22104260000000001</v>
      </c>
      <c r="W6785">
        <v>-5.2435240000000001E-2</v>
      </c>
      <c r="X6785">
        <v>0.97385350000000004</v>
      </c>
      <c r="Y6785">
        <v>0.37197720000000001</v>
      </c>
      <c r="Z6785">
        <v>-5.1320850000000001E-2</v>
      </c>
      <c r="AA6785">
        <v>0.92682209999999998</v>
      </c>
      <c r="AB6785">
        <v>8</v>
      </c>
      <c r="AC6785">
        <v>11.308399999999899</v>
      </c>
      <c r="AD6785">
        <v>-1.1088572138289901</v>
      </c>
      <c r="AE6785">
        <v>1.01590000000001</v>
      </c>
      <c r="AF6785">
        <v>4.2363723446640602</v>
      </c>
      <c r="AG6785">
        <v>-1.1088572138289901</v>
      </c>
      <c r="AH6785">
        <v>10.418287994628001</v>
      </c>
      <c r="AI6785">
        <v>95.630837354623793</v>
      </c>
      <c r="AJ6785">
        <v>67.871941999162999</v>
      </c>
      <c r="AK6785">
        <v>11.3012008079808</v>
      </c>
      <c r="AL6785">
        <v>93.005696474759802</v>
      </c>
      <c r="AM6785">
        <v>77.211832453332505</v>
      </c>
      <c r="AN6785">
        <v>0.99999996243543299</v>
      </c>
    </row>
    <row r="6786" spans="1:40" x14ac:dyDescent="0.25">
      <c r="A6786" t="str">
        <f>"20190305135405838"</f>
        <v>20190305135405838</v>
      </c>
      <c r="B6786" t="str">
        <f>"1551765245826740"</f>
        <v>1551765245826740</v>
      </c>
      <c r="C6786" t="s">
        <v>40</v>
      </c>
      <c r="D6786">
        <v>5.2768309999999996</v>
      </c>
      <c r="E6786">
        <v>0.56122729999999998</v>
      </c>
      <c r="F6786" t="s">
        <v>42</v>
      </c>
      <c r="G6786">
        <v>-167.59829999999999</v>
      </c>
      <c r="H6786" s="1">
        <v>-2.4844549999999999E-6</v>
      </c>
      <c r="I6786">
        <v>133.6859</v>
      </c>
      <c r="J6786">
        <v>-179.55359999999999</v>
      </c>
      <c r="K6786">
        <v>1.108697</v>
      </c>
      <c r="L6786">
        <v>132.66290000000001</v>
      </c>
      <c r="M6786">
        <v>0.89396759999999997</v>
      </c>
      <c r="N6786">
        <v>-3.1506960000000001E-2</v>
      </c>
      <c r="O6786">
        <v>0.44702249999999999</v>
      </c>
      <c r="P6786">
        <v>0.96603170000000005</v>
      </c>
      <c r="Q6786">
        <v>-7.9450339999999994E-2</v>
      </c>
      <c r="R6786">
        <v>0.24590709999999999</v>
      </c>
      <c r="S6786">
        <v>3.016937</v>
      </c>
      <c r="T6786">
        <v>-0.27796880000000002</v>
      </c>
      <c r="U6786">
        <v>0.2625885</v>
      </c>
      <c r="V6786">
        <v>0.21181449999999999</v>
      </c>
      <c r="W6786">
        <v>-4.999323E-2</v>
      </c>
      <c r="X6786">
        <v>0.97603030000000002</v>
      </c>
      <c r="Y6786">
        <v>0.36528500000000003</v>
      </c>
      <c r="Z6786">
        <v>-4.7723410000000001E-2</v>
      </c>
      <c r="AA6786">
        <v>0.92967160000000004</v>
      </c>
      <c r="AB6786">
        <v>8</v>
      </c>
      <c r="AC6786">
        <v>11.9552999999999</v>
      </c>
      <c r="AD6786">
        <v>-1.108699484455</v>
      </c>
      <c r="AE6786">
        <v>1.0229999999999899</v>
      </c>
      <c r="AF6786">
        <v>4.3944416329851297</v>
      </c>
      <c r="AG6786">
        <v>-1.108699484455</v>
      </c>
      <c r="AH6786">
        <v>11.0560983142742</v>
      </c>
      <c r="AI6786">
        <v>95.323919911715507</v>
      </c>
      <c r="AJ6786">
        <v>68.323778802167993</v>
      </c>
      <c r="AK6786">
        <v>11.948959860483299</v>
      </c>
      <c r="AL6786">
        <v>92.865595816728998</v>
      </c>
      <c r="AM6786">
        <v>77.755743567607496</v>
      </c>
      <c r="AN6786">
        <v>0.99999992598708298</v>
      </c>
    </row>
    <row r="6787" spans="1:40" x14ac:dyDescent="0.25">
      <c r="A6787" t="str">
        <f>"20190305135405859"</f>
        <v>20190305135405859</v>
      </c>
      <c r="B6787" t="str">
        <f>"1551765245847236"</f>
        <v>1551765245847236</v>
      </c>
      <c r="C6787" t="s">
        <v>40</v>
      </c>
      <c r="D6787">
        <v>5.3130179999999996</v>
      </c>
      <c r="E6787">
        <v>0.561002</v>
      </c>
      <c r="F6787" t="s">
        <v>42</v>
      </c>
      <c r="G6787">
        <v>-167.15010000000001</v>
      </c>
      <c r="H6787" s="1">
        <v>-2.643269E-6</v>
      </c>
      <c r="I6787">
        <v>133.73580000000001</v>
      </c>
      <c r="J6787">
        <v>-179.4691</v>
      </c>
      <c r="K6787">
        <v>1.1085590000000001</v>
      </c>
      <c r="L6787">
        <v>132.68790000000001</v>
      </c>
      <c r="M6787">
        <v>0.89957830000000005</v>
      </c>
      <c r="N6787">
        <v>-2.957711E-2</v>
      </c>
      <c r="O6787">
        <v>0.43575700000000001</v>
      </c>
      <c r="P6787">
        <v>0.96715910000000005</v>
      </c>
      <c r="Q6787">
        <v>-7.4402170000000004E-2</v>
      </c>
      <c r="R6787">
        <v>0.24303810000000001</v>
      </c>
      <c r="S6787">
        <v>3.016861</v>
      </c>
      <c r="T6787">
        <v>-0.26966659999999998</v>
      </c>
      <c r="U6787">
        <v>0.26095580000000002</v>
      </c>
      <c r="V6787">
        <v>0.20263320000000001</v>
      </c>
      <c r="W6787">
        <v>-4.6679810000000002E-2</v>
      </c>
      <c r="X6787">
        <v>0.9781415</v>
      </c>
      <c r="Y6787">
        <v>0.35426429999999998</v>
      </c>
      <c r="Z6787">
        <v>-4.5385000000000002E-2</v>
      </c>
      <c r="AA6787">
        <v>0.93404330000000002</v>
      </c>
      <c r="AB6787">
        <v>8</v>
      </c>
      <c r="AC6787">
        <v>12.3189999999999</v>
      </c>
      <c r="AD6787">
        <v>-1.108561643269</v>
      </c>
      <c r="AE6787">
        <v>1.0478999999999901</v>
      </c>
      <c r="AF6787">
        <v>4.3920485820512001</v>
      </c>
      <c r="AG6787">
        <v>-1.108561643269</v>
      </c>
      <c r="AH6787">
        <v>11.4515183398966</v>
      </c>
      <c r="AI6787">
        <v>95.164646197229303</v>
      </c>
      <c r="AJ6787">
        <v>69.016474425372095</v>
      </c>
      <c r="AK6787">
        <v>12.314880103070999</v>
      </c>
      <c r="AL6787">
        <v>92.675528350198206</v>
      </c>
      <c r="AM6787">
        <v>78.296077703241494</v>
      </c>
      <c r="AN6787">
        <v>1.0000000062130601</v>
      </c>
    </row>
    <row r="6788" spans="1:40" x14ac:dyDescent="0.25">
      <c r="A6788" t="str">
        <f>"20190305135405884"</f>
        <v>20190305135405884</v>
      </c>
      <c r="B6788" t="str">
        <f>"1551765245876515"</f>
        <v>1551765245876515</v>
      </c>
      <c r="C6788" t="s">
        <v>40</v>
      </c>
      <c r="D6788">
        <v>5.2801369999999999</v>
      </c>
      <c r="E6788">
        <v>0.56071139999999997</v>
      </c>
      <c r="F6788" t="s">
        <v>42</v>
      </c>
      <c r="G6788">
        <v>-166.50370000000001</v>
      </c>
      <c r="H6788" s="1">
        <v>-2.8805179999999999E-6</v>
      </c>
      <c r="I6788">
        <v>133.77699999999999</v>
      </c>
      <c r="J6788">
        <v>-179.37459999999999</v>
      </c>
      <c r="K6788">
        <v>1.1084430000000001</v>
      </c>
      <c r="L6788">
        <v>132.715</v>
      </c>
      <c r="M6788">
        <v>0.90555980000000003</v>
      </c>
      <c r="N6788">
        <v>-2.7502889999999999E-2</v>
      </c>
      <c r="O6788">
        <v>0.42332629999999999</v>
      </c>
      <c r="P6788">
        <v>0.96889219999999998</v>
      </c>
      <c r="Q6788">
        <v>-6.9073040000000002E-2</v>
      </c>
      <c r="R6788">
        <v>0.23764930000000001</v>
      </c>
      <c r="S6788">
        <v>3.0183110000000002</v>
      </c>
      <c r="T6788">
        <v>-0.25807079999999999</v>
      </c>
      <c r="U6788">
        <v>0.25353999999999999</v>
      </c>
      <c r="V6788">
        <v>0.1947826</v>
      </c>
      <c r="W6788">
        <v>-4.3247590000000002E-2</v>
      </c>
      <c r="X6788">
        <v>0.9798926</v>
      </c>
      <c r="Y6788">
        <v>0.3439297</v>
      </c>
      <c r="Z6788">
        <v>-4.2468590000000001E-2</v>
      </c>
      <c r="AA6788">
        <v>0.93803449999999999</v>
      </c>
      <c r="AB6788">
        <v>8</v>
      </c>
      <c r="AC6788">
        <v>12.870899999999899</v>
      </c>
      <c r="AD6788">
        <v>-1.108445880518</v>
      </c>
      <c r="AE6788">
        <v>1.06200000000001</v>
      </c>
      <c r="AF6788">
        <v>4.45576002881905</v>
      </c>
      <c r="AG6788">
        <v>-1.108445880518</v>
      </c>
      <c r="AH6788">
        <v>12.020969069732701</v>
      </c>
      <c r="AI6788">
        <v>94.941555435020902</v>
      </c>
      <c r="AJ6788">
        <v>69.661988324623394</v>
      </c>
      <c r="AK6788">
        <v>12.868028096018801</v>
      </c>
      <c r="AL6788">
        <v>92.478677306035394</v>
      </c>
      <c r="AM6788">
        <v>78.757320994448094</v>
      </c>
      <c r="AN6788">
        <v>1.00000006141916</v>
      </c>
    </row>
    <row r="6789" spans="1:40" x14ac:dyDescent="0.25">
      <c r="A6789" t="str">
        <f>"20190305135405897"</f>
        <v>20190305135405897</v>
      </c>
      <c r="B6789" t="str">
        <f>"1551765245887251"</f>
        <v>1551765245887251</v>
      </c>
      <c r="C6789" t="s">
        <v>40</v>
      </c>
      <c r="D6789">
        <v>5.2828330000000001</v>
      </c>
      <c r="E6789">
        <v>0.56047860000000005</v>
      </c>
      <c r="F6789" t="s">
        <v>42</v>
      </c>
      <c r="G6789">
        <v>-165.7901</v>
      </c>
      <c r="H6789" s="1">
        <v>-3.1511289999999999E-6</v>
      </c>
      <c r="I6789">
        <v>133.78989999999999</v>
      </c>
      <c r="J6789">
        <v>-179.32320000000001</v>
      </c>
      <c r="K6789">
        <v>1.108398</v>
      </c>
      <c r="L6789">
        <v>132.72919999999999</v>
      </c>
      <c r="M6789">
        <v>0.90866740000000001</v>
      </c>
      <c r="N6789">
        <v>-2.6438150000000001E-2</v>
      </c>
      <c r="O6789">
        <v>0.41668309999999997</v>
      </c>
      <c r="P6789">
        <v>0.96989820000000004</v>
      </c>
      <c r="Q6789">
        <v>-6.7223710000000006E-2</v>
      </c>
      <c r="R6789">
        <v>0.23404829999999999</v>
      </c>
      <c r="S6789">
        <v>3.0201570000000002</v>
      </c>
      <c r="T6789">
        <v>-0.2464336</v>
      </c>
      <c r="U6789">
        <v>0.23898320000000001</v>
      </c>
      <c r="V6789">
        <v>0.19130220000000001</v>
      </c>
      <c r="W6789">
        <v>-4.2377829999999998E-2</v>
      </c>
      <c r="X6789">
        <v>0.98061589999999998</v>
      </c>
      <c r="Y6789">
        <v>0.34179939999999998</v>
      </c>
      <c r="Z6789">
        <v>-4.0083529999999999E-2</v>
      </c>
      <c r="AA6789">
        <v>0.93891769999999997</v>
      </c>
      <c r="AB6789">
        <v>8</v>
      </c>
      <c r="AC6789">
        <v>13.533099999999999</v>
      </c>
      <c r="AD6789">
        <v>-1.108401151129</v>
      </c>
      <c r="AE6789">
        <v>1.06069999999999</v>
      </c>
      <c r="AF6789">
        <v>4.6458502667131603</v>
      </c>
      <c r="AG6789">
        <v>-1.108401151129</v>
      </c>
      <c r="AH6789">
        <v>12.6591155041903</v>
      </c>
      <c r="AI6789">
        <v>94.698974498390498</v>
      </c>
      <c r="AJ6789">
        <v>69.847043179251898</v>
      </c>
      <c r="AK6789">
        <v>13.5301767601526</v>
      </c>
      <c r="AL6789">
        <v>92.428798200066296</v>
      </c>
      <c r="AM6789">
        <v>78.961169852032896</v>
      </c>
      <c r="AN6789">
        <v>0.99999997776657901</v>
      </c>
    </row>
    <row r="6790" spans="1:40" x14ac:dyDescent="0.25">
      <c r="A6790" t="str">
        <f>"20190305135405916"</f>
        <v>20190305135405916</v>
      </c>
      <c r="B6790" t="str">
        <f>"1551765245906771"</f>
        <v>1551765245906771</v>
      </c>
      <c r="C6790" t="s">
        <v>40</v>
      </c>
      <c r="D6790">
        <v>5.2964599999999997</v>
      </c>
      <c r="E6790">
        <v>0.56056300000000003</v>
      </c>
      <c r="F6790" t="s">
        <v>42</v>
      </c>
      <c r="G6790">
        <v>-165.56829999999999</v>
      </c>
      <c r="H6790" s="1">
        <v>-3.2406189999999998E-6</v>
      </c>
      <c r="I6790">
        <v>133.77369999999999</v>
      </c>
      <c r="J6790">
        <v>-179.25299999999999</v>
      </c>
      <c r="K6790">
        <v>1.1083590000000001</v>
      </c>
      <c r="L6790">
        <v>132.7482</v>
      </c>
      <c r="M6790">
        <v>0.91275010000000001</v>
      </c>
      <c r="N6790">
        <v>-2.5056800000000001E-2</v>
      </c>
      <c r="O6790">
        <v>0.40774929999999998</v>
      </c>
      <c r="P6790">
        <v>0.97066240000000004</v>
      </c>
      <c r="Q6790">
        <v>-6.6820909999999997E-2</v>
      </c>
      <c r="R6790">
        <v>0.23097570000000001</v>
      </c>
      <c r="S6790">
        <v>3.0208740000000001</v>
      </c>
      <c r="T6790">
        <v>-0.24342939999999999</v>
      </c>
      <c r="U6790">
        <v>0.22940060000000001</v>
      </c>
      <c r="V6790">
        <v>0.1847927</v>
      </c>
      <c r="W6790">
        <v>-4.3224060000000002E-2</v>
      </c>
      <c r="X6790">
        <v>0.98182650000000005</v>
      </c>
      <c r="Y6790">
        <v>0.33561619999999998</v>
      </c>
      <c r="Z6790">
        <v>-3.9124220000000001E-2</v>
      </c>
      <c r="AA6790">
        <v>0.94118599999999997</v>
      </c>
      <c r="AB6790">
        <v>8</v>
      </c>
      <c r="AC6790">
        <v>13.6846999999999</v>
      </c>
      <c r="AD6790">
        <v>-1.1083622406189999</v>
      </c>
      <c r="AE6790">
        <v>1.0254999999999901</v>
      </c>
      <c r="AF6790">
        <v>4.6152537062441699</v>
      </c>
      <c r="AG6790">
        <v>-1.1083622406189999</v>
      </c>
      <c r="AH6790">
        <v>12.8292243360223</v>
      </c>
      <c r="AI6790">
        <v>94.647537345181405</v>
      </c>
      <c r="AJ6790">
        <v>70.2140414645948</v>
      </c>
      <c r="AK6790">
        <v>13.679109279972</v>
      </c>
      <c r="AL6790">
        <v>92.477328104356999</v>
      </c>
      <c r="AM6790">
        <v>79.340874708565295</v>
      </c>
      <c r="AN6790">
        <v>0.99999996871921104</v>
      </c>
    </row>
    <row r="6791" spans="1:40" x14ac:dyDescent="0.25">
      <c r="A6791" t="str">
        <f>"20190305135405931"</f>
        <v>20190305135405931</v>
      </c>
      <c r="B6791" t="str">
        <f>"1551765245927267"</f>
        <v>1551765245927267</v>
      </c>
      <c r="C6791" t="s">
        <v>40</v>
      </c>
      <c r="D6791">
        <v>5.2833759999999996</v>
      </c>
      <c r="E6791">
        <v>0.56047499999999995</v>
      </c>
      <c r="F6791" t="s">
        <v>42</v>
      </c>
      <c r="G6791">
        <v>-165.49189999999999</v>
      </c>
      <c r="H6791" s="1">
        <v>-3.2771899999999999E-6</v>
      </c>
      <c r="I6791">
        <v>133.7465</v>
      </c>
      <c r="J6791">
        <v>-179.19649999999999</v>
      </c>
      <c r="K6791">
        <v>1.108358</v>
      </c>
      <c r="L6791">
        <v>132.76320000000001</v>
      </c>
      <c r="M6791">
        <v>0.91590859999999996</v>
      </c>
      <c r="N6791">
        <v>-2.4014859999999999E-2</v>
      </c>
      <c r="O6791">
        <v>0.40066790000000002</v>
      </c>
      <c r="P6791">
        <v>0.97177190000000002</v>
      </c>
      <c r="Q6791">
        <v>-6.7324560000000006E-2</v>
      </c>
      <c r="R6791">
        <v>0.2261127</v>
      </c>
      <c r="S6791">
        <v>3.0217589999999999</v>
      </c>
      <c r="T6791">
        <v>-0.24338219999999999</v>
      </c>
      <c r="U6791">
        <v>0.21920780000000001</v>
      </c>
      <c r="V6791">
        <v>0.1820833</v>
      </c>
      <c r="W6791">
        <v>-4.4689319999999998E-2</v>
      </c>
      <c r="X6791">
        <v>0.982267</v>
      </c>
      <c r="Y6791">
        <v>0.3315053</v>
      </c>
      <c r="Z6791">
        <v>-3.8817459999999998E-2</v>
      </c>
      <c r="AA6791">
        <v>0.9426544</v>
      </c>
      <c r="AB6791">
        <v>8</v>
      </c>
      <c r="AC6791">
        <v>13.704599999999999</v>
      </c>
      <c r="AD6791">
        <v>-1.10836127719</v>
      </c>
      <c r="AE6791">
        <v>0.98329999999998496</v>
      </c>
      <c r="AF6791">
        <v>4.5620181566082501</v>
      </c>
      <c r="AG6791">
        <v>-1.10836127719</v>
      </c>
      <c r="AH6791">
        <v>12.866148470575</v>
      </c>
      <c r="AI6791">
        <v>94.641815950221698</v>
      </c>
      <c r="AJ6791">
        <v>70.476751846033906</v>
      </c>
      <c r="AK6791">
        <v>13.695920956579601</v>
      </c>
      <c r="AL6791">
        <v>92.561362571809795</v>
      </c>
      <c r="AM6791">
        <v>79.498259024743803</v>
      </c>
      <c r="AN6791">
        <v>0.99999996137497504</v>
      </c>
    </row>
    <row r="6792" spans="1:40" x14ac:dyDescent="0.25">
      <c r="A6792" t="str">
        <f>"20190305135405944"</f>
        <v>20190305135405944</v>
      </c>
      <c r="B6792" t="str">
        <f>"1551765245937028"</f>
        <v>1551765245937028</v>
      </c>
      <c r="C6792" t="s">
        <v>40</v>
      </c>
      <c r="D6792">
        <v>5.2948320000000004</v>
      </c>
      <c r="E6792">
        <v>0.56047209999999903</v>
      </c>
      <c r="F6792" t="s">
        <v>42</v>
      </c>
      <c r="G6792">
        <v>-165.73679999999999</v>
      </c>
      <c r="H6792" s="1">
        <v>-3.2024649999999999E-6</v>
      </c>
      <c r="I6792">
        <v>133.67400000000001</v>
      </c>
      <c r="J6792">
        <v>-179.14109999999999</v>
      </c>
      <c r="K6792">
        <v>1.108366</v>
      </c>
      <c r="L6792">
        <v>132.77770000000001</v>
      </c>
      <c r="M6792">
        <v>0.91888879999999995</v>
      </c>
      <c r="N6792">
        <v>-2.3055889999999999E-2</v>
      </c>
      <c r="O6792">
        <v>0.39384229999999998</v>
      </c>
      <c r="P6792">
        <v>0.97211530000000002</v>
      </c>
      <c r="Q6792">
        <v>-6.7976529999999993E-2</v>
      </c>
      <c r="R6792">
        <v>0.2244352</v>
      </c>
      <c r="S6792">
        <v>3.0223080000000002</v>
      </c>
      <c r="T6792">
        <v>-0.24887680000000001</v>
      </c>
      <c r="U6792">
        <v>0.20451349999999999</v>
      </c>
      <c r="V6792">
        <v>0.17644939999999901</v>
      </c>
      <c r="W6792">
        <v>-4.6194079999999998E-2</v>
      </c>
      <c r="X6792">
        <v>0.98322520000000002</v>
      </c>
      <c r="Y6792">
        <v>0.32896809999999999</v>
      </c>
      <c r="Z6792">
        <v>-3.9581379999999999E-2</v>
      </c>
      <c r="AA6792">
        <v>0.94351110000000005</v>
      </c>
      <c r="AB6792">
        <v>8</v>
      </c>
      <c r="AC6792">
        <v>13.404299999999999</v>
      </c>
      <c r="AD6792">
        <v>-1.108369202465</v>
      </c>
      <c r="AE6792">
        <v>0.89629999999999599</v>
      </c>
      <c r="AF6792">
        <v>4.42663388855983</v>
      </c>
      <c r="AG6792">
        <v>-1.108369202465</v>
      </c>
      <c r="AH6792">
        <v>12.587748820762901</v>
      </c>
      <c r="AI6792">
        <v>94.748369208600096</v>
      </c>
      <c r="AJ6792">
        <v>70.625160398523604</v>
      </c>
      <c r="AK6792">
        <v>13.389361084343699</v>
      </c>
      <c r="AL6792">
        <v>92.647667929553705</v>
      </c>
      <c r="AM6792">
        <v>79.826008805723106</v>
      </c>
      <c r="AN6792">
        <v>1.00000003885122</v>
      </c>
    </row>
    <row r="6793" spans="1:40" x14ac:dyDescent="0.25">
      <c r="A6793" t="str">
        <f>"20190305135405956"</f>
        <v>20190305135405956</v>
      </c>
      <c r="B6793" t="str">
        <f>"1551765245946788"</f>
        <v>1551765245946788</v>
      </c>
      <c r="C6793" t="s">
        <v>40</v>
      </c>
      <c r="D6793">
        <v>5.2824220000000004</v>
      </c>
      <c r="E6793">
        <v>0.56038589999999999</v>
      </c>
      <c r="F6793" t="s">
        <v>42</v>
      </c>
      <c r="G6793">
        <v>-165.9179</v>
      </c>
      <c r="H6793" s="1">
        <v>-3.1391289999999999E-6</v>
      </c>
      <c r="I6793">
        <v>133.6507</v>
      </c>
      <c r="J6793">
        <v>-179.09630000000001</v>
      </c>
      <c r="K6793">
        <v>1.1083909999999999</v>
      </c>
      <c r="L6793">
        <v>132.78909999999999</v>
      </c>
      <c r="M6793">
        <v>0.92120239999999998</v>
      </c>
      <c r="N6793">
        <v>-2.2350700000000001E-2</v>
      </c>
      <c r="O6793">
        <v>0.38844119999999999</v>
      </c>
      <c r="P6793">
        <v>0.9730181</v>
      </c>
      <c r="Q6793">
        <v>-6.8726930000000006E-2</v>
      </c>
      <c r="R6793">
        <v>0.2202556</v>
      </c>
      <c r="S6793">
        <v>3.022278</v>
      </c>
      <c r="T6793">
        <v>-0.25332640000000001</v>
      </c>
      <c r="U6793">
        <v>0.1995239</v>
      </c>
      <c r="V6793">
        <v>0.17487839999999999</v>
      </c>
      <c r="W6793">
        <v>-4.7594350000000001E-2</v>
      </c>
      <c r="X6793">
        <v>0.98343899999999995</v>
      </c>
      <c r="Y6793">
        <v>0.3249088</v>
      </c>
      <c r="Z6793">
        <v>-4.0053320000000003E-2</v>
      </c>
      <c r="AA6793">
        <v>0.94489679999999998</v>
      </c>
      <c r="AB6793">
        <v>8</v>
      </c>
      <c r="AC6793">
        <v>13.1784</v>
      </c>
      <c r="AD6793">
        <v>-1.108394139129</v>
      </c>
      <c r="AE6793">
        <v>0.86160000000000903</v>
      </c>
      <c r="AF6793">
        <v>4.2961448964132698</v>
      </c>
      <c r="AG6793">
        <v>-1.108394139129</v>
      </c>
      <c r="AH6793">
        <v>12.3904949157491</v>
      </c>
      <c r="AI6793">
        <v>94.831093046942996</v>
      </c>
      <c r="AJ6793">
        <v>70.877081389639102</v>
      </c>
      <c r="AK6793">
        <v>13.160918007336701</v>
      </c>
      <c r="AL6793">
        <v>92.727986038063506</v>
      </c>
      <c r="AM6793">
        <v>79.916871919968997</v>
      </c>
      <c r="AN6793">
        <v>0.99999997182973999</v>
      </c>
    </row>
    <row r="6794" spans="1:40" x14ac:dyDescent="0.25">
      <c r="A6794" t="str">
        <f>"20190305135405972"</f>
        <v>20190305135405972</v>
      </c>
      <c r="B6794" t="str">
        <f>"1551765245967283"</f>
        <v>1551765245967283</v>
      </c>
      <c r="C6794" t="s">
        <v>40</v>
      </c>
      <c r="D6794">
        <v>5.3247049999999998</v>
      </c>
      <c r="E6794">
        <v>0.56031999999999904</v>
      </c>
      <c r="F6794" t="s">
        <v>42</v>
      </c>
      <c r="G6794">
        <v>-166.0849</v>
      </c>
      <c r="H6794" s="1">
        <v>-3.089708E-6</v>
      </c>
      <c r="I6794">
        <v>133.59540000000001</v>
      </c>
      <c r="J6794">
        <v>-179.03620000000001</v>
      </c>
      <c r="K6794">
        <v>1.10842</v>
      </c>
      <c r="L6794">
        <v>132.80430000000001</v>
      </c>
      <c r="M6794">
        <v>0.92421129999999996</v>
      </c>
      <c r="N6794">
        <v>-2.1447299999999999E-2</v>
      </c>
      <c r="O6794">
        <v>0.38127909999999998</v>
      </c>
      <c r="P6794">
        <v>0.97389009999999998</v>
      </c>
      <c r="Q6794">
        <v>-6.9679770000000002E-2</v>
      </c>
      <c r="R6794">
        <v>0.21606239999999999</v>
      </c>
      <c r="S6794">
        <v>3.0225979999999999</v>
      </c>
      <c r="T6794">
        <v>-0.25748409999999999</v>
      </c>
      <c r="U6794">
        <v>0.18728639999999999</v>
      </c>
      <c r="V6794">
        <v>0.17145360000000001</v>
      </c>
      <c r="W6794">
        <v>-4.9367139999999997E-2</v>
      </c>
      <c r="X6794">
        <v>0.98395449999999995</v>
      </c>
      <c r="Y6794">
        <v>0.32132260000000001</v>
      </c>
      <c r="Z6794">
        <v>-4.0420079999999997E-2</v>
      </c>
      <c r="AA6794">
        <v>0.94610669999999997</v>
      </c>
      <c r="AB6794">
        <v>8</v>
      </c>
      <c r="AC6794">
        <v>12.9513</v>
      </c>
      <c r="AD6794">
        <v>-1.1084230897080001</v>
      </c>
      <c r="AE6794">
        <v>0.79110000000000003</v>
      </c>
      <c r="AF6794">
        <v>4.1773997081391601</v>
      </c>
      <c r="AG6794">
        <v>-1.1084230897080001</v>
      </c>
      <c r="AH6794">
        <v>12.185268830750299</v>
      </c>
      <c r="AI6794">
        <v>94.918077797220107</v>
      </c>
      <c r="AJ6794">
        <v>71.077066978550107</v>
      </c>
      <c r="AK6794">
        <v>12.9290388871337</v>
      </c>
      <c r="AL6794">
        <v>92.829679066654094</v>
      </c>
      <c r="AM6794">
        <v>80.115481377484002</v>
      </c>
      <c r="AN6794">
        <v>0.99999995476749304</v>
      </c>
    </row>
    <row r="6795" spans="1:40" x14ac:dyDescent="0.25">
      <c r="A6795" t="str">
        <f>"20190305135405995"</f>
        <v>20190305135405995</v>
      </c>
      <c r="B6795" t="str">
        <f>"1551765245986803"</f>
        <v>1551765245986803</v>
      </c>
      <c r="C6795" t="s">
        <v>40</v>
      </c>
      <c r="D6795">
        <v>5.3256009999999998</v>
      </c>
      <c r="E6795">
        <v>0.56026109999999996</v>
      </c>
      <c r="F6795" t="s">
        <v>42</v>
      </c>
      <c r="G6795">
        <v>-166.26410000000001</v>
      </c>
      <c r="H6795" s="1">
        <v>-3.0348999999999999E-6</v>
      </c>
      <c r="I6795">
        <v>133.5427</v>
      </c>
      <c r="J6795">
        <v>-178.94649999999999</v>
      </c>
      <c r="K6795">
        <v>1.1084830000000001</v>
      </c>
      <c r="L6795">
        <v>132.82650000000001</v>
      </c>
      <c r="M6795">
        <v>0.92847550000000001</v>
      </c>
      <c r="N6795">
        <v>-2.0225170000000001E-2</v>
      </c>
      <c r="O6795">
        <v>0.37084250000000002</v>
      </c>
      <c r="P6795">
        <v>0.97562959999999999</v>
      </c>
      <c r="Q6795">
        <v>-6.8740389999999998E-2</v>
      </c>
      <c r="R6795">
        <v>0.20837839999999999</v>
      </c>
      <c r="S6795">
        <v>3.0228730000000001</v>
      </c>
      <c r="T6795">
        <v>-0.26233830000000002</v>
      </c>
      <c r="U6795">
        <v>0.17475889999999999</v>
      </c>
      <c r="V6795">
        <v>0.1681581</v>
      </c>
      <c r="W6795">
        <v>-4.9546760000000002E-2</v>
      </c>
      <c r="X6795">
        <v>0.98451409999999995</v>
      </c>
      <c r="Y6795">
        <v>0.3145037</v>
      </c>
      <c r="Z6795">
        <v>-4.057471E-2</v>
      </c>
      <c r="AA6795">
        <v>0.94838869999999997</v>
      </c>
      <c r="AB6795">
        <v>8</v>
      </c>
      <c r="AC6795">
        <v>12.6823999999999</v>
      </c>
      <c r="AD6795">
        <v>-1.1084860349000001</v>
      </c>
      <c r="AE6795">
        <v>0.71619999999998596</v>
      </c>
      <c r="AF6795">
        <v>4.0084999396705001</v>
      </c>
      <c r="AG6795">
        <v>-1.1084860349000001</v>
      </c>
      <c r="AH6795">
        <v>11.952340625794299</v>
      </c>
      <c r="AI6795">
        <v>95.025035753470505</v>
      </c>
      <c r="AJ6795">
        <v>71.459904972856904</v>
      </c>
      <c r="AK6795">
        <v>12.655246322807001</v>
      </c>
      <c r="AL6795">
        <v>92.839982957597499</v>
      </c>
      <c r="AM6795">
        <v>80.307236598954702</v>
      </c>
      <c r="AN6795">
        <v>1.00000002056045</v>
      </c>
    </row>
    <row r="6796" spans="1:40" x14ac:dyDescent="0.25">
      <c r="A6796" t="str">
        <f>"20190305135406018"</f>
        <v>20190305135406018</v>
      </c>
      <c r="B6796" t="str">
        <f>"1551765246007299"</f>
        <v>1551765246007299</v>
      </c>
      <c r="C6796" t="s">
        <v>40</v>
      </c>
      <c r="D6796">
        <v>5.1589099999999997</v>
      </c>
      <c r="E6796">
        <v>0.56796259999999998</v>
      </c>
      <c r="F6796" t="s">
        <v>42</v>
      </c>
      <c r="G6796">
        <v>-165.9469</v>
      </c>
      <c r="H6796" s="1">
        <v>-3.1743389999999998E-6</v>
      </c>
      <c r="I6796">
        <v>133.47649999999999</v>
      </c>
      <c r="J6796">
        <v>-178.8603</v>
      </c>
      <c r="K6796">
        <v>1.108527</v>
      </c>
      <c r="L6796">
        <v>132.84729999999999</v>
      </c>
      <c r="M6796">
        <v>0.93233820000000001</v>
      </c>
      <c r="N6796">
        <v>-1.9182379999999999E-2</v>
      </c>
      <c r="O6796">
        <v>0.36107820000000002</v>
      </c>
      <c r="P6796">
        <v>0.97762830000000001</v>
      </c>
      <c r="Q6796">
        <v>-6.6845730000000006E-2</v>
      </c>
      <c r="R6796">
        <v>0.199436</v>
      </c>
      <c r="S6796">
        <v>3.0244749999999998</v>
      </c>
      <c r="T6796">
        <v>-0.25789830000000002</v>
      </c>
      <c r="U6796">
        <v>0.1512146</v>
      </c>
      <c r="V6796">
        <v>0.1668984</v>
      </c>
      <c r="W6796">
        <v>-4.8623779999999998E-2</v>
      </c>
      <c r="X6796">
        <v>0.98477440000000005</v>
      </c>
      <c r="Y6796">
        <v>0.31202390000000002</v>
      </c>
      <c r="Z6796">
        <v>-3.9331430000000001E-2</v>
      </c>
      <c r="AA6796">
        <v>0.94925979999999999</v>
      </c>
      <c r="AB6796">
        <v>8</v>
      </c>
      <c r="AC6796">
        <v>12.9133999999999</v>
      </c>
      <c r="AD6796">
        <v>-1.1085301743389999</v>
      </c>
      <c r="AE6796">
        <v>0.62919999999999698</v>
      </c>
      <c r="AF6796">
        <v>4.0471173408742702</v>
      </c>
      <c r="AG6796">
        <v>-1.1085301743389999</v>
      </c>
      <c r="AH6796">
        <v>12.1795645993958</v>
      </c>
      <c r="AI6796">
        <v>94.936501125767194</v>
      </c>
      <c r="AJ6796">
        <v>71.618996599505607</v>
      </c>
      <c r="AK6796">
        <v>12.8821501213533</v>
      </c>
      <c r="AL6796">
        <v>92.787036379493898</v>
      </c>
      <c r="AM6796">
        <v>80.380980025745302</v>
      </c>
      <c r="AN6796">
        <v>0.99999998339970397</v>
      </c>
    </row>
    <row r="6797" spans="1:40" x14ac:dyDescent="0.25">
      <c r="A6797" t="str">
        <f>"20190305135406040"</f>
        <v>20190305135406040</v>
      </c>
      <c r="B6797" t="str">
        <f>"1551765246036579"</f>
        <v>1551765246036579</v>
      </c>
      <c r="C6797" t="s">
        <v>40</v>
      </c>
      <c r="D6797">
        <v>5.1389490000000002</v>
      </c>
      <c r="E6797">
        <v>0.56698649999999995</v>
      </c>
      <c r="F6797" t="s">
        <v>42</v>
      </c>
      <c r="G6797">
        <v>-150.61619999999999</v>
      </c>
      <c r="H6797" s="1">
        <v>-5.0901749999999999E-6</v>
      </c>
      <c r="I6797">
        <v>133.51499999999999</v>
      </c>
      <c r="J6797">
        <v>-178.77549999999999</v>
      </c>
      <c r="K6797">
        <v>1.1085469999999999</v>
      </c>
      <c r="L6797">
        <v>132.8672</v>
      </c>
      <c r="M6797">
        <v>0.93591480000000005</v>
      </c>
      <c r="N6797">
        <v>-1.8279630000000002E-2</v>
      </c>
      <c r="O6797">
        <v>0.35175190000000001</v>
      </c>
      <c r="P6797">
        <v>0.97991309999999998</v>
      </c>
      <c r="Q6797">
        <v>-6.7013870000000003E-2</v>
      </c>
      <c r="R6797">
        <v>0.18782789999999999</v>
      </c>
      <c r="S6797">
        <v>3.0457920000000001</v>
      </c>
      <c r="T6797">
        <v>-0.119542</v>
      </c>
      <c r="U6797">
        <v>7.2006230000000004E-2</v>
      </c>
      <c r="V6797">
        <v>0.16873829999999901</v>
      </c>
      <c r="W6797">
        <v>-4.9661329999999997E-2</v>
      </c>
      <c r="X6797">
        <v>0.98440899999999998</v>
      </c>
      <c r="Y6797">
        <v>0.32915359999999899</v>
      </c>
      <c r="Z6797">
        <v>-1.648196E-2</v>
      </c>
      <c r="AA6797">
        <v>0.94413250000000004</v>
      </c>
      <c r="AB6797">
        <v>8</v>
      </c>
      <c r="AC6797">
        <v>28.159300000000002</v>
      </c>
      <c r="AD6797">
        <v>-1.1085520901749999</v>
      </c>
      <c r="AE6797">
        <v>0.64779999999998905</v>
      </c>
      <c r="AF6797">
        <v>9.2859718185989095</v>
      </c>
      <c r="AG6797">
        <v>-1.1085520901749999</v>
      </c>
      <c r="AH6797">
        <v>26.545893692705501</v>
      </c>
      <c r="AI6797">
        <v>92.257300605650798</v>
      </c>
      <c r="AJ6797">
        <v>70.719743399235497</v>
      </c>
      <c r="AK6797">
        <v>28.145028553846998</v>
      </c>
      <c r="AL6797">
        <v>92.846555568694399</v>
      </c>
      <c r="AM6797">
        <v>80.273412544931702</v>
      </c>
      <c r="AN6797">
        <v>0.999999970432629</v>
      </c>
    </row>
    <row r="6798" spans="1:40" x14ac:dyDescent="0.25">
      <c r="A6798" t="str">
        <f>"20190305135406062"</f>
        <v>20190305135406062</v>
      </c>
      <c r="B6798" t="str">
        <f>"1551765246057075"</f>
        <v>1551765246057075</v>
      </c>
      <c r="C6798" t="s">
        <v>40</v>
      </c>
      <c r="D6798">
        <v>5.1083160000000003</v>
      </c>
      <c r="E6798">
        <v>0.56607299999999905</v>
      </c>
      <c r="F6798" t="s">
        <v>42</v>
      </c>
      <c r="G6798">
        <v>-153.00790000000001</v>
      </c>
      <c r="H6798" s="1">
        <v>-4.1147599999999997E-6</v>
      </c>
      <c r="I6798">
        <v>133.2296</v>
      </c>
      <c r="J6798">
        <v>-178.68700000000001</v>
      </c>
      <c r="K6798">
        <v>1.108563</v>
      </c>
      <c r="L6798">
        <v>132.88759999999999</v>
      </c>
      <c r="M6798">
        <v>0.93943679999999996</v>
      </c>
      <c r="N6798">
        <v>-1.7452349999999998E-2</v>
      </c>
      <c r="O6798">
        <v>0.34227770000000002</v>
      </c>
      <c r="P6798">
        <v>0.98194700000000001</v>
      </c>
      <c r="Q6798">
        <v>-6.9346850000000002E-2</v>
      </c>
      <c r="R6798">
        <v>0.1759868</v>
      </c>
      <c r="S6798">
        <v>3.0443419999999999</v>
      </c>
      <c r="T6798">
        <v>-0.13097059999999999</v>
      </c>
      <c r="U6798">
        <v>4.2816159999999999E-2</v>
      </c>
      <c r="V6798">
        <v>0.1706075</v>
      </c>
      <c r="W6798">
        <v>-5.2795969999999998E-2</v>
      </c>
      <c r="X6798">
        <v>0.98392360000000001</v>
      </c>
      <c r="Y6798">
        <v>0.32855810000000002</v>
      </c>
      <c r="Z6798">
        <v>-1.8343870000000002E-2</v>
      </c>
      <c r="AA6798">
        <v>0.94430559999999997</v>
      </c>
      <c r="AB6798">
        <v>8</v>
      </c>
      <c r="AC6798">
        <v>25.679099999999998</v>
      </c>
      <c r="AD6798">
        <v>-1.10856711476</v>
      </c>
      <c r="AE6798">
        <v>0.34200000000001202</v>
      </c>
      <c r="AF6798">
        <v>8.4536335348993905</v>
      </c>
      <c r="AG6798">
        <v>-1.10856711476</v>
      </c>
      <c r="AH6798">
        <v>24.199550230583</v>
      </c>
      <c r="AI6798">
        <v>92.4763057058519</v>
      </c>
      <c r="AJ6798">
        <v>70.744149921698394</v>
      </c>
      <c r="AK6798">
        <v>25.657573391745601</v>
      </c>
      <c r="AL6798">
        <v>93.026393361052996</v>
      </c>
      <c r="AM6798">
        <v>80.163002080532806</v>
      </c>
      <c r="AN6798">
        <v>0.99999999207072499</v>
      </c>
    </row>
    <row r="6799" spans="1:40" x14ac:dyDescent="0.25">
      <c r="A6799" t="str">
        <f>"20190305135406084"</f>
        <v>20190305135406084</v>
      </c>
      <c r="B6799" t="str">
        <f>"1551765246076595"</f>
        <v>1551765246076595</v>
      </c>
      <c r="C6799" t="s">
        <v>40</v>
      </c>
      <c r="D6799">
        <v>5.1589729999999996</v>
      </c>
      <c r="E6799">
        <v>0.56513919999999995</v>
      </c>
      <c r="F6799" t="s">
        <v>42</v>
      </c>
      <c r="G6799">
        <v>-154.38299999999899</v>
      </c>
      <c r="H6799" s="1">
        <v>-3.6597409999999999E-6</v>
      </c>
      <c r="I6799">
        <v>132.9932</v>
      </c>
      <c r="J6799">
        <v>-178.60130000000001</v>
      </c>
      <c r="K6799">
        <v>1.1085929999999999</v>
      </c>
      <c r="L6799">
        <v>132.9068</v>
      </c>
      <c r="M6799">
        <v>0.94264250000000005</v>
      </c>
      <c r="N6799">
        <v>-1.6753339999999999E-2</v>
      </c>
      <c r="O6799">
        <v>0.3333834</v>
      </c>
      <c r="P6799">
        <v>0.98305339999999997</v>
      </c>
      <c r="Q6799">
        <v>-7.1369160000000001E-2</v>
      </c>
      <c r="R6799">
        <v>0.1688567</v>
      </c>
      <c r="S6799">
        <v>3.0429689999999998</v>
      </c>
      <c r="T6799">
        <v>-0.13879759999999999</v>
      </c>
      <c r="U6799">
        <v>1.3229370000000001E-2</v>
      </c>
      <c r="V6799">
        <v>0.1683954</v>
      </c>
      <c r="W6799">
        <v>-5.5470249999999999E-2</v>
      </c>
      <c r="X6799">
        <v>0.98415750000000002</v>
      </c>
      <c r="Y6799">
        <v>0.32873639999999998</v>
      </c>
      <c r="Z6799">
        <v>-1.9553959999999999E-2</v>
      </c>
      <c r="AA6799">
        <v>0.94421929999999998</v>
      </c>
      <c r="AB6799">
        <v>8</v>
      </c>
      <c r="AC6799">
        <v>24.218299999999999</v>
      </c>
      <c r="AD6799">
        <v>-1.108596659741</v>
      </c>
      <c r="AE6799">
        <v>8.6399999999997507E-2</v>
      </c>
      <c r="AF6799">
        <v>7.9769421780690104</v>
      </c>
      <c r="AG6799">
        <v>-1.108596659741</v>
      </c>
      <c r="AH6799">
        <v>22.813409305347101</v>
      </c>
      <c r="AI6799">
        <v>92.626361451410602</v>
      </c>
      <c r="AJ6799">
        <v>70.727297979508194</v>
      </c>
      <c r="AK6799">
        <v>24.193227093538901</v>
      </c>
      <c r="AL6799">
        <v>93.179843428712303</v>
      </c>
      <c r="AM6799">
        <v>80.290368452551505</v>
      </c>
      <c r="AN6799">
        <v>0.99999997209123503</v>
      </c>
    </row>
    <row r="6800" spans="1:40" x14ac:dyDescent="0.25">
      <c r="A6800" t="str">
        <f>"20190305135406106"</f>
        <v>20190305135406106</v>
      </c>
      <c r="B6800" t="str">
        <f>"1551765246097092"</f>
        <v>1551765246097092</v>
      </c>
      <c r="C6800" t="s">
        <v>40</v>
      </c>
      <c r="D6800">
        <v>6.1270810000000004</v>
      </c>
      <c r="E6800">
        <v>0.56463430000000003</v>
      </c>
      <c r="F6800" t="s">
        <v>42</v>
      </c>
      <c r="G6800">
        <v>-155.524</v>
      </c>
      <c r="H6800" s="1">
        <v>-3.2973519999999999E-6</v>
      </c>
      <c r="I6800">
        <v>132.89590000000001</v>
      </c>
      <c r="J6800">
        <v>-178.51740000000001</v>
      </c>
      <c r="K6800">
        <v>1.108644</v>
      </c>
      <c r="L6800">
        <v>132.92509999999999</v>
      </c>
      <c r="M6800">
        <v>0.94560239999999995</v>
      </c>
      <c r="N6800">
        <v>-1.615494E-2</v>
      </c>
      <c r="O6800">
        <v>0.32492330000000003</v>
      </c>
      <c r="P6800">
        <v>0.98369810000000002</v>
      </c>
      <c r="Q6800">
        <v>-7.0378460000000004E-2</v>
      </c>
      <c r="R6800">
        <v>0.1654851</v>
      </c>
      <c r="S6800">
        <v>3.0413670000000002</v>
      </c>
      <c r="T6800">
        <v>-0.14610239999999999</v>
      </c>
      <c r="U6800">
        <v>-1.4343260000000001E-3</v>
      </c>
      <c r="V6800">
        <v>0.16298289999999999</v>
      </c>
      <c r="W6800">
        <v>-5.5012320000000003E-2</v>
      </c>
      <c r="X6800">
        <v>0.98509400000000003</v>
      </c>
      <c r="Y6800">
        <v>0.32475999999999999</v>
      </c>
      <c r="Z6800">
        <v>-2.0483299999999999E-2</v>
      </c>
      <c r="AA6800">
        <v>0.94557460000000004</v>
      </c>
      <c r="AB6800">
        <v>8</v>
      </c>
      <c r="AC6800">
        <v>22.993400000000001</v>
      </c>
      <c r="AD6800">
        <v>-1.1086472973520001</v>
      </c>
      <c r="AE6800">
        <v>-2.91999999999745E-2</v>
      </c>
      <c r="AF6800">
        <v>7.4822869967116299</v>
      </c>
      <c r="AG6800">
        <v>-1.1086472973520001</v>
      </c>
      <c r="AH6800">
        <v>21.685548769996199</v>
      </c>
      <c r="AI6800">
        <v>92.766834505034595</v>
      </c>
      <c r="AJ6800">
        <v>70.963741319770406</v>
      </c>
      <c r="AK6800">
        <v>22.966861844557101</v>
      </c>
      <c r="AL6800">
        <v>93.153565805908599</v>
      </c>
      <c r="AM6800">
        <v>80.605568041388594</v>
      </c>
      <c r="AN6800">
        <v>0.99999998494009601</v>
      </c>
    </row>
    <row r="6801" spans="1:40" x14ac:dyDescent="0.25">
      <c r="A6801" t="str">
        <f>"20190305135406129"</f>
        <v>20190305135406129</v>
      </c>
      <c r="B6801" t="str">
        <f>"1551765246116612"</f>
        <v>1551765246116612</v>
      </c>
      <c r="C6801" t="s">
        <v>40</v>
      </c>
      <c r="D6801">
        <v>5.1240430000000003</v>
      </c>
      <c r="E6801">
        <v>0.56337530000000002</v>
      </c>
      <c r="F6801" t="s">
        <v>42</v>
      </c>
      <c r="G6801">
        <v>-153.6823</v>
      </c>
      <c r="H6801" s="1">
        <v>-3.9317769999999998E-6</v>
      </c>
      <c r="I6801">
        <v>132.86699999999999</v>
      </c>
      <c r="J6801">
        <v>-178.43010000000001</v>
      </c>
      <c r="K6801">
        <v>1.1086940000000001</v>
      </c>
      <c r="L6801">
        <v>132.94370000000001</v>
      </c>
      <c r="M6801">
        <v>0.94850659999999998</v>
      </c>
      <c r="N6801">
        <v>-1.5614589999999999E-2</v>
      </c>
      <c r="O6801">
        <v>0.3163723</v>
      </c>
      <c r="P6801">
        <v>0.98429460000000002</v>
      </c>
      <c r="Q6801">
        <v>-6.7755549999999998E-2</v>
      </c>
      <c r="R6801">
        <v>0.16301370000000001</v>
      </c>
      <c r="S6801">
        <v>3.0411830000000002</v>
      </c>
      <c r="T6801">
        <v>-0.13575950000000001</v>
      </c>
      <c r="U6801">
        <v>-7.1105959999999899E-3</v>
      </c>
      <c r="V6801">
        <v>0.1566351</v>
      </c>
      <c r="W6801">
        <v>-5.2862310000000003E-2</v>
      </c>
      <c r="X6801">
        <v>0.98624089999999998</v>
      </c>
      <c r="Y6801">
        <v>0.31807829999999998</v>
      </c>
      <c r="Z6801">
        <v>-1.850885E-2</v>
      </c>
      <c r="AA6801">
        <v>0.94788380000000005</v>
      </c>
      <c r="AB6801">
        <v>8</v>
      </c>
      <c r="AC6801">
        <v>24.747800000000002</v>
      </c>
      <c r="AD6801">
        <v>-1.108697931777</v>
      </c>
      <c r="AE6801">
        <v>-7.6699999999988194E-2</v>
      </c>
      <c r="AF6801">
        <v>7.8874022356742399</v>
      </c>
      <c r="AG6801">
        <v>-1.108697931777</v>
      </c>
      <c r="AH6801">
        <v>23.405070665318998</v>
      </c>
      <c r="AI6801">
        <v>92.570256630691304</v>
      </c>
      <c r="AJ6801">
        <v>71.376417840469699</v>
      </c>
      <c r="AK6801">
        <v>24.723221027605302</v>
      </c>
      <c r="AL6801">
        <v>93.030199516007002</v>
      </c>
      <c r="AM6801">
        <v>80.975638470899199</v>
      </c>
      <c r="AN6801">
        <v>1.00000004560167</v>
      </c>
    </row>
    <row r="6802" spans="1:40" x14ac:dyDescent="0.25">
      <c r="A6802" t="str">
        <f>"20190305135406150"</f>
        <v>20190305135406150</v>
      </c>
      <c r="B6802" t="str">
        <f>"1551765246146867"</f>
        <v>1551765246146867</v>
      </c>
      <c r="C6802" t="s">
        <v>40</v>
      </c>
      <c r="D6802">
        <v>5.1040900000000002</v>
      </c>
      <c r="E6802">
        <v>0.56176300000000001</v>
      </c>
      <c r="F6802" t="s">
        <v>42</v>
      </c>
      <c r="G6802">
        <v>-152.6302</v>
      </c>
      <c r="H6802" s="1">
        <v>-4.3349069999999998E-6</v>
      </c>
      <c r="I6802">
        <v>132.90190000000001</v>
      </c>
      <c r="J6802">
        <v>-178.34450000000001</v>
      </c>
      <c r="K6802">
        <v>1.1087100000000001</v>
      </c>
      <c r="L6802">
        <v>132.9614</v>
      </c>
      <c r="M6802">
        <v>0.95121290000000003</v>
      </c>
      <c r="N6802">
        <v>-1.5156640000000001E-2</v>
      </c>
      <c r="O6802">
        <v>0.30816310000000002</v>
      </c>
      <c r="P6802">
        <v>0.98475769999999996</v>
      </c>
      <c r="Q6802">
        <v>-6.6635050000000001E-2</v>
      </c>
      <c r="R6802">
        <v>0.16066220000000001</v>
      </c>
      <c r="S6802">
        <v>3.0396879999999999</v>
      </c>
      <c r="T6802">
        <v>-0.1306243</v>
      </c>
      <c r="U6802">
        <v>-4.9133299999999996E-3</v>
      </c>
      <c r="V6802">
        <v>0.15049699999999999</v>
      </c>
      <c r="W6802">
        <v>-5.2148739999999999E-2</v>
      </c>
      <c r="X6802">
        <v>0.9872341</v>
      </c>
      <c r="Y6802">
        <v>0.30924000000000001</v>
      </c>
      <c r="Z6802">
        <v>-1.733119E-2</v>
      </c>
      <c r="AA6802">
        <v>0.95082610000000001</v>
      </c>
      <c r="AB6802">
        <v>8</v>
      </c>
      <c r="AC6802">
        <v>25.714300000000001</v>
      </c>
      <c r="AD6802">
        <v>-1.1087143349070001</v>
      </c>
      <c r="AE6802">
        <v>-5.9499999999985599E-2</v>
      </c>
      <c r="AF6802">
        <v>7.9669008660629004</v>
      </c>
      <c r="AG6802">
        <v>-1.1087143349070001</v>
      </c>
      <c r="AH6802">
        <v>24.398885201301201</v>
      </c>
      <c r="AI6802">
        <v>92.473450018936305</v>
      </c>
      <c r="AJ6802">
        <v>71.916728744834302</v>
      </c>
      <c r="AK6802">
        <v>25.690588859587798</v>
      </c>
      <c r="AL6802">
        <v>92.989258621964595</v>
      </c>
      <c r="AM6802">
        <v>81.332386118459596</v>
      </c>
      <c r="AN6802">
        <v>1.0000000031476901</v>
      </c>
    </row>
    <row r="6803" spans="1:40" x14ac:dyDescent="0.25">
      <c r="A6803" t="str">
        <f>"20190305135406174"</f>
        <v>20190305135406174</v>
      </c>
      <c r="B6803" t="str">
        <f>"1551765246167363"</f>
        <v>1551765246167363</v>
      </c>
      <c r="C6803" t="s">
        <v>40</v>
      </c>
      <c r="D6803">
        <v>5.16432</v>
      </c>
      <c r="E6803">
        <v>0.56107209999999996</v>
      </c>
      <c r="F6803" t="s">
        <v>42</v>
      </c>
      <c r="G6803">
        <v>-151.2971</v>
      </c>
      <c r="H6803" s="1">
        <v>-4.8951470000000002E-6</v>
      </c>
      <c r="I6803">
        <v>132.96770000000001</v>
      </c>
      <c r="J6803">
        <v>-178.255</v>
      </c>
      <c r="K6803">
        <v>1.1087089999999999</v>
      </c>
      <c r="L6803">
        <v>132.97929999999999</v>
      </c>
      <c r="M6803">
        <v>0.95390229999999998</v>
      </c>
      <c r="N6803">
        <v>-1.474745E-2</v>
      </c>
      <c r="O6803">
        <v>0.29975489999999999</v>
      </c>
      <c r="P6803">
        <v>0.98535030000000001</v>
      </c>
      <c r="Q6803">
        <v>-6.5367850000000005E-2</v>
      </c>
      <c r="R6803">
        <v>0.1575172</v>
      </c>
      <c r="S6803">
        <v>3.0378880000000001</v>
      </c>
      <c r="T6803">
        <v>-0.1245276</v>
      </c>
      <c r="U6803">
        <v>7.1716309999999997E-4</v>
      </c>
      <c r="V6803">
        <v>0.14496389999999901</v>
      </c>
      <c r="W6803">
        <v>-5.1254500000000001E-2</v>
      </c>
      <c r="X6803">
        <v>0.98810849999999995</v>
      </c>
      <c r="Y6803">
        <v>0.29912549999999999</v>
      </c>
      <c r="Z6803">
        <v>-1.6001080000000001E-2</v>
      </c>
      <c r="AA6803">
        <v>0.95407960000000003</v>
      </c>
      <c r="AB6803">
        <v>8</v>
      </c>
      <c r="AC6803">
        <v>26.957899999999899</v>
      </c>
      <c r="AD6803">
        <v>-1.1087138951469999</v>
      </c>
      <c r="AE6803">
        <v>-1.15999999999871E-2</v>
      </c>
      <c r="AF6803">
        <v>8.0790420830344498</v>
      </c>
      <c r="AG6803">
        <v>-1.1087138951469999</v>
      </c>
      <c r="AH6803">
        <v>25.671098860120502</v>
      </c>
      <c r="AI6803">
        <v>92.359089887989796</v>
      </c>
      <c r="AJ6803">
        <v>72.530505924358295</v>
      </c>
      <c r="AK6803">
        <v>26.935209005441401</v>
      </c>
      <c r="AL6803">
        <v>92.937953888722205</v>
      </c>
      <c r="AM6803">
        <v>81.653762931250299</v>
      </c>
      <c r="AN6803">
        <v>0.999999981922854</v>
      </c>
    </row>
    <row r="6804" spans="1:40" x14ac:dyDescent="0.25">
      <c r="A6804" t="str">
        <f>"20190305135406196"</f>
        <v>20190305135406196</v>
      </c>
      <c r="B6804" t="str">
        <f>"1551765246187034"</f>
        <v>1551765246187034</v>
      </c>
      <c r="C6804" t="s">
        <v>40</v>
      </c>
      <c r="D6804">
        <v>5.1275839999999997</v>
      </c>
      <c r="E6804">
        <v>0.55991139999999995</v>
      </c>
      <c r="F6804" t="s">
        <v>42</v>
      </c>
      <c r="G6804">
        <v>-151.2885</v>
      </c>
      <c r="H6804" s="1">
        <v>-4.9028580000000002E-6</v>
      </c>
      <c r="I6804">
        <v>132.94489999999999</v>
      </c>
      <c r="J6804">
        <v>-178.1651</v>
      </c>
      <c r="K6804">
        <v>1.1086940000000001</v>
      </c>
      <c r="L6804">
        <v>132.99680000000001</v>
      </c>
      <c r="M6804">
        <v>0.95646799999999998</v>
      </c>
      <c r="N6804">
        <v>-1.439613E-2</v>
      </c>
      <c r="O6804">
        <v>0.29148170000000001</v>
      </c>
      <c r="P6804">
        <v>0.98608119999999999</v>
      </c>
      <c r="Q6804">
        <v>-6.1834720000000003E-2</v>
      </c>
      <c r="R6804">
        <v>0.1543378</v>
      </c>
      <c r="S6804">
        <v>3.0369259999999998</v>
      </c>
      <c r="T6804">
        <v>-0.124862</v>
      </c>
      <c r="U6804">
        <v>-3.8757319999999998E-3</v>
      </c>
      <c r="V6804">
        <v>0.13966919999999999</v>
      </c>
      <c r="W6804">
        <v>-4.8042420000000002E-2</v>
      </c>
      <c r="X6804">
        <v>0.98903209999999997</v>
      </c>
      <c r="Y6804">
        <v>0.29230240000000002</v>
      </c>
      <c r="Z6804">
        <v>-1.5716709999999998E-2</v>
      </c>
      <c r="AA6804">
        <v>0.95619679999999996</v>
      </c>
      <c r="AB6804">
        <v>8</v>
      </c>
      <c r="AC6804">
        <v>26.8766</v>
      </c>
      <c r="AD6804">
        <v>-1.1086989028579901</v>
      </c>
      <c r="AE6804">
        <v>-5.1900000000017599E-2</v>
      </c>
      <c r="AF6804">
        <v>7.87110128027801</v>
      </c>
      <c r="AG6804">
        <v>-1.1086989028579901</v>
      </c>
      <c r="AH6804">
        <v>25.650495516715399</v>
      </c>
      <c r="AI6804">
        <v>92.366205796366302</v>
      </c>
      <c r="AJ6804">
        <v>72.940864544627203</v>
      </c>
      <c r="AK6804">
        <v>26.853889269054299</v>
      </c>
      <c r="AL6804">
        <v>92.753687808170099</v>
      </c>
      <c r="AM6804">
        <v>81.961952654306401</v>
      </c>
      <c r="AN6804">
        <v>1.00000002718925</v>
      </c>
    </row>
    <row r="6805" spans="1:40" x14ac:dyDescent="0.25">
      <c r="A6805" t="str">
        <f>"20190305135406218"</f>
        <v>20190305135406218</v>
      </c>
      <c r="B6805" t="str">
        <f>"1551765246206535"</f>
        <v>1551765246206535</v>
      </c>
      <c r="C6805" t="s">
        <v>40</v>
      </c>
      <c r="D6805">
        <v>5.155348</v>
      </c>
      <c r="E6805">
        <v>0.52546700000000002</v>
      </c>
      <c r="F6805" t="s">
        <v>42</v>
      </c>
      <c r="G6805">
        <v>-150.1052</v>
      </c>
      <c r="H6805" s="1">
        <v>-5.4095149999999998E-6</v>
      </c>
      <c r="I6805">
        <v>132.9504</v>
      </c>
      <c r="J6805">
        <v>-178.08199999999999</v>
      </c>
      <c r="K6805">
        <v>1.1086769999999999</v>
      </c>
      <c r="L6805">
        <v>133.01240000000001</v>
      </c>
      <c r="M6805">
        <v>0.95872500000000005</v>
      </c>
      <c r="N6805">
        <v>-1.4114420000000001E-2</v>
      </c>
      <c r="O6805">
        <v>0.28398479999999998</v>
      </c>
      <c r="P6805">
        <v>0.98680259999999997</v>
      </c>
      <c r="Q6805">
        <v>-5.823354E-2</v>
      </c>
      <c r="R6805">
        <v>0.15109520000000001</v>
      </c>
      <c r="S6805">
        <v>3.0356139999999998</v>
      </c>
      <c r="T6805">
        <v>-0.11994299999999999</v>
      </c>
      <c r="U6805">
        <v>-5.020142E-3</v>
      </c>
      <c r="V6805">
        <v>0.1352506</v>
      </c>
      <c r="W6805">
        <v>-4.4696649999999997E-2</v>
      </c>
      <c r="X6805">
        <v>0.98980279999999998</v>
      </c>
      <c r="Y6805">
        <v>0.28521099999999999</v>
      </c>
      <c r="Z6805">
        <v>-1.469615E-2</v>
      </c>
      <c r="AA6805">
        <v>0.95835210000000004</v>
      </c>
      <c r="AB6805">
        <v>8</v>
      </c>
      <c r="AC6805">
        <v>27.976800000000001</v>
      </c>
      <c r="AD6805">
        <v>-1.1086824095150001</v>
      </c>
      <c r="AE6805">
        <v>-6.2000000000011803E-2</v>
      </c>
      <c r="AF6805">
        <v>7.9926716333203602</v>
      </c>
      <c r="AG6805">
        <v>-1.1086824095150001</v>
      </c>
      <c r="AH6805">
        <v>26.7650856136203</v>
      </c>
      <c r="AI6805">
        <v>92.272920649407396</v>
      </c>
      <c r="AJ6805">
        <v>73.373162192546303</v>
      </c>
      <c r="AK6805">
        <v>27.95499569715</v>
      </c>
      <c r="AL6805">
        <v>92.561782745070204</v>
      </c>
      <c r="AM6805">
        <v>82.219064956416801</v>
      </c>
      <c r="AN6805">
        <v>1.0000000491047101</v>
      </c>
    </row>
    <row r="6806" spans="1:40" x14ac:dyDescent="0.25">
      <c r="A6806" t="str">
        <f>"20190305135406240"</f>
        <v>20190305135406240</v>
      </c>
      <c r="B6806" t="str">
        <f>"1551765246236791"</f>
        <v>1551765246236791</v>
      </c>
      <c r="C6806" t="s">
        <v>40</v>
      </c>
      <c r="D6806">
        <v>5.144666</v>
      </c>
      <c r="E6806">
        <v>0.51855779999999996</v>
      </c>
      <c r="F6806" t="s">
        <v>41</v>
      </c>
      <c r="G6806">
        <v>-177.3212</v>
      </c>
      <c r="H6806">
        <v>1.018157</v>
      </c>
      <c r="I6806">
        <v>133.07320000000001</v>
      </c>
      <c r="J6806">
        <v>-177.99610000000001</v>
      </c>
      <c r="K6806">
        <v>1.1086549999999999</v>
      </c>
      <c r="L6806">
        <v>133.02809999999999</v>
      </c>
      <c r="M6806">
        <v>0.96094040000000003</v>
      </c>
      <c r="N6806">
        <v>-1.3858229999999999E-2</v>
      </c>
      <c r="O6806">
        <v>0.2764083</v>
      </c>
      <c r="P6806">
        <v>0.98743570000000003</v>
      </c>
      <c r="Q6806">
        <v>-5.7120619999999997E-2</v>
      </c>
      <c r="R6806">
        <v>0.1473372</v>
      </c>
      <c r="S6806">
        <v>2.9827729999999999</v>
      </c>
      <c r="T6806">
        <v>-0.3544968</v>
      </c>
      <c r="U6806">
        <v>0.23786930000000001</v>
      </c>
      <c r="V6806">
        <v>0.13122879999999901</v>
      </c>
      <c r="W6806">
        <v>-4.3811749999999997E-2</v>
      </c>
      <c r="X6806">
        <v>0.99038349999999997</v>
      </c>
      <c r="Y6806">
        <v>0.1961794</v>
      </c>
      <c r="Z6806">
        <v>-4.1373350000000003E-2</v>
      </c>
      <c r="AA6806">
        <v>0.97969479999999998</v>
      </c>
      <c r="AB6806">
        <v>8</v>
      </c>
      <c r="AC6806">
        <v>0.67490000000000705</v>
      </c>
      <c r="AD6806">
        <v>-9.0497999999999898E-2</v>
      </c>
      <c r="AE6806">
        <v>4.5100000000019201E-2</v>
      </c>
      <c r="AF6806">
        <v>0.14070462294727501</v>
      </c>
      <c r="AG6806">
        <v>-9.0497999999999898E-2</v>
      </c>
      <c r="AH6806">
        <v>0.649442833623463</v>
      </c>
      <c r="AI6806">
        <v>97.755259779078997</v>
      </c>
      <c r="AJ6806">
        <v>77.775550704780997</v>
      </c>
      <c r="AK6806">
        <v>0.67064422242170096</v>
      </c>
      <c r="AL6806">
        <v>92.511032183402406</v>
      </c>
      <c r="AM6806">
        <v>82.4521044460501</v>
      </c>
      <c r="AN6806">
        <v>0.99999997222987502</v>
      </c>
    </row>
    <row r="6807" spans="1:40" x14ac:dyDescent="0.25">
      <c r="A6807" t="str">
        <f>"20190305135406263"</f>
        <v>20190305135406263</v>
      </c>
      <c r="B6807" t="str">
        <f>"1551765246256311"</f>
        <v>1551765246256311</v>
      </c>
      <c r="C6807" t="s">
        <v>40</v>
      </c>
      <c r="D6807">
        <v>4.9577879999999999</v>
      </c>
      <c r="E6807">
        <v>0.51873359999999902</v>
      </c>
      <c r="F6807" t="s">
        <v>41</v>
      </c>
      <c r="G6807">
        <v>-177.25569999999999</v>
      </c>
      <c r="H6807">
        <v>1.0028709999999901</v>
      </c>
      <c r="I6807">
        <v>133.0967</v>
      </c>
      <c r="J6807">
        <v>-177.90819999999999</v>
      </c>
      <c r="K6807">
        <v>1.1086400000000001</v>
      </c>
      <c r="L6807">
        <v>133.0436</v>
      </c>
      <c r="M6807">
        <v>0.96308479999999996</v>
      </c>
      <c r="N6807">
        <v>-1.3626060000000001E-2</v>
      </c>
      <c r="O6807">
        <v>0.26885350000000002</v>
      </c>
      <c r="P6807">
        <v>0.98789530000000003</v>
      </c>
      <c r="Q6807">
        <v>-5.9383030000000003E-2</v>
      </c>
      <c r="R6807">
        <v>0.14330619999999999</v>
      </c>
      <c r="S6807">
        <v>2.9725039999999998</v>
      </c>
      <c r="T6807">
        <v>-0.42495670000000002</v>
      </c>
      <c r="U6807">
        <v>0.27531430000000001</v>
      </c>
      <c r="V6807">
        <v>0.1274554</v>
      </c>
      <c r="W6807">
        <v>-4.6273250000000002E-2</v>
      </c>
      <c r="X6807">
        <v>0.99076430000000004</v>
      </c>
      <c r="Y6807">
        <v>0.17483299999999999</v>
      </c>
      <c r="Z6807">
        <v>-4.7607770000000001E-2</v>
      </c>
      <c r="AA6807">
        <v>0.9834465</v>
      </c>
      <c r="AB6807">
        <v>8</v>
      </c>
      <c r="AC6807">
        <v>0.65250000000000297</v>
      </c>
      <c r="AD6807">
        <v>-0.105769</v>
      </c>
      <c r="AE6807">
        <v>5.3100000000000501E-2</v>
      </c>
      <c r="AF6807">
        <v>0.121136613513023</v>
      </c>
      <c r="AG6807">
        <v>-0.105769</v>
      </c>
      <c r="AH6807">
        <v>0.62639774854772401</v>
      </c>
      <c r="AI6807">
        <v>99.412956852727902</v>
      </c>
      <c r="AJ6807">
        <v>79.054900609112707</v>
      </c>
      <c r="AK6807">
        <v>0.64671114098959304</v>
      </c>
      <c r="AL6807">
        <v>92.652209007421803</v>
      </c>
      <c r="AM6807">
        <v>82.669530412824599</v>
      </c>
      <c r="AN6807">
        <v>0.99999999540460605</v>
      </c>
    </row>
    <row r="6808" spans="1:40" x14ac:dyDescent="0.25">
      <c r="A6808" t="str">
        <f>"20190305135406285"</f>
        <v>20190305135406285</v>
      </c>
      <c r="B6808" t="str">
        <f>"1551765246276810"</f>
        <v>1551765246276810</v>
      </c>
      <c r="C6808" t="s">
        <v>40</v>
      </c>
      <c r="D6808">
        <v>5.1680359999999999</v>
      </c>
      <c r="E6808">
        <v>0.51862949999999997</v>
      </c>
      <c r="F6808" t="s">
        <v>41</v>
      </c>
      <c r="G6808">
        <v>-177.1797</v>
      </c>
      <c r="H6808">
        <v>1.000081</v>
      </c>
      <c r="I6808">
        <v>133.10759999999999</v>
      </c>
      <c r="J6808">
        <v>-177.82060000000001</v>
      </c>
      <c r="K6808">
        <v>1.108649</v>
      </c>
      <c r="L6808">
        <v>133.05879999999999</v>
      </c>
      <c r="M6808">
        <v>0.96509809999999996</v>
      </c>
      <c r="N6808">
        <v>-1.3419220000000001E-2</v>
      </c>
      <c r="O6808">
        <v>0.26154460000000002</v>
      </c>
      <c r="P6808">
        <v>0.98836170000000001</v>
      </c>
      <c r="Q6808">
        <v>-6.2585890000000005E-2</v>
      </c>
      <c r="R6808">
        <v>0.13865150000000001</v>
      </c>
      <c r="S6808">
        <v>2.9722900000000001</v>
      </c>
      <c r="T6808">
        <v>-0.44256620000000002</v>
      </c>
      <c r="U6808">
        <v>0.26092530000000003</v>
      </c>
      <c r="V6808">
        <v>0.124559</v>
      </c>
      <c r="W6808">
        <v>-4.9646580000000003E-2</v>
      </c>
      <c r="X6808">
        <v>0.9909694</v>
      </c>
      <c r="Y6808">
        <v>0.17182069999999999</v>
      </c>
      <c r="Z6808">
        <v>-4.853586E-2</v>
      </c>
      <c r="AA6808">
        <v>0.98393180000000002</v>
      </c>
      <c r="AB6808">
        <v>8</v>
      </c>
      <c r="AC6808">
        <v>0.64090000000001601</v>
      </c>
      <c r="AD6808">
        <v>-0.108568</v>
      </c>
      <c r="AE6808">
        <v>4.8799999999999899E-2</v>
      </c>
      <c r="AF6808">
        <v>0.117194362990774</v>
      </c>
      <c r="AG6808">
        <v>-0.108568</v>
      </c>
      <c r="AH6808">
        <v>0.61383835815393395</v>
      </c>
      <c r="AI6808">
        <v>99.855597491013199</v>
      </c>
      <c r="AJ6808">
        <v>79.1911350470629</v>
      </c>
      <c r="AK6808">
        <v>0.63428625972972996</v>
      </c>
      <c r="AL6808">
        <v>92.845709215289205</v>
      </c>
      <c r="AM6808">
        <v>82.835830222724297</v>
      </c>
      <c r="AN6808">
        <v>1.0000000395615201</v>
      </c>
    </row>
    <row r="6809" spans="1:40" x14ac:dyDescent="0.25">
      <c r="A6809" t="str">
        <f>"20190305135406306"</f>
        <v>20190305135406306</v>
      </c>
      <c r="B6809" t="str">
        <f>"1551765246297084"</f>
        <v>1551765246297084</v>
      </c>
      <c r="C6809" t="s">
        <v>40</v>
      </c>
      <c r="D6809">
        <v>5.1843370000000002</v>
      </c>
      <c r="E6809">
        <v>0.51872359999999995</v>
      </c>
      <c r="F6809" t="s">
        <v>41</v>
      </c>
      <c r="G6809">
        <v>-177.03110000000001</v>
      </c>
      <c r="H6809">
        <v>0.98569309999999999</v>
      </c>
      <c r="I6809">
        <v>133.12430000000001</v>
      </c>
      <c r="J6809">
        <v>-177.7373</v>
      </c>
      <c r="K6809">
        <v>1.108692</v>
      </c>
      <c r="L6809">
        <v>133.0728</v>
      </c>
      <c r="M6809">
        <v>0.96688719999999995</v>
      </c>
      <c r="N6809">
        <v>-1.324321E-2</v>
      </c>
      <c r="O6809">
        <v>0.2548608</v>
      </c>
      <c r="P6809">
        <v>0.9885948</v>
      </c>
      <c r="Q6809">
        <v>-6.6141240000000004E-2</v>
      </c>
      <c r="R6809">
        <v>0.13530010000000001</v>
      </c>
      <c r="S6809">
        <v>2.9714360000000002</v>
      </c>
      <c r="T6809">
        <v>-0.46237600000000001</v>
      </c>
      <c r="U6809">
        <v>0.24668880000000001</v>
      </c>
      <c r="V6809">
        <v>0.1210058</v>
      </c>
      <c r="W6809">
        <v>-5.3334800000000002E-2</v>
      </c>
      <c r="X6809">
        <v>0.99121789999999999</v>
      </c>
      <c r="Y6809">
        <v>0.16933819999999999</v>
      </c>
      <c r="Z6809">
        <v>-4.973578E-2</v>
      </c>
      <c r="AA6809">
        <v>0.98430229999999996</v>
      </c>
      <c r="AB6809">
        <v>8</v>
      </c>
      <c r="AC6809">
        <v>0.70619999999999505</v>
      </c>
      <c r="AD6809">
        <v>-0.122998899999999</v>
      </c>
      <c r="AE6809">
        <v>5.1500000000004299E-2</v>
      </c>
      <c r="AF6809">
        <v>0.12638574966914601</v>
      </c>
      <c r="AG6809">
        <v>-0.122998899999999</v>
      </c>
      <c r="AH6809">
        <v>0.67561549396456799</v>
      </c>
      <c r="AI6809">
        <v>100.14571226584199</v>
      </c>
      <c r="AJ6809">
        <v>79.404281469604896</v>
      </c>
      <c r="AK6809">
        <v>0.69825380973227003</v>
      </c>
      <c r="AL6809">
        <v>93.057309689448601</v>
      </c>
      <c r="AM6809">
        <v>83.039890728565794</v>
      </c>
      <c r="AN6809">
        <v>0.99999996490254395</v>
      </c>
    </row>
    <row r="6810" spans="1:40" x14ac:dyDescent="0.25">
      <c r="A6810" t="str">
        <f>"20190305135406329"</f>
        <v>20190305135406329</v>
      </c>
      <c r="B6810" t="str">
        <f>"1551765246316604"</f>
        <v>1551765246316604</v>
      </c>
      <c r="C6810" t="s">
        <v>40</v>
      </c>
      <c r="D6810">
        <v>5.1667249999999996</v>
      </c>
      <c r="E6810">
        <v>0.51848079999999996</v>
      </c>
      <c r="F6810" t="s">
        <v>41</v>
      </c>
      <c r="G6810">
        <v>-176.9554</v>
      </c>
      <c r="H6810">
        <v>0.98235629999999996</v>
      </c>
      <c r="I6810">
        <v>133.1345</v>
      </c>
      <c r="J6810">
        <v>-177.64949999999999</v>
      </c>
      <c r="K6810">
        <v>1.108733</v>
      </c>
      <c r="L6810">
        <v>133.0873</v>
      </c>
      <c r="M6810">
        <v>0.96865389999999996</v>
      </c>
      <c r="N6810">
        <v>-1.307909E-2</v>
      </c>
      <c r="O6810">
        <v>0.2480697</v>
      </c>
      <c r="P6810">
        <v>0.98888560000000003</v>
      </c>
      <c r="Q6810">
        <v>-6.8648989999999993E-2</v>
      </c>
      <c r="R6810">
        <v>0.1318812</v>
      </c>
      <c r="S6810">
        <v>2.9704280000000001</v>
      </c>
      <c r="T6810">
        <v>-0.480348</v>
      </c>
      <c r="U6810">
        <v>0.23440549999999999</v>
      </c>
      <c r="V6810">
        <v>0.117442</v>
      </c>
      <c r="W6810">
        <v>-5.5966420000000003E-2</v>
      </c>
      <c r="X6810">
        <v>0.99150150000000004</v>
      </c>
      <c r="Y6810">
        <v>0.16616529999999999</v>
      </c>
      <c r="Z6810">
        <v>-5.0551869999999999E-2</v>
      </c>
      <c r="AA6810">
        <v>0.98480129999999999</v>
      </c>
      <c r="AB6810">
        <v>8</v>
      </c>
      <c r="AC6810">
        <v>0.69409999999999095</v>
      </c>
      <c r="AD6810">
        <v>-0.12637670000000001</v>
      </c>
      <c r="AE6810">
        <v>4.72000000000036E-2</v>
      </c>
      <c r="AF6810">
        <v>0.12243542015362401</v>
      </c>
      <c r="AG6810">
        <v>-0.12637670000000001</v>
      </c>
      <c r="AH6810">
        <v>0.662256982785288</v>
      </c>
      <c r="AI6810">
        <v>100.627814292401</v>
      </c>
      <c r="AJ6810">
        <v>79.525651724213105</v>
      </c>
      <c r="AK6810">
        <v>0.68523413054149496</v>
      </c>
      <c r="AL6810">
        <v>93.208315877263402</v>
      </c>
      <c r="AM6810">
        <v>83.244867430562806</v>
      </c>
      <c r="AN6810">
        <v>1.0000000440169301</v>
      </c>
    </row>
    <row r="6811" spans="1:40" x14ac:dyDescent="0.25">
      <c r="A6811" t="str">
        <f>"20190305135406353"</f>
        <v>20190305135406353</v>
      </c>
      <c r="B6811" t="str">
        <f>"1551765246346863"</f>
        <v>1551765246346863</v>
      </c>
      <c r="C6811" t="s">
        <v>40</v>
      </c>
      <c r="D6811">
        <v>5.1889729999999998</v>
      </c>
      <c r="E6811">
        <v>0.51871699999999998</v>
      </c>
      <c r="F6811" t="s">
        <v>41</v>
      </c>
      <c r="G6811">
        <v>-176.87899999999999</v>
      </c>
      <c r="H6811">
        <v>0.98117310000000002</v>
      </c>
      <c r="I6811">
        <v>133.14570000000001</v>
      </c>
      <c r="J6811">
        <v>-177.5564</v>
      </c>
      <c r="K6811">
        <v>1.108762</v>
      </c>
      <c r="L6811">
        <v>133.10230000000001</v>
      </c>
      <c r="M6811">
        <v>0.97040099999999996</v>
      </c>
      <c r="N6811">
        <v>-1.29272E-2</v>
      </c>
      <c r="O6811">
        <v>0.24115339999999999</v>
      </c>
      <c r="P6811">
        <v>0.98918779999999995</v>
      </c>
      <c r="Q6811">
        <v>-7.2453740000000003E-2</v>
      </c>
      <c r="R6811">
        <v>0.12750799999999901</v>
      </c>
      <c r="S6811">
        <v>2.9696039999999999</v>
      </c>
      <c r="T6811">
        <v>-0.49149320000000002</v>
      </c>
      <c r="U6811">
        <v>0.22499079999999999</v>
      </c>
      <c r="V6811">
        <v>0.114690899999999</v>
      </c>
      <c r="W6811">
        <v>-5.9891090000000001E-2</v>
      </c>
      <c r="X6811">
        <v>0.99159419999999998</v>
      </c>
      <c r="Y6811">
        <v>0.16210329999999901</v>
      </c>
      <c r="Z6811">
        <v>-5.0438009999999998E-2</v>
      </c>
      <c r="AA6811">
        <v>0.98548389999999997</v>
      </c>
      <c r="AB6811">
        <v>8</v>
      </c>
      <c r="AC6811">
        <v>0.67739999999997702</v>
      </c>
      <c r="AD6811">
        <v>-0.12758889999999901</v>
      </c>
      <c r="AE6811">
        <v>4.3399999999991203E-2</v>
      </c>
      <c r="AF6811">
        <v>0.11711426268472799</v>
      </c>
      <c r="AG6811">
        <v>-0.12758889999999901</v>
      </c>
      <c r="AH6811">
        <v>0.64508009548302503</v>
      </c>
      <c r="AI6811">
        <v>101.012489299525</v>
      </c>
      <c r="AJ6811">
        <v>79.710030680850195</v>
      </c>
      <c r="AK6811">
        <v>0.66792440254551699</v>
      </c>
      <c r="AL6811">
        <v>93.433561437483803</v>
      </c>
      <c r="AM6811">
        <v>83.402307160929496</v>
      </c>
      <c r="AN6811">
        <v>1.0000000013389101</v>
      </c>
    </row>
    <row r="6812" spans="1:40" x14ac:dyDescent="0.25">
      <c r="A6812" t="str">
        <f>"20190305135406374"</f>
        <v>20190305135406374</v>
      </c>
      <c r="B6812" t="str">
        <f>"1551765246367356"</f>
        <v>1551765246367356</v>
      </c>
      <c r="C6812" t="s">
        <v>40</v>
      </c>
      <c r="D6812">
        <v>5.195786</v>
      </c>
      <c r="E6812">
        <v>0.51903080000000001</v>
      </c>
      <c r="F6812" t="s">
        <v>41</v>
      </c>
      <c r="G6812">
        <v>-176.80179999999999</v>
      </c>
      <c r="H6812">
        <v>0.98070259999999998</v>
      </c>
      <c r="I6812">
        <v>133.15559999999999</v>
      </c>
      <c r="J6812">
        <v>-177.47569999999999</v>
      </c>
      <c r="K6812">
        <v>1.108792</v>
      </c>
      <c r="L6812">
        <v>133.11510000000001</v>
      </c>
      <c r="M6812">
        <v>0.97181019999999896</v>
      </c>
      <c r="N6812">
        <v>-1.2815E-2</v>
      </c>
      <c r="O6812">
        <v>0.23541619999999999</v>
      </c>
      <c r="P6812">
        <v>0.98946909999999999</v>
      </c>
      <c r="Q6812">
        <v>-7.5050870000000006E-2</v>
      </c>
      <c r="R6812">
        <v>0.123768</v>
      </c>
      <c r="S6812">
        <v>2.9689329999999998</v>
      </c>
      <c r="T6812">
        <v>-0.50369430000000004</v>
      </c>
      <c r="U6812">
        <v>0.2094116</v>
      </c>
      <c r="V6812">
        <v>0.1125415</v>
      </c>
      <c r="W6812">
        <v>-6.2574069999999996E-2</v>
      </c>
      <c r="X6812">
        <v>0.99167479999999997</v>
      </c>
      <c r="Y6812">
        <v>0.16121469999999999</v>
      </c>
      <c r="Z6812">
        <v>-5.0825479999999999E-2</v>
      </c>
      <c r="AA6812">
        <v>0.98560979999999998</v>
      </c>
      <c r="AB6812">
        <v>8</v>
      </c>
      <c r="AC6812">
        <v>0.67390000000000305</v>
      </c>
      <c r="AD6812">
        <v>-0.12808939999999999</v>
      </c>
      <c r="AE6812">
        <v>4.0499999999980198E-2</v>
      </c>
      <c r="AF6812">
        <v>0.11515325154804799</v>
      </c>
      <c r="AG6812">
        <v>-0.12808939999999999</v>
      </c>
      <c r="AH6812">
        <v>0.64140302319086995</v>
      </c>
      <c r="AI6812">
        <v>101.12024937729799</v>
      </c>
      <c r="AJ6812">
        <v>79.821924798801305</v>
      </c>
      <c r="AK6812">
        <v>0.66412724977434601</v>
      </c>
      <c r="AL6812">
        <v>93.587573897676094</v>
      </c>
      <c r="AM6812">
        <v>83.525415070272203</v>
      </c>
      <c r="AN6812">
        <v>1.0000000062068199</v>
      </c>
    </row>
    <row r="6813" spans="1:40" x14ac:dyDescent="0.25">
      <c r="A6813" t="str">
        <f>"20190305135406396"</f>
        <v>20190305135406396</v>
      </c>
      <c r="B6813" t="str">
        <f>"1551765246386875"</f>
        <v>1551765246386875</v>
      </c>
      <c r="C6813" t="s">
        <v>40</v>
      </c>
      <c r="D6813">
        <v>5.1746829999999999</v>
      </c>
      <c r="E6813">
        <v>0.51899810000000002</v>
      </c>
      <c r="F6813" t="s">
        <v>41</v>
      </c>
      <c r="G6813">
        <v>-176.72479999999999</v>
      </c>
      <c r="H6813">
        <v>0.97978929999999997</v>
      </c>
      <c r="I6813">
        <v>133.1645</v>
      </c>
      <c r="J6813">
        <v>-177.38980000000001</v>
      </c>
      <c r="K6813">
        <v>1.1088469999999999</v>
      </c>
      <c r="L6813">
        <v>133.12860000000001</v>
      </c>
      <c r="M6813">
        <v>0.97320030000000002</v>
      </c>
      <c r="N6813">
        <v>-1.271693E-2</v>
      </c>
      <c r="O6813">
        <v>0.22960729999999999</v>
      </c>
      <c r="P6813">
        <v>0.98980360000000001</v>
      </c>
      <c r="Q6813">
        <v>-7.6538679999999998E-2</v>
      </c>
      <c r="R6813">
        <v>0.1201279</v>
      </c>
      <c r="S6813">
        <v>2.9688720000000002</v>
      </c>
      <c r="T6813">
        <v>-0.50956210000000002</v>
      </c>
      <c r="U6813">
        <v>0.19520570000000001</v>
      </c>
      <c r="V6813">
        <v>0.11025260000000001</v>
      </c>
      <c r="W6813">
        <v>-6.4127020000000007E-2</v>
      </c>
      <c r="X6813">
        <v>0.99183270000000001</v>
      </c>
      <c r="Y6813">
        <v>0.15997349999999999</v>
      </c>
      <c r="Z6813">
        <v>-5.046022E-2</v>
      </c>
      <c r="AA6813">
        <v>0.98583069999999895</v>
      </c>
      <c r="AB6813">
        <v>8</v>
      </c>
      <c r="AC6813">
        <v>0.66500000000002002</v>
      </c>
      <c r="AD6813">
        <v>-0.129057699999999</v>
      </c>
      <c r="AE6813">
        <v>3.5899999999998003E-2</v>
      </c>
      <c r="AF6813">
        <v>0.113498130051399</v>
      </c>
      <c r="AG6813">
        <v>-0.129057699999999</v>
      </c>
      <c r="AH6813">
        <v>0.63174913451233705</v>
      </c>
      <c r="AI6813">
        <v>101.368714392402</v>
      </c>
      <c r="AJ6813">
        <v>79.815065238685804</v>
      </c>
      <c r="AK6813">
        <v>0.65470961838936004</v>
      </c>
      <c r="AL6813">
        <v>93.676730467232204</v>
      </c>
      <c r="AM6813">
        <v>83.657014079339902</v>
      </c>
      <c r="AN6813">
        <v>1.0000000076450599</v>
      </c>
    </row>
    <row r="6814" spans="1:40" x14ac:dyDescent="0.25">
      <c r="A6814" t="str">
        <f>"20190305135406420"</f>
        <v>20190305135406420</v>
      </c>
      <c r="B6814" t="str">
        <f>"1551765246417131"</f>
        <v>1551765246417131</v>
      </c>
      <c r="C6814" t="s">
        <v>40</v>
      </c>
      <c r="D6814">
        <v>5.1446800000000001</v>
      </c>
      <c r="E6814">
        <v>0.51933289999999999</v>
      </c>
      <c r="F6814" t="s">
        <v>41</v>
      </c>
      <c r="G6814">
        <v>-176.64750000000001</v>
      </c>
      <c r="H6814">
        <v>0.98021409999999998</v>
      </c>
      <c r="I6814">
        <v>133.1747</v>
      </c>
      <c r="J6814">
        <v>-177.30260000000001</v>
      </c>
      <c r="K6814">
        <v>1.1089500000000001</v>
      </c>
      <c r="L6814">
        <v>133.1421</v>
      </c>
      <c r="M6814">
        <v>0.97449629999999998</v>
      </c>
      <c r="N6814">
        <v>-1.263654E-2</v>
      </c>
      <c r="O6814">
        <v>0.22404760000000001</v>
      </c>
      <c r="P6814">
        <v>0.990151</v>
      </c>
      <c r="Q6814">
        <v>-7.7137129999999998E-2</v>
      </c>
      <c r="R6814">
        <v>0.1168367</v>
      </c>
      <c r="S6814">
        <v>2.9687190000000001</v>
      </c>
      <c r="T6814">
        <v>-0.5141194</v>
      </c>
      <c r="U6814">
        <v>0.1847076</v>
      </c>
      <c r="V6814">
        <v>0.1078973</v>
      </c>
      <c r="W6814">
        <v>-6.4765390000000006E-2</v>
      </c>
      <c r="X6814">
        <v>0.99205019999999999</v>
      </c>
      <c r="Y6814">
        <v>0.15781029999999999</v>
      </c>
      <c r="Z6814">
        <v>-4.9886109999999997E-2</v>
      </c>
      <c r="AA6814">
        <v>0.98620859999999999</v>
      </c>
      <c r="AB6814">
        <v>8</v>
      </c>
      <c r="AC6814">
        <v>0.65510000000000401</v>
      </c>
      <c r="AD6814">
        <v>-0.12873589999999999</v>
      </c>
      <c r="AE6814">
        <v>3.26000000000021E-2</v>
      </c>
      <c r="AF6814">
        <v>0.11074794023934199</v>
      </c>
      <c r="AG6814">
        <v>-0.12873589999999999</v>
      </c>
      <c r="AH6814">
        <v>0.62179516407503199</v>
      </c>
      <c r="AI6814">
        <v>101.520847014073</v>
      </c>
      <c r="AJ6814">
        <v>79.900950986636204</v>
      </c>
      <c r="AK6814">
        <v>0.64456750172744703</v>
      </c>
      <c r="AL6814">
        <v>93.713382628510004</v>
      </c>
      <c r="AM6814">
        <v>83.792798708079005</v>
      </c>
      <c r="AN6814">
        <v>0.99999999120459104</v>
      </c>
    </row>
    <row r="6815" spans="1:40" x14ac:dyDescent="0.25">
      <c r="A6815" t="str">
        <f>"20190305135406441"</f>
        <v>20190305135406441</v>
      </c>
      <c r="B6815" t="str">
        <f>"1551765246436655"</f>
        <v>1551765246436655</v>
      </c>
      <c r="C6815" t="s">
        <v>40</v>
      </c>
      <c r="D6815">
        <v>5.1411030000000002</v>
      </c>
      <c r="E6815">
        <v>0.51938260000000003</v>
      </c>
      <c r="F6815" t="s">
        <v>41</v>
      </c>
      <c r="G6815">
        <v>-176.56960000000001</v>
      </c>
      <c r="H6815">
        <v>0.98196939999999999</v>
      </c>
      <c r="I6815">
        <v>133.18459999999999</v>
      </c>
      <c r="J6815">
        <v>-177.21789999999999</v>
      </c>
      <c r="K6815">
        <v>1.1090799999999901</v>
      </c>
      <c r="L6815">
        <v>133.1551</v>
      </c>
      <c r="M6815">
        <v>0.97564479999999998</v>
      </c>
      <c r="N6815">
        <v>-1.257426E-2</v>
      </c>
      <c r="O6815">
        <v>0.21899550000000001</v>
      </c>
      <c r="P6815">
        <v>0.9903769</v>
      </c>
      <c r="Q6815">
        <v>-7.6466549999999994E-2</v>
      </c>
      <c r="R6815">
        <v>0.1153545</v>
      </c>
      <c r="S6815">
        <v>2.9694210000000001</v>
      </c>
      <c r="T6815">
        <v>-0.5143392</v>
      </c>
      <c r="U6815">
        <v>0.1724243</v>
      </c>
      <c r="V6815">
        <v>0.1042795</v>
      </c>
      <c r="W6815">
        <v>-6.4108739999999997E-2</v>
      </c>
      <c r="X6815">
        <v>0.99247960000000002</v>
      </c>
      <c r="Y6815">
        <v>0.15684799999999999</v>
      </c>
      <c r="Z6815">
        <v>-4.9042769999999999E-2</v>
      </c>
      <c r="AA6815">
        <v>0.98640439999999996</v>
      </c>
      <c r="AB6815">
        <v>8</v>
      </c>
      <c r="AC6815">
        <v>0.64829999999997701</v>
      </c>
      <c r="AD6815">
        <v>-0.12711059999999899</v>
      </c>
      <c r="AE6815">
        <v>2.94999999999845E-2</v>
      </c>
      <c r="AF6815">
        <v>0.10901987980198601</v>
      </c>
      <c r="AG6815">
        <v>-0.12711059999999899</v>
      </c>
      <c r="AH6815">
        <v>0.61541234078255402</v>
      </c>
      <c r="AI6815">
        <v>101.495959680635</v>
      </c>
      <c r="AJ6815">
        <v>79.954310411909702</v>
      </c>
      <c r="AK6815">
        <v>0.63778898392169103</v>
      </c>
      <c r="AL6815">
        <v>93.675681151000504</v>
      </c>
      <c r="AM6815">
        <v>84.001959043620303</v>
      </c>
      <c r="AN6815">
        <v>0.99999995054039703</v>
      </c>
    </row>
    <row r="6816" spans="1:40" x14ac:dyDescent="0.25">
      <c r="A6816" t="str">
        <f>"20190305135406463"</f>
        <v>20190305135406463</v>
      </c>
      <c r="B6816" t="str">
        <f>"1551765246457147"</f>
        <v>1551765246457147</v>
      </c>
      <c r="C6816" t="s">
        <v>40</v>
      </c>
      <c r="D6816">
        <v>5.1092620000000002</v>
      </c>
      <c r="E6816">
        <v>0.49593169999999998</v>
      </c>
      <c r="F6816" t="s">
        <v>41</v>
      </c>
      <c r="G6816">
        <v>-176.49199999999999</v>
      </c>
      <c r="H6816">
        <v>0.98406510000000003</v>
      </c>
      <c r="I6816">
        <v>133.19589999999999</v>
      </c>
      <c r="J6816">
        <v>-177.1301</v>
      </c>
      <c r="K6816">
        <v>1.109229</v>
      </c>
      <c r="L6816">
        <v>133.1686</v>
      </c>
      <c r="M6816">
        <v>0.97672020000000004</v>
      </c>
      <c r="N6816">
        <v>-1.252283E-2</v>
      </c>
      <c r="O6816">
        <v>0.2141518</v>
      </c>
      <c r="P6816">
        <v>0.99058900000000005</v>
      </c>
      <c r="Q6816">
        <v>-7.6223540000000006E-2</v>
      </c>
      <c r="R6816">
        <v>0.11368200000000001</v>
      </c>
      <c r="S6816">
        <v>2.970215</v>
      </c>
      <c r="T6816">
        <v>-0.51150039999999997</v>
      </c>
      <c r="U6816">
        <v>0.16690060000000001</v>
      </c>
      <c r="V6816">
        <v>0.1010635</v>
      </c>
      <c r="W6816">
        <v>-6.3867359999999998E-2</v>
      </c>
      <c r="X6816">
        <v>0.99282780000000004</v>
      </c>
      <c r="Y6816">
        <v>0.15395719999999999</v>
      </c>
      <c r="Z6816">
        <v>-4.7751189999999999E-2</v>
      </c>
      <c r="AA6816">
        <v>0.98692299999999999</v>
      </c>
      <c r="AB6816">
        <v>8</v>
      </c>
      <c r="AC6816">
        <v>0.63809999999998002</v>
      </c>
      <c r="AD6816">
        <v>-0.12516389999999999</v>
      </c>
      <c r="AE6816">
        <v>2.7299999999996698E-2</v>
      </c>
      <c r="AF6816">
        <v>0.10592632961420501</v>
      </c>
      <c r="AG6816">
        <v>-0.12516389999999999</v>
      </c>
      <c r="AH6816">
        <v>0.60587232806714397</v>
      </c>
      <c r="AI6816">
        <v>101.50250958513701</v>
      </c>
      <c r="AJ6816">
        <v>80.083052327050495</v>
      </c>
      <c r="AK6816">
        <v>0.62766843722322696</v>
      </c>
      <c r="AL6816">
        <v>93.661822675921897</v>
      </c>
      <c r="AM6816">
        <v>84.187677717787594</v>
      </c>
      <c r="AN6816">
        <v>0.99999995557922805</v>
      </c>
    </row>
    <row r="6817" spans="1:40" x14ac:dyDescent="0.25">
      <c r="A6817" t="str">
        <f>"20190305135406486"</f>
        <v>20190305135406486</v>
      </c>
      <c r="B6817" t="str">
        <f>"1551765246476668"</f>
        <v>1551765246476668</v>
      </c>
      <c r="C6817" t="s">
        <v>40</v>
      </c>
      <c r="D6817">
        <v>5.0066030000000001</v>
      </c>
      <c r="E6817">
        <v>0.49374119999999999</v>
      </c>
      <c r="F6817" t="s">
        <v>41</v>
      </c>
      <c r="G6817">
        <v>-176.4366</v>
      </c>
      <c r="H6817">
        <v>0.96111970000000002</v>
      </c>
      <c r="I6817">
        <v>133.24789999999999</v>
      </c>
      <c r="J6817">
        <v>-177.04429999999999</v>
      </c>
      <c r="K6817">
        <v>1.1093770000000001</v>
      </c>
      <c r="L6817">
        <v>133.18199999999999</v>
      </c>
      <c r="M6817">
        <v>0.9776532</v>
      </c>
      <c r="N6817">
        <v>-1.248258E-2</v>
      </c>
      <c r="O6817">
        <v>0.2098534</v>
      </c>
      <c r="P6817">
        <v>0.99037109999999995</v>
      </c>
      <c r="Q6817">
        <v>-7.9008850000000005E-2</v>
      </c>
      <c r="R6817">
        <v>0.113677399999999</v>
      </c>
      <c r="S6817">
        <v>2.9415589999999998</v>
      </c>
      <c r="T6817">
        <v>-0.62752819999999898</v>
      </c>
      <c r="U6817">
        <v>0.3368835</v>
      </c>
      <c r="V6817">
        <v>9.6683649999999996E-2</v>
      </c>
      <c r="W6817">
        <v>-6.664602E-2</v>
      </c>
      <c r="X6817">
        <v>0.99308129999999994</v>
      </c>
      <c r="Y6817">
        <v>9.1075920000000005E-2</v>
      </c>
      <c r="Z6817">
        <v>-5.1296609999999999E-2</v>
      </c>
      <c r="AA6817">
        <v>0.99452189999999996</v>
      </c>
      <c r="AB6817">
        <v>8</v>
      </c>
      <c r="AC6817">
        <v>0.60769999999999402</v>
      </c>
      <c r="AD6817">
        <v>-0.14825730000000001</v>
      </c>
      <c r="AE6817">
        <v>6.5899999999970704E-2</v>
      </c>
      <c r="AF6817">
        <v>5.9599427646300301E-2</v>
      </c>
      <c r="AG6817">
        <v>-0.14825730000000001</v>
      </c>
      <c r="AH6817">
        <v>0.57421710110315305</v>
      </c>
      <c r="AI6817">
        <v>104.40292270313</v>
      </c>
      <c r="AJ6817">
        <v>84.074345892535305</v>
      </c>
      <c r="AK6817">
        <v>0.59603489661123499</v>
      </c>
      <c r="AL6817">
        <v>93.821368338848302</v>
      </c>
      <c r="AM6817">
        <v>84.439365809692504</v>
      </c>
      <c r="AN6817">
        <v>0.99999994428442496</v>
      </c>
    </row>
    <row r="6818" spans="1:40" x14ac:dyDescent="0.25">
      <c r="A6818" t="str">
        <f>"20190305135406508"</f>
        <v>20190305135406508</v>
      </c>
      <c r="B6818" t="str">
        <f>"1551765246497164"</f>
        <v>1551765246497164</v>
      </c>
      <c r="C6818" t="s">
        <v>40</v>
      </c>
      <c r="D6818">
        <v>5.0024569999999997</v>
      </c>
      <c r="E6818">
        <v>0.49487209999999998</v>
      </c>
      <c r="F6818" t="s">
        <v>41</v>
      </c>
      <c r="G6818">
        <v>-176.30090000000001</v>
      </c>
      <c r="H6818">
        <v>0.92494180000000004</v>
      </c>
      <c r="I6818">
        <v>133.26929999999999</v>
      </c>
      <c r="J6818">
        <v>-176.9573</v>
      </c>
      <c r="K6818">
        <v>1.1095170000000001</v>
      </c>
      <c r="L6818">
        <v>133.19569999999999</v>
      </c>
      <c r="M6818">
        <v>0.97848250000000003</v>
      </c>
      <c r="N6818">
        <v>-1.2450370000000001E-2</v>
      </c>
      <c r="O6818">
        <v>0.20595440000000001</v>
      </c>
      <c r="P6818">
        <v>0.99016649999999995</v>
      </c>
      <c r="Q6818">
        <v>-8.1743280000000001E-2</v>
      </c>
      <c r="R6818">
        <v>0.1135274</v>
      </c>
      <c r="S6818">
        <v>2.9316409999999999</v>
      </c>
      <c r="T6818">
        <v>-0.72686700000000004</v>
      </c>
      <c r="U6818">
        <v>0.3445587</v>
      </c>
      <c r="V6818">
        <v>9.285852E-2</v>
      </c>
      <c r="W6818">
        <v>-6.9373080000000004E-2</v>
      </c>
      <c r="X6818">
        <v>0.99325960000000002</v>
      </c>
      <c r="Y6818">
        <v>8.2321199999999997E-2</v>
      </c>
      <c r="Z6818">
        <v>-5.771507E-2</v>
      </c>
      <c r="AA6818">
        <v>0.99493319999999996</v>
      </c>
      <c r="AB6818">
        <v>9</v>
      </c>
      <c r="AC6818">
        <v>0.65639999999998999</v>
      </c>
      <c r="AD6818">
        <v>-0.18457519999999999</v>
      </c>
      <c r="AE6818">
        <v>7.3599999999999E-2</v>
      </c>
      <c r="AF6818">
        <v>5.8601018216555903E-2</v>
      </c>
      <c r="AG6818">
        <v>-0.18457519999999999</v>
      </c>
      <c r="AH6818">
        <v>0.60986221371942795</v>
      </c>
      <c r="AI6818">
        <v>106.765613763015</v>
      </c>
      <c r="AJ6818">
        <v>84.511359822516198</v>
      </c>
      <c r="AK6818">
        <v>0.63987030210333895</v>
      </c>
      <c r="AL6818">
        <v>93.977979886914994</v>
      </c>
      <c r="AM6818">
        <v>84.659017911375599</v>
      </c>
      <c r="AN6818">
        <v>0.99999998097871801</v>
      </c>
    </row>
    <row r="6819" spans="1:40" x14ac:dyDescent="0.25">
      <c r="A6819" t="str">
        <f>"20190305135406531"</f>
        <v>20190305135406531</v>
      </c>
      <c r="B6819" t="str">
        <f>"1551765246527420"</f>
        <v>1551765246527420</v>
      </c>
      <c r="C6819" t="s">
        <v>40</v>
      </c>
      <c r="D6819">
        <v>4.9611970000000003</v>
      </c>
      <c r="E6819">
        <v>0.49652479999999899</v>
      </c>
      <c r="F6819" t="s">
        <v>41</v>
      </c>
      <c r="G6819">
        <v>-176.2269</v>
      </c>
      <c r="H6819">
        <v>0.91922400000000004</v>
      </c>
      <c r="I6819">
        <v>133.27850000000001</v>
      </c>
      <c r="J6819">
        <v>-176.87309999999999</v>
      </c>
      <c r="K6819">
        <v>1.1096029999999999</v>
      </c>
      <c r="L6819">
        <v>133.20910000000001</v>
      </c>
      <c r="M6819">
        <v>0.9792014</v>
      </c>
      <c r="N6819">
        <v>-1.2428089999999999E-2</v>
      </c>
      <c r="O6819">
        <v>0.20250969999999999</v>
      </c>
      <c r="P6819">
        <v>0.98992279999999999</v>
      </c>
      <c r="Q6819">
        <v>-8.296125E-2</v>
      </c>
      <c r="R6819">
        <v>0.11476219999999999</v>
      </c>
      <c r="S6819">
        <v>2.928741</v>
      </c>
      <c r="T6819">
        <v>-0.76272109999999904</v>
      </c>
      <c r="U6819">
        <v>0.33221440000000002</v>
      </c>
      <c r="V6819">
        <v>8.8125170000000003E-2</v>
      </c>
      <c r="W6819">
        <v>-7.0587170000000005E-2</v>
      </c>
      <c r="X6819">
        <v>0.99360530000000002</v>
      </c>
      <c r="Y6819">
        <v>8.209959E-2</v>
      </c>
      <c r="Z6819">
        <v>-5.9809429999999997E-2</v>
      </c>
      <c r="AA6819">
        <v>0.99482789999999999</v>
      </c>
      <c r="AB6819">
        <v>9</v>
      </c>
      <c r="AC6819">
        <v>0.646199999999993</v>
      </c>
      <c r="AD6819">
        <v>-0.19037899999999999</v>
      </c>
      <c r="AE6819">
        <v>6.9400000000001599E-2</v>
      </c>
      <c r="AF6819">
        <v>5.7938508970001502E-2</v>
      </c>
      <c r="AG6819">
        <v>-0.19037899999999999</v>
      </c>
      <c r="AH6819">
        <v>0.59574488187265096</v>
      </c>
      <c r="AI6819">
        <v>107.643994461983</v>
      </c>
      <c r="AJ6819">
        <v>84.445231364416799</v>
      </c>
      <c r="AK6819">
        <v>0.62810269760615201</v>
      </c>
      <c r="AL6819">
        <v>94.047712832283807</v>
      </c>
      <c r="AM6819">
        <v>84.931565993996699</v>
      </c>
      <c r="AN6819">
        <v>1.0000000431721101</v>
      </c>
    </row>
    <row r="6820" spans="1:40" x14ac:dyDescent="0.25">
      <c r="A6820" t="str">
        <f>"20190305135406553"</f>
        <v>20190305135406553</v>
      </c>
      <c r="B6820" t="str">
        <f>"1551765246546940"</f>
        <v>1551765246546940</v>
      </c>
      <c r="C6820" t="s">
        <v>40</v>
      </c>
      <c r="D6820">
        <v>4.9548329999999998</v>
      </c>
      <c r="E6820">
        <v>0.49755460000000001</v>
      </c>
      <c r="F6820" t="s">
        <v>41</v>
      </c>
      <c r="G6820">
        <v>-176.15090000000001</v>
      </c>
      <c r="H6820">
        <v>0.91808829999999997</v>
      </c>
      <c r="I6820">
        <v>133.28819999999999</v>
      </c>
      <c r="J6820">
        <v>-176.7867</v>
      </c>
      <c r="K6820">
        <v>1.109658</v>
      </c>
      <c r="L6820">
        <v>133.22290000000001</v>
      </c>
      <c r="M6820">
        <v>0.9798616</v>
      </c>
      <c r="N6820">
        <v>-1.241461E-2</v>
      </c>
      <c r="O6820">
        <v>0.19929189999999999</v>
      </c>
      <c r="P6820">
        <v>0.98979090000000003</v>
      </c>
      <c r="Q6820">
        <v>-8.2394229999999999E-2</v>
      </c>
      <c r="R6820">
        <v>0.11629929999999999</v>
      </c>
      <c r="S6820">
        <v>2.928223</v>
      </c>
      <c r="T6820">
        <v>-0.77585039999999905</v>
      </c>
      <c r="U6820">
        <v>0.32171630000000001</v>
      </c>
      <c r="V6820">
        <v>8.3340239999999996E-2</v>
      </c>
      <c r="W6820">
        <v>-7.0018380000000005E-2</v>
      </c>
      <c r="X6820">
        <v>0.99405829999999995</v>
      </c>
      <c r="Y6820">
        <v>8.2109059999999998E-2</v>
      </c>
      <c r="Z6820">
        <v>-6.0091890000000002E-2</v>
      </c>
      <c r="AA6820">
        <v>0.99480999999999997</v>
      </c>
      <c r="AB6820">
        <v>9</v>
      </c>
      <c r="AC6820">
        <v>0.63579999999998904</v>
      </c>
      <c r="AD6820">
        <v>-0.19156970000000001</v>
      </c>
      <c r="AE6820">
        <v>6.5299999999979194E-2</v>
      </c>
      <c r="AF6820">
        <v>5.7558749129124398E-2</v>
      </c>
      <c r="AG6820">
        <v>-0.19156970000000001</v>
      </c>
      <c r="AH6820">
        <v>0.58362737723999603</v>
      </c>
      <c r="AI6820">
        <v>108.08988540585899</v>
      </c>
      <c r="AJ6820">
        <v>84.367565046537294</v>
      </c>
      <c r="AK6820">
        <v>0.61695451617071095</v>
      </c>
      <c r="AL6820">
        <v>94.015042758104499</v>
      </c>
      <c r="AM6820">
        <v>85.207621892895403</v>
      </c>
      <c r="AN6820">
        <v>1.0000000364699799</v>
      </c>
    </row>
    <row r="6821" spans="1:40" x14ac:dyDescent="0.25">
      <c r="A6821" t="str">
        <f>"20190305135406576"</f>
        <v>20190305135406576</v>
      </c>
      <c r="B6821" t="str">
        <f>"1551765246566460"</f>
        <v>1551765246566460</v>
      </c>
      <c r="C6821" t="s">
        <v>40</v>
      </c>
      <c r="D6821">
        <v>4.90876</v>
      </c>
      <c r="E6821">
        <v>0.49845080000000003</v>
      </c>
      <c r="F6821" t="s">
        <v>41</v>
      </c>
      <c r="G6821">
        <v>-176.0735</v>
      </c>
      <c r="H6821">
        <v>0.92069160000000005</v>
      </c>
      <c r="I6821">
        <v>133.30009999999999</v>
      </c>
      <c r="J6821">
        <v>-176.7013</v>
      </c>
      <c r="K6821">
        <v>1.1096999999999999</v>
      </c>
      <c r="L6821">
        <v>133.23660000000001</v>
      </c>
      <c r="M6821">
        <v>0.98044370000000003</v>
      </c>
      <c r="N6821">
        <v>-1.241096E-2</v>
      </c>
      <c r="O6821">
        <v>0.19640869999999999</v>
      </c>
      <c r="P6821">
        <v>0.98980599999999996</v>
      </c>
      <c r="Q6821">
        <v>-8.0101270000000002E-2</v>
      </c>
      <c r="R6821">
        <v>0.1177632</v>
      </c>
      <c r="S6821">
        <v>2.9290620000000001</v>
      </c>
      <c r="T6821">
        <v>-0.77599839999999998</v>
      </c>
      <c r="U6821">
        <v>0.31726070000000001</v>
      </c>
      <c r="V6821">
        <v>7.8989190000000001E-2</v>
      </c>
      <c r="W6821">
        <v>-6.7719749999999995E-2</v>
      </c>
      <c r="X6821">
        <v>0.99457260000000003</v>
      </c>
      <c r="Y6821">
        <v>8.0835799999999999E-2</v>
      </c>
      <c r="Z6821">
        <v>-5.9222490000000003E-2</v>
      </c>
      <c r="AA6821">
        <v>0.99496640000000003</v>
      </c>
      <c r="AB6821">
        <v>9</v>
      </c>
      <c r="AC6821">
        <v>0.62780000000000702</v>
      </c>
      <c r="AD6821">
        <v>-0.18900839999999999</v>
      </c>
      <c r="AE6821">
        <v>6.3499999999976298E-2</v>
      </c>
      <c r="AF6821">
        <v>5.6025206598116099E-2</v>
      </c>
      <c r="AG6821">
        <v>-0.18900839999999999</v>
      </c>
      <c r="AH6821">
        <v>0.57633303463630703</v>
      </c>
      <c r="AI6821">
        <v>108.07726993359999</v>
      </c>
      <c r="AJ6821">
        <v>84.447735268593107</v>
      </c>
      <c r="AK6821">
        <v>0.60911638120971301</v>
      </c>
      <c r="AL6821">
        <v>93.883027803165604</v>
      </c>
      <c r="AM6821">
        <v>85.459087079537198</v>
      </c>
      <c r="AN6821">
        <v>0.99999995667383801</v>
      </c>
    </row>
    <row r="6822" spans="1:40" x14ac:dyDescent="0.25">
      <c r="A6822" t="str">
        <f>"20190305135406597"</f>
        <v>20190305135406597</v>
      </c>
      <c r="B6822" t="str">
        <f>"1551765246586955"</f>
        <v>1551765246586955</v>
      </c>
      <c r="C6822" t="s">
        <v>40</v>
      </c>
      <c r="D6822">
        <v>5.4019409999999999</v>
      </c>
      <c r="E6822">
        <v>0.49845080000000003</v>
      </c>
      <c r="F6822" t="s">
        <v>41</v>
      </c>
      <c r="G6822">
        <v>-175.9957</v>
      </c>
      <c r="H6822">
        <v>0.92430520000000005</v>
      </c>
      <c r="I6822">
        <v>133.31200000000001</v>
      </c>
      <c r="J6822">
        <v>-176.61969999999999</v>
      </c>
      <c r="K6822">
        <v>1.1097250000000001</v>
      </c>
      <c r="L6822">
        <v>133.24979999999999</v>
      </c>
      <c r="M6822">
        <v>0.98093859999999999</v>
      </c>
      <c r="N6822">
        <v>-1.240106E-2</v>
      </c>
      <c r="O6822">
        <v>0.19392200000000001</v>
      </c>
      <c r="P6822">
        <v>0.98966430000000005</v>
      </c>
      <c r="Q6822">
        <v>-7.9727049999999994E-2</v>
      </c>
      <c r="R6822">
        <v>0.1191984</v>
      </c>
      <c r="S6822">
        <v>2.9312589999999998</v>
      </c>
      <c r="T6822">
        <v>-0.76979330000000001</v>
      </c>
      <c r="U6822">
        <v>0.31391910000000001</v>
      </c>
      <c r="V6822">
        <v>7.5036820000000004E-2</v>
      </c>
      <c r="W6822">
        <v>-6.7350140000000003E-2</v>
      </c>
      <c r="X6822">
        <v>0.99490369999999995</v>
      </c>
      <c r="Y6822">
        <v>7.9774479999999995E-2</v>
      </c>
      <c r="Z6822">
        <v>-5.7971540000000002E-2</v>
      </c>
      <c r="AA6822">
        <v>0.99512579999999995</v>
      </c>
      <c r="AB6822">
        <v>9</v>
      </c>
      <c r="AC6822">
        <v>0.623999999999995</v>
      </c>
      <c r="AD6822">
        <v>-0.1854198</v>
      </c>
      <c r="AE6822">
        <v>6.22000000000184E-2</v>
      </c>
      <c r="AF6822">
        <v>5.5173835693220701E-2</v>
      </c>
      <c r="AG6822">
        <v>-0.1854198</v>
      </c>
      <c r="AH6822">
        <v>0.57402951852940098</v>
      </c>
      <c r="AI6822">
        <v>107.824290302549</v>
      </c>
      <c r="AJ6822">
        <v>84.509783017926097</v>
      </c>
      <c r="AK6822">
        <v>0.60575122164155704</v>
      </c>
      <c r="AL6822">
        <v>93.861802201542403</v>
      </c>
      <c r="AM6822">
        <v>85.686850059173594</v>
      </c>
      <c r="AN6822">
        <v>0.99999996899371002</v>
      </c>
    </row>
    <row r="6823" spans="1:40" x14ac:dyDescent="0.25">
      <c r="A6823" t="str">
        <f>"20190305135406620"</f>
        <v>20190305135406620</v>
      </c>
      <c r="B6823" t="str">
        <f>"1551765246606476"</f>
        <v>1551765246606476</v>
      </c>
      <c r="C6823" t="s">
        <v>40</v>
      </c>
      <c r="D6823">
        <v>4.8959489999999999</v>
      </c>
      <c r="E6823">
        <v>0.49964740000000002</v>
      </c>
      <c r="F6823" t="s">
        <v>41</v>
      </c>
      <c r="G6823">
        <v>-175.9194</v>
      </c>
      <c r="H6823">
        <v>0.92603539999999995</v>
      </c>
      <c r="I6823">
        <v>133.3263</v>
      </c>
      <c r="J6823">
        <v>-176.53270000000001</v>
      </c>
      <c r="K6823">
        <v>1.1097159999999999</v>
      </c>
      <c r="L6823">
        <v>133.26400000000001</v>
      </c>
      <c r="M6823">
        <v>0.98140740000000004</v>
      </c>
      <c r="N6823">
        <v>-1.23353E-2</v>
      </c>
      <c r="O6823">
        <v>0.19153990000000001</v>
      </c>
      <c r="P6823">
        <v>0.98967249999999996</v>
      </c>
      <c r="Q6823">
        <v>-8.0703620000000004E-2</v>
      </c>
      <c r="R6823">
        <v>0.11847149999999999</v>
      </c>
      <c r="S6823">
        <v>2.9308779999999999</v>
      </c>
      <c r="T6823">
        <v>-0.76878749999999996</v>
      </c>
      <c r="U6823">
        <v>0.31996149999999901</v>
      </c>
      <c r="V6823">
        <v>7.3342770000000002E-2</v>
      </c>
      <c r="W6823">
        <v>-6.8388389999999993E-2</v>
      </c>
      <c r="X6823">
        <v>0.99495919999999904</v>
      </c>
      <c r="Y6823">
        <v>7.5550560000000003E-2</v>
      </c>
      <c r="Z6823">
        <v>-5.6763660000000001E-2</v>
      </c>
      <c r="AA6823">
        <v>0.99552499999999999</v>
      </c>
      <c r="AB6823">
        <v>9</v>
      </c>
      <c r="AC6823">
        <v>0.61330000000000895</v>
      </c>
      <c r="AD6823">
        <v>-0.1836806</v>
      </c>
      <c r="AE6823">
        <v>6.2299999999993298E-2</v>
      </c>
      <c r="AF6823">
        <v>5.1740430545574499E-2</v>
      </c>
      <c r="AG6823">
        <v>-0.1836806</v>
      </c>
      <c r="AH6823">
        <v>0.56381999193594501</v>
      </c>
      <c r="AI6823">
        <v>107.97387481783301</v>
      </c>
      <c r="AJ6823">
        <v>84.756786797451795</v>
      </c>
      <c r="AK6823">
        <v>0.59523828697089898</v>
      </c>
      <c r="AL6823">
        <v>93.921427019996202</v>
      </c>
      <c r="AM6823">
        <v>85.784103981917696</v>
      </c>
      <c r="AN6823">
        <v>0.99999997173135102</v>
      </c>
    </row>
    <row r="6824" spans="1:40" x14ac:dyDescent="0.25">
      <c r="A6824" t="str">
        <f>"20190305135406643"</f>
        <v>20190305135406643</v>
      </c>
      <c r="B6824" t="str">
        <f>"1551765246636731"</f>
        <v>1551765246636731</v>
      </c>
      <c r="C6824" t="s">
        <v>40</v>
      </c>
      <c r="D6824">
        <v>5.149006</v>
      </c>
      <c r="E6824">
        <v>0.51576949999999999</v>
      </c>
      <c r="F6824" t="s">
        <v>41</v>
      </c>
      <c r="G6824">
        <v>-175.8424</v>
      </c>
      <c r="H6824">
        <v>0.92797229999999997</v>
      </c>
      <c r="I6824">
        <v>133.3372</v>
      </c>
      <c r="J6824">
        <v>-176.4462</v>
      </c>
      <c r="K6824">
        <v>1.1096569999999999</v>
      </c>
      <c r="L6824">
        <v>133.2782</v>
      </c>
      <c r="M6824">
        <v>0.98182539999999996</v>
      </c>
      <c r="N6824">
        <v>-1.2094239999999999E-2</v>
      </c>
      <c r="O6824">
        <v>0.18940080000000001</v>
      </c>
      <c r="P6824">
        <v>0.98991099999999999</v>
      </c>
      <c r="Q6824">
        <v>-8.1002329999999997E-2</v>
      </c>
      <c r="R6824">
        <v>0.116255399999999</v>
      </c>
      <c r="S6824">
        <v>2.9311219999999998</v>
      </c>
      <c r="T6824">
        <v>-0.77158740000000003</v>
      </c>
      <c r="U6824">
        <v>0.31114199999999997</v>
      </c>
      <c r="V6824">
        <v>7.3400469999999995E-2</v>
      </c>
      <c r="W6824">
        <v>-6.8923819999999997E-2</v>
      </c>
      <c r="X6824">
        <v>0.99491799999999997</v>
      </c>
      <c r="Y6824">
        <v>7.6311699999999996E-2</v>
      </c>
      <c r="Z6824">
        <v>-5.6601569999999997E-2</v>
      </c>
      <c r="AA6824">
        <v>0.99547620000000003</v>
      </c>
      <c r="AB6824">
        <v>8</v>
      </c>
      <c r="AC6824">
        <v>0.603800000000006</v>
      </c>
      <c r="AD6824">
        <v>-0.18168469999999901</v>
      </c>
      <c r="AE6824">
        <v>5.8999999999997499E-2</v>
      </c>
      <c r="AF6824">
        <v>5.1791656824978299E-2</v>
      </c>
      <c r="AG6824">
        <v>-0.18168469999999901</v>
      </c>
      <c r="AH6824">
        <v>0.554329525058886</v>
      </c>
      <c r="AI6824">
        <v>108.07329177437801</v>
      </c>
      <c r="AJ6824">
        <v>84.662283875004604</v>
      </c>
      <c r="AK6824">
        <v>0.58563890605284796</v>
      </c>
      <c r="AL6824">
        <v>93.952177449308294</v>
      </c>
      <c r="AM6824">
        <v>85.780625149754997</v>
      </c>
      <c r="AN6824">
        <v>0.99999997434180599</v>
      </c>
    </row>
    <row r="6825" spans="1:40" x14ac:dyDescent="0.25">
      <c r="A6825" t="str">
        <f>"20190305135406665"</f>
        <v>20190305135406665</v>
      </c>
      <c r="B6825" t="str">
        <f>"1551765246657229"</f>
        <v>1551765246657229</v>
      </c>
      <c r="C6825" t="s">
        <v>40</v>
      </c>
      <c r="D6825">
        <v>4.7772430000000004</v>
      </c>
      <c r="E6825">
        <v>0.51584129999999995</v>
      </c>
      <c r="F6825" t="s">
        <v>41</v>
      </c>
      <c r="G6825">
        <v>-175.75319999999999</v>
      </c>
      <c r="H6825">
        <v>0.9423163</v>
      </c>
      <c r="I6825">
        <v>133.32159999999999</v>
      </c>
      <c r="J6825">
        <v>-176.3603</v>
      </c>
      <c r="K6825">
        <v>1.1095280000000001</v>
      </c>
      <c r="L6825">
        <v>133.29249999999999</v>
      </c>
      <c r="M6825">
        <v>0.98220059999999998</v>
      </c>
      <c r="N6825">
        <v>-1.163397E-2</v>
      </c>
      <c r="O6825">
        <v>0.18747440000000001</v>
      </c>
      <c r="P6825">
        <v>0.98985199999999995</v>
      </c>
      <c r="Q6825">
        <v>-8.356537E-2</v>
      </c>
      <c r="R6825">
        <v>0.1149336</v>
      </c>
      <c r="S6825">
        <v>2.9505620000000001</v>
      </c>
      <c r="T6825">
        <v>-0.71262109999999901</v>
      </c>
      <c r="U6825">
        <v>0.18466189999999999</v>
      </c>
      <c r="V6825">
        <v>7.2741E-2</v>
      </c>
      <c r="W6825">
        <v>-7.1944919999999996E-2</v>
      </c>
      <c r="X6825">
        <v>0.99475259999999999</v>
      </c>
      <c r="Y6825">
        <v>0.1174457</v>
      </c>
      <c r="Z6825">
        <v>-5.6829039999999997E-2</v>
      </c>
      <c r="AA6825">
        <v>0.99145190000000005</v>
      </c>
      <c r="AB6825">
        <v>9</v>
      </c>
      <c r="AC6825">
        <v>0.60710000000000197</v>
      </c>
      <c r="AD6825">
        <v>-0.16721169999999999</v>
      </c>
      <c r="AE6825">
        <v>2.9099999999999598E-2</v>
      </c>
      <c r="AF6825">
        <v>7.9241925578352093E-2</v>
      </c>
      <c r="AG6825">
        <v>-0.16721169999999999</v>
      </c>
      <c r="AH6825">
        <v>0.55944778409227702</v>
      </c>
      <c r="AI6825">
        <v>106.48523335579</v>
      </c>
      <c r="AJ6825">
        <v>81.9380768251539</v>
      </c>
      <c r="AK6825">
        <v>0.58925449384117101</v>
      </c>
      <c r="AL6825">
        <v>94.125704540522605</v>
      </c>
      <c r="AM6825">
        <v>85.817706427137693</v>
      </c>
      <c r="AN6825">
        <v>1.0000000299007801</v>
      </c>
    </row>
    <row r="6826" spans="1:40" x14ac:dyDescent="0.25">
      <c r="A6826" t="str">
        <f>"20190305135406688"</f>
        <v>20190305135406688</v>
      </c>
      <c r="B6826" t="str">
        <f>"1551765246676750"</f>
        <v>1551765246676750</v>
      </c>
      <c r="C6826" t="s">
        <v>40</v>
      </c>
      <c r="D6826">
        <v>4.7713320000000001</v>
      </c>
      <c r="E6826">
        <v>0.516486</v>
      </c>
      <c r="F6826" t="s">
        <v>41</v>
      </c>
      <c r="G6826">
        <v>-175.67330000000001</v>
      </c>
      <c r="H6826">
        <v>0.94792600000000005</v>
      </c>
      <c r="I6826">
        <v>133.33510000000001</v>
      </c>
      <c r="J6826">
        <v>-176.27359999999999</v>
      </c>
      <c r="K6826">
        <v>1.109372</v>
      </c>
      <c r="L6826">
        <v>133.30699999999999</v>
      </c>
      <c r="M6826">
        <v>0.98253429999999997</v>
      </c>
      <c r="N6826">
        <v>-1.1030160000000001E-2</v>
      </c>
      <c r="O6826">
        <v>0.18575410000000001</v>
      </c>
      <c r="P6826">
        <v>0.98948069999999999</v>
      </c>
      <c r="Q6826">
        <v>-8.8277090000000003E-2</v>
      </c>
      <c r="R6826">
        <v>0.114609199999999</v>
      </c>
      <c r="S6826">
        <v>2.9508359999999998</v>
      </c>
      <c r="T6826">
        <v>-0.6940733</v>
      </c>
      <c r="U6826">
        <v>0.18348690000000001</v>
      </c>
      <c r="V6826">
        <v>7.1254059999999994E-2</v>
      </c>
      <c r="W6826">
        <v>-7.7260040000000002E-2</v>
      </c>
      <c r="X6826">
        <v>0.9944615</v>
      </c>
      <c r="Y6826">
        <v>0.1165861</v>
      </c>
      <c r="Z6826">
        <v>-5.4945099999999997E-2</v>
      </c>
      <c r="AA6826">
        <v>0.99165959999999997</v>
      </c>
      <c r="AB6826">
        <v>9</v>
      </c>
      <c r="AC6826">
        <v>0.60029999999997496</v>
      </c>
      <c r="AD6826">
        <v>-0.16144599999999901</v>
      </c>
      <c r="AE6826">
        <v>2.80999999999949E-2</v>
      </c>
      <c r="AF6826">
        <v>7.8256193276868696E-2</v>
      </c>
      <c r="AG6826">
        <v>-0.16144599999999901</v>
      </c>
      <c r="AH6826">
        <v>0.55501485919645499</v>
      </c>
      <c r="AI6826">
        <v>106.068349211303</v>
      </c>
      <c r="AJ6826">
        <v>81.9742942564896</v>
      </c>
      <c r="AK6826">
        <v>0.583292668075853</v>
      </c>
      <c r="AL6826">
        <v>94.431090131288002</v>
      </c>
      <c r="AM6826">
        <v>85.901709679474493</v>
      </c>
      <c r="AN6826">
        <v>0.99999996491476695</v>
      </c>
    </row>
    <row r="6827" spans="1:40" x14ac:dyDescent="0.25">
      <c r="A6827" t="str">
        <f>"20190305135406709"</f>
        <v>20190305135406709</v>
      </c>
      <c r="B6827" t="str">
        <f>"1551765246697244"</f>
        <v>1551765246697244</v>
      </c>
      <c r="C6827" t="s">
        <v>40</v>
      </c>
      <c r="D6827">
        <v>4.752535</v>
      </c>
      <c r="E6827">
        <v>0.5167794</v>
      </c>
      <c r="F6827" t="s">
        <v>41</v>
      </c>
      <c r="G6827">
        <v>-175.52209999999999</v>
      </c>
      <c r="H6827">
        <v>0.93093159999999997</v>
      </c>
      <c r="I6827">
        <v>133.35239999999999</v>
      </c>
      <c r="J6827">
        <v>-176.1858</v>
      </c>
      <c r="K6827">
        <v>1.109218</v>
      </c>
      <c r="L6827">
        <v>133.3219</v>
      </c>
      <c r="M6827">
        <v>0.98282440000000004</v>
      </c>
      <c r="N6827">
        <v>-1.0381960000000001E-2</v>
      </c>
      <c r="O6827">
        <v>0.18425069999999999</v>
      </c>
      <c r="P6827">
        <v>0.98902979999999996</v>
      </c>
      <c r="Q6827">
        <v>-9.1803029999999994E-2</v>
      </c>
      <c r="R6827">
        <v>0.1157257</v>
      </c>
      <c r="S6827">
        <v>2.9487299999999999</v>
      </c>
      <c r="T6827">
        <v>-0.70012059999999998</v>
      </c>
      <c r="U6827">
        <v>0.1785736</v>
      </c>
      <c r="V6827">
        <v>6.8557599999999996E-2</v>
      </c>
      <c r="W6827">
        <v>-8.1431749999999997E-2</v>
      </c>
      <c r="X6827">
        <v>0.99431820000000004</v>
      </c>
      <c r="Y6827">
        <v>0.11653860000000001</v>
      </c>
      <c r="Z6827">
        <v>-5.5211910000000003E-2</v>
      </c>
      <c r="AA6827">
        <v>0.99165029999999998</v>
      </c>
      <c r="AB6827">
        <v>9</v>
      </c>
      <c r="AC6827">
        <v>0.66370000000000495</v>
      </c>
      <c r="AD6827">
        <v>-0.17828640000000001</v>
      </c>
      <c r="AE6827">
        <v>3.04999999999893E-2</v>
      </c>
      <c r="AF6827">
        <v>8.6115107368918503E-2</v>
      </c>
      <c r="AG6827">
        <v>-0.17828640000000001</v>
      </c>
      <c r="AH6827">
        <v>0.61376044955465003</v>
      </c>
      <c r="AI6827">
        <v>106.04864098252899</v>
      </c>
      <c r="AJ6827">
        <v>82.013118523344701</v>
      </c>
      <c r="AK6827">
        <v>0.64490599437410001</v>
      </c>
      <c r="AL6827">
        <v>94.670867613593998</v>
      </c>
      <c r="AM6827">
        <v>86.055735333752494</v>
      </c>
      <c r="AN6827">
        <v>0.99999997863853096</v>
      </c>
    </row>
    <row r="6828" spans="1:40" x14ac:dyDescent="0.25">
      <c r="A6828" t="str">
        <f>"20190305135406733"</f>
        <v>20190305135406733</v>
      </c>
      <c r="B6828" t="str">
        <f>"1551765246726528"</f>
        <v>1551765246726528</v>
      </c>
      <c r="C6828" t="s">
        <v>40</v>
      </c>
      <c r="D6828">
        <v>4.714664</v>
      </c>
      <c r="E6828">
        <v>0.51714959999999999</v>
      </c>
      <c r="F6828" t="s">
        <v>41</v>
      </c>
      <c r="G6828">
        <v>-175.4425</v>
      </c>
      <c r="H6828">
        <v>0.92984370000000005</v>
      </c>
      <c r="I6828">
        <v>133.36699999999999</v>
      </c>
      <c r="J6828">
        <v>-176.0925</v>
      </c>
      <c r="K6828">
        <v>1.1090789999999999</v>
      </c>
      <c r="L6828">
        <v>133.33789999999999</v>
      </c>
      <c r="M6828">
        <v>0.98308629999999997</v>
      </c>
      <c r="N6828">
        <v>-9.6979340000000001E-3</v>
      </c>
      <c r="O6828">
        <v>0.18288670000000001</v>
      </c>
      <c r="P6828">
        <v>0.98866949999999998</v>
      </c>
      <c r="Q6828">
        <v>-9.4402449999999999E-2</v>
      </c>
      <c r="R6828">
        <v>0.1167094</v>
      </c>
      <c r="S6828">
        <v>2.9462890000000002</v>
      </c>
      <c r="T6828">
        <v>-0.71096239999999999</v>
      </c>
      <c r="U6828">
        <v>0.1793671</v>
      </c>
      <c r="V6828">
        <v>6.6148129999999999E-2</v>
      </c>
      <c r="W6828">
        <v>-8.4713289999999997E-2</v>
      </c>
      <c r="X6828">
        <v>0.99420730000000002</v>
      </c>
      <c r="Y6828">
        <v>0.1146529</v>
      </c>
      <c r="Z6828">
        <v>-5.5654370000000002E-2</v>
      </c>
      <c r="AA6828">
        <v>0.99184539999999999</v>
      </c>
      <c r="AB6828">
        <v>9</v>
      </c>
      <c r="AC6828">
        <v>0.65000000000000502</v>
      </c>
      <c r="AD6828">
        <v>-0.17923529999999999</v>
      </c>
      <c r="AE6828">
        <v>2.91000000000281E-2</v>
      </c>
      <c r="AF6828">
        <v>8.3905670247254302E-2</v>
      </c>
      <c r="AG6828">
        <v>-0.17923529999999999</v>
      </c>
      <c r="AH6828">
        <v>0.59891052543141399</v>
      </c>
      <c r="AI6828">
        <v>106.50848247383099</v>
      </c>
      <c r="AJ6828">
        <v>82.024929219921802</v>
      </c>
      <c r="AK6828">
        <v>0.63076086731681702</v>
      </c>
      <c r="AL6828">
        <v>94.859537956443404</v>
      </c>
      <c r="AM6828">
        <v>86.193519145197797</v>
      </c>
      <c r="AN6828">
        <v>1.0000000359892001</v>
      </c>
    </row>
    <row r="6829" spans="1:40" x14ac:dyDescent="0.25">
      <c r="A6829" t="str">
        <f>"20190305135406755"</f>
        <v>20190305135406755</v>
      </c>
      <c r="B6829" t="str">
        <f>"1551765246747022"</f>
        <v>1551765246747022</v>
      </c>
      <c r="C6829" t="s">
        <v>40</v>
      </c>
      <c r="D6829">
        <v>4.7254310000000004</v>
      </c>
      <c r="E6829">
        <v>0.51749609999999902</v>
      </c>
      <c r="F6829" t="s">
        <v>41</v>
      </c>
      <c r="G6829">
        <v>-175.36060000000001</v>
      </c>
      <c r="H6829">
        <v>0.93147489999999999</v>
      </c>
      <c r="I6829">
        <v>133.38229999999999</v>
      </c>
      <c r="J6829">
        <v>-175.9975</v>
      </c>
      <c r="K6829">
        <v>1.108968</v>
      </c>
      <c r="L6829">
        <v>133.35429999999999</v>
      </c>
      <c r="M6829">
        <v>0.9833035</v>
      </c>
      <c r="N6829">
        <v>-9.0184529999999992E-3</v>
      </c>
      <c r="O6829">
        <v>0.18174960000000001</v>
      </c>
      <c r="P6829">
        <v>0.98855329999999997</v>
      </c>
      <c r="Q6829">
        <v>-9.6591560000000007E-2</v>
      </c>
      <c r="R6829">
        <v>0.1158991</v>
      </c>
      <c r="S6829">
        <v>2.9449619999999999</v>
      </c>
      <c r="T6829">
        <v>-0.71462109999999901</v>
      </c>
      <c r="U6829">
        <v>0.17950439999999901</v>
      </c>
      <c r="V6829">
        <v>6.577761E-2</v>
      </c>
      <c r="W6829">
        <v>-8.7578489999999995E-2</v>
      </c>
      <c r="X6829">
        <v>0.99398359999999997</v>
      </c>
      <c r="Y6829">
        <v>0.113387</v>
      </c>
      <c r="Z6829">
        <v>-5.5633250000000002E-2</v>
      </c>
      <c r="AA6829">
        <v>0.99199210000000004</v>
      </c>
      <c r="AB6829">
        <v>9</v>
      </c>
      <c r="AC6829">
        <v>0.63689999999999702</v>
      </c>
      <c r="AD6829">
        <v>-0.17749309999999899</v>
      </c>
      <c r="AE6829">
        <v>2.79999999999915E-2</v>
      </c>
      <c r="AF6829">
        <v>8.1880498853613704E-2</v>
      </c>
      <c r="AG6829">
        <v>-0.17749309999999899</v>
      </c>
      <c r="AH6829">
        <v>0.58596034556775201</v>
      </c>
      <c r="AI6829">
        <v>106.698980372902</v>
      </c>
      <c r="AJ6829">
        <v>82.0451541005324</v>
      </c>
      <c r="AK6829">
        <v>0.61770360466651497</v>
      </c>
      <c r="AL6829">
        <v>95.024314399228501</v>
      </c>
      <c r="AM6829">
        <v>86.213929083759695</v>
      </c>
      <c r="AN6829">
        <v>1.00000004147847</v>
      </c>
    </row>
    <row r="6830" spans="1:40" x14ac:dyDescent="0.25">
      <c r="A6830" t="str">
        <f>"20190305135406776"</f>
        <v>20190305135406776</v>
      </c>
      <c r="B6830" t="str">
        <f>"1551765246766540"</f>
        <v>1551765246766540</v>
      </c>
      <c r="C6830" t="s">
        <v>40</v>
      </c>
      <c r="D6830">
        <v>4.7034520000000004</v>
      </c>
      <c r="E6830">
        <v>0.51790020000000003</v>
      </c>
      <c r="F6830" t="s">
        <v>41</v>
      </c>
      <c r="G6830">
        <v>-175.2773</v>
      </c>
      <c r="H6830">
        <v>0.9330965</v>
      </c>
      <c r="I6830">
        <v>133.39709999999999</v>
      </c>
      <c r="J6830">
        <v>-175.91120000000001</v>
      </c>
      <c r="K6830">
        <v>1.108897</v>
      </c>
      <c r="L6830">
        <v>133.36930000000001</v>
      </c>
      <c r="M6830">
        <v>0.98345530000000003</v>
      </c>
      <c r="N6830">
        <v>-8.4199740000000002E-3</v>
      </c>
      <c r="O6830">
        <v>0.18095539999999999</v>
      </c>
      <c r="P6830">
        <v>0.98873920000000004</v>
      </c>
      <c r="Q6830">
        <v>-9.6516560000000001E-2</v>
      </c>
      <c r="R6830">
        <v>0.1143646</v>
      </c>
      <c r="S6830">
        <v>2.944</v>
      </c>
      <c r="T6830">
        <v>-0.71892769999999995</v>
      </c>
      <c r="U6830">
        <v>0.17485049999999999</v>
      </c>
      <c r="V6830">
        <v>6.6523180000000001E-2</v>
      </c>
      <c r="W6830">
        <v>-8.8094149999999996E-2</v>
      </c>
      <c r="X6830">
        <v>0.99388840000000001</v>
      </c>
      <c r="Y6830">
        <v>0.1140066</v>
      </c>
      <c r="Z6830">
        <v>-5.5957130000000001E-2</v>
      </c>
      <c r="AA6830">
        <v>0.99190290000000003</v>
      </c>
      <c r="AB6830">
        <v>9</v>
      </c>
      <c r="AC6830">
        <v>0.63390000000001101</v>
      </c>
      <c r="AD6830">
        <v>-0.1758005</v>
      </c>
      <c r="AE6830">
        <v>2.7799999999984899E-2</v>
      </c>
      <c r="AF6830">
        <v>8.1141800120393404E-2</v>
      </c>
      <c r="AG6830">
        <v>-0.1758005</v>
      </c>
      <c r="AH6830">
        <v>0.58366034116607501</v>
      </c>
      <c r="AI6830">
        <v>106.611644098678</v>
      </c>
      <c r="AJ6830">
        <v>82.085338482834999</v>
      </c>
      <c r="AK6830">
        <v>0.61493837201554402</v>
      </c>
      <c r="AL6830">
        <v>95.053974224404698</v>
      </c>
      <c r="AM6830">
        <v>86.170776353737395</v>
      </c>
      <c r="AN6830">
        <v>1.00000003219804</v>
      </c>
    </row>
    <row r="6831" spans="1:40" x14ac:dyDescent="0.25">
      <c r="A6831" t="str">
        <f>"20190305135406798"</f>
        <v>20190305135406798</v>
      </c>
      <c r="B6831" t="str">
        <f>"1551765246787036"</f>
        <v>1551765246787036</v>
      </c>
      <c r="C6831" t="s">
        <v>40</v>
      </c>
      <c r="D6831">
        <v>4.7374589999999897</v>
      </c>
      <c r="E6831">
        <v>0.51823319999999995</v>
      </c>
      <c r="F6831" t="s">
        <v>41</v>
      </c>
      <c r="G6831">
        <v>-175.1927</v>
      </c>
      <c r="H6831">
        <v>0.93391820000000003</v>
      </c>
      <c r="I6831">
        <v>133.4102</v>
      </c>
      <c r="J6831">
        <v>-175.81649999999999</v>
      </c>
      <c r="K6831">
        <v>1.1088629999999999</v>
      </c>
      <c r="L6831">
        <v>133.3861</v>
      </c>
      <c r="M6831">
        <v>0.98356770000000004</v>
      </c>
      <c r="N6831">
        <v>-7.785714E-3</v>
      </c>
      <c r="O6831">
        <v>0.1803717</v>
      </c>
      <c r="P6831">
        <v>0.98864759999999996</v>
      </c>
      <c r="Q6831">
        <v>-9.7678550000000003E-2</v>
      </c>
      <c r="R6831">
        <v>0.1141706</v>
      </c>
      <c r="S6831">
        <v>2.9447169999999998</v>
      </c>
      <c r="T6831">
        <v>-0.7171284</v>
      </c>
      <c r="U6831">
        <v>0.16810610000000001</v>
      </c>
      <c r="V6831">
        <v>6.6121029999999997E-2</v>
      </c>
      <c r="W6831">
        <v>-8.9878369999999999E-2</v>
      </c>
      <c r="X6831">
        <v>0.99375550000000001</v>
      </c>
      <c r="Y6831">
        <v>0.1156862</v>
      </c>
      <c r="Z6831">
        <v>-5.5962570000000003E-2</v>
      </c>
      <c r="AA6831">
        <v>0.99170809999999998</v>
      </c>
      <c r="AB6831">
        <v>9</v>
      </c>
      <c r="AC6831">
        <v>0.62379999999998803</v>
      </c>
      <c r="AD6831">
        <v>-0.17494479999999901</v>
      </c>
      <c r="AE6831">
        <v>2.4100000000004201E-2</v>
      </c>
      <c r="AF6831">
        <v>8.2347417755759794E-2</v>
      </c>
      <c r="AG6831">
        <v>-0.17494479999999901</v>
      </c>
      <c r="AH6831">
        <v>0.57292084715310498</v>
      </c>
      <c r="AI6831">
        <v>106.81743299005601</v>
      </c>
      <c r="AJ6831">
        <v>81.820745432413901</v>
      </c>
      <c r="AK6831">
        <v>0.60466939509182405</v>
      </c>
      <c r="AL6831">
        <v>95.156609573686396</v>
      </c>
      <c r="AM6831">
        <v>86.193349244615504</v>
      </c>
      <c r="AN6831">
        <v>1.0000000528911801</v>
      </c>
    </row>
    <row r="6832" spans="1:40" x14ac:dyDescent="0.25">
      <c r="A6832" t="str">
        <f>"20190305135406822"</f>
        <v>20190305135406822</v>
      </c>
      <c r="B6832" t="str">
        <f>"1551765246817292"</f>
        <v>1551765246817292</v>
      </c>
      <c r="C6832" t="s">
        <v>40</v>
      </c>
      <c r="D6832">
        <v>4.6752510000000003</v>
      </c>
      <c r="E6832">
        <v>0.51861579999999996</v>
      </c>
      <c r="F6832" t="s">
        <v>41</v>
      </c>
      <c r="G6832">
        <v>-175.1071</v>
      </c>
      <c r="H6832">
        <v>0.93529649999999998</v>
      </c>
      <c r="I6832">
        <v>133.42590000000001</v>
      </c>
      <c r="J6832">
        <v>-175.7175</v>
      </c>
      <c r="K6832">
        <v>1.108867</v>
      </c>
      <c r="L6832">
        <v>133.40379999999999</v>
      </c>
      <c r="M6832">
        <v>0.98362280000000002</v>
      </c>
      <c r="N6832">
        <v>-7.1428949999999998E-3</v>
      </c>
      <c r="O6832">
        <v>0.18009739999999999</v>
      </c>
      <c r="P6832">
        <v>0.98830689999999999</v>
      </c>
      <c r="Q6832">
        <v>-9.8616510000000004E-2</v>
      </c>
      <c r="R6832">
        <v>0.1162952</v>
      </c>
      <c r="S6832">
        <v>2.944153</v>
      </c>
      <c r="T6832">
        <v>-0.72036099999999903</v>
      </c>
      <c r="U6832">
        <v>0.16546629999999901</v>
      </c>
      <c r="V6832">
        <v>6.3713640000000002E-2</v>
      </c>
      <c r="W6832">
        <v>-9.1443079999999996E-2</v>
      </c>
      <c r="X6832">
        <v>0.99376989999999998</v>
      </c>
      <c r="Y6832">
        <v>0.1161795</v>
      </c>
      <c r="Z6832">
        <v>-5.6299990000000001E-2</v>
      </c>
      <c r="AA6832">
        <v>0.99163129999999999</v>
      </c>
      <c r="AB6832">
        <v>10</v>
      </c>
      <c r="AC6832">
        <v>0.61039999999999806</v>
      </c>
      <c r="AD6832">
        <v>-0.17357049999999999</v>
      </c>
      <c r="AE6832">
        <v>2.2100000000023101E-2</v>
      </c>
      <c r="AF6832">
        <v>8.1605802740478295E-2</v>
      </c>
      <c r="AG6832">
        <v>-0.17357049999999999</v>
      </c>
      <c r="AH6832">
        <v>0.55923921263742105</v>
      </c>
      <c r="AI6832">
        <v>107.07258113637801</v>
      </c>
      <c r="AJ6832">
        <v>81.697830667055996</v>
      </c>
      <c r="AK6832">
        <v>0.59121461624564997</v>
      </c>
      <c r="AL6832">
        <v>95.246632179567101</v>
      </c>
      <c r="AM6832">
        <v>86.331612416552005</v>
      </c>
      <c r="AN6832">
        <v>0.99999993947397103</v>
      </c>
    </row>
    <row r="6833" spans="1:40" x14ac:dyDescent="0.25">
      <c r="A6833" t="str">
        <f>"20190305135406845"</f>
        <v>20190305135406845</v>
      </c>
      <c r="B6833" t="str">
        <f>"1551765246836812"</f>
        <v>1551765246836812</v>
      </c>
      <c r="C6833" t="s">
        <v>40</v>
      </c>
      <c r="D6833">
        <v>4.7465449999999896</v>
      </c>
      <c r="E6833">
        <v>0.51903429999999995</v>
      </c>
      <c r="F6833" t="s">
        <v>41</v>
      </c>
      <c r="G6833">
        <v>-175.01939999999999</v>
      </c>
      <c r="H6833">
        <v>0.93879809999999997</v>
      </c>
      <c r="I6833">
        <v>133.44399999999999</v>
      </c>
      <c r="J6833">
        <v>-175.61590000000001</v>
      </c>
      <c r="K6833">
        <v>1.1089329999999999</v>
      </c>
      <c r="L6833">
        <v>133.42240000000001</v>
      </c>
      <c r="M6833">
        <v>0.98361339999999997</v>
      </c>
      <c r="N6833">
        <v>-6.4964699999999998E-3</v>
      </c>
      <c r="O6833">
        <v>0.18017349999999999</v>
      </c>
      <c r="P6833">
        <v>0.98795460000000002</v>
      </c>
      <c r="Q6833">
        <v>-9.8871399999999998E-2</v>
      </c>
      <c r="R6833">
        <v>0.11903909999999999</v>
      </c>
      <c r="S6833">
        <v>2.943924</v>
      </c>
      <c r="T6833">
        <v>-0.71734390000000003</v>
      </c>
      <c r="U6833">
        <v>0.16983029999999999</v>
      </c>
      <c r="V6833">
        <v>6.1054329999999997E-2</v>
      </c>
      <c r="W6833">
        <v>-9.2325569999999996E-2</v>
      </c>
      <c r="X6833">
        <v>0.9938553</v>
      </c>
      <c r="Y6833">
        <v>0.114875</v>
      </c>
      <c r="Z6833">
        <v>-5.6001759999999998E-2</v>
      </c>
      <c r="AA6833">
        <v>0.99180009999999996</v>
      </c>
      <c r="AB6833">
        <v>10</v>
      </c>
      <c r="AC6833">
        <v>0.59650000000002001</v>
      </c>
      <c r="AD6833">
        <v>-0.17013489999999901</v>
      </c>
      <c r="AE6833">
        <v>2.1599999999978001E-2</v>
      </c>
      <c r="AF6833">
        <v>7.9749972997775295E-2</v>
      </c>
      <c r="AG6833">
        <v>-0.17013489999999901</v>
      </c>
      <c r="AH6833">
        <v>0.54624953744132698</v>
      </c>
      <c r="AI6833">
        <v>107.128923183019</v>
      </c>
      <c r="AJ6833">
        <v>81.6937574034786</v>
      </c>
      <c r="AK6833">
        <v>0.57766296362673297</v>
      </c>
      <c r="AL6833">
        <v>95.297409622589399</v>
      </c>
      <c r="AM6833">
        <v>86.484634289682603</v>
      </c>
      <c r="AN6833">
        <v>0.99999999971283104</v>
      </c>
    </row>
    <row r="6834" spans="1:40" x14ac:dyDescent="0.25">
      <c r="A6834" t="str">
        <f>"20190305135406866"</f>
        <v>20190305135406866</v>
      </c>
      <c r="B6834" t="str">
        <f>"1551765246857308"</f>
        <v>1551765246857308</v>
      </c>
      <c r="C6834" t="s">
        <v>40</v>
      </c>
      <c r="D6834">
        <v>4.7023859999999997</v>
      </c>
      <c r="E6834">
        <v>0.53043200000000001</v>
      </c>
      <c r="F6834" t="s">
        <v>41</v>
      </c>
      <c r="G6834">
        <v>-174.9306</v>
      </c>
      <c r="H6834">
        <v>0.9423028</v>
      </c>
      <c r="I6834">
        <v>133.4633</v>
      </c>
      <c r="J6834">
        <v>-175.52199999999999</v>
      </c>
      <c r="K6834">
        <v>1.1089990000000001</v>
      </c>
      <c r="L6834">
        <v>133.44</v>
      </c>
      <c r="M6834">
        <v>0.98354180000000002</v>
      </c>
      <c r="N6834">
        <v>-5.908969E-3</v>
      </c>
      <c r="O6834">
        <v>0.18058440000000001</v>
      </c>
      <c r="P6834">
        <v>0.98752519999999999</v>
      </c>
      <c r="Q6834">
        <v>-0.10030650000000001</v>
      </c>
      <c r="R6834">
        <v>0.1213789</v>
      </c>
      <c r="S6834">
        <v>2.9438170000000001</v>
      </c>
      <c r="T6834">
        <v>-0.71578649999999999</v>
      </c>
      <c r="U6834">
        <v>0.17526249999999999</v>
      </c>
      <c r="V6834">
        <v>5.911959E-2</v>
      </c>
      <c r="W6834">
        <v>-9.4330650000000002E-2</v>
      </c>
      <c r="X6834">
        <v>0.993784</v>
      </c>
      <c r="Y6834">
        <v>0.1135129</v>
      </c>
      <c r="Z6834">
        <v>-5.5877110000000001E-2</v>
      </c>
      <c r="AA6834">
        <v>0.99196399999999996</v>
      </c>
      <c r="AB6834">
        <v>10</v>
      </c>
      <c r="AC6834">
        <v>0.59140000000002102</v>
      </c>
      <c r="AD6834">
        <v>-0.16669619999999999</v>
      </c>
      <c r="AE6834">
        <v>2.3300000000006E-2</v>
      </c>
      <c r="AF6834">
        <v>7.7717534263892704E-2</v>
      </c>
      <c r="AG6834">
        <v>-0.16669619999999999</v>
      </c>
      <c r="AH6834">
        <v>0.54282438356570795</v>
      </c>
      <c r="AI6834">
        <v>106.908780247538</v>
      </c>
      <c r="AJ6834">
        <v>81.852190111683399</v>
      </c>
      <c r="AK6834">
        <v>0.57313693793018605</v>
      </c>
      <c r="AL6834">
        <v>95.412795778594003</v>
      </c>
      <c r="AM6834">
        <v>86.595522181380503</v>
      </c>
      <c r="AN6834">
        <v>1.00000001805359</v>
      </c>
    </row>
    <row r="6835" spans="1:40" x14ac:dyDescent="0.25">
      <c r="A6835" t="str">
        <f>"20190305135406887"</f>
        <v>20190305135406887</v>
      </c>
      <c r="B6835" t="str">
        <f>"1551765246876829"</f>
        <v>1551765246876829</v>
      </c>
      <c r="C6835" t="s">
        <v>40</v>
      </c>
      <c r="D6835">
        <v>4.7070699999999999</v>
      </c>
      <c r="E6835">
        <v>0.52927209999999902</v>
      </c>
      <c r="F6835" t="s">
        <v>41</v>
      </c>
      <c r="G6835">
        <v>-174.75110000000001</v>
      </c>
      <c r="H6835">
        <v>0.92501199999999995</v>
      </c>
      <c r="I6835">
        <v>133.46420000000001</v>
      </c>
      <c r="J6835">
        <v>-175.42140000000001</v>
      </c>
      <c r="K6835">
        <v>1.1090469999999999</v>
      </c>
      <c r="L6835">
        <v>133.45930000000001</v>
      </c>
      <c r="M6835">
        <v>0.98340360000000004</v>
      </c>
      <c r="N6835">
        <v>-5.296215E-3</v>
      </c>
      <c r="O6835">
        <v>0.1813545</v>
      </c>
      <c r="P6835">
        <v>0.98711099999999996</v>
      </c>
      <c r="Q6835">
        <v>-0.1019306</v>
      </c>
      <c r="R6835">
        <v>0.12337910000000001</v>
      </c>
      <c r="S6835">
        <v>2.9548800000000002</v>
      </c>
      <c r="T6835">
        <v>-0.70515919999999999</v>
      </c>
      <c r="U6835">
        <v>9.2452999999999994E-2</v>
      </c>
      <c r="V6835">
        <v>5.7886229999999997E-2</v>
      </c>
      <c r="W6835">
        <v>-9.654981E-2</v>
      </c>
      <c r="X6835">
        <v>0.99364350000000001</v>
      </c>
      <c r="Y6835">
        <v>0.1416422</v>
      </c>
      <c r="Z6835">
        <v>-5.8550520000000002E-2</v>
      </c>
      <c r="AA6835">
        <v>0.98818490000000003</v>
      </c>
      <c r="AB6835">
        <v>10</v>
      </c>
      <c r="AC6835">
        <v>0.67029999999999701</v>
      </c>
      <c r="AD6835">
        <v>-0.184034999999999</v>
      </c>
      <c r="AE6835">
        <v>4.8999999999921303E-3</v>
      </c>
      <c r="AF6835">
        <v>0.108561802866775</v>
      </c>
      <c r="AG6835">
        <v>-0.184034999999999</v>
      </c>
      <c r="AH6835">
        <v>0.61380635986861498</v>
      </c>
      <c r="AI6835">
        <v>106.44889389737099</v>
      </c>
      <c r="AJ6835">
        <v>79.970020867245594</v>
      </c>
      <c r="AK6835">
        <v>0.64993291475493398</v>
      </c>
      <c r="AL6835">
        <v>95.540527239301895</v>
      </c>
      <c r="AM6835">
        <v>86.665914620850003</v>
      </c>
      <c r="AN6835">
        <v>1.0000000432634399</v>
      </c>
    </row>
    <row r="6836" spans="1:40" x14ac:dyDescent="0.25">
      <c r="A6836" t="str">
        <f>"20190305135406910"</f>
        <v>20190305135406910</v>
      </c>
      <c r="B6836" t="str">
        <f>"1551765246897324"</f>
        <v>1551765246897324</v>
      </c>
      <c r="C6836" t="s">
        <v>40</v>
      </c>
      <c r="D6836">
        <v>4.734782</v>
      </c>
      <c r="E6836">
        <v>0.52942670000000003</v>
      </c>
      <c r="F6836" t="s">
        <v>41</v>
      </c>
      <c r="G6836">
        <v>-174.65940000000001</v>
      </c>
      <c r="H6836">
        <v>0.92523339999999998</v>
      </c>
      <c r="I6836">
        <v>133.48670000000001</v>
      </c>
      <c r="J6836">
        <v>-175.3175</v>
      </c>
      <c r="K6836">
        <v>1.109065</v>
      </c>
      <c r="L6836">
        <v>133.4796</v>
      </c>
      <c r="M6836">
        <v>0.98321130000000001</v>
      </c>
      <c r="N6836">
        <v>-4.6858129999999996E-3</v>
      </c>
      <c r="O6836">
        <v>0.18241099999999999</v>
      </c>
      <c r="P6836">
        <v>0.98699349999999997</v>
      </c>
      <c r="Q6836">
        <v>-0.1005988</v>
      </c>
      <c r="R6836">
        <v>0.1253956</v>
      </c>
      <c r="S6836">
        <v>2.9522710000000001</v>
      </c>
      <c r="T6836">
        <v>-0.7123699</v>
      </c>
      <c r="U6836">
        <v>0.1069336</v>
      </c>
      <c r="V6836">
        <v>5.6967810000000001E-2</v>
      </c>
      <c r="W6836">
        <v>-9.5813270000000006E-2</v>
      </c>
      <c r="X6836">
        <v>0.99376779999999998</v>
      </c>
      <c r="Y6836">
        <v>0.13771120000000001</v>
      </c>
      <c r="Z6836">
        <v>-5.9012219999999997E-2</v>
      </c>
      <c r="AA6836">
        <v>0.98871290000000001</v>
      </c>
      <c r="AB6836">
        <v>10</v>
      </c>
      <c r="AC6836">
        <v>0.65809999999999003</v>
      </c>
      <c r="AD6836">
        <v>-0.18383159999999901</v>
      </c>
      <c r="AE6836">
        <v>7.1000000000083201E-3</v>
      </c>
      <c r="AF6836">
        <v>0.10488219909388399</v>
      </c>
      <c r="AG6836">
        <v>-0.18383159999999901</v>
      </c>
      <c r="AH6836">
        <v>0.60142995900709095</v>
      </c>
      <c r="AI6836">
        <v>106.75774271858999</v>
      </c>
      <c r="AJ6836">
        <v>80.107778182831396</v>
      </c>
      <c r="AK6836">
        <v>0.63758319334546398</v>
      </c>
      <c r="AL6836">
        <v>95.4981304095448</v>
      </c>
      <c r="AM6836">
        <v>86.719106061395706</v>
      </c>
      <c r="AN6836">
        <v>0.99999997720056399</v>
      </c>
    </row>
    <row r="6837" spans="1:40" x14ac:dyDescent="0.25">
      <c r="A6837" t="str">
        <f>"20190305135406934"</f>
        <v>20190305135406934</v>
      </c>
      <c r="B6837" t="str">
        <f>"1551765246926604"</f>
        <v>1551765246926604</v>
      </c>
      <c r="C6837" t="s">
        <v>40</v>
      </c>
      <c r="D6837">
        <v>4.6913169999999997</v>
      </c>
      <c r="E6837">
        <v>0.53021980000000002</v>
      </c>
      <c r="F6837" t="s">
        <v>41</v>
      </c>
      <c r="G6837">
        <v>-174.5643</v>
      </c>
      <c r="H6837">
        <v>0.92831399999999997</v>
      </c>
      <c r="I6837">
        <v>133.50790000000001</v>
      </c>
      <c r="J6837">
        <v>-175.20529999999999</v>
      </c>
      <c r="K6837">
        <v>1.109046</v>
      </c>
      <c r="L6837">
        <v>133.50200000000001</v>
      </c>
      <c r="M6837">
        <v>0.98295840000000001</v>
      </c>
      <c r="N6837">
        <v>-4.0634240000000004E-3</v>
      </c>
      <c r="O6837">
        <v>0.18378340000000001</v>
      </c>
      <c r="P6837">
        <v>0.98687499999999995</v>
      </c>
      <c r="Q6837">
        <v>-9.9653510000000001E-2</v>
      </c>
      <c r="R6837">
        <v>0.1270714</v>
      </c>
      <c r="S6837">
        <v>2.9531860000000001</v>
      </c>
      <c r="T6837">
        <v>-0.70874550000000003</v>
      </c>
      <c r="U6837">
        <v>0.11114499999999999</v>
      </c>
      <c r="V6837">
        <v>5.6697829999999998E-2</v>
      </c>
      <c r="W6837">
        <v>-9.5478540000000001E-2</v>
      </c>
      <c r="X6837">
        <v>0.99381549999999996</v>
      </c>
      <c r="Y6837">
        <v>0.13773829999999901</v>
      </c>
      <c r="Z6837">
        <v>-5.9083419999999998E-2</v>
      </c>
      <c r="AA6837">
        <v>0.9887049</v>
      </c>
      <c r="AB6837">
        <v>11</v>
      </c>
      <c r="AC6837">
        <v>0.64099999999999102</v>
      </c>
      <c r="AD6837">
        <v>-0.180732</v>
      </c>
      <c r="AE6837">
        <v>5.8999999999968999E-3</v>
      </c>
      <c r="AF6837">
        <v>0.10375875222680001</v>
      </c>
      <c r="AG6837">
        <v>-0.180732</v>
      </c>
      <c r="AH6837">
        <v>0.58468845191846297</v>
      </c>
      <c r="AI6837">
        <v>106.927784972404</v>
      </c>
      <c r="AJ6837">
        <v>79.937058235118002</v>
      </c>
      <c r="AK6837">
        <v>0.62071774607664598</v>
      </c>
      <c r="AL6837">
        <v>95.478863216882999</v>
      </c>
      <c r="AM6837">
        <v>86.734777429861097</v>
      </c>
      <c r="AN6837">
        <v>1.0000000217837399</v>
      </c>
    </row>
    <row r="6838" spans="1:40" x14ac:dyDescent="0.25">
      <c r="A6838" t="str">
        <f>"20190305135406954"</f>
        <v>20190305135406954</v>
      </c>
      <c r="B6838" t="str">
        <f>"1551765246947100"</f>
        <v>1551765246947100</v>
      </c>
      <c r="C6838" t="s">
        <v>40</v>
      </c>
      <c r="D6838">
        <v>4.6990020000000001</v>
      </c>
      <c r="E6838">
        <v>0.53035679999999996</v>
      </c>
      <c r="F6838" t="s">
        <v>41</v>
      </c>
      <c r="G6838">
        <v>-174.46599999999901</v>
      </c>
      <c r="H6838">
        <v>0.93437499999999996</v>
      </c>
      <c r="I6838">
        <v>133.52940000000001</v>
      </c>
      <c r="J6838">
        <v>-175.1019</v>
      </c>
      <c r="K6838">
        <v>1.109</v>
      </c>
      <c r="L6838">
        <v>133.523</v>
      </c>
      <c r="M6838">
        <v>0.98269249999999997</v>
      </c>
      <c r="N6838">
        <v>-3.5294079999999999E-3</v>
      </c>
      <c r="O6838">
        <v>0.18521090000000001</v>
      </c>
      <c r="P6838">
        <v>0.98643559999999997</v>
      </c>
      <c r="Q6838">
        <v>-0.10056039999999999</v>
      </c>
      <c r="R6838">
        <v>0.1297411</v>
      </c>
      <c r="S6838">
        <v>2.9552459999999998</v>
      </c>
      <c r="T6838">
        <v>-0.69834659999999904</v>
      </c>
      <c r="U6838">
        <v>0.1096954</v>
      </c>
      <c r="V6838">
        <v>5.5446009999999997E-2</v>
      </c>
      <c r="W6838">
        <v>-9.6915269999999998E-2</v>
      </c>
      <c r="X6838">
        <v>0.99374709999999999</v>
      </c>
      <c r="Y6838">
        <v>0.13984569999999999</v>
      </c>
      <c r="Z6838">
        <v>-5.882619E-2</v>
      </c>
      <c r="AA6838">
        <v>0.98842439999999998</v>
      </c>
      <c r="AB6838">
        <v>11</v>
      </c>
      <c r="AC6838">
        <v>0.63590000000002</v>
      </c>
      <c r="AD6838">
        <v>-0.174625</v>
      </c>
      <c r="AE6838">
        <v>6.4000000000134999E-3</v>
      </c>
      <c r="AF6838">
        <v>0.103669994125939</v>
      </c>
      <c r="AG6838">
        <v>-0.174625</v>
      </c>
      <c r="AH6838">
        <v>0.58218465411342302</v>
      </c>
      <c r="AI6838">
        <v>106.451998746445</v>
      </c>
      <c r="AJ6838">
        <v>79.903137124489604</v>
      </c>
      <c r="AK6838">
        <v>0.61658764972405899</v>
      </c>
      <c r="AL6838">
        <v>95.561565096879704</v>
      </c>
      <c r="AM6838">
        <v>86.8064994090456</v>
      </c>
      <c r="AN6838">
        <v>1.0000000641712401</v>
      </c>
    </row>
    <row r="6839" spans="1:40" x14ac:dyDescent="0.25">
      <c r="A6839" t="str">
        <f>"20190305135406977"</f>
        <v>20190305135406977</v>
      </c>
      <c r="B6839" t="str">
        <f>"1551765246966620"</f>
        <v>1551765246966620</v>
      </c>
      <c r="C6839" t="s">
        <v>40</v>
      </c>
      <c r="D6839">
        <v>4.6715159999999996</v>
      </c>
      <c r="E6839">
        <v>0.53056130000000001</v>
      </c>
      <c r="F6839" t="s">
        <v>41</v>
      </c>
      <c r="G6839">
        <v>-174.36840000000001</v>
      </c>
      <c r="H6839">
        <v>0.93514050000000004</v>
      </c>
      <c r="I6839">
        <v>133.55189999999999</v>
      </c>
      <c r="J6839">
        <v>-174.99279999999999</v>
      </c>
      <c r="K6839">
        <v>1.1089119999999999</v>
      </c>
      <c r="L6839">
        <v>133.5455</v>
      </c>
      <c r="M6839">
        <v>0.98238409999999998</v>
      </c>
      <c r="N6839">
        <v>-3.0100249999999999E-3</v>
      </c>
      <c r="O6839">
        <v>0.18684870000000001</v>
      </c>
      <c r="P6839">
        <v>0.98545629999999995</v>
      </c>
      <c r="Q6839">
        <v>-0.1036728</v>
      </c>
      <c r="R6839">
        <v>0.13463989999999901</v>
      </c>
      <c r="S6839">
        <v>2.9544980000000001</v>
      </c>
      <c r="T6839">
        <v>-0.70037450000000001</v>
      </c>
      <c r="U6839">
        <v>0.11680599999999999</v>
      </c>
      <c r="V6839">
        <v>5.2118499999999901E-2</v>
      </c>
      <c r="W6839">
        <v>-0.10055070000000001</v>
      </c>
      <c r="X6839">
        <v>0.9935659</v>
      </c>
      <c r="Y6839">
        <v>0.13902229999999999</v>
      </c>
      <c r="Z6839">
        <v>-5.9336310000000003E-2</v>
      </c>
      <c r="AA6839">
        <v>0.98851</v>
      </c>
      <c r="AB6839">
        <v>11</v>
      </c>
      <c r="AC6839">
        <v>0.62439999999997997</v>
      </c>
      <c r="AD6839">
        <v>-0.1737715</v>
      </c>
      <c r="AE6839">
        <v>6.39999999998508E-3</v>
      </c>
      <c r="AF6839">
        <v>0.102447651406254</v>
      </c>
      <c r="AG6839">
        <v>-0.1737715</v>
      </c>
      <c r="AH6839">
        <v>0.57042357215669104</v>
      </c>
      <c r="AI6839">
        <v>106.690754755342</v>
      </c>
      <c r="AJ6839">
        <v>79.818267965477801</v>
      </c>
      <c r="AK6839">
        <v>0.60504140946129303</v>
      </c>
      <c r="AL6839">
        <v>95.770883164750202</v>
      </c>
      <c r="AM6839">
        <v>86.997244319788905</v>
      </c>
      <c r="AN6839">
        <v>0.99999998947777502</v>
      </c>
    </row>
    <row r="6840" spans="1:40" x14ac:dyDescent="0.25">
      <c r="A6840" t="str">
        <f>"20190305135407011"</f>
        <v>20190305135407011</v>
      </c>
      <c r="B6840" t="str">
        <f>"1551765247006635"</f>
        <v>1551765247006635</v>
      </c>
      <c r="C6840" t="s">
        <v>40</v>
      </c>
      <c r="D6840">
        <v>4.7175549999999999</v>
      </c>
      <c r="E6840">
        <v>0.53081559999999905</v>
      </c>
      <c r="F6840" t="s">
        <v>41</v>
      </c>
      <c r="G6840">
        <v>-174.26949999999999</v>
      </c>
      <c r="H6840">
        <v>0.93594460000000002</v>
      </c>
      <c r="I6840">
        <v>133.57730000000001</v>
      </c>
      <c r="J6840">
        <v>-174.821</v>
      </c>
      <c r="K6840">
        <v>1.1088070000000001</v>
      </c>
      <c r="L6840">
        <v>133.58160000000001</v>
      </c>
      <c r="M6840">
        <v>0.98185339999999999</v>
      </c>
      <c r="N6840">
        <v>-2.2794629999999998E-3</v>
      </c>
      <c r="O6840">
        <v>0.1896282</v>
      </c>
      <c r="P6840">
        <v>0.98435070000000002</v>
      </c>
      <c r="Q6840">
        <v>-0.10283689999999999</v>
      </c>
      <c r="R6840">
        <v>0.14310220000000001</v>
      </c>
      <c r="S6840">
        <v>2.9522089999999999</v>
      </c>
      <c r="T6840">
        <v>-0.70608099999999996</v>
      </c>
      <c r="U6840">
        <v>0.12997439999999999</v>
      </c>
      <c r="V6840">
        <v>4.6411250000000001E-2</v>
      </c>
      <c r="W6840">
        <v>-0.1004538</v>
      </c>
      <c r="X6840">
        <v>0.99385860000000004</v>
      </c>
      <c r="Y6840">
        <v>0.13719239999999999</v>
      </c>
      <c r="Z6840">
        <v>-6.0349350000000003E-2</v>
      </c>
      <c r="AA6840">
        <v>0.98870429999999998</v>
      </c>
      <c r="AB6840">
        <v>11</v>
      </c>
      <c r="AC6840">
        <v>0.55150000000000399</v>
      </c>
      <c r="AD6840">
        <v>-0.172862399999999</v>
      </c>
      <c r="AE6840">
        <v>-4.3000000000006297E-3</v>
      </c>
      <c r="AF6840">
        <v>9.9069695190891593E-2</v>
      </c>
      <c r="AG6840">
        <v>-0.172862399999999</v>
      </c>
      <c r="AH6840">
        <v>0.49231373636732101</v>
      </c>
      <c r="AI6840">
        <v>108.994591389574</v>
      </c>
      <c r="AJ6840">
        <v>78.622163486730898</v>
      </c>
      <c r="AK6840">
        <v>0.53110171234418802</v>
      </c>
      <c r="AL6840">
        <v>95.765303216478003</v>
      </c>
      <c r="AM6840">
        <v>87.326341678690596</v>
      </c>
      <c r="AN6840">
        <v>0.999999943427479</v>
      </c>
    </row>
    <row r="6841" spans="1:40" x14ac:dyDescent="0.25">
      <c r="A6841" t="str">
        <f>"20190305135407033"</f>
        <v>20190305135407033</v>
      </c>
      <c r="B6841" t="str">
        <f>"1551765247027132"</f>
        <v>1551765247027132</v>
      </c>
      <c r="C6841" t="s">
        <v>40</v>
      </c>
      <c r="D6841">
        <v>4.6877909999999998</v>
      </c>
      <c r="E6841">
        <v>0.53083179999999996</v>
      </c>
      <c r="F6841" t="s">
        <v>41</v>
      </c>
      <c r="G6841">
        <v>-174.06729999999999</v>
      </c>
      <c r="H6841">
        <v>0.93011900000000003</v>
      </c>
      <c r="I6841">
        <v>133.6207</v>
      </c>
      <c r="J6841">
        <v>-174.70509999999999</v>
      </c>
      <c r="K6841">
        <v>1.108744</v>
      </c>
      <c r="L6841">
        <v>133.60640000000001</v>
      </c>
      <c r="M6841">
        <v>0.98147189999999995</v>
      </c>
      <c r="N6841">
        <v>-1.839512E-3</v>
      </c>
      <c r="O6841">
        <v>0.1915973</v>
      </c>
      <c r="P6841">
        <v>0.98358400000000001</v>
      </c>
      <c r="Q6841">
        <v>-0.10341019999999899</v>
      </c>
      <c r="R6841">
        <v>0.14788119999999999</v>
      </c>
      <c r="S6841">
        <v>2.9522710000000001</v>
      </c>
      <c r="T6841">
        <v>-0.70009279999999996</v>
      </c>
      <c r="U6841">
        <v>0.15335079999999901</v>
      </c>
      <c r="V6841">
        <v>4.356778E-2</v>
      </c>
      <c r="W6841">
        <v>-0.1014723</v>
      </c>
      <c r="X6841">
        <v>0.99388390000000004</v>
      </c>
      <c r="Y6841">
        <v>0.13161339999999999</v>
      </c>
      <c r="Z6841">
        <v>-5.9672639999999999E-2</v>
      </c>
      <c r="AA6841">
        <v>0.98950340000000003</v>
      </c>
      <c r="AB6841">
        <v>12</v>
      </c>
      <c r="AC6841">
        <v>0.63779999999999804</v>
      </c>
      <c r="AD6841">
        <v>-0.17862499999999901</v>
      </c>
      <c r="AE6841">
        <v>1.42999999999915E-2</v>
      </c>
      <c r="AF6841">
        <v>0.100302517137506</v>
      </c>
      <c r="AG6841">
        <v>-0.17862499999999901</v>
      </c>
      <c r="AH6841">
        <v>0.58301712642701398</v>
      </c>
      <c r="AI6841">
        <v>106.80140123693801</v>
      </c>
      <c r="AJ6841">
        <v>80.238368839493702</v>
      </c>
      <c r="AK6841">
        <v>0.61796153219786398</v>
      </c>
      <c r="AL6841">
        <v>95.823958403905095</v>
      </c>
      <c r="AM6841">
        <v>87.489995723761993</v>
      </c>
      <c r="AN6841">
        <v>0.99999999290031405</v>
      </c>
    </row>
    <row r="6842" spans="1:40" x14ac:dyDescent="0.25">
      <c r="A6842" t="str">
        <f>"20190305135407055"</f>
        <v>20190305135407055</v>
      </c>
      <c r="B6842" t="str">
        <f>"1551765247046652"</f>
        <v>1551765247046652</v>
      </c>
      <c r="C6842" t="s">
        <v>40</v>
      </c>
      <c r="D6842">
        <v>4.7011459999999996</v>
      </c>
      <c r="E6842">
        <v>0.53111969999999997</v>
      </c>
      <c r="F6842" t="s">
        <v>41</v>
      </c>
      <c r="G6842">
        <v>-173.96199999999999</v>
      </c>
      <c r="H6842">
        <v>0.93293740000000003</v>
      </c>
      <c r="I6842">
        <v>133.64850000000001</v>
      </c>
      <c r="J6842">
        <v>-174.59039999999999</v>
      </c>
      <c r="K6842">
        <v>1.1086849999999999</v>
      </c>
      <c r="L6842">
        <v>133.63120000000001</v>
      </c>
      <c r="M6842">
        <v>0.98108220000000002</v>
      </c>
      <c r="N6842">
        <v>-1.4346809999999999E-3</v>
      </c>
      <c r="O6842">
        <v>0.1935868</v>
      </c>
      <c r="P6842">
        <v>0.98260670000000006</v>
      </c>
      <c r="Q6842">
        <v>-0.1060865</v>
      </c>
      <c r="R6842">
        <v>0.15241459999999901</v>
      </c>
      <c r="S6842">
        <v>2.9515530000000001</v>
      </c>
      <c r="T6842">
        <v>-0.69823009999999996</v>
      </c>
      <c r="U6842">
        <v>0.16697690000000001</v>
      </c>
      <c r="V6842">
        <v>4.0949140000000002E-2</v>
      </c>
      <c r="W6842">
        <v>-0.10455929999999999</v>
      </c>
      <c r="X6842">
        <v>0.99367530000000004</v>
      </c>
      <c r="Y6842">
        <v>0.12910430000000001</v>
      </c>
      <c r="Z6842">
        <v>-5.9728219999999999E-2</v>
      </c>
      <c r="AA6842">
        <v>0.9898306</v>
      </c>
      <c r="AB6842">
        <v>12</v>
      </c>
      <c r="AC6842">
        <v>0.62839999999996998</v>
      </c>
      <c r="AD6842">
        <v>-0.1757476</v>
      </c>
      <c r="AE6842">
        <v>1.73000000000058E-2</v>
      </c>
      <c r="AF6842">
        <v>9.7088971400166799E-2</v>
      </c>
      <c r="AG6842">
        <v>-0.1757476</v>
      </c>
      <c r="AH6842">
        <v>0.57492619162880099</v>
      </c>
      <c r="AI6842">
        <v>106.773833290426</v>
      </c>
      <c r="AJ6842">
        <v>80.414777227411605</v>
      </c>
      <c r="AK6842">
        <v>0.60897751444047499</v>
      </c>
      <c r="AL6842">
        <v>96.001776305315104</v>
      </c>
      <c r="AM6842">
        <v>87.640188802585797</v>
      </c>
      <c r="AN6842">
        <v>1.00000004055665</v>
      </c>
    </row>
    <row r="6843" spans="1:40" x14ac:dyDescent="0.25">
      <c r="A6843" t="str">
        <f>"20190305135407077"</f>
        <v>20190305135407077</v>
      </c>
      <c r="B6843" t="str">
        <f>"1551765247067149"</f>
        <v>1551765247067149</v>
      </c>
      <c r="C6843" t="s">
        <v>40</v>
      </c>
      <c r="D6843">
        <v>4.6964009999999998</v>
      </c>
      <c r="E6843">
        <v>0.53121629999999997</v>
      </c>
      <c r="F6843" t="s">
        <v>41</v>
      </c>
      <c r="G6843">
        <v>-173.85550000000001</v>
      </c>
      <c r="H6843">
        <v>0.93340749999999995</v>
      </c>
      <c r="I6843">
        <v>133.6754</v>
      </c>
      <c r="J6843">
        <v>-174.46950000000001</v>
      </c>
      <c r="K6843">
        <v>1.108644</v>
      </c>
      <c r="L6843">
        <v>133.6576</v>
      </c>
      <c r="M6843">
        <v>0.98066149999999996</v>
      </c>
      <c r="N6843">
        <v>-1.032402E-3</v>
      </c>
      <c r="O6843">
        <v>0.1957092</v>
      </c>
      <c r="P6843">
        <v>0.98232699999999995</v>
      </c>
      <c r="Q6843">
        <v>-0.1042918</v>
      </c>
      <c r="R6843">
        <v>0.15542529999999999</v>
      </c>
      <c r="S6843">
        <v>2.9495239999999998</v>
      </c>
      <c r="T6843">
        <v>-0.70370919999999904</v>
      </c>
      <c r="U6843">
        <v>0.1779327</v>
      </c>
      <c r="V6843">
        <v>4.0082590000000001E-2</v>
      </c>
      <c r="W6843">
        <v>-0.10316839999999999</v>
      </c>
      <c r="X6843">
        <v>0.99385599999999996</v>
      </c>
      <c r="Y6843">
        <v>0.12737889999999999</v>
      </c>
      <c r="Z6843">
        <v>-6.0550720000000002E-2</v>
      </c>
      <c r="AA6843">
        <v>0.99000410000000005</v>
      </c>
      <c r="AB6843">
        <v>12</v>
      </c>
      <c r="AC6843">
        <v>0.61400000000000399</v>
      </c>
      <c r="AD6843">
        <v>-0.17523649999999899</v>
      </c>
      <c r="AE6843">
        <v>1.7799999999994001E-2</v>
      </c>
      <c r="AF6843">
        <v>9.4979739115258796E-2</v>
      </c>
      <c r="AG6843">
        <v>-0.17523649999999899</v>
      </c>
      <c r="AH6843">
        <v>0.56003156339631799</v>
      </c>
      <c r="AI6843">
        <v>107.1449642911</v>
      </c>
      <c r="AJ6843">
        <v>80.374391243702902</v>
      </c>
      <c r="AK6843">
        <v>0.59444455904211702</v>
      </c>
      <c r="AL6843">
        <v>95.921650241109305</v>
      </c>
      <c r="AM6843">
        <v>87.690491074752401</v>
      </c>
      <c r="AN6843">
        <v>1.00000004075783</v>
      </c>
    </row>
    <row r="6844" spans="1:40" x14ac:dyDescent="0.25">
      <c r="A6844" t="str">
        <f>"20190305135407100"</f>
        <v>20190305135407100</v>
      </c>
      <c r="B6844" t="str">
        <f>"1551765247086668"</f>
        <v>1551765247086668</v>
      </c>
      <c r="C6844" t="s">
        <v>40</v>
      </c>
      <c r="D6844">
        <v>4.6831199999999997</v>
      </c>
      <c r="E6844">
        <v>0.53129799999999905</v>
      </c>
      <c r="F6844" t="s">
        <v>41</v>
      </c>
      <c r="G6844">
        <v>-173.74529999999999</v>
      </c>
      <c r="H6844">
        <v>0.93740900000000005</v>
      </c>
      <c r="I6844">
        <v>133.70339999999999</v>
      </c>
      <c r="J6844">
        <v>-174.34460000000001</v>
      </c>
      <c r="K6844">
        <v>1.108608</v>
      </c>
      <c r="L6844">
        <v>133.68520000000001</v>
      </c>
      <c r="M6844">
        <v>0.98021950000000002</v>
      </c>
      <c r="N6844">
        <v>-6.3844819999999997E-4</v>
      </c>
      <c r="O6844">
        <v>0.1979127</v>
      </c>
      <c r="P6844">
        <v>0.98258480000000004</v>
      </c>
      <c r="Q6844">
        <v>-9.9480970000000002E-2</v>
      </c>
      <c r="R6844">
        <v>0.15694249999999901</v>
      </c>
      <c r="S6844">
        <v>2.9504090000000001</v>
      </c>
      <c r="T6844">
        <v>-0.69769869999999901</v>
      </c>
      <c r="U6844">
        <v>0.18640139999999999</v>
      </c>
      <c r="V6844">
        <v>4.0862519999999999E-2</v>
      </c>
      <c r="W6844">
        <v>-9.8749409999999996E-2</v>
      </c>
      <c r="X6844">
        <v>0.99427299999999996</v>
      </c>
      <c r="Y6844">
        <v>0.12689349999999999</v>
      </c>
      <c r="Z6844">
        <v>-6.0517590000000003E-2</v>
      </c>
      <c r="AA6844">
        <v>0.99006850000000002</v>
      </c>
      <c r="AB6844">
        <v>12</v>
      </c>
      <c r="AC6844">
        <v>0.59930000000002703</v>
      </c>
      <c r="AD6844">
        <v>-0.17119899999999999</v>
      </c>
      <c r="AE6844">
        <v>1.81999999999789E-2</v>
      </c>
      <c r="AF6844">
        <v>9.3172791577992103E-2</v>
      </c>
      <c r="AG6844">
        <v>-0.17119899999999999</v>
      </c>
      <c r="AH6844">
        <v>0.54649251033120905</v>
      </c>
      <c r="AI6844">
        <v>107.161348467368</v>
      </c>
      <c r="AJ6844">
        <v>80.3245397747786</v>
      </c>
      <c r="AK6844">
        <v>0.58021059154374499</v>
      </c>
      <c r="AL6844">
        <v>95.667160528410605</v>
      </c>
      <c r="AM6844">
        <v>87.646588896199304</v>
      </c>
      <c r="AN6844">
        <v>0.99999999502254899</v>
      </c>
    </row>
    <row r="6845" spans="1:40" x14ac:dyDescent="0.25">
      <c r="A6845" t="str">
        <f>"20190305135407122"</f>
        <v>20190305135407122</v>
      </c>
      <c r="B6845" t="str">
        <f>"1551765247116924"</f>
        <v>1551765247116924</v>
      </c>
      <c r="C6845" t="s">
        <v>40</v>
      </c>
      <c r="D6845">
        <v>4.8229699999999998</v>
      </c>
      <c r="E6845">
        <v>0.53156709999999996</v>
      </c>
      <c r="F6845" t="s">
        <v>41</v>
      </c>
      <c r="G6845">
        <v>-173.63200000000001</v>
      </c>
      <c r="H6845">
        <v>0.94331549999999997</v>
      </c>
      <c r="I6845">
        <v>133.73140000000001</v>
      </c>
      <c r="J6845">
        <v>-174.2182</v>
      </c>
      <c r="K6845">
        <v>1.1085750000000001</v>
      </c>
      <c r="L6845">
        <v>133.71340000000001</v>
      </c>
      <c r="M6845">
        <v>0.97976700000000005</v>
      </c>
      <c r="N6845">
        <v>-2.6201929999999999E-4</v>
      </c>
      <c r="O6845">
        <v>0.20014199999999999</v>
      </c>
      <c r="P6845">
        <v>0.98292199999999996</v>
      </c>
      <c r="Q6845">
        <v>-9.4107270000000007E-2</v>
      </c>
      <c r="R6845">
        <v>0.15814</v>
      </c>
      <c r="S6845">
        <v>2.9530940000000001</v>
      </c>
      <c r="T6845">
        <v>-0.68523999999999996</v>
      </c>
      <c r="U6845">
        <v>0.19216920000000001</v>
      </c>
      <c r="V6845">
        <v>4.2000900000000001E-2</v>
      </c>
      <c r="W6845">
        <v>-9.3749550000000001E-2</v>
      </c>
      <c r="X6845">
        <v>0.99470950000000002</v>
      </c>
      <c r="Y6845">
        <v>0.12751899999999999</v>
      </c>
      <c r="Z6845">
        <v>-6.0026530000000002E-2</v>
      </c>
      <c r="AA6845">
        <v>0.99001810000000001</v>
      </c>
      <c r="AB6845">
        <v>13</v>
      </c>
      <c r="AC6845">
        <v>0.58619999999999095</v>
      </c>
      <c r="AD6845">
        <v>-0.1652595</v>
      </c>
      <c r="AE6845">
        <v>1.8000000000000599E-2</v>
      </c>
      <c r="AF6845">
        <v>9.2354300013893401E-2</v>
      </c>
      <c r="AG6845">
        <v>-0.1652595</v>
      </c>
      <c r="AH6845">
        <v>0.53542782536789901</v>
      </c>
      <c r="AI6845">
        <v>106.917557837247</v>
      </c>
      <c r="AJ6845">
        <v>80.213523742706002</v>
      </c>
      <c r="AK6845">
        <v>0.56791106279901205</v>
      </c>
      <c r="AL6845">
        <v>95.379352977644004</v>
      </c>
      <c r="AM6845">
        <v>87.582162758406298</v>
      </c>
      <c r="AN6845">
        <v>1.0000000215581299</v>
      </c>
    </row>
    <row r="6846" spans="1:40" x14ac:dyDescent="0.25">
      <c r="A6846" t="str">
        <f>"20190305135407145"</f>
        <v>20190305135407145</v>
      </c>
      <c r="B6846" t="str">
        <f>"1551765247136444"</f>
        <v>1551765247136444</v>
      </c>
      <c r="C6846" t="s">
        <v>40</v>
      </c>
      <c r="D6846">
        <v>4.796278</v>
      </c>
      <c r="E6846">
        <v>0.53176279999999998</v>
      </c>
      <c r="F6846" t="s">
        <v>41</v>
      </c>
      <c r="G6846">
        <v>-173.51609999999999</v>
      </c>
      <c r="H6846">
        <v>0.95021100000000003</v>
      </c>
      <c r="I6846">
        <v>133.75970000000001</v>
      </c>
      <c r="J6846">
        <v>-174.09039999999999</v>
      </c>
      <c r="K6846">
        <v>1.1085309999999999</v>
      </c>
      <c r="L6846">
        <v>133.7422</v>
      </c>
      <c r="M6846">
        <v>0.97930660000000003</v>
      </c>
      <c r="N6846" s="1">
        <v>9.4495130000000005E-5</v>
      </c>
      <c r="O6846">
        <v>0.20238210000000001</v>
      </c>
      <c r="P6846">
        <v>0.98288730000000002</v>
      </c>
      <c r="Q6846">
        <v>-9.2439499999999994E-2</v>
      </c>
      <c r="R6846">
        <v>0.1593347</v>
      </c>
      <c r="S6846">
        <v>2.9568629999999998</v>
      </c>
      <c r="T6846">
        <v>-0.66703650000000003</v>
      </c>
      <c r="U6846">
        <v>0.19517519999999999</v>
      </c>
      <c r="V6846">
        <v>4.3091610000000002E-2</v>
      </c>
      <c r="W6846">
        <v>-9.2435749999999997E-2</v>
      </c>
      <c r="X6846">
        <v>0.99478580000000005</v>
      </c>
      <c r="Y6846">
        <v>0.1292227</v>
      </c>
      <c r="Z6846">
        <v>-5.9121729999999997E-2</v>
      </c>
      <c r="AA6846">
        <v>0.9898515</v>
      </c>
      <c r="AB6846">
        <v>13</v>
      </c>
      <c r="AC6846">
        <v>0.57429999999999304</v>
      </c>
      <c r="AD6846">
        <v>-0.15831999999999899</v>
      </c>
      <c r="AE6846">
        <v>1.7500000000012499E-2</v>
      </c>
      <c r="AF6846">
        <v>9.2097572219314999E-2</v>
      </c>
      <c r="AG6846">
        <v>-0.15831999999999899</v>
      </c>
      <c r="AH6846">
        <v>0.52601894132593296</v>
      </c>
      <c r="AI6846">
        <v>106.51340603969599</v>
      </c>
      <c r="AJ6846">
        <v>80.069077129826596</v>
      </c>
      <c r="AK6846">
        <v>0.556994714375592</v>
      </c>
      <c r="AL6846">
        <v>95.303749467895599</v>
      </c>
      <c r="AM6846">
        <v>87.519642055784104</v>
      </c>
      <c r="AN6846">
        <v>1.00000002130604</v>
      </c>
    </row>
    <row r="6847" spans="1:40" x14ac:dyDescent="0.25">
      <c r="A6847" t="str">
        <f>"20190305135407166"</f>
        <v>20190305135407166</v>
      </c>
      <c r="B6847" t="str">
        <f>"1551765247156940"</f>
        <v>1551765247156940</v>
      </c>
      <c r="C6847" t="s">
        <v>40</v>
      </c>
      <c r="D6847">
        <v>4.7109540000000001</v>
      </c>
      <c r="E6847">
        <v>0.53195049999999999</v>
      </c>
      <c r="F6847" t="s">
        <v>41</v>
      </c>
      <c r="G6847">
        <v>-173.39940000000001</v>
      </c>
      <c r="H6847">
        <v>0.95399840000000002</v>
      </c>
      <c r="I6847">
        <v>133.78809999999999</v>
      </c>
      <c r="J6847">
        <v>-173.96180000000001</v>
      </c>
      <c r="K6847">
        <v>1.1084750000000001</v>
      </c>
      <c r="L6847">
        <v>133.7714</v>
      </c>
      <c r="M6847">
        <v>0.97884249999999995</v>
      </c>
      <c r="N6847">
        <v>4.264591E-4</v>
      </c>
      <c r="O6847">
        <v>0.20461499999999999</v>
      </c>
      <c r="P6847">
        <v>0.98240439999999996</v>
      </c>
      <c r="Q6847">
        <v>-9.3665020000000002E-2</v>
      </c>
      <c r="R6847">
        <v>0.1615818</v>
      </c>
      <c r="S6847">
        <v>2.958008</v>
      </c>
      <c r="T6847">
        <v>-0.66185669999999996</v>
      </c>
      <c r="U6847">
        <v>0.19732669999999999</v>
      </c>
      <c r="V6847">
        <v>4.3063549999999999E-2</v>
      </c>
      <c r="W6847">
        <v>-9.3992329999999999E-2</v>
      </c>
      <c r="X6847">
        <v>0.99464109999999994</v>
      </c>
      <c r="Y6847">
        <v>0.1308202</v>
      </c>
      <c r="Z6847">
        <v>-5.935489E-2</v>
      </c>
      <c r="AA6847">
        <v>0.98962779999999995</v>
      </c>
      <c r="AB6847">
        <v>13</v>
      </c>
      <c r="AC6847">
        <v>0.56239999999999601</v>
      </c>
      <c r="AD6847">
        <v>-0.15447659999999999</v>
      </c>
      <c r="AE6847">
        <v>1.66999999999859E-2</v>
      </c>
      <c r="AF6847">
        <v>9.1808360737079403E-2</v>
      </c>
      <c r="AG6847">
        <v>-0.15447659999999999</v>
      </c>
      <c r="AH6847">
        <v>0.51509092418533697</v>
      </c>
      <c r="AI6847">
        <v>106.449155501476</v>
      </c>
      <c r="AJ6847">
        <v>79.893887887027901</v>
      </c>
      <c r="AK6847">
        <v>0.54553685047565204</v>
      </c>
      <c r="AL6847">
        <v>95.393325206392305</v>
      </c>
      <c r="AM6847">
        <v>87.520895020416006</v>
      </c>
      <c r="AN6847">
        <v>0.99999997262331997</v>
      </c>
    </row>
    <row r="6848" spans="1:40" x14ac:dyDescent="0.25">
      <c r="A6848" t="str">
        <f>"20190305135407190"</f>
        <v>20190305135407190</v>
      </c>
      <c r="B6848" t="str">
        <f>"1551765247187196"</f>
        <v>1551765247187196</v>
      </c>
      <c r="C6848" t="s">
        <v>40</v>
      </c>
      <c r="D6848">
        <v>4.8217339999999904</v>
      </c>
      <c r="E6848">
        <v>0.51754920000000004</v>
      </c>
      <c r="F6848" t="s">
        <v>41</v>
      </c>
      <c r="G6848">
        <v>-173.1686</v>
      </c>
      <c r="H6848">
        <v>0.93166629999999995</v>
      </c>
      <c r="I6848">
        <v>133.82570000000001</v>
      </c>
      <c r="J6848">
        <v>-173.827</v>
      </c>
      <c r="K6848">
        <v>1.1084149999999999</v>
      </c>
      <c r="L6848">
        <v>133.8023</v>
      </c>
      <c r="M6848">
        <v>0.97835559999999999</v>
      </c>
      <c r="N6848">
        <v>7.4569990000000004E-4</v>
      </c>
      <c r="O6848">
        <v>0.20692920000000001</v>
      </c>
      <c r="P6848">
        <v>0.98184369999999999</v>
      </c>
      <c r="Q6848">
        <v>-9.2805479999999996E-2</v>
      </c>
      <c r="R6848">
        <v>0.16543920000000001</v>
      </c>
      <c r="S6848">
        <v>2.9575040000000001</v>
      </c>
      <c r="T6848">
        <v>-0.65944609999999904</v>
      </c>
      <c r="U6848">
        <v>0.20281979999999999</v>
      </c>
      <c r="V6848">
        <v>4.1524909999999998E-2</v>
      </c>
      <c r="W6848">
        <v>-9.3453789999999995E-2</v>
      </c>
      <c r="X6848">
        <v>0.99475729999999996</v>
      </c>
      <c r="Y6848">
        <v>0.13130269999999999</v>
      </c>
      <c r="Z6848">
        <v>-5.9745569999999998E-2</v>
      </c>
      <c r="AA6848">
        <v>0.98954030000000004</v>
      </c>
      <c r="AB6848">
        <v>14</v>
      </c>
      <c r="AC6848">
        <v>0.65839999999999999</v>
      </c>
      <c r="AD6848">
        <v>-0.17674869999999901</v>
      </c>
      <c r="AE6848">
        <v>2.3400000000009399E-2</v>
      </c>
      <c r="AF6848">
        <v>0.105738145708486</v>
      </c>
      <c r="AG6848">
        <v>-0.17674869999999901</v>
      </c>
      <c r="AH6848">
        <v>0.60541652707054805</v>
      </c>
      <c r="AI6848">
        <v>106.04482397549801</v>
      </c>
      <c r="AJ6848">
        <v>80.093015900076693</v>
      </c>
      <c r="AK6848">
        <v>0.63949185269221598</v>
      </c>
      <c r="AL6848">
        <v>95.362332529265004</v>
      </c>
      <c r="AM6848">
        <v>87.609646515849306</v>
      </c>
      <c r="AN6848">
        <v>1.0000000074595801</v>
      </c>
    </row>
    <row r="6849" spans="1:40" x14ac:dyDescent="0.25">
      <c r="A6849" t="str">
        <f>"20190305135407212"</f>
        <v>20190305135407212</v>
      </c>
      <c r="B6849" t="str">
        <f>"1551765247206720"</f>
        <v>1551765247206720</v>
      </c>
      <c r="C6849" t="s">
        <v>40</v>
      </c>
      <c r="D6849">
        <v>4.8067310000000001</v>
      </c>
      <c r="E6849">
        <v>0.52120409999999995</v>
      </c>
      <c r="F6849" t="s">
        <v>41</v>
      </c>
      <c r="G6849">
        <v>-173.02119999999999</v>
      </c>
      <c r="H6849">
        <v>1.006508</v>
      </c>
      <c r="I6849">
        <v>133.89760000000001</v>
      </c>
      <c r="J6849">
        <v>-173.6902</v>
      </c>
      <c r="K6849">
        <v>1.108366</v>
      </c>
      <c r="L6849">
        <v>133.834</v>
      </c>
      <c r="M6849">
        <v>0.97786019999999896</v>
      </c>
      <c r="N6849">
        <v>1.042933E-3</v>
      </c>
      <c r="O6849">
        <v>0.20925659999999999</v>
      </c>
      <c r="P6849">
        <v>0.98113439999999996</v>
      </c>
      <c r="Q6849">
        <v>-9.1799049999999993E-2</v>
      </c>
      <c r="R6849">
        <v>0.17014189999999901</v>
      </c>
      <c r="S6849">
        <v>2.9611209999999999</v>
      </c>
      <c r="T6849">
        <v>-0.37442049999999999</v>
      </c>
      <c r="U6849">
        <v>0.3498077</v>
      </c>
      <c r="V6849">
        <v>3.9145449999999998E-2</v>
      </c>
      <c r="W6849">
        <v>-9.2747720000000006E-2</v>
      </c>
      <c r="X6849">
        <v>0.99491980000000002</v>
      </c>
      <c r="Y6849">
        <v>9.0746750000000001E-2</v>
      </c>
      <c r="Z6849">
        <v>-3.190258E-2</v>
      </c>
      <c r="AA6849">
        <v>0.99536290000000005</v>
      </c>
      <c r="AB6849">
        <v>14</v>
      </c>
      <c r="AC6849">
        <v>0.66900000000001103</v>
      </c>
      <c r="AD6849">
        <v>-0.101858</v>
      </c>
      <c r="AE6849">
        <v>6.3600000000008095E-2</v>
      </c>
      <c r="AF6849">
        <v>7.6053569063515E-2</v>
      </c>
      <c r="AG6849">
        <v>-0.101858</v>
      </c>
      <c r="AH6849">
        <v>0.65250707160760402</v>
      </c>
      <c r="AI6849">
        <v>98.813690399429404</v>
      </c>
      <c r="AJ6849">
        <v>83.351834534659204</v>
      </c>
      <c r="AK6849">
        <v>0.66477415415254304</v>
      </c>
      <c r="AL6849">
        <v>95.321701492035899</v>
      </c>
      <c r="AM6849">
        <v>87.746840715938106</v>
      </c>
      <c r="AN6849">
        <v>0.99999995712646905</v>
      </c>
    </row>
    <row r="6850" spans="1:40" x14ac:dyDescent="0.25">
      <c r="A6850" t="str">
        <f>"20190305135407235"</f>
        <v>20190305135407235</v>
      </c>
      <c r="B6850" t="str">
        <f>"1551765247227212"</f>
        <v>1551765247227212</v>
      </c>
      <c r="C6850" t="s">
        <v>40</v>
      </c>
      <c r="D6850">
        <v>4.7930960000000002</v>
      </c>
      <c r="E6850">
        <v>0.52396599999999904</v>
      </c>
      <c r="F6850" t="s">
        <v>41</v>
      </c>
      <c r="G6850">
        <v>-172.88679999999999</v>
      </c>
      <c r="H6850">
        <v>1.02826</v>
      </c>
      <c r="I6850">
        <v>133.9263</v>
      </c>
      <c r="J6850">
        <v>-173.54300000000001</v>
      </c>
      <c r="K6850">
        <v>1.108325</v>
      </c>
      <c r="L6850">
        <v>133.86850000000001</v>
      </c>
      <c r="M6850">
        <v>0.97732529999999995</v>
      </c>
      <c r="N6850">
        <v>1.3321819999999999E-3</v>
      </c>
      <c r="O6850">
        <v>0.21173929999999999</v>
      </c>
      <c r="P6850">
        <v>0.98020660000000004</v>
      </c>
      <c r="Q6850">
        <v>-9.2326050000000007E-2</v>
      </c>
      <c r="R6850">
        <v>0.17513129999999999</v>
      </c>
      <c r="S6850">
        <v>2.9707490000000001</v>
      </c>
      <c r="T6850">
        <v>-0.29636420000000002</v>
      </c>
      <c r="U6850">
        <v>0.34138489999999999</v>
      </c>
      <c r="V6850">
        <v>3.660534E-2</v>
      </c>
      <c r="W6850">
        <v>-9.3566869999999996E-2</v>
      </c>
      <c r="X6850">
        <v>0.99493989999999999</v>
      </c>
      <c r="Y6850">
        <v>9.7265249999999998E-2</v>
      </c>
      <c r="Z6850">
        <v>-2.5860190000000002E-2</v>
      </c>
      <c r="AA6850">
        <v>0.99492250000000004</v>
      </c>
      <c r="AB6850">
        <v>14</v>
      </c>
      <c r="AC6850">
        <v>0.656200000000012</v>
      </c>
      <c r="AD6850">
        <v>-8.0064999999999997E-2</v>
      </c>
      <c r="AE6850">
        <v>5.7799999999986001E-2</v>
      </c>
      <c r="AF6850">
        <v>8.1253670877993595E-2</v>
      </c>
      <c r="AG6850">
        <v>-8.0064999999999997E-2</v>
      </c>
      <c r="AH6850">
        <v>0.64404573827619005</v>
      </c>
      <c r="AI6850">
        <v>97.031237463896701</v>
      </c>
      <c r="AJ6850">
        <v>82.809477070233697</v>
      </c>
      <c r="AK6850">
        <v>0.654069932230394</v>
      </c>
      <c r="AL6850">
        <v>95.368839781294795</v>
      </c>
      <c r="AM6850">
        <v>87.892952196467107</v>
      </c>
      <c r="AN6850">
        <v>1.00000005734505</v>
      </c>
    </row>
    <row r="6851" spans="1:40" x14ac:dyDescent="0.25">
      <c r="A6851" t="str">
        <f>"20190305135407256"</f>
        <v>20190305135407256</v>
      </c>
      <c r="B6851" t="str">
        <f>"1551765247246732"</f>
        <v>1551765247246732</v>
      </c>
      <c r="C6851" t="s">
        <v>40</v>
      </c>
      <c r="D6851">
        <v>4.8286949999999997</v>
      </c>
      <c r="E6851">
        <v>0.52475229999999995</v>
      </c>
      <c r="F6851" t="s">
        <v>41</v>
      </c>
      <c r="G6851">
        <v>-172.75640000000001</v>
      </c>
      <c r="H6851">
        <v>1.038092</v>
      </c>
      <c r="I6851">
        <v>133.95769999999999</v>
      </c>
      <c r="J6851">
        <v>-173.4109</v>
      </c>
      <c r="K6851">
        <v>1.1083099999999999</v>
      </c>
      <c r="L6851">
        <v>133.8997</v>
      </c>
      <c r="M6851">
        <v>0.97684269999999995</v>
      </c>
      <c r="N6851">
        <v>1.5660699999999999E-3</v>
      </c>
      <c r="O6851">
        <v>0.21395349999999999</v>
      </c>
      <c r="P6851">
        <v>0.97960910000000001</v>
      </c>
      <c r="Q6851">
        <v>-9.1688859999999997E-2</v>
      </c>
      <c r="R6851">
        <v>0.1787715</v>
      </c>
      <c r="S6851">
        <v>2.9752040000000002</v>
      </c>
      <c r="T6851">
        <v>-0.26582119999999998</v>
      </c>
      <c r="U6851">
        <v>0.337677</v>
      </c>
      <c r="V6851">
        <v>3.5179849999999999E-2</v>
      </c>
      <c r="W6851">
        <v>-9.3164239999999995E-2</v>
      </c>
      <c r="X6851">
        <v>0.99502900000000005</v>
      </c>
      <c r="Y6851">
        <v>0.10118240000000001</v>
      </c>
      <c r="Z6851">
        <v>-2.360187E-2</v>
      </c>
      <c r="AA6851">
        <v>0.99458789999999997</v>
      </c>
      <c r="AB6851">
        <v>14</v>
      </c>
      <c r="AC6851">
        <v>0.65449999999998398</v>
      </c>
      <c r="AD6851">
        <v>-7.02180000000001E-2</v>
      </c>
      <c r="AE6851">
        <v>5.7999999999992703E-2</v>
      </c>
      <c r="AF6851">
        <v>8.2434351204578996E-2</v>
      </c>
      <c r="AG6851">
        <v>-7.02180000000001E-2</v>
      </c>
      <c r="AH6851">
        <v>0.64439435398473799</v>
      </c>
      <c r="AI6851">
        <v>96.168957663986404</v>
      </c>
      <c r="AJ6851">
        <v>82.710013844554595</v>
      </c>
      <c r="AK6851">
        <v>0.65342947073875401</v>
      </c>
      <c r="AL6851">
        <v>95.345670126140206</v>
      </c>
      <c r="AM6851">
        <v>87.975116616024494</v>
      </c>
      <c r="AN6851">
        <v>0.99999995415089904</v>
      </c>
    </row>
    <row r="6852" spans="1:40" x14ac:dyDescent="0.25">
      <c r="A6852" t="str">
        <f>"20190305135407278"</f>
        <v>20190305135407278</v>
      </c>
      <c r="B6852" t="str">
        <f>"1551765247267229"</f>
        <v>1551765247267229</v>
      </c>
      <c r="C6852" t="s">
        <v>40</v>
      </c>
      <c r="D6852">
        <v>4.7924499999999997</v>
      </c>
      <c r="E6852">
        <v>0.52523949999999997</v>
      </c>
      <c r="F6852" t="s">
        <v>41</v>
      </c>
      <c r="G6852">
        <v>-172.6276</v>
      </c>
      <c r="H6852">
        <v>1.0401819999999999</v>
      </c>
      <c r="I6852">
        <v>133.98990000000001</v>
      </c>
      <c r="J6852">
        <v>-173.2655</v>
      </c>
      <c r="K6852">
        <v>1.108304</v>
      </c>
      <c r="L6852">
        <v>133.93440000000001</v>
      </c>
      <c r="M6852">
        <v>0.97630720000000004</v>
      </c>
      <c r="N6852">
        <v>1.7972999999999999E-3</v>
      </c>
      <c r="O6852">
        <v>0.21638199999999999</v>
      </c>
      <c r="P6852">
        <v>0.97939160000000003</v>
      </c>
      <c r="Q6852">
        <v>-9.0628739999999999E-2</v>
      </c>
      <c r="R6852">
        <v>0.1804962</v>
      </c>
      <c r="S6852">
        <v>2.9756010000000002</v>
      </c>
      <c r="T6852">
        <v>-0.259048</v>
      </c>
      <c r="U6852">
        <v>0.3431091</v>
      </c>
      <c r="V6852">
        <v>3.5927109999999998E-2</v>
      </c>
      <c r="W6852">
        <v>-9.2330400000000007E-2</v>
      </c>
      <c r="X6852">
        <v>0.99508010000000002</v>
      </c>
      <c r="Y6852">
        <v>0.1019264</v>
      </c>
      <c r="Z6852">
        <v>-2.3282199999999999E-2</v>
      </c>
      <c r="AA6852">
        <v>0.9945195</v>
      </c>
      <c r="AB6852">
        <v>15</v>
      </c>
      <c r="AC6852">
        <v>0.63790000000000102</v>
      </c>
      <c r="AD6852">
        <v>-6.8122000000000196E-2</v>
      </c>
      <c r="AE6852">
        <v>5.5499999999994998E-2</v>
      </c>
      <c r="AF6852">
        <v>8.2906765086031398E-2</v>
      </c>
      <c r="AG6852">
        <v>-6.8122000000000196E-2</v>
      </c>
      <c r="AH6852">
        <v>0.62769191951027004</v>
      </c>
      <c r="AI6852">
        <v>96.141018151283802</v>
      </c>
      <c r="AJ6852">
        <v>82.475815431741694</v>
      </c>
      <c r="AK6852">
        <v>0.63679767932956399</v>
      </c>
      <c r="AL6852">
        <v>95.297687373032502</v>
      </c>
      <c r="AM6852">
        <v>87.932248840972605</v>
      </c>
      <c r="AN6852">
        <v>1.0000000327065599</v>
      </c>
    </row>
    <row r="6853" spans="1:40" x14ac:dyDescent="0.25">
      <c r="A6853" t="str">
        <f>"20190305135407301"</f>
        <v>20190305135407301</v>
      </c>
      <c r="B6853" t="str">
        <f>"1551765247296512"</f>
        <v>1551765247296512</v>
      </c>
      <c r="C6853" t="s">
        <v>40</v>
      </c>
      <c r="D6853">
        <v>4.8166219999999997</v>
      </c>
      <c r="E6853">
        <v>0.52593029999999996</v>
      </c>
      <c r="F6853" t="s">
        <v>41</v>
      </c>
      <c r="G6853">
        <v>-172.49709999999999</v>
      </c>
      <c r="H6853">
        <v>1.041631</v>
      </c>
      <c r="I6853">
        <v>134.0232</v>
      </c>
      <c r="J6853">
        <v>-173.11529999999999</v>
      </c>
      <c r="K6853">
        <v>1.1083050000000001</v>
      </c>
      <c r="L6853">
        <v>133.97059999999999</v>
      </c>
      <c r="M6853">
        <v>0.97575009999999995</v>
      </c>
      <c r="N6853">
        <v>2.0093559999999999E-3</v>
      </c>
      <c r="O6853">
        <v>0.2188784</v>
      </c>
      <c r="P6853">
        <v>0.97941710000000004</v>
      </c>
      <c r="Q6853">
        <v>-8.9955380000000001E-2</v>
      </c>
      <c r="R6853">
        <v>0.18069399999999999</v>
      </c>
      <c r="S6853">
        <v>2.975784</v>
      </c>
      <c r="T6853">
        <v>-0.25826139999999997</v>
      </c>
      <c r="U6853">
        <v>0.34414670000000003</v>
      </c>
      <c r="V6853">
        <v>3.829055E-2</v>
      </c>
      <c r="W6853">
        <v>-9.1859679999999999E-2</v>
      </c>
      <c r="X6853">
        <v>0.99503549999999996</v>
      </c>
      <c r="Y6853">
        <v>0.1041222</v>
      </c>
      <c r="Z6853">
        <v>-2.355376E-2</v>
      </c>
      <c r="AA6853">
        <v>0.99428559999999999</v>
      </c>
      <c r="AB6853">
        <v>15</v>
      </c>
      <c r="AC6853">
        <v>0.61820000000000097</v>
      </c>
      <c r="AD6853">
        <v>-6.66739999999999E-2</v>
      </c>
      <c r="AE6853">
        <v>5.2600000000012401E-2</v>
      </c>
      <c r="AF6853">
        <v>8.3027503361887106E-2</v>
      </c>
      <c r="AG6853">
        <v>-6.66739999999999E-2</v>
      </c>
      <c r="AH6853">
        <v>0.60770491533440796</v>
      </c>
      <c r="AI6853">
        <v>96.203952714953203</v>
      </c>
      <c r="AJ6853">
        <v>82.220149565108599</v>
      </c>
      <c r="AK6853">
        <v>0.61696373695064699</v>
      </c>
      <c r="AL6853">
        <v>95.270602135236203</v>
      </c>
      <c r="AM6853">
        <v>87.796254561017506</v>
      </c>
      <c r="AN6853">
        <v>1.00000000664462</v>
      </c>
    </row>
    <row r="6854" spans="1:40" x14ac:dyDescent="0.25">
      <c r="A6854" t="str">
        <f>"20190305135407325"</f>
        <v>20190305135407325</v>
      </c>
      <c r="B6854" t="str">
        <f>"1551765247317005"</f>
        <v>1551765247317005</v>
      </c>
      <c r="C6854" t="s">
        <v>40</v>
      </c>
      <c r="D6854">
        <v>4.7685060000000004</v>
      </c>
      <c r="E6854">
        <v>0.52630589999999999</v>
      </c>
      <c r="F6854" t="s">
        <v>41</v>
      </c>
      <c r="G6854">
        <v>-172.36449999999999</v>
      </c>
      <c r="H6854">
        <v>1.042184</v>
      </c>
      <c r="I6854">
        <v>134.05590000000001</v>
      </c>
      <c r="J6854">
        <v>-172.95660000000001</v>
      </c>
      <c r="K6854">
        <v>1.1083240000000001</v>
      </c>
      <c r="L6854">
        <v>134.00919999999999</v>
      </c>
      <c r="M6854">
        <v>0.97515600000000002</v>
      </c>
      <c r="N6854">
        <v>2.2068999999999999E-3</v>
      </c>
      <c r="O6854">
        <v>0.22150839999999999</v>
      </c>
      <c r="P6854">
        <v>0.97954490000000005</v>
      </c>
      <c r="Q6854">
        <v>-8.8965290000000002E-2</v>
      </c>
      <c r="R6854">
        <v>0.1804916</v>
      </c>
      <c r="S6854">
        <v>2.9764710000000001</v>
      </c>
      <c r="T6854">
        <v>-0.26234350000000001</v>
      </c>
      <c r="U6854">
        <v>0.33874510000000002</v>
      </c>
      <c r="V6854">
        <v>4.1204249999999998E-2</v>
      </c>
      <c r="W6854">
        <v>-9.1055639999999993E-2</v>
      </c>
      <c r="X6854">
        <v>0.99499300000000002</v>
      </c>
      <c r="Y6854">
        <v>0.10854229999999999</v>
      </c>
      <c r="Z6854">
        <v>-2.4370010000000001E-2</v>
      </c>
      <c r="AA6854">
        <v>0.99379309999999998</v>
      </c>
      <c r="AB6854">
        <v>15</v>
      </c>
      <c r="AC6854">
        <v>0.59210000000001595</v>
      </c>
      <c r="AD6854">
        <v>-6.6140000000000004E-2</v>
      </c>
      <c r="AE6854">
        <v>4.67000000000155E-2</v>
      </c>
      <c r="AF6854">
        <v>8.4566858797413602E-2</v>
      </c>
      <c r="AG6854">
        <v>-6.6140000000000004E-2</v>
      </c>
      <c r="AH6854">
        <v>0.58053668068903097</v>
      </c>
      <c r="AI6854">
        <v>96.432319724521903</v>
      </c>
      <c r="AJ6854">
        <v>81.712010890625095</v>
      </c>
      <c r="AK6854">
        <v>0.59038029339765397</v>
      </c>
      <c r="AL6854">
        <v>95.224340211558101</v>
      </c>
      <c r="AM6854">
        <v>87.628645161392996</v>
      </c>
      <c r="AN6854">
        <v>0.99999999492143599</v>
      </c>
    </row>
    <row r="6855" spans="1:40" x14ac:dyDescent="0.25">
      <c r="A6855" t="str">
        <f>"20190305135407346"</f>
        <v>20190305135407346</v>
      </c>
      <c r="B6855" t="str">
        <f>"1551765247336524"</f>
        <v>1551765247336524</v>
      </c>
      <c r="C6855" t="s">
        <v>40</v>
      </c>
      <c r="D6855">
        <v>4.7635620000000003</v>
      </c>
      <c r="E6855">
        <v>0.5267172</v>
      </c>
      <c r="F6855" t="s">
        <v>41</v>
      </c>
      <c r="G6855">
        <v>-172.22919999999999</v>
      </c>
      <c r="H6855">
        <v>1.044486</v>
      </c>
      <c r="I6855">
        <v>134.09110000000001</v>
      </c>
      <c r="J6855">
        <v>-172.81370000000001</v>
      </c>
      <c r="K6855">
        <v>1.1083510000000001</v>
      </c>
      <c r="L6855">
        <v>134.0444</v>
      </c>
      <c r="M6855">
        <v>0.9746165</v>
      </c>
      <c r="N6855">
        <v>2.3615590000000001E-3</v>
      </c>
      <c r="O6855">
        <v>0.22386880000000001</v>
      </c>
      <c r="P6855">
        <v>0.97975780000000001</v>
      </c>
      <c r="Q6855">
        <v>-8.5882340000000001E-2</v>
      </c>
      <c r="R6855">
        <v>0.18082799999999999</v>
      </c>
      <c r="S6855">
        <v>2.9771879999999999</v>
      </c>
      <c r="T6855">
        <v>-0.26124969999999997</v>
      </c>
      <c r="U6855">
        <v>0.33503719999999998</v>
      </c>
      <c r="V6855">
        <v>4.3332549999999997E-2</v>
      </c>
      <c r="W6855">
        <v>-8.8118459999999996E-2</v>
      </c>
      <c r="X6855">
        <v>0.99516700000000002</v>
      </c>
      <c r="Y6855">
        <v>0.1121833</v>
      </c>
      <c r="Z6855">
        <v>-2.465407E-2</v>
      </c>
      <c r="AA6855">
        <v>0.99338159999999998</v>
      </c>
      <c r="AB6855">
        <v>15</v>
      </c>
      <c r="AC6855">
        <v>0.584500000000019</v>
      </c>
      <c r="AD6855">
        <v>-6.3865000000000005E-2</v>
      </c>
      <c r="AE6855">
        <v>4.67000000000155E-2</v>
      </c>
      <c r="AF6855">
        <v>8.4336474432108205E-2</v>
      </c>
      <c r="AG6855">
        <v>-6.3865000000000005E-2</v>
      </c>
      <c r="AH6855">
        <v>0.573318339132598</v>
      </c>
      <c r="AI6855">
        <v>96.289148083937206</v>
      </c>
      <c r="AJ6855">
        <v>81.631672854003597</v>
      </c>
      <c r="AK6855">
        <v>0.58299682428843302</v>
      </c>
      <c r="AL6855">
        <v>95.055372861273597</v>
      </c>
      <c r="AM6855">
        <v>87.506745192027694</v>
      </c>
      <c r="AN6855">
        <v>0.99999996538563596</v>
      </c>
    </row>
    <row r="6856" spans="1:40" x14ac:dyDescent="0.25">
      <c r="A6856" t="str">
        <f>"20190305135407367"</f>
        <v>20190305135407367</v>
      </c>
      <c r="B6856" t="str">
        <f>"1551765247357021"</f>
        <v>1551765247357021</v>
      </c>
      <c r="C6856" t="s">
        <v>40</v>
      </c>
      <c r="D6856">
        <v>4.7499789999999997</v>
      </c>
      <c r="E6856">
        <v>0.52714629999999996</v>
      </c>
      <c r="F6856" t="s">
        <v>41</v>
      </c>
      <c r="G6856">
        <v>-171.9538</v>
      </c>
      <c r="H6856">
        <v>1.034519</v>
      </c>
      <c r="I6856">
        <v>134.1403</v>
      </c>
      <c r="J6856">
        <v>-172.6592</v>
      </c>
      <c r="K6856">
        <v>1.1083670000000001</v>
      </c>
      <c r="L6856">
        <v>134.08279999999999</v>
      </c>
      <c r="M6856">
        <v>0.97402999999999995</v>
      </c>
      <c r="N6856">
        <v>2.5067599999999998E-3</v>
      </c>
      <c r="O6856">
        <v>0.22640479999999999</v>
      </c>
      <c r="P6856">
        <v>0.97998839999999998</v>
      </c>
      <c r="Q6856">
        <v>-8.1927630000000001E-2</v>
      </c>
      <c r="R6856">
        <v>0.1814132</v>
      </c>
      <c r="S6856">
        <v>2.9781650000000002</v>
      </c>
      <c r="T6856">
        <v>-0.2559613</v>
      </c>
      <c r="U6856">
        <v>0.3325958</v>
      </c>
      <c r="V6856">
        <v>4.540164E-2</v>
      </c>
      <c r="W6856">
        <v>-8.4299979999999997E-2</v>
      </c>
      <c r="X6856">
        <v>0.9954056</v>
      </c>
      <c r="Y6856">
        <v>0.1156373</v>
      </c>
      <c r="Z6856">
        <v>-2.4544300000000002E-2</v>
      </c>
      <c r="AA6856">
        <v>0.99298819999999999</v>
      </c>
      <c r="AB6856">
        <v>16</v>
      </c>
      <c r="AC6856">
        <v>0.70539999999999703</v>
      </c>
      <c r="AD6856">
        <v>-7.3848000000000094E-2</v>
      </c>
      <c r="AE6856">
        <v>5.7500000000004499E-2</v>
      </c>
      <c r="AF6856">
        <v>0.102582679365325</v>
      </c>
      <c r="AG6856">
        <v>-7.3848000000000094E-2</v>
      </c>
      <c r="AH6856">
        <v>0.69256099035242802</v>
      </c>
      <c r="AI6856">
        <v>96.021265331915401</v>
      </c>
      <c r="AJ6856">
        <v>81.574564959940801</v>
      </c>
      <c r="AK6856">
        <v>0.70400103591380103</v>
      </c>
      <c r="AL6856">
        <v>94.835771948040801</v>
      </c>
      <c r="AM6856">
        <v>87.388480947584</v>
      </c>
      <c r="AN6856">
        <v>1.00000005202702</v>
      </c>
    </row>
    <row r="6857" spans="1:40" x14ac:dyDescent="0.25">
      <c r="A6857" t="str">
        <f>"20190305135407390"</f>
        <v>20190305135407390</v>
      </c>
      <c r="B6857" t="str">
        <f>"1551765247387277"</f>
        <v>1551765247387277</v>
      </c>
      <c r="C6857" t="s">
        <v>40</v>
      </c>
      <c r="D6857">
        <v>4.7734079999999999</v>
      </c>
      <c r="E6857">
        <v>0.52748879999999998</v>
      </c>
      <c r="F6857" t="s">
        <v>41</v>
      </c>
      <c r="G6857">
        <v>-171.81110000000001</v>
      </c>
      <c r="H6857">
        <v>1.0384089999999999</v>
      </c>
      <c r="I6857">
        <v>134.17679999999999</v>
      </c>
      <c r="J6857">
        <v>-172.50239999999999</v>
      </c>
      <c r="K6857">
        <v>1.1083719999999999</v>
      </c>
      <c r="L6857">
        <v>134.1223</v>
      </c>
      <c r="M6857">
        <v>0.97343139999999995</v>
      </c>
      <c r="N6857">
        <v>2.6349310000000001E-3</v>
      </c>
      <c r="O6857">
        <v>0.2289638</v>
      </c>
      <c r="P6857">
        <v>0.98024310000000003</v>
      </c>
      <c r="Q6857">
        <v>-8.1026769999999998E-2</v>
      </c>
      <c r="R6857">
        <v>0.18043890000000001</v>
      </c>
      <c r="S6857">
        <v>2.9794619999999998</v>
      </c>
      <c r="T6857">
        <v>-0.24595900000000001</v>
      </c>
      <c r="U6857">
        <v>0.33079530000000001</v>
      </c>
      <c r="V6857">
        <v>4.9029030000000001E-2</v>
      </c>
      <c r="W6857">
        <v>-8.3513009999999999E-2</v>
      </c>
      <c r="X6857">
        <v>0.99529979999999996</v>
      </c>
      <c r="Y6857">
        <v>0.118961999999999</v>
      </c>
      <c r="Z6857">
        <v>-2.3961679999999999E-2</v>
      </c>
      <c r="AA6857">
        <v>0.99260959999999998</v>
      </c>
      <c r="AB6857">
        <v>16</v>
      </c>
      <c r="AC6857">
        <v>0.69129999999998404</v>
      </c>
      <c r="AD6857">
        <v>-6.9962999999999997E-2</v>
      </c>
      <c r="AE6857">
        <v>5.4499999999990202E-2</v>
      </c>
      <c r="AF6857">
        <v>0.10417065411713</v>
      </c>
      <c r="AG6857">
        <v>-6.9962999999999997E-2</v>
      </c>
      <c r="AH6857">
        <v>0.67850736523536104</v>
      </c>
      <c r="AI6857">
        <v>95.819429984704399</v>
      </c>
      <c r="AJ6857">
        <v>81.271582018589001</v>
      </c>
      <c r="AK6857">
        <v>0.69001347177198102</v>
      </c>
      <c r="AL6857">
        <v>94.790522667439504</v>
      </c>
      <c r="AM6857">
        <v>87.179857205711301</v>
      </c>
      <c r="AN6857">
        <v>0.99999998025101999</v>
      </c>
    </row>
    <row r="6858" spans="1:40" x14ac:dyDescent="0.25">
      <c r="A6858" t="str">
        <f>"20190305135407413"</f>
        <v>20190305135407413</v>
      </c>
      <c r="B6858" t="str">
        <f>"1551765247406800"</f>
        <v>1551765247406800</v>
      </c>
      <c r="C6858" t="s">
        <v>40</v>
      </c>
      <c r="D6858">
        <v>4.7431900000000002</v>
      </c>
      <c r="E6858">
        <v>0.52769140000000003</v>
      </c>
      <c r="F6858" t="s">
        <v>41</v>
      </c>
      <c r="G6858">
        <v>-171.6671</v>
      </c>
      <c r="H6858">
        <v>1.039755</v>
      </c>
      <c r="I6858">
        <v>134.2132</v>
      </c>
      <c r="J6858">
        <v>-172.33599999999899</v>
      </c>
      <c r="K6858">
        <v>1.1083670000000001</v>
      </c>
      <c r="L6858">
        <v>134.16460000000001</v>
      </c>
      <c r="M6858">
        <v>0.97279369999999998</v>
      </c>
      <c r="N6858">
        <v>2.7516659999999998E-3</v>
      </c>
      <c r="O6858">
        <v>0.2316571</v>
      </c>
      <c r="P6858">
        <v>0.98035030000000001</v>
      </c>
      <c r="Q6858">
        <v>-8.1797610000000007E-2</v>
      </c>
      <c r="R6858">
        <v>0.17950720000000001</v>
      </c>
      <c r="S6858">
        <v>2.9803920000000002</v>
      </c>
      <c r="T6858">
        <v>-0.2450328</v>
      </c>
      <c r="U6858">
        <v>0.32507320000000001</v>
      </c>
      <c r="V6858">
        <v>5.2723909999999999E-2</v>
      </c>
      <c r="W6858">
        <v>-8.4385169999999995E-2</v>
      </c>
      <c r="X6858">
        <v>0.99503739999999996</v>
      </c>
      <c r="Y6858">
        <v>0.1236088</v>
      </c>
      <c r="Z6858">
        <v>-2.429533E-2</v>
      </c>
      <c r="AA6858">
        <v>0.99203350000000001</v>
      </c>
      <c r="AB6858">
        <v>16</v>
      </c>
      <c r="AC6858">
        <v>0.66889999999997896</v>
      </c>
      <c r="AD6858">
        <v>-6.8612000000000103E-2</v>
      </c>
      <c r="AE6858">
        <v>4.8599999999993301E-2</v>
      </c>
      <c r="AF6858">
        <v>0.106562746564066</v>
      </c>
      <c r="AG6858">
        <v>-6.8612000000000103E-2</v>
      </c>
      <c r="AH6858">
        <v>0.655106185941571</v>
      </c>
      <c r="AI6858">
        <v>95.902012403540397</v>
      </c>
      <c r="AJ6858">
        <v>80.7609120308298</v>
      </c>
      <c r="AK6858">
        <v>0.66725358025130799</v>
      </c>
      <c r="AL6858">
        <v>94.840670451394701</v>
      </c>
      <c r="AM6858">
        <v>86.966912853873694</v>
      </c>
      <c r="AN6858">
        <v>1.00000004750018</v>
      </c>
    </row>
    <row r="6859" spans="1:40" x14ac:dyDescent="0.25">
      <c r="A6859" t="str">
        <f>"20190305135407436"</f>
        <v>20190305135407436</v>
      </c>
      <c r="B6859" t="str">
        <f>"1551765247427292"</f>
        <v>1551765247427292</v>
      </c>
      <c r="C6859" t="s">
        <v>40</v>
      </c>
      <c r="D6859">
        <v>4.7413259999999999</v>
      </c>
      <c r="E6859">
        <v>0.52779409999999904</v>
      </c>
      <c r="F6859" t="s">
        <v>41</v>
      </c>
      <c r="G6859">
        <v>-171.52180000000001</v>
      </c>
      <c r="H6859">
        <v>1.0404139999999999</v>
      </c>
      <c r="I6859">
        <v>134.25190000000001</v>
      </c>
      <c r="J6859">
        <v>-172.1737</v>
      </c>
      <c r="K6859">
        <v>1.1083700000000001</v>
      </c>
      <c r="L6859">
        <v>134.2063</v>
      </c>
      <c r="M6859">
        <v>0.97216910000000001</v>
      </c>
      <c r="N6859">
        <v>2.8486990000000001E-3</v>
      </c>
      <c r="O6859">
        <v>0.2342629</v>
      </c>
      <c r="P6859">
        <v>0.98023320000000003</v>
      </c>
      <c r="Q6859">
        <v>-8.2615060000000004E-2</v>
      </c>
      <c r="R6859">
        <v>0.17977070000000001</v>
      </c>
      <c r="S6859">
        <v>2.9806520000000001</v>
      </c>
      <c r="T6859">
        <v>-0.2490829</v>
      </c>
      <c r="U6859">
        <v>0.32049559999999999</v>
      </c>
      <c r="V6859">
        <v>5.511551E-2</v>
      </c>
      <c r="W6859">
        <v>-8.5288030000000001E-2</v>
      </c>
      <c r="X6859">
        <v>0.99483069999999896</v>
      </c>
      <c r="Y6859">
        <v>0.127718</v>
      </c>
      <c r="Z6859">
        <v>-2.5088510000000001E-2</v>
      </c>
      <c r="AA6859">
        <v>0.99149319999999996</v>
      </c>
      <c r="AB6859">
        <v>17</v>
      </c>
      <c r="AC6859">
        <v>0.65189999999998305</v>
      </c>
      <c r="AD6859">
        <v>-6.79560000000001E-2</v>
      </c>
      <c r="AE6859">
        <v>4.5600000000007399E-2</v>
      </c>
      <c r="AF6859">
        <v>0.10722600573051699</v>
      </c>
      <c r="AG6859">
        <v>-6.79560000000001E-2</v>
      </c>
      <c r="AH6859">
        <v>0.63754780214965101</v>
      </c>
      <c r="AI6859">
        <v>96.000518883385496</v>
      </c>
      <c r="AJ6859">
        <v>80.4530532867864</v>
      </c>
      <c r="AK6859">
        <v>0.65006356171283097</v>
      </c>
      <c r="AL6859">
        <v>94.892588190984398</v>
      </c>
      <c r="AM6859">
        <v>86.828946735954702</v>
      </c>
      <c r="AN6859">
        <v>0.99999994458316299</v>
      </c>
    </row>
    <row r="6860" spans="1:40" x14ac:dyDescent="0.25">
      <c r="A6860" t="str">
        <f>"20190305135407457"</f>
        <v>20190305135407457</v>
      </c>
      <c r="B6860" t="str">
        <f>"1551765247446812"</f>
        <v>1551765247446812</v>
      </c>
      <c r="C6860" t="s">
        <v>40</v>
      </c>
      <c r="D6860">
        <v>4.7240159999999998</v>
      </c>
      <c r="E6860">
        <v>0.52788789999999997</v>
      </c>
      <c r="F6860" t="s">
        <v>41</v>
      </c>
      <c r="G6860">
        <v>-171.37459999999999</v>
      </c>
      <c r="H6860">
        <v>1.040683</v>
      </c>
      <c r="I6860">
        <v>134.29220000000001</v>
      </c>
      <c r="J6860">
        <v>-172.012</v>
      </c>
      <c r="K6860">
        <v>1.1083860000000001</v>
      </c>
      <c r="L6860">
        <v>134.2483</v>
      </c>
      <c r="M6860">
        <v>0.97154490000000004</v>
      </c>
      <c r="N6860">
        <v>2.9302349999999998E-3</v>
      </c>
      <c r="O6860">
        <v>0.2368373</v>
      </c>
      <c r="P6860">
        <v>0.97985549999999999</v>
      </c>
      <c r="Q6860">
        <v>-8.3053479999999999E-2</v>
      </c>
      <c r="R6860">
        <v>0.18161859999999999</v>
      </c>
      <c r="S6860">
        <v>2.9804080000000002</v>
      </c>
      <c r="T6860">
        <v>-0.25249050000000001</v>
      </c>
      <c r="U6860">
        <v>0.3204803</v>
      </c>
      <c r="V6860">
        <v>5.5873609999999997E-2</v>
      </c>
      <c r="W6860">
        <v>-8.5801340000000004E-2</v>
      </c>
      <c r="X6860">
        <v>0.99474430000000003</v>
      </c>
      <c r="Y6860">
        <v>0.13028699999999999</v>
      </c>
      <c r="Z6860">
        <v>-2.5763060000000001E-2</v>
      </c>
      <c r="AA6860">
        <v>0.99114159999999996</v>
      </c>
      <c r="AB6860">
        <v>17</v>
      </c>
      <c r="AC6860">
        <v>0.63740000000001296</v>
      </c>
      <c r="AD6860">
        <v>-6.7702999999999999E-2</v>
      </c>
      <c r="AE6860">
        <v>4.3900000000007801E-2</v>
      </c>
      <c r="AF6860">
        <v>0.107107047400085</v>
      </c>
      <c r="AG6860">
        <v>-6.7702999999999999E-2</v>
      </c>
      <c r="AH6860">
        <v>0.62267068948220305</v>
      </c>
      <c r="AI6860">
        <v>96.116264936924594</v>
      </c>
      <c r="AJ6860">
        <v>80.239931567997104</v>
      </c>
      <c r="AK6860">
        <v>0.63543245380764701</v>
      </c>
      <c r="AL6860">
        <v>94.922106738670095</v>
      </c>
      <c r="AM6860">
        <v>86.785141927968397</v>
      </c>
      <c r="AN6860">
        <v>0.99999997631135795</v>
      </c>
    </row>
    <row r="6861" spans="1:40" x14ac:dyDescent="0.25">
      <c r="A6861" t="str">
        <f>"20190305135407479"</f>
        <v>20190305135407479</v>
      </c>
      <c r="B6861" t="str">
        <f>"1551765247477068"</f>
        <v>1551765247477068</v>
      </c>
      <c r="C6861" t="s">
        <v>40</v>
      </c>
      <c r="D6861">
        <v>4.7658620000000003</v>
      </c>
      <c r="E6861">
        <v>0.52797819999999995</v>
      </c>
      <c r="F6861" t="s">
        <v>41</v>
      </c>
      <c r="G6861">
        <v>-171.22540000000001</v>
      </c>
      <c r="H6861">
        <v>1.041258</v>
      </c>
      <c r="I6861">
        <v>134.334</v>
      </c>
      <c r="J6861">
        <v>-171.8443</v>
      </c>
      <c r="K6861">
        <v>1.1084050000000001</v>
      </c>
      <c r="L6861">
        <v>134.29230000000001</v>
      </c>
      <c r="M6861">
        <v>0.97089479999999995</v>
      </c>
      <c r="N6861">
        <v>3.0006780000000001E-3</v>
      </c>
      <c r="O6861">
        <v>0.2394877</v>
      </c>
      <c r="P6861">
        <v>0.97938709999999995</v>
      </c>
      <c r="Q6861">
        <v>-8.3452520000000002E-2</v>
      </c>
      <c r="R6861">
        <v>0.18394830000000001</v>
      </c>
      <c r="S6861">
        <v>2.979813</v>
      </c>
      <c r="T6861">
        <v>-0.25448470000000001</v>
      </c>
      <c r="U6861">
        <v>0.32527159999999999</v>
      </c>
      <c r="V6861">
        <v>5.62222E-2</v>
      </c>
      <c r="W6861">
        <v>-8.6265190000000005E-2</v>
      </c>
      <c r="X6861">
        <v>0.99468460000000003</v>
      </c>
      <c r="Y6861">
        <v>0.1313608</v>
      </c>
      <c r="Z6861">
        <v>-2.6246780000000001E-2</v>
      </c>
      <c r="AA6861">
        <v>0.99098710000000001</v>
      </c>
      <c r="AB6861">
        <v>17</v>
      </c>
      <c r="AC6861">
        <v>0.61889999999999601</v>
      </c>
      <c r="AD6861">
        <v>-6.7146999999999804E-2</v>
      </c>
      <c r="AE6861">
        <v>4.1699999999991598E-2</v>
      </c>
      <c r="AF6861">
        <v>0.106485334195474</v>
      </c>
      <c r="AG6861">
        <v>-6.7146999999999804E-2</v>
      </c>
      <c r="AH6861">
        <v>0.60380095257456101</v>
      </c>
      <c r="AI6861">
        <v>96.249959915729704</v>
      </c>
      <c r="AJ6861">
        <v>79.9982573862425</v>
      </c>
      <c r="AK6861">
        <v>0.61678475689471302</v>
      </c>
      <c r="AL6861">
        <v>94.948781996005096</v>
      </c>
      <c r="AM6861">
        <v>86.764933465265202</v>
      </c>
      <c r="AN6861">
        <v>1.00000003612786</v>
      </c>
    </row>
    <row r="6862" spans="1:40" x14ac:dyDescent="0.25">
      <c r="A6862" t="str">
        <f>"20190305135407502"</f>
        <v>20190305135407502</v>
      </c>
      <c r="B6862" t="str">
        <f>"1551765247496588"</f>
        <v>1551765247496588</v>
      </c>
      <c r="C6862" t="s">
        <v>40</v>
      </c>
      <c r="D6862">
        <v>4.7293989999999999</v>
      </c>
      <c r="E6862">
        <v>0.52796919999999903</v>
      </c>
      <c r="F6862" t="s">
        <v>41</v>
      </c>
      <c r="G6862">
        <v>-171.07419999999999</v>
      </c>
      <c r="H6862">
        <v>1.042136</v>
      </c>
      <c r="I6862">
        <v>134.37790000000001</v>
      </c>
      <c r="J6862">
        <v>-171.67230000000001</v>
      </c>
      <c r="K6862">
        <v>1.108425</v>
      </c>
      <c r="L6862">
        <v>134.33789999999999</v>
      </c>
      <c r="M6862">
        <v>0.97022439999999999</v>
      </c>
      <c r="N6862">
        <v>3.0595990000000001E-3</v>
      </c>
      <c r="O6862">
        <v>0.24218880000000001</v>
      </c>
      <c r="P6862">
        <v>0.97902359999999999</v>
      </c>
      <c r="Q6862">
        <v>-8.2050319999999996E-2</v>
      </c>
      <c r="R6862">
        <v>0.18649660000000001</v>
      </c>
      <c r="S6862">
        <v>2.9790040000000002</v>
      </c>
      <c r="T6862">
        <v>-0.25652329999999901</v>
      </c>
      <c r="U6862">
        <v>0.33145140000000001</v>
      </c>
      <c r="V6862">
        <v>5.6433120000000003E-2</v>
      </c>
      <c r="W6862">
        <v>-8.4916870000000005E-2</v>
      </c>
      <c r="X6862">
        <v>0.99478860000000002</v>
      </c>
      <c r="Y6862">
        <v>0.13202410000000001</v>
      </c>
      <c r="Z6862">
        <v>-2.6725559999999999E-2</v>
      </c>
      <c r="AA6862">
        <v>0.99088620000000005</v>
      </c>
      <c r="AB6862">
        <v>17</v>
      </c>
      <c r="AC6862">
        <v>0.59810000000001595</v>
      </c>
      <c r="AD6862">
        <v>-6.6289000000000001E-2</v>
      </c>
      <c r="AE6862">
        <v>4.0000000000020401E-2</v>
      </c>
      <c r="AF6862">
        <v>0.10476346224731201</v>
      </c>
      <c r="AG6862">
        <v>-6.6289000000000001E-2</v>
      </c>
      <c r="AH6862">
        <v>0.58285365946092005</v>
      </c>
      <c r="AI6862">
        <v>96.386985476007993</v>
      </c>
      <c r="AJ6862">
        <v>79.810328196707104</v>
      </c>
      <c r="AK6862">
        <v>0.59589261019921302</v>
      </c>
      <c r="AL6862">
        <v>94.871244757938598</v>
      </c>
      <c r="AM6862">
        <v>86.753161646014206</v>
      </c>
      <c r="AN6862">
        <v>0.99999996526674495</v>
      </c>
    </row>
    <row r="6863" spans="1:40" x14ac:dyDescent="0.25">
      <c r="A6863" t="str">
        <f>"20190305135407524"</f>
        <v>20190305135407524</v>
      </c>
      <c r="B6863" t="str">
        <f>"1551765247517084"</f>
        <v>1551765247517084</v>
      </c>
      <c r="C6863" t="s">
        <v>40</v>
      </c>
      <c r="D6863">
        <v>4.7501740000000003</v>
      </c>
      <c r="E6863">
        <v>0.52802380000000004</v>
      </c>
      <c r="F6863" t="s">
        <v>41</v>
      </c>
      <c r="G6863">
        <v>-170.9204</v>
      </c>
      <c r="H6863">
        <v>1.0444249999999999</v>
      </c>
      <c r="I6863">
        <v>134.42339999999999</v>
      </c>
      <c r="J6863">
        <v>-171.49610000000001</v>
      </c>
      <c r="K6863">
        <v>1.108457</v>
      </c>
      <c r="L6863">
        <v>134.3852</v>
      </c>
      <c r="M6863">
        <v>0.96953319999999998</v>
      </c>
      <c r="N6863">
        <v>3.1074200000000001E-3</v>
      </c>
      <c r="O6863">
        <v>0.24494050000000001</v>
      </c>
      <c r="P6863">
        <v>0.97902180000000005</v>
      </c>
      <c r="Q6863">
        <v>-7.8698619999999997E-2</v>
      </c>
      <c r="R6863">
        <v>0.18794379999999999</v>
      </c>
      <c r="S6863">
        <v>2.9783940000000002</v>
      </c>
      <c r="T6863">
        <v>-0.25370789999999999</v>
      </c>
      <c r="U6863">
        <v>0.33915709999999999</v>
      </c>
      <c r="V6863">
        <v>5.7848810000000001E-2</v>
      </c>
      <c r="W6863">
        <v>-8.1604289999999996E-2</v>
      </c>
      <c r="X6863">
        <v>0.9949846</v>
      </c>
      <c r="Y6863">
        <v>0.13230039999999901</v>
      </c>
      <c r="Z6863">
        <v>-2.6693850000000002E-2</v>
      </c>
      <c r="AA6863">
        <v>0.99085020000000001</v>
      </c>
      <c r="AB6863">
        <v>18</v>
      </c>
      <c r="AC6863">
        <v>0.57570000000001098</v>
      </c>
      <c r="AD6863">
        <v>-6.4032000000000006E-2</v>
      </c>
      <c r="AE6863">
        <v>3.8199999999989097E-2</v>
      </c>
      <c r="AF6863">
        <v>0.10271150782475801</v>
      </c>
      <c r="AG6863">
        <v>-6.4032000000000006E-2</v>
      </c>
      <c r="AH6863">
        <v>0.56061477922473102</v>
      </c>
      <c r="AI6863">
        <v>96.410155977859901</v>
      </c>
      <c r="AJ6863">
        <v>79.617853036207094</v>
      </c>
      <c r="AK6863">
        <v>0.57353176158677499</v>
      </c>
      <c r="AL6863">
        <v>94.680786105875001</v>
      </c>
      <c r="AM6863">
        <v>86.672545935229493</v>
      </c>
      <c r="AN6863">
        <v>1.00000004960098</v>
      </c>
    </row>
    <row r="6864" spans="1:40" x14ac:dyDescent="0.25">
      <c r="A6864" t="str">
        <f>"20190305135407542"</f>
        <v>20190305135407542</v>
      </c>
      <c r="B6864" t="str">
        <f>"1551765247536605"</f>
        <v>1551765247536605</v>
      </c>
      <c r="C6864" t="s">
        <v>40</v>
      </c>
      <c r="D6864">
        <v>4.7305089999999996</v>
      </c>
      <c r="E6864">
        <v>0.52820699999999998</v>
      </c>
      <c r="F6864" t="s">
        <v>41</v>
      </c>
      <c r="G6864">
        <v>-170.7637</v>
      </c>
      <c r="H6864">
        <v>1.048227</v>
      </c>
      <c r="I6864">
        <v>134.46950000000001</v>
      </c>
      <c r="J6864">
        <v>-171.35579999999999</v>
      </c>
      <c r="K6864">
        <v>1.1084769999999999</v>
      </c>
      <c r="L6864">
        <v>134.42320000000001</v>
      </c>
      <c r="M6864">
        <v>0.96898229999999996</v>
      </c>
      <c r="N6864">
        <v>3.1356050000000001E-3</v>
      </c>
      <c r="O6864">
        <v>0.2471103</v>
      </c>
      <c r="P6864">
        <v>0.97895100000000002</v>
      </c>
      <c r="Q6864">
        <v>-7.6375369999999998E-2</v>
      </c>
      <c r="R6864">
        <v>0.18926709999999999</v>
      </c>
      <c r="S6864">
        <v>2.9787140000000001</v>
      </c>
      <c r="T6864">
        <v>-0.2450697</v>
      </c>
      <c r="U6864">
        <v>0.34309390000000001</v>
      </c>
      <c r="V6864">
        <v>5.8773619999999999E-2</v>
      </c>
      <c r="W6864">
        <v>-7.9303180000000001E-2</v>
      </c>
      <c r="X6864">
        <v>0.99511640000000001</v>
      </c>
      <c r="Y6864">
        <v>0.13331799999999999</v>
      </c>
      <c r="Z6864">
        <v>-2.602602E-2</v>
      </c>
      <c r="AA6864">
        <v>0.99073149999999999</v>
      </c>
      <c r="AB6864">
        <v>18</v>
      </c>
      <c r="AC6864">
        <v>0.59209999999998697</v>
      </c>
      <c r="AD6864">
        <v>-6.0249999999999901E-2</v>
      </c>
      <c r="AE6864">
        <v>4.6300000000002201E-2</v>
      </c>
      <c r="AF6864">
        <v>0.100417187035745</v>
      </c>
      <c r="AG6864">
        <v>-6.0249999999999901E-2</v>
      </c>
      <c r="AH6864">
        <v>0.57921750750293199</v>
      </c>
      <c r="AI6864">
        <v>95.851857975314203</v>
      </c>
      <c r="AJ6864">
        <v>80.164564753420805</v>
      </c>
      <c r="AK6864">
        <v>0.59093704821248205</v>
      </c>
      <c r="AL6864">
        <v>94.548513675233096</v>
      </c>
      <c r="AM6864">
        <v>86.619920117717896</v>
      </c>
      <c r="AN6864">
        <v>0.99999999115748806</v>
      </c>
    </row>
    <row r="6865" spans="1:40" x14ac:dyDescent="0.25">
      <c r="A6865" t="str">
        <f>"20190305135407558"</f>
        <v>20190305135407558</v>
      </c>
      <c r="B6865" t="str">
        <f>"1551765247547342"</f>
        <v>1551765247547342</v>
      </c>
      <c r="C6865" t="s">
        <v>40</v>
      </c>
      <c r="D6865">
        <v>4.7103650000000004</v>
      </c>
      <c r="E6865">
        <v>0.5283525</v>
      </c>
      <c r="F6865" t="s">
        <v>41</v>
      </c>
      <c r="G6865">
        <v>-170.60499999999999</v>
      </c>
      <c r="H6865">
        <v>1.0483340000000001</v>
      </c>
      <c r="I6865">
        <v>134.5102</v>
      </c>
      <c r="J6865">
        <v>-171.23490000000001</v>
      </c>
      <c r="K6865">
        <v>1.1085</v>
      </c>
      <c r="L6865">
        <v>134.4562</v>
      </c>
      <c r="M6865">
        <v>0.96850809999999998</v>
      </c>
      <c r="N6865">
        <v>3.1539039999999999E-3</v>
      </c>
      <c r="O6865">
        <v>0.24896209999999999</v>
      </c>
      <c r="P6865">
        <v>0.97931310000000005</v>
      </c>
      <c r="Q6865">
        <v>-7.3101079999999999E-2</v>
      </c>
      <c r="R6865">
        <v>0.1886854</v>
      </c>
      <c r="S6865">
        <v>2.979034</v>
      </c>
      <c r="T6865">
        <v>-0.23878460000000001</v>
      </c>
      <c r="U6865">
        <v>0.34564210000000001</v>
      </c>
      <c r="V6865">
        <v>6.1322069999999999E-2</v>
      </c>
      <c r="W6865">
        <v>-7.6036619999999999E-2</v>
      </c>
      <c r="X6865">
        <v>0.99521760000000004</v>
      </c>
      <c r="Y6865">
        <v>0.134442899999999</v>
      </c>
      <c r="Z6865">
        <v>-2.5566419999999999E-2</v>
      </c>
      <c r="AA6865">
        <v>0.99059149999999996</v>
      </c>
      <c r="AB6865">
        <v>18</v>
      </c>
      <c r="AC6865">
        <v>0.62990000000002</v>
      </c>
      <c r="AD6865">
        <v>-6.01659999999999E-2</v>
      </c>
      <c r="AE6865">
        <v>5.4000000000001998E-2</v>
      </c>
      <c r="AF6865">
        <v>0.103584158405709</v>
      </c>
      <c r="AG6865">
        <v>-6.01659999999999E-2</v>
      </c>
      <c r="AH6865">
        <v>0.61791392520031596</v>
      </c>
      <c r="AI6865">
        <v>95.485271208591399</v>
      </c>
      <c r="AJ6865">
        <v>80.483690157847903</v>
      </c>
      <c r="AK6865">
        <v>0.62941817926167398</v>
      </c>
      <c r="AL6865">
        <v>94.360786271627205</v>
      </c>
      <c r="AM6865">
        <v>86.474078201455399</v>
      </c>
      <c r="AN6865">
        <v>1.00000001759993</v>
      </c>
    </row>
    <row r="6866" spans="1:40" x14ac:dyDescent="0.25">
      <c r="A6866" t="str">
        <f>"20190305135407581"</f>
        <v>20190305135407581</v>
      </c>
      <c r="B6866" t="str">
        <f>"1551765247576621"</f>
        <v>1551765247576621</v>
      </c>
      <c r="C6866" t="s">
        <v>40</v>
      </c>
      <c r="D6866">
        <v>4.7192239999999996</v>
      </c>
      <c r="E6866">
        <v>0.5440431</v>
      </c>
      <c r="F6866" t="s">
        <v>41</v>
      </c>
      <c r="G6866">
        <v>-170.4434</v>
      </c>
      <c r="H6866">
        <v>1.047744</v>
      </c>
      <c r="I6866">
        <v>134.5472</v>
      </c>
      <c r="J6866">
        <v>-171.0513</v>
      </c>
      <c r="K6866">
        <v>1.1085100000000001</v>
      </c>
      <c r="L6866">
        <v>134.5068</v>
      </c>
      <c r="M6866">
        <v>0.96778989999999998</v>
      </c>
      <c r="N6866">
        <v>3.1728440000000002E-3</v>
      </c>
      <c r="O6866">
        <v>0.2517393</v>
      </c>
      <c r="P6866">
        <v>0.97923800000000005</v>
      </c>
      <c r="Q6866">
        <v>-7.2017449999999997E-2</v>
      </c>
      <c r="R6866">
        <v>0.18948980000000001</v>
      </c>
      <c r="S6866">
        <v>2.98027</v>
      </c>
      <c r="T6866">
        <v>-0.2288617</v>
      </c>
      <c r="U6866">
        <v>0.34268189999999998</v>
      </c>
      <c r="V6866">
        <v>6.3379939999999996E-2</v>
      </c>
      <c r="W6866">
        <v>-7.4962009999999996E-2</v>
      </c>
      <c r="X6866">
        <v>0.9951702</v>
      </c>
      <c r="Y6866">
        <v>0.13838200000000001</v>
      </c>
      <c r="Z6866">
        <v>-2.4885620000000001E-2</v>
      </c>
      <c r="AA6866">
        <v>0.99006620000000001</v>
      </c>
      <c r="AB6866">
        <v>18</v>
      </c>
      <c r="AC6866">
        <v>0.6079</v>
      </c>
      <c r="AD6866">
        <v>-6.0766000000000098E-2</v>
      </c>
      <c r="AE6866">
        <v>4.04000000000053E-2</v>
      </c>
      <c r="AF6866">
        <v>0.112811908386883</v>
      </c>
      <c r="AG6866">
        <v>-6.0766000000000098E-2</v>
      </c>
      <c r="AH6866">
        <v>0.59259749161762998</v>
      </c>
      <c r="AI6866">
        <v>95.752157095485501</v>
      </c>
      <c r="AJ6866">
        <v>79.221655240548301</v>
      </c>
      <c r="AK6866">
        <v>0.60629268550873805</v>
      </c>
      <c r="AL6866">
        <v>94.299039392726399</v>
      </c>
      <c r="AM6866">
        <v>86.355894498246698</v>
      </c>
      <c r="AN6866">
        <v>1.0000000233528401</v>
      </c>
    </row>
    <row r="6867" spans="1:40" x14ac:dyDescent="0.25">
      <c r="A6867" t="str">
        <f>"20190305135407603"</f>
        <v>20190305135407603</v>
      </c>
      <c r="B6867" t="str">
        <f>"1551765247597117"</f>
        <v>1551765247597117</v>
      </c>
      <c r="C6867" t="s">
        <v>40</v>
      </c>
      <c r="D6867">
        <v>4.6874729999999998</v>
      </c>
      <c r="E6867">
        <v>0.5448887</v>
      </c>
      <c r="F6867" t="s">
        <v>42</v>
      </c>
      <c r="G6867">
        <v>-145.78049999999999</v>
      </c>
      <c r="H6867" s="1">
        <v>-2.3567400000000001E-6</v>
      </c>
      <c r="I6867">
        <v>136.435</v>
      </c>
      <c r="J6867">
        <v>-170.86240000000001</v>
      </c>
      <c r="K6867">
        <v>1.1085240000000001</v>
      </c>
      <c r="L6867">
        <v>134.55930000000001</v>
      </c>
      <c r="M6867">
        <v>0.96705660000000004</v>
      </c>
      <c r="N6867">
        <v>3.1805499999999999E-3</v>
      </c>
      <c r="O6867">
        <v>0.25454189999999999</v>
      </c>
      <c r="P6867">
        <v>0.97898379999999996</v>
      </c>
      <c r="Q6867">
        <v>-7.2357679999999994E-2</v>
      </c>
      <c r="R6867">
        <v>0.19067020000000001</v>
      </c>
      <c r="S6867">
        <v>3.0094759999999998</v>
      </c>
      <c r="T6867">
        <v>-0.13201170000000001</v>
      </c>
      <c r="U6867">
        <v>0.22962949999999999</v>
      </c>
      <c r="V6867">
        <v>6.5060060000000003E-2</v>
      </c>
      <c r="W6867">
        <v>-7.5302270000000004E-2</v>
      </c>
      <c r="X6867">
        <v>0.99503609999999998</v>
      </c>
      <c r="Y6867">
        <v>0.17979700000000001</v>
      </c>
      <c r="Z6867">
        <v>-1.5489910000000001E-2</v>
      </c>
      <c r="AA6867">
        <v>0.98358179999999995</v>
      </c>
      <c r="AB6867">
        <v>19</v>
      </c>
      <c r="AC6867">
        <v>25.081900000000001</v>
      </c>
      <c r="AD6867">
        <v>-1.1085263567399899</v>
      </c>
      <c r="AE6867">
        <v>1.8756999999999899</v>
      </c>
      <c r="AF6867">
        <v>4.5616484035698104</v>
      </c>
      <c r="AG6867">
        <v>-1.1085263567399899</v>
      </c>
      <c r="AH6867">
        <v>24.685234511526399</v>
      </c>
      <c r="AI6867">
        <v>92.5284707495654</v>
      </c>
      <c r="AJ6867">
        <v>79.530272775981203</v>
      </c>
      <c r="AK6867">
        <v>25.127639557476002</v>
      </c>
      <c r="AL6867">
        <v>94.318590032953196</v>
      </c>
      <c r="AM6867">
        <v>86.259062030849904</v>
      </c>
      <c r="AN6867">
        <v>1.00000004178878</v>
      </c>
    </row>
    <row r="6868" spans="1:40" x14ac:dyDescent="0.25">
      <c r="A6868" t="str">
        <f>"20190305135407627"</f>
        <v>20190305135407627</v>
      </c>
      <c r="B6868" t="str">
        <f>"1551765247616637"</f>
        <v>1551765247616637</v>
      </c>
      <c r="C6868" t="s">
        <v>40</v>
      </c>
      <c r="D6868">
        <v>4.7199960000000001</v>
      </c>
      <c r="E6868">
        <v>0.54506489999999996</v>
      </c>
      <c r="F6868" t="s">
        <v>42</v>
      </c>
      <c r="G6868">
        <v>-141.85849999999999</v>
      </c>
      <c r="H6868" s="1">
        <v>-3.9820810000000001E-6</v>
      </c>
      <c r="I6868">
        <v>136.75739999999999</v>
      </c>
      <c r="J6868">
        <v>-170.67599999999999</v>
      </c>
      <c r="K6868">
        <v>1.1085389999999999</v>
      </c>
      <c r="L6868">
        <v>134.61170000000001</v>
      </c>
      <c r="M6868">
        <v>0.96634200000000003</v>
      </c>
      <c r="N6868">
        <v>3.1771450000000001E-3</v>
      </c>
      <c r="O6868">
        <v>0.25724160000000001</v>
      </c>
      <c r="P6868">
        <v>0.97882519999999995</v>
      </c>
      <c r="Q6868">
        <v>-7.1545040000000004E-2</v>
      </c>
      <c r="R6868">
        <v>0.19178890000000001</v>
      </c>
      <c r="S6868">
        <v>3.0114589999999999</v>
      </c>
      <c r="T6868">
        <v>-0.1150979</v>
      </c>
      <c r="U6868">
        <v>0.2282257</v>
      </c>
      <c r="V6868">
        <v>6.6714499999999996E-2</v>
      </c>
      <c r="W6868">
        <v>-7.448051E-2</v>
      </c>
      <c r="X6868">
        <v>0.9949884</v>
      </c>
      <c r="Y6868">
        <v>0.18314510000000001</v>
      </c>
      <c r="Z6868">
        <v>-1.373332E-2</v>
      </c>
      <c r="AA6868">
        <v>0.98299000000000003</v>
      </c>
      <c r="AB6868">
        <v>19</v>
      </c>
      <c r="AC6868">
        <v>28.8174999999999</v>
      </c>
      <c r="AD6868">
        <v>-1.108542982081</v>
      </c>
      <c r="AE6868">
        <v>2.14569999999997</v>
      </c>
      <c r="AF6868">
        <v>5.3317599582240103</v>
      </c>
      <c r="AG6868">
        <v>-1.108542982081</v>
      </c>
      <c r="AH6868">
        <v>28.357932752592301</v>
      </c>
      <c r="AI6868">
        <v>92.200105134958307</v>
      </c>
      <c r="AJ6868">
        <v>79.351757828898997</v>
      </c>
      <c r="AK6868">
        <v>28.876095334996201</v>
      </c>
      <c r="AL6868">
        <v>94.271374049662896</v>
      </c>
      <c r="AM6868">
        <v>86.1640292681913</v>
      </c>
      <c r="AN6868">
        <v>1.00000004350733</v>
      </c>
    </row>
    <row r="6869" spans="1:40" x14ac:dyDescent="0.25">
      <c r="A6869" t="str">
        <f>"20190305135407648"</f>
        <v>20190305135407648</v>
      </c>
      <c r="B6869" t="str">
        <f>"1551765247637133"</f>
        <v>1551765247637133</v>
      </c>
      <c r="C6869" t="s">
        <v>40</v>
      </c>
      <c r="D6869">
        <v>4.7030089999999998</v>
      </c>
      <c r="E6869">
        <v>0.54529640000000001</v>
      </c>
      <c r="F6869" t="s">
        <v>42</v>
      </c>
      <c r="G6869">
        <v>-140.36500000000001</v>
      </c>
      <c r="H6869" s="1">
        <v>-4.5919050000000004E-6</v>
      </c>
      <c r="I6869">
        <v>136.9316</v>
      </c>
      <c r="J6869">
        <v>-170.49260000000001</v>
      </c>
      <c r="K6869">
        <v>1.1085529999999999</v>
      </c>
      <c r="L6869">
        <v>134.66370000000001</v>
      </c>
      <c r="M6869">
        <v>0.96565020000000001</v>
      </c>
      <c r="N6869">
        <v>3.1645879999999999E-3</v>
      </c>
      <c r="O6869">
        <v>0.25982640000000001</v>
      </c>
      <c r="P6869">
        <v>0.97879179999999999</v>
      </c>
      <c r="Q6869">
        <v>-6.8634459999999994E-2</v>
      </c>
      <c r="R6869">
        <v>0.1930182</v>
      </c>
      <c r="S6869">
        <v>3.0116879999999999</v>
      </c>
      <c r="T6869">
        <v>-0.11014409999999999</v>
      </c>
      <c r="U6869">
        <v>0.23051450000000001</v>
      </c>
      <c r="V6869">
        <v>6.8170129999999995E-2</v>
      </c>
      <c r="W6869">
        <v>-7.1554290000000006E-2</v>
      </c>
      <c r="X6869">
        <v>0.9951044</v>
      </c>
      <c r="Y6869">
        <v>0.18506239999999999</v>
      </c>
      <c r="Z6869">
        <v>-1.329373E-2</v>
      </c>
      <c r="AA6869">
        <v>0.98263690000000004</v>
      </c>
      <c r="AB6869">
        <v>19</v>
      </c>
      <c r="AC6869">
        <v>30.127600000000001</v>
      </c>
      <c r="AD6869">
        <v>-1.1085575919049999</v>
      </c>
      <c r="AE6869">
        <v>2.2678999999999898</v>
      </c>
      <c r="AF6869">
        <v>5.6303957063532897</v>
      </c>
      <c r="AG6869">
        <v>-1.1085575919049999</v>
      </c>
      <c r="AH6869">
        <v>29.6422241220918</v>
      </c>
      <c r="AI6869">
        <v>92.104157943143207</v>
      </c>
      <c r="AJ6869">
        <v>79.245067985163502</v>
      </c>
      <c r="AK6869">
        <v>30.192577012388501</v>
      </c>
      <c r="AL6869">
        <v>94.103265483170901</v>
      </c>
      <c r="AM6869">
        <v>86.081046560117699</v>
      </c>
      <c r="AN6869">
        <v>0.99999997497048998</v>
      </c>
    </row>
    <row r="6870" spans="1:40" x14ac:dyDescent="0.25">
      <c r="A6870" t="str">
        <f>"20190305135407670"</f>
        <v>20190305135407670</v>
      </c>
      <c r="B6870" t="str">
        <f>"1551765247667389"</f>
        <v>1551765247667389</v>
      </c>
      <c r="C6870" t="s">
        <v>40</v>
      </c>
      <c r="D6870">
        <v>4.7133640000000003</v>
      </c>
      <c r="E6870">
        <v>0.54527550000000002</v>
      </c>
      <c r="F6870" t="s">
        <v>42</v>
      </c>
      <c r="G6870">
        <v>-137.69110000000001</v>
      </c>
      <c r="H6870" s="1">
        <v>-1.416029E-6</v>
      </c>
      <c r="I6870">
        <v>137.19489999999999</v>
      </c>
      <c r="J6870">
        <v>-170.3049</v>
      </c>
      <c r="K6870">
        <v>1.1085449999999999</v>
      </c>
      <c r="L6870">
        <v>134.71729999999999</v>
      </c>
      <c r="M6870">
        <v>0.96495180000000003</v>
      </c>
      <c r="N6870">
        <v>3.1444680000000001E-3</v>
      </c>
      <c r="O6870">
        <v>0.26240859999999999</v>
      </c>
      <c r="P6870">
        <v>0.97846129999999998</v>
      </c>
      <c r="Q6870">
        <v>-6.7500619999999997E-2</v>
      </c>
      <c r="R6870">
        <v>0.19508300000000001</v>
      </c>
      <c r="S6870">
        <v>3.0120239999999998</v>
      </c>
      <c r="T6870">
        <v>-0.1017938</v>
      </c>
      <c r="U6870">
        <v>0.23243710000000001</v>
      </c>
      <c r="V6870">
        <v>6.8747329999999995E-2</v>
      </c>
      <c r="W6870">
        <v>-7.0400359999999995E-2</v>
      </c>
      <c r="X6870">
        <v>0.995147</v>
      </c>
      <c r="Y6870">
        <v>0.1871169</v>
      </c>
      <c r="Z6870">
        <v>-1.244611E-2</v>
      </c>
      <c r="AA6870">
        <v>0.98225879999999999</v>
      </c>
      <c r="AB6870">
        <v>20</v>
      </c>
      <c r="AC6870">
        <v>32.613799999999998</v>
      </c>
      <c r="AD6870">
        <v>-1.1085464160289999</v>
      </c>
      <c r="AE6870">
        <v>2.47759999999999</v>
      </c>
      <c r="AF6870">
        <v>6.1603307276628501</v>
      </c>
      <c r="AG6870">
        <v>-1.1085464160289999</v>
      </c>
      <c r="AH6870">
        <v>32.084190118417403</v>
      </c>
      <c r="AI6870">
        <v>91.9433791036342</v>
      </c>
      <c r="AJ6870">
        <v>79.131188370285997</v>
      </c>
      <c r="AK6870">
        <v>32.689047177692899</v>
      </c>
      <c r="AL6870">
        <v>94.036982974127795</v>
      </c>
      <c r="AM6870">
        <v>86.048137927987696</v>
      </c>
      <c r="AN6870">
        <v>0.99999997883962899</v>
      </c>
    </row>
    <row r="6871" spans="1:40" x14ac:dyDescent="0.25">
      <c r="A6871" t="str">
        <f>"20190305135407693"</f>
        <v>20190305135407693</v>
      </c>
      <c r="B6871" t="str">
        <f>"1551765247686909"</f>
        <v>1551765247686909</v>
      </c>
      <c r="C6871" t="s">
        <v>40</v>
      </c>
      <c r="D6871">
        <v>4.7073910000000003</v>
      </c>
      <c r="E6871">
        <v>0.54517749999999998</v>
      </c>
      <c r="F6871" t="s">
        <v>42</v>
      </c>
      <c r="G6871">
        <v>-135.1756</v>
      </c>
      <c r="H6871" s="1">
        <v>-2.4257770000000001E-6</v>
      </c>
      <c r="I6871">
        <v>137.50890000000001</v>
      </c>
      <c r="J6871">
        <v>-170.1069</v>
      </c>
      <c r="K6871">
        <v>1.1085309999999999</v>
      </c>
      <c r="L6871">
        <v>134.77449999999999</v>
      </c>
      <c r="M6871">
        <v>0.96422560000000002</v>
      </c>
      <c r="N6871">
        <v>3.1167679999999998E-3</v>
      </c>
      <c r="O6871">
        <v>0.26506429999999997</v>
      </c>
      <c r="P6871">
        <v>0.97815879999999999</v>
      </c>
      <c r="Q6871">
        <v>-6.6692699999999994E-2</v>
      </c>
      <c r="R6871">
        <v>0.19686880000000001</v>
      </c>
      <c r="S6871">
        <v>3.011749</v>
      </c>
      <c r="T6871">
        <v>-9.5039129999999999E-2</v>
      </c>
      <c r="U6871">
        <v>0.23933409999999999</v>
      </c>
      <c r="V6871">
        <v>6.9680800000000001E-2</v>
      </c>
      <c r="W6871">
        <v>-6.9563589999999995E-2</v>
      </c>
      <c r="X6871">
        <v>0.99514100000000005</v>
      </c>
      <c r="Y6871">
        <v>0.18761059999999999</v>
      </c>
      <c r="Z6871">
        <v>-1.1747469999999999E-2</v>
      </c>
      <c r="AA6871">
        <v>0.98217330000000003</v>
      </c>
      <c r="AB6871">
        <v>20</v>
      </c>
      <c r="AC6871">
        <v>34.931299999999901</v>
      </c>
      <c r="AD6871">
        <v>-1.1085334257770001</v>
      </c>
      <c r="AE6871">
        <v>2.7344000000000199</v>
      </c>
      <c r="AF6871">
        <v>6.6158727160508501</v>
      </c>
      <c r="AG6871">
        <v>-1.1085334257770001</v>
      </c>
      <c r="AH6871">
        <v>34.372210922309897</v>
      </c>
      <c r="AI6871">
        <v>91.8139257024269</v>
      </c>
      <c r="AJ6871">
        <v>79.1050982068666</v>
      </c>
      <c r="AK6871">
        <v>35.020672492669398</v>
      </c>
      <c r="AL6871">
        <v>93.988921430519795</v>
      </c>
      <c r="AM6871">
        <v>85.994627880997399</v>
      </c>
      <c r="AN6871">
        <v>1.00000005841166</v>
      </c>
    </row>
    <row r="6872" spans="1:40" x14ac:dyDescent="0.25">
      <c r="A6872" t="str">
        <f>"20190305135407715"</f>
        <v>20190305135407715</v>
      </c>
      <c r="B6872" t="str">
        <f>"1551765247707405"</f>
        <v>1551765247707405</v>
      </c>
      <c r="C6872" t="s">
        <v>40</v>
      </c>
      <c r="D6872">
        <v>4.7458130000000001</v>
      </c>
      <c r="E6872">
        <v>0.54548090000000005</v>
      </c>
      <c r="F6872" t="s">
        <v>42</v>
      </c>
      <c r="G6872">
        <v>-133.92080000000001</v>
      </c>
      <c r="H6872" s="1">
        <v>-2.925239E-6</v>
      </c>
      <c r="I6872">
        <v>137.72790000000001</v>
      </c>
      <c r="J6872">
        <v>-169.9127</v>
      </c>
      <c r="K6872">
        <v>1.1085119999999999</v>
      </c>
      <c r="L6872">
        <v>134.83090000000001</v>
      </c>
      <c r="M6872">
        <v>0.96352420000000005</v>
      </c>
      <c r="N6872">
        <v>3.0845579999999998E-3</v>
      </c>
      <c r="O6872">
        <v>0.2676038</v>
      </c>
      <c r="P6872">
        <v>0.97794320000000001</v>
      </c>
      <c r="Q6872">
        <v>-6.6762440000000006E-2</v>
      </c>
      <c r="R6872">
        <v>0.19791429999999999</v>
      </c>
      <c r="S6872">
        <v>3.0112299999999999</v>
      </c>
      <c r="T6872">
        <v>-9.2246529999999993E-2</v>
      </c>
      <c r="U6872">
        <v>0.2457733</v>
      </c>
      <c r="V6872">
        <v>7.1236300000000002E-2</v>
      </c>
      <c r="W6872">
        <v>-6.9597339999999994E-2</v>
      </c>
      <c r="X6872">
        <v>0.99502840000000004</v>
      </c>
      <c r="Y6872">
        <v>0.1881101</v>
      </c>
      <c r="Z6872">
        <v>-1.1503090000000001E-2</v>
      </c>
      <c r="AA6872">
        <v>0.98208059999999997</v>
      </c>
      <c r="AB6872">
        <v>20</v>
      </c>
      <c r="AC6872">
        <v>35.991899999999902</v>
      </c>
      <c r="AD6872">
        <v>-1.1085149252390001</v>
      </c>
      <c r="AE6872">
        <v>2.89699999999999</v>
      </c>
      <c r="AF6872">
        <v>6.8338307836303898</v>
      </c>
      <c r="AG6872">
        <v>-1.1085149252390001</v>
      </c>
      <c r="AH6872">
        <v>35.421096690232403</v>
      </c>
      <c r="AI6872">
        <v>91.760068582279004</v>
      </c>
      <c r="AJ6872">
        <v>79.080032714788501</v>
      </c>
      <c r="AK6872">
        <v>36.0913305276706</v>
      </c>
      <c r="AL6872">
        <v>93.990860260477703</v>
      </c>
      <c r="AM6872">
        <v>85.905054100444303</v>
      </c>
      <c r="AN6872">
        <v>0.99999995848966095</v>
      </c>
    </row>
    <row r="6873" spans="1:40" x14ac:dyDescent="0.25">
      <c r="A6873" t="str">
        <f>"20190305135407737"</f>
        <v>20190305135407737</v>
      </c>
      <c r="B6873" t="str">
        <f>"1551765247726925"</f>
        <v>1551765247726925</v>
      </c>
      <c r="C6873" t="s">
        <v>40</v>
      </c>
      <c r="D6873">
        <v>4.722766</v>
      </c>
      <c r="E6873">
        <v>0.54557</v>
      </c>
      <c r="F6873" t="s">
        <v>42</v>
      </c>
      <c r="G6873">
        <v>-133.7603</v>
      </c>
      <c r="H6873" s="1">
        <v>-2.983012E-6</v>
      </c>
      <c r="I6873">
        <v>137.7902</v>
      </c>
      <c r="J6873">
        <v>-169.71719999999999</v>
      </c>
      <c r="K6873">
        <v>1.1084959999999999</v>
      </c>
      <c r="L6873">
        <v>134.88820000000001</v>
      </c>
      <c r="M6873">
        <v>0.96282789999999996</v>
      </c>
      <c r="N6873">
        <v>3.047934E-3</v>
      </c>
      <c r="O6873">
        <v>0.27009870000000002</v>
      </c>
      <c r="P6873">
        <v>0.97781739999999995</v>
      </c>
      <c r="Q6873">
        <v>-6.7585329999999999E-2</v>
      </c>
      <c r="R6873">
        <v>0.19825599999999999</v>
      </c>
      <c r="S6873">
        <v>3.0114589999999999</v>
      </c>
      <c r="T6873">
        <v>-9.2338199999999995E-2</v>
      </c>
      <c r="U6873">
        <v>0.24650569999999999</v>
      </c>
      <c r="V6873">
        <v>7.345264E-2</v>
      </c>
      <c r="W6873">
        <v>-7.0376930000000004E-2</v>
      </c>
      <c r="X6873">
        <v>0.99481240000000004</v>
      </c>
      <c r="Y6873">
        <v>0.1904197</v>
      </c>
      <c r="Z6873">
        <v>-1.1619920000000001E-2</v>
      </c>
      <c r="AA6873">
        <v>0.98163400000000001</v>
      </c>
      <c r="AB6873">
        <v>20</v>
      </c>
      <c r="AC6873">
        <v>35.956899999999898</v>
      </c>
      <c r="AD6873">
        <v>-1.108498983012</v>
      </c>
      <c r="AE6873">
        <v>2.9019999999999802</v>
      </c>
      <c r="AF6873">
        <v>6.9112909729135099</v>
      </c>
      <c r="AG6873">
        <v>-1.108498983012</v>
      </c>
      <c r="AH6873">
        <v>35.370895594024702</v>
      </c>
      <c r="AI6873">
        <v>91.761727882448398</v>
      </c>
      <c r="AJ6873">
        <v>78.943997902707395</v>
      </c>
      <c r="AK6873">
        <v>36.056829700224696</v>
      </c>
      <c r="AL6873">
        <v>94.035637284676696</v>
      </c>
      <c r="AM6873">
        <v>85.777190450532203</v>
      </c>
      <c r="AN6873">
        <v>0.99999995689647603</v>
      </c>
    </row>
    <row r="6874" spans="1:40" x14ac:dyDescent="0.25">
      <c r="A6874" t="str">
        <f>"20190305135407759"</f>
        <v>20190305135407759</v>
      </c>
      <c r="B6874" t="str">
        <f>"1551765247757181"</f>
        <v>1551765247757181</v>
      </c>
      <c r="C6874" t="s">
        <v>40</v>
      </c>
      <c r="D6874">
        <v>4.8388949999999999</v>
      </c>
      <c r="E6874">
        <v>0.54562709999999903</v>
      </c>
      <c r="F6874" t="s">
        <v>42</v>
      </c>
      <c r="G6874">
        <v>-134.9349</v>
      </c>
      <c r="H6874" s="1">
        <v>-2.4884650000000001E-6</v>
      </c>
      <c r="I6874">
        <v>137.73769999999999</v>
      </c>
      <c r="J6874">
        <v>-169.5214</v>
      </c>
      <c r="K6874">
        <v>1.108476</v>
      </c>
      <c r="L6874">
        <v>134.9461</v>
      </c>
      <c r="M6874">
        <v>0.96214029999999995</v>
      </c>
      <c r="N6874">
        <v>3.0077910000000001E-3</v>
      </c>
      <c r="O6874">
        <v>0.27253810000000001</v>
      </c>
      <c r="P6874">
        <v>0.97759370000000001</v>
      </c>
      <c r="Q6874">
        <v>-6.9369990000000006E-2</v>
      </c>
      <c r="R6874">
        <v>0.19874330000000001</v>
      </c>
      <c r="S6874">
        <v>3.0114139999999998</v>
      </c>
      <c r="T6874">
        <v>-9.5972299999999997E-2</v>
      </c>
      <c r="U6874">
        <v>0.24670410000000001</v>
      </c>
      <c r="V6874">
        <v>7.5449119999999995E-2</v>
      </c>
      <c r="W6874">
        <v>-7.2115150000000003E-2</v>
      </c>
      <c r="X6874">
        <v>0.99453849999999999</v>
      </c>
      <c r="Y6874">
        <v>0.19282189999999999</v>
      </c>
      <c r="Z6874">
        <v>-1.2165759999999999E-2</v>
      </c>
      <c r="AA6874">
        <v>0.98115839999999999</v>
      </c>
      <c r="AB6874">
        <v>21</v>
      </c>
      <c r="AC6874">
        <v>34.586500000000001</v>
      </c>
      <c r="AD6874">
        <v>-1.1084784884649901</v>
      </c>
      <c r="AE6874">
        <v>2.7915999999999799</v>
      </c>
      <c r="AF6874">
        <v>6.7333870060069598</v>
      </c>
      <c r="AG6874">
        <v>-1.1084784884649901</v>
      </c>
      <c r="AH6874">
        <v>34.003335421948599</v>
      </c>
      <c r="AI6874">
        <v>91.831589890796494</v>
      </c>
      <c r="AJ6874">
        <v>78.799115856495007</v>
      </c>
      <c r="AK6874">
        <v>34.6813212687982</v>
      </c>
      <c r="AL6874">
        <v>94.135483541037303</v>
      </c>
      <c r="AM6874">
        <v>85.661654635171999</v>
      </c>
      <c r="AN6874">
        <v>0.99999999627527303</v>
      </c>
    </row>
    <row r="6875" spans="1:40" x14ac:dyDescent="0.25">
      <c r="A6875" t="str">
        <f>"20190305135407776"</f>
        <v>20190305135407776</v>
      </c>
      <c r="B6875" t="str">
        <f>"1551765247766942"</f>
        <v>1551765247766942</v>
      </c>
      <c r="C6875" t="s">
        <v>40</v>
      </c>
      <c r="D6875">
        <v>4.7936620000000003</v>
      </c>
      <c r="E6875">
        <v>0.51825859999999901</v>
      </c>
      <c r="F6875" t="s">
        <v>42</v>
      </c>
      <c r="G6875">
        <v>-138.02940000000001</v>
      </c>
      <c r="H6875" s="1">
        <v>-1.2111069999999999E-6</v>
      </c>
      <c r="I6875">
        <v>137.5324</v>
      </c>
      <c r="J6875">
        <v>-169.3647</v>
      </c>
      <c r="K6875">
        <v>1.1084639999999999</v>
      </c>
      <c r="L6875">
        <v>134.99270000000001</v>
      </c>
      <c r="M6875">
        <v>0.96159870000000003</v>
      </c>
      <c r="N6875">
        <v>2.9735249999999999E-3</v>
      </c>
      <c r="O6875">
        <v>0.27444350000000001</v>
      </c>
      <c r="P6875">
        <v>0.97727790000000003</v>
      </c>
      <c r="Q6875">
        <v>-7.0351380000000005E-2</v>
      </c>
      <c r="R6875">
        <v>0.1999465</v>
      </c>
      <c r="S6875">
        <v>3.0109560000000002</v>
      </c>
      <c r="T6875">
        <v>-0.1059816</v>
      </c>
      <c r="U6875">
        <v>0.2472839</v>
      </c>
      <c r="V6875">
        <v>7.6178449999999995E-2</v>
      </c>
      <c r="W6875">
        <v>-7.3060529999999999E-2</v>
      </c>
      <c r="X6875">
        <v>0.99441389999999996</v>
      </c>
      <c r="Y6875">
        <v>0.19451089999999999</v>
      </c>
      <c r="Z6875">
        <v>-1.3470909999999999E-2</v>
      </c>
      <c r="AA6875">
        <v>0.98080780000000001</v>
      </c>
      <c r="AB6875">
        <v>21</v>
      </c>
      <c r="AC6875">
        <v>31.335299999999901</v>
      </c>
      <c r="AD6875">
        <v>-1.1084652111069999</v>
      </c>
      <c r="AE6875">
        <v>2.5396999999999799</v>
      </c>
      <c r="AF6875">
        <v>6.14997847937118</v>
      </c>
      <c r="AG6875">
        <v>-1.1084652111069999</v>
      </c>
      <c r="AH6875">
        <v>30.790843630964901</v>
      </c>
      <c r="AI6875">
        <v>92.021847173483593</v>
      </c>
      <c r="AJ6875">
        <v>78.704722562377697</v>
      </c>
      <c r="AK6875">
        <v>31.418577019456102</v>
      </c>
      <c r="AL6875">
        <v>94.1897930752599</v>
      </c>
      <c r="AM6875">
        <v>85.619333689212198</v>
      </c>
      <c r="AN6875">
        <v>1.0000000009007399</v>
      </c>
    </row>
    <row r="6876" spans="1:40" x14ac:dyDescent="0.25">
      <c r="A6876" t="str">
        <f>"20190305135407791"</f>
        <v>20190305135407791</v>
      </c>
      <c r="B6876" t="str">
        <f>"1551765247786461"</f>
        <v>1551765247786461</v>
      </c>
      <c r="C6876" t="s">
        <v>40</v>
      </c>
      <c r="D6876">
        <v>4.8022739999999997</v>
      </c>
      <c r="E6876">
        <v>0.50475329999999996</v>
      </c>
      <c r="F6876" t="s">
        <v>41</v>
      </c>
      <c r="G6876">
        <v>-168.553</v>
      </c>
      <c r="H6876">
        <v>1.0513509999999999</v>
      </c>
      <c r="I6876">
        <v>135.11779999999999</v>
      </c>
      <c r="J6876">
        <v>-169.23410000000001</v>
      </c>
      <c r="K6876">
        <v>1.1084529999999999</v>
      </c>
      <c r="L6876">
        <v>135.0318</v>
      </c>
      <c r="M6876">
        <v>0.96115340000000005</v>
      </c>
      <c r="N6876">
        <v>2.943963E-3</v>
      </c>
      <c r="O6876">
        <v>0.27599869999999999</v>
      </c>
      <c r="P6876">
        <v>0.97700909999999996</v>
      </c>
      <c r="Q6876">
        <v>-7.1089540000000007E-2</v>
      </c>
      <c r="R6876">
        <v>0.20099610000000001</v>
      </c>
      <c r="S6876">
        <v>2.9612270000000001</v>
      </c>
      <c r="T6876">
        <v>-0.2085882</v>
      </c>
      <c r="U6876">
        <v>0.45703129999999997</v>
      </c>
      <c r="V6876">
        <v>7.6705499999999996E-2</v>
      </c>
      <c r="W6876">
        <v>-7.3768360000000005E-2</v>
      </c>
      <c r="X6876">
        <v>0.99432109999999996</v>
      </c>
      <c r="Y6876">
        <v>0.1251707</v>
      </c>
      <c r="Z6876">
        <v>-2.4021850000000001E-2</v>
      </c>
      <c r="AA6876">
        <v>0.99184439999999996</v>
      </c>
      <c r="AB6876">
        <v>21</v>
      </c>
      <c r="AC6876">
        <v>0.68110000000001403</v>
      </c>
      <c r="AD6876">
        <v>-5.7102000000000201E-2</v>
      </c>
      <c r="AE6876">
        <v>8.5999999999984297E-2</v>
      </c>
      <c r="AF6876">
        <v>0.10460031227165099</v>
      </c>
      <c r="AG6876">
        <v>-5.7102000000000201E-2</v>
      </c>
      <c r="AH6876">
        <v>0.67371935183322496</v>
      </c>
      <c r="AI6876">
        <v>94.787516570578106</v>
      </c>
      <c r="AJ6876">
        <v>81.174832649039104</v>
      </c>
      <c r="AK6876">
        <v>0.684178068024625</v>
      </c>
      <c r="AL6876">
        <v>94.230458582622802</v>
      </c>
      <c r="AM6876">
        <v>85.588734666767294</v>
      </c>
      <c r="AN6876">
        <v>0.99999997728627399</v>
      </c>
    </row>
    <row r="6877" spans="1:40" x14ac:dyDescent="0.25">
      <c r="A6877" t="str">
        <f>"20190305135407803"</f>
        <v>20190305135407803</v>
      </c>
      <c r="B6877" t="str">
        <f>"1551765247796855"</f>
        <v>1551765247796855</v>
      </c>
      <c r="C6877" t="s">
        <v>40</v>
      </c>
      <c r="D6877">
        <v>4.7969799999999996</v>
      </c>
      <c r="E6877">
        <v>0.50229690000000005</v>
      </c>
      <c r="F6877" t="s">
        <v>41</v>
      </c>
      <c r="G6877">
        <v>-168.37739999999999</v>
      </c>
      <c r="H6877">
        <v>1.047747</v>
      </c>
      <c r="I6877">
        <v>135.1968</v>
      </c>
      <c r="J6877">
        <v>-169.10679999999999</v>
      </c>
      <c r="K6877">
        <v>1.1084430000000001</v>
      </c>
      <c r="L6877">
        <v>135.07</v>
      </c>
      <c r="M6877">
        <v>0.96072579999999996</v>
      </c>
      <c r="N6877">
        <v>2.914453E-3</v>
      </c>
      <c r="O6877">
        <v>0.27748450000000002</v>
      </c>
      <c r="P6877">
        <v>0.97671039999999998</v>
      </c>
      <c r="Q6877">
        <v>-7.1495230000000007E-2</v>
      </c>
      <c r="R6877">
        <v>0.20230039999999999</v>
      </c>
      <c r="S6877">
        <v>2.9389500000000002</v>
      </c>
      <c r="T6877">
        <v>-0.20838300000000001</v>
      </c>
      <c r="U6877">
        <v>0.56619259999999905</v>
      </c>
      <c r="V6877">
        <v>7.6906820000000001E-2</v>
      </c>
      <c r="W6877">
        <v>-7.4145489999999994E-2</v>
      </c>
      <c r="X6877">
        <v>0.99427750000000004</v>
      </c>
      <c r="Y6877">
        <v>8.9819919999999998E-2</v>
      </c>
      <c r="Z6877">
        <v>-2.2982499999999999E-2</v>
      </c>
      <c r="AA6877">
        <v>0.99569280000000004</v>
      </c>
      <c r="AB6877">
        <v>21</v>
      </c>
      <c r="AC6877">
        <v>0.72939999999999805</v>
      </c>
      <c r="AD6877">
        <v>-6.0696E-2</v>
      </c>
      <c r="AE6877">
        <v>0.12680000000000199</v>
      </c>
      <c r="AF6877">
        <v>8.0039521007447906E-2</v>
      </c>
      <c r="AG6877">
        <v>-6.0696E-2</v>
      </c>
      <c r="AH6877">
        <v>0.73102796856030705</v>
      </c>
      <c r="AI6877">
        <v>94.718215999775097</v>
      </c>
      <c r="AJ6877">
        <v>83.751631246566404</v>
      </c>
      <c r="AK6877">
        <v>0.73789716096249602</v>
      </c>
      <c r="AL6877">
        <v>94.252125867005304</v>
      </c>
      <c r="AM6877">
        <v>85.577009635079406</v>
      </c>
      <c r="AN6877">
        <v>0.999999979828051</v>
      </c>
    </row>
    <row r="6878" spans="1:40" x14ac:dyDescent="0.25">
      <c r="A6878" t="str">
        <f>"20190305135407822"</f>
        <v>20190305135407822</v>
      </c>
      <c r="B6878" t="str">
        <f>"1551765247817339"</f>
        <v>1551765247817339</v>
      </c>
      <c r="C6878" t="s">
        <v>40</v>
      </c>
      <c r="D6878">
        <v>4.7516800000000003</v>
      </c>
      <c r="E6878">
        <v>0.49981320000000001</v>
      </c>
      <c r="F6878" t="s">
        <v>41</v>
      </c>
      <c r="G6878">
        <v>-168.37809999999999</v>
      </c>
      <c r="H6878">
        <v>1.0568109999999999</v>
      </c>
      <c r="I6878">
        <v>135.21629999999999</v>
      </c>
      <c r="J6878">
        <v>-168.94929999999999</v>
      </c>
      <c r="K6878">
        <v>1.108419</v>
      </c>
      <c r="L6878">
        <v>135.11760000000001</v>
      </c>
      <c r="M6878">
        <v>0.96021109999999998</v>
      </c>
      <c r="N6878">
        <v>2.8768489999999999E-3</v>
      </c>
      <c r="O6878">
        <v>0.27926060000000003</v>
      </c>
      <c r="P6878">
        <v>0.97648900000000005</v>
      </c>
      <c r="Q6878">
        <v>-7.1211739999999996E-2</v>
      </c>
      <c r="R6878">
        <v>0.20346610000000001</v>
      </c>
      <c r="S6878">
        <v>2.9342190000000001</v>
      </c>
      <c r="T6878">
        <v>-0.20802689999999999</v>
      </c>
      <c r="U6878">
        <v>0.58943179999999995</v>
      </c>
      <c r="V6878">
        <v>7.7560309999999993E-2</v>
      </c>
      <c r="W6878">
        <v>-7.3825639999999998E-2</v>
      </c>
      <c r="X6878">
        <v>0.99425050000000004</v>
      </c>
      <c r="Y6878">
        <v>8.3782339999999997E-2</v>
      </c>
      <c r="Z6878">
        <v>-2.286966E-2</v>
      </c>
      <c r="AA6878">
        <v>0.99622160000000004</v>
      </c>
      <c r="AB6878">
        <v>21</v>
      </c>
      <c r="AC6878">
        <v>0.57120000000000404</v>
      </c>
      <c r="AD6878">
        <v>-5.16079999999998E-2</v>
      </c>
      <c r="AE6878">
        <v>9.8699999999979499E-2</v>
      </c>
      <c r="AF6878">
        <v>6.4231950019419004E-2</v>
      </c>
      <c r="AG6878">
        <v>-5.16079999999998E-2</v>
      </c>
      <c r="AH6878">
        <v>0.57150790572768395</v>
      </c>
      <c r="AI6878">
        <v>95.127787203755403</v>
      </c>
      <c r="AJ6878">
        <v>83.587419638472895</v>
      </c>
      <c r="AK6878">
        <v>0.57741702033845499</v>
      </c>
      <c r="AL6878">
        <v>94.233749608833307</v>
      </c>
      <c r="AM6878">
        <v>85.539457141621597</v>
      </c>
      <c r="AN6878">
        <v>0.99999994177947604</v>
      </c>
    </row>
    <row r="6879" spans="1:40" x14ac:dyDescent="0.25">
      <c r="A6879" t="str">
        <f>"20190305135407837"</f>
        <v>20190305135407837</v>
      </c>
      <c r="B6879" t="str">
        <f>"1551765247827099"</f>
        <v>1551765247827099</v>
      </c>
      <c r="C6879" t="s">
        <v>40</v>
      </c>
      <c r="D6879">
        <v>4.7580999999999998</v>
      </c>
      <c r="E6879">
        <v>0.49932490000000002</v>
      </c>
      <c r="F6879" t="s">
        <v>41</v>
      </c>
      <c r="G6879">
        <v>-168.19370000000001</v>
      </c>
      <c r="H6879">
        <v>1.0556430000000001</v>
      </c>
      <c r="I6879">
        <v>135.2756</v>
      </c>
      <c r="J6879">
        <v>-168.7961</v>
      </c>
      <c r="K6879">
        <v>1.108395</v>
      </c>
      <c r="L6879">
        <v>135.16419999999999</v>
      </c>
      <c r="M6879">
        <v>0.95972710000000006</v>
      </c>
      <c r="N6879">
        <v>2.8396820000000001E-3</v>
      </c>
      <c r="O6879">
        <v>0.2809199</v>
      </c>
      <c r="P6879">
        <v>0.97664479999999998</v>
      </c>
      <c r="Q6879">
        <v>-6.9007559999999996E-2</v>
      </c>
      <c r="R6879">
        <v>0.2034782</v>
      </c>
      <c r="S6879">
        <v>2.9296419999999999</v>
      </c>
      <c r="T6879">
        <v>-0.20475280000000001</v>
      </c>
      <c r="U6879">
        <v>0.61264039999999997</v>
      </c>
      <c r="V6879">
        <v>7.9299320000000006E-2</v>
      </c>
      <c r="W6879">
        <v>-7.1584140000000004E-2</v>
      </c>
      <c r="X6879">
        <v>0.99427730000000003</v>
      </c>
      <c r="Y6879">
        <v>7.7665949999999997E-2</v>
      </c>
      <c r="Z6879">
        <v>-2.2434829999999999E-2</v>
      </c>
      <c r="AA6879">
        <v>0.99672700000000003</v>
      </c>
      <c r="AB6879">
        <v>22</v>
      </c>
      <c r="AC6879">
        <v>0.60239999999998795</v>
      </c>
      <c r="AD6879">
        <v>-5.2751999999999903E-2</v>
      </c>
      <c r="AE6879">
        <v>0.111400000000003</v>
      </c>
      <c r="AF6879">
        <v>6.18541538033376E-2</v>
      </c>
      <c r="AG6879">
        <v>-5.2751999999999903E-2</v>
      </c>
      <c r="AH6879">
        <v>0.60495085097117096</v>
      </c>
      <c r="AI6879">
        <v>94.957894294961804</v>
      </c>
      <c r="AJ6879">
        <v>84.161990479515595</v>
      </c>
      <c r="AK6879">
        <v>0.61038859912147103</v>
      </c>
      <c r="AL6879">
        <v>94.104980014119306</v>
      </c>
      <c r="AM6879">
        <v>85.4399851827052</v>
      </c>
      <c r="AN6879">
        <v>1.0000000102736399</v>
      </c>
    </row>
    <row r="6880" spans="1:40" x14ac:dyDescent="0.25">
      <c r="A6880" t="str">
        <f>"20190305135407862"</f>
        <v>20190305135407862</v>
      </c>
      <c r="B6880" t="str">
        <f>"1551765247857355"</f>
        <v>1551765247857355</v>
      </c>
      <c r="C6880" t="s">
        <v>40</v>
      </c>
      <c r="D6880">
        <v>4.7132350000000001</v>
      </c>
      <c r="E6880">
        <v>0.49851659999999998</v>
      </c>
      <c r="F6880" t="s">
        <v>41</v>
      </c>
      <c r="G6880">
        <v>-168.00579999999999</v>
      </c>
      <c r="H6880">
        <v>1.0543720000000001</v>
      </c>
      <c r="I6880">
        <v>135.3304</v>
      </c>
      <c r="J6880">
        <v>-168.5727</v>
      </c>
      <c r="K6880">
        <v>1.1083459999999901</v>
      </c>
      <c r="L6880">
        <v>135.23240000000001</v>
      </c>
      <c r="M6880">
        <v>0.95905450000000003</v>
      </c>
      <c r="N6880">
        <v>2.7847480000000001E-3</v>
      </c>
      <c r="O6880">
        <v>0.28320820000000002</v>
      </c>
      <c r="P6880">
        <v>0.97655130000000001</v>
      </c>
      <c r="Q6880">
        <v>-6.7692820000000001E-2</v>
      </c>
      <c r="R6880">
        <v>0.2043663</v>
      </c>
      <c r="S6880">
        <v>2.92923</v>
      </c>
      <c r="T6880">
        <v>-0.20029830000000001</v>
      </c>
      <c r="U6880">
        <v>0.61616519999999997</v>
      </c>
      <c r="V6880">
        <v>8.0779069999999994E-2</v>
      </c>
      <c r="W6880">
        <v>-7.0221190000000003E-2</v>
      </c>
      <c r="X6880">
        <v>0.99425540000000001</v>
      </c>
      <c r="Y6880">
        <v>7.8895919999999994E-2</v>
      </c>
      <c r="Z6880">
        <v>-2.214288E-2</v>
      </c>
      <c r="AA6880">
        <v>0.99663690000000005</v>
      </c>
      <c r="AB6880">
        <v>22</v>
      </c>
      <c r="AC6880">
        <v>0.56690000000000396</v>
      </c>
      <c r="AD6880">
        <v>-5.3973999999999897E-2</v>
      </c>
      <c r="AE6880">
        <v>9.7999999999984697E-2</v>
      </c>
      <c r="AF6880">
        <v>6.5982876539140797E-2</v>
      </c>
      <c r="AG6880">
        <v>-5.3973999999999897E-2</v>
      </c>
      <c r="AH6880">
        <v>0.56645874971448296</v>
      </c>
      <c r="AI6880">
        <v>95.406556317954298</v>
      </c>
      <c r="AJ6880">
        <v>83.355951000651004</v>
      </c>
      <c r="AK6880">
        <v>0.57283719135586397</v>
      </c>
      <c r="AL6880">
        <v>94.026691585072001</v>
      </c>
      <c r="AM6880">
        <v>85.355160946112704</v>
      </c>
      <c r="AN6880">
        <v>1.00000003705211</v>
      </c>
    </row>
    <row r="6881" spans="1:40" x14ac:dyDescent="0.25">
      <c r="A6881" t="str">
        <f>"20190305135407882"</f>
        <v>20190305135407882</v>
      </c>
      <c r="B6881" t="str">
        <f>"1551765247876878"</f>
        <v>1551765247876878</v>
      </c>
      <c r="C6881" t="s">
        <v>40</v>
      </c>
      <c r="D6881">
        <v>4.7056310000000003</v>
      </c>
      <c r="E6881">
        <v>0.49809779999999998</v>
      </c>
      <c r="F6881" t="s">
        <v>41</v>
      </c>
      <c r="G6881">
        <v>-167.81440000000001</v>
      </c>
      <c r="H6881">
        <v>1.057734</v>
      </c>
      <c r="I6881">
        <v>135.39410000000001</v>
      </c>
      <c r="J6881">
        <v>-168.3706</v>
      </c>
      <c r="K6881">
        <v>1.1082920000000001</v>
      </c>
      <c r="L6881">
        <v>135.2944</v>
      </c>
      <c r="M6881">
        <v>0.95848979999999995</v>
      </c>
      <c r="N6881">
        <v>2.7342859999999998E-3</v>
      </c>
      <c r="O6881">
        <v>0.28511409999999998</v>
      </c>
      <c r="P6881">
        <v>0.97633049999999999</v>
      </c>
      <c r="Q6881">
        <v>-6.5058969999999994E-2</v>
      </c>
      <c r="R6881">
        <v>0.20626749999999999</v>
      </c>
      <c r="S6881">
        <v>2.9276119999999999</v>
      </c>
      <c r="T6881">
        <v>-0.1956271</v>
      </c>
      <c r="U6881">
        <v>0.62530520000000001</v>
      </c>
      <c r="V6881">
        <v>8.0850790000000006E-2</v>
      </c>
      <c r="W6881">
        <v>-6.7551169999999994E-2</v>
      </c>
      <c r="X6881">
        <v>0.9944345</v>
      </c>
      <c r="Y6881">
        <v>7.7824749999999998E-2</v>
      </c>
      <c r="Z6881">
        <v>-2.172497E-2</v>
      </c>
      <c r="AA6881">
        <v>0.99673029999999996</v>
      </c>
      <c r="AB6881">
        <v>22</v>
      </c>
      <c r="AC6881">
        <v>0.55619999999998904</v>
      </c>
      <c r="AD6881">
        <v>-5.0558000000000103E-2</v>
      </c>
      <c r="AE6881">
        <v>9.9700000000012695E-2</v>
      </c>
      <c r="AF6881">
        <v>6.2518770357295597E-2</v>
      </c>
      <c r="AG6881">
        <v>-5.0558000000000103E-2</v>
      </c>
      <c r="AH6881">
        <v>0.55708029037784201</v>
      </c>
      <c r="AI6881">
        <v>95.153514668704702</v>
      </c>
      <c r="AJ6881">
        <v>83.596729000320295</v>
      </c>
      <c r="AK6881">
        <v>0.56285269648323499</v>
      </c>
      <c r="AL6881">
        <v>93.873346571348804</v>
      </c>
      <c r="AM6881">
        <v>85.351888693683804</v>
      </c>
      <c r="AN6881">
        <v>0.99999999280112095</v>
      </c>
    </row>
    <row r="6882" spans="1:40" x14ac:dyDescent="0.25">
      <c r="A6882" t="str">
        <f>"20190305135407904"</f>
        <v>20190305135407904</v>
      </c>
      <c r="B6882" t="str">
        <f>"1551765247897090"</f>
        <v>1551765247897090</v>
      </c>
      <c r="C6882" t="s">
        <v>40</v>
      </c>
      <c r="D6882">
        <v>4.7171960000000004</v>
      </c>
      <c r="E6882">
        <v>0.49790970000000001</v>
      </c>
      <c r="F6882" t="s">
        <v>41</v>
      </c>
      <c r="G6882">
        <v>-167.62129999999999</v>
      </c>
      <c r="H6882">
        <v>1.059874</v>
      </c>
      <c r="I6882">
        <v>135.45670000000001</v>
      </c>
      <c r="J6882">
        <v>-168.1523</v>
      </c>
      <c r="K6882">
        <v>1.108206</v>
      </c>
      <c r="L6882">
        <v>135.36170000000001</v>
      </c>
      <c r="M6882">
        <v>0.95793550000000005</v>
      </c>
      <c r="N6882">
        <v>2.678976E-3</v>
      </c>
      <c r="O6882">
        <v>0.28697109999999998</v>
      </c>
      <c r="P6882">
        <v>0.9758869</v>
      </c>
      <c r="Q6882">
        <v>-6.3106369999999995E-2</v>
      </c>
      <c r="R6882">
        <v>0.20895569999999999</v>
      </c>
      <c r="S6882">
        <v>2.926132</v>
      </c>
      <c r="T6882">
        <v>-0.1892017</v>
      </c>
      <c r="U6882">
        <v>0.63418580000000002</v>
      </c>
      <c r="V6882">
        <v>8.0054109999999998E-2</v>
      </c>
      <c r="W6882">
        <v>-6.5565769999999995E-2</v>
      </c>
      <c r="X6882">
        <v>0.99463179999999995</v>
      </c>
      <c r="Y6882">
        <v>7.6811370000000004E-2</v>
      </c>
      <c r="Z6882">
        <v>-2.1110029999999998E-2</v>
      </c>
      <c r="AA6882">
        <v>0.99682210000000004</v>
      </c>
      <c r="AB6882">
        <v>22</v>
      </c>
      <c r="AC6882">
        <v>0.53100000000000502</v>
      </c>
      <c r="AD6882">
        <v>-4.8332E-2</v>
      </c>
      <c r="AE6882">
        <v>9.4999999999998794E-2</v>
      </c>
      <c r="AF6882">
        <v>6.0889194225071497E-2</v>
      </c>
      <c r="AG6882">
        <v>-4.8332E-2</v>
      </c>
      <c r="AH6882">
        <v>0.53165985733036802</v>
      </c>
      <c r="AI6882">
        <v>95.160801351643897</v>
      </c>
      <c r="AJ6882">
        <v>83.466574996725896</v>
      </c>
      <c r="AK6882">
        <v>0.53731339094975605</v>
      </c>
      <c r="AL6882">
        <v>93.759338771653304</v>
      </c>
      <c r="AM6882">
        <v>85.398401128908304</v>
      </c>
      <c r="AN6882">
        <v>0.99999997414741204</v>
      </c>
    </row>
    <row r="6883" spans="1:40" x14ac:dyDescent="0.25">
      <c r="A6883" t="str">
        <f>"20190305135407921"</f>
        <v>20190305135407921</v>
      </c>
      <c r="B6883" t="str">
        <f>"1551765247916599"</f>
        <v>1551765247916599</v>
      </c>
      <c r="C6883" t="s">
        <v>40</v>
      </c>
      <c r="D6883">
        <v>4.6777220000000002</v>
      </c>
      <c r="E6883">
        <v>0.49770340000000002</v>
      </c>
      <c r="F6883" t="s">
        <v>41</v>
      </c>
      <c r="G6883">
        <v>-167.4264</v>
      </c>
      <c r="H6883">
        <v>1.0623579999999999</v>
      </c>
      <c r="I6883">
        <v>135.5213</v>
      </c>
      <c r="J6883">
        <v>-167.9905</v>
      </c>
      <c r="K6883">
        <v>1.1081110000000001</v>
      </c>
      <c r="L6883">
        <v>135.4117</v>
      </c>
      <c r="M6883">
        <v>0.95757720000000002</v>
      </c>
      <c r="N6883">
        <v>2.6373719999999998E-3</v>
      </c>
      <c r="O6883">
        <v>0.288165</v>
      </c>
      <c r="P6883">
        <v>0.97567470000000001</v>
      </c>
      <c r="Q6883">
        <v>-6.2861159999999999E-2</v>
      </c>
      <c r="R6883">
        <v>0.2100186</v>
      </c>
      <c r="S6883">
        <v>2.9243619999999999</v>
      </c>
      <c r="T6883">
        <v>-0.184833</v>
      </c>
      <c r="U6883">
        <v>0.64361569999999901</v>
      </c>
      <c r="V6883">
        <v>8.0199090000000001E-2</v>
      </c>
      <c r="W6883">
        <v>-6.5297439999999998E-2</v>
      </c>
      <c r="X6883">
        <v>0.99463780000000002</v>
      </c>
      <c r="Y6883">
        <v>7.4895779999999995E-2</v>
      </c>
      <c r="Z6883">
        <v>-2.0648349999999999E-2</v>
      </c>
      <c r="AA6883">
        <v>0.99697760000000002</v>
      </c>
      <c r="AB6883">
        <v>23</v>
      </c>
      <c r="AC6883">
        <v>0.56409999999999605</v>
      </c>
      <c r="AD6883">
        <v>-4.5753000000000099E-2</v>
      </c>
      <c r="AE6883">
        <v>0.1096</v>
      </c>
      <c r="AF6883">
        <v>5.7240751736253197E-2</v>
      </c>
      <c r="AG6883">
        <v>-4.5753000000000099E-2</v>
      </c>
      <c r="AH6883">
        <v>0.56815250481921897</v>
      </c>
      <c r="AI6883">
        <v>94.5809703883872</v>
      </c>
      <c r="AJ6883">
        <v>84.246924868229897</v>
      </c>
      <c r="AK6883">
        <v>0.57285871678860201</v>
      </c>
      <c r="AL6883">
        <v>93.743931475586095</v>
      </c>
      <c r="AM6883">
        <v>85.390131092778901</v>
      </c>
      <c r="AN6883">
        <v>1.0000000014481101</v>
      </c>
    </row>
    <row r="6884" spans="1:40" x14ac:dyDescent="0.25">
      <c r="A6884" t="str">
        <f>"20190305135407935"</f>
        <v>20190305135407935</v>
      </c>
      <c r="B6884" t="str">
        <f>"1551765247927334"</f>
        <v>1551765247927334</v>
      </c>
      <c r="C6884" t="s">
        <v>40</v>
      </c>
      <c r="D6884">
        <v>4.6469829999999996</v>
      </c>
      <c r="E6884">
        <v>0.4977047</v>
      </c>
      <c r="F6884" t="s">
        <v>41</v>
      </c>
      <c r="G6884">
        <v>-167.23220000000001</v>
      </c>
      <c r="H6884">
        <v>1.0597749999999999</v>
      </c>
      <c r="I6884">
        <v>135.57990000000001</v>
      </c>
      <c r="J6884">
        <v>-167.8503</v>
      </c>
      <c r="K6884">
        <v>1.1080190000000001</v>
      </c>
      <c r="L6884">
        <v>135.45509999999999</v>
      </c>
      <c r="M6884">
        <v>0.95730369999999998</v>
      </c>
      <c r="N6884">
        <v>2.600687E-3</v>
      </c>
      <c r="O6884">
        <v>0.28907270000000002</v>
      </c>
      <c r="P6884">
        <v>0.97559410000000002</v>
      </c>
      <c r="Q6884">
        <v>-6.2600000000000003E-2</v>
      </c>
      <c r="R6884">
        <v>0.2104693</v>
      </c>
      <c r="S6884">
        <v>2.9232640000000001</v>
      </c>
      <c r="T6884">
        <v>-0.18632770000000001</v>
      </c>
      <c r="U6884">
        <v>0.64823909999999996</v>
      </c>
      <c r="V6884">
        <v>8.0671450000000006E-2</v>
      </c>
      <c r="W6884">
        <v>-6.5017809999999995E-2</v>
      </c>
      <c r="X6884">
        <v>0.99461790000000005</v>
      </c>
      <c r="Y6884">
        <v>7.4247659999999993E-2</v>
      </c>
      <c r="Z6884">
        <v>-2.084047E-2</v>
      </c>
      <c r="AA6884">
        <v>0.99702199999999996</v>
      </c>
      <c r="AB6884">
        <v>23</v>
      </c>
      <c r="AC6884">
        <v>0.61809999999999798</v>
      </c>
      <c r="AD6884">
        <v>-4.8244000000000099E-2</v>
      </c>
      <c r="AE6884">
        <v>0.12480000000002101</v>
      </c>
      <c r="AF6884">
        <v>5.8859992616460202E-2</v>
      </c>
      <c r="AG6884">
        <v>-4.8244000000000099E-2</v>
      </c>
      <c r="AH6884">
        <v>0.62413439200849596</v>
      </c>
      <c r="AI6884">
        <v>94.400580565760905</v>
      </c>
      <c r="AJ6884">
        <v>84.612563598263506</v>
      </c>
      <c r="AK6884">
        <v>0.62875728350025895</v>
      </c>
      <c r="AL6884">
        <v>93.727875807905903</v>
      </c>
      <c r="AM6884">
        <v>85.363005375683798</v>
      </c>
      <c r="AN6884">
        <v>0.99999998273135404</v>
      </c>
    </row>
    <row r="6885" spans="1:40" x14ac:dyDescent="0.25">
      <c r="A6885" t="str">
        <f>"20190305135407949"</f>
        <v>20190305135407949</v>
      </c>
      <c r="B6885" t="str">
        <f>"1551765247937095"</f>
        <v>1551765247937095</v>
      </c>
      <c r="C6885" t="s">
        <v>40</v>
      </c>
      <c r="D6885">
        <v>4.7038779999999996</v>
      </c>
      <c r="E6885">
        <v>0.49762790000000001</v>
      </c>
      <c r="F6885" t="s">
        <v>41</v>
      </c>
      <c r="G6885">
        <v>-167.0359</v>
      </c>
      <c r="H6885">
        <v>1.056033</v>
      </c>
      <c r="I6885">
        <v>135.636</v>
      </c>
      <c r="J6885">
        <v>-167.72</v>
      </c>
      <c r="K6885">
        <v>1.107923</v>
      </c>
      <c r="L6885">
        <v>135.49539999999999</v>
      </c>
      <c r="M6885">
        <v>0.95707540000000002</v>
      </c>
      <c r="N6885">
        <v>2.5660280000000001E-3</v>
      </c>
      <c r="O6885">
        <v>0.28982780000000002</v>
      </c>
      <c r="P6885">
        <v>0.97592239999999997</v>
      </c>
      <c r="Q6885">
        <v>-6.0499410000000003E-2</v>
      </c>
      <c r="R6885">
        <v>0.2095601</v>
      </c>
      <c r="S6885">
        <v>2.9229889999999998</v>
      </c>
      <c r="T6885">
        <v>-0.1866131</v>
      </c>
      <c r="U6885">
        <v>0.64944460000000004</v>
      </c>
      <c r="V6885">
        <v>8.2401630000000003E-2</v>
      </c>
      <c r="W6885">
        <v>-6.2899140000000006E-2</v>
      </c>
      <c r="X6885">
        <v>0.9946123</v>
      </c>
      <c r="Y6885">
        <v>7.4618909999999997E-2</v>
      </c>
      <c r="Z6885">
        <v>-2.092167E-2</v>
      </c>
      <c r="AA6885">
        <v>0.99699260000000001</v>
      </c>
      <c r="AB6885">
        <v>23</v>
      </c>
      <c r="AC6885">
        <v>0.68410000000000004</v>
      </c>
      <c r="AD6885">
        <v>-5.1889999999999901E-2</v>
      </c>
      <c r="AE6885">
        <v>0.140600000000006</v>
      </c>
      <c r="AF6885">
        <v>6.3356857786646903E-2</v>
      </c>
      <c r="AG6885">
        <v>-5.1889999999999901E-2</v>
      </c>
      <c r="AH6885">
        <v>0.69166914024599502</v>
      </c>
      <c r="AI6885">
        <v>94.272553205555397</v>
      </c>
      <c r="AJ6885">
        <v>84.7663147589235</v>
      </c>
      <c r="AK6885">
        <v>0.696500440127091</v>
      </c>
      <c r="AL6885">
        <v>93.606235897107894</v>
      </c>
      <c r="AM6885">
        <v>85.263975754251206</v>
      </c>
      <c r="AN6885">
        <v>0.99999997887534298</v>
      </c>
    </row>
    <row r="6886" spans="1:40" x14ac:dyDescent="0.25">
      <c r="A6886" t="str">
        <f>"20190305135407971"</f>
        <v>20190305135407971</v>
      </c>
      <c r="B6886" t="str">
        <f>"1551765247967349"</f>
        <v>1551765247967349</v>
      </c>
      <c r="C6886" t="s">
        <v>40</v>
      </c>
      <c r="D6886">
        <v>4.68316</v>
      </c>
      <c r="E6886">
        <v>0.49780839999999998</v>
      </c>
      <c r="F6886" t="s">
        <v>41</v>
      </c>
      <c r="G6886">
        <v>-166.8355</v>
      </c>
      <c r="H6886">
        <v>1.0529269999999999</v>
      </c>
      <c r="I6886">
        <v>135.69110000000001</v>
      </c>
      <c r="J6886">
        <v>-167.4948</v>
      </c>
      <c r="K6886">
        <v>1.107739</v>
      </c>
      <c r="L6886">
        <v>135.5651</v>
      </c>
      <c r="M6886">
        <v>0.95677029999999996</v>
      </c>
      <c r="N6886">
        <v>2.5041220000000001E-3</v>
      </c>
      <c r="O6886">
        <v>0.29083419999999999</v>
      </c>
      <c r="P6886">
        <v>0.97637870000000004</v>
      </c>
      <c r="Q6886">
        <v>-5.6833849999999998E-2</v>
      </c>
      <c r="R6886">
        <v>0.20845830000000001</v>
      </c>
      <c r="S6886">
        <v>2.9237519999999999</v>
      </c>
      <c r="T6886">
        <v>-0.18184839999999999</v>
      </c>
      <c r="U6886">
        <v>0.64726260000000002</v>
      </c>
      <c r="V6886">
        <v>8.4598880000000001E-2</v>
      </c>
      <c r="W6886">
        <v>-5.9208990000000003E-2</v>
      </c>
      <c r="X6886">
        <v>0.99465440000000005</v>
      </c>
      <c r="Y6886">
        <v>7.646327E-2</v>
      </c>
      <c r="Z6886">
        <v>-2.050213E-2</v>
      </c>
      <c r="AA6886">
        <v>0.99686160000000001</v>
      </c>
      <c r="AB6886">
        <v>23</v>
      </c>
      <c r="AC6886">
        <v>0.659300000000001</v>
      </c>
      <c r="AD6886">
        <v>-5.4812E-2</v>
      </c>
      <c r="AE6886">
        <v>0.126000000000004</v>
      </c>
      <c r="AF6886">
        <v>7.0722556812394394E-2</v>
      </c>
      <c r="AG6886">
        <v>-5.4812E-2</v>
      </c>
      <c r="AH6886">
        <v>0.66302463747074902</v>
      </c>
      <c r="AI6886">
        <v>94.699336426147894</v>
      </c>
      <c r="AJ6886">
        <v>83.911477928063803</v>
      </c>
      <c r="AK6886">
        <v>0.66903490587509795</v>
      </c>
      <c r="AL6886">
        <v>93.394410424103299</v>
      </c>
      <c r="AM6886">
        <v>85.138491357223401</v>
      </c>
      <c r="AN6886">
        <v>1.0000000252167101</v>
      </c>
    </row>
    <row r="6887" spans="1:40" x14ac:dyDescent="0.25">
      <c r="A6887" t="str">
        <f>"20190305135407986"</f>
        <v>20190305135407986</v>
      </c>
      <c r="B6887" t="str">
        <f>"1551765247977110"</f>
        <v>1551765247977110</v>
      </c>
      <c r="C6887" t="s">
        <v>40</v>
      </c>
      <c r="D6887">
        <v>4.6520219999999997</v>
      </c>
      <c r="E6887">
        <v>0.49781069999999999</v>
      </c>
      <c r="F6887" t="s">
        <v>41</v>
      </c>
      <c r="G6887">
        <v>-166.63040000000001</v>
      </c>
      <c r="H6887">
        <v>1.057126</v>
      </c>
      <c r="I6887">
        <v>135.75479999999999</v>
      </c>
      <c r="J6887">
        <v>-167.33420000000001</v>
      </c>
      <c r="K6887">
        <v>1.107591</v>
      </c>
      <c r="L6887">
        <v>135.6148</v>
      </c>
      <c r="M6887">
        <v>0.95660789999999996</v>
      </c>
      <c r="N6887">
        <v>2.4584569999999998E-3</v>
      </c>
      <c r="O6887">
        <v>0.29136800000000002</v>
      </c>
      <c r="P6887">
        <v>0.97650060000000005</v>
      </c>
      <c r="Q6887">
        <v>-5.6046029999999997E-2</v>
      </c>
      <c r="R6887">
        <v>0.2080999</v>
      </c>
      <c r="S6887">
        <v>2.92543</v>
      </c>
      <c r="T6887">
        <v>-0.1714107</v>
      </c>
      <c r="U6887">
        <v>0.64247129999999997</v>
      </c>
      <c r="V6887">
        <v>8.5509619999999995E-2</v>
      </c>
      <c r="W6887">
        <v>-5.8406189999999997E-2</v>
      </c>
      <c r="X6887">
        <v>0.99462399999999995</v>
      </c>
      <c r="Y6887">
        <v>7.8768770000000002E-2</v>
      </c>
      <c r="Z6887">
        <v>-1.944071E-2</v>
      </c>
      <c r="AA6887">
        <v>0.99670329999999996</v>
      </c>
      <c r="AB6887">
        <v>23</v>
      </c>
      <c r="AC6887">
        <v>0.70380000000000098</v>
      </c>
      <c r="AD6887">
        <v>-5.0464999999999899E-2</v>
      </c>
      <c r="AE6887">
        <v>0.139999999999986</v>
      </c>
      <c r="AF6887">
        <v>7.0789800527306004E-2</v>
      </c>
      <c r="AG6887">
        <v>-5.0464999999999899E-2</v>
      </c>
      <c r="AH6887">
        <v>0.71054018183944301</v>
      </c>
      <c r="AI6887">
        <v>94.042574542005298</v>
      </c>
      <c r="AJ6887">
        <v>84.310502391602697</v>
      </c>
      <c r="AK6887">
        <v>0.71583885204152298</v>
      </c>
      <c r="AL6887">
        <v>93.348333580025098</v>
      </c>
      <c r="AM6887">
        <v>85.086260743976794</v>
      </c>
      <c r="AN6887">
        <v>1.00000003975942</v>
      </c>
    </row>
    <row r="6888" spans="1:40" x14ac:dyDescent="0.25">
      <c r="A6888" t="str">
        <f>"20190305135408005"</f>
        <v>20190305135408005</v>
      </c>
      <c r="B6888" t="str">
        <f>"1551765247997303"</f>
        <v>1551765247997303</v>
      </c>
      <c r="C6888" t="s">
        <v>40</v>
      </c>
      <c r="D6888">
        <v>4.6975550000000004</v>
      </c>
      <c r="E6888">
        <v>0.49787599999999999</v>
      </c>
      <c r="F6888" t="s">
        <v>41</v>
      </c>
      <c r="G6888">
        <v>-166.42670000000001</v>
      </c>
      <c r="H6888">
        <v>1.0549170000000001</v>
      </c>
      <c r="I6888">
        <v>135.81360000000001</v>
      </c>
      <c r="J6888">
        <v>-167.14840000000001</v>
      </c>
      <c r="K6888">
        <v>1.107423</v>
      </c>
      <c r="L6888">
        <v>135.6721</v>
      </c>
      <c r="M6888">
        <v>0.956484</v>
      </c>
      <c r="N6888">
        <v>2.4038110000000001E-3</v>
      </c>
      <c r="O6888">
        <v>0.29177500000000001</v>
      </c>
      <c r="P6888">
        <v>0.97678089999999995</v>
      </c>
      <c r="Q6888">
        <v>-5.5177160000000003E-2</v>
      </c>
      <c r="R6888">
        <v>0.2070138</v>
      </c>
      <c r="S6888">
        <v>2.9257810000000002</v>
      </c>
      <c r="T6888">
        <v>-0.16984739999999901</v>
      </c>
      <c r="U6888">
        <v>0.64126590000000006</v>
      </c>
      <c r="V6888">
        <v>8.702762E-2</v>
      </c>
      <c r="W6888">
        <v>-5.7518840000000002E-2</v>
      </c>
      <c r="X6888">
        <v>0.99454399999999998</v>
      </c>
      <c r="Y6888">
        <v>7.9619579999999995E-2</v>
      </c>
      <c r="Z6888">
        <v>-1.9300979999999999E-2</v>
      </c>
      <c r="AA6888">
        <v>0.99663849999999998</v>
      </c>
      <c r="AB6888">
        <v>24</v>
      </c>
      <c r="AC6888">
        <v>0.72169999999999801</v>
      </c>
      <c r="AD6888">
        <v>-5.25059999999999E-2</v>
      </c>
      <c r="AE6888">
        <v>0.14150000000000701</v>
      </c>
      <c r="AF6888">
        <v>7.4850227698219196E-2</v>
      </c>
      <c r="AG6888">
        <v>-5.25059999999999E-2</v>
      </c>
      <c r="AH6888">
        <v>0.72787271886556504</v>
      </c>
      <c r="AI6888">
        <v>94.104385199069</v>
      </c>
      <c r="AJ6888">
        <v>84.128671013049896</v>
      </c>
      <c r="AK6888">
        <v>0.733592619572488</v>
      </c>
      <c r="AL6888">
        <v>93.297406695080596</v>
      </c>
      <c r="AM6888">
        <v>84.999068397248706</v>
      </c>
      <c r="AN6888">
        <v>0.99999999576690402</v>
      </c>
    </row>
    <row r="6889" spans="1:40" x14ac:dyDescent="0.25">
      <c r="A6889" t="str">
        <f>"20190305135408027"</f>
        <v>20190305135408027</v>
      </c>
      <c r="B6889" t="str">
        <f>"1551765248016803"</f>
        <v>1551765248016803</v>
      </c>
      <c r="C6889" t="s">
        <v>40</v>
      </c>
      <c r="D6889">
        <v>4.6798279999999997</v>
      </c>
      <c r="E6889">
        <v>0.49793759999999998</v>
      </c>
      <c r="F6889" t="s">
        <v>41</v>
      </c>
      <c r="G6889">
        <v>-166.22</v>
      </c>
      <c r="H6889">
        <v>1.053685</v>
      </c>
      <c r="I6889">
        <v>135.8741</v>
      </c>
      <c r="J6889">
        <v>-166.92</v>
      </c>
      <c r="K6889">
        <v>1.1071879999999901</v>
      </c>
      <c r="L6889">
        <v>135.7423</v>
      </c>
      <c r="M6889">
        <v>0.9564397</v>
      </c>
      <c r="N6889">
        <v>2.3326599999999999E-3</v>
      </c>
      <c r="O6889">
        <v>0.29192050000000003</v>
      </c>
      <c r="P6889">
        <v>0.97705260000000005</v>
      </c>
      <c r="Q6889">
        <v>-5.5989369999999997E-2</v>
      </c>
      <c r="R6889">
        <v>0.2055083</v>
      </c>
      <c r="S6889">
        <v>2.926682</v>
      </c>
      <c r="T6889">
        <v>-0.16945650000000001</v>
      </c>
      <c r="U6889">
        <v>0.63729859999999905</v>
      </c>
      <c r="V6889">
        <v>8.8665229999999998E-2</v>
      </c>
      <c r="W6889">
        <v>-5.8309590000000001E-2</v>
      </c>
      <c r="X6889">
        <v>0.9943533</v>
      </c>
      <c r="Y6889">
        <v>8.1126089999999998E-2</v>
      </c>
      <c r="Z6889">
        <v>-1.9287519999999999E-2</v>
      </c>
      <c r="AA6889">
        <v>0.99651719999999999</v>
      </c>
      <c r="AB6889">
        <v>24</v>
      </c>
      <c r="AC6889">
        <v>0.69999999999998797</v>
      </c>
      <c r="AD6889">
        <v>-5.3502999999999801E-2</v>
      </c>
      <c r="AE6889">
        <v>0.131799999999998</v>
      </c>
      <c r="AF6889">
        <v>7.7846605824363702E-2</v>
      </c>
      <c r="AG6889">
        <v>-5.3502999999999801E-2</v>
      </c>
      <c r="AH6889">
        <v>0.70401285044677997</v>
      </c>
      <c r="AI6889">
        <v>94.319736606142797</v>
      </c>
      <c r="AJ6889">
        <v>83.690121398939795</v>
      </c>
      <c r="AK6889">
        <v>0.71032158818493896</v>
      </c>
      <c r="AL6889">
        <v>93.342789464490806</v>
      </c>
      <c r="AM6889">
        <v>84.904483993030695</v>
      </c>
      <c r="AN6889">
        <v>1.0000000082589</v>
      </c>
    </row>
    <row r="6890" spans="1:40" x14ac:dyDescent="0.25">
      <c r="A6890" t="str">
        <f>"20190305135408050"</f>
        <v>20190305135408050</v>
      </c>
      <c r="B6890" t="str">
        <f>"1551765248047060"</f>
        <v>1551765248047060</v>
      </c>
      <c r="C6890" t="s">
        <v>40</v>
      </c>
      <c r="D6890">
        <v>4.8667030000000002</v>
      </c>
      <c r="E6890">
        <v>0.49809219999999998</v>
      </c>
      <c r="F6890" t="s">
        <v>41</v>
      </c>
      <c r="G6890">
        <v>-166.01159999999999</v>
      </c>
      <c r="H6890">
        <v>1.0534730000000001</v>
      </c>
      <c r="I6890">
        <v>135.9384</v>
      </c>
      <c r="J6890">
        <v>-166.68530000000001</v>
      </c>
      <c r="K6890">
        <v>1.1069279999999999</v>
      </c>
      <c r="L6890">
        <v>135.81399999999999</v>
      </c>
      <c r="M6890">
        <v>0.95651169999999996</v>
      </c>
      <c r="N6890">
        <v>2.2548329999999999E-3</v>
      </c>
      <c r="O6890">
        <v>0.29168480000000002</v>
      </c>
      <c r="P6890">
        <v>0.97723199999999999</v>
      </c>
      <c r="Q6890">
        <v>-5.7133160000000002E-2</v>
      </c>
      <c r="R6890">
        <v>0.20433580000000001</v>
      </c>
      <c r="S6890">
        <v>2.9275669999999998</v>
      </c>
      <c r="T6890">
        <v>-0.17313729999999999</v>
      </c>
      <c r="U6890">
        <v>0.63221740000000004</v>
      </c>
      <c r="V6890">
        <v>8.9556930000000007E-2</v>
      </c>
      <c r="W6890">
        <v>-5.9431959999999999E-2</v>
      </c>
      <c r="X6890">
        <v>0.9942069</v>
      </c>
      <c r="Y6890">
        <v>8.2568240000000001E-2</v>
      </c>
      <c r="Z6890">
        <v>-1.9699100000000001E-2</v>
      </c>
      <c r="AA6890">
        <v>0.99639069999999996</v>
      </c>
      <c r="AB6890">
        <v>24</v>
      </c>
      <c r="AC6890">
        <v>0.67370000000002495</v>
      </c>
      <c r="AD6890">
        <v>-5.3455000000000197E-2</v>
      </c>
      <c r="AE6890">
        <v>0.124400000000008</v>
      </c>
      <c r="AF6890">
        <v>7.7049117859612895E-2</v>
      </c>
      <c r="AG6890">
        <v>-5.3455000000000197E-2</v>
      </c>
      <c r="AH6890">
        <v>0.67657030538289897</v>
      </c>
      <c r="AI6890">
        <v>94.4885927319757</v>
      </c>
      <c r="AJ6890">
        <v>83.503037340855798</v>
      </c>
      <c r="AK6890">
        <v>0.683038345712635</v>
      </c>
      <c r="AL6890">
        <v>93.407208352312907</v>
      </c>
      <c r="AM6890">
        <v>84.852758815545499</v>
      </c>
      <c r="AN6890">
        <v>0.99999998079403796</v>
      </c>
    </row>
    <row r="6891" spans="1:40" x14ac:dyDescent="0.25">
      <c r="A6891" t="str">
        <f>"20190305135408072"</f>
        <v>20190305135408072</v>
      </c>
      <c r="B6891" t="str">
        <f>"1551765248066579"</f>
        <v>1551765248066579</v>
      </c>
      <c r="C6891" t="s">
        <v>40</v>
      </c>
      <c r="D6891">
        <v>4.6576570000000004</v>
      </c>
      <c r="E6891">
        <v>0.49826740000000003</v>
      </c>
      <c r="F6891" t="s">
        <v>41</v>
      </c>
      <c r="G6891">
        <v>-165.8013</v>
      </c>
      <c r="H6891">
        <v>1.0531060000000001</v>
      </c>
      <c r="I6891">
        <v>136.0033</v>
      </c>
      <c r="J6891">
        <v>-166.4494</v>
      </c>
      <c r="K6891">
        <v>1.1066579999999999</v>
      </c>
      <c r="L6891">
        <v>135.88560000000001</v>
      </c>
      <c r="M6891">
        <v>0.95670449999999996</v>
      </c>
      <c r="N6891">
        <v>2.1715929999999999E-3</v>
      </c>
      <c r="O6891">
        <v>0.2910528</v>
      </c>
      <c r="P6891">
        <v>0.97757229999999995</v>
      </c>
      <c r="Q6891">
        <v>-5.7317050000000001E-2</v>
      </c>
      <c r="R6891">
        <v>0.20264989999999999</v>
      </c>
      <c r="S6891">
        <v>2.9282840000000001</v>
      </c>
      <c r="T6891">
        <v>-0.1783122</v>
      </c>
      <c r="U6891">
        <v>0.62730410000000003</v>
      </c>
      <c r="V6891">
        <v>9.0571780000000005E-2</v>
      </c>
      <c r="W6891">
        <v>-5.9594090000000002E-2</v>
      </c>
      <c r="X6891">
        <v>0.99410529999999997</v>
      </c>
      <c r="Y6891">
        <v>8.3521120000000004E-2</v>
      </c>
      <c r="Z6891">
        <v>-2.0238780000000001E-2</v>
      </c>
      <c r="AA6891">
        <v>0.99630050000000003</v>
      </c>
      <c r="AB6891">
        <v>24</v>
      </c>
      <c r="AC6891">
        <v>0.64809999999999901</v>
      </c>
      <c r="AD6891">
        <v>-5.3552000000000002E-2</v>
      </c>
      <c r="AE6891">
        <v>0.117699999999985</v>
      </c>
      <c r="AF6891">
        <v>7.5528170630291602E-2</v>
      </c>
      <c r="AG6891">
        <v>-5.3552000000000002E-2</v>
      </c>
      <c r="AH6891">
        <v>0.650002407933986</v>
      </c>
      <c r="AI6891">
        <v>94.678475926551897</v>
      </c>
      <c r="AJ6891">
        <v>83.372138792662099</v>
      </c>
      <c r="AK6891">
        <v>0.65656336448414299</v>
      </c>
      <c r="AL6891">
        <v>93.416514059734297</v>
      </c>
      <c r="AM6891">
        <v>84.794220367847899</v>
      </c>
      <c r="AN6891">
        <v>1.0000000251916901</v>
      </c>
    </row>
    <row r="6892" spans="1:40" x14ac:dyDescent="0.25">
      <c r="A6892" t="str">
        <f>"20190305135408094"</f>
        <v>20190305135408094</v>
      </c>
      <c r="B6892" t="str">
        <f>"1551765248087076"</f>
        <v>1551765248087076</v>
      </c>
      <c r="C6892" t="s">
        <v>40</v>
      </c>
      <c r="D6892">
        <v>4.6559819999999998</v>
      </c>
      <c r="E6892">
        <v>0.49838450000000001</v>
      </c>
      <c r="F6892" t="s">
        <v>41</v>
      </c>
      <c r="G6892">
        <v>-165.58789999999999</v>
      </c>
      <c r="H6892">
        <v>1.0541339999999999</v>
      </c>
      <c r="I6892">
        <v>136.06829999999999</v>
      </c>
      <c r="J6892">
        <v>-166.20439999999999</v>
      </c>
      <c r="K6892">
        <v>1.1063719999999999</v>
      </c>
      <c r="L6892">
        <v>135.95939999999999</v>
      </c>
      <c r="M6892">
        <v>0.95703050000000001</v>
      </c>
      <c r="N6892">
        <v>2.0800559999999998E-3</v>
      </c>
      <c r="O6892">
        <v>0.28997990000000001</v>
      </c>
      <c r="P6892">
        <v>0.97778889999999996</v>
      </c>
      <c r="Q6892">
        <v>-5.8610879999999997E-2</v>
      </c>
      <c r="R6892">
        <v>0.20123079999999999</v>
      </c>
      <c r="S6892">
        <v>2.9296419999999999</v>
      </c>
      <c r="T6892">
        <v>-0.17862709999999901</v>
      </c>
      <c r="U6892">
        <v>0.6210175</v>
      </c>
      <c r="V6892">
        <v>9.0832319999999994E-2</v>
      </c>
      <c r="W6892">
        <v>-6.0862430000000002E-2</v>
      </c>
      <c r="X6892">
        <v>0.99400469999999996</v>
      </c>
      <c r="Y6892">
        <v>8.4542800000000001E-2</v>
      </c>
      <c r="Z6892">
        <v>-2.0213330000000002E-2</v>
      </c>
      <c r="AA6892">
        <v>0.99621479999999996</v>
      </c>
      <c r="AB6892">
        <v>25</v>
      </c>
      <c r="AC6892">
        <v>0.61650000000000205</v>
      </c>
      <c r="AD6892">
        <v>-5.2238E-2</v>
      </c>
      <c r="AE6892">
        <v>0.10890000000000501</v>
      </c>
      <c r="AF6892">
        <v>7.4036668795069802E-2</v>
      </c>
      <c r="AG6892">
        <v>-5.2238E-2</v>
      </c>
      <c r="AH6892">
        <v>0.61729157415422897</v>
      </c>
      <c r="AI6892">
        <v>94.802844233601107</v>
      </c>
      <c r="AJ6892">
        <v>83.160732918311894</v>
      </c>
      <c r="AK6892">
        <v>0.62390634272467305</v>
      </c>
      <c r="AL6892">
        <v>93.4893166875232</v>
      </c>
      <c r="AM6892">
        <v>84.778802536240093</v>
      </c>
      <c r="AN6892">
        <v>1.00000004468208</v>
      </c>
    </row>
    <row r="6893" spans="1:40" x14ac:dyDescent="0.25">
      <c r="A6893" t="str">
        <f>"20190305135408116"</f>
        <v>20190305135408116</v>
      </c>
      <c r="B6893" t="str">
        <f>"1551765248106595"</f>
        <v>1551765248106595</v>
      </c>
      <c r="C6893" t="s">
        <v>40</v>
      </c>
      <c r="D6893">
        <v>4.6260700000000003</v>
      </c>
      <c r="E6893">
        <v>0.49854530000000002</v>
      </c>
      <c r="F6893" t="s">
        <v>41</v>
      </c>
      <c r="G6893">
        <v>-165.37280000000001</v>
      </c>
      <c r="H6893">
        <v>1.0546599999999999</v>
      </c>
      <c r="I6893">
        <v>136.13390000000001</v>
      </c>
      <c r="J6893">
        <v>-165.97669999999999</v>
      </c>
      <c r="K6893">
        <v>1.106117</v>
      </c>
      <c r="L6893">
        <v>136.02709999999999</v>
      </c>
      <c r="M6893">
        <v>0.95744019999999996</v>
      </c>
      <c r="N6893">
        <v>1.9915309999999999E-3</v>
      </c>
      <c r="O6893">
        <v>0.28862500000000002</v>
      </c>
      <c r="P6893">
        <v>0.97812529999999998</v>
      </c>
      <c r="Q6893">
        <v>-5.9900349999999998E-2</v>
      </c>
      <c r="R6893">
        <v>0.1992063</v>
      </c>
      <c r="S6893">
        <v>2.9305270000000001</v>
      </c>
      <c r="T6893">
        <v>-0.1822395</v>
      </c>
      <c r="U6893">
        <v>0.61569209999999996</v>
      </c>
      <c r="V6893">
        <v>9.1416860000000003E-2</v>
      </c>
      <c r="W6893">
        <v>-6.2125329999999999E-2</v>
      </c>
      <c r="X6893">
        <v>0.99387289999999995</v>
      </c>
      <c r="Y6893">
        <v>8.4902950000000005E-2</v>
      </c>
      <c r="Z6893">
        <v>-2.0516489999999998E-2</v>
      </c>
      <c r="AA6893">
        <v>0.99617800000000001</v>
      </c>
      <c r="AB6893">
        <v>25</v>
      </c>
      <c r="AC6893">
        <v>0.60389999999998101</v>
      </c>
      <c r="AD6893">
        <v>-5.1457000000000003E-2</v>
      </c>
      <c r="AE6893">
        <v>0.106800000000021</v>
      </c>
      <c r="AF6893">
        <v>7.1542491453453594E-2</v>
      </c>
      <c r="AG6893">
        <v>-5.1457000000000003E-2</v>
      </c>
      <c r="AH6893">
        <v>0.60476679746768003</v>
      </c>
      <c r="AI6893">
        <v>94.829820643242996</v>
      </c>
      <c r="AJ6893">
        <v>83.253398685239503</v>
      </c>
      <c r="AK6893">
        <v>0.61115385153959501</v>
      </c>
      <c r="AL6893">
        <v>93.561812996589097</v>
      </c>
      <c r="AM6893">
        <v>84.744696739871998</v>
      </c>
      <c r="AN6893">
        <v>0.99999997013713804</v>
      </c>
    </row>
    <row r="6894" spans="1:40" x14ac:dyDescent="0.25">
      <c r="A6894" t="str">
        <f>"20190305135408138"</f>
        <v>20190305135408138</v>
      </c>
      <c r="B6894" t="str">
        <f>"1551765248127091"</f>
        <v>1551765248127091</v>
      </c>
      <c r="C6894" t="s">
        <v>40</v>
      </c>
      <c r="D6894">
        <v>4.6358439999999996</v>
      </c>
      <c r="E6894">
        <v>0.49852350000000001</v>
      </c>
      <c r="F6894" t="s">
        <v>41</v>
      </c>
      <c r="G6894">
        <v>-165.15599999999901</v>
      </c>
      <c r="H6894">
        <v>1.0540639999999999</v>
      </c>
      <c r="I6894">
        <v>136.19739999999999</v>
      </c>
      <c r="J6894">
        <v>-165.73150000000001</v>
      </c>
      <c r="K6894">
        <v>1.1058479999999999</v>
      </c>
      <c r="L6894">
        <v>136.0993</v>
      </c>
      <c r="M6894">
        <v>0.95798260000000002</v>
      </c>
      <c r="N6894">
        <v>1.894412E-3</v>
      </c>
      <c r="O6894">
        <v>0.28682000000000002</v>
      </c>
      <c r="P6894">
        <v>0.97893920000000001</v>
      </c>
      <c r="Q6894">
        <v>-5.9787939999999998E-2</v>
      </c>
      <c r="R6894">
        <v>0.1952015</v>
      </c>
      <c r="S6894">
        <v>2.931778</v>
      </c>
      <c r="T6894">
        <v>-0.1859529</v>
      </c>
      <c r="U6894">
        <v>0.608429</v>
      </c>
      <c r="V6894">
        <v>9.3572710000000003E-2</v>
      </c>
      <c r="W6894">
        <v>-6.1984209999999998E-2</v>
      </c>
      <c r="X6894">
        <v>0.99368109999999998</v>
      </c>
      <c r="Y6894">
        <v>8.5451340000000001E-2</v>
      </c>
      <c r="Z6894">
        <v>-2.0803260000000001E-2</v>
      </c>
      <c r="AA6894">
        <v>0.99612520000000004</v>
      </c>
      <c r="AB6894">
        <v>25</v>
      </c>
      <c r="AC6894">
        <v>0.57550000000003299</v>
      </c>
      <c r="AD6894">
        <v>-5.1783999999999997E-2</v>
      </c>
      <c r="AE6894">
        <v>9.8099999999988002E-2</v>
      </c>
      <c r="AF6894">
        <v>7.0532004032440601E-2</v>
      </c>
      <c r="AG6894">
        <v>-5.1783999999999997E-2</v>
      </c>
      <c r="AH6894">
        <v>0.57493353457032004</v>
      </c>
      <c r="AI6894">
        <v>95.108623011797107</v>
      </c>
      <c r="AJ6894">
        <v>83.005984660808494</v>
      </c>
      <c r="AK6894">
        <v>0.58155388006817899</v>
      </c>
      <c r="AL6894">
        <v>93.553711655972194</v>
      </c>
      <c r="AM6894">
        <v>84.620449298409596</v>
      </c>
      <c r="AN6894">
        <v>1.0000000114216301</v>
      </c>
    </row>
    <row r="6895" spans="1:40" x14ac:dyDescent="0.25">
      <c r="A6895" t="str">
        <f>"20190305135408162"</f>
        <v>20190305135408162</v>
      </c>
      <c r="B6895" t="str">
        <f>"1551765248157348"</f>
        <v>1551765248157348</v>
      </c>
      <c r="C6895" t="s">
        <v>40</v>
      </c>
      <c r="D6895">
        <v>4.5628699999999904</v>
      </c>
      <c r="E6895">
        <v>0.53379399999999999</v>
      </c>
      <c r="F6895" t="s">
        <v>41</v>
      </c>
      <c r="G6895">
        <v>-164.93549999999999</v>
      </c>
      <c r="H6895">
        <v>1.0552950000000001</v>
      </c>
      <c r="I6895">
        <v>136.2612</v>
      </c>
      <c r="J6895">
        <v>-165.47980000000001</v>
      </c>
      <c r="K6895">
        <v>1.105607</v>
      </c>
      <c r="L6895">
        <v>136.17259999999999</v>
      </c>
      <c r="M6895">
        <v>0.95862930000000002</v>
      </c>
      <c r="N6895">
        <v>1.7952759999999999E-3</v>
      </c>
      <c r="O6895">
        <v>0.28465230000000002</v>
      </c>
      <c r="P6895">
        <v>0.98035870000000003</v>
      </c>
      <c r="Q6895">
        <v>-5.8433119999999998E-2</v>
      </c>
      <c r="R6895">
        <v>0.18836800000000001</v>
      </c>
      <c r="S6895">
        <v>2.9341889999999999</v>
      </c>
      <c r="T6895">
        <v>-0.18634809999999999</v>
      </c>
      <c r="U6895">
        <v>0.59664919999999899</v>
      </c>
      <c r="V6895">
        <v>9.8247749999999995E-2</v>
      </c>
      <c r="W6895">
        <v>-6.0605270000000003E-2</v>
      </c>
      <c r="X6895">
        <v>0.9933149</v>
      </c>
      <c r="Y6895">
        <v>8.7197360000000002E-2</v>
      </c>
      <c r="Z6895">
        <v>-2.0735969999999999E-2</v>
      </c>
      <c r="AA6895">
        <v>0.99597519999999995</v>
      </c>
      <c r="AB6895">
        <v>25</v>
      </c>
      <c r="AC6895">
        <v>0.54430000000002099</v>
      </c>
      <c r="AD6895">
        <v>-5.0311999999999898E-2</v>
      </c>
      <c r="AE6895">
        <v>8.8600000000013696E-2</v>
      </c>
      <c r="AF6895">
        <v>6.9423939453204506E-2</v>
      </c>
      <c r="AG6895">
        <v>-5.0311999999999898E-2</v>
      </c>
      <c r="AH6895">
        <v>0.542487498357208</v>
      </c>
      <c r="AI6895">
        <v>95.256012583716895</v>
      </c>
      <c r="AJ6895">
        <v>82.707306331426494</v>
      </c>
      <c r="AK6895">
        <v>0.54922096335360704</v>
      </c>
      <c r="AL6895">
        <v>93.474555220457603</v>
      </c>
      <c r="AM6895">
        <v>84.351306222558904</v>
      </c>
      <c r="AN6895">
        <v>1.0000000548469199</v>
      </c>
    </row>
    <row r="6896" spans="1:40" x14ac:dyDescent="0.25">
      <c r="A6896" t="str">
        <f>"20190305135408183"</f>
        <v>20190305135408183</v>
      </c>
      <c r="B6896" t="str">
        <f>"1551765248176871"</f>
        <v>1551765248176871</v>
      </c>
      <c r="C6896" t="s">
        <v>40</v>
      </c>
      <c r="D6896">
        <v>4.7256049999999998</v>
      </c>
      <c r="E6896">
        <v>0.55314799999999997</v>
      </c>
      <c r="F6896" t="s">
        <v>42</v>
      </c>
      <c r="G6896">
        <v>-132.07810000000001</v>
      </c>
      <c r="H6896" s="1">
        <v>-3.3865760000000001E-6</v>
      </c>
      <c r="I6896">
        <v>139.58349999999999</v>
      </c>
      <c r="J6896">
        <v>-165.2287</v>
      </c>
      <c r="K6896">
        <v>1.105415</v>
      </c>
      <c r="L6896">
        <v>136.24469999999999</v>
      </c>
      <c r="M6896">
        <v>0.9593469</v>
      </c>
      <c r="N6896">
        <v>1.69862299999999E-3</v>
      </c>
      <c r="O6896">
        <v>0.28222449999999999</v>
      </c>
      <c r="P6896">
        <v>0.98186870000000004</v>
      </c>
      <c r="Q6896">
        <v>-5.7148919999999999E-2</v>
      </c>
      <c r="R6896">
        <v>0.18074219999999999</v>
      </c>
      <c r="S6896">
        <v>2.995422</v>
      </c>
      <c r="T6896">
        <v>-9.914982E-2</v>
      </c>
      <c r="U6896">
        <v>0.30589290000000002</v>
      </c>
      <c r="V6896">
        <v>0.1034495</v>
      </c>
      <c r="W6896">
        <v>-5.9297889999999999E-2</v>
      </c>
      <c r="X6896">
        <v>0.99286560000000001</v>
      </c>
      <c r="Y6896">
        <v>0.1830445</v>
      </c>
      <c r="Z6896">
        <v>-1.2534689999999999E-2</v>
      </c>
      <c r="AA6896">
        <v>0.98302469999999997</v>
      </c>
      <c r="AB6896">
        <v>25</v>
      </c>
      <c r="AC6896">
        <v>33.150599999999997</v>
      </c>
      <c r="AD6896">
        <v>-1.1054183865759999</v>
      </c>
      <c r="AE6896">
        <v>3.3387999999999902</v>
      </c>
      <c r="AF6896">
        <v>6.1460875836857802</v>
      </c>
      <c r="AG6896">
        <v>-1.1054183865759999</v>
      </c>
      <c r="AH6896">
        <v>32.709258671705697</v>
      </c>
      <c r="AI6896">
        <v>91.902324040997897</v>
      </c>
      <c r="AJ6896">
        <v>79.358176124368299</v>
      </c>
      <c r="AK6896">
        <v>33.300029207919202</v>
      </c>
      <c r="AL6896">
        <v>93.399512834298804</v>
      </c>
      <c r="AM6896">
        <v>84.051652660916602</v>
      </c>
      <c r="AN6896">
        <v>1.00000006923602</v>
      </c>
    </row>
    <row r="6897" spans="1:40" x14ac:dyDescent="0.25">
      <c r="A6897" t="str">
        <f>"20190305135408206"</f>
        <v>20190305135408206</v>
      </c>
      <c r="B6897" t="str">
        <f>"1551765248197363"</f>
        <v>1551765248197363</v>
      </c>
      <c r="C6897" t="s">
        <v>40</v>
      </c>
      <c r="D6897">
        <v>4.6453230000000003</v>
      </c>
      <c r="E6897">
        <v>0.55814730000000001</v>
      </c>
      <c r="F6897" t="s">
        <v>42</v>
      </c>
      <c r="G6897">
        <v>-146.44220000000001</v>
      </c>
      <c r="H6897" s="1">
        <v>-1.9702389999999998E-6</v>
      </c>
      <c r="I6897">
        <v>137.0138</v>
      </c>
      <c r="J6897">
        <v>-164.9837</v>
      </c>
      <c r="K6897">
        <v>1.105261</v>
      </c>
      <c r="L6897">
        <v>136.3141</v>
      </c>
      <c r="M6897">
        <v>0.96010490000000004</v>
      </c>
      <c r="N6897">
        <v>1.6068790000000001E-3</v>
      </c>
      <c r="O6897">
        <v>0.27963549999999998</v>
      </c>
      <c r="P6897">
        <v>0.98314539999999995</v>
      </c>
      <c r="Q6897">
        <v>-5.5860989999999999E-2</v>
      </c>
      <c r="R6897">
        <v>0.17408289999999901</v>
      </c>
      <c r="S6897">
        <v>3.0222630000000001</v>
      </c>
      <c r="T6897">
        <v>-0.17783280000000001</v>
      </c>
      <c r="U6897">
        <v>0.1237335</v>
      </c>
      <c r="V6897">
        <v>0.10750220000000001</v>
      </c>
      <c r="W6897">
        <v>-5.7982400000000003E-2</v>
      </c>
      <c r="X6897">
        <v>0.99251259999999997</v>
      </c>
      <c r="Y6897">
        <v>0.2392281</v>
      </c>
      <c r="Z6897">
        <v>-2.3532870000000001E-2</v>
      </c>
      <c r="AA6897">
        <v>0.97067820000000005</v>
      </c>
      <c r="AB6897">
        <v>26</v>
      </c>
      <c r="AC6897">
        <v>18.5414999999999</v>
      </c>
      <c r="AD6897">
        <v>-1.105262970239</v>
      </c>
      <c r="AE6897">
        <v>0.69970000000000698</v>
      </c>
      <c r="AF6897">
        <v>4.4971247563772598</v>
      </c>
      <c r="AG6897">
        <v>-1.105262970239</v>
      </c>
      <c r="AH6897">
        <v>17.9338339882441</v>
      </c>
      <c r="AI6897">
        <v>93.421024131430599</v>
      </c>
      <c r="AJ6897">
        <v>75.922670682866894</v>
      </c>
      <c r="AK6897">
        <v>18.522098661482801</v>
      </c>
      <c r="AL6897">
        <v>93.324011209679696</v>
      </c>
      <c r="AM6897">
        <v>83.818210908793702</v>
      </c>
      <c r="AN6897">
        <v>0.99999997143667896</v>
      </c>
    </row>
    <row r="6898" spans="1:40" x14ac:dyDescent="0.25">
      <c r="A6898" t="str">
        <f>"20190305135408228"</f>
        <v>20190305135408228</v>
      </c>
      <c r="B6898" t="str">
        <f>"1551765248216884"</f>
        <v>1551765248216884</v>
      </c>
      <c r="C6898" t="s">
        <v>40</v>
      </c>
      <c r="D6898">
        <v>4.6418059999999999</v>
      </c>
      <c r="E6898">
        <v>0.56033310000000003</v>
      </c>
      <c r="F6898" t="s">
        <v>42</v>
      </c>
      <c r="G6898">
        <v>-148.24610000000001</v>
      </c>
      <c r="H6898" s="1">
        <v>-1.371096E-6</v>
      </c>
      <c r="I6898">
        <v>136.654</v>
      </c>
      <c r="J6898">
        <v>-164.72499999999999</v>
      </c>
      <c r="K6898">
        <v>1.1051089999999999</v>
      </c>
      <c r="L6898">
        <v>136.38630000000001</v>
      </c>
      <c r="M6898">
        <v>0.96095719999999996</v>
      </c>
      <c r="N6898">
        <v>1.501966E-3</v>
      </c>
      <c r="O6898">
        <v>0.27669290000000002</v>
      </c>
      <c r="P6898">
        <v>0.98427699999999996</v>
      </c>
      <c r="Q6898">
        <v>-5.5040579999999999E-2</v>
      </c>
      <c r="R6898">
        <v>0.1678374</v>
      </c>
      <c r="S6898">
        <v>3.029175</v>
      </c>
      <c r="T6898">
        <v>-0.20003029999999999</v>
      </c>
      <c r="U6898">
        <v>6.1523439999999999E-2</v>
      </c>
      <c r="V6898">
        <v>0.1107567</v>
      </c>
      <c r="W6898">
        <v>-5.7118750000000003E-2</v>
      </c>
      <c r="X6898">
        <v>0.9922048</v>
      </c>
      <c r="Y6898">
        <v>0.25596160000000001</v>
      </c>
      <c r="Z6898">
        <v>-2.672306E-2</v>
      </c>
      <c r="AA6898">
        <v>0.96631750000000005</v>
      </c>
      <c r="AB6898">
        <v>26</v>
      </c>
      <c r="AC6898">
        <v>16.4788999999999</v>
      </c>
      <c r="AD6898">
        <v>-1.105110371096</v>
      </c>
      <c r="AE6898">
        <v>0.26769999999999</v>
      </c>
      <c r="AF6898">
        <v>4.2830939226894396</v>
      </c>
      <c r="AG6898">
        <v>-1.105110371096</v>
      </c>
      <c r="AH6898">
        <v>15.8383948646606</v>
      </c>
      <c r="AI6898">
        <v>93.853324493814995</v>
      </c>
      <c r="AJ6898">
        <v>74.867744662487496</v>
      </c>
      <c r="AK6898">
        <v>16.444479753759001</v>
      </c>
      <c r="AL6898">
        <v>93.274445522679898</v>
      </c>
      <c r="AM6898">
        <v>83.630620402328006</v>
      </c>
      <c r="AN6898">
        <v>0.99999998166974602</v>
      </c>
    </row>
    <row r="6899" spans="1:40" x14ac:dyDescent="0.25">
      <c r="A6899" t="str">
        <f>"20190305135408252"</f>
        <v>20190305135408252</v>
      </c>
      <c r="B6899" t="str">
        <f>"1551765248247139"</f>
        <v>1551765248247139</v>
      </c>
      <c r="C6899" t="s">
        <v>40</v>
      </c>
      <c r="D6899">
        <v>4.6868359999999996</v>
      </c>
      <c r="E6899">
        <v>0.56127569999999904</v>
      </c>
      <c r="F6899" t="s">
        <v>42</v>
      </c>
      <c r="G6899">
        <v>-147.77969999999999</v>
      </c>
      <c r="H6899" s="1">
        <v>-1.563893E-6</v>
      </c>
      <c r="I6899">
        <v>136.52590000000001</v>
      </c>
      <c r="J6899">
        <v>-164.45830000000001</v>
      </c>
      <c r="K6899">
        <v>1.1049739999999999</v>
      </c>
      <c r="L6899">
        <v>136.45959999999999</v>
      </c>
      <c r="M6899">
        <v>0.96187140000000004</v>
      </c>
      <c r="N6899">
        <v>1.3776369999999999E-3</v>
      </c>
      <c r="O6899">
        <v>0.27349889999999999</v>
      </c>
      <c r="P6899">
        <v>0.98565950000000002</v>
      </c>
      <c r="Q6899">
        <v>-5.4853829999999999E-2</v>
      </c>
      <c r="R6899">
        <v>0.15958310000000001</v>
      </c>
      <c r="S6899">
        <v>3.0326230000000001</v>
      </c>
      <c r="T6899">
        <v>-0.19777639999999999</v>
      </c>
      <c r="U6899">
        <v>2.4993899999999999E-2</v>
      </c>
      <c r="V6899">
        <v>0.11575729999999999</v>
      </c>
      <c r="W6899">
        <v>-5.6878129999999999E-2</v>
      </c>
      <c r="X6899">
        <v>0.99164770000000002</v>
      </c>
      <c r="Y6899">
        <v>0.26441880000000001</v>
      </c>
      <c r="Z6899">
        <v>-2.6449750000000001E-2</v>
      </c>
      <c r="AA6899">
        <v>0.96404520000000005</v>
      </c>
      <c r="AB6899">
        <v>26</v>
      </c>
      <c r="AC6899">
        <v>16.678599999999999</v>
      </c>
      <c r="AD6899">
        <v>-1.1049755638929999</v>
      </c>
      <c r="AE6899">
        <v>6.6300000000012405E-2</v>
      </c>
      <c r="AF6899">
        <v>4.4781553964368204</v>
      </c>
      <c r="AG6899">
        <v>-1.1049755638929999</v>
      </c>
      <c r="AH6899">
        <v>15.990630361633899</v>
      </c>
      <c r="AI6899">
        <v>93.806926860746401</v>
      </c>
      <c r="AJ6899">
        <v>74.3551656237141</v>
      </c>
      <c r="AK6899">
        <v>16.642569095961299</v>
      </c>
      <c r="AL6899">
        <v>93.260636445145195</v>
      </c>
      <c r="AM6899">
        <v>83.341865924701906</v>
      </c>
      <c r="AN6899">
        <v>1.00000001754543</v>
      </c>
    </row>
    <row r="6900" spans="1:40" x14ac:dyDescent="0.25">
      <c r="A6900" t="str">
        <f>"20190305135408274"</f>
        <v>20190305135408274</v>
      </c>
      <c r="B6900" t="str">
        <f>"1551765248266659"</f>
        <v>1551765248266659</v>
      </c>
      <c r="C6900" t="s">
        <v>40</v>
      </c>
      <c r="D6900">
        <v>4.5530540000000004</v>
      </c>
      <c r="E6900">
        <v>0.56192169999999997</v>
      </c>
      <c r="F6900" t="s">
        <v>42</v>
      </c>
      <c r="G6900">
        <v>-148.83609999999999</v>
      </c>
      <c r="H6900" s="1">
        <v>-1.2347189999999999E-6</v>
      </c>
      <c r="I6900">
        <v>136.4119</v>
      </c>
      <c r="J6900">
        <v>-164.20269999999999</v>
      </c>
      <c r="K6900">
        <v>1.1048420000000001</v>
      </c>
      <c r="L6900">
        <v>136.52879999999999</v>
      </c>
      <c r="M6900">
        <v>0.96277900000000005</v>
      </c>
      <c r="N6900">
        <v>1.2212620000000001E-3</v>
      </c>
      <c r="O6900">
        <v>0.27028750000000001</v>
      </c>
      <c r="P6900">
        <v>0.98675809999999997</v>
      </c>
      <c r="Q6900">
        <v>-5.5522929999999998E-2</v>
      </c>
      <c r="R6900">
        <v>0.15240039999999999</v>
      </c>
      <c r="S6900">
        <v>3.0332029999999999</v>
      </c>
      <c r="T6900">
        <v>-0.2145407</v>
      </c>
      <c r="U6900">
        <v>-9.2468259999999997E-3</v>
      </c>
      <c r="V6900">
        <v>0.11963509999999999</v>
      </c>
      <c r="W6900">
        <v>-5.745799E-2</v>
      </c>
      <c r="X6900">
        <v>0.99115390000000003</v>
      </c>
      <c r="Y6900">
        <v>0.27186759999999999</v>
      </c>
      <c r="Z6900">
        <v>-2.868368E-2</v>
      </c>
      <c r="AA6900">
        <v>0.96190710000000001</v>
      </c>
      <c r="AB6900">
        <v>27</v>
      </c>
      <c r="AC6900">
        <v>15.3666</v>
      </c>
      <c r="AD6900">
        <v>-1.104843234719</v>
      </c>
      <c r="AE6900">
        <v>-0.116899999999986</v>
      </c>
      <c r="AF6900">
        <v>4.2440134428810898</v>
      </c>
      <c r="AG6900">
        <v>-1.104843234719</v>
      </c>
      <c r="AH6900">
        <v>14.687132258094399</v>
      </c>
      <c r="AI6900">
        <v>94.133498024721604</v>
      </c>
      <c r="AJ6900">
        <v>73.882750363970601</v>
      </c>
      <c r="AK6900">
        <v>15.3278890472047</v>
      </c>
      <c r="AL6900">
        <v>93.293914405863305</v>
      </c>
      <c r="AM6900">
        <v>83.117531246057894</v>
      </c>
      <c r="AN6900">
        <v>1.00000001562603</v>
      </c>
    </row>
    <row r="6901" spans="1:40" x14ac:dyDescent="0.25">
      <c r="A6901" t="str">
        <f>"20190305135408295"</f>
        <v>20190305135408295</v>
      </c>
      <c r="B6901" t="str">
        <f>"1551765248287155"</f>
        <v>1551765248287155</v>
      </c>
      <c r="C6901" t="s">
        <v>40</v>
      </c>
      <c r="D6901">
        <v>4.5687069999999999</v>
      </c>
      <c r="E6901">
        <v>0.56252230000000003</v>
      </c>
      <c r="F6901" t="s">
        <v>42</v>
      </c>
      <c r="G6901">
        <v>-148.39599999999999</v>
      </c>
      <c r="H6901" s="1">
        <v>-1.403798E-6</v>
      </c>
      <c r="I6901">
        <v>136.33930000000001</v>
      </c>
      <c r="J6901">
        <v>-163.94059999999999</v>
      </c>
      <c r="K6901">
        <v>1.104698</v>
      </c>
      <c r="L6901">
        <v>136.5986</v>
      </c>
      <c r="M6901">
        <v>0.96374709999999997</v>
      </c>
      <c r="N6901">
        <v>9.8907269999999993E-4</v>
      </c>
      <c r="O6901">
        <v>0.26681559999999999</v>
      </c>
      <c r="P6901">
        <v>0.98756359999999999</v>
      </c>
      <c r="Q6901">
        <v>-5.6671659999999999E-2</v>
      </c>
      <c r="R6901">
        <v>0.14665230000000001</v>
      </c>
      <c r="S6901">
        <v>3.0339360000000002</v>
      </c>
      <c r="T6901">
        <v>-0.21206369999999999</v>
      </c>
      <c r="U6901">
        <v>-3.6361690000000002E-2</v>
      </c>
      <c r="V6901">
        <v>0.1217847</v>
      </c>
      <c r="W6901">
        <v>-5.8443340000000003E-2</v>
      </c>
      <c r="X6901">
        <v>0.9908344</v>
      </c>
      <c r="Y6901">
        <v>0.27702139999999997</v>
      </c>
      <c r="Z6901">
        <v>-2.8259690000000001E-2</v>
      </c>
      <c r="AA6901">
        <v>0.96044810000000003</v>
      </c>
      <c r="AB6901">
        <v>27</v>
      </c>
      <c r="AC6901">
        <v>15.5445999999999</v>
      </c>
      <c r="AD6901">
        <v>-1.104699403798</v>
      </c>
      <c r="AE6901">
        <v>-0.25929999999999598</v>
      </c>
      <c r="AF6901">
        <v>4.3753522130451303</v>
      </c>
      <c r="AG6901">
        <v>-1.104699403798</v>
      </c>
      <c r="AH6901">
        <v>14.836972682634</v>
      </c>
      <c r="AI6901">
        <v>94.084861553478802</v>
      </c>
      <c r="AJ6901">
        <v>73.569464152081096</v>
      </c>
      <c r="AK6901">
        <v>15.5080568139976</v>
      </c>
      <c r="AL6901">
        <v>93.350465985299493</v>
      </c>
      <c r="AM6901">
        <v>82.992848862067902</v>
      </c>
      <c r="AN6901">
        <v>0.99999997268390195</v>
      </c>
    </row>
    <row r="6902" spans="1:40" x14ac:dyDescent="0.25">
      <c r="A6902" t="str">
        <f>"20190305135408318"</f>
        <v>20190305135408318</v>
      </c>
      <c r="B6902" t="str">
        <f>"1551765248306676"</f>
        <v>1551765248306676</v>
      </c>
      <c r="C6902" t="s">
        <v>40</v>
      </c>
      <c r="D6902">
        <v>4.5767360000000004</v>
      </c>
      <c r="E6902">
        <v>0.56320139999999996</v>
      </c>
      <c r="F6902" t="s">
        <v>42</v>
      </c>
      <c r="G6902">
        <v>-147.26769999999999</v>
      </c>
      <c r="H6902" s="1">
        <v>-1.803324E-6</v>
      </c>
      <c r="I6902">
        <v>136.2809</v>
      </c>
      <c r="J6902">
        <v>-163.6832</v>
      </c>
      <c r="K6902">
        <v>1.1045229999999999</v>
      </c>
      <c r="L6902">
        <v>136.66579999999999</v>
      </c>
      <c r="M6902">
        <v>0.96474590000000005</v>
      </c>
      <c r="N6902">
        <v>6.5618800000000004E-4</v>
      </c>
      <c r="O6902">
        <v>0.26318229999999998</v>
      </c>
      <c r="P6902">
        <v>0.98847399999999996</v>
      </c>
      <c r="Q6902">
        <v>-5.6607780000000003E-2</v>
      </c>
      <c r="R6902">
        <v>0.1404089</v>
      </c>
      <c r="S6902">
        <v>3.0348359999999999</v>
      </c>
      <c r="T6902">
        <v>-0.20107939999999999</v>
      </c>
      <c r="U6902">
        <v>-5.781555E-2</v>
      </c>
      <c r="V6902">
        <v>0.12428450000000001</v>
      </c>
      <c r="W6902">
        <v>-5.8132589999999998E-2</v>
      </c>
      <c r="X6902">
        <v>0.99054219999999904</v>
      </c>
      <c r="Y6902">
        <v>0.28032240000000003</v>
      </c>
      <c r="Z6902">
        <v>-2.662902E-2</v>
      </c>
      <c r="AA6902">
        <v>0.95953650000000001</v>
      </c>
      <c r="AB6902">
        <v>27</v>
      </c>
      <c r="AC6902">
        <v>16.415500000000002</v>
      </c>
      <c r="AD6902">
        <v>-1.1045248033239901</v>
      </c>
      <c r="AE6902">
        <v>-0.38489999999998697</v>
      </c>
      <c r="AF6902">
        <v>4.6704675835880298</v>
      </c>
      <c r="AG6902">
        <v>-1.1045248033239901</v>
      </c>
      <c r="AH6902">
        <v>15.6646108149461</v>
      </c>
      <c r="AI6902">
        <v>93.865677751658694</v>
      </c>
      <c r="AJ6902">
        <v>73.397835802916802</v>
      </c>
      <c r="AK6902">
        <v>16.383323059569801</v>
      </c>
      <c r="AL6902">
        <v>93.332631099214595</v>
      </c>
      <c r="AM6902">
        <v>82.848403826186299</v>
      </c>
      <c r="AN6902">
        <v>0.99999994247059698</v>
      </c>
    </row>
    <row r="6903" spans="1:40" x14ac:dyDescent="0.25">
      <c r="A6903" t="str">
        <f>"20190305135408340"</f>
        <v>20190305135408340</v>
      </c>
      <c r="B6903" t="str">
        <f>"1551765248336932"</f>
        <v>1551765248336932</v>
      </c>
      <c r="C6903" t="s">
        <v>40</v>
      </c>
      <c r="D6903">
        <v>4.5879349999999999</v>
      </c>
      <c r="E6903">
        <v>0.56399270000000001</v>
      </c>
      <c r="F6903" t="s">
        <v>42</v>
      </c>
      <c r="G6903">
        <v>-145.4187</v>
      </c>
      <c r="H6903" s="1">
        <v>-2.557282E-6</v>
      </c>
      <c r="I6903">
        <v>136.17949999999999</v>
      </c>
      <c r="J6903">
        <v>-163.41390000000001</v>
      </c>
      <c r="K6903">
        <v>1.1043149999999999</v>
      </c>
      <c r="L6903">
        <v>136.7346</v>
      </c>
      <c r="M6903">
        <v>0.96585379999999998</v>
      </c>
      <c r="N6903">
        <v>1.7736130000000001E-4</v>
      </c>
      <c r="O6903">
        <v>0.25908779999999998</v>
      </c>
      <c r="P6903">
        <v>0.98923830000000001</v>
      </c>
      <c r="Q6903">
        <v>-5.819063E-2</v>
      </c>
      <c r="R6903">
        <v>0.13424420000000001</v>
      </c>
      <c r="S6903">
        <v>3.0359799999999999</v>
      </c>
      <c r="T6903">
        <v>-0.18359719999999999</v>
      </c>
      <c r="U6903">
        <v>-8.0825809999999998E-2</v>
      </c>
      <c r="V6903">
        <v>0.12618599999999999</v>
      </c>
      <c r="W6903">
        <v>-5.9339990000000002E-2</v>
      </c>
      <c r="X6903">
        <v>0.99023019999999995</v>
      </c>
      <c r="Y6903">
        <v>0.28371479999999999</v>
      </c>
      <c r="Z6903">
        <v>-2.4118790000000001E-2</v>
      </c>
      <c r="AA6903">
        <v>0.95860529999999999</v>
      </c>
      <c r="AB6903">
        <v>27</v>
      </c>
      <c r="AC6903">
        <v>17.995200000000001</v>
      </c>
      <c r="AD6903">
        <v>-1.1043175572820001</v>
      </c>
      <c r="AE6903">
        <v>-0.55510000000001003</v>
      </c>
      <c r="AF6903">
        <v>5.1789967861625996</v>
      </c>
      <c r="AG6903">
        <v>-1.1043175572820001</v>
      </c>
      <c r="AH6903">
        <v>17.172303657437698</v>
      </c>
      <c r="AI6903">
        <v>93.523193121849104</v>
      </c>
      <c r="AJ6903">
        <v>73.217208858038802</v>
      </c>
      <c r="AK6903">
        <v>17.9702403401193</v>
      </c>
      <c r="AL6903">
        <v>93.401929494386494</v>
      </c>
      <c r="AM6903">
        <v>82.737883157457802</v>
      </c>
      <c r="AN6903">
        <v>0.99999999500061998</v>
      </c>
    </row>
    <row r="6904" spans="1:40" x14ac:dyDescent="0.25">
      <c r="A6904" t="str">
        <f>"20190305135408365"</f>
        <v>20190305135408365</v>
      </c>
      <c r="B6904" t="str">
        <f>"1551765248357427"</f>
        <v>1551765248357427</v>
      </c>
      <c r="C6904" t="s">
        <v>40</v>
      </c>
      <c r="D6904">
        <v>4.640574</v>
      </c>
      <c r="E6904">
        <v>0.56412259999999903</v>
      </c>
      <c r="F6904" t="s">
        <v>42</v>
      </c>
      <c r="G6904">
        <v>-143.7911</v>
      </c>
      <c r="H6904" s="1">
        <v>-3.2767840000000001E-6</v>
      </c>
      <c r="I6904">
        <v>136.05969999999999</v>
      </c>
      <c r="J6904">
        <v>-163.12909999999999</v>
      </c>
      <c r="K6904">
        <v>1.1040760000000001</v>
      </c>
      <c r="L6904">
        <v>136.8056</v>
      </c>
      <c r="M6904">
        <v>0.96710759999999996</v>
      </c>
      <c r="N6904">
        <v>-4.586382E-4</v>
      </c>
      <c r="O6904">
        <v>0.25436720000000002</v>
      </c>
      <c r="P6904">
        <v>0.98972990000000005</v>
      </c>
      <c r="Q6904">
        <v>-6.2147359999999999E-2</v>
      </c>
      <c r="R6904">
        <v>0.12873389999999901</v>
      </c>
      <c r="S6904">
        <v>3.0367579999999998</v>
      </c>
      <c r="T6904">
        <v>-0.1709001</v>
      </c>
      <c r="U6904">
        <v>-0.10444639999999999</v>
      </c>
      <c r="V6904">
        <v>0.1267257</v>
      </c>
      <c r="W6904">
        <v>-6.2773850000000006E-2</v>
      </c>
      <c r="X6904">
        <v>0.98994950000000004</v>
      </c>
      <c r="Y6904">
        <v>0.2866127</v>
      </c>
      <c r="Z6904">
        <v>-2.2200060000000001E-2</v>
      </c>
      <c r="AA6904">
        <v>0.95778929999999995</v>
      </c>
      <c r="AB6904">
        <v>27</v>
      </c>
      <c r="AC6904">
        <v>19.337999999999901</v>
      </c>
      <c r="AD6904">
        <v>-1.104079276784</v>
      </c>
      <c r="AE6904">
        <v>-0.745900000000006</v>
      </c>
      <c r="AF6904">
        <v>5.6220202210007297</v>
      </c>
      <c r="AG6904">
        <v>-1.104079276784</v>
      </c>
      <c r="AH6904">
        <v>18.452137242579798</v>
      </c>
      <c r="AI6904">
        <v>93.275866460043602</v>
      </c>
      <c r="AJ6904">
        <v>73.055004356598303</v>
      </c>
      <c r="AK6904">
        <v>19.321166404587601</v>
      </c>
      <c r="AL6904">
        <v>93.599043069192206</v>
      </c>
      <c r="AM6904">
        <v>82.705111019652094</v>
      </c>
      <c r="AN6904">
        <v>0.99999998591728101</v>
      </c>
    </row>
    <row r="6905" spans="1:40" x14ac:dyDescent="0.25">
      <c r="A6905" t="str">
        <f>"20190305135408384"</f>
        <v>20190305135408384</v>
      </c>
      <c r="B6905" t="str">
        <f>"1551765248376947"</f>
        <v>1551765248376947</v>
      </c>
      <c r="C6905" t="s">
        <v>40</v>
      </c>
      <c r="D6905">
        <v>4.6318580000000003</v>
      </c>
      <c r="E6905">
        <v>0.56381769999999998</v>
      </c>
      <c r="F6905" t="s">
        <v>42</v>
      </c>
      <c r="G6905">
        <v>-144.26439999999999</v>
      </c>
      <c r="H6905" s="1">
        <v>-3.0758389999999999E-6</v>
      </c>
      <c r="I6905">
        <v>136.0478</v>
      </c>
      <c r="J6905">
        <v>-162.87569999999999</v>
      </c>
      <c r="K6905">
        <v>1.103845</v>
      </c>
      <c r="L6905">
        <v>136.86709999999999</v>
      </c>
      <c r="M6905">
        <v>0.96831149999999999</v>
      </c>
      <c r="N6905">
        <v>-1.0966389999999999E-3</v>
      </c>
      <c r="O6905">
        <v>0.2497434</v>
      </c>
      <c r="P6905">
        <v>0.99006870000000002</v>
      </c>
      <c r="Q6905">
        <v>-6.8015019999999995E-2</v>
      </c>
      <c r="R6905">
        <v>0.1230373</v>
      </c>
      <c r="S6905">
        <v>3.0358429999999998</v>
      </c>
      <c r="T6905">
        <v>-0.17767569999999999</v>
      </c>
      <c r="U6905">
        <v>-0.12194820000000001</v>
      </c>
      <c r="V6905">
        <v>0.1274988</v>
      </c>
      <c r="W6905">
        <v>-6.8114679999999997E-2</v>
      </c>
      <c r="X6905">
        <v>0.98949710000000002</v>
      </c>
      <c r="Y6905">
        <v>0.28750110000000001</v>
      </c>
      <c r="Z6905">
        <v>-2.2783850000000001E-2</v>
      </c>
      <c r="AA6905">
        <v>0.95750930000000001</v>
      </c>
      <c r="AB6905">
        <v>27</v>
      </c>
      <c r="AC6905">
        <v>18.6113</v>
      </c>
      <c r="AD6905">
        <v>-1.1038480758389999</v>
      </c>
      <c r="AE6905">
        <v>-0.81929999999999803</v>
      </c>
      <c r="AF6905">
        <v>5.4223522757387999</v>
      </c>
      <c r="AG6905">
        <v>-1.1038480758389999</v>
      </c>
      <c r="AH6905">
        <v>17.754595153848001</v>
      </c>
      <c r="AI6905">
        <v>93.402874124992906</v>
      </c>
      <c r="AJ6905">
        <v>73.017036693164897</v>
      </c>
      <c r="AK6905">
        <v>18.596936141574101</v>
      </c>
      <c r="AL6905">
        <v>93.905707700255704</v>
      </c>
      <c r="AM6905">
        <v>82.657772943892695</v>
      </c>
      <c r="AN6905">
        <v>1.0000000322706699</v>
      </c>
    </row>
    <row r="6906" spans="1:40" x14ac:dyDescent="0.25">
      <c r="A6906" t="str">
        <f>"20190305135408408"</f>
        <v>20190305135408408</v>
      </c>
      <c r="B6906" t="str">
        <f>"1551765248397444"</f>
        <v>1551765248397444</v>
      </c>
      <c r="C6906" t="s">
        <v>40</v>
      </c>
      <c r="D6906">
        <v>4.6526800000000001</v>
      </c>
      <c r="E6906">
        <v>0.56344899999999998</v>
      </c>
      <c r="F6906" t="s">
        <v>42</v>
      </c>
      <c r="G6906">
        <v>-145.78559999999999</v>
      </c>
      <c r="H6906" s="1">
        <v>-2.4149259999999998E-6</v>
      </c>
      <c r="I6906">
        <v>136.09479999999999</v>
      </c>
      <c r="J6906">
        <v>-162.60740000000001</v>
      </c>
      <c r="K6906">
        <v>1.1036060000000001</v>
      </c>
      <c r="L6906">
        <v>136.93010000000001</v>
      </c>
      <c r="M6906">
        <v>0.9696863</v>
      </c>
      <c r="N6906">
        <v>-1.789356E-3</v>
      </c>
      <c r="O6906">
        <v>0.2443466</v>
      </c>
      <c r="P6906">
        <v>0.99056670000000002</v>
      </c>
      <c r="Q6906">
        <v>-7.2992440000000006E-2</v>
      </c>
      <c r="R6906">
        <v>0.1159738</v>
      </c>
      <c r="S6906">
        <v>3.0336910000000001</v>
      </c>
      <c r="T6906">
        <v>-0.19594439999999999</v>
      </c>
      <c r="U6906">
        <v>-0.13706969999999999</v>
      </c>
      <c r="V6906">
        <v>0.12885739999999901</v>
      </c>
      <c r="W6906">
        <v>-7.2528120000000001E-2</v>
      </c>
      <c r="X6906">
        <v>0.98900730000000003</v>
      </c>
      <c r="Y6906">
        <v>0.28677789999999997</v>
      </c>
      <c r="Z6906">
        <v>-2.4722890000000001E-2</v>
      </c>
      <c r="AA6906">
        <v>0.95767800000000003</v>
      </c>
      <c r="AB6906">
        <v>27</v>
      </c>
      <c r="AC6906">
        <v>16.8218</v>
      </c>
      <c r="AD6906">
        <v>-1.1036084149259999</v>
      </c>
      <c r="AE6906">
        <v>-0.83530000000001703</v>
      </c>
      <c r="AF6906">
        <v>4.8993011731544502</v>
      </c>
      <c r="AG6906">
        <v>-1.1036084149259999</v>
      </c>
      <c r="AH6906">
        <v>16.038928421823801</v>
      </c>
      <c r="AI6906">
        <v>93.765003202976899</v>
      </c>
      <c r="AJ6906">
        <v>73.014020568900307</v>
      </c>
      <c r="AK6906">
        <v>16.806794115450899</v>
      </c>
      <c r="AL6906">
        <v>94.159207093143394</v>
      </c>
      <c r="AM6906">
        <v>82.576769412731494</v>
      </c>
      <c r="AN6906">
        <v>0.99999999858939204</v>
      </c>
    </row>
    <row r="6907" spans="1:40" x14ac:dyDescent="0.25">
      <c r="A6907" t="str">
        <f>"20190305135408429"</f>
        <v>20190305135408429</v>
      </c>
      <c r="B6907" t="str">
        <f>"1551765248426724"</f>
        <v>1551765248426724</v>
      </c>
      <c r="C6907" t="s">
        <v>40</v>
      </c>
      <c r="D6907">
        <v>4.7096099999999996</v>
      </c>
      <c r="E6907">
        <v>0.56308849999999999</v>
      </c>
      <c r="F6907" t="s">
        <v>42</v>
      </c>
      <c r="G6907">
        <v>-146.82929999999999</v>
      </c>
      <c r="H6907" s="1">
        <v>-1.9955580000000001E-6</v>
      </c>
      <c r="I6907">
        <v>136.1191</v>
      </c>
      <c r="J6907">
        <v>-162.34110000000001</v>
      </c>
      <c r="K6907">
        <v>1.103361</v>
      </c>
      <c r="L6907">
        <v>136.9907</v>
      </c>
      <c r="M6907">
        <v>0.97113720000000003</v>
      </c>
      <c r="N6907">
        <v>-2.4581210000000002E-3</v>
      </c>
      <c r="O6907">
        <v>0.2385089</v>
      </c>
      <c r="P6907">
        <v>0.99122140000000003</v>
      </c>
      <c r="Q6907">
        <v>-7.4358899999999895E-2</v>
      </c>
      <c r="R6907">
        <v>0.10931970000000001</v>
      </c>
      <c r="S6907">
        <v>3.0312039999999998</v>
      </c>
      <c r="T6907">
        <v>-0.21201800000000001</v>
      </c>
      <c r="U6907">
        <v>-0.15579219999999999</v>
      </c>
      <c r="V6907">
        <v>0.12945670000000001</v>
      </c>
      <c r="W6907">
        <v>-7.3348410000000003E-2</v>
      </c>
      <c r="X6907">
        <v>0.98886850000000004</v>
      </c>
      <c r="Y6907">
        <v>0.2867827</v>
      </c>
      <c r="Z6907">
        <v>-2.6329979999999999E-2</v>
      </c>
      <c r="AA6907">
        <v>0.95763379999999998</v>
      </c>
      <c r="AB6907">
        <v>28</v>
      </c>
      <c r="AC6907">
        <v>15.511799999999999</v>
      </c>
      <c r="AD6907">
        <v>-1.103362995558</v>
      </c>
      <c r="AE6907">
        <v>-0.87160000000000004</v>
      </c>
      <c r="AF6907">
        <v>4.5233451858514497</v>
      </c>
      <c r="AG6907">
        <v>-1.103362995558</v>
      </c>
      <c r="AH6907">
        <v>14.781693128143999</v>
      </c>
      <c r="AI6907">
        <v>94.082661335032498</v>
      </c>
      <c r="AJ6907">
        <v>72.985367972900903</v>
      </c>
      <c r="AK6907">
        <v>15.497629280149701</v>
      </c>
      <c r="AL6907">
        <v>94.2063318954972</v>
      </c>
      <c r="AM6907">
        <v>82.541597631147397</v>
      </c>
      <c r="AN6907">
        <v>0.99999996835833305</v>
      </c>
    </row>
    <row r="6908" spans="1:40" x14ac:dyDescent="0.25">
      <c r="A6908" t="str">
        <f>"20190305135408453"</f>
        <v>20190305135408453</v>
      </c>
      <c r="B6908" t="str">
        <f>"1551765248447219"</f>
        <v>1551765248447219</v>
      </c>
      <c r="C6908" t="s">
        <v>40</v>
      </c>
      <c r="D6908">
        <v>4.6696660000000003</v>
      </c>
      <c r="E6908">
        <v>0.5626833</v>
      </c>
      <c r="F6908" t="s">
        <v>42</v>
      </c>
      <c r="G6908">
        <v>-146.64529999999999</v>
      </c>
      <c r="H6908" s="1">
        <v>-2.0646110000000002E-6</v>
      </c>
      <c r="I6908">
        <v>136.09479999999999</v>
      </c>
      <c r="J6908">
        <v>-162.06030000000001</v>
      </c>
      <c r="K6908">
        <v>1.1031249999999999</v>
      </c>
      <c r="L6908">
        <v>137.0523</v>
      </c>
      <c r="M6908">
        <v>0.97272979999999998</v>
      </c>
      <c r="N6908">
        <v>-3.1223039999999998E-3</v>
      </c>
      <c r="O6908">
        <v>0.2319205</v>
      </c>
      <c r="P6908">
        <v>0.99199800000000005</v>
      </c>
      <c r="Q6908">
        <v>-7.127377E-2</v>
      </c>
      <c r="R6908">
        <v>0.10421320000000001</v>
      </c>
      <c r="S6908">
        <v>3.0296630000000002</v>
      </c>
      <c r="T6908">
        <v>-0.2129759</v>
      </c>
      <c r="U6908">
        <v>-0.1729126</v>
      </c>
      <c r="V6908">
        <v>0.12788389999999999</v>
      </c>
      <c r="W6908">
        <v>-6.9692359999999995E-2</v>
      </c>
      <c r="X6908">
        <v>0.98933749999999998</v>
      </c>
      <c r="Y6908">
        <v>0.28572069999999999</v>
      </c>
      <c r="Z6908">
        <v>-2.5927019999999999E-2</v>
      </c>
      <c r="AA6908">
        <v>0.95796219999999999</v>
      </c>
      <c r="AB6908">
        <v>28</v>
      </c>
      <c r="AC6908">
        <v>15.414999999999999</v>
      </c>
      <c r="AD6908">
        <v>-1.1031270646110001</v>
      </c>
      <c r="AE6908">
        <v>-0.95750000000001001</v>
      </c>
      <c r="AF6908">
        <v>4.4835922463273503</v>
      </c>
      <c r="AG6908">
        <v>-1.1031270646110001</v>
      </c>
      <c r="AH6908">
        <v>14.6976580079362</v>
      </c>
      <c r="AI6908">
        <v>94.106141730608996</v>
      </c>
      <c r="AJ6908">
        <v>73.035417568629896</v>
      </c>
      <c r="AK6908">
        <v>15.4058638079874</v>
      </c>
      <c r="AL6908">
        <v>93.996317579478102</v>
      </c>
      <c r="AM6908">
        <v>82.634664454305394</v>
      </c>
      <c r="AN6908">
        <v>1.00000000291391</v>
      </c>
    </row>
    <row r="6909" spans="1:40" x14ac:dyDescent="0.25">
      <c r="A6909" t="str">
        <f>"20190305135408474"</f>
        <v>20190305135408474</v>
      </c>
      <c r="B6909" t="str">
        <f>"1551765248466740"</f>
        <v>1551765248466740</v>
      </c>
      <c r="C6909" t="s">
        <v>40</v>
      </c>
      <c r="D6909">
        <v>5.8541460000000001</v>
      </c>
      <c r="E6909">
        <v>0.5624654</v>
      </c>
      <c r="F6909" t="s">
        <v>42</v>
      </c>
      <c r="G6909">
        <v>-145.42939999999999</v>
      </c>
      <c r="H6909" s="1">
        <v>-2.5781459999999999E-6</v>
      </c>
      <c r="I6909">
        <v>136.0359</v>
      </c>
      <c r="J6909">
        <v>-161.7895</v>
      </c>
      <c r="K6909">
        <v>1.1028979999999999</v>
      </c>
      <c r="L6909">
        <v>137.10939999999999</v>
      </c>
      <c r="M6909">
        <v>0.97431270000000003</v>
      </c>
      <c r="N6909">
        <v>-3.737673E-3</v>
      </c>
      <c r="O6909">
        <v>0.2251687</v>
      </c>
      <c r="P6909">
        <v>0.99267260000000002</v>
      </c>
      <c r="Q6909">
        <v>-6.7504990000000001E-2</v>
      </c>
      <c r="R6909">
        <v>0.1002212</v>
      </c>
      <c r="S6909">
        <v>3.029236</v>
      </c>
      <c r="T6909">
        <v>-0.20092989999999999</v>
      </c>
      <c r="U6909">
        <v>-0.1851196</v>
      </c>
      <c r="V6909">
        <v>0.1250648</v>
      </c>
      <c r="W6909">
        <v>-6.5374929999999998E-2</v>
      </c>
      <c r="X6909">
        <v>0.98999239999999999</v>
      </c>
      <c r="Y6909">
        <v>0.28309099999999998</v>
      </c>
      <c r="Z6909">
        <v>-2.3889770000000001E-2</v>
      </c>
      <c r="AA6909">
        <v>0.95879550000000002</v>
      </c>
      <c r="AB6909">
        <v>28</v>
      </c>
      <c r="AC6909">
        <v>16.360099999999999</v>
      </c>
      <c r="AD6909">
        <v>-1.102900578146</v>
      </c>
      <c r="AE6909">
        <v>-1.0734999999999899</v>
      </c>
      <c r="AF6909">
        <v>4.7084333494630801</v>
      </c>
      <c r="AG6909">
        <v>-1.102900578146</v>
      </c>
      <c r="AH6909">
        <v>15.627525854170701</v>
      </c>
      <c r="AI6909">
        <v>93.865816219731002</v>
      </c>
      <c r="AJ6909">
        <v>73.232917032988198</v>
      </c>
      <c r="AK6909">
        <v>16.3586459896406</v>
      </c>
      <c r="AL6909">
        <v>93.748380767059999</v>
      </c>
      <c r="AM6909">
        <v>82.800018488742495</v>
      </c>
      <c r="AN6909">
        <v>1.0000000188646501</v>
      </c>
    </row>
    <row r="6910" spans="1:40" x14ac:dyDescent="0.25">
      <c r="A6910" t="str">
        <f>"20190305135408496"</f>
        <v>20190305135408496</v>
      </c>
      <c r="B6910" t="str">
        <f>"1551765248487235"</f>
        <v>1551765248487235</v>
      </c>
      <c r="C6910" t="s">
        <v>40</v>
      </c>
      <c r="D6910">
        <v>4.6624119999999998</v>
      </c>
      <c r="E6910">
        <v>0.56230780000000002</v>
      </c>
      <c r="F6910" t="s">
        <v>42</v>
      </c>
      <c r="G6910">
        <v>-143.5514</v>
      </c>
      <c r="H6910" s="1">
        <v>-3.4017209999999999E-6</v>
      </c>
      <c r="I6910">
        <v>135.9349</v>
      </c>
      <c r="J6910">
        <v>-161.52260000000001</v>
      </c>
      <c r="K6910">
        <v>1.102684</v>
      </c>
      <c r="L6910">
        <v>137.1635</v>
      </c>
      <c r="M6910">
        <v>0.97591000000000006</v>
      </c>
      <c r="N6910">
        <v>-4.3875429999999998E-3</v>
      </c>
      <c r="O6910">
        <v>0.2181293</v>
      </c>
      <c r="P6910">
        <v>0.99322619999999895</v>
      </c>
      <c r="Q6910">
        <v>-6.4581970000000002E-2</v>
      </c>
      <c r="R6910">
        <v>9.6596749999999995E-2</v>
      </c>
      <c r="S6910">
        <v>3.029388</v>
      </c>
      <c r="T6910">
        <v>-0.18319440000000001</v>
      </c>
      <c r="U6910">
        <v>-0.1950836</v>
      </c>
      <c r="V6910">
        <v>0.1215719</v>
      </c>
      <c r="W6910">
        <v>-6.1856969999999997E-2</v>
      </c>
      <c r="X6910">
        <v>0.99065329999999996</v>
      </c>
      <c r="Y6910">
        <v>0.27951209999999999</v>
      </c>
      <c r="Z6910">
        <v>-2.119799E-2</v>
      </c>
      <c r="AA6910">
        <v>0.95990810000000004</v>
      </c>
      <c r="AB6910">
        <v>28</v>
      </c>
      <c r="AC6910">
        <v>17.9712</v>
      </c>
      <c r="AD6910">
        <v>-1.102687401721</v>
      </c>
      <c r="AE6910">
        <v>-1.2285999999999999</v>
      </c>
      <c r="AF6910">
        <v>5.0999861588845397</v>
      </c>
      <c r="AG6910">
        <v>-1.102687401721</v>
      </c>
      <c r="AH6910">
        <v>17.2059696343157</v>
      </c>
      <c r="AI6910">
        <v>93.516124029644303</v>
      </c>
      <c r="AJ6910">
        <v>73.489757897912298</v>
      </c>
      <c r="AK6910">
        <v>17.979743306947501</v>
      </c>
      <c r="AL6910">
        <v>93.546407414178006</v>
      </c>
      <c r="AM6910">
        <v>83.003705292966302</v>
      </c>
      <c r="AN6910">
        <v>0.99999998620403996</v>
      </c>
    </row>
    <row r="6911" spans="1:40" x14ac:dyDescent="0.25">
      <c r="A6911" t="str">
        <f>"20190305135408518"</f>
        <v>20190305135408518</v>
      </c>
      <c r="B6911" t="str">
        <f>"1551765248506756"</f>
        <v>1551765248506756</v>
      </c>
      <c r="C6911" t="s">
        <v>40</v>
      </c>
      <c r="D6911">
        <v>4.6863469999999996</v>
      </c>
      <c r="E6911">
        <v>0.56207659999999904</v>
      </c>
      <c r="F6911" t="s">
        <v>42</v>
      </c>
      <c r="G6911">
        <v>-141.70740000000001</v>
      </c>
      <c r="H6911" s="1">
        <v>-4.2121540000000001E-6</v>
      </c>
      <c r="I6911">
        <v>135.82589999999999</v>
      </c>
      <c r="J6911">
        <v>-161.24350000000001</v>
      </c>
      <c r="K6911">
        <v>1.1024799999999999</v>
      </c>
      <c r="L6911">
        <v>137.21729999999999</v>
      </c>
      <c r="M6911">
        <v>0.97760780000000003</v>
      </c>
      <c r="N6911">
        <v>-5.2038350000000004E-3</v>
      </c>
      <c r="O6911">
        <v>0.21037110000000001</v>
      </c>
      <c r="P6911">
        <v>0.99364710000000001</v>
      </c>
      <c r="Q6911">
        <v>-6.3711429999999999E-2</v>
      </c>
      <c r="R6911">
        <v>9.2773120000000001E-2</v>
      </c>
      <c r="S6911">
        <v>3.029388</v>
      </c>
      <c r="T6911">
        <v>-0.1685808</v>
      </c>
      <c r="U6911">
        <v>-0.204483</v>
      </c>
      <c r="V6911">
        <v>0.1175007</v>
      </c>
      <c r="W6911">
        <v>-6.0221070000000002E-2</v>
      </c>
      <c r="X6911">
        <v>0.99124520000000005</v>
      </c>
      <c r="Y6911">
        <v>0.27500760000000002</v>
      </c>
      <c r="Z6911">
        <v>-1.8896389999999999E-2</v>
      </c>
      <c r="AA6911">
        <v>0.96125629999999995</v>
      </c>
      <c r="AB6911">
        <v>28</v>
      </c>
      <c r="AC6911">
        <v>19.536100000000001</v>
      </c>
      <c r="AD6911">
        <v>-1.1024842121539999</v>
      </c>
      <c r="AE6911">
        <v>-1.3914</v>
      </c>
      <c r="AF6911">
        <v>5.4528700286208798</v>
      </c>
      <c r="AG6911">
        <v>-1.1024842121539999</v>
      </c>
      <c r="AH6911">
        <v>18.746785544798399</v>
      </c>
      <c r="AI6911">
        <v>93.232000303448899</v>
      </c>
      <c r="AJ6911">
        <v>73.781892399834703</v>
      </c>
      <c r="AK6911">
        <v>19.5548262904517</v>
      </c>
      <c r="AL6911">
        <v>93.452502025093807</v>
      </c>
      <c r="AM6911">
        <v>83.239790970716101</v>
      </c>
      <c r="AN6911">
        <v>1.0000000191477301</v>
      </c>
    </row>
    <row r="6912" spans="1:40" x14ac:dyDescent="0.25">
      <c r="A6912" t="str">
        <f>"20190305135408540"</f>
        <v>20190305135408540</v>
      </c>
      <c r="B6912" t="str">
        <f>"1551765248537012"</f>
        <v>1551765248537012</v>
      </c>
      <c r="C6912" t="s">
        <v>40</v>
      </c>
      <c r="D6912">
        <v>4.6842990000000002</v>
      </c>
      <c r="E6912">
        <v>0.56190989999999996</v>
      </c>
      <c r="F6912" t="s">
        <v>42</v>
      </c>
      <c r="G6912">
        <v>-140.6037</v>
      </c>
      <c r="H6912" s="1">
        <v>-4.6972279999999996E-6</v>
      </c>
      <c r="I6912">
        <v>135.76060000000001</v>
      </c>
      <c r="J6912">
        <v>-160.97020000000001</v>
      </c>
      <c r="K6912">
        <v>1.102298</v>
      </c>
      <c r="L6912">
        <v>137.26730000000001</v>
      </c>
      <c r="M6912">
        <v>0.97929330000000003</v>
      </c>
      <c r="N6912">
        <v>-6.1453159999999996E-3</v>
      </c>
      <c r="O6912">
        <v>0.2023537</v>
      </c>
      <c r="P6912">
        <v>0.99383779999999999</v>
      </c>
      <c r="Q6912">
        <v>-6.4369399999999993E-2</v>
      </c>
      <c r="R6912">
        <v>9.024008E-2</v>
      </c>
      <c r="S6912">
        <v>3.0287630000000001</v>
      </c>
      <c r="T6912">
        <v>-0.16178229999999999</v>
      </c>
      <c r="U6912">
        <v>-0.21376039999999999</v>
      </c>
      <c r="V6912">
        <v>0.11185199999999999</v>
      </c>
      <c r="W6912">
        <v>-5.9956599999999999E-2</v>
      </c>
      <c r="X6912">
        <v>0.99191450000000003</v>
      </c>
      <c r="Y6912">
        <v>0.27014939999999998</v>
      </c>
      <c r="Z6912">
        <v>-1.7537819999999999E-2</v>
      </c>
      <c r="AA6912">
        <v>0.96265869999999998</v>
      </c>
      <c r="AB6912">
        <v>28</v>
      </c>
      <c r="AC6912">
        <v>20.366499999999998</v>
      </c>
      <c r="AD6912">
        <v>-1.1023026972279999</v>
      </c>
      <c r="AE6912">
        <v>-1.5066999999999899</v>
      </c>
      <c r="AF6912">
        <v>5.5805846864717497</v>
      </c>
      <c r="AG6912">
        <v>-1.1023026972279999</v>
      </c>
      <c r="AH6912">
        <v>19.583206531316499</v>
      </c>
      <c r="AI6912">
        <v>93.098572462906702</v>
      </c>
      <c r="AJ6912">
        <v>74.094150611546695</v>
      </c>
      <c r="AK6912">
        <v>20.392645113555002</v>
      </c>
      <c r="AL6912">
        <v>93.437321578594293</v>
      </c>
      <c r="AM6912">
        <v>83.566290739187806</v>
      </c>
      <c r="AN6912">
        <v>1.0000000195489001</v>
      </c>
    </row>
    <row r="6913" spans="1:40" x14ac:dyDescent="0.25">
      <c r="A6913" t="str">
        <f>"20190305135408564"</f>
        <v>20190305135408564</v>
      </c>
      <c r="B6913" t="str">
        <f>"1551765248556535"</f>
        <v>1551765248556535</v>
      </c>
      <c r="C6913" t="s">
        <v>40</v>
      </c>
      <c r="D6913">
        <v>4.8651140000000002</v>
      </c>
      <c r="E6913">
        <v>0.5613184</v>
      </c>
      <c r="F6913" t="s">
        <v>42</v>
      </c>
      <c r="G6913">
        <v>-140.1456</v>
      </c>
      <c r="H6913" s="1">
        <v>-4.894658E-6</v>
      </c>
      <c r="I6913">
        <v>135.75550000000001</v>
      </c>
      <c r="J6913">
        <v>-160.6808</v>
      </c>
      <c r="K6913">
        <v>1.102104</v>
      </c>
      <c r="L6913">
        <v>137.31729999999999</v>
      </c>
      <c r="M6913">
        <v>0.981097</v>
      </c>
      <c r="N6913">
        <v>-7.2136550000000002E-3</v>
      </c>
      <c r="O6913">
        <v>0.19338240000000001</v>
      </c>
      <c r="P6913">
        <v>0.99407559999999995</v>
      </c>
      <c r="Q6913">
        <v>-6.4308980000000002E-2</v>
      </c>
      <c r="R6913">
        <v>8.7627159999999996E-2</v>
      </c>
      <c r="S6913">
        <v>3.0281829999999998</v>
      </c>
      <c r="T6913">
        <v>-0.16028919999999999</v>
      </c>
      <c r="U6913">
        <v>-0.21983340000000001</v>
      </c>
      <c r="V6913">
        <v>0.1053491</v>
      </c>
      <c r="W6913">
        <v>-5.8827119999999997E-2</v>
      </c>
      <c r="X6913">
        <v>0.99269379999999996</v>
      </c>
      <c r="Y6913">
        <v>0.26330140000000002</v>
      </c>
      <c r="Z6913">
        <v>-1.6694629999999998E-2</v>
      </c>
      <c r="AA6913">
        <v>0.96456920000000002</v>
      </c>
      <c r="AB6913">
        <v>28</v>
      </c>
      <c r="AC6913">
        <v>20.5352</v>
      </c>
      <c r="AD6913">
        <v>-1.102108894658</v>
      </c>
      <c r="AE6913">
        <v>-1.5617999999999701</v>
      </c>
      <c r="AF6913">
        <v>5.4878502050296802</v>
      </c>
      <c r="AG6913">
        <v>-1.102108894658</v>
      </c>
      <c r="AH6913">
        <v>19.788841963321101</v>
      </c>
      <c r="AI6913">
        <v>93.072000601981699</v>
      </c>
      <c r="AJ6913">
        <v>74.500218769934406</v>
      </c>
      <c r="AK6913">
        <v>20.565247631327601</v>
      </c>
      <c r="AL6913">
        <v>93.372492692463197</v>
      </c>
      <c r="AM6913">
        <v>83.942189893030303</v>
      </c>
      <c r="AN6913">
        <v>1.00000002173837</v>
      </c>
    </row>
    <row r="6914" spans="1:40" x14ac:dyDescent="0.25">
      <c r="A6914" t="str">
        <f>"20190305135408585"</f>
        <v>20190305135408585</v>
      </c>
      <c r="B6914" t="str">
        <f>"1551765248577030"</f>
        <v>1551765248577030</v>
      </c>
      <c r="C6914" t="s">
        <v>40</v>
      </c>
      <c r="D6914">
        <v>4.707236</v>
      </c>
      <c r="E6914">
        <v>0.53279600000000005</v>
      </c>
      <c r="F6914" t="s">
        <v>42</v>
      </c>
      <c r="G6914">
        <v>-139.89580000000001</v>
      </c>
      <c r="H6914" s="1">
        <v>-1.0409690000000001E-6</v>
      </c>
      <c r="I6914">
        <v>135.78479999999999</v>
      </c>
      <c r="J6914">
        <v>-160.41800000000001</v>
      </c>
      <c r="K6914">
        <v>1.1019270000000001</v>
      </c>
      <c r="L6914">
        <v>137.3596</v>
      </c>
      <c r="M6914">
        <v>0.98274119999999998</v>
      </c>
      <c r="N6914">
        <v>-8.1772779999999996E-3</v>
      </c>
      <c r="O6914">
        <v>0.18480569999999999</v>
      </c>
      <c r="P6914">
        <v>0.99439129999999998</v>
      </c>
      <c r="Q6914">
        <v>-6.2777139999999995E-2</v>
      </c>
      <c r="R6914">
        <v>8.5119100000000003E-2</v>
      </c>
      <c r="S6914">
        <v>3.0271759999999999</v>
      </c>
      <c r="T6914">
        <v>-0.160513299999999</v>
      </c>
      <c r="U6914">
        <v>-0.22319030000000001</v>
      </c>
      <c r="V6914">
        <v>9.9199670000000004E-2</v>
      </c>
      <c r="W6914">
        <v>-5.631241E-2</v>
      </c>
      <c r="X6914">
        <v>0.99347289999999999</v>
      </c>
      <c r="Y6914">
        <v>0.25597720000000002</v>
      </c>
      <c r="Z6914">
        <v>-1.6062340000000001E-2</v>
      </c>
      <c r="AA6914">
        <v>0.9665494</v>
      </c>
      <c r="AB6914">
        <v>28</v>
      </c>
      <c r="AC6914">
        <v>20.522200000000002</v>
      </c>
      <c r="AD6914">
        <v>-1.101928040969</v>
      </c>
      <c r="AE6914">
        <v>-1.57480000000001</v>
      </c>
      <c r="AF6914">
        <v>5.3251551416916501</v>
      </c>
      <c r="AG6914">
        <v>-1.101928040969</v>
      </c>
      <c r="AH6914">
        <v>19.820830479310899</v>
      </c>
      <c r="AI6914">
        <v>93.073287907545406</v>
      </c>
      <c r="AJ6914">
        <v>74.961763753910802</v>
      </c>
      <c r="AK6914">
        <v>20.553268440326899</v>
      </c>
      <c r="AL6914">
        <v>93.228170992987202</v>
      </c>
      <c r="AM6914">
        <v>84.297836265567497</v>
      </c>
      <c r="AN6914">
        <v>1.0000000325412599</v>
      </c>
    </row>
    <row r="6915" spans="1:40" x14ac:dyDescent="0.25">
      <c r="A6915" t="str">
        <f>"20190305135408608"</f>
        <v>20190305135408608</v>
      </c>
      <c r="B6915" t="str">
        <f>"1551765248596548"</f>
        <v>1551765248596548</v>
      </c>
      <c r="C6915" t="s">
        <v>40</v>
      </c>
      <c r="D6915">
        <v>4.9034370000000003</v>
      </c>
      <c r="E6915">
        <v>0.51595749999999996</v>
      </c>
      <c r="F6915" t="s">
        <v>42</v>
      </c>
      <c r="G6915">
        <v>-127.5279</v>
      </c>
      <c r="H6915" s="1">
        <v>-1.439218E-6</v>
      </c>
      <c r="I6915">
        <v>137.38159999999999</v>
      </c>
      <c r="J6915">
        <v>-160.14230000000001</v>
      </c>
      <c r="K6915">
        <v>1.101739</v>
      </c>
      <c r="L6915">
        <v>137.40090000000001</v>
      </c>
      <c r="M6915">
        <v>0.98444869999999995</v>
      </c>
      <c r="N6915">
        <v>-9.1328309999999992E-3</v>
      </c>
      <c r="O6915">
        <v>0.1754346</v>
      </c>
      <c r="P6915">
        <v>0.99501790000000001</v>
      </c>
      <c r="Q6915">
        <v>-6.1159850000000002E-2</v>
      </c>
      <c r="R6915">
        <v>7.8734289999999998E-2</v>
      </c>
      <c r="S6915">
        <v>3.0103909999999998</v>
      </c>
      <c r="T6915">
        <v>-0.1008582</v>
      </c>
      <c r="U6915">
        <v>2.0141600000000001E-3</v>
      </c>
      <c r="V6915">
        <v>9.6135419999999999E-2</v>
      </c>
      <c r="W6915">
        <v>-5.3762509999999999E-2</v>
      </c>
      <c r="X6915">
        <v>0.99391529999999995</v>
      </c>
      <c r="Y6915">
        <v>0.1746074</v>
      </c>
      <c r="Z6915">
        <v>-7.9665169999999993E-3</v>
      </c>
      <c r="AA6915">
        <v>0.98460590000000003</v>
      </c>
      <c r="AB6915">
        <v>28</v>
      </c>
      <c r="AC6915">
        <v>32.614400000000003</v>
      </c>
      <c r="AD6915">
        <v>-1.1017404392179999</v>
      </c>
      <c r="AE6915">
        <v>-1.9300000000015399E-2</v>
      </c>
      <c r="AF6915">
        <v>5.7343898946845204</v>
      </c>
      <c r="AG6915">
        <v>-1.1017404392179999</v>
      </c>
      <c r="AH6915">
        <v>32.068562760823099</v>
      </c>
      <c r="AI6915">
        <v>91.936967215798504</v>
      </c>
      <c r="AJ6915">
        <v>79.861718265012897</v>
      </c>
      <c r="AK6915">
        <v>32.595855212043702</v>
      </c>
      <c r="AL6915">
        <v>93.081850693592898</v>
      </c>
      <c r="AM6915">
        <v>84.475311540205396</v>
      </c>
      <c r="AN6915">
        <v>1.00000002501708</v>
      </c>
    </row>
    <row r="6916" spans="1:40" x14ac:dyDescent="0.25">
      <c r="A6916" t="str">
        <f>"20190305135408630"</f>
        <v>20190305135408630</v>
      </c>
      <c r="B6916" t="str">
        <f>"1551765248626804"</f>
        <v>1551765248626804</v>
      </c>
      <c r="C6916" t="s">
        <v>40</v>
      </c>
      <c r="D6916">
        <v>4.5782080000000001</v>
      </c>
      <c r="E6916">
        <v>0.51007570000000002</v>
      </c>
      <c r="F6916" t="s">
        <v>41</v>
      </c>
      <c r="G6916">
        <v>-159.20949999999999</v>
      </c>
      <c r="H6916">
        <v>0.99452640000000003</v>
      </c>
      <c r="I6916">
        <v>137.43039999999999</v>
      </c>
      <c r="J6916">
        <v>-159.86660000000001</v>
      </c>
      <c r="K6916">
        <v>1.101575</v>
      </c>
      <c r="L6916">
        <v>137.43899999999999</v>
      </c>
      <c r="M6916">
        <v>0.98611190000000004</v>
      </c>
      <c r="N6916">
        <v>-1.0010120000000001E-2</v>
      </c>
      <c r="O6916">
        <v>0.16578080000000001</v>
      </c>
      <c r="P6916">
        <v>0.99570639999999999</v>
      </c>
      <c r="Q6916">
        <v>-6.15623E-2</v>
      </c>
      <c r="R6916">
        <v>6.9129399999999994E-2</v>
      </c>
      <c r="S6916">
        <v>2.9864649999999999</v>
      </c>
      <c r="T6916">
        <v>-0.34296569999999998</v>
      </c>
      <c r="U6916">
        <v>9.4711299999999998E-2</v>
      </c>
      <c r="V6916">
        <v>9.5962119999999998E-2</v>
      </c>
      <c r="W6916">
        <v>-5.3347079999999998E-2</v>
      </c>
      <c r="X6916">
        <v>0.99395440000000002</v>
      </c>
      <c r="Y6916">
        <v>0.13260339999999901</v>
      </c>
      <c r="Z6916">
        <v>-2.5484949999999999E-2</v>
      </c>
      <c r="AA6916">
        <v>0.99084150000000004</v>
      </c>
      <c r="AB6916">
        <v>27</v>
      </c>
      <c r="AC6916">
        <v>0.65710000000001401</v>
      </c>
      <c r="AD6916">
        <v>-0.10704859999999899</v>
      </c>
      <c r="AE6916">
        <v>-8.6000000000012698E-3</v>
      </c>
      <c r="AF6916">
        <v>0.11438573553528</v>
      </c>
      <c r="AG6916">
        <v>-0.10704859999999899</v>
      </c>
      <c r="AH6916">
        <v>0.62986702370643699</v>
      </c>
      <c r="AI6916">
        <v>99.493123729683205</v>
      </c>
      <c r="AJ6916">
        <v>79.707088955326</v>
      </c>
      <c r="AK6916">
        <v>0.64905775306109104</v>
      </c>
      <c r="AL6916">
        <v>93.058014194602293</v>
      </c>
      <c r="AM6916">
        <v>84.485424856902895</v>
      </c>
      <c r="AN6916">
        <v>0.99999999434939002</v>
      </c>
    </row>
    <row r="6917" spans="1:40" x14ac:dyDescent="0.25">
      <c r="A6917" t="str">
        <f>"20190305135408654"</f>
        <v>20190305135408654</v>
      </c>
      <c r="B6917" t="str">
        <f>"1551765248647300"</f>
        <v>1551765248647300</v>
      </c>
      <c r="C6917" t="s">
        <v>40</v>
      </c>
      <c r="D6917">
        <v>4.5568799999999996</v>
      </c>
      <c r="E6917">
        <v>0.51106890000000005</v>
      </c>
      <c r="F6917" t="s">
        <v>41</v>
      </c>
      <c r="G6917">
        <v>-158.96080000000001</v>
      </c>
      <c r="H6917">
        <v>1.005344</v>
      </c>
      <c r="I6917">
        <v>137.47409999999999</v>
      </c>
      <c r="J6917">
        <v>-159.5821</v>
      </c>
      <c r="K6917">
        <v>1.101451</v>
      </c>
      <c r="L6917">
        <v>137.4751</v>
      </c>
      <c r="M6917">
        <v>0.9877629</v>
      </c>
      <c r="N6917">
        <v>-1.0820939999999999E-2</v>
      </c>
      <c r="O6917">
        <v>0.155588</v>
      </c>
      <c r="P6917">
        <v>0.99626550000000003</v>
      </c>
      <c r="Q6917">
        <v>-6.4616770000000004E-2</v>
      </c>
      <c r="R6917">
        <v>5.7271049999999997E-2</v>
      </c>
      <c r="S6917">
        <v>2.9852599999999998</v>
      </c>
      <c r="T6917">
        <v>-0.31693890000000002</v>
      </c>
      <c r="U6917">
        <v>0.11593630000000001</v>
      </c>
      <c r="V6917">
        <v>9.7436499999999995E-2</v>
      </c>
      <c r="W6917">
        <v>-5.566608E-2</v>
      </c>
      <c r="X6917">
        <v>0.99368380000000001</v>
      </c>
      <c r="Y6917">
        <v>0.1157333</v>
      </c>
      <c r="Z6917">
        <v>-2.1470280000000001E-2</v>
      </c>
      <c r="AA6917">
        <v>0.99304829999999999</v>
      </c>
      <c r="AB6917">
        <v>27</v>
      </c>
      <c r="AC6917">
        <v>0.62129999999998997</v>
      </c>
      <c r="AD6917">
        <v>-9.6106999999999901E-2</v>
      </c>
      <c r="AE6917">
        <v>-1.0000000000047701E-3</v>
      </c>
      <c r="AF6917">
        <v>9.5378086329164904E-2</v>
      </c>
      <c r="AG6917">
        <v>-9.6106999999999901E-2</v>
      </c>
      <c r="AH6917">
        <v>0.59923876532875997</v>
      </c>
      <c r="AI6917">
        <v>99.000203949030805</v>
      </c>
      <c r="AJ6917">
        <v>80.956353789282602</v>
      </c>
      <c r="AK6917">
        <v>0.61434569476277001</v>
      </c>
      <c r="AL6917">
        <v>93.191080810468094</v>
      </c>
      <c r="AM6917">
        <v>84.399717213052</v>
      </c>
      <c r="AN6917">
        <v>1.0000000391886199</v>
      </c>
    </row>
    <row r="6918" spans="1:40" x14ac:dyDescent="0.25">
      <c r="A6918" t="str">
        <f>"20190305135408675"</f>
        <v>20190305135408675</v>
      </c>
      <c r="B6918" t="str">
        <f>"1551765248666819"</f>
        <v>1551765248666819</v>
      </c>
      <c r="C6918" t="s">
        <v>40</v>
      </c>
      <c r="D6918">
        <v>4.6217189999999997</v>
      </c>
      <c r="E6918">
        <v>0.51056349999999995</v>
      </c>
      <c r="F6918" t="s">
        <v>41</v>
      </c>
      <c r="G6918">
        <v>-158.72229999999999</v>
      </c>
      <c r="H6918">
        <v>0.98804369999999997</v>
      </c>
      <c r="I6918">
        <v>137.49440000000001</v>
      </c>
      <c r="J6918">
        <v>-159.30719999999999</v>
      </c>
      <c r="K6918">
        <v>1.101405</v>
      </c>
      <c r="L6918">
        <v>137.50710000000001</v>
      </c>
      <c r="M6918">
        <v>0.98928050000000001</v>
      </c>
      <c r="N6918">
        <v>-1.151252E-2</v>
      </c>
      <c r="O6918">
        <v>0.14557400000000001</v>
      </c>
      <c r="P6918">
        <v>0.99661979999999994</v>
      </c>
      <c r="Q6918">
        <v>-6.7726179999999997E-2</v>
      </c>
      <c r="R6918">
        <v>4.6503889999999999E-2</v>
      </c>
      <c r="S6918">
        <v>2.9818730000000002</v>
      </c>
      <c r="T6918">
        <v>-0.39294099999999998</v>
      </c>
      <c r="U6918">
        <v>6.7367549999999998E-2</v>
      </c>
      <c r="V6918">
        <v>9.8021200000000003E-2</v>
      </c>
      <c r="W6918">
        <v>-5.8121480000000003E-2</v>
      </c>
      <c r="X6918">
        <v>0.99348559999999997</v>
      </c>
      <c r="Y6918">
        <v>0.12102400000000001</v>
      </c>
      <c r="Z6918">
        <v>-2.6003510000000001E-2</v>
      </c>
      <c r="AA6918">
        <v>0.99230890000000005</v>
      </c>
      <c r="AB6918">
        <v>27</v>
      </c>
      <c r="AC6918">
        <v>0.58490000000000397</v>
      </c>
      <c r="AD6918">
        <v>-0.1133613</v>
      </c>
      <c r="AE6918">
        <v>-1.26999999999952E-2</v>
      </c>
      <c r="AF6918">
        <v>9.4180475306995901E-2</v>
      </c>
      <c r="AG6918">
        <v>-0.1133613</v>
      </c>
      <c r="AH6918">
        <v>0.55594607742996804</v>
      </c>
      <c r="AI6918">
        <v>101.367360996426</v>
      </c>
      <c r="AJ6918">
        <v>80.385048284958401</v>
      </c>
      <c r="AK6918">
        <v>0.57514936084160695</v>
      </c>
      <c r="AL6918">
        <v>93.331993440679298</v>
      </c>
      <c r="AM6918">
        <v>84.365209725433601</v>
      </c>
      <c r="AN6918">
        <v>0.99999994974709305</v>
      </c>
    </row>
    <row r="6919" spans="1:40" x14ac:dyDescent="0.25">
      <c r="A6919" t="str">
        <f>"20190305135408700"</f>
        <v>20190305135408700</v>
      </c>
      <c r="B6919" t="str">
        <f>"1551765248687317"</f>
        <v>1551765248687317</v>
      </c>
      <c r="C6919" t="s">
        <v>40</v>
      </c>
      <c r="D6919">
        <v>4.6937920000000002</v>
      </c>
      <c r="E6919">
        <v>0.50953110000000001</v>
      </c>
      <c r="F6919" t="s">
        <v>41</v>
      </c>
      <c r="G6919">
        <v>-158.4803</v>
      </c>
      <c r="H6919">
        <v>0.98024389999999995</v>
      </c>
      <c r="I6919">
        <v>137.517</v>
      </c>
      <c r="J6919">
        <v>-159.01990000000001</v>
      </c>
      <c r="K6919">
        <v>1.101431</v>
      </c>
      <c r="L6919">
        <v>137.53729999999999</v>
      </c>
      <c r="M6919">
        <v>0.99076900000000001</v>
      </c>
      <c r="N6919">
        <v>-1.2142999999999999E-2</v>
      </c>
      <c r="O6919">
        <v>0.13501540000000001</v>
      </c>
      <c r="P6919">
        <v>0.99688089999999996</v>
      </c>
      <c r="Q6919">
        <v>-7.0604470000000003E-2</v>
      </c>
      <c r="R6919">
        <v>3.5262759999999997E-2</v>
      </c>
      <c r="S6919">
        <v>2.9788510000000001</v>
      </c>
      <c r="T6919">
        <v>-0.43628499999999998</v>
      </c>
      <c r="U6919">
        <v>3.6117549999999998E-2</v>
      </c>
      <c r="V6919">
        <v>9.8559740000000007E-2</v>
      </c>
      <c r="W6919">
        <v>-6.0388079999999997E-2</v>
      </c>
      <c r="X6919">
        <v>0.99329719999999999</v>
      </c>
      <c r="Y6919">
        <v>0.1204076</v>
      </c>
      <c r="Z6919">
        <v>-2.7489449999999999E-2</v>
      </c>
      <c r="AA6919">
        <v>0.9923438</v>
      </c>
      <c r="AB6919">
        <v>27</v>
      </c>
      <c r="AC6919">
        <v>0.53960000000000696</v>
      </c>
      <c r="AD6919">
        <v>-0.12118710000000001</v>
      </c>
      <c r="AE6919">
        <v>-2.02999999999917E-2</v>
      </c>
      <c r="AF6919">
        <v>8.8515438324902801E-2</v>
      </c>
      <c r="AG6919">
        <v>-0.12118710000000001</v>
      </c>
      <c r="AH6919">
        <v>0.50641052112518403</v>
      </c>
      <c r="AI6919">
        <v>103.264298554813</v>
      </c>
      <c r="AJ6919">
        <v>80.085435709991103</v>
      </c>
      <c r="AK6919">
        <v>0.52817886358178001</v>
      </c>
      <c r="AL6919">
        <v>93.462088385020607</v>
      </c>
      <c r="AM6919">
        <v>84.333384788094506</v>
      </c>
      <c r="AN6919">
        <v>1.00000003504139</v>
      </c>
    </row>
    <row r="6920" spans="1:40" x14ac:dyDescent="0.25">
      <c r="A6920" t="str">
        <f>"20190305135408742"</f>
        <v>20190305135408742</v>
      </c>
      <c r="B6920" t="str">
        <f>"1551765248737092"</f>
        <v>1551765248737092</v>
      </c>
      <c r="C6920" t="s">
        <v>40</v>
      </c>
      <c r="D6920">
        <v>4.6015629999999996</v>
      </c>
      <c r="E6920">
        <v>0.50912309999999905</v>
      </c>
      <c r="F6920" t="s">
        <v>41</v>
      </c>
      <c r="G6920">
        <v>-158.23570000000001</v>
      </c>
      <c r="H6920">
        <v>0.97875880000000004</v>
      </c>
      <c r="I6920">
        <v>137.5395</v>
      </c>
      <c r="J6920">
        <v>-158.4845</v>
      </c>
      <c r="K6920">
        <v>1.1016410000000001</v>
      </c>
      <c r="L6920">
        <v>137.5855</v>
      </c>
      <c r="M6920">
        <v>0.99324239999999997</v>
      </c>
      <c r="N6920">
        <v>-1.3093169999999999E-2</v>
      </c>
      <c r="O6920">
        <v>0.115317</v>
      </c>
      <c r="P6920">
        <v>0.99732469999999995</v>
      </c>
      <c r="Q6920">
        <v>-7.1697060000000007E-2</v>
      </c>
      <c r="R6920">
        <v>1.4257499999999999E-2</v>
      </c>
      <c r="S6920">
        <v>2.9761350000000002</v>
      </c>
      <c r="T6920">
        <v>-0.46544600000000003</v>
      </c>
      <c r="U6920">
        <v>8.2702639999999994E-3</v>
      </c>
      <c r="V6920">
        <v>9.9768739999999995E-2</v>
      </c>
      <c r="W6920">
        <v>-6.0527659999999997E-2</v>
      </c>
      <c r="X6920">
        <v>0.99316789999999999</v>
      </c>
      <c r="Y6920">
        <v>0.109944899999999</v>
      </c>
      <c r="Z6920">
        <v>-2.5660570000000001E-2</v>
      </c>
      <c r="AA6920">
        <v>0.9936064</v>
      </c>
      <c r="AB6920">
        <v>27</v>
      </c>
      <c r="AC6920">
        <v>0.248799999999988</v>
      </c>
      <c r="AD6920">
        <v>-0.1228822</v>
      </c>
      <c r="AE6920">
        <v>-4.59999999999922E-2</v>
      </c>
      <c r="AF6920">
        <v>6.01893182540056E-2</v>
      </c>
      <c r="AG6920">
        <v>-0.1228822</v>
      </c>
      <c r="AH6920">
        <v>0.195679262462438</v>
      </c>
      <c r="AI6920">
        <v>120.973226640845</v>
      </c>
      <c r="AJ6920">
        <v>72.902536697007903</v>
      </c>
      <c r="AK6920">
        <v>0.23877429272550599</v>
      </c>
      <c r="AL6920">
        <v>93.470100721548704</v>
      </c>
      <c r="AM6920">
        <v>84.263593214789594</v>
      </c>
      <c r="AN6920">
        <v>0.99999993834833401</v>
      </c>
    </row>
    <row r="6921" spans="1:40" x14ac:dyDescent="0.25">
      <c r="A6921" t="str">
        <f>"20190305135408765"</f>
        <v>20190305135408765</v>
      </c>
      <c r="B6921" t="str">
        <f>"1551765248756612"</f>
        <v>1551765248756612</v>
      </c>
      <c r="C6921" t="s">
        <v>40</v>
      </c>
      <c r="D6921">
        <v>4.6116339999999996</v>
      </c>
      <c r="E6921">
        <v>0.50915290000000002</v>
      </c>
      <c r="F6921" t="s">
        <v>41</v>
      </c>
      <c r="G6921">
        <v>-157.7448</v>
      </c>
      <c r="H6921">
        <v>0.98020700000000005</v>
      </c>
      <c r="I6921">
        <v>137.57230000000001</v>
      </c>
      <c r="J6921">
        <v>-158.2116</v>
      </c>
      <c r="K6921">
        <v>1.1018019999999999</v>
      </c>
      <c r="L6921">
        <v>137.6062</v>
      </c>
      <c r="M6921">
        <v>0.99434180000000005</v>
      </c>
      <c r="N6921">
        <v>-1.348005E-2</v>
      </c>
      <c r="O6921">
        <v>0.1053708</v>
      </c>
      <c r="P6921">
        <v>0.99762110000000004</v>
      </c>
      <c r="Q6921">
        <v>-6.8827849999999996E-2</v>
      </c>
      <c r="R6921">
        <v>3.9420719999999996E-3</v>
      </c>
      <c r="S6921">
        <v>2.9737399999999998</v>
      </c>
      <c r="T6921">
        <v>-0.4878728</v>
      </c>
      <c r="U6921">
        <v>-5.2963259999999998E-2</v>
      </c>
      <c r="V6921">
        <v>0.1001972</v>
      </c>
      <c r="W6921">
        <v>-5.7251740000000002E-2</v>
      </c>
      <c r="X6921">
        <v>0.99331899999999995</v>
      </c>
      <c r="Y6921">
        <v>0.1201492</v>
      </c>
      <c r="Z6921">
        <v>-2.6342959999999999E-2</v>
      </c>
      <c r="AA6921">
        <v>0.99240629999999996</v>
      </c>
      <c r="AB6921">
        <v>27</v>
      </c>
      <c r="AC6921">
        <v>0.46680000000000599</v>
      </c>
      <c r="AD6921">
        <v>-0.12159499999999999</v>
      </c>
      <c r="AE6921">
        <v>-3.3899999999988398E-2</v>
      </c>
      <c r="AF6921">
        <v>7.7660906954101605E-2</v>
      </c>
      <c r="AG6921">
        <v>-0.12159499999999999</v>
      </c>
      <c r="AH6921">
        <v>0.43150322903724198</v>
      </c>
      <c r="AI6921">
        <v>105.50071547565599</v>
      </c>
      <c r="AJ6921">
        <v>79.797270536735795</v>
      </c>
      <c r="AK6921">
        <v>0.45498527136985401</v>
      </c>
      <c r="AL6921">
        <v>93.282077920937894</v>
      </c>
      <c r="AM6921">
        <v>84.239993813115404</v>
      </c>
      <c r="AN6921">
        <v>0.99999993819093103</v>
      </c>
    </row>
    <row r="6922" spans="1:40" x14ac:dyDescent="0.25">
      <c r="A6922" t="str">
        <f>"20190305135408786"</f>
        <v>20190305135408786</v>
      </c>
      <c r="B6922" t="str">
        <f>"1551765248777107"</f>
        <v>1551765248777107</v>
      </c>
      <c r="C6922" t="s">
        <v>40</v>
      </c>
      <c r="D6922">
        <v>4.5857549999999998</v>
      </c>
      <c r="E6922">
        <v>0.50879719999999995</v>
      </c>
      <c r="F6922" t="s">
        <v>41</v>
      </c>
      <c r="G6922">
        <v>-157.49780000000001</v>
      </c>
      <c r="H6922">
        <v>0.98535320000000004</v>
      </c>
      <c r="I6922">
        <v>137.58600000000001</v>
      </c>
      <c r="J6922">
        <v>-157.94589999999999</v>
      </c>
      <c r="K6922">
        <v>1.1019730000000001</v>
      </c>
      <c r="L6922">
        <v>137.62370000000001</v>
      </c>
      <c r="M6922">
        <v>0.99530350000000001</v>
      </c>
      <c r="N6922">
        <v>-1.379799E-2</v>
      </c>
      <c r="O6922">
        <v>9.5816310000000002E-2</v>
      </c>
      <c r="P6922">
        <v>0.99796819999999997</v>
      </c>
      <c r="Q6922">
        <v>-6.3424679999999997E-2</v>
      </c>
      <c r="R6922">
        <v>-6.0832869999999997E-3</v>
      </c>
      <c r="S6922">
        <v>2.9739990000000001</v>
      </c>
      <c r="T6922">
        <v>-0.48513630000000002</v>
      </c>
      <c r="U6922">
        <v>-8.3877560000000004E-2</v>
      </c>
      <c r="V6922">
        <v>0.1007918</v>
      </c>
      <c r="W6922">
        <v>-5.1508369999999998E-2</v>
      </c>
      <c r="X6922">
        <v>0.99357329999999999</v>
      </c>
      <c r="Y6922">
        <v>0.121055</v>
      </c>
      <c r="Z6922">
        <v>-2.4844829999999998E-2</v>
      </c>
      <c r="AA6922">
        <v>0.99233479999999996</v>
      </c>
      <c r="AB6922">
        <v>27</v>
      </c>
      <c r="AC6922">
        <v>0.44809999999998201</v>
      </c>
      <c r="AD6922">
        <v>-0.116619799999999</v>
      </c>
      <c r="AE6922">
        <v>-3.7700000000000899E-2</v>
      </c>
      <c r="AF6922">
        <v>7.5395104447951403E-2</v>
      </c>
      <c r="AG6922">
        <v>-0.116619799999999</v>
      </c>
      <c r="AH6922">
        <v>0.41454465438660698</v>
      </c>
      <c r="AI6922">
        <v>105.471011877691</v>
      </c>
      <c r="AJ6922">
        <v>79.692029663756003</v>
      </c>
      <c r="AK6922">
        <v>0.43718631040698103</v>
      </c>
      <c r="AL6922">
        <v>92.952518751561996</v>
      </c>
      <c r="AM6922">
        <v>84.207516942919597</v>
      </c>
      <c r="AN6922">
        <v>1.00000000080009</v>
      </c>
    </row>
    <row r="6923" spans="1:40" x14ac:dyDescent="0.25">
      <c r="A6923" t="str">
        <f>"20190305135408809"</f>
        <v>20190305135408809</v>
      </c>
      <c r="B6923" t="str">
        <f>"1551765248796628"</f>
        <v>1551765248796628</v>
      </c>
      <c r="C6923" t="s">
        <v>40</v>
      </c>
      <c r="D6923">
        <v>4.5372859999999999</v>
      </c>
      <c r="E6923">
        <v>0.50846709999999995</v>
      </c>
      <c r="F6923" t="s">
        <v>41</v>
      </c>
      <c r="G6923">
        <v>-157.02350000000001</v>
      </c>
      <c r="H6923">
        <v>0.95456560000000001</v>
      </c>
      <c r="I6923">
        <v>137.58949999999999</v>
      </c>
      <c r="J6923">
        <v>-157.67740000000001</v>
      </c>
      <c r="K6923">
        <v>1.1021449999999999</v>
      </c>
      <c r="L6923">
        <v>137.63890000000001</v>
      </c>
      <c r="M6923">
        <v>0.99616990000000005</v>
      </c>
      <c r="N6923">
        <v>-1.407125E-2</v>
      </c>
      <c r="O6923">
        <v>8.6300020000000005E-2</v>
      </c>
      <c r="P6923">
        <v>0.99805980000000005</v>
      </c>
      <c r="Q6923">
        <v>-6.0260550000000003E-2</v>
      </c>
      <c r="R6923">
        <v>-1.5660110000000001E-2</v>
      </c>
      <c r="S6923">
        <v>2.9752040000000002</v>
      </c>
      <c r="T6923">
        <v>-0.47538019999999998</v>
      </c>
      <c r="U6923">
        <v>-0.1100464</v>
      </c>
      <c r="V6923">
        <v>0.100924899999999</v>
      </c>
      <c r="W6923">
        <v>-4.8039499999999999E-2</v>
      </c>
      <c r="X6923">
        <v>0.99373350000000005</v>
      </c>
      <c r="Y6923">
        <v>0.1205026</v>
      </c>
      <c r="Z6923">
        <v>-2.289952E-2</v>
      </c>
      <c r="AA6923">
        <v>0.99244889999999997</v>
      </c>
      <c r="AB6923">
        <v>27</v>
      </c>
      <c r="AC6923">
        <v>0.65389999999999204</v>
      </c>
      <c r="AD6923">
        <v>-0.1475794</v>
      </c>
      <c r="AE6923">
        <v>-4.9400000000019803E-2</v>
      </c>
      <c r="AF6923">
        <v>0.100559737873748</v>
      </c>
      <c r="AG6923">
        <v>-0.1475794</v>
      </c>
      <c r="AH6923">
        <v>0.61599761843419698</v>
      </c>
      <c r="AI6923">
        <v>103.303146619681</v>
      </c>
      <c r="AJ6923">
        <v>80.728422153191701</v>
      </c>
      <c r="AK6923">
        <v>0.64136183711084704</v>
      </c>
      <c r="AL6923">
        <v>92.753520526531403</v>
      </c>
      <c r="AM6923">
        <v>84.200848490035796</v>
      </c>
      <c r="AN6923">
        <v>0.999999949011253</v>
      </c>
    </row>
    <row r="6924" spans="1:40" x14ac:dyDescent="0.25">
      <c r="A6924" t="str">
        <f>"20190305135408831"</f>
        <v>20190305135408831</v>
      </c>
      <c r="B6924" t="str">
        <f>"1551765248817126"</f>
        <v>1551765248817126</v>
      </c>
      <c r="C6924" t="s">
        <v>40</v>
      </c>
      <c r="D6924">
        <v>4.4731880000000004</v>
      </c>
      <c r="E6924">
        <v>0.50806169999999995</v>
      </c>
      <c r="F6924" t="s">
        <v>41</v>
      </c>
      <c r="G6924">
        <v>-156.7782</v>
      </c>
      <c r="H6924">
        <v>0.95929850000000005</v>
      </c>
      <c r="I6924">
        <v>137.59799999999899</v>
      </c>
      <c r="J6924">
        <v>-157.40110000000001</v>
      </c>
      <c r="K6924">
        <v>1.1023000000000001</v>
      </c>
      <c r="L6924">
        <v>137.65190000000001</v>
      </c>
      <c r="M6924">
        <v>0.99695599999999995</v>
      </c>
      <c r="N6924">
        <v>-1.4309240000000001E-2</v>
      </c>
      <c r="O6924">
        <v>7.6643779999999995E-2</v>
      </c>
      <c r="P6924">
        <v>0.99787380000000003</v>
      </c>
      <c r="Q6924">
        <v>-6.0390029999999997E-2</v>
      </c>
      <c r="R6924">
        <v>-2.4518120000000001E-2</v>
      </c>
      <c r="S6924">
        <v>2.975174</v>
      </c>
      <c r="T6924">
        <v>-0.47252490000000003</v>
      </c>
      <c r="U6924">
        <v>-0.1351318</v>
      </c>
      <c r="V6924">
        <v>0.1001338</v>
      </c>
      <c r="W6924">
        <v>-4.7885650000000002E-2</v>
      </c>
      <c r="X6924">
        <v>0.99382099999999995</v>
      </c>
      <c r="Y6924">
        <v>0.1193882</v>
      </c>
      <c r="Z6924">
        <v>-2.1274189999999998E-2</v>
      </c>
      <c r="AA6924">
        <v>0.99261969999999999</v>
      </c>
      <c r="AB6924">
        <v>27</v>
      </c>
      <c r="AC6924">
        <v>0.622900000000015</v>
      </c>
      <c r="AD6924">
        <v>-0.1430015</v>
      </c>
      <c r="AE6924">
        <v>-5.39000000000271E-2</v>
      </c>
      <c r="AF6924">
        <v>9.6442570397211297E-2</v>
      </c>
      <c r="AG6924">
        <v>-0.1430015</v>
      </c>
      <c r="AH6924">
        <v>0.58626682903368499</v>
      </c>
      <c r="AI6924">
        <v>103.532780127544</v>
      </c>
      <c r="AJ6924">
        <v>80.658346186549593</v>
      </c>
      <c r="AK6924">
        <v>0.61111324090734898</v>
      </c>
      <c r="AL6924">
        <v>92.744695282849193</v>
      </c>
      <c r="AM6924">
        <v>84.246502146077205</v>
      </c>
      <c r="AN6924">
        <v>0.99999999670968098</v>
      </c>
    </row>
    <row r="6925" spans="1:40" x14ac:dyDescent="0.25">
      <c r="A6925" t="str">
        <f>"20190305135408855"</f>
        <v>20190305135408855</v>
      </c>
      <c r="B6925" t="str">
        <f>"1551765248847380"</f>
        <v>1551765248847380</v>
      </c>
      <c r="C6925" t="s">
        <v>40</v>
      </c>
      <c r="D6925">
        <v>4.5038919999999996</v>
      </c>
      <c r="E6925">
        <v>0.50778719999999999</v>
      </c>
      <c r="F6925" t="s">
        <v>41</v>
      </c>
      <c r="G6925">
        <v>-156.53469999999999</v>
      </c>
      <c r="H6925">
        <v>0.96149220000000002</v>
      </c>
      <c r="I6925">
        <v>137.60570000000001</v>
      </c>
      <c r="J6925">
        <v>-157.11250000000001</v>
      </c>
      <c r="K6925">
        <v>1.1024560000000001</v>
      </c>
      <c r="L6925">
        <v>137.66299999999899</v>
      </c>
      <c r="M6925">
        <v>0.99766699999999997</v>
      </c>
      <c r="N6925">
        <v>-1.4518720000000001E-2</v>
      </c>
      <c r="O6925">
        <v>6.6707660000000002E-2</v>
      </c>
      <c r="P6925">
        <v>0.99760519999999997</v>
      </c>
      <c r="Q6925">
        <v>-6.1464530000000003E-2</v>
      </c>
      <c r="R6925">
        <v>-3.1717519999999999E-2</v>
      </c>
      <c r="S6925">
        <v>2.9732509999999999</v>
      </c>
      <c r="T6925">
        <v>-0.482958</v>
      </c>
      <c r="U6925">
        <v>-0.158477799999999</v>
      </c>
      <c r="V6925">
        <v>9.7402329999999995E-2</v>
      </c>
      <c r="W6925">
        <v>-4.867088E-2</v>
      </c>
      <c r="X6925">
        <v>0.99405429999999995</v>
      </c>
      <c r="Y6925">
        <v>0.11733059999999999</v>
      </c>
      <c r="Z6925">
        <v>-2.0113079999999998E-2</v>
      </c>
      <c r="AA6925">
        <v>0.99288920000000003</v>
      </c>
      <c r="AB6925">
        <v>27</v>
      </c>
      <c r="AC6925">
        <v>0.57780000000002396</v>
      </c>
      <c r="AD6925">
        <v>-0.140963799999999</v>
      </c>
      <c r="AE6925">
        <v>-5.7299999999969403E-2</v>
      </c>
      <c r="AF6925">
        <v>9.03923639749344E-2</v>
      </c>
      <c r="AG6925">
        <v>-0.140963799999999</v>
      </c>
      <c r="AH6925">
        <v>0.54081438140766203</v>
      </c>
      <c r="AI6925">
        <v>104.417649485353</v>
      </c>
      <c r="AJ6925">
        <v>80.511225976658906</v>
      </c>
      <c r="AK6925">
        <v>0.56614641879355598</v>
      </c>
      <c r="AL6925">
        <v>92.789738135688694</v>
      </c>
      <c r="AM6925">
        <v>84.403742037506703</v>
      </c>
      <c r="AN6925">
        <v>1.0000000098989399</v>
      </c>
    </row>
    <row r="6926" spans="1:40" x14ac:dyDescent="0.25">
      <c r="A6926" t="str">
        <f>"20190305135408879"</f>
        <v>20190305135408879</v>
      </c>
      <c r="B6926" t="str">
        <f>"1551765248866900"</f>
        <v>1551765248866900</v>
      </c>
      <c r="C6926" t="s">
        <v>40</v>
      </c>
      <c r="D6926">
        <v>4.5386230000000003</v>
      </c>
      <c r="E6926">
        <v>0.50727259999999996</v>
      </c>
      <c r="F6926" t="s">
        <v>41</v>
      </c>
      <c r="G6926">
        <v>-156.29040000000001</v>
      </c>
      <c r="H6926">
        <v>0.96671940000000001</v>
      </c>
      <c r="I6926">
        <v>137.61359999999999</v>
      </c>
      <c r="J6926">
        <v>-156.81799999999899</v>
      </c>
      <c r="K6926">
        <v>1.102616</v>
      </c>
      <c r="L6926">
        <v>137.67160000000001</v>
      </c>
      <c r="M6926">
        <v>0.99828059999999996</v>
      </c>
      <c r="N6926">
        <v>-1.4697089999999999E-2</v>
      </c>
      <c r="O6926">
        <v>5.6745469999999999E-2</v>
      </c>
      <c r="P6926">
        <v>0.99742160000000002</v>
      </c>
      <c r="Q6926">
        <v>-6.1289440000000001E-2</v>
      </c>
      <c r="R6926">
        <v>-3.7340970000000001E-2</v>
      </c>
      <c r="S6926">
        <v>2.9713289999999999</v>
      </c>
      <c r="T6926">
        <v>-0.49039280000000002</v>
      </c>
      <c r="U6926">
        <v>-0.17811579999999999</v>
      </c>
      <c r="V6926">
        <v>9.3109369999999997E-2</v>
      </c>
      <c r="W6926">
        <v>-4.8208830000000001E-2</v>
      </c>
      <c r="X6926">
        <v>0.99448809999999999</v>
      </c>
      <c r="Y6926">
        <v>0.114078</v>
      </c>
      <c r="Z6926">
        <v>-1.865379E-2</v>
      </c>
      <c r="AA6926">
        <v>0.99329670000000003</v>
      </c>
      <c r="AB6926">
        <v>27</v>
      </c>
      <c r="AC6926">
        <v>0.52759999999997798</v>
      </c>
      <c r="AD6926">
        <v>-0.13589660000000001</v>
      </c>
      <c r="AE6926">
        <v>-5.8000000000021097E-2</v>
      </c>
      <c r="AF6926">
        <v>8.2444222102571796E-2</v>
      </c>
      <c r="AG6926">
        <v>-0.13589660000000001</v>
      </c>
      <c r="AH6926">
        <v>0.491254995968812</v>
      </c>
      <c r="AI6926">
        <v>105.259864111163</v>
      </c>
      <c r="AJ6926">
        <v>80.4731895154098</v>
      </c>
      <c r="AK6926">
        <v>0.51632974610608695</v>
      </c>
      <c r="AL6926">
        <v>92.763233496922993</v>
      </c>
      <c r="AM6926">
        <v>84.651250532564703</v>
      </c>
      <c r="AN6926">
        <v>1.00000001355668</v>
      </c>
    </row>
    <row r="6927" spans="1:40" x14ac:dyDescent="0.25">
      <c r="A6927" t="str">
        <f>"20190305135408899"</f>
        <v>20190305135408899</v>
      </c>
      <c r="B6927" t="str">
        <f>"1551765248887396"</f>
        <v>1551765248887396</v>
      </c>
      <c r="C6927" t="s">
        <v>40</v>
      </c>
      <c r="D6927">
        <v>4.4580449999999896</v>
      </c>
      <c r="E6927">
        <v>0.50736040000000004</v>
      </c>
      <c r="F6927" t="s">
        <v>41</v>
      </c>
      <c r="G6927">
        <v>-156.04580000000001</v>
      </c>
      <c r="H6927">
        <v>0.97346339999999998</v>
      </c>
      <c r="I6927">
        <v>137.62180000000001</v>
      </c>
      <c r="J6927">
        <v>-156.59039999999999</v>
      </c>
      <c r="K6927">
        <v>1.1027709999999999</v>
      </c>
      <c r="L6927">
        <v>137.67619999999999</v>
      </c>
      <c r="M6927">
        <v>0.99868009999999996</v>
      </c>
      <c r="N6927">
        <v>-1.4811629999999999E-2</v>
      </c>
      <c r="O6927">
        <v>4.9183499999999998E-2</v>
      </c>
      <c r="P6927">
        <v>0.99748029999999999</v>
      </c>
      <c r="Q6927">
        <v>-5.9146490000000003E-2</v>
      </c>
      <c r="R6927">
        <v>-3.917901E-2</v>
      </c>
      <c r="S6927">
        <v>2.970078</v>
      </c>
      <c r="T6927">
        <v>-0.49656149999999999</v>
      </c>
      <c r="U6927">
        <v>-0.19133</v>
      </c>
      <c r="V6927">
        <v>8.7470740000000005E-2</v>
      </c>
      <c r="W6927">
        <v>-4.5825159999999997E-2</v>
      </c>
      <c r="X6927">
        <v>0.99511249999999996</v>
      </c>
      <c r="Y6927">
        <v>0.1110558</v>
      </c>
      <c r="Z6927">
        <v>-1.7475299999999999E-2</v>
      </c>
      <c r="AA6927">
        <v>0.99366049999999995</v>
      </c>
      <c r="AB6927">
        <v>27</v>
      </c>
      <c r="AC6927">
        <v>0.54459999999997399</v>
      </c>
      <c r="AD6927">
        <v>-0.129307599999999</v>
      </c>
      <c r="AE6927">
        <v>-5.4399999999986903E-2</v>
      </c>
      <c r="AF6927">
        <v>7.6833650217648E-2</v>
      </c>
      <c r="AG6927">
        <v>-0.129307599999999</v>
      </c>
      <c r="AH6927">
        <v>0.51264938144558203</v>
      </c>
      <c r="AI6927">
        <v>104.006468090274</v>
      </c>
      <c r="AJ6927">
        <v>81.476203457499594</v>
      </c>
      <c r="AK6927">
        <v>0.53425953760327605</v>
      </c>
      <c r="AL6927">
        <v>92.626508113145903</v>
      </c>
      <c r="AM6927">
        <v>84.976591947978093</v>
      </c>
      <c r="AN6927">
        <v>0.99999998165071102</v>
      </c>
    </row>
    <row r="6928" spans="1:40" x14ac:dyDescent="0.25">
      <c r="A6928" t="str">
        <f>"20190305135408920"</f>
        <v>20190305135408920</v>
      </c>
      <c r="B6928" t="str">
        <f>"1551765248916977"</f>
        <v>1551765248916977</v>
      </c>
      <c r="C6928" t="s">
        <v>40</v>
      </c>
      <c r="D6928">
        <v>4.4414170000000004</v>
      </c>
      <c r="E6928">
        <v>0.50747790000000004</v>
      </c>
      <c r="F6928" t="s">
        <v>41</v>
      </c>
      <c r="G6928">
        <v>-155.80510000000001</v>
      </c>
      <c r="H6928">
        <v>0.97254039999999997</v>
      </c>
      <c r="I6928">
        <v>137.62389999999999</v>
      </c>
      <c r="J6928">
        <v>-156.321</v>
      </c>
      <c r="K6928">
        <v>1.1029739999999999</v>
      </c>
      <c r="L6928">
        <v>137.6797</v>
      </c>
      <c r="M6928">
        <v>0.99907230000000002</v>
      </c>
      <c r="N6928">
        <v>-1.492509E-2</v>
      </c>
      <c r="O6928">
        <v>4.0396010000000003E-2</v>
      </c>
      <c r="P6928">
        <v>0.99754759999999998</v>
      </c>
      <c r="Q6928">
        <v>-5.6043900000000001E-2</v>
      </c>
      <c r="R6928">
        <v>-4.192854E-2</v>
      </c>
      <c r="S6928">
        <v>2.970612</v>
      </c>
      <c r="T6928">
        <v>-0.4924557</v>
      </c>
      <c r="U6928">
        <v>-0.1976318</v>
      </c>
      <c r="V6928">
        <v>8.153813E-2</v>
      </c>
      <c r="W6928">
        <v>-4.2473379999999998E-2</v>
      </c>
      <c r="X6928">
        <v>0.99576480000000001</v>
      </c>
      <c r="Y6928">
        <v>0.1046319</v>
      </c>
      <c r="Z6928">
        <v>-1.5438550000000001E-2</v>
      </c>
      <c r="AA6928">
        <v>0.99439120000000003</v>
      </c>
      <c r="AB6928">
        <v>27</v>
      </c>
      <c r="AC6928">
        <v>0.51589999999998704</v>
      </c>
      <c r="AD6928">
        <v>-0.13043359999999901</v>
      </c>
      <c r="AE6928">
        <v>-5.5800000000004901E-2</v>
      </c>
      <c r="AF6928">
        <v>7.2045078292849701E-2</v>
      </c>
      <c r="AG6928">
        <v>-0.13043359999999901</v>
      </c>
      <c r="AH6928">
        <v>0.48272470587433702</v>
      </c>
      <c r="AI6928">
        <v>104.962236480652</v>
      </c>
      <c r="AJ6928">
        <v>81.511449170103702</v>
      </c>
      <c r="AK6928">
        <v>0.50519952392757494</v>
      </c>
      <c r="AL6928">
        <v>92.434277701658203</v>
      </c>
      <c r="AM6928">
        <v>85.318783257647894</v>
      </c>
      <c r="AN6928">
        <v>0.99999999578578003</v>
      </c>
    </row>
    <row r="6929" spans="1:40" x14ac:dyDescent="0.25">
      <c r="A6929" t="str">
        <f>"20190305135408944"</f>
        <v>20190305135408944</v>
      </c>
      <c r="B6929" t="str">
        <f>"1551765248937472"</f>
        <v>1551765248937472</v>
      </c>
      <c r="C6929" t="s">
        <v>40</v>
      </c>
      <c r="D6929">
        <v>4.4400370000000002</v>
      </c>
      <c r="E6929">
        <v>0.50770190000000004</v>
      </c>
      <c r="F6929" t="s">
        <v>41</v>
      </c>
      <c r="G6929">
        <v>-155.56200000000001</v>
      </c>
      <c r="H6929">
        <v>0.97779910000000003</v>
      </c>
      <c r="I6929">
        <v>137.6267</v>
      </c>
      <c r="J6929">
        <v>-156.03729999999999</v>
      </c>
      <c r="K6929">
        <v>1.1031930000000001</v>
      </c>
      <c r="L6929">
        <v>137.68119999999999</v>
      </c>
      <c r="M6929">
        <v>0.99939549999999999</v>
      </c>
      <c r="N6929">
        <v>-1.502155E-2</v>
      </c>
      <c r="O6929">
        <v>3.1349780000000001E-2</v>
      </c>
      <c r="P6929">
        <v>0.99765119999999896</v>
      </c>
      <c r="Q6929">
        <v>-5.2207200000000002E-2</v>
      </c>
      <c r="R6929">
        <v>-4.4347119999999997E-2</v>
      </c>
      <c r="S6929">
        <v>2.9711460000000001</v>
      </c>
      <c r="T6929">
        <v>-0.48976920000000002</v>
      </c>
      <c r="U6929">
        <v>-0.20715330000000001</v>
      </c>
      <c r="V6929">
        <v>7.5027090000000005E-2</v>
      </c>
      <c r="W6929">
        <v>-3.8394119999999997E-2</v>
      </c>
      <c r="X6929">
        <v>0.9964421</v>
      </c>
      <c r="Y6929">
        <v>9.8994579999999999E-2</v>
      </c>
      <c r="Z6929">
        <v>-1.3505120000000001E-2</v>
      </c>
      <c r="AA6929">
        <v>0.99499629999999994</v>
      </c>
      <c r="AB6929">
        <v>27</v>
      </c>
      <c r="AC6929">
        <v>0.47529999999997502</v>
      </c>
      <c r="AD6929">
        <v>-0.1253939</v>
      </c>
      <c r="AE6929">
        <v>-5.4499999999990202E-2</v>
      </c>
      <c r="AF6929">
        <v>6.49158476791966E-2</v>
      </c>
      <c r="AG6929">
        <v>-0.1253939</v>
      </c>
      <c r="AH6929">
        <v>0.44292920243702799</v>
      </c>
      <c r="AI6929">
        <v>105.64804140183099</v>
      </c>
      <c r="AJ6929">
        <v>81.662073153077898</v>
      </c>
      <c r="AK6929">
        <v>0.46489135914600599</v>
      </c>
      <c r="AL6929">
        <v>92.200361820918303</v>
      </c>
      <c r="AM6929">
        <v>85.694040354435799</v>
      </c>
      <c r="AN6929">
        <v>1.0000000156684199</v>
      </c>
    </row>
    <row r="6930" spans="1:40" x14ac:dyDescent="0.25">
      <c r="A6930" t="str">
        <f>"20190305135408966"</f>
        <v>20190305135408966</v>
      </c>
      <c r="B6930" t="str">
        <f>"1551765248956992"</f>
        <v>1551765248956992</v>
      </c>
      <c r="C6930" t="s">
        <v>40</v>
      </c>
      <c r="D6930">
        <v>4.4444879999999998</v>
      </c>
      <c r="E6930">
        <v>0.50799550000000004</v>
      </c>
      <c r="F6930" t="s">
        <v>41</v>
      </c>
      <c r="G6930">
        <v>-155.3177</v>
      </c>
      <c r="H6930">
        <v>0.98634960000000005</v>
      </c>
      <c r="I6930">
        <v>137.62880000000001</v>
      </c>
      <c r="J6930">
        <v>-155.78</v>
      </c>
      <c r="K6930">
        <v>1.1034090000000001</v>
      </c>
      <c r="L6930">
        <v>137.68039999999999</v>
      </c>
      <c r="M6930">
        <v>0.99961290000000003</v>
      </c>
      <c r="N6930">
        <v>-1.5089669999999999E-2</v>
      </c>
      <c r="O6930">
        <v>2.3377419999999999E-2</v>
      </c>
      <c r="P6930">
        <v>0.99767819999999996</v>
      </c>
      <c r="Q6930">
        <v>-4.9802310000000002E-2</v>
      </c>
      <c r="R6930">
        <v>-4.6458039999999999E-2</v>
      </c>
      <c r="S6930">
        <v>2.9722439999999999</v>
      </c>
      <c r="T6930">
        <v>-0.48232130000000001</v>
      </c>
      <c r="U6930">
        <v>-0.21545410000000001</v>
      </c>
      <c r="V6930">
        <v>6.9248240000000003E-2</v>
      </c>
      <c r="W6930">
        <v>-3.5792829999999998E-2</v>
      </c>
      <c r="X6930">
        <v>0.99695710000000004</v>
      </c>
      <c r="Y6930">
        <v>9.4008170000000002E-2</v>
      </c>
      <c r="Z6930">
        <v>-1.169797E-2</v>
      </c>
      <c r="AA6930">
        <v>0.99550269999999996</v>
      </c>
      <c r="AB6930">
        <v>27</v>
      </c>
      <c r="AC6930">
        <v>0.46229999999999899</v>
      </c>
      <c r="AD6930">
        <v>-0.11705939999999999</v>
      </c>
      <c r="AE6930">
        <v>-5.1599999999979197E-2</v>
      </c>
      <c r="AF6930">
        <v>5.8678577850065999E-2</v>
      </c>
      <c r="AG6930">
        <v>-0.11705939999999999</v>
      </c>
      <c r="AH6930">
        <v>0.43351414146636802</v>
      </c>
      <c r="AI6930">
        <v>104.98049242112801</v>
      </c>
      <c r="AJ6930">
        <v>82.2915420282051</v>
      </c>
      <c r="AK6930">
        <v>0.45285824435267702</v>
      </c>
      <c r="AL6930">
        <v>92.051216330707604</v>
      </c>
      <c r="AM6930">
        <v>86.026639957437993</v>
      </c>
      <c r="AN6930">
        <v>0.999999952331457</v>
      </c>
    </row>
    <row r="6931" spans="1:40" x14ac:dyDescent="0.25">
      <c r="A6931" t="str">
        <f>"20190305135408988"</f>
        <v>20190305135408988</v>
      </c>
      <c r="B6931" t="str">
        <f>"1551765248977488"</f>
        <v>1551765248977488</v>
      </c>
      <c r="C6931" t="s">
        <v>40</v>
      </c>
      <c r="D6931">
        <v>4.4923549999999999</v>
      </c>
      <c r="E6931">
        <v>0.50772879999999998</v>
      </c>
      <c r="F6931" t="s">
        <v>41</v>
      </c>
      <c r="G6931">
        <v>-154.8544</v>
      </c>
      <c r="H6931">
        <v>0.95432229999999996</v>
      </c>
      <c r="I6931">
        <v>137.61060000000001</v>
      </c>
      <c r="J6931">
        <v>-155.51759999999999</v>
      </c>
      <c r="K6931">
        <v>1.1036779999999999</v>
      </c>
      <c r="L6931">
        <v>137.67769999999999</v>
      </c>
      <c r="M6931">
        <v>0.9997646</v>
      </c>
      <c r="N6931">
        <v>-1.5141460000000001E-2</v>
      </c>
      <c r="O6931">
        <v>1.553568E-2</v>
      </c>
      <c r="P6931">
        <v>0.99778560000000005</v>
      </c>
      <c r="Q6931">
        <v>-4.8324010000000001E-2</v>
      </c>
      <c r="R6931">
        <v>-4.5698849999999999E-2</v>
      </c>
      <c r="S6931">
        <v>2.9726720000000002</v>
      </c>
      <c r="T6931">
        <v>-0.47862519999999997</v>
      </c>
      <c r="U6931">
        <v>-0.2235413</v>
      </c>
      <c r="V6931">
        <v>6.0716260000000001E-2</v>
      </c>
      <c r="W6931">
        <v>-3.4092989999999997E-2</v>
      </c>
      <c r="X6931">
        <v>0.99757269999999998</v>
      </c>
      <c r="Y6931">
        <v>8.9058319999999996E-2</v>
      </c>
      <c r="Z6931">
        <v>-1.004246E-2</v>
      </c>
      <c r="AA6931">
        <v>0.99597579999999997</v>
      </c>
      <c r="AB6931">
        <v>27</v>
      </c>
      <c r="AC6931">
        <v>0.66319999999998902</v>
      </c>
      <c r="AD6931">
        <v>-0.14935570000000001</v>
      </c>
      <c r="AE6931">
        <v>-6.7099999999982105E-2</v>
      </c>
      <c r="AF6931">
        <v>7.3696542198124604E-2</v>
      </c>
      <c r="AG6931">
        <v>-0.14935570000000001</v>
      </c>
      <c r="AH6931">
        <v>0.63042787733927197</v>
      </c>
      <c r="AI6931">
        <v>103.241343633611</v>
      </c>
      <c r="AJ6931">
        <v>83.332428553839506</v>
      </c>
      <c r="AK6931">
        <v>0.65205644999566603</v>
      </c>
      <c r="AL6931">
        <v>91.953762963596901</v>
      </c>
      <c r="AM6931">
        <v>86.517046492920798</v>
      </c>
      <c r="AN6931">
        <v>1.0000000439904</v>
      </c>
    </row>
    <row r="6932" spans="1:40" x14ac:dyDescent="0.25">
      <c r="A6932" t="str">
        <f>"20190305135409021"</f>
        <v>20190305135409021</v>
      </c>
      <c r="B6932" t="str">
        <f>"1551765249017505"</f>
        <v>1551765249017505</v>
      </c>
      <c r="C6932" t="s">
        <v>40</v>
      </c>
      <c r="D6932">
        <v>4.4953430000000001</v>
      </c>
      <c r="E6932">
        <v>0.48203950000000001</v>
      </c>
      <c r="F6932" t="s">
        <v>41</v>
      </c>
      <c r="G6932">
        <v>-154.61369999999999</v>
      </c>
      <c r="H6932">
        <v>0.95886090000000002</v>
      </c>
      <c r="I6932">
        <v>137.6112</v>
      </c>
      <c r="J6932">
        <v>-155.11279999999999</v>
      </c>
      <c r="K6932">
        <v>1.1040829999999999</v>
      </c>
      <c r="L6932">
        <v>137.67009999999999</v>
      </c>
      <c r="M6932">
        <v>0.99987669999999995</v>
      </c>
      <c r="N6932">
        <v>-1.519467E-2</v>
      </c>
      <c r="O6932">
        <v>3.9541530000000002E-3</v>
      </c>
      <c r="P6932">
        <v>0.99778219999999995</v>
      </c>
      <c r="Q6932">
        <v>-4.5081349999999999E-2</v>
      </c>
      <c r="R6932">
        <v>-4.897232E-2</v>
      </c>
      <c r="S6932">
        <v>2.9735719999999999</v>
      </c>
      <c r="T6932">
        <v>-0.47634199999999999</v>
      </c>
      <c r="U6932">
        <v>-0.21856690000000001</v>
      </c>
      <c r="V6932">
        <v>5.2512740000000002E-2</v>
      </c>
      <c r="W6932">
        <v>-3.0623540000000001E-2</v>
      </c>
      <c r="X6932">
        <v>0.9981506</v>
      </c>
      <c r="Y6932">
        <v>7.6148789999999994E-2</v>
      </c>
      <c r="Z6932">
        <v>-7.2048420000000004E-3</v>
      </c>
      <c r="AA6932">
        <v>0.99707040000000002</v>
      </c>
      <c r="AB6932">
        <v>26</v>
      </c>
      <c r="AC6932">
        <v>0.49909999999999799</v>
      </c>
      <c r="AD6932">
        <v>-0.14522209999999899</v>
      </c>
      <c r="AE6932">
        <v>-5.8899999999994103E-2</v>
      </c>
      <c r="AF6932">
        <v>5.6182109734786101E-2</v>
      </c>
      <c r="AG6932">
        <v>-0.14522209999999899</v>
      </c>
      <c r="AH6932">
        <v>0.46041847989389301</v>
      </c>
      <c r="AI6932">
        <v>107.38486583805199</v>
      </c>
      <c r="AJ6932">
        <v>83.042933030288296</v>
      </c>
      <c r="AK6932">
        <v>0.486036073157605</v>
      </c>
      <c r="AL6932">
        <v>91.754873947614996</v>
      </c>
      <c r="AM6932">
        <v>86.9884433501704</v>
      </c>
      <c r="AN6932">
        <v>1.00000000467239</v>
      </c>
    </row>
    <row r="6933" spans="1:40" x14ac:dyDescent="0.25">
      <c r="A6933" t="str">
        <f>"20190305135409054"</f>
        <v>20190305135409054</v>
      </c>
      <c r="B6933" t="str">
        <f>"1551765249046786"</f>
        <v>1551765249046786</v>
      </c>
      <c r="C6933" t="s">
        <v>40</v>
      </c>
      <c r="D6933">
        <v>4.526681</v>
      </c>
      <c r="E6933">
        <v>0.48383609999999999</v>
      </c>
      <c r="F6933" t="s">
        <v>41</v>
      </c>
      <c r="G6933">
        <v>-154.3321</v>
      </c>
      <c r="H6933">
        <v>1.0388630000000001</v>
      </c>
      <c r="I6933">
        <v>137.66730000000001</v>
      </c>
      <c r="J6933">
        <v>-154.7269</v>
      </c>
      <c r="K6933">
        <v>1.104544</v>
      </c>
      <c r="L6933">
        <v>137.6593</v>
      </c>
      <c r="M6933">
        <v>0.99986459999999999</v>
      </c>
      <c r="N6933">
        <v>-1.521844E-2</v>
      </c>
      <c r="O6933">
        <v>-6.24494E-3</v>
      </c>
      <c r="P6933">
        <v>0.9975638</v>
      </c>
      <c r="Q6933">
        <v>-4.2581899999999999E-2</v>
      </c>
      <c r="R6933">
        <v>-5.525741E-2</v>
      </c>
      <c r="S6933">
        <v>2.994888</v>
      </c>
      <c r="T6933">
        <v>-0.2500348</v>
      </c>
      <c r="U6933">
        <v>-1.010132E-2</v>
      </c>
      <c r="V6933">
        <v>4.8684619999999998E-2</v>
      </c>
      <c r="W6933">
        <v>-2.7993000000000001E-2</v>
      </c>
      <c r="X6933">
        <v>0.99842180000000003</v>
      </c>
      <c r="Y6933">
        <v>-2.8466189999999999E-3</v>
      </c>
      <c r="Z6933">
        <v>5.6588039999999997E-4</v>
      </c>
      <c r="AA6933">
        <v>0.99999579999999999</v>
      </c>
      <c r="AB6933">
        <v>26</v>
      </c>
      <c r="AC6933">
        <v>0.39480000000000298</v>
      </c>
      <c r="AD6933">
        <v>-6.56810000000001E-2</v>
      </c>
      <c r="AE6933">
        <v>8.0000000000097701E-3</v>
      </c>
      <c r="AF6933">
        <v>-1.01838843463028E-2</v>
      </c>
      <c r="AG6933">
        <v>-6.56810000000001E-2</v>
      </c>
      <c r="AH6933">
        <v>0.38411538433381998</v>
      </c>
      <c r="AI6933">
        <v>99.699983041432006</v>
      </c>
      <c r="AJ6933">
        <v>91.518702342650798</v>
      </c>
      <c r="AK6933">
        <v>0.389823464844405</v>
      </c>
      <c r="AL6933">
        <v>91.604090386240998</v>
      </c>
      <c r="AM6933">
        <v>87.208378657142404</v>
      </c>
      <c r="AN6933">
        <v>0.99999994549438997</v>
      </c>
    </row>
    <row r="6934" spans="1:40" x14ac:dyDescent="0.25">
      <c r="A6934" t="str">
        <f>"20190305135409073"</f>
        <v>20190305135409073</v>
      </c>
      <c r="B6934" t="str">
        <f>"1551765249067280"</f>
        <v>1551765249067280</v>
      </c>
      <c r="C6934" t="s">
        <v>40</v>
      </c>
      <c r="D6934">
        <v>4.5574389999999996</v>
      </c>
      <c r="E6934">
        <v>0.4841664</v>
      </c>
      <c r="F6934" t="s">
        <v>41</v>
      </c>
      <c r="G6934">
        <v>-153.8493</v>
      </c>
      <c r="H6934">
        <v>1.039242</v>
      </c>
      <c r="I6934">
        <v>137.64689999999999</v>
      </c>
      <c r="J6934">
        <v>-154.50139999999999</v>
      </c>
      <c r="K6934">
        <v>1.1048739999999999</v>
      </c>
      <c r="L6934">
        <v>137.65180000000001</v>
      </c>
      <c r="M6934">
        <v>0.99981580000000003</v>
      </c>
      <c r="N6934">
        <v>-1.5219389999999999E-2</v>
      </c>
      <c r="O6934">
        <v>-1.1701639999999999E-2</v>
      </c>
      <c r="P6934">
        <v>0.99762609999999996</v>
      </c>
      <c r="Q6934">
        <v>-4.0061289999999999E-2</v>
      </c>
      <c r="R6934">
        <v>-5.6009120000000003E-2</v>
      </c>
      <c r="S6934">
        <v>2.995514</v>
      </c>
      <c r="T6934">
        <v>-0.22272400000000001</v>
      </c>
      <c r="U6934">
        <v>-4.1976930000000003E-2</v>
      </c>
      <c r="V6934">
        <v>4.4040389999999999E-2</v>
      </c>
      <c r="W6934">
        <v>-2.537447E-2</v>
      </c>
      <c r="X6934">
        <v>0.99870749999999997</v>
      </c>
      <c r="Y6934">
        <v>2.3217820000000001E-3</v>
      </c>
      <c r="Z6934">
        <v>5.8697589999999998E-4</v>
      </c>
      <c r="AA6934">
        <v>0.99999709999999997</v>
      </c>
      <c r="AB6934">
        <v>26</v>
      </c>
      <c r="AC6934">
        <v>0.65209999999999002</v>
      </c>
      <c r="AD6934">
        <v>-6.5631999999999899E-2</v>
      </c>
      <c r="AE6934">
        <v>-4.9000000000205502E-3</v>
      </c>
      <c r="AF6934">
        <v>-2.7044639114307501E-3</v>
      </c>
      <c r="AG6934">
        <v>-6.5631999999999899E-2</v>
      </c>
      <c r="AH6934">
        <v>0.64557349592567603</v>
      </c>
      <c r="AI6934">
        <v>95.804959680649802</v>
      </c>
      <c r="AJ6934">
        <v>90.240024509196203</v>
      </c>
      <c r="AK6934">
        <v>0.64890678235841104</v>
      </c>
      <c r="AL6934">
        <v>91.454006031537205</v>
      </c>
      <c r="AM6934">
        <v>87.475041714840401</v>
      </c>
      <c r="AN6934">
        <v>1.00000004511769</v>
      </c>
    </row>
    <row r="6935" spans="1:40" x14ac:dyDescent="0.25">
      <c r="A6935" t="str">
        <f>"20190305135409094"</f>
        <v>20190305135409094</v>
      </c>
      <c r="B6935" t="str">
        <f>"1551765249086801"</f>
        <v>1551765249086801</v>
      </c>
      <c r="C6935" t="s">
        <v>40</v>
      </c>
      <c r="D6935">
        <v>4.5269329999999997</v>
      </c>
      <c r="E6935">
        <v>0.48529299999999997</v>
      </c>
      <c r="F6935" t="s">
        <v>42</v>
      </c>
      <c r="G6935">
        <v>-139.21029999999999</v>
      </c>
      <c r="H6935" s="1">
        <v>-8.4105620000000002E-7</v>
      </c>
      <c r="I6935">
        <v>137.41290000000001</v>
      </c>
      <c r="J6935">
        <v>-154.25409999999999</v>
      </c>
      <c r="K6935">
        <v>1.105272</v>
      </c>
      <c r="L6935">
        <v>137.64250000000001</v>
      </c>
      <c r="M6935">
        <v>0.99973590000000001</v>
      </c>
      <c r="N6935">
        <v>-1.5210929999999999E-2</v>
      </c>
      <c r="O6935">
        <v>-1.7229370000000001E-2</v>
      </c>
      <c r="P6935">
        <v>0.99760720000000003</v>
      </c>
      <c r="Q6935">
        <v>-3.9454469999999998E-2</v>
      </c>
      <c r="R6935">
        <v>-5.6775779999999998E-2</v>
      </c>
      <c r="S6935">
        <v>2.9958040000000001</v>
      </c>
      <c r="T6935">
        <v>-0.21646489999999999</v>
      </c>
      <c r="U6935">
        <v>-4.679871E-2</v>
      </c>
      <c r="V6935">
        <v>3.9318499999999999E-2</v>
      </c>
      <c r="W6935">
        <v>-2.4679719999999999E-2</v>
      </c>
      <c r="X6935">
        <v>0.99892190000000003</v>
      </c>
      <c r="Y6935">
        <v>-1.5791049999999999E-3</v>
      </c>
      <c r="Z6935">
        <v>1.0503209999999999E-3</v>
      </c>
      <c r="AA6935">
        <v>0.99999819999999995</v>
      </c>
      <c r="AB6935">
        <v>26</v>
      </c>
      <c r="AC6935">
        <v>15.043799999999999</v>
      </c>
      <c r="AD6935">
        <v>-1.1052728410562001</v>
      </c>
      <c r="AE6935">
        <v>-0.229600000000004</v>
      </c>
      <c r="AF6935">
        <v>-2.95000627862076E-2</v>
      </c>
      <c r="AG6935">
        <v>-1.1052728410562001</v>
      </c>
      <c r="AH6935">
        <v>14.9647634431448</v>
      </c>
      <c r="AI6935">
        <v>94.224094196263493</v>
      </c>
      <c r="AJ6935">
        <v>90.112947118076406</v>
      </c>
      <c r="AK6935">
        <v>15.0055537457357</v>
      </c>
      <c r="AL6935">
        <v>91.4141873845536</v>
      </c>
      <c r="AM6935">
        <v>87.745948119810706</v>
      </c>
      <c r="AN6935">
        <v>0.99999999766056902</v>
      </c>
    </row>
    <row r="6936" spans="1:40" x14ac:dyDescent="0.25">
      <c r="A6936" t="str">
        <f>"20190305135409115"</f>
        <v>20190305135409115</v>
      </c>
      <c r="B6936" t="str">
        <f>"1551765249107297"</f>
        <v>1551765249107297</v>
      </c>
      <c r="C6936" t="s">
        <v>40</v>
      </c>
      <c r="D6936">
        <v>4.9110060000000004</v>
      </c>
      <c r="E6936">
        <v>0.48583720000000002</v>
      </c>
      <c r="F6936" t="s">
        <v>42</v>
      </c>
      <c r="G6936">
        <v>-139.05619999999999</v>
      </c>
      <c r="H6936" s="1">
        <v>-9.1072099999999997E-7</v>
      </c>
      <c r="I6936">
        <v>137.34809999999999</v>
      </c>
      <c r="J6936">
        <v>-154.005</v>
      </c>
      <c r="K6936">
        <v>1.1057269999999999</v>
      </c>
      <c r="L6936">
        <v>137.63249999999999</v>
      </c>
      <c r="M6936">
        <v>0.9996372</v>
      </c>
      <c r="N6936">
        <v>-1.519569E-2</v>
      </c>
      <c r="O6936">
        <v>-2.2238500000000001E-2</v>
      </c>
      <c r="P6936">
        <v>0.99751469999999998</v>
      </c>
      <c r="Q6936">
        <v>-4.0250649999999999E-2</v>
      </c>
      <c r="R6936">
        <v>-5.7830989999999999E-2</v>
      </c>
      <c r="S6936">
        <v>2.9952999999999999</v>
      </c>
      <c r="T6936">
        <v>-0.2178332</v>
      </c>
      <c r="U6936">
        <v>-5.8013919999999997E-2</v>
      </c>
      <c r="V6936">
        <v>3.5392060000000003E-2</v>
      </c>
      <c r="W6936">
        <v>-2.5408199999999999E-2</v>
      </c>
      <c r="X6936">
        <v>0.99905040000000001</v>
      </c>
      <c r="Y6936">
        <v>-2.8312469999999998E-3</v>
      </c>
      <c r="Z6936">
        <v>1.401575E-3</v>
      </c>
      <c r="AA6936">
        <v>0.99999499999999997</v>
      </c>
      <c r="AB6936">
        <v>26</v>
      </c>
      <c r="AC6936">
        <v>14.9488</v>
      </c>
      <c r="AD6936">
        <v>-1.1057279107210001</v>
      </c>
      <c r="AE6936">
        <v>-0.28440000000000498</v>
      </c>
      <c r="AF6936">
        <v>-4.7885730114311298E-2</v>
      </c>
      <c r="AG6936">
        <v>-1.1057279107210001</v>
      </c>
      <c r="AH6936">
        <v>14.870099484016601</v>
      </c>
      <c r="AI6936">
        <v>94.252616821223796</v>
      </c>
      <c r="AJ6936">
        <v>90.184507222258404</v>
      </c>
      <c r="AK6936">
        <v>14.911230194730599</v>
      </c>
      <c r="AL6936">
        <v>91.455939397170596</v>
      </c>
      <c r="AM6936">
        <v>87.971105346712505</v>
      </c>
      <c r="AN6936">
        <v>0.99999993813921995</v>
      </c>
    </row>
    <row r="6937" spans="1:40" x14ac:dyDescent="0.25">
      <c r="A6937" t="str">
        <f>"20190305135409139"</f>
        <v>20190305135409139</v>
      </c>
      <c r="B6937" t="str">
        <f>"1551765249126817"</f>
        <v>1551765249126817</v>
      </c>
      <c r="C6937" t="s">
        <v>40</v>
      </c>
      <c r="D6937">
        <v>4.5974539999999999</v>
      </c>
      <c r="E6937">
        <v>0.48649530000000002</v>
      </c>
      <c r="F6937" t="s">
        <v>42</v>
      </c>
      <c r="G6937">
        <v>-139.34960000000001</v>
      </c>
      <c r="H6937" s="1">
        <v>-8.2063179999999998E-7</v>
      </c>
      <c r="I6937">
        <v>137.3115</v>
      </c>
      <c r="J6937">
        <v>-153.72380000000001</v>
      </c>
      <c r="K6937">
        <v>1.106284</v>
      </c>
      <c r="L6937">
        <v>137.62049999999999</v>
      </c>
      <c r="M6937">
        <v>0.99951650000000003</v>
      </c>
      <c r="N6937">
        <v>-1.517373E-2</v>
      </c>
      <c r="O6937">
        <v>-2.713689E-2</v>
      </c>
      <c r="P6937">
        <v>0.99736749999999996</v>
      </c>
      <c r="Q6937">
        <v>-4.1864529999999997E-2</v>
      </c>
      <c r="R6937">
        <v>-5.9208139999999999E-2</v>
      </c>
      <c r="S6937">
        <v>2.9945529999999998</v>
      </c>
      <c r="T6937">
        <v>-0.22593379999999999</v>
      </c>
      <c r="U6937">
        <v>-6.5582280000000007E-2</v>
      </c>
      <c r="V6937">
        <v>3.1900659999999997E-2</v>
      </c>
      <c r="W6937">
        <v>-2.6965869999999999E-2</v>
      </c>
      <c r="X6937">
        <v>0.99912719999999999</v>
      </c>
      <c r="Y6937">
        <v>-5.1794529999999997E-3</v>
      </c>
      <c r="Z6937">
        <v>1.8670570000000001E-3</v>
      </c>
      <c r="AA6937">
        <v>0.99998489999999995</v>
      </c>
      <c r="AB6937">
        <v>26</v>
      </c>
      <c r="AC6937">
        <v>14.3742</v>
      </c>
      <c r="AD6937">
        <v>-1.1062848206317999</v>
      </c>
      <c r="AE6937">
        <v>-0.308999999999997</v>
      </c>
      <c r="AF6937">
        <v>-8.0751743184187694E-2</v>
      </c>
      <c r="AG6937">
        <v>-1.1062848206317999</v>
      </c>
      <c r="AH6937">
        <v>14.2926701955427</v>
      </c>
      <c r="AI6937">
        <v>94.425927047486198</v>
      </c>
      <c r="AJ6937">
        <v>90.323710320070603</v>
      </c>
      <c r="AK6937">
        <v>14.3356481634749</v>
      </c>
      <c r="AL6937">
        <v>91.545217871732603</v>
      </c>
      <c r="AM6937">
        <v>88.171251403043399</v>
      </c>
      <c r="AN6937">
        <v>0.99999998601656603</v>
      </c>
    </row>
    <row r="6938" spans="1:40" x14ac:dyDescent="0.25">
      <c r="A6938" t="str">
        <f>"20190305135409156"</f>
        <v>20190305135409156</v>
      </c>
      <c r="B6938" t="str">
        <f>"1551765249147313"</f>
        <v>1551765249147313</v>
      </c>
      <c r="C6938" t="s">
        <v>40</v>
      </c>
      <c r="D6938">
        <v>4.6209920000000002</v>
      </c>
      <c r="E6938">
        <v>0.48741200000000001</v>
      </c>
      <c r="F6938" t="s">
        <v>42</v>
      </c>
      <c r="G6938">
        <v>-139.90799999999999</v>
      </c>
      <c r="H6938" s="1">
        <v>-6.4089839999999999E-7</v>
      </c>
      <c r="I6938">
        <v>137.27279999999999</v>
      </c>
      <c r="J6938">
        <v>-153.52260000000001</v>
      </c>
      <c r="K6938">
        <v>1.106706</v>
      </c>
      <c r="L6938">
        <v>137.61160000000001</v>
      </c>
      <c r="M6938">
        <v>0.9994326</v>
      </c>
      <c r="N6938">
        <v>-1.5155780000000001E-2</v>
      </c>
      <c r="O6938">
        <v>-3.0080570000000001E-2</v>
      </c>
      <c r="P6938">
        <v>0.99727270000000001</v>
      </c>
      <c r="Q6938">
        <v>-4.403224E-2</v>
      </c>
      <c r="R6938">
        <v>-5.9231529999999998E-2</v>
      </c>
      <c r="S6938">
        <v>2.9933930000000002</v>
      </c>
      <c r="T6938">
        <v>-0.23969109999999999</v>
      </c>
      <c r="U6938">
        <v>-7.5317380000000003E-2</v>
      </c>
      <c r="V6938">
        <v>2.899871E-2</v>
      </c>
      <c r="W6938">
        <v>-2.909728E-2</v>
      </c>
      <c r="X6938">
        <v>0.99915589999999999</v>
      </c>
      <c r="Y6938">
        <v>-4.8509820000000002E-3</v>
      </c>
      <c r="Z6938">
        <v>2.1792880000000001E-3</v>
      </c>
      <c r="AA6938">
        <v>0.99998589999999998</v>
      </c>
      <c r="AB6938">
        <v>26</v>
      </c>
      <c r="AC6938">
        <v>13.614599999999999</v>
      </c>
      <c r="AD6938">
        <v>-1.1067066408984001</v>
      </c>
      <c r="AE6938">
        <v>-0.33880000000001997</v>
      </c>
      <c r="AF6938">
        <v>-7.0469947221143595E-2</v>
      </c>
      <c r="AG6938">
        <v>-1.1067066408984001</v>
      </c>
      <c r="AH6938">
        <v>13.5292869762434</v>
      </c>
      <c r="AI6938">
        <v>94.676366021576001</v>
      </c>
      <c r="AJ6938">
        <v>90.298433616762694</v>
      </c>
      <c r="AK6938">
        <v>13.5746591739174</v>
      </c>
      <c r="AL6938">
        <v>91.667386603859498</v>
      </c>
      <c r="AM6938">
        <v>88.337559324540294</v>
      </c>
      <c r="AN6938">
        <v>1.00000004469493</v>
      </c>
    </row>
    <row r="6939" spans="1:40" x14ac:dyDescent="0.25">
      <c r="A6939" t="str">
        <f>"20190305135409182"</f>
        <v>20190305135409182</v>
      </c>
      <c r="B6939" t="str">
        <f>"1551765249176593"</f>
        <v>1551765249176593</v>
      </c>
      <c r="C6939" t="s">
        <v>40</v>
      </c>
      <c r="D6939">
        <v>4.6568480000000001</v>
      </c>
      <c r="E6939">
        <v>0.4880466</v>
      </c>
      <c r="F6939" t="s">
        <v>41</v>
      </c>
      <c r="G6939">
        <v>-152.6823</v>
      </c>
      <c r="H6939">
        <v>1.035709</v>
      </c>
      <c r="I6939">
        <v>137.5883</v>
      </c>
      <c r="J6939">
        <v>-153.2285</v>
      </c>
      <c r="K6939">
        <v>1.1073820000000001</v>
      </c>
      <c r="L6939">
        <v>137.5985</v>
      </c>
      <c r="M6939">
        <v>0.99932080000000001</v>
      </c>
      <c r="N6939">
        <v>-1.520403E-2</v>
      </c>
      <c r="O6939">
        <v>-3.3570320000000001E-2</v>
      </c>
      <c r="P6939">
        <v>0.99710259999999995</v>
      </c>
      <c r="Q6939">
        <v>-4.584543E-2</v>
      </c>
      <c r="R6939">
        <v>-6.0704309999999997E-2</v>
      </c>
      <c r="S6939">
        <v>2.9921259999999998</v>
      </c>
      <c r="T6939">
        <v>-0.25278909999999999</v>
      </c>
      <c r="U6939">
        <v>-8.2870479999999996E-2</v>
      </c>
      <c r="V6939">
        <v>2.7025690000000002E-2</v>
      </c>
      <c r="W6939">
        <v>-3.080544E-2</v>
      </c>
      <c r="X6939">
        <v>0.99916000000000005</v>
      </c>
      <c r="Y6939">
        <v>-5.7867569999999896E-3</v>
      </c>
      <c r="Z6939">
        <v>2.6082060000000001E-3</v>
      </c>
      <c r="AA6939">
        <v>0.99997990000000003</v>
      </c>
      <c r="AB6939">
        <v>26</v>
      </c>
      <c r="AC6939">
        <v>0.54619999999999802</v>
      </c>
      <c r="AD6939">
        <v>-7.1672999999999806E-2</v>
      </c>
      <c r="AE6939">
        <v>-1.0199999999997499E-2</v>
      </c>
      <c r="AF6939">
        <v>-8.0061671108996191E-3</v>
      </c>
      <c r="AG6939">
        <v>-7.1672999999999806E-2</v>
      </c>
      <c r="AH6939">
        <v>0.53699129790631595</v>
      </c>
      <c r="AI6939">
        <v>97.601582810786894</v>
      </c>
      <c r="AJ6939">
        <v>90.854176972066995</v>
      </c>
      <c r="AK6939">
        <v>0.54181248755258204</v>
      </c>
      <c r="AL6939">
        <v>91.765300916990398</v>
      </c>
      <c r="AM6939">
        <v>88.450618003825994</v>
      </c>
      <c r="AN6939">
        <v>1.0000000343267801</v>
      </c>
    </row>
    <row r="6940" spans="1:40" x14ac:dyDescent="0.25">
      <c r="A6940" t="str">
        <f>"20190305135409202"</f>
        <v>20190305135409202</v>
      </c>
      <c r="B6940" t="str">
        <f>"1551765249197088"</f>
        <v>1551765249197088</v>
      </c>
      <c r="C6940" t="s">
        <v>40</v>
      </c>
      <c r="D6940">
        <v>4.5982890000000003</v>
      </c>
      <c r="E6940">
        <v>0.4894616</v>
      </c>
      <c r="F6940" t="s">
        <v>41</v>
      </c>
      <c r="G6940">
        <v>-152.44730000000001</v>
      </c>
      <c r="H6940">
        <v>1.037766</v>
      </c>
      <c r="I6940">
        <v>137.57409999999999</v>
      </c>
      <c r="J6940">
        <v>-152.98570000000001</v>
      </c>
      <c r="K6940">
        <v>1.1080049999999999</v>
      </c>
      <c r="L6940">
        <v>137.58770000000001</v>
      </c>
      <c r="M6940">
        <v>0.99924360000000001</v>
      </c>
      <c r="N6940">
        <v>-1.543986E-2</v>
      </c>
      <c r="O6940">
        <v>-3.5691100000000003E-2</v>
      </c>
      <c r="P6940">
        <v>0.99709179999999997</v>
      </c>
      <c r="Q6940">
        <v>-4.76158E-2</v>
      </c>
      <c r="R6940">
        <v>-5.950366E-2</v>
      </c>
      <c r="S6940">
        <v>2.9908139999999999</v>
      </c>
      <c r="T6940">
        <v>-0.26660050000000002</v>
      </c>
      <c r="U6940">
        <v>-9.2773439999999999E-2</v>
      </c>
      <c r="V6940">
        <v>2.3740549999999999E-2</v>
      </c>
      <c r="W6940">
        <v>-3.2290859999999998E-2</v>
      </c>
      <c r="X6940">
        <v>0.99919650000000004</v>
      </c>
      <c r="Y6940">
        <v>-4.5755789999999998E-3</v>
      </c>
      <c r="Z6940">
        <v>2.8621649999999998E-3</v>
      </c>
      <c r="AA6940">
        <v>0.99998549999999997</v>
      </c>
      <c r="AB6940">
        <v>26</v>
      </c>
      <c r="AC6940">
        <v>0.53839999999999499</v>
      </c>
      <c r="AD6940">
        <v>-7.0238999999999899E-2</v>
      </c>
      <c r="AE6940">
        <v>-1.3600000000025101E-2</v>
      </c>
      <c r="AF6940">
        <v>-5.5329382496030399E-3</v>
      </c>
      <c r="AG6940">
        <v>-7.0238999999999899E-2</v>
      </c>
      <c r="AH6940">
        <v>0.52953566411042097</v>
      </c>
      <c r="AI6940">
        <v>97.555348739160394</v>
      </c>
      <c r="AJ6940">
        <v>90.598642349578995</v>
      </c>
      <c r="AK6940">
        <v>0.53420234938788702</v>
      </c>
      <c r="AL6940">
        <v>91.850451705429506</v>
      </c>
      <c r="AM6940">
        <v>88.638928934297397</v>
      </c>
      <c r="AN6940">
        <v>0.99999997948304498</v>
      </c>
    </row>
    <row r="6941" spans="1:40" x14ac:dyDescent="0.25">
      <c r="A6941" t="str">
        <f>"20190305135409223"</f>
        <v>20190305135409223</v>
      </c>
      <c r="B6941" t="str">
        <f>"1551765249216608"</f>
        <v>1551765249216608</v>
      </c>
      <c r="C6941" t="s">
        <v>40</v>
      </c>
      <c r="D6941">
        <v>4.8777949999999999</v>
      </c>
      <c r="E6941">
        <v>0.4913632</v>
      </c>
      <c r="F6941" t="s">
        <v>41</v>
      </c>
      <c r="G6941">
        <v>-152.21700000000001</v>
      </c>
      <c r="H6941">
        <v>1.038349</v>
      </c>
      <c r="I6941">
        <v>137.56180000000001</v>
      </c>
      <c r="J6941">
        <v>-152.7456</v>
      </c>
      <c r="K6941">
        <v>1.108673</v>
      </c>
      <c r="L6941">
        <v>137.57730000000001</v>
      </c>
      <c r="M6941">
        <v>0.99918430000000003</v>
      </c>
      <c r="N6941">
        <v>-1.5869290000000001E-2</v>
      </c>
      <c r="O6941">
        <v>-3.7133520000000003E-2</v>
      </c>
      <c r="P6941">
        <v>0.99726300000000001</v>
      </c>
      <c r="Q6941">
        <v>-4.6522809999999998E-2</v>
      </c>
      <c r="R6941">
        <v>-5.7466259999999998E-2</v>
      </c>
      <c r="S6941">
        <v>2.9898220000000002</v>
      </c>
      <c r="T6941">
        <v>-0.27096330000000002</v>
      </c>
      <c r="U6941">
        <v>-0.1005096</v>
      </c>
      <c r="V6941">
        <v>2.0301489999999998E-2</v>
      </c>
      <c r="W6941">
        <v>-3.072685E-2</v>
      </c>
      <c r="X6941">
        <v>0.99932160000000003</v>
      </c>
      <c r="Y6941">
        <v>-3.4223230000000001E-3</v>
      </c>
      <c r="Z6941">
        <v>2.9500260000000001E-3</v>
      </c>
      <c r="AA6941">
        <v>0.99998980000000004</v>
      </c>
      <c r="AB6941">
        <v>26</v>
      </c>
      <c r="AC6941">
        <v>0.52859999999998297</v>
      </c>
      <c r="AD6941">
        <v>-7.0323999999999998E-2</v>
      </c>
      <c r="AE6941">
        <v>-1.55000000000029E-2</v>
      </c>
      <c r="AF6941">
        <v>-4.0699704015024502E-3</v>
      </c>
      <c r="AG6941">
        <v>-7.0323999999999998E-2</v>
      </c>
      <c r="AH6941">
        <v>0.51962200616801701</v>
      </c>
      <c r="AI6941">
        <v>97.707167393461205</v>
      </c>
      <c r="AJ6941">
        <v>90.448763438530605</v>
      </c>
      <c r="AK6941">
        <v>0.52437492210168102</v>
      </c>
      <c r="AL6941">
        <v>91.760796013672504</v>
      </c>
      <c r="AM6941">
        <v>88.836180750692293</v>
      </c>
      <c r="AN6941">
        <v>0.99999997501685101</v>
      </c>
    </row>
    <row r="6942" spans="1:40" x14ac:dyDescent="0.25">
      <c r="A6942" t="str">
        <f>"20190305135409316"</f>
        <v>20190305135409316</v>
      </c>
      <c r="B6942" t="str">
        <f>"1551765249307377"</f>
        <v>1551765249307377</v>
      </c>
      <c r="C6942" t="s">
        <v>40</v>
      </c>
      <c r="D6942">
        <v>4.7953970000000004</v>
      </c>
      <c r="E6942">
        <v>0.5617415</v>
      </c>
      <c r="F6942" t="s">
        <v>42</v>
      </c>
      <c r="G6942">
        <v>-138.1309</v>
      </c>
      <c r="H6942" s="1">
        <v>-1.2846719999999901E-6</v>
      </c>
      <c r="I6942">
        <v>137.12610000000001</v>
      </c>
      <c r="J6942">
        <v>-151.71129999999999</v>
      </c>
      <c r="K6942">
        <v>1.1108979999999999</v>
      </c>
      <c r="L6942">
        <v>137.53729999999999</v>
      </c>
      <c r="M6942">
        <v>0.99916349999999998</v>
      </c>
      <c r="N6942">
        <v>-1.812451E-2</v>
      </c>
      <c r="O6942">
        <v>-3.6658160000000002E-2</v>
      </c>
      <c r="P6942">
        <v>0.99821660000000001</v>
      </c>
      <c r="Q6942">
        <v>-3.3909059999999998E-2</v>
      </c>
      <c r="R6942">
        <v>-4.913095E-2</v>
      </c>
      <c r="S6942">
        <v>2.9925540000000002</v>
      </c>
      <c r="T6942">
        <v>-0.24048919999999999</v>
      </c>
      <c r="U6942">
        <v>-9.0835570000000004E-2</v>
      </c>
      <c r="V6942">
        <v>1.2518639999999999E-2</v>
      </c>
      <c r="W6942">
        <v>-1.5775330000000001E-2</v>
      </c>
      <c r="X6942">
        <v>0.99979720000000005</v>
      </c>
      <c r="Y6942">
        <v>-6.2324579999999997E-3</v>
      </c>
      <c r="Z6942">
        <v>2.5825129999999998E-3</v>
      </c>
      <c r="AA6942">
        <v>0.99997720000000001</v>
      </c>
      <c r="AB6942">
        <v>25</v>
      </c>
      <c r="AC6942">
        <v>13.5803999999999</v>
      </c>
      <c r="AD6942">
        <v>-1.1108992846719901</v>
      </c>
      <c r="AE6942">
        <v>-0.41119999999997903</v>
      </c>
      <c r="AF6942">
        <v>-8.6413029216418594E-2</v>
      </c>
      <c r="AG6942">
        <v>-1.1108992846719901</v>
      </c>
      <c r="AH6942">
        <v>13.496118715527899</v>
      </c>
      <c r="AI6942">
        <v>94.705454773084199</v>
      </c>
      <c r="AJ6942">
        <v>90.366848744941507</v>
      </c>
      <c r="AK6942">
        <v>13.542037690684699</v>
      </c>
      <c r="AL6942">
        <v>90.903897314506906</v>
      </c>
      <c r="AM6942">
        <v>89.282626760202405</v>
      </c>
      <c r="AN6942">
        <v>1.00000000925594</v>
      </c>
    </row>
    <row r="6943" spans="1:40" x14ac:dyDescent="0.25">
      <c r="A6943" t="str">
        <f>"20190305135409337"</f>
        <v>20190305135409337</v>
      </c>
      <c r="B6943" t="str">
        <f>"1551765249326897"</f>
        <v>1551765249326897</v>
      </c>
      <c r="C6943" t="s">
        <v>40</v>
      </c>
      <c r="D6943">
        <v>4.5610520000000001</v>
      </c>
      <c r="E6943">
        <v>0.55801409999999996</v>
      </c>
      <c r="F6943" t="s">
        <v>41</v>
      </c>
      <c r="G6943">
        <v>-150.94489999999999</v>
      </c>
      <c r="H6943">
        <v>0.88748660000000001</v>
      </c>
      <c r="I6943">
        <v>137.36160000000001</v>
      </c>
      <c r="J6943">
        <v>-151.464</v>
      </c>
      <c r="K6943">
        <v>1.111248</v>
      </c>
      <c r="L6943">
        <v>137.52930000000001</v>
      </c>
      <c r="M6943">
        <v>0.99920050000000005</v>
      </c>
      <c r="N6943">
        <v>-1.860529E-2</v>
      </c>
      <c r="O6943">
        <v>-3.5388749999999997E-2</v>
      </c>
      <c r="P6943">
        <v>0.99833519999999998</v>
      </c>
      <c r="Q6943">
        <v>-3.5232060000000003E-2</v>
      </c>
      <c r="R6943">
        <v>-4.5669090000000002E-2</v>
      </c>
      <c r="S6943">
        <v>2.9430079999999998</v>
      </c>
      <c r="T6943">
        <v>-0.85790820000000001</v>
      </c>
      <c r="U6943">
        <v>-0.67446899999999999</v>
      </c>
      <c r="V6943">
        <v>1.033775E-2</v>
      </c>
      <c r="W6943">
        <v>-1.661261E-2</v>
      </c>
      <c r="X6943">
        <v>0.99980849999999999</v>
      </c>
      <c r="Y6943">
        <v>0.18227090000000001</v>
      </c>
      <c r="Z6943">
        <v>-1.8130239999999999E-2</v>
      </c>
      <c r="AA6943">
        <v>0.98308119999999999</v>
      </c>
      <c r="AB6943">
        <v>25</v>
      </c>
      <c r="AC6943">
        <v>0.519100000000008</v>
      </c>
      <c r="AD6943">
        <v>-0.2237614</v>
      </c>
      <c r="AE6943">
        <v>-0.16769999999999599</v>
      </c>
      <c r="AF6943">
        <v>0.127730755847932</v>
      </c>
      <c r="AG6943">
        <v>-0.2237614</v>
      </c>
      <c r="AH6943">
        <v>0.44914231183430903</v>
      </c>
      <c r="AI6943">
        <v>115.603552003307</v>
      </c>
      <c r="AJ6943">
        <v>74.124875616089</v>
      </c>
      <c r="AK6943">
        <v>0.51779641404640098</v>
      </c>
      <c r="AL6943">
        <v>90.951876281013796</v>
      </c>
      <c r="AM6943">
        <v>89.407598216981</v>
      </c>
      <c r="AN6943">
        <v>0.99999994227916</v>
      </c>
    </row>
    <row r="6944" spans="1:40" x14ac:dyDescent="0.25">
      <c r="A6944" t="str">
        <f>"20190305135409360"</f>
        <v>20190305135409360</v>
      </c>
      <c r="B6944" t="str">
        <f>"1551765249347393"</f>
        <v>1551765249347393</v>
      </c>
      <c r="C6944" t="s">
        <v>40</v>
      </c>
      <c r="D6944">
        <v>4.5766359999999997</v>
      </c>
      <c r="E6944">
        <v>0.55308009999999996</v>
      </c>
      <c r="F6944" t="s">
        <v>41</v>
      </c>
      <c r="G6944">
        <v>-150.71969999999999</v>
      </c>
      <c r="H6944">
        <v>0.90021649999999998</v>
      </c>
      <c r="I6944">
        <v>137.36920000000001</v>
      </c>
      <c r="J6944">
        <v>-151.22450000000001</v>
      </c>
      <c r="K6944">
        <v>1.1115360000000001</v>
      </c>
      <c r="L6944">
        <v>137.5224</v>
      </c>
      <c r="M6944">
        <v>0.99924619999999997</v>
      </c>
      <c r="N6944">
        <v>-1.9077299999999998E-2</v>
      </c>
      <c r="O6944">
        <v>-3.3808320000000003E-2</v>
      </c>
      <c r="P6944">
        <v>0.99827779999999999</v>
      </c>
      <c r="Q6944">
        <v>-4.075521E-2</v>
      </c>
      <c r="R6944">
        <v>-4.2194500000000003E-2</v>
      </c>
      <c r="S6944">
        <v>2.946564</v>
      </c>
      <c r="T6944">
        <v>-0.83547260000000001</v>
      </c>
      <c r="U6944">
        <v>-0.63310239999999995</v>
      </c>
      <c r="V6944">
        <v>8.4726260000000005E-3</v>
      </c>
      <c r="W6944">
        <v>-2.1664269999999999E-2</v>
      </c>
      <c r="X6944">
        <v>0.99972939999999999</v>
      </c>
      <c r="Y6944">
        <v>0.1710864</v>
      </c>
      <c r="Z6944">
        <v>-1.655181E-2</v>
      </c>
      <c r="AA6944">
        <v>0.98511700000000002</v>
      </c>
      <c r="AB6944">
        <v>25</v>
      </c>
      <c r="AC6944">
        <v>0.50480000000001701</v>
      </c>
      <c r="AD6944">
        <v>-0.21131949999999999</v>
      </c>
      <c r="AE6944">
        <v>-0.153199999999998</v>
      </c>
      <c r="AF6944">
        <v>0.117231463669917</v>
      </c>
      <c r="AG6944">
        <v>-0.21131949999999999</v>
      </c>
      <c r="AH6944">
        <v>0.43921387342694002</v>
      </c>
      <c r="AI6944">
        <v>114.931708178676</v>
      </c>
      <c r="AJ6944">
        <v>75.055459022379196</v>
      </c>
      <c r="AK6944">
        <v>0.50130626743053697</v>
      </c>
      <c r="AL6944">
        <v>91.241368354731605</v>
      </c>
      <c r="AM6944">
        <v>89.514434516545705</v>
      </c>
      <c r="AN6944">
        <v>0.99999999960516395</v>
      </c>
    </row>
    <row r="6945" spans="1:40" x14ac:dyDescent="0.25">
      <c r="A6945" t="str">
        <f>"20190305135409386"</f>
        <v>20190305135409386</v>
      </c>
      <c r="B6945" t="str">
        <f>"1551765249376673"</f>
        <v>1551765249376673</v>
      </c>
      <c r="C6945" t="s">
        <v>40</v>
      </c>
      <c r="D6945">
        <v>4.6390029999999998</v>
      </c>
      <c r="E6945">
        <v>0.54622299999999901</v>
      </c>
      <c r="F6945" t="s">
        <v>41</v>
      </c>
      <c r="G6945">
        <v>-150.49469999999999</v>
      </c>
      <c r="H6945">
        <v>0.91609969999999996</v>
      </c>
      <c r="I6945">
        <v>137.37870000000001</v>
      </c>
      <c r="J6945">
        <v>-150.93889999999999</v>
      </c>
      <c r="K6945">
        <v>1.1118509999999999</v>
      </c>
      <c r="L6945">
        <v>137.51519999999999</v>
      </c>
      <c r="M6945">
        <v>0.99930949999999996</v>
      </c>
      <c r="N6945">
        <v>-1.968201E-2</v>
      </c>
      <c r="O6945">
        <v>-3.1519169999999999E-2</v>
      </c>
      <c r="P6945">
        <v>0.99806079999999997</v>
      </c>
      <c r="Q6945">
        <v>-4.887851E-2</v>
      </c>
      <c r="R6945">
        <v>-3.8549300000000002E-2</v>
      </c>
      <c r="S6945">
        <v>2.94841</v>
      </c>
      <c r="T6945">
        <v>-0.78959939999999995</v>
      </c>
      <c r="U6945">
        <v>-0.58056640000000004</v>
      </c>
      <c r="V6945">
        <v>7.1661110000000002E-3</v>
      </c>
      <c r="W6945">
        <v>-2.9186589999999998E-2</v>
      </c>
      <c r="X6945">
        <v>0.99954829999999995</v>
      </c>
      <c r="Y6945">
        <v>0.1573368</v>
      </c>
      <c r="Z6945">
        <v>-1.449989E-2</v>
      </c>
      <c r="AA6945">
        <v>0.98743860000000006</v>
      </c>
      <c r="AB6945">
        <v>25</v>
      </c>
      <c r="AC6945">
        <v>0.44419999999999499</v>
      </c>
      <c r="AD6945">
        <v>-0.19575129999999999</v>
      </c>
      <c r="AE6945">
        <v>-0.136499999999983</v>
      </c>
      <c r="AF6945">
        <v>0.10397819187801501</v>
      </c>
      <c r="AG6945">
        <v>-0.19575129999999999</v>
      </c>
      <c r="AH6945">
        <v>0.38072463580405402</v>
      </c>
      <c r="AI6945">
        <v>116.38095078313</v>
      </c>
      <c r="AJ6945">
        <v>74.724684706974102</v>
      </c>
      <c r="AK6945">
        <v>0.44054657432108202</v>
      </c>
      <c r="AL6945">
        <v>91.672505926816697</v>
      </c>
      <c r="AM6945">
        <v>89.589233575447693</v>
      </c>
      <c r="AN6945">
        <v>1.0000000071077899</v>
      </c>
    </row>
    <row r="6946" spans="1:40" x14ac:dyDescent="0.25">
      <c r="A6946" t="str">
        <f>"20190305135409405"</f>
        <v>20190305135409405</v>
      </c>
      <c r="B6946" t="str">
        <f>"1551765249387409"</f>
        <v>1551765249387409</v>
      </c>
      <c r="C6946" t="s">
        <v>40</v>
      </c>
      <c r="D6946">
        <v>4.6376179999999998</v>
      </c>
      <c r="E6946">
        <v>0.54472390000000004</v>
      </c>
      <c r="F6946" t="s">
        <v>41</v>
      </c>
      <c r="G6946">
        <v>-150.07859999999999</v>
      </c>
      <c r="H6946">
        <v>0.88485550000000002</v>
      </c>
      <c r="I6946">
        <v>137.3655</v>
      </c>
      <c r="J6946">
        <v>-150.72899999999899</v>
      </c>
      <c r="K6946">
        <v>1.1120490000000001</v>
      </c>
      <c r="L6946">
        <v>137.51079999999999</v>
      </c>
      <c r="M6946">
        <v>0.99935969999999996</v>
      </c>
      <c r="N6946">
        <v>-2.017147E-2</v>
      </c>
      <c r="O6946">
        <v>-2.9557779999999999E-2</v>
      </c>
      <c r="P6946">
        <v>0.99781980000000003</v>
      </c>
      <c r="Q6946">
        <v>-5.5494700000000001E-2</v>
      </c>
      <c r="R6946">
        <v>-3.5723619999999998E-2</v>
      </c>
      <c r="S6946">
        <v>2.947937</v>
      </c>
      <c r="T6946">
        <v>-0.77786549999999999</v>
      </c>
      <c r="U6946">
        <v>-0.51278690000000005</v>
      </c>
      <c r="V6946">
        <v>6.3449810000000004E-3</v>
      </c>
      <c r="W6946">
        <v>-3.5319150000000001E-2</v>
      </c>
      <c r="X6946">
        <v>0.99935589999999996</v>
      </c>
      <c r="Y6946">
        <v>0.13805539999999999</v>
      </c>
      <c r="Z6946">
        <v>-1.218343E-2</v>
      </c>
      <c r="AA6946">
        <v>0.99034960000000005</v>
      </c>
      <c r="AB6946">
        <v>24</v>
      </c>
      <c r="AC6946">
        <v>0.65039999999998999</v>
      </c>
      <c r="AD6946">
        <v>-0.22719349999999999</v>
      </c>
      <c r="AE6946">
        <v>-0.14529999999999099</v>
      </c>
      <c r="AF6946">
        <v>0.112888356603153</v>
      </c>
      <c r="AG6946">
        <v>-0.22719349999999999</v>
      </c>
      <c r="AH6946">
        <v>0.58627469675900001</v>
      </c>
      <c r="AI6946">
        <v>110.83334346781599</v>
      </c>
      <c r="AJ6946">
        <v>79.100975795672696</v>
      </c>
      <c r="AK6946">
        <v>0.63881036901311194</v>
      </c>
      <c r="AL6946">
        <v>92.024059281055003</v>
      </c>
      <c r="AM6946">
        <v>89.636229948059196</v>
      </c>
      <c r="AN6946">
        <v>0.99999995800271002</v>
      </c>
    </row>
    <row r="6947" spans="1:40" x14ac:dyDescent="0.25">
      <c r="A6947" t="str">
        <f>"20190305135409427"</f>
        <v>20190305135409427</v>
      </c>
      <c r="B6947" t="str">
        <f>"1551765249416755"</f>
        <v>1551765249416755</v>
      </c>
      <c r="C6947" t="s">
        <v>40</v>
      </c>
      <c r="D6947">
        <v>4.6433970000000002</v>
      </c>
      <c r="E6947">
        <v>0.54187940000000001</v>
      </c>
      <c r="F6947" t="s">
        <v>41</v>
      </c>
      <c r="G6947">
        <v>-149.8683</v>
      </c>
      <c r="H6947">
        <v>0.88139690000000004</v>
      </c>
      <c r="I6947">
        <v>137.36709999999999</v>
      </c>
      <c r="J6947">
        <v>-150.50049999999999</v>
      </c>
      <c r="K6947">
        <v>1.112228</v>
      </c>
      <c r="L6947">
        <v>137.5068</v>
      </c>
      <c r="M6947">
        <v>0.99941460000000004</v>
      </c>
      <c r="N6947">
        <v>-2.0734389999999998E-2</v>
      </c>
      <c r="O6947">
        <v>-2.7217680000000001E-2</v>
      </c>
      <c r="P6947">
        <v>0.99761750000000005</v>
      </c>
      <c r="Q6947">
        <v>-6.04745E-2</v>
      </c>
      <c r="R6947">
        <v>-3.3203700000000003E-2</v>
      </c>
      <c r="S6947">
        <v>2.9450530000000001</v>
      </c>
      <c r="T6947">
        <v>-0.78935859999999902</v>
      </c>
      <c r="U6947">
        <v>-0.49150090000000002</v>
      </c>
      <c r="V6947">
        <v>6.1988779999999997E-3</v>
      </c>
      <c r="W6947">
        <v>-3.9739869999999997E-2</v>
      </c>
      <c r="X6947">
        <v>0.99919080000000005</v>
      </c>
      <c r="Y6947">
        <v>0.13353719999999999</v>
      </c>
      <c r="Z6947">
        <v>-1.232508E-2</v>
      </c>
      <c r="AA6947">
        <v>0.99096719999999905</v>
      </c>
      <c r="AB6947">
        <v>24</v>
      </c>
      <c r="AC6947">
        <v>0.632199999999983</v>
      </c>
      <c r="AD6947">
        <v>-0.23083109999999901</v>
      </c>
      <c r="AE6947">
        <v>-0.13970000000000399</v>
      </c>
      <c r="AF6947">
        <v>0.108629741456677</v>
      </c>
      <c r="AG6947">
        <v>-0.23083109999999901</v>
      </c>
      <c r="AH6947">
        <v>0.56407062761387095</v>
      </c>
      <c r="AI6947">
        <v>111.892230979538</v>
      </c>
      <c r="AJ6947">
        <v>79.099328145205604</v>
      </c>
      <c r="AK6947">
        <v>0.61907922788029301</v>
      </c>
      <c r="AL6947">
        <v>92.277526635038896</v>
      </c>
      <c r="AM6947">
        <v>89.644547377146097</v>
      </c>
      <c r="AN6947">
        <v>0.99999996908035704</v>
      </c>
    </row>
    <row r="6948" spans="1:40" x14ac:dyDescent="0.25">
      <c r="A6948" t="str">
        <f>"20190305135409454"</f>
        <v>20190305135409454</v>
      </c>
      <c r="B6948" t="str">
        <f>"1551765249447012"</f>
        <v>1551765249447012</v>
      </c>
      <c r="C6948" t="s">
        <v>40</v>
      </c>
      <c r="D6948">
        <v>4.8209390000000001</v>
      </c>
      <c r="E6948">
        <v>0.54170309999999999</v>
      </c>
      <c r="F6948" t="s">
        <v>41</v>
      </c>
      <c r="G6948">
        <v>-149.6559</v>
      </c>
      <c r="H6948">
        <v>0.887638699999999</v>
      </c>
      <c r="I6948">
        <v>137.37459999999999</v>
      </c>
      <c r="J6948">
        <v>-150.215</v>
      </c>
      <c r="K6948">
        <v>1.1123890000000001</v>
      </c>
      <c r="L6948">
        <v>137.50280000000001</v>
      </c>
      <c r="M6948">
        <v>0.99948040000000005</v>
      </c>
      <c r="N6948">
        <v>-2.1433489999999999E-2</v>
      </c>
      <c r="O6948">
        <v>-2.407449E-2</v>
      </c>
      <c r="P6948">
        <v>0.99751570000000001</v>
      </c>
      <c r="Q6948">
        <v>-6.3872460000000006E-2</v>
      </c>
      <c r="R6948">
        <v>-2.9713779999999999E-2</v>
      </c>
      <c r="S6948">
        <v>2.944366</v>
      </c>
      <c r="T6948">
        <v>-0.7828678</v>
      </c>
      <c r="U6948">
        <v>-0.46032709999999999</v>
      </c>
      <c r="V6948">
        <v>5.8709549999999998E-3</v>
      </c>
      <c r="W6948">
        <v>-4.2443069999999999E-2</v>
      </c>
      <c r="X6948">
        <v>0.99908160000000001</v>
      </c>
      <c r="Y6948">
        <v>0.126660199999999</v>
      </c>
      <c r="Z6948">
        <v>-1.209941E-2</v>
      </c>
      <c r="AA6948">
        <v>0.99187239999999999</v>
      </c>
      <c r="AB6948">
        <v>24</v>
      </c>
      <c r="AC6948">
        <v>0.55910000000000004</v>
      </c>
      <c r="AD6948">
        <v>-0.22475029999999999</v>
      </c>
      <c r="AE6948">
        <v>-0.12820000000001999</v>
      </c>
      <c r="AF6948">
        <v>9.9434420310317101E-2</v>
      </c>
      <c r="AG6948">
        <v>-0.22475029999999999</v>
      </c>
      <c r="AH6948">
        <v>0.487225603516457</v>
      </c>
      <c r="AI6948">
        <v>114.321525960838</v>
      </c>
      <c r="AJ6948">
        <v>78.4653089372636</v>
      </c>
      <c r="AK6948">
        <v>0.54570018326413905</v>
      </c>
      <c r="AL6948">
        <v>92.432539579227495</v>
      </c>
      <c r="AM6948">
        <v>89.663313715939296</v>
      </c>
      <c r="AN6948">
        <v>0.99999996288109705</v>
      </c>
    </row>
    <row r="6949" spans="1:40" x14ac:dyDescent="0.25">
      <c r="A6949" t="str">
        <f>"20190305135409479"</f>
        <v>20190305135409479</v>
      </c>
      <c r="B6949" t="str">
        <f>"1551765249466531"</f>
        <v>1551765249466531</v>
      </c>
      <c r="C6949" t="s">
        <v>40</v>
      </c>
      <c r="D6949">
        <v>4.6200749999999999</v>
      </c>
      <c r="E6949">
        <v>0.54101119999999903</v>
      </c>
      <c r="F6949" t="s">
        <v>41</v>
      </c>
      <c r="G6949">
        <v>-149.43889999999999</v>
      </c>
      <c r="H6949">
        <v>0.90848930000000006</v>
      </c>
      <c r="I6949">
        <v>137.3845</v>
      </c>
      <c r="J6949">
        <v>-149.9639</v>
      </c>
      <c r="K6949">
        <v>1.112514</v>
      </c>
      <c r="L6949">
        <v>137.50030000000001</v>
      </c>
      <c r="M6949">
        <v>0.99953219999999998</v>
      </c>
      <c r="N6949">
        <v>-2.2047279999999999E-2</v>
      </c>
      <c r="O6949">
        <v>-2.1204310000000001E-2</v>
      </c>
      <c r="P6949">
        <v>0.99763230000000003</v>
      </c>
      <c r="Q6949">
        <v>-6.3359830000000006E-2</v>
      </c>
      <c r="R6949">
        <v>-2.6749869999999999E-2</v>
      </c>
      <c r="S6949">
        <v>2.9445649999999999</v>
      </c>
      <c r="T6949">
        <v>-0.77378000000000002</v>
      </c>
      <c r="U6949">
        <v>-0.44854739999999999</v>
      </c>
      <c r="V6949">
        <v>5.7681999999999898E-3</v>
      </c>
      <c r="W6949">
        <v>-4.1316579999999999E-2</v>
      </c>
      <c r="X6949">
        <v>0.9991295</v>
      </c>
      <c r="Y6949">
        <v>0.12564620000000001</v>
      </c>
      <c r="Z6949">
        <v>-1.2573819999999999E-2</v>
      </c>
      <c r="AA6949">
        <v>0.99199550000000003</v>
      </c>
      <c r="AB6949">
        <v>24</v>
      </c>
      <c r="AC6949">
        <v>0.52500000000000502</v>
      </c>
      <c r="AD6949">
        <v>-0.204024699999999</v>
      </c>
      <c r="AE6949">
        <v>-0.11580000000000699</v>
      </c>
      <c r="AF6949">
        <v>9.14662351065509E-2</v>
      </c>
      <c r="AG6949">
        <v>-0.204024699999999</v>
      </c>
      <c r="AH6949">
        <v>0.46095265862047102</v>
      </c>
      <c r="AI6949">
        <v>113.468109243139</v>
      </c>
      <c r="AJ6949">
        <v>78.776660039794095</v>
      </c>
      <c r="AK6949">
        <v>0.51231777625213903</v>
      </c>
      <c r="AL6949">
        <v>92.367939580238797</v>
      </c>
      <c r="AM6949">
        <v>89.669222214274399</v>
      </c>
      <c r="AN6949">
        <v>1.00000004484219</v>
      </c>
    </row>
    <row r="6950" spans="1:40" x14ac:dyDescent="0.25">
      <c r="A6950" t="str">
        <f>"20190305135409514"</f>
        <v>20190305135409514</v>
      </c>
      <c r="B6950" t="str">
        <f>"1551765249507175"</f>
        <v>1551765249507175</v>
      </c>
      <c r="C6950" t="s">
        <v>40</v>
      </c>
      <c r="D6950">
        <v>4.6550320000000003</v>
      </c>
      <c r="E6950">
        <v>0.53956559999999998</v>
      </c>
      <c r="F6950" t="s">
        <v>41</v>
      </c>
      <c r="G6950">
        <v>-149.227</v>
      </c>
      <c r="H6950">
        <v>0.92254139999999996</v>
      </c>
      <c r="I6950">
        <v>137.39150000000001</v>
      </c>
      <c r="J6950">
        <v>-149.60990000000001</v>
      </c>
      <c r="K6950">
        <v>1.1126780000000001</v>
      </c>
      <c r="L6950">
        <v>137.49809999999999</v>
      </c>
      <c r="M6950">
        <v>0.99958899999999995</v>
      </c>
      <c r="N6950">
        <v>-2.3015259999999999E-2</v>
      </c>
      <c r="O6950">
        <v>-1.7098120000000001E-2</v>
      </c>
      <c r="P6950">
        <v>0.99829449999999997</v>
      </c>
      <c r="Q6950">
        <v>-5.4439660000000001E-2</v>
      </c>
      <c r="R6950">
        <v>-2.1091269999999999E-2</v>
      </c>
      <c r="S6950">
        <v>2.9472200000000002</v>
      </c>
      <c r="T6950">
        <v>-0.75977269999999997</v>
      </c>
      <c r="U6950">
        <v>-0.43496699999999999</v>
      </c>
      <c r="V6950">
        <v>4.1506729999999997E-3</v>
      </c>
      <c r="W6950">
        <v>-3.1426629999999997E-2</v>
      </c>
      <c r="X6950">
        <v>0.99949739999999998</v>
      </c>
      <c r="Y6950">
        <v>0.1251381</v>
      </c>
      <c r="Z6950">
        <v>-1.333458E-2</v>
      </c>
      <c r="AA6950">
        <v>0.99204970000000003</v>
      </c>
      <c r="AB6950">
        <v>23</v>
      </c>
      <c r="AC6950">
        <v>0.38290000000000601</v>
      </c>
      <c r="AD6950">
        <v>-0.19013659999999999</v>
      </c>
      <c r="AE6950">
        <v>-0.106599999999986</v>
      </c>
      <c r="AF6950">
        <v>8.1406400231620005E-2</v>
      </c>
      <c r="AG6950">
        <v>-0.19013659999999999</v>
      </c>
      <c r="AH6950">
        <v>0.31303159130827701</v>
      </c>
      <c r="AI6950">
        <v>120.44917624583201</v>
      </c>
      <c r="AJ6950">
        <v>75.422665855336902</v>
      </c>
      <c r="AK6950">
        <v>0.37519022617230202</v>
      </c>
      <c r="AL6950">
        <v>91.800909863666703</v>
      </c>
      <c r="AM6950">
        <v>89.762065736264901</v>
      </c>
      <c r="AN6950">
        <v>0.99999995688313403</v>
      </c>
    </row>
    <row r="6951" spans="1:40" x14ac:dyDescent="0.25">
      <c r="A6951" t="str">
        <f>"20190305135409539"</f>
        <v>20190305135409539</v>
      </c>
      <c r="B6951" t="str">
        <f>"1551765249526683"</f>
        <v>1551765249526683</v>
      </c>
      <c r="C6951" t="s">
        <v>40</v>
      </c>
      <c r="D6951">
        <v>4.5964029999999996</v>
      </c>
      <c r="E6951">
        <v>0.53923019999999999</v>
      </c>
      <c r="F6951" t="s">
        <v>41</v>
      </c>
      <c r="G6951">
        <v>-148.82399999999899</v>
      </c>
      <c r="H6951">
        <v>0.92172109999999996</v>
      </c>
      <c r="I6951">
        <v>137.3904</v>
      </c>
      <c r="J6951">
        <v>-149.35830000000001</v>
      </c>
      <c r="K6951">
        <v>1.112743</v>
      </c>
      <c r="L6951">
        <v>137.4975</v>
      </c>
      <c r="M6951">
        <v>0.99961580000000005</v>
      </c>
      <c r="N6951">
        <v>-2.3817640000000001E-2</v>
      </c>
      <c r="O6951">
        <v>-1.418466E-2</v>
      </c>
      <c r="P6951">
        <v>0.99852759999999996</v>
      </c>
      <c r="Q6951">
        <v>-5.1092619999999998E-2</v>
      </c>
      <c r="R6951">
        <v>-1.8234770000000001E-2</v>
      </c>
      <c r="S6951">
        <v>2.9573969999999998</v>
      </c>
      <c r="T6951">
        <v>-0.71872590000000003</v>
      </c>
      <c r="U6951">
        <v>-0.40473940000000003</v>
      </c>
      <c r="V6951">
        <v>4.1784930000000001E-3</v>
      </c>
      <c r="W6951">
        <v>-2.7274659999999999E-2</v>
      </c>
      <c r="X6951">
        <v>0.99961920000000004</v>
      </c>
      <c r="Y6951">
        <v>0.11813070000000001</v>
      </c>
      <c r="Z6951">
        <v>-1.2471350000000001E-2</v>
      </c>
      <c r="AA6951">
        <v>0.99291969999999996</v>
      </c>
      <c r="AB6951">
        <v>23</v>
      </c>
      <c r="AC6951">
        <v>0.53430000000002997</v>
      </c>
      <c r="AD6951">
        <v>-0.19102189999999999</v>
      </c>
      <c r="AE6951">
        <v>-0.107100000000002</v>
      </c>
      <c r="AF6951">
        <v>8.8618593944201393E-2</v>
      </c>
      <c r="AG6951">
        <v>-0.19102189999999999</v>
      </c>
      <c r="AH6951">
        <v>0.47713466215413203</v>
      </c>
      <c r="AI6951">
        <v>111.485620045706</v>
      </c>
      <c r="AJ6951">
        <v>79.478302030411896</v>
      </c>
      <c r="AK6951">
        <v>0.52153629528652701</v>
      </c>
      <c r="AL6951">
        <v>91.562916792853002</v>
      </c>
      <c r="AM6951">
        <v>89.760500179241006</v>
      </c>
      <c r="AN6951">
        <v>0.99999995594525204</v>
      </c>
    </row>
    <row r="6952" spans="1:40" x14ac:dyDescent="0.25">
      <c r="A6952" t="str">
        <f>"20190305135409558"</f>
        <v>20190305135409558</v>
      </c>
      <c r="B6952" t="str">
        <f>"1551765249547179"</f>
        <v>1551765249547179</v>
      </c>
      <c r="C6952" t="s">
        <v>40</v>
      </c>
      <c r="D6952">
        <v>4.5866879999999997</v>
      </c>
      <c r="E6952">
        <v>0.5389543</v>
      </c>
      <c r="F6952" t="s">
        <v>41</v>
      </c>
      <c r="G6952">
        <v>-148.61869999999999</v>
      </c>
      <c r="H6952">
        <v>0.93765100000000001</v>
      </c>
      <c r="I6952">
        <v>137.39940000000001</v>
      </c>
      <c r="J6952">
        <v>-149.1712</v>
      </c>
      <c r="K6952">
        <v>1.112781</v>
      </c>
      <c r="L6952">
        <v>137.49760000000001</v>
      </c>
      <c r="M6952">
        <v>0.99962879999999998</v>
      </c>
      <c r="N6952">
        <v>-2.4445000000000001E-2</v>
      </c>
      <c r="O6952">
        <v>-1.2031160000000001E-2</v>
      </c>
      <c r="P6952">
        <v>0.99864350000000002</v>
      </c>
      <c r="Q6952">
        <v>-4.9522240000000002E-2</v>
      </c>
      <c r="R6952">
        <v>-1.6083799999999999E-2</v>
      </c>
      <c r="S6952">
        <v>2.9613649999999998</v>
      </c>
      <c r="T6952">
        <v>-0.70131080000000001</v>
      </c>
      <c r="U6952">
        <v>-0.39195249999999998</v>
      </c>
      <c r="V6952">
        <v>4.1652379999999999E-3</v>
      </c>
      <c r="W6952">
        <v>-2.5076040000000001E-2</v>
      </c>
      <c r="X6952">
        <v>0.99967689999999998</v>
      </c>
      <c r="Y6952">
        <v>0.1160404</v>
      </c>
      <c r="Z6952">
        <v>-1.243353E-2</v>
      </c>
      <c r="AA6952">
        <v>0.99316669999999996</v>
      </c>
      <c r="AB6952">
        <v>22</v>
      </c>
      <c r="AC6952">
        <v>0.55250000000000898</v>
      </c>
      <c r="AD6952">
        <v>-0.17513000000000001</v>
      </c>
      <c r="AE6952">
        <v>-9.8199999999991405E-2</v>
      </c>
      <c r="AF6952">
        <v>8.3418871267501804E-2</v>
      </c>
      <c r="AG6952">
        <v>-0.17513000000000001</v>
      </c>
      <c r="AH6952">
        <v>0.50450420245170102</v>
      </c>
      <c r="AI6952">
        <v>108.90544547961601</v>
      </c>
      <c r="AJ6952">
        <v>80.611193303924495</v>
      </c>
      <c r="AK6952">
        <v>0.54051245617004195</v>
      </c>
      <c r="AL6952">
        <v>91.436901830809205</v>
      </c>
      <c r="AM6952">
        <v>89.761273690472393</v>
      </c>
      <c r="AN6952">
        <v>1.0000000306916399</v>
      </c>
    </row>
    <row r="6953" spans="1:40" x14ac:dyDescent="0.25">
      <c r="A6953" t="str">
        <f>"20190305135409581"</f>
        <v>20190305135409581</v>
      </c>
      <c r="B6953" t="str">
        <f>"1551765249576460"</f>
        <v>1551765249576460</v>
      </c>
      <c r="C6953" t="s">
        <v>40</v>
      </c>
      <c r="D6953">
        <v>4.6311489999999997</v>
      </c>
      <c r="E6953">
        <v>0.53931929999999995</v>
      </c>
      <c r="F6953" t="s">
        <v>41</v>
      </c>
      <c r="G6953">
        <v>-148.42349999999999</v>
      </c>
      <c r="H6953">
        <v>0.9386774</v>
      </c>
      <c r="I6953">
        <v>137.40110000000001</v>
      </c>
      <c r="J6953">
        <v>-148.94880000000001</v>
      </c>
      <c r="K6953">
        <v>1.1128009999999999</v>
      </c>
      <c r="L6953">
        <v>137.4982</v>
      </c>
      <c r="M6953">
        <v>0.99963829999999998</v>
      </c>
      <c r="N6953">
        <v>-2.5182820000000002E-2</v>
      </c>
      <c r="O6953">
        <v>-9.4561469999999998E-3</v>
      </c>
      <c r="P6953">
        <v>0.99857989999999996</v>
      </c>
      <c r="Q6953">
        <v>-5.1609769999999999E-2</v>
      </c>
      <c r="R6953">
        <v>-1.3227310000000001E-2</v>
      </c>
      <c r="S6953">
        <v>2.9636990000000001</v>
      </c>
      <c r="T6953">
        <v>-0.69030440000000004</v>
      </c>
      <c r="U6953">
        <v>-0.38175959999999998</v>
      </c>
      <c r="V6953">
        <v>3.8837870000000001E-3</v>
      </c>
      <c r="W6953">
        <v>-2.642941E-2</v>
      </c>
      <c r="X6953">
        <v>0.99964310000000001</v>
      </c>
      <c r="Y6953">
        <v>0.11519260000000001</v>
      </c>
      <c r="Z6953">
        <v>-1.2733390000000001E-2</v>
      </c>
      <c r="AA6953">
        <v>0.99326159999999997</v>
      </c>
      <c r="AB6953">
        <v>22</v>
      </c>
      <c r="AC6953">
        <v>0.52530000000001498</v>
      </c>
      <c r="AD6953">
        <v>-0.17412359999999899</v>
      </c>
      <c r="AE6953">
        <v>-9.7099999999983297E-2</v>
      </c>
      <c r="AF6953">
        <v>8.3278796035722497E-2</v>
      </c>
      <c r="AG6953">
        <v>-0.17412359999999899</v>
      </c>
      <c r="AH6953">
        <v>0.47565855251839301</v>
      </c>
      <c r="AI6953">
        <v>109.828474128352</v>
      </c>
      <c r="AJ6953">
        <v>80.069249048524</v>
      </c>
      <c r="AK6953">
        <v>0.51332781390648696</v>
      </c>
      <c r="AL6953">
        <v>91.514470052825502</v>
      </c>
      <c r="AM6953">
        <v>89.777397069014</v>
      </c>
      <c r="AN6953">
        <v>0.99999996244600897</v>
      </c>
    </row>
    <row r="6954" spans="1:40" x14ac:dyDescent="0.25">
      <c r="A6954" t="str">
        <f>"20190305135409603"</f>
        <v>20190305135409603</v>
      </c>
      <c r="B6954" t="str">
        <f>"1551765249596956"</f>
        <v>1551765249596956</v>
      </c>
      <c r="C6954" t="s">
        <v>40</v>
      </c>
      <c r="D6954">
        <v>4.6130789999999999</v>
      </c>
      <c r="E6954">
        <v>0.54038949999999997</v>
      </c>
      <c r="F6954" t="s">
        <v>41</v>
      </c>
      <c r="G6954">
        <v>-148.22880000000001</v>
      </c>
      <c r="H6954">
        <v>0.94457340000000001</v>
      </c>
      <c r="I6954">
        <v>137.4067</v>
      </c>
      <c r="J6954">
        <v>-148.7396</v>
      </c>
      <c r="K6954">
        <v>1.112816</v>
      </c>
      <c r="L6954">
        <v>137.49930000000001</v>
      </c>
      <c r="M6954">
        <v>0.99964140000000001</v>
      </c>
      <c r="N6954">
        <v>-2.5851840000000001E-2</v>
      </c>
      <c r="O6954">
        <v>-6.9822809999999999E-3</v>
      </c>
      <c r="P6954">
        <v>0.99848040000000005</v>
      </c>
      <c r="Q6954">
        <v>-5.4362109999999998E-2</v>
      </c>
      <c r="R6954">
        <v>-9.0458740000000006E-3</v>
      </c>
      <c r="S6954">
        <v>2.9635009999999999</v>
      </c>
      <c r="T6954">
        <v>-0.69255239999999996</v>
      </c>
      <c r="U6954">
        <v>-0.3762665</v>
      </c>
      <c r="V6954">
        <v>2.1793310000000001E-3</v>
      </c>
      <c r="W6954">
        <v>-2.852236E-2</v>
      </c>
      <c r="X6954">
        <v>0.9995908</v>
      </c>
      <c r="Y6954">
        <v>0.1157474</v>
      </c>
      <c r="Z6954">
        <v>-1.339198E-2</v>
      </c>
      <c r="AA6954">
        <v>0.99318839999999997</v>
      </c>
      <c r="AB6954">
        <v>22</v>
      </c>
      <c r="AC6954">
        <v>0.51079999999998904</v>
      </c>
      <c r="AD6954">
        <v>-0.16824259999999999</v>
      </c>
      <c r="AE6954">
        <v>-9.2600000000004401E-2</v>
      </c>
      <c r="AF6954">
        <v>8.05677071350272E-2</v>
      </c>
      <c r="AG6954">
        <v>-0.16824259999999999</v>
      </c>
      <c r="AH6954">
        <v>0.46282253502283399</v>
      </c>
      <c r="AI6954">
        <v>109.703893218243</v>
      </c>
      <c r="AJ6954">
        <v>80.124961088196798</v>
      </c>
      <c r="AK6954">
        <v>0.499000427667871</v>
      </c>
      <c r="AL6954">
        <v>91.634432475187893</v>
      </c>
      <c r="AM6954">
        <v>89.875082613188297</v>
      </c>
      <c r="AN6954">
        <v>1.0000000209741</v>
      </c>
    </row>
    <row r="6955" spans="1:40" x14ac:dyDescent="0.25">
      <c r="A6955" t="str">
        <f>"20190305135409629"</f>
        <v>20190305135409629</v>
      </c>
      <c r="B6955" t="str">
        <f>"1551765249617069"</f>
        <v>1551765249617069</v>
      </c>
      <c r="C6955" t="s">
        <v>40</v>
      </c>
      <c r="D6955">
        <v>4.5944699999999896</v>
      </c>
      <c r="E6955">
        <v>0.54125540000000005</v>
      </c>
      <c r="F6955" t="s">
        <v>41</v>
      </c>
      <c r="G6955">
        <v>-148.0385</v>
      </c>
      <c r="H6955">
        <v>0.94717189999999996</v>
      </c>
      <c r="I6955">
        <v>137.411</v>
      </c>
      <c r="J6955">
        <v>-148.50319999999999</v>
      </c>
      <c r="K6955">
        <v>1.112854</v>
      </c>
      <c r="L6955">
        <v>137.50139999999999</v>
      </c>
      <c r="M6955">
        <v>0.99963869999999999</v>
      </c>
      <c r="N6955">
        <v>-2.657178E-2</v>
      </c>
      <c r="O6955">
        <v>-4.0843090000000004E-3</v>
      </c>
      <c r="P6955">
        <v>0.99839999999999995</v>
      </c>
      <c r="Q6955">
        <v>-5.6409760000000003E-2</v>
      </c>
      <c r="R6955">
        <v>-3.9810729999999999E-3</v>
      </c>
      <c r="S6955">
        <v>2.9630740000000002</v>
      </c>
      <c r="T6955">
        <v>-0.70009160000000004</v>
      </c>
      <c r="U6955">
        <v>-0.37319950000000002</v>
      </c>
      <c r="V6955" s="1">
        <v>1.280243E-5</v>
      </c>
      <c r="W6955">
        <v>-2.986053E-2</v>
      </c>
      <c r="X6955">
        <v>0.9995541</v>
      </c>
      <c r="Y6955">
        <v>0.1174391</v>
      </c>
      <c r="Z6955">
        <v>-1.43822999999999E-2</v>
      </c>
      <c r="AA6955">
        <v>0.99297599999999997</v>
      </c>
      <c r="AB6955">
        <v>21</v>
      </c>
      <c r="AC6955">
        <v>0.46469999999999301</v>
      </c>
      <c r="AD6955">
        <v>-0.165682099999999</v>
      </c>
      <c r="AE6955">
        <v>-9.0399999999988198E-2</v>
      </c>
      <c r="AF6955">
        <v>7.8843633453152401E-2</v>
      </c>
      <c r="AG6955">
        <v>-0.165682099999999</v>
      </c>
      <c r="AH6955">
        <v>0.41431869358217999</v>
      </c>
      <c r="AI6955">
        <v>111.446923442285</v>
      </c>
      <c r="AJ6955">
        <v>79.225605991345802</v>
      </c>
      <c r="AK6955">
        <v>0.45313006592826</v>
      </c>
      <c r="AL6955">
        <v>91.711136653826401</v>
      </c>
      <c r="AM6955">
        <v>89.999266147568704</v>
      </c>
      <c r="AN6955">
        <v>1.0000000251212899</v>
      </c>
    </row>
    <row r="6956" spans="1:40" x14ac:dyDescent="0.25">
      <c r="A6956" t="str">
        <f>"20190305135409650"</f>
        <v>20190305135409650</v>
      </c>
      <c r="B6956" t="str">
        <f>"1551765249636589"</f>
        <v>1551765249636589</v>
      </c>
      <c r="C6956" t="s">
        <v>40</v>
      </c>
      <c r="D6956">
        <v>4.6588989999999999</v>
      </c>
      <c r="E6956">
        <v>0.54161090000000001</v>
      </c>
      <c r="F6956" t="s">
        <v>41</v>
      </c>
      <c r="G6956">
        <v>-147.68389999999999</v>
      </c>
      <c r="H6956">
        <v>0.91760370000000002</v>
      </c>
      <c r="I6956">
        <v>137.40029999999999</v>
      </c>
      <c r="J6956">
        <v>-148.31620000000001</v>
      </c>
      <c r="K6956">
        <v>1.112905</v>
      </c>
      <c r="L6956">
        <v>137.50360000000001</v>
      </c>
      <c r="M6956">
        <v>0.99963100000000005</v>
      </c>
      <c r="N6956">
        <v>-2.711028E-2</v>
      </c>
      <c r="O6956">
        <v>-1.6990709999999999E-3</v>
      </c>
      <c r="P6956">
        <v>0.99835600000000002</v>
      </c>
      <c r="Q6956">
        <v>-5.7319290000000002E-2</v>
      </c>
      <c r="R6956">
        <v>3.2463719999999998E-4</v>
      </c>
      <c r="S6956">
        <v>2.963425</v>
      </c>
      <c r="T6956">
        <v>-0.70630459999999995</v>
      </c>
      <c r="U6956">
        <v>-0.36538700000000002</v>
      </c>
      <c r="V6956">
        <v>-1.9086839999999999E-3</v>
      </c>
      <c r="W6956">
        <v>-3.02399E-2</v>
      </c>
      <c r="X6956">
        <v>0.99954089999999995</v>
      </c>
      <c r="Y6956">
        <v>0.1171074</v>
      </c>
      <c r="Z6956">
        <v>-1.4978450000000001E-2</v>
      </c>
      <c r="AA6956">
        <v>0.99300630000000001</v>
      </c>
      <c r="AB6956">
        <v>21</v>
      </c>
      <c r="AC6956">
        <v>0.63230000000001496</v>
      </c>
      <c r="AD6956">
        <v>-0.19530129999999901</v>
      </c>
      <c r="AE6956">
        <v>-0.103300000000018</v>
      </c>
      <c r="AF6956">
        <v>9.3533679060985794E-2</v>
      </c>
      <c r="AG6956">
        <v>-0.19530129999999901</v>
      </c>
      <c r="AH6956">
        <v>0.57869997832353404</v>
      </c>
      <c r="AI6956">
        <v>108.425971702335</v>
      </c>
      <c r="AJ6956">
        <v>80.818839574233905</v>
      </c>
      <c r="AK6956">
        <v>0.61788737793551995</v>
      </c>
      <c r="AL6956">
        <v>91.732882726238302</v>
      </c>
      <c r="AM6956">
        <v>90.109409634664004</v>
      </c>
      <c r="AN6956">
        <v>1.0000000526997099</v>
      </c>
    </row>
    <row r="6957" spans="1:40" x14ac:dyDescent="0.25">
      <c r="A6957" t="str">
        <f>"20190305135409672"</f>
        <v>20190305135409672</v>
      </c>
      <c r="B6957" t="str">
        <f>"1551765249666846"</f>
        <v>1551765249666846</v>
      </c>
      <c r="C6957" t="s">
        <v>40</v>
      </c>
      <c r="D6957">
        <v>4.6491540000000002</v>
      </c>
      <c r="E6957">
        <v>0.54255850000000005</v>
      </c>
      <c r="F6957" t="s">
        <v>41</v>
      </c>
      <c r="G6957">
        <v>-147.50319999999999</v>
      </c>
      <c r="H6957">
        <v>0.91897419999999996</v>
      </c>
      <c r="I6957">
        <v>137.40600000000001</v>
      </c>
      <c r="J6957">
        <v>-148.1165</v>
      </c>
      <c r="K6957">
        <v>1.112968</v>
      </c>
      <c r="L6957">
        <v>137.50649999999999</v>
      </c>
      <c r="M6957">
        <v>0.99961710000000004</v>
      </c>
      <c r="N6957">
        <v>-2.7652059999999999E-2</v>
      </c>
      <c r="O6957">
        <v>9.4711960000000005E-4</v>
      </c>
      <c r="P6957">
        <v>0.99839710000000004</v>
      </c>
      <c r="Q6957">
        <v>-5.6492729999999998E-2</v>
      </c>
      <c r="R6957">
        <v>3.4438339999999998E-3</v>
      </c>
      <c r="S6957">
        <v>2.9644469999999998</v>
      </c>
      <c r="T6957">
        <v>-0.70728210000000002</v>
      </c>
      <c r="U6957">
        <v>-0.3553772</v>
      </c>
      <c r="V6957">
        <v>-2.3887349999999999E-3</v>
      </c>
      <c r="W6957">
        <v>-2.8872559999999999E-2</v>
      </c>
      <c r="X6957">
        <v>0.99958029999999998</v>
      </c>
      <c r="Y6957">
        <v>0.1163394</v>
      </c>
      <c r="Z6957">
        <v>-1.547515E-2</v>
      </c>
      <c r="AA6957">
        <v>0.993089</v>
      </c>
      <c r="AB6957">
        <v>21</v>
      </c>
      <c r="AC6957">
        <v>0.61330000000000895</v>
      </c>
      <c r="AD6957">
        <v>-0.19399379999999899</v>
      </c>
      <c r="AE6957">
        <v>-0.10049999999998201</v>
      </c>
      <c r="AF6957">
        <v>9.21065097933014E-2</v>
      </c>
      <c r="AG6957">
        <v>-0.19399379999999899</v>
      </c>
      <c r="AH6957">
        <v>0.55876080640733705</v>
      </c>
      <c r="AI6957">
        <v>108.909553747142</v>
      </c>
      <c r="AJ6957">
        <v>80.639501710348398</v>
      </c>
      <c r="AK6957">
        <v>0.59860741923377603</v>
      </c>
      <c r="AL6957">
        <v>91.654505670395196</v>
      </c>
      <c r="AM6957">
        <v>90.136921639350803</v>
      </c>
      <c r="AN6957">
        <v>1.00000005346197</v>
      </c>
    </row>
    <row r="6958" spans="1:40" x14ac:dyDescent="0.25">
      <c r="A6958" t="str">
        <f>"20190305135409699"</f>
        <v>20190305135409699</v>
      </c>
      <c r="B6958" t="str">
        <f>"1551765249687341"</f>
        <v>1551765249687341</v>
      </c>
      <c r="C6958" t="s">
        <v>40</v>
      </c>
      <c r="D6958">
        <v>5.1919230000000001</v>
      </c>
      <c r="E6958">
        <v>0.54272739999999997</v>
      </c>
      <c r="F6958" t="s">
        <v>41</v>
      </c>
      <c r="G6958">
        <v>-147.32320000000001</v>
      </c>
      <c r="H6958">
        <v>0.92514130000000006</v>
      </c>
      <c r="I6958">
        <v>137.41210000000001</v>
      </c>
      <c r="J6958">
        <v>-147.88499999999999</v>
      </c>
      <c r="K6958">
        <v>1.11304</v>
      </c>
      <c r="L6958">
        <v>137.51079999999999</v>
      </c>
      <c r="M6958">
        <v>0.99959279999999995</v>
      </c>
      <c r="N6958">
        <v>-2.8231320000000001E-2</v>
      </c>
      <c r="O6958">
        <v>4.1631510000000004E-3</v>
      </c>
      <c r="P6958">
        <v>0.99845810000000002</v>
      </c>
      <c r="Q6958">
        <v>-5.5191299999999999E-2</v>
      </c>
      <c r="R6958">
        <v>5.9444959999999996E-3</v>
      </c>
      <c r="S6958">
        <v>2.9662929999999998</v>
      </c>
      <c r="T6958">
        <v>-0.7023163</v>
      </c>
      <c r="U6958">
        <v>-0.35304259999999998</v>
      </c>
      <c r="V6958">
        <v>-1.682446E-3</v>
      </c>
      <c r="W6958">
        <v>-2.6987730000000001E-2</v>
      </c>
      <c r="X6958">
        <v>0.99963429999999998</v>
      </c>
      <c r="Y6958">
        <v>0.1185954</v>
      </c>
      <c r="Z6958">
        <v>-1.6360349999999999E-2</v>
      </c>
      <c r="AA6958">
        <v>0.99280789999999997</v>
      </c>
      <c r="AB6958">
        <v>20</v>
      </c>
      <c r="AC6958">
        <v>0.56179999999997599</v>
      </c>
      <c r="AD6958">
        <v>-0.1878987</v>
      </c>
      <c r="AE6958">
        <v>-9.8699999999979499E-2</v>
      </c>
      <c r="AF6958">
        <v>9.1148165201411405E-2</v>
      </c>
      <c r="AG6958">
        <v>-0.1878987</v>
      </c>
      <c r="AH6958">
        <v>0.50642979623905904</v>
      </c>
      <c r="AI6958">
        <v>110.060116246413</v>
      </c>
      <c r="AJ6958">
        <v>79.797034267539303</v>
      </c>
      <c r="AK6958">
        <v>0.547800189850286</v>
      </c>
      <c r="AL6958">
        <v>91.546470867704201</v>
      </c>
      <c r="AM6958">
        <v>90.0964322293039</v>
      </c>
      <c r="AN6958">
        <v>0.99999995096579097</v>
      </c>
    </row>
    <row r="6959" spans="1:40" x14ac:dyDescent="0.25">
      <c r="A6959" t="str">
        <f>"20190305135409720"</f>
        <v>20190305135409720</v>
      </c>
      <c r="B6959" t="str">
        <f>"1551765249707358"</f>
        <v>1551765249707358</v>
      </c>
      <c r="C6959" t="s">
        <v>40</v>
      </c>
      <c r="D6959">
        <v>4.6454440000000004</v>
      </c>
      <c r="E6959">
        <v>0.5430104</v>
      </c>
      <c r="F6959" t="s">
        <v>41</v>
      </c>
      <c r="G6959">
        <v>-147.14269999999999</v>
      </c>
      <c r="H6959">
        <v>0.93825400000000003</v>
      </c>
      <c r="I6959">
        <v>137.42410000000001</v>
      </c>
      <c r="J6959">
        <v>-147.69990000000001</v>
      </c>
      <c r="K6959">
        <v>1.1130770000000001</v>
      </c>
      <c r="L6959">
        <v>137.51490000000001</v>
      </c>
      <c r="M6959">
        <v>0.99956610000000001</v>
      </c>
      <c r="N6959">
        <v>-2.8649239999999999E-2</v>
      </c>
      <c r="O6959">
        <v>6.8612719999999999E-3</v>
      </c>
      <c r="P6959">
        <v>0.9984073</v>
      </c>
      <c r="Q6959">
        <v>-5.5979389999999997E-2</v>
      </c>
      <c r="R6959">
        <v>7.0384749999999998E-3</v>
      </c>
      <c r="S6959">
        <v>2.9680629999999999</v>
      </c>
      <c r="T6959">
        <v>-0.69911909999999999</v>
      </c>
      <c r="U6959">
        <v>-0.34623720000000002</v>
      </c>
      <c r="V6959" s="1">
        <v>-7.944216E-5</v>
      </c>
      <c r="W6959">
        <v>-2.7352600000000001E-2</v>
      </c>
      <c r="X6959">
        <v>0.99962589999999996</v>
      </c>
      <c r="Y6959">
        <v>0.1189225</v>
      </c>
      <c r="Z6959">
        <v>-1.6902919999999998E-2</v>
      </c>
      <c r="AA6959">
        <v>0.99275959999999996</v>
      </c>
      <c r="AB6959">
        <v>20</v>
      </c>
      <c r="AC6959">
        <v>0.55720000000002201</v>
      </c>
      <c r="AD6959">
        <v>-0.17482300000000001</v>
      </c>
      <c r="AE6959">
        <v>-9.0800000000001505E-2</v>
      </c>
      <c r="AF6959">
        <v>8.6342756325603995E-2</v>
      </c>
      <c r="AG6959">
        <v>-0.17482300000000001</v>
      </c>
      <c r="AH6959">
        <v>0.50786251369673996</v>
      </c>
      <c r="AI6959">
        <v>108.745330268933</v>
      </c>
      <c r="AJ6959">
        <v>80.351282648949294</v>
      </c>
      <c r="AK6959">
        <v>0.54400596110454003</v>
      </c>
      <c r="AL6959">
        <v>91.567383936726301</v>
      </c>
      <c r="AM6959">
        <v>90.004553403902193</v>
      </c>
      <c r="AN6959">
        <v>1.00000005549431</v>
      </c>
    </row>
    <row r="6960" spans="1:40" x14ac:dyDescent="0.25">
      <c r="A6960" t="str">
        <f>"20190305135409743"</f>
        <v>20190305135409743</v>
      </c>
      <c r="B6960" t="str">
        <f>"1551765249736608"</f>
        <v>1551765249736608</v>
      </c>
      <c r="C6960" t="s">
        <v>40</v>
      </c>
      <c r="D6960">
        <v>4.6655550000000003</v>
      </c>
      <c r="E6960">
        <v>0.54352279999999997</v>
      </c>
      <c r="F6960" t="s">
        <v>41</v>
      </c>
      <c r="G6960">
        <v>-146.97059999999999</v>
      </c>
      <c r="H6960">
        <v>0.94044139999999998</v>
      </c>
      <c r="I6960">
        <v>137.43</v>
      </c>
      <c r="J6960">
        <v>-147.5052</v>
      </c>
      <c r="K6960">
        <v>1.113094</v>
      </c>
      <c r="L6960">
        <v>137.51990000000001</v>
      </c>
      <c r="M6960">
        <v>0.99953020000000004</v>
      </c>
      <c r="N6960">
        <v>-2.90412E-2</v>
      </c>
      <c r="O6960">
        <v>9.8032599999999994E-3</v>
      </c>
      <c r="P6960">
        <v>0.99826649999999995</v>
      </c>
      <c r="Q6960">
        <v>-5.8187900000000001E-2</v>
      </c>
      <c r="R6960">
        <v>8.8576939999999993E-3</v>
      </c>
      <c r="S6960">
        <v>2.967819</v>
      </c>
      <c r="T6960">
        <v>-0.70263739999999997</v>
      </c>
      <c r="U6960">
        <v>-0.34526059999999997</v>
      </c>
      <c r="V6960">
        <v>1.0457349999999999E-3</v>
      </c>
      <c r="W6960">
        <v>-2.9167559999999999E-2</v>
      </c>
      <c r="X6960">
        <v>0.99957399999999996</v>
      </c>
      <c r="Y6960">
        <v>0.1213521</v>
      </c>
      <c r="Z6960">
        <v>-1.7920559999999999E-2</v>
      </c>
      <c r="AA6960">
        <v>0.99244770000000004</v>
      </c>
      <c r="AB6960">
        <v>20</v>
      </c>
      <c r="AC6960">
        <v>0.53460000000001096</v>
      </c>
      <c r="AD6960">
        <v>-0.17265259999999899</v>
      </c>
      <c r="AE6960">
        <v>-8.9899999999999994E-2</v>
      </c>
      <c r="AF6960">
        <v>8.6377244197622494E-2</v>
      </c>
      <c r="AG6960">
        <v>-0.17265259999999899</v>
      </c>
      <c r="AH6960">
        <v>0.484544054200927</v>
      </c>
      <c r="AI6960">
        <v>109.330336849746</v>
      </c>
      <c r="AJ6960">
        <v>79.892343941936204</v>
      </c>
      <c r="AK6960">
        <v>0.521586895026521</v>
      </c>
      <c r="AL6960">
        <v>91.671415117572295</v>
      </c>
      <c r="AM6960">
        <v>89.940058284699404</v>
      </c>
      <c r="AN6960">
        <v>1.0000000107970199</v>
      </c>
    </row>
    <row r="6961" spans="1:40" x14ac:dyDescent="0.25">
      <c r="A6961" t="str">
        <f>"20190305135409764"</f>
        <v>20190305135409764</v>
      </c>
      <c r="B6961" t="str">
        <f>"1551765249757104"</f>
        <v>1551765249757104</v>
      </c>
      <c r="C6961" t="s">
        <v>40</v>
      </c>
      <c r="D6961">
        <v>4.6483860000000004</v>
      </c>
      <c r="E6961">
        <v>0.54398389999999996</v>
      </c>
      <c r="F6961" t="s">
        <v>41</v>
      </c>
      <c r="G6961">
        <v>-146.8006</v>
      </c>
      <c r="H6961">
        <v>0.94440999999999997</v>
      </c>
      <c r="I6961">
        <v>137.43809999999999</v>
      </c>
      <c r="J6961">
        <v>-147.33349999999999</v>
      </c>
      <c r="K6961">
        <v>1.1130979999999999</v>
      </c>
      <c r="L6961">
        <v>137.5249</v>
      </c>
      <c r="M6961">
        <v>0.99949129999999997</v>
      </c>
      <c r="N6961">
        <v>-2.9355880000000001E-2</v>
      </c>
      <c r="O6961">
        <v>1.246424E-2</v>
      </c>
      <c r="P6961">
        <v>0.99823589999999995</v>
      </c>
      <c r="Q6961">
        <v>-5.8354589999999998E-2</v>
      </c>
      <c r="R6961">
        <v>1.0961220000000001E-2</v>
      </c>
      <c r="S6961">
        <v>2.9668429999999999</v>
      </c>
      <c r="T6961">
        <v>-0.71050329999999995</v>
      </c>
      <c r="U6961">
        <v>-0.34408569999999999</v>
      </c>
      <c r="V6961">
        <v>1.5975410000000001E-3</v>
      </c>
      <c r="W6961">
        <v>-2.9017729999999999E-2</v>
      </c>
      <c r="X6961">
        <v>0.99957759999999996</v>
      </c>
      <c r="Y6961">
        <v>0.1234297</v>
      </c>
      <c r="Z6961">
        <v>-1.8947169999999999E-2</v>
      </c>
      <c r="AA6961">
        <v>0.99217239999999995</v>
      </c>
      <c r="AB6961">
        <v>19</v>
      </c>
      <c r="AC6961">
        <v>0.53289999999998305</v>
      </c>
      <c r="AD6961">
        <v>-0.16868799999999901</v>
      </c>
      <c r="AE6961">
        <v>-8.6800000000010799E-2</v>
      </c>
      <c r="AF6961">
        <v>8.5128692418115298E-2</v>
      </c>
      <c r="AG6961">
        <v>-0.16868799999999901</v>
      </c>
      <c r="AH6961">
        <v>0.48448450722263903</v>
      </c>
      <c r="AI6961">
        <v>108.928219106868</v>
      </c>
      <c r="AJ6961">
        <v>80.034297276814996</v>
      </c>
      <c r="AK6961">
        <v>0.52002670446389698</v>
      </c>
      <c r="AL6961">
        <v>91.662826907646803</v>
      </c>
      <c r="AM6961">
        <v>89.908429041461403</v>
      </c>
      <c r="AN6961">
        <v>0.99999997960667897</v>
      </c>
    </row>
    <row r="6962" spans="1:40" x14ac:dyDescent="0.25">
      <c r="A6962" t="str">
        <f>"20190305135409804"</f>
        <v>20190305135409804</v>
      </c>
      <c r="B6962" t="str">
        <f>"1551765249797120"</f>
        <v>1551765249797120</v>
      </c>
      <c r="C6962" t="s">
        <v>40</v>
      </c>
      <c r="D6962">
        <v>4.6856229999999996</v>
      </c>
      <c r="E6962">
        <v>0.54475709999999999</v>
      </c>
      <c r="F6962" t="s">
        <v>41</v>
      </c>
      <c r="G6962">
        <v>-146.63480000000001</v>
      </c>
      <c r="H6962">
        <v>0.94587429999999995</v>
      </c>
      <c r="I6962">
        <v>137.4444</v>
      </c>
      <c r="J6962">
        <v>-147.0103</v>
      </c>
      <c r="K6962">
        <v>1.113081</v>
      </c>
      <c r="L6962">
        <v>137.53569999999999</v>
      </c>
      <c r="M6962">
        <v>0.99939849999999997</v>
      </c>
      <c r="N6962">
        <v>-2.9915210000000001E-2</v>
      </c>
      <c r="O6962">
        <v>1.7547179999999999E-2</v>
      </c>
      <c r="P6962">
        <v>0.99849169999999998</v>
      </c>
      <c r="Q6962">
        <v>-5.2546740000000002E-2</v>
      </c>
      <c r="R6962">
        <v>1.592464E-2</v>
      </c>
      <c r="S6962">
        <v>2.9675289999999999</v>
      </c>
      <c r="T6962">
        <v>-0.71032510000000004</v>
      </c>
      <c r="U6962">
        <v>-0.34181209999999901</v>
      </c>
      <c r="V6962">
        <v>1.6873960000000001E-3</v>
      </c>
      <c r="W6962">
        <v>-2.2643469999999999E-2</v>
      </c>
      <c r="X6962">
        <v>0.99974220000000003</v>
      </c>
      <c r="Y6962">
        <v>0.12745699999999999</v>
      </c>
      <c r="Z6962">
        <v>-2.0549789999999998E-2</v>
      </c>
      <c r="AA6962">
        <v>0.99163120000000005</v>
      </c>
      <c r="AB6962">
        <v>19</v>
      </c>
      <c r="AC6962">
        <v>0.37549999999998801</v>
      </c>
      <c r="AD6962">
        <v>-0.16720669999999899</v>
      </c>
      <c r="AE6962">
        <v>-9.1299999999989695E-2</v>
      </c>
      <c r="AF6962">
        <v>8.2443164962094403E-2</v>
      </c>
      <c r="AG6962">
        <v>-0.16720669999999899</v>
      </c>
      <c r="AH6962">
        <v>0.31488739492374002</v>
      </c>
      <c r="AI6962">
        <v>117.18912004999</v>
      </c>
      <c r="AJ6962">
        <v>75.328262870096594</v>
      </c>
      <c r="AK6962">
        <v>0.36593582423113002</v>
      </c>
      <c r="AL6962">
        <v>91.297486130337305</v>
      </c>
      <c r="AM6962">
        <v>89.903294491959699</v>
      </c>
      <c r="AN6962">
        <v>1.00000002024987</v>
      </c>
    </row>
    <row r="6963" spans="1:40" x14ac:dyDescent="0.25">
      <c r="A6963" t="str">
        <f>"20190305135409827"</f>
        <v>20190305135409827</v>
      </c>
      <c r="B6963" t="str">
        <f>"1551765249817149"</f>
        <v>1551765249817149</v>
      </c>
      <c r="C6963" t="s">
        <v>40</v>
      </c>
      <c r="D6963">
        <v>4.6992799999999999</v>
      </c>
      <c r="E6963">
        <v>0.54506739999999998</v>
      </c>
      <c r="F6963" t="s">
        <v>41</v>
      </c>
      <c r="G6963">
        <v>-146.3116</v>
      </c>
      <c r="H6963">
        <v>0.95040329999999995</v>
      </c>
      <c r="I6963">
        <v>137.4571</v>
      </c>
      <c r="J6963">
        <v>-146.83330000000001</v>
      </c>
      <c r="K6963">
        <v>1.113027</v>
      </c>
      <c r="L6963">
        <v>137.54239999999999</v>
      </c>
      <c r="M6963">
        <v>0.99933720000000004</v>
      </c>
      <c r="N6963">
        <v>-3.0198470000000002E-2</v>
      </c>
      <c r="O6963">
        <v>2.0335349999999999E-2</v>
      </c>
      <c r="P6963">
        <v>0.99844580000000005</v>
      </c>
      <c r="Q6963">
        <v>-5.2674350000000002E-2</v>
      </c>
      <c r="R6963">
        <v>1.8214850000000001E-2</v>
      </c>
      <c r="S6963">
        <v>2.9734340000000001</v>
      </c>
      <c r="T6963">
        <v>-0.69224790000000003</v>
      </c>
      <c r="U6963">
        <v>-0.3345032</v>
      </c>
      <c r="V6963">
        <v>2.1783570000000001E-3</v>
      </c>
      <c r="W6963">
        <v>-2.2486570000000001E-2</v>
      </c>
      <c r="X6963">
        <v>0.99974479999999999</v>
      </c>
      <c r="Y6963">
        <v>0.12774849999999999</v>
      </c>
      <c r="Z6963">
        <v>-2.0647559999999999E-2</v>
      </c>
      <c r="AA6963">
        <v>0.99159160000000002</v>
      </c>
      <c r="AB6963">
        <v>18</v>
      </c>
      <c r="AC6963">
        <v>0.52170000000000905</v>
      </c>
      <c r="AD6963">
        <v>-0.16262369999999901</v>
      </c>
      <c r="AE6963">
        <v>-8.5299999999989495E-2</v>
      </c>
      <c r="AF6963">
        <v>8.7605294855070501E-2</v>
      </c>
      <c r="AG6963">
        <v>-0.16262369999999901</v>
      </c>
      <c r="AH6963">
        <v>0.47491165653537298</v>
      </c>
      <c r="AI6963">
        <v>108.610843743484</v>
      </c>
      <c r="AJ6963">
        <v>79.548339987538199</v>
      </c>
      <c r="AK6963">
        <v>0.50957063985428497</v>
      </c>
      <c r="AL6963">
        <v>91.2884941230256</v>
      </c>
      <c r="AM6963">
        <v>89.875157675384997</v>
      </c>
      <c r="AN6963">
        <v>1.0000000280983099</v>
      </c>
    </row>
    <row r="6964" spans="1:40" x14ac:dyDescent="0.25">
      <c r="A6964" t="str">
        <f>"20190305135409849"</f>
        <v>20190305135409849</v>
      </c>
      <c r="B6964" t="str">
        <f>"1551765249836669"</f>
        <v>1551765249836669</v>
      </c>
      <c r="C6964" t="s">
        <v>40</v>
      </c>
      <c r="D6964">
        <v>4.6813659999999997</v>
      </c>
      <c r="E6964">
        <v>0.54535009999999995</v>
      </c>
      <c r="F6964" t="s">
        <v>41</v>
      </c>
      <c r="G6964">
        <v>-146.01570000000001</v>
      </c>
      <c r="H6964">
        <v>0.92273519999999998</v>
      </c>
      <c r="I6964">
        <v>137.45140000000001</v>
      </c>
      <c r="J6964">
        <v>-146.66759999999999</v>
      </c>
      <c r="K6964">
        <v>1.1129610000000001</v>
      </c>
      <c r="L6964">
        <v>137.54900000000001</v>
      </c>
      <c r="M6964">
        <v>0.99927379999999999</v>
      </c>
      <c r="N6964">
        <v>-3.0436680000000001E-2</v>
      </c>
      <c r="O6964">
        <v>2.2926809999999999E-2</v>
      </c>
      <c r="P6964">
        <v>0.99827440000000001</v>
      </c>
      <c r="Q6964">
        <v>-5.5594329999999997E-2</v>
      </c>
      <c r="R6964">
        <v>1.8909789999999999E-2</v>
      </c>
      <c r="S6964">
        <v>2.974167</v>
      </c>
      <c r="T6964">
        <v>-0.69234249999999997</v>
      </c>
      <c r="U6964">
        <v>-0.33047490000000002</v>
      </c>
      <c r="V6964">
        <v>4.073943E-3</v>
      </c>
      <c r="W6964">
        <v>-2.5166250000000001E-2</v>
      </c>
      <c r="X6964">
        <v>0.99967499999999998</v>
      </c>
      <c r="Y6964">
        <v>0.1288772</v>
      </c>
      <c r="Z6964">
        <v>-2.1320260000000001E-2</v>
      </c>
      <c r="AA6964">
        <v>0.99143139999999996</v>
      </c>
      <c r="AB6964">
        <v>18</v>
      </c>
      <c r="AC6964">
        <v>0.65189999999998305</v>
      </c>
      <c r="AD6964">
        <v>-0.1902258</v>
      </c>
      <c r="AE6964">
        <v>-9.7599999999999895E-2</v>
      </c>
      <c r="AF6964">
        <v>0.103876243422222</v>
      </c>
      <c r="AG6964">
        <v>-0.1902258</v>
      </c>
      <c r="AH6964">
        <v>0.59955760433261096</v>
      </c>
      <c r="AI6964">
        <v>107.360269418866</v>
      </c>
      <c r="AJ6964">
        <v>80.170803493431507</v>
      </c>
      <c r="AK6964">
        <v>0.63753074423608203</v>
      </c>
      <c r="AL6964">
        <v>91.442072128009698</v>
      </c>
      <c r="AM6964">
        <v>89.766505666648399</v>
      </c>
      <c r="AN6964">
        <v>1.00000002138781</v>
      </c>
    </row>
    <row r="6965" spans="1:40" x14ac:dyDescent="0.25">
      <c r="A6965" t="str">
        <f>"20190305135409873"</f>
        <v>20190305135409873</v>
      </c>
      <c r="B6965" t="str">
        <f>"1551765249866924"</f>
        <v>1551765249866924</v>
      </c>
      <c r="C6965" t="s">
        <v>40</v>
      </c>
      <c r="D6965">
        <v>4.6958099999999998</v>
      </c>
      <c r="E6965">
        <v>0.54570600000000002</v>
      </c>
      <c r="F6965" t="s">
        <v>41</v>
      </c>
      <c r="G6965">
        <v>-145.86539999999999</v>
      </c>
      <c r="H6965">
        <v>0.92388000000000003</v>
      </c>
      <c r="I6965">
        <v>137.45959999999999</v>
      </c>
      <c r="J6965">
        <v>-146.4846</v>
      </c>
      <c r="K6965">
        <v>1.1128979999999999</v>
      </c>
      <c r="L6965">
        <v>137.55690000000001</v>
      </c>
      <c r="M6965">
        <v>0.99919740000000001</v>
      </c>
      <c r="N6965">
        <v>-3.0678130000000001E-2</v>
      </c>
      <c r="O6965">
        <v>2.5757559999999999E-2</v>
      </c>
      <c r="P6965">
        <v>0.99823280000000003</v>
      </c>
      <c r="Q6965">
        <v>-5.6285719999999997E-2</v>
      </c>
      <c r="R6965">
        <v>1.9068399999999999E-2</v>
      </c>
      <c r="S6965">
        <v>2.9724430000000002</v>
      </c>
      <c r="T6965">
        <v>-0.70070030000000005</v>
      </c>
      <c r="U6965">
        <v>-0.33123780000000003</v>
      </c>
      <c r="V6965">
        <v>6.7384360000000004E-3</v>
      </c>
      <c r="W6965">
        <v>-2.561041E-2</v>
      </c>
      <c r="X6965">
        <v>0.99964929999999996</v>
      </c>
      <c r="Y6965">
        <v>0.131745</v>
      </c>
      <c r="Z6965">
        <v>-2.2526250000000001E-2</v>
      </c>
      <c r="AA6965">
        <v>0.99102769999999996</v>
      </c>
      <c r="AB6965">
        <v>17</v>
      </c>
      <c r="AC6965">
        <v>0.61920000000000597</v>
      </c>
      <c r="AD6965">
        <v>-0.18901799999999999</v>
      </c>
      <c r="AE6965">
        <v>-9.7300000000018302E-2</v>
      </c>
      <c r="AF6965">
        <v>0.103786062040727</v>
      </c>
      <c r="AG6965">
        <v>-0.18901799999999999</v>
      </c>
      <c r="AH6965">
        <v>0.565097489825653</v>
      </c>
      <c r="AI6965">
        <v>108.210425520198</v>
      </c>
      <c r="AJ6965">
        <v>79.593010029652305</v>
      </c>
      <c r="AK6965">
        <v>0.604842561337391</v>
      </c>
      <c r="AL6965">
        <v>91.467528841503196</v>
      </c>
      <c r="AM6965">
        <v>89.613786459109605</v>
      </c>
      <c r="AN6965">
        <v>1.00000001130529</v>
      </c>
    </row>
    <row r="6966" spans="1:40" x14ac:dyDescent="0.25">
      <c r="A6966" t="str">
        <f>"20190305135409904"</f>
        <v>20190305135409904</v>
      </c>
      <c r="B6966" t="str">
        <f>"1551765249897180"</f>
        <v>1551765249897180</v>
      </c>
      <c r="C6966" t="s">
        <v>40</v>
      </c>
      <c r="D6966">
        <v>4.6959169999999997</v>
      </c>
      <c r="E6966">
        <v>0.54606980000000005</v>
      </c>
      <c r="F6966" t="s">
        <v>41</v>
      </c>
      <c r="G6966">
        <v>-145.71530000000001</v>
      </c>
      <c r="H6966">
        <v>0.93105090000000001</v>
      </c>
      <c r="I6966">
        <v>137.47020000000001</v>
      </c>
      <c r="J6966">
        <v>-146.25829999999999</v>
      </c>
      <c r="K6966">
        <v>1.112808</v>
      </c>
      <c r="L6966">
        <v>137.56720000000001</v>
      </c>
      <c r="M6966">
        <v>0.99909460000000005</v>
      </c>
      <c r="N6966">
        <v>-3.095701E-2</v>
      </c>
      <c r="O6966">
        <v>2.9184689999999999E-2</v>
      </c>
      <c r="P6966">
        <v>0.9982413</v>
      </c>
      <c r="Q6966">
        <v>-5.5843070000000002E-2</v>
      </c>
      <c r="R6966">
        <v>1.9899710000000001E-2</v>
      </c>
      <c r="S6966">
        <v>2.972092</v>
      </c>
      <c r="T6966">
        <v>-0.70273490000000005</v>
      </c>
      <c r="U6966">
        <v>-0.33430480000000001</v>
      </c>
      <c r="V6966">
        <v>9.3223260000000006E-3</v>
      </c>
      <c r="W6966">
        <v>-2.4884199999999999E-2</v>
      </c>
      <c r="X6966">
        <v>0.9996469</v>
      </c>
      <c r="Y6966">
        <v>0.13593529999999901</v>
      </c>
      <c r="Z6966">
        <v>-2.3845669999999999E-2</v>
      </c>
      <c r="AA6966">
        <v>0.9904307</v>
      </c>
      <c r="AB6966">
        <v>17</v>
      </c>
      <c r="AC6966">
        <v>0.54299999999997794</v>
      </c>
      <c r="AD6966">
        <v>-0.1817571</v>
      </c>
      <c r="AE6966">
        <v>-9.7000000000008399E-2</v>
      </c>
      <c r="AF6966">
        <v>0.10176420066397</v>
      </c>
      <c r="AG6966">
        <v>-0.1817571</v>
      </c>
      <c r="AH6966">
        <v>0.48705308813854697</v>
      </c>
      <c r="AI6966">
        <v>110.066689956487</v>
      </c>
      <c r="AJ6966">
        <v>78.198477264630199</v>
      </c>
      <c r="AK6966">
        <v>0.529728521605626</v>
      </c>
      <c r="AL6966">
        <v>91.425906783132106</v>
      </c>
      <c r="AM6966">
        <v>89.465696885639801</v>
      </c>
      <c r="AN6966">
        <v>1.0000000269256399</v>
      </c>
    </row>
    <row r="6967" spans="1:40" x14ac:dyDescent="0.25">
      <c r="A6967" t="str">
        <f>"20190305135409924"</f>
        <v>20190305135409924</v>
      </c>
      <c r="B6967" t="str">
        <f>"1551765249917207"</f>
        <v>1551765249917207</v>
      </c>
      <c r="C6967" t="s">
        <v>40</v>
      </c>
      <c r="D6967">
        <v>4.7188249999999998</v>
      </c>
      <c r="E6967">
        <v>0.54620709999999995</v>
      </c>
      <c r="F6967" t="s">
        <v>41</v>
      </c>
      <c r="G6967">
        <v>-145.5635</v>
      </c>
      <c r="H6967">
        <v>0.94815749999999999</v>
      </c>
      <c r="I6967">
        <v>137.4888</v>
      </c>
      <c r="J6967">
        <v>-146.12270000000001</v>
      </c>
      <c r="K6967">
        <v>1.1127149999999999</v>
      </c>
      <c r="L6967">
        <v>137.5737</v>
      </c>
      <c r="M6967">
        <v>0.99903109999999995</v>
      </c>
      <c r="N6967">
        <v>-3.1115130000000001E-2</v>
      </c>
      <c r="O6967">
        <v>3.11233E-2</v>
      </c>
      <c r="P6967">
        <v>0.99819519999999995</v>
      </c>
      <c r="Q6967">
        <v>-5.6892190000000002E-2</v>
      </c>
      <c r="R6967">
        <v>1.922745E-2</v>
      </c>
      <c r="S6967">
        <v>2.972534</v>
      </c>
      <c r="T6967">
        <v>-0.70466759999999995</v>
      </c>
      <c r="U6967">
        <v>-0.33462520000000001</v>
      </c>
      <c r="V6967">
        <v>1.1925720000000001E-2</v>
      </c>
      <c r="W6967">
        <v>-2.577368E-2</v>
      </c>
      <c r="X6967">
        <v>0.9995967</v>
      </c>
      <c r="Y6967">
        <v>0.13782079999999999</v>
      </c>
      <c r="Z6967">
        <v>-2.4551770000000001E-2</v>
      </c>
      <c r="AA6967">
        <v>0.99015280000000006</v>
      </c>
      <c r="AB6967">
        <v>16</v>
      </c>
      <c r="AC6967">
        <v>0.55920000000000403</v>
      </c>
      <c r="AD6967">
        <v>-0.164557499999999</v>
      </c>
      <c r="AE6967">
        <v>-8.4900000000004597E-2</v>
      </c>
      <c r="AF6967">
        <v>9.4290171350895596E-2</v>
      </c>
      <c r="AG6967">
        <v>-0.164557499999999</v>
      </c>
      <c r="AH6967">
        <v>0.51287280393642498</v>
      </c>
      <c r="AI6967">
        <v>107.513909224863</v>
      </c>
      <c r="AJ6967">
        <v>79.582666028880993</v>
      </c>
      <c r="AK6967">
        <v>0.54681653252004203</v>
      </c>
      <c r="AL6967">
        <v>91.476886578736398</v>
      </c>
      <c r="AM6967">
        <v>89.316463322679795</v>
      </c>
      <c r="AN6967">
        <v>1.00000003401457</v>
      </c>
    </row>
    <row r="6968" spans="1:40" x14ac:dyDescent="0.25">
      <c r="A6968" t="str">
        <f>"20190305135409944"</f>
        <v>20190305135409944</v>
      </c>
      <c r="B6968" t="str">
        <f>"1551765249936727"</f>
        <v>1551765249936727</v>
      </c>
      <c r="C6968" t="s">
        <v>40</v>
      </c>
      <c r="D6968">
        <v>4.6970850000000004</v>
      </c>
      <c r="E6968">
        <v>0.54627230000000004</v>
      </c>
      <c r="F6968" t="s">
        <v>41</v>
      </c>
      <c r="G6968">
        <v>-145.4238</v>
      </c>
      <c r="H6968">
        <v>0.94606069999999998</v>
      </c>
      <c r="I6968">
        <v>137.49430000000001</v>
      </c>
      <c r="J6968">
        <v>-145.98400000000001</v>
      </c>
      <c r="K6968">
        <v>1.1125689999999999</v>
      </c>
      <c r="L6968">
        <v>137.5804</v>
      </c>
      <c r="M6968">
        <v>0.99896850000000004</v>
      </c>
      <c r="N6968">
        <v>-3.1269989999999998E-2</v>
      </c>
      <c r="O6968">
        <v>3.2926690000000002E-2</v>
      </c>
      <c r="P6968">
        <v>0.99808050000000004</v>
      </c>
      <c r="Q6968">
        <v>-5.8812719999999999E-2</v>
      </c>
      <c r="R6968">
        <v>1.9403210000000001E-2</v>
      </c>
      <c r="S6968">
        <v>2.9715419999999999</v>
      </c>
      <c r="T6968">
        <v>-0.70860840000000003</v>
      </c>
      <c r="U6968">
        <v>-0.33735660000000001</v>
      </c>
      <c r="V6968">
        <v>1.3541950000000001E-2</v>
      </c>
      <c r="W6968">
        <v>-2.7543950000000001E-2</v>
      </c>
      <c r="X6968">
        <v>0.99952890000000005</v>
      </c>
      <c r="Y6968">
        <v>0.1403672</v>
      </c>
      <c r="Z6968">
        <v>-2.5398460000000001E-2</v>
      </c>
      <c r="AA6968">
        <v>0.98977369999999998</v>
      </c>
      <c r="AB6968">
        <v>16</v>
      </c>
      <c r="AC6968">
        <v>0.56020000000000802</v>
      </c>
      <c r="AD6968">
        <v>-0.1665083</v>
      </c>
      <c r="AE6968">
        <v>-8.6099999999987603E-2</v>
      </c>
      <c r="AF6968">
        <v>9.6204689050829795E-2</v>
      </c>
      <c r="AG6968">
        <v>-0.1665083</v>
      </c>
      <c r="AH6968">
        <v>0.51280124777110203</v>
      </c>
      <c r="AI6968">
        <v>107.699743886313</v>
      </c>
      <c r="AJ6968">
        <v>79.374467153905996</v>
      </c>
      <c r="AK6968">
        <v>0.54767278175919598</v>
      </c>
      <c r="AL6968">
        <v>91.578351643882797</v>
      </c>
      <c r="AM6968">
        <v>89.223785212440106</v>
      </c>
      <c r="AN6968">
        <v>1.0000000377633</v>
      </c>
    </row>
    <row r="6969" spans="1:40" x14ac:dyDescent="0.25">
      <c r="A6969" t="str">
        <f>"20190305135409964"</f>
        <v>20190305135409964</v>
      </c>
      <c r="B6969" t="str">
        <f>"1551765249957223"</f>
        <v>1551765249957223</v>
      </c>
      <c r="C6969" t="s">
        <v>40</v>
      </c>
      <c r="D6969">
        <v>4.7167949999999896</v>
      </c>
      <c r="E6969">
        <v>0.54628160000000003</v>
      </c>
      <c r="F6969" t="s">
        <v>41</v>
      </c>
      <c r="G6969">
        <v>-145.2869</v>
      </c>
      <c r="H6969">
        <v>0.94460949999999999</v>
      </c>
      <c r="I6969">
        <v>137.50110000000001</v>
      </c>
      <c r="J6969">
        <v>-145.85</v>
      </c>
      <c r="K6969">
        <v>1.1123769999999999</v>
      </c>
      <c r="L6969">
        <v>137.58690000000001</v>
      </c>
      <c r="M6969">
        <v>0.99891350000000001</v>
      </c>
      <c r="N6969">
        <v>-3.1408869999999998E-2</v>
      </c>
      <c r="O6969">
        <v>3.4427989999999999E-2</v>
      </c>
      <c r="P6969">
        <v>0.99795319999999998</v>
      </c>
      <c r="Q6969">
        <v>-6.0490549999999997E-2</v>
      </c>
      <c r="R6969">
        <v>2.074457E-2</v>
      </c>
      <c r="S6969">
        <v>2.9701390000000001</v>
      </c>
      <c r="T6969">
        <v>-0.71574720000000003</v>
      </c>
      <c r="U6969">
        <v>-0.33703610000000001</v>
      </c>
      <c r="V6969">
        <v>1.368544E-2</v>
      </c>
      <c r="W6969">
        <v>-2.9091990000000002E-2</v>
      </c>
      <c r="X6969">
        <v>0.99948300000000001</v>
      </c>
      <c r="Y6969">
        <v>0.1416232</v>
      </c>
      <c r="Z6969">
        <v>-2.6131209999999998E-2</v>
      </c>
      <c r="AA6969">
        <v>0.98957569999999995</v>
      </c>
      <c r="AB6969">
        <v>16</v>
      </c>
      <c r="AC6969">
        <v>0.56309999999999105</v>
      </c>
      <c r="AD6969">
        <v>-0.16776750000000001</v>
      </c>
      <c r="AE6969">
        <v>-8.5800000000006094E-2</v>
      </c>
      <c r="AF6969">
        <v>9.6751702811419996E-2</v>
      </c>
      <c r="AG6969">
        <v>-0.16776750000000001</v>
      </c>
      <c r="AH6969">
        <v>0.51512280537301003</v>
      </c>
      <c r="AI6969">
        <v>107.74921880589299</v>
      </c>
      <c r="AJ6969">
        <v>79.362490089587197</v>
      </c>
      <c r="AK6969">
        <v>0.55032565874082195</v>
      </c>
      <c r="AL6969">
        <v>91.667083536708603</v>
      </c>
      <c r="AM6969">
        <v>89.215525471849404</v>
      </c>
      <c r="AN6969">
        <v>0.99999995121957497</v>
      </c>
    </row>
    <row r="6970" spans="1:40" x14ac:dyDescent="0.25">
      <c r="A6970" t="str">
        <f>"20190305135409984"</f>
        <v>20190305135409984</v>
      </c>
      <c r="B6970" t="str">
        <f>"1551765249976743"</f>
        <v>1551765249976743</v>
      </c>
      <c r="C6970" t="s">
        <v>40</v>
      </c>
      <c r="D6970">
        <v>4.7123679999999997</v>
      </c>
      <c r="E6970">
        <v>0.54629300000000003</v>
      </c>
      <c r="F6970" t="s">
        <v>41</v>
      </c>
      <c r="G6970">
        <v>-145.1532</v>
      </c>
      <c r="H6970">
        <v>0.94302090000000005</v>
      </c>
      <c r="I6970">
        <v>137.50880000000001</v>
      </c>
      <c r="J6970">
        <v>-145.71700000000001</v>
      </c>
      <c r="K6970">
        <v>1.112134</v>
      </c>
      <c r="L6970">
        <v>137.5932</v>
      </c>
      <c r="M6970">
        <v>0.99886739999999996</v>
      </c>
      <c r="N6970">
        <v>-3.1532060000000001E-2</v>
      </c>
      <c r="O6970">
        <v>3.5632949999999997E-2</v>
      </c>
      <c r="P6970">
        <v>0.99779390000000001</v>
      </c>
      <c r="Q6970">
        <v>-6.2117079999999998E-2</v>
      </c>
      <c r="R6970">
        <v>2.3432709999999999E-2</v>
      </c>
      <c r="S6970">
        <v>2.9693149999999999</v>
      </c>
      <c r="T6970">
        <v>-0.72171269999999998</v>
      </c>
      <c r="U6970">
        <v>-0.33265689999999998</v>
      </c>
      <c r="V6970">
        <v>1.2181000000000001E-2</v>
      </c>
      <c r="W6970">
        <v>-3.0606700000000001E-2</v>
      </c>
      <c r="X6970">
        <v>0.99945729999999999</v>
      </c>
      <c r="Y6970">
        <v>0.1413005</v>
      </c>
      <c r="Z6970">
        <v>-2.655393E-2</v>
      </c>
      <c r="AA6970">
        <v>0.98961060000000001</v>
      </c>
      <c r="AB6970">
        <v>15</v>
      </c>
      <c r="AC6970">
        <v>0.56380000000001396</v>
      </c>
      <c r="AD6970">
        <v>-0.16911309999999899</v>
      </c>
      <c r="AE6970">
        <v>-8.4399999999987999E-2</v>
      </c>
      <c r="AF6970">
        <v>9.5998403097463797E-2</v>
      </c>
      <c r="AG6970">
        <v>-0.16911309999999899</v>
      </c>
      <c r="AH6970">
        <v>0.51510387979113104</v>
      </c>
      <c r="AI6970">
        <v>107.88756570409301</v>
      </c>
      <c r="AJ6970">
        <v>79.443064870414304</v>
      </c>
      <c r="AK6970">
        <v>0.55058781403582602</v>
      </c>
      <c r="AL6970">
        <v>91.753908606106506</v>
      </c>
      <c r="AM6970">
        <v>89.301735714505</v>
      </c>
      <c r="AN6970">
        <v>1.00000002068458</v>
      </c>
    </row>
    <row r="6971" spans="1:40" x14ac:dyDescent="0.25">
      <c r="A6971" t="str">
        <f>"20190305135410007"</f>
        <v>20190305135410007</v>
      </c>
      <c r="B6971" t="str">
        <f>"1551765249997240"</f>
        <v>1551765249997240</v>
      </c>
      <c r="C6971" t="s">
        <v>40</v>
      </c>
      <c r="D6971">
        <v>4.7318540000000002</v>
      </c>
      <c r="E6971">
        <v>0.54626799999999998</v>
      </c>
      <c r="F6971" t="s">
        <v>41</v>
      </c>
      <c r="G6971">
        <v>-145.0222</v>
      </c>
      <c r="H6971">
        <v>0.94195269999999998</v>
      </c>
      <c r="I6971">
        <v>137.5172</v>
      </c>
      <c r="J6971">
        <v>-145.57470000000001</v>
      </c>
      <c r="K6971">
        <v>1.111869</v>
      </c>
      <c r="L6971">
        <v>137.59960000000001</v>
      </c>
      <c r="M6971">
        <v>0.9988302</v>
      </c>
      <c r="N6971">
        <v>-3.164691E-2</v>
      </c>
      <c r="O6971">
        <v>3.6559050000000003E-2</v>
      </c>
      <c r="P6971">
        <v>0.99771569999999998</v>
      </c>
      <c r="Q6971">
        <v>-6.2119889999999997E-2</v>
      </c>
      <c r="R6971">
        <v>2.6547520000000002E-2</v>
      </c>
      <c r="S6971">
        <v>2.9689640000000002</v>
      </c>
      <c r="T6971">
        <v>-0.72730569999999894</v>
      </c>
      <c r="U6971">
        <v>-0.32406620000000003</v>
      </c>
      <c r="V6971">
        <v>9.9694650000000003E-3</v>
      </c>
      <c r="W6971">
        <v>-3.0502769999999998E-2</v>
      </c>
      <c r="X6971">
        <v>0.99948499999999996</v>
      </c>
      <c r="Y6971">
        <v>0.1393607</v>
      </c>
      <c r="Z6971">
        <v>-2.6685710000000001E-2</v>
      </c>
      <c r="AA6971">
        <v>0.98988209999999999</v>
      </c>
      <c r="AB6971">
        <v>15</v>
      </c>
      <c r="AC6971">
        <v>0.55250000000000898</v>
      </c>
      <c r="AD6971">
        <v>-0.16991629999999999</v>
      </c>
      <c r="AE6971">
        <v>-8.2400000000006898E-2</v>
      </c>
      <c r="AF6971">
        <v>9.3868800933361501E-2</v>
      </c>
      <c r="AG6971">
        <v>-0.16991629999999999</v>
      </c>
      <c r="AH6971">
        <v>0.50261286743140199</v>
      </c>
      <c r="AI6971">
        <v>108.38267851933</v>
      </c>
      <c r="AJ6971">
        <v>79.421218596983806</v>
      </c>
      <c r="AK6971">
        <v>0.53879736014755397</v>
      </c>
      <c r="AL6971">
        <v>91.747951045353702</v>
      </c>
      <c r="AM6971">
        <v>89.428516359972306</v>
      </c>
      <c r="AN6971">
        <v>1.00000003721752</v>
      </c>
    </row>
    <row r="6972" spans="1:40" x14ac:dyDescent="0.25">
      <c r="A6972" t="str">
        <f>"20190305135410029"</f>
        <v>20190305135410029</v>
      </c>
      <c r="B6972" t="str">
        <f>"1551765250016759"</f>
        <v>1551765250016759</v>
      </c>
      <c r="C6972" t="s">
        <v>40</v>
      </c>
      <c r="D6972">
        <v>4.7601209999999998</v>
      </c>
      <c r="E6972">
        <v>0.54625769999999996</v>
      </c>
      <c r="F6972" t="s">
        <v>41</v>
      </c>
      <c r="G6972">
        <v>-144.77959999999999</v>
      </c>
      <c r="H6972">
        <v>0.91686080000000003</v>
      </c>
      <c r="I6972">
        <v>137.5153</v>
      </c>
      <c r="J6972">
        <v>-145.43199999999999</v>
      </c>
      <c r="K6972">
        <v>1.111629</v>
      </c>
      <c r="L6972">
        <v>137.60570000000001</v>
      </c>
      <c r="M6972">
        <v>0.99880919999999895</v>
      </c>
      <c r="N6972">
        <v>-3.1751380000000003E-2</v>
      </c>
      <c r="O6972">
        <v>3.7044359999999998E-2</v>
      </c>
      <c r="P6972">
        <v>0.99776699999999996</v>
      </c>
      <c r="Q6972">
        <v>-6.02356E-2</v>
      </c>
      <c r="R6972">
        <v>2.8860589999999998E-2</v>
      </c>
      <c r="S6972">
        <v>2.969894</v>
      </c>
      <c r="T6972">
        <v>-0.72850919999999997</v>
      </c>
      <c r="U6972">
        <v>-0.31382749999999998</v>
      </c>
      <c r="V6972">
        <v>8.1258140000000003E-3</v>
      </c>
      <c r="W6972">
        <v>-2.851646E-2</v>
      </c>
      <c r="X6972">
        <v>0.99956029999999996</v>
      </c>
      <c r="Y6972">
        <v>0.13650109999999999</v>
      </c>
      <c r="Z6972">
        <v>-2.6437539999999999E-2</v>
      </c>
      <c r="AA6972">
        <v>0.99028709999999998</v>
      </c>
      <c r="AB6972">
        <v>14</v>
      </c>
      <c r="AC6972">
        <v>0.65240000000002796</v>
      </c>
      <c r="AD6972">
        <v>-0.194768199999999</v>
      </c>
      <c r="AE6972">
        <v>-9.0400000000016606E-2</v>
      </c>
      <c r="AF6972">
        <v>0.105308800240978</v>
      </c>
      <c r="AG6972">
        <v>-0.194768199999999</v>
      </c>
      <c r="AH6972">
        <v>0.59644360526226603</v>
      </c>
      <c r="AI6972">
        <v>107.82650955624</v>
      </c>
      <c r="AJ6972">
        <v>79.986985254752696</v>
      </c>
      <c r="AK6972">
        <v>0.636215033929319</v>
      </c>
      <c r="AL6972">
        <v>91.634094318090604</v>
      </c>
      <c r="AM6972">
        <v>89.534230609625695</v>
      </c>
      <c r="AN6972">
        <v>1.0000000053400899</v>
      </c>
    </row>
    <row r="6973" spans="1:40" x14ac:dyDescent="0.25">
      <c r="A6973" t="str">
        <f>"20190305135410049"</f>
        <v>20190305135410049</v>
      </c>
      <c r="B6973" t="str">
        <f>"1551765250037255"</f>
        <v>1551765250037255</v>
      </c>
      <c r="C6973" t="s">
        <v>40</v>
      </c>
      <c r="D6973">
        <v>4.725746</v>
      </c>
      <c r="E6973">
        <v>0.54625429999999997</v>
      </c>
      <c r="F6973" t="s">
        <v>41</v>
      </c>
      <c r="G6973">
        <v>-144.65479999999999</v>
      </c>
      <c r="H6973">
        <v>0.92209419999999997</v>
      </c>
      <c r="I6973">
        <v>137.5256</v>
      </c>
      <c r="J6973">
        <v>-145.30779999999999</v>
      </c>
      <c r="K6973">
        <v>1.111478</v>
      </c>
      <c r="L6973">
        <v>137.6105</v>
      </c>
      <c r="M6973">
        <v>0.99880250000000004</v>
      </c>
      <c r="N6973">
        <v>-3.1838810000000002E-2</v>
      </c>
      <c r="O6973">
        <v>3.7151419999999998E-2</v>
      </c>
      <c r="P6973">
        <v>0.99788840000000001</v>
      </c>
      <c r="Q6973">
        <v>-5.7694080000000002E-2</v>
      </c>
      <c r="R6973">
        <v>2.984697E-2</v>
      </c>
      <c r="S6973">
        <v>2.9718019999999998</v>
      </c>
      <c r="T6973">
        <v>-0.72476099999999999</v>
      </c>
      <c r="U6973">
        <v>-0.30578610000000001</v>
      </c>
      <c r="V6973">
        <v>7.2408230000000004E-3</v>
      </c>
      <c r="W6973">
        <v>-2.588673E-2</v>
      </c>
      <c r="X6973">
        <v>0.99963869999999999</v>
      </c>
      <c r="Y6973">
        <v>0.13402600000000001</v>
      </c>
      <c r="Z6973">
        <v>-2.598557E-2</v>
      </c>
      <c r="AA6973">
        <v>0.99063710000000005</v>
      </c>
      <c r="AB6973">
        <v>14</v>
      </c>
      <c r="AC6973">
        <v>0.65299999999999103</v>
      </c>
      <c r="AD6973">
        <v>-0.18938379999999999</v>
      </c>
      <c r="AE6973">
        <v>-8.4900000000004597E-2</v>
      </c>
      <c r="AF6973">
        <v>0.10077776941338</v>
      </c>
      <c r="AG6973">
        <v>-0.18938379999999999</v>
      </c>
      <c r="AH6973">
        <v>0.59978253832430695</v>
      </c>
      <c r="AI6973">
        <v>107.296020794702</v>
      </c>
      <c r="AJ6973">
        <v>80.462035422745799</v>
      </c>
      <c r="AK6973">
        <v>0.63699409399862195</v>
      </c>
      <c r="AL6973">
        <v>91.483366017305201</v>
      </c>
      <c r="AM6973">
        <v>89.584988713788107</v>
      </c>
      <c r="AN6973">
        <v>1.0000000414227399</v>
      </c>
    </row>
    <row r="6974" spans="1:40" x14ac:dyDescent="0.25">
      <c r="A6974" t="str">
        <f>"20190305135410075"</f>
        <v>20190305135410075</v>
      </c>
      <c r="B6974" t="str">
        <f>"1551765250066535"</f>
        <v>1551765250066535</v>
      </c>
      <c r="C6974" t="s">
        <v>40</v>
      </c>
      <c r="D6974">
        <v>4.7349329999999998</v>
      </c>
      <c r="E6974">
        <v>0.54621489999999995</v>
      </c>
      <c r="F6974" t="s">
        <v>41</v>
      </c>
      <c r="G6974">
        <v>-144.5342</v>
      </c>
      <c r="H6974">
        <v>0.92456170000000004</v>
      </c>
      <c r="I6974">
        <v>137.53210000000001</v>
      </c>
      <c r="J6974">
        <v>-145.16030000000001</v>
      </c>
      <c r="K6974">
        <v>1.1113550000000001</v>
      </c>
      <c r="L6974">
        <v>137.61590000000001</v>
      </c>
      <c r="M6974">
        <v>0.99880840000000004</v>
      </c>
      <c r="N6974">
        <v>-3.1939919999999997E-2</v>
      </c>
      <c r="O6974">
        <v>3.6901839999999998E-2</v>
      </c>
      <c r="P6974">
        <v>0.99803929999999996</v>
      </c>
      <c r="Q6974">
        <v>-5.5430210000000001E-2</v>
      </c>
      <c r="R6974">
        <v>2.9078039999999999E-2</v>
      </c>
      <c r="S6974">
        <v>2.9738310000000001</v>
      </c>
      <c r="T6974">
        <v>-0.71854130000000005</v>
      </c>
      <c r="U6974">
        <v>-0.30107119999999998</v>
      </c>
      <c r="V6974">
        <v>7.7587089999999999E-3</v>
      </c>
      <c r="W6974">
        <v>-2.3522379999999999E-2</v>
      </c>
      <c r="X6974">
        <v>0.99969319999999895</v>
      </c>
      <c r="Y6974">
        <v>0.13230729999999999</v>
      </c>
      <c r="Z6974">
        <v>-2.5481139999999999E-2</v>
      </c>
      <c r="AA6974">
        <v>0.99088109999999996</v>
      </c>
      <c r="AB6974">
        <v>14</v>
      </c>
      <c r="AC6974">
        <v>0.62610000000000798</v>
      </c>
      <c r="AD6974">
        <v>-0.186793299999999</v>
      </c>
      <c r="AE6974">
        <v>-8.3799999999996502E-2</v>
      </c>
      <c r="AF6974">
        <v>9.8266227670595396E-2</v>
      </c>
      <c r="AG6974">
        <v>-0.186793299999999</v>
      </c>
      <c r="AH6974">
        <v>0.572516719058067</v>
      </c>
      <c r="AI6974">
        <v>107.825958718915</v>
      </c>
      <c r="AJ6974">
        <v>80.260706425502207</v>
      </c>
      <c r="AK6974">
        <v>0.61018307254996196</v>
      </c>
      <c r="AL6974">
        <v>91.347857417051202</v>
      </c>
      <c r="AM6974">
        <v>89.555331220702598</v>
      </c>
      <c r="AN6974">
        <v>0.999999997026225</v>
      </c>
    </row>
    <row r="6975" spans="1:40" x14ac:dyDescent="0.25">
      <c r="A6975" t="str">
        <f>"20190305135410098"</f>
        <v>20190305135410098</v>
      </c>
      <c r="B6975" t="str">
        <f>"1551765250087032"</f>
        <v>1551765250087032</v>
      </c>
      <c r="C6975" t="s">
        <v>40</v>
      </c>
      <c r="D6975">
        <v>4.7343640000000002</v>
      </c>
      <c r="E6975">
        <v>0.54621030000000004</v>
      </c>
      <c r="F6975" t="s">
        <v>41</v>
      </c>
      <c r="G6975">
        <v>-144.41409999999999</v>
      </c>
      <c r="H6975">
        <v>0.9324228</v>
      </c>
      <c r="I6975">
        <v>137.5403</v>
      </c>
      <c r="J6975">
        <v>-145.0256</v>
      </c>
      <c r="K6975">
        <v>1.1112879999999901</v>
      </c>
      <c r="L6975">
        <v>137.62039999999999</v>
      </c>
      <c r="M6975">
        <v>0.99882479999999996</v>
      </c>
      <c r="N6975">
        <v>-3.2034600000000003E-2</v>
      </c>
      <c r="O6975">
        <v>3.6373030000000001E-2</v>
      </c>
      <c r="P6975">
        <v>0.99818370000000001</v>
      </c>
      <c r="Q6975">
        <v>-5.394724E-2</v>
      </c>
      <c r="R6975">
        <v>2.681623E-2</v>
      </c>
      <c r="S6975">
        <v>2.9750519999999998</v>
      </c>
      <c r="T6975">
        <v>-0.71335660000000001</v>
      </c>
      <c r="U6975">
        <v>-0.30130000000000001</v>
      </c>
      <c r="V6975">
        <v>9.4932450000000008E-3</v>
      </c>
      <c r="W6975">
        <v>-2.194776E-2</v>
      </c>
      <c r="X6975">
        <v>0.99971399999999999</v>
      </c>
      <c r="Y6975">
        <v>0.1319149</v>
      </c>
      <c r="Z6975">
        <v>-2.5141050000000002E-2</v>
      </c>
      <c r="AA6975">
        <v>0.9909422</v>
      </c>
      <c r="AB6975">
        <v>13</v>
      </c>
      <c r="AC6975">
        <v>0.61150000000000604</v>
      </c>
      <c r="AD6975">
        <v>-0.178865199999999</v>
      </c>
      <c r="AE6975">
        <v>-8.0099999999987403E-2</v>
      </c>
      <c r="AF6975">
        <v>9.4363169149844703E-2</v>
      </c>
      <c r="AG6975">
        <v>-0.178865199999999</v>
      </c>
      <c r="AH6975">
        <v>0.56099243509310903</v>
      </c>
      <c r="AI6975">
        <v>107.45419348360601</v>
      </c>
      <c r="AJ6975">
        <v>80.4517987111021</v>
      </c>
      <c r="AK6975">
        <v>0.59633017674333599</v>
      </c>
      <c r="AL6975">
        <v>91.2576150560174</v>
      </c>
      <c r="AM6975">
        <v>89.455937874065498</v>
      </c>
      <c r="AN6975">
        <v>0.99999995383282203</v>
      </c>
    </row>
    <row r="6976" spans="1:40" x14ac:dyDescent="0.25">
      <c r="A6976" t="str">
        <f>"20190305135410122"</f>
        <v>20190305135410122</v>
      </c>
      <c r="B6976" t="str">
        <f>"1551765250116818"</f>
        <v>1551765250116818</v>
      </c>
      <c r="C6976" t="s">
        <v>40</v>
      </c>
      <c r="D6976">
        <v>4.7401809999999998</v>
      </c>
      <c r="E6976">
        <v>0.5462359</v>
      </c>
      <c r="F6976" t="s">
        <v>41</v>
      </c>
      <c r="G6976">
        <v>-144.29820000000001</v>
      </c>
      <c r="H6976">
        <v>0.93757409999999997</v>
      </c>
      <c r="I6976">
        <v>137.5453</v>
      </c>
      <c r="J6976">
        <v>-144.88910000000001</v>
      </c>
      <c r="K6976">
        <v>1.1112500000000001</v>
      </c>
      <c r="L6976">
        <v>137.62450000000001</v>
      </c>
      <c r="M6976">
        <v>0.99884930000000005</v>
      </c>
      <c r="N6976">
        <v>-3.2134250000000003E-2</v>
      </c>
      <c r="O6976">
        <v>3.5602330000000001E-2</v>
      </c>
      <c r="P6976">
        <v>0.99827889999999997</v>
      </c>
      <c r="Q6976">
        <v>-5.3755289999999997E-2</v>
      </c>
      <c r="R6976">
        <v>2.3451699999999999E-2</v>
      </c>
      <c r="S6976">
        <v>2.9752809999999998</v>
      </c>
      <c r="T6976">
        <v>-0.71054119999999998</v>
      </c>
      <c r="U6976">
        <v>-0.3062744</v>
      </c>
      <c r="V6976">
        <v>1.2086110000000001E-2</v>
      </c>
      <c r="W6976">
        <v>-2.1662420000000002E-2</v>
      </c>
      <c r="X6976">
        <v>0.99969229999999998</v>
      </c>
      <c r="Y6976">
        <v>0.13280890000000001</v>
      </c>
      <c r="Z6976">
        <v>-2.5010649999999999E-2</v>
      </c>
      <c r="AA6976">
        <v>0.99082610000000004</v>
      </c>
      <c r="AB6976">
        <v>13</v>
      </c>
      <c r="AC6976">
        <v>0.59090000000000398</v>
      </c>
      <c r="AD6976">
        <v>-0.17367589999999999</v>
      </c>
      <c r="AE6976">
        <v>-7.9200000000014301E-2</v>
      </c>
      <c r="AF6976">
        <v>9.2360071772548E-2</v>
      </c>
      <c r="AG6976">
        <v>-0.17367589999999999</v>
      </c>
      <c r="AH6976">
        <v>0.54173093057147403</v>
      </c>
      <c r="AI6976">
        <v>107.53831784210399</v>
      </c>
      <c r="AJ6976">
        <v>80.324632981967994</v>
      </c>
      <c r="AK6976">
        <v>0.57633853093166998</v>
      </c>
      <c r="AL6976">
        <v>91.241262314058901</v>
      </c>
      <c r="AM6976">
        <v>89.307337509759805</v>
      </c>
      <c r="AN6976">
        <v>1.0000000145872301</v>
      </c>
    </row>
    <row r="6977" spans="1:40" x14ac:dyDescent="0.25">
      <c r="A6977" t="str">
        <f>"20190305135410142"</f>
        <v>20190305135410142</v>
      </c>
      <c r="B6977" t="str">
        <f>"1551765250137314"</f>
        <v>1551765250137314</v>
      </c>
      <c r="C6977" t="s">
        <v>40</v>
      </c>
      <c r="D6977">
        <v>4.7365130000000004</v>
      </c>
      <c r="E6977">
        <v>0.54622660000000001</v>
      </c>
      <c r="F6977" t="s">
        <v>41</v>
      </c>
      <c r="G6977">
        <v>-144.18549999999999</v>
      </c>
      <c r="H6977">
        <v>0.94281459999999995</v>
      </c>
      <c r="I6977">
        <v>137.55009999999999</v>
      </c>
      <c r="J6977">
        <v>-144.78290000000001</v>
      </c>
      <c r="K6977">
        <v>1.1112310000000001</v>
      </c>
      <c r="L6977">
        <v>137.6275</v>
      </c>
      <c r="M6977">
        <v>0.99887199999999998</v>
      </c>
      <c r="N6977">
        <v>-3.2219009999999999E-2</v>
      </c>
      <c r="O6977">
        <v>3.4881820000000001E-2</v>
      </c>
      <c r="P6977">
        <v>0.99831840000000005</v>
      </c>
      <c r="Q6977">
        <v>-5.4605899999999999E-2</v>
      </c>
      <c r="R6977">
        <v>1.9458360000000001E-2</v>
      </c>
      <c r="S6977">
        <v>2.9742280000000001</v>
      </c>
      <c r="T6977">
        <v>-0.71195569999999997</v>
      </c>
      <c r="U6977">
        <v>-0.31483460000000002</v>
      </c>
      <c r="V6977">
        <v>1.535651E-2</v>
      </c>
      <c r="W6977">
        <v>-2.24368E-2</v>
      </c>
      <c r="X6977">
        <v>0.99963029999999997</v>
      </c>
      <c r="Y6977">
        <v>0.13487850000000001</v>
      </c>
      <c r="Z6977">
        <v>-2.5196159999999999E-2</v>
      </c>
      <c r="AA6977">
        <v>0.99054180000000003</v>
      </c>
      <c r="AB6977">
        <v>13</v>
      </c>
      <c r="AC6977">
        <v>0.59740000000002103</v>
      </c>
      <c r="AD6977">
        <v>-0.16841639999999899</v>
      </c>
      <c r="AE6977">
        <v>-7.7400000000011404E-2</v>
      </c>
      <c r="AF6977">
        <v>9.1082655371544599E-2</v>
      </c>
      <c r="AG6977">
        <v>-0.16841639999999899</v>
      </c>
      <c r="AH6977">
        <v>0.55124695810004298</v>
      </c>
      <c r="AI6977">
        <v>106.77448599228001</v>
      </c>
      <c r="AJ6977">
        <v>80.617774421336094</v>
      </c>
      <c r="AK6977">
        <v>0.58355234787724197</v>
      </c>
      <c r="AL6977">
        <v>91.285641848544103</v>
      </c>
      <c r="AM6977">
        <v>89.119880613999399</v>
      </c>
      <c r="AN6977">
        <v>0.99999998453585404</v>
      </c>
    </row>
    <row r="6978" spans="1:40" x14ac:dyDescent="0.25">
      <c r="A6978" t="str">
        <f>"20190305135410161"</f>
        <v>20190305135410161</v>
      </c>
      <c r="B6978" t="str">
        <f>"1551765250156835"</f>
        <v>1551765250156835</v>
      </c>
      <c r="C6978" t="s">
        <v>40</v>
      </c>
      <c r="D6978">
        <v>4.7867879999999996</v>
      </c>
      <c r="E6978">
        <v>0.54625590000000002</v>
      </c>
      <c r="F6978" t="s">
        <v>41</v>
      </c>
      <c r="G6978">
        <v>-144.0789</v>
      </c>
      <c r="H6978">
        <v>0.94158549999999996</v>
      </c>
      <c r="I6978">
        <v>137.55019999999999</v>
      </c>
      <c r="J6978">
        <v>-144.6824</v>
      </c>
      <c r="K6978">
        <v>1.1112470000000001</v>
      </c>
      <c r="L6978">
        <v>137.63</v>
      </c>
      <c r="M6978">
        <v>0.99889459999999997</v>
      </c>
      <c r="N6978">
        <v>-3.2309360000000002E-2</v>
      </c>
      <c r="O6978">
        <v>3.414449E-2</v>
      </c>
      <c r="P6978">
        <v>0.99833079999999996</v>
      </c>
      <c r="Q6978">
        <v>-5.5743529999999999E-2</v>
      </c>
      <c r="R6978">
        <v>1.512229E-2</v>
      </c>
      <c r="S6978">
        <v>2.9722140000000001</v>
      </c>
      <c r="T6978">
        <v>-0.71621449999999998</v>
      </c>
      <c r="U6978">
        <v>-0.32521060000000002</v>
      </c>
      <c r="V6978">
        <v>1.895237E-2</v>
      </c>
      <c r="W6978">
        <v>-2.3492989999999998E-2</v>
      </c>
      <c r="X6978">
        <v>0.99954430000000005</v>
      </c>
      <c r="Y6978">
        <v>0.1375035</v>
      </c>
      <c r="Z6978">
        <v>-2.5555149999999999E-2</v>
      </c>
      <c r="AA6978">
        <v>0.99017160000000004</v>
      </c>
      <c r="AB6978">
        <v>12</v>
      </c>
      <c r="AC6978">
        <v>0.60349999999999604</v>
      </c>
      <c r="AD6978">
        <v>-0.16966149999999899</v>
      </c>
      <c r="AE6978">
        <v>-7.9800000000005797E-2</v>
      </c>
      <c r="AF6978">
        <v>9.31359936433383E-2</v>
      </c>
      <c r="AG6978">
        <v>-0.16966149999999899</v>
      </c>
      <c r="AH6978">
        <v>0.55714503969581297</v>
      </c>
      <c r="AI6978">
        <v>106.717732285979</v>
      </c>
      <c r="AJ6978">
        <v>80.509814984430193</v>
      </c>
      <c r="AK6978">
        <v>0.58980499586882995</v>
      </c>
      <c r="AL6978">
        <v>91.346173078084902</v>
      </c>
      <c r="AM6978">
        <v>88.9137442855627</v>
      </c>
      <c r="AN6978">
        <v>0.99999996028512195</v>
      </c>
    </row>
    <row r="6979" spans="1:40" x14ac:dyDescent="0.25">
      <c r="A6979" t="str">
        <f>"20190305135410185"</f>
        <v>20190305135410185</v>
      </c>
      <c r="B6979" t="str">
        <f>"1551765250177331"</f>
        <v>1551765250177331</v>
      </c>
      <c r="C6979" t="s">
        <v>40</v>
      </c>
      <c r="D6979">
        <v>4.7461169999999999</v>
      </c>
      <c r="E6979">
        <v>0.54623630000000001</v>
      </c>
      <c r="F6979" t="s">
        <v>41</v>
      </c>
      <c r="G6979">
        <v>-143.9759</v>
      </c>
      <c r="H6979">
        <v>0.93973260000000003</v>
      </c>
      <c r="I6979">
        <v>137.5497</v>
      </c>
      <c r="J6979">
        <v>-144.5633</v>
      </c>
      <c r="K6979">
        <v>1.1113200000000001</v>
      </c>
      <c r="L6979">
        <v>137.63290000000001</v>
      </c>
      <c r="M6979">
        <v>0.99892130000000001</v>
      </c>
      <c r="N6979">
        <v>-3.2429329999999999E-2</v>
      </c>
      <c r="O6979">
        <v>3.3238249999999997E-2</v>
      </c>
      <c r="P6979">
        <v>0.99825459999999999</v>
      </c>
      <c r="Q6979">
        <v>-5.7919789999999999E-2</v>
      </c>
      <c r="R6979">
        <v>1.155284E-2</v>
      </c>
      <c r="S6979">
        <v>2.969894</v>
      </c>
      <c r="T6979">
        <v>-0.72100339999999996</v>
      </c>
      <c r="U6979">
        <v>-0.337677</v>
      </c>
      <c r="V6979">
        <v>2.1611950000000001E-2</v>
      </c>
      <c r="W6979">
        <v>-2.5555250000000002E-2</v>
      </c>
      <c r="X6979">
        <v>0.99943979999999999</v>
      </c>
      <c r="Y6979">
        <v>0.14063809999999999</v>
      </c>
      <c r="Z6979">
        <v>-2.5971000000000001E-2</v>
      </c>
      <c r="AA6979">
        <v>0.98972039999999994</v>
      </c>
      <c r="AB6979">
        <v>12</v>
      </c>
      <c r="AC6979">
        <v>0.58740000000000203</v>
      </c>
      <c r="AD6979">
        <v>-0.1715874</v>
      </c>
      <c r="AE6979">
        <v>-8.3200000000005006E-2</v>
      </c>
      <c r="AF6979">
        <v>9.4761419787460804E-2</v>
      </c>
      <c r="AG6979">
        <v>-0.1715874</v>
      </c>
      <c r="AH6979">
        <v>0.53920283055268803</v>
      </c>
      <c r="AI6979">
        <v>107.402081396185</v>
      </c>
      <c r="AJ6979">
        <v>80.032423349512698</v>
      </c>
      <c r="AK6979">
        <v>0.57372611496682502</v>
      </c>
      <c r="AL6979">
        <v>91.464367343488803</v>
      </c>
      <c r="AM6979">
        <v>88.761225467949899</v>
      </c>
      <c r="AN6979">
        <v>1.0000000305047001</v>
      </c>
    </row>
    <row r="6980" spans="1:40" x14ac:dyDescent="0.25">
      <c r="A6980" t="str">
        <f>"20190305135410206"</f>
        <v>20190305135410206</v>
      </c>
      <c r="B6980" t="str">
        <f>"1551765250196850"</f>
        <v>1551765250196850</v>
      </c>
      <c r="C6980" t="s">
        <v>40</v>
      </c>
      <c r="D6980">
        <v>4.7143470000000001</v>
      </c>
      <c r="E6980">
        <v>0.54622939999999998</v>
      </c>
      <c r="F6980" t="s">
        <v>41</v>
      </c>
      <c r="G6980">
        <v>-143.8741</v>
      </c>
      <c r="H6980">
        <v>0.94228259999999997</v>
      </c>
      <c r="I6980">
        <v>137.55179999999999</v>
      </c>
      <c r="J6980">
        <v>-144.4588</v>
      </c>
      <c r="K6980">
        <v>1.1114269999999999</v>
      </c>
      <c r="L6980">
        <v>137.6353</v>
      </c>
      <c r="M6980">
        <v>0.99894360000000004</v>
      </c>
      <c r="N6980">
        <v>-3.2541460000000001E-2</v>
      </c>
      <c r="O6980">
        <v>3.2444979999999998E-2</v>
      </c>
      <c r="P6980">
        <v>0.99818989999999996</v>
      </c>
      <c r="Q6980">
        <v>-5.9471570000000001E-2</v>
      </c>
      <c r="R6980">
        <v>8.9636750000000008E-3</v>
      </c>
      <c r="S6980">
        <v>2.9670559999999999</v>
      </c>
      <c r="T6980">
        <v>-0.72767139999999997</v>
      </c>
      <c r="U6980">
        <v>-0.34841919999999998</v>
      </c>
      <c r="V6980">
        <v>2.3409289999999999E-2</v>
      </c>
      <c r="W6980">
        <v>-2.6995720000000001E-2</v>
      </c>
      <c r="X6980">
        <v>0.99936139999999996</v>
      </c>
      <c r="Y6980">
        <v>0.14331940000000001</v>
      </c>
      <c r="Z6980">
        <v>-2.641889E-2</v>
      </c>
      <c r="AA6980">
        <v>0.98932379999999998</v>
      </c>
      <c r="AB6980">
        <v>12</v>
      </c>
      <c r="AC6980">
        <v>0.584699999999997</v>
      </c>
      <c r="AD6980">
        <v>-0.1691444</v>
      </c>
      <c r="AE6980">
        <v>-8.3500000000015007E-2</v>
      </c>
      <c r="AF6980">
        <v>9.4672295372649595E-2</v>
      </c>
      <c r="AG6980">
        <v>-0.1691444</v>
      </c>
      <c r="AH6980">
        <v>0.53759189182870704</v>
      </c>
      <c r="AI6980">
        <v>107.216392939901</v>
      </c>
      <c r="AJ6980">
        <v>80.012369083389601</v>
      </c>
      <c r="AK6980">
        <v>0.57146978373528601</v>
      </c>
      <c r="AL6980">
        <v>91.546928773986195</v>
      </c>
      <c r="AM6980">
        <v>88.658134798979702</v>
      </c>
      <c r="AN6980">
        <v>0.99999998578329097</v>
      </c>
    </row>
    <row r="6981" spans="1:40" x14ac:dyDescent="0.25">
      <c r="A6981" t="str">
        <f>"20190305135410229"</f>
        <v>20190305135410229</v>
      </c>
      <c r="B6981" t="str">
        <f>"1551765250216878"</f>
        <v>1551765250216878</v>
      </c>
      <c r="C6981" t="s">
        <v>40</v>
      </c>
      <c r="D6981">
        <v>4.7076900000000004</v>
      </c>
      <c r="E6981">
        <v>0.54616540000000002</v>
      </c>
      <c r="F6981" t="s">
        <v>41</v>
      </c>
      <c r="G6981">
        <v>-143.69220000000001</v>
      </c>
      <c r="H6981">
        <v>0.92227650000000005</v>
      </c>
      <c r="I6981">
        <v>137.5427</v>
      </c>
      <c r="J6981">
        <v>-144.352</v>
      </c>
      <c r="K6981">
        <v>1.111561</v>
      </c>
      <c r="L6981">
        <v>137.6377</v>
      </c>
      <c r="M6981">
        <v>0.99896450000000003</v>
      </c>
      <c r="N6981">
        <v>-3.2651289999999999E-2</v>
      </c>
      <c r="O6981">
        <v>3.168489E-2</v>
      </c>
      <c r="P6981">
        <v>0.9982259</v>
      </c>
      <c r="Q6981">
        <v>-5.9176369999999999E-2</v>
      </c>
      <c r="R6981">
        <v>6.6040559999999996E-3</v>
      </c>
      <c r="S6981">
        <v>2.9650569999999998</v>
      </c>
      <c r="T6981">
        <v>-0.73156690000000002</v>
      </c>
      <c r="U6981">
        <v>-0.3572998</v>
      </c>
      <c r="V6981">
        <v>2.501803E-2</v>
      </c>
      <c r="W6981">
        <v>-2.658607E-2</v>
      </c>
      <c r="X6981">
        <v>0.99933340000000004</v>
      </c>
      <c r="Y6981">
        <v>0.14544840000000001</v>
      </c>
      <c r="Z6981">
        <v>-2.6700769999999999E-2</v>
      </c>
      <c r="AA6981">
        <v>0.98900540000000003</v>
      </c>
      <c r="AB6981">
        <v>11</v>
      </c>
      <c r="AC6981">
        <v>0.65979999999998995</v>
      </c>
      <c r="AD6981">
        <v>-0.18928449999999999</v>
      </c>
      <c r="AE6981">
        <v>-9.4999999999998794E-2</v>
      </c>
      <c r="AF6981">
        <v>0.107223696099964</v>
      </c>
      <c r="AG6981">
        <v>-0.18928449999999999</v>
      </c>
      <c r="AH6981">
        <v>0.60747617696310796</v>
      </c>
      <c r="AI6981">
        <v>107.0585492005</v>
      </c>
      <c r="AJ6981">
        <v>79.9900062590023</v>
      </c>
      <c r="AK6981">
        <v>0.64525409609184303</v>
      </c>
      <c r="AL6981">
        <v>91.523449134391697</v>
      </c>
      <c r="AM6981">
        <v>88.565915856962903</v>
      </c>
      <c r="AN6981">
        <v>0.99999998264934198</v>
      </c>
    </row>
    <row r="6982" spans="1:40" x14ac:dyDescent="0.25">
      <c r="A6982" t="str">
        <f>"20190305135410252"</f>
        <v>20190305135410252</v>
      </c>
      <c r="B6982" t="str">
        <f>"1551765250237374"</f>
        <v>1551765250237374</v>
      </c>
      <c r="C6982" t="s">
        <v>40</v>
      </c>
      <c r="D6982">
        <v>4.7220529999999998</v>
      </c>
      <c r="E6982">
        <v>0.54611269999999901</v>
      </c>
      <c r="F6982" t="s">
        <v>41</v>
      </c>
      <c r="G6982">
        <v>-143.59970000000001</v>
      </c>
      <c r="H6982">
        <v>0.92618579999999995</v>
      </c>
      <c r="I6982">
        <v>137.54509999999999</v>
      </c>
      <c r="J6982">
        <v>-144.24780000000001</v>
      </c>
      <c r="K6982">
        <v>1.1117170000000001</v>
      </c>
      <c r="L6982">
        <v>137.64009999999999</v>
      </c>
      <c r="M6982">
        <v>0.99898169999999997</v>
      </c>
      <c r="N6982">
        <v>-3.274668E-2</v>
      </c>
      <c r="O6982">
        <v>3.10338E-2</v>
      </c>
      <c r="P6982">
        <v>0.99825889999999995</v>
      </c>
      <c r="Q6982">
        <v>-5.8842520000000002E-2</v>
      </c>
      <c r="R6982">
        <v>4.1033579999999997E-3</v>
      </c>
      <c r="S6982">
        <v>2.9644469999999998</v>
      </c>
      <c r="T6982">
        <v>-0.73045990000000005</v>
      </c>
      <c r="U6982">
        <v>-0.36453249999999998</v>
      </c>
      <c r="V6982">
        <v>2.6876919999999999E-2</v>
      </c>
      <c r="W6982">
        <v>-2.615147E-2</v>
      </c>
      <c r="X6982">
        <v>0.99929659999999998</v>
      </c>
      <c r="Y6982">
        <v>0.147177</v>
      </c>
      <c r="Z6982">
        <v>-2.677094E-2</v>
      </c>
      <c r="AA6982">
        <v>0.98874779999999995</v>
      </c>
      <c r="AB6982">
        <v>10</v>
      </c>
      <c r="AC6982">
        <v>0.64809999999999901</v>
      </c>
      <c r="AD6982">
        <v>-0.18553120000000001</v>
      </c>
      <c r="AE6982">
        <v>-9.4999999999998794E-2</v>
      </c>
      <c r="AF6982">
        <v>0.106531364944512</v>
      </c>
      <c r="AG6982">
        <v>-0.18553120000000001</v>
      </c>
      <c r="AH6982">
        <v>0.59694681316085896</v>
      </c>
      <c r="AI6982">
        <v>107.01233900384101</v>
      </c>
      <c r="AJ6982">
        <v>79.881493543614994</v>
      </c>
      <c r="AK6982">
        <v>0.634126371974299</v>
      </c>
      <c r="AL6982">
        <v>91.498539728310305</v>
      </c>
      <c r="AM6982">
        <v>88.459353388098904</v>
      </c>
      <c r="AN6982">
        <v>0.99999998149170299</v>
      </c>
    </row>
    <row r="6983" spans="1:40" x14ac:dyDescent="0.25">
      <c r="A6983" t="str">
        <f>"20190305135410279"</f>
        <v>20190305135410279</v>
      </c>
      <c r="B6983" t="str">
        <f>"1551765250266655"</f>
        <v>1551765250266655</v>
      </c>
      <c r="C6983" t="s">
        <v>40</v>
      </c>
      <c r="D6983">
        <v>4.7000699999999904</v>
      </c>
      <c r="E6983">
        <v>0.54595890000000002</v>
      </c>
      <c r="F6983" t="s">
        <v>41</v>
      </c>
      <c r="G6983">
        <v>-143.5103</v>
      </c>
      <c r="H6983">
        <v>0.93028520000000003</v>
      </c>
      <c r="I6983">
        <v>137.54730000000001</v>
      </c>
      <c r="J6983">
        <v>-144.137</v>
      </c>
      <c r="K6983">
        <v>1.1118790000000001</v>
      </c>
      <c r="L6983">
        <v>137.64269999999999</v>
      </c>
      <c r="M6983">
        <v>0.998996</v>
      </c>
      <c r="N6983">
        <v>-3.2833420000000002E-2</v>
      </c>
      <c r="O6983">
        <v>3.048153E-2</v>
      </c>
      <c r="P6983">
        <v>0.99833499999999997</v>
      </c>
      <c r="Q6983">
        <v>-5.7601029999999998E-2</v>
      </c>
      <c r="R6983">
        <v>3.0897250000000002E-3</v>
      </c>
      <c r="S6983">
        <v>2.9637910000000001</v>
      </c>
      <c r="T6983">
        <v>-0.72914179999999995</v>
      </c>
      <c r="U6983">
        <v>-0.37236019999999997</v>
      </c>
      <c r="V6983">
        <v>2.7349700000000001E-2</v>
      </c>
      <c r="W6983">
        <v>-2.4813559999999998E-2</v>
      </c>
      <c r="X6983">
        <v>0.99931789999999998</v>
      </c>
      <c r="Y6983">
        <v>0.149191299999999</v>
      </c>
      <c r="Z6983">
        <v>-2.6893730000000001E-2</v>
      </c>
      <c r="AA6983">
        <v>0.9884425</v>
      </c>
      <c r="AB6983">
        <v>10</v>
      </c>
      <c r="AC6983">
        <v>0.62669999999999904</v>
      </c>
      <c r="AD6983">
        <v>-0.1815938</v>
      </c>
      <c r="AE6983">
        <v>-9.5399999999983706E-2</v>
      </c>
      <c r="AF6983">
        <v>0.105787717481857</v>
      </c>
      <c r="AG6983">
        <v>-0.1815938</v>
      </c>
      <c r="AH6983">
        <v>0.57621456697568296</v>
      </c>
      <c r="AI6983">
        <v>107.22181898941901</v>
      </c>
      <c r="AJ6983">
        <v>79.5968684588522</v>
      </c>
      <c r="AK6983">
        <v>0.61334376703724203</v>
      </c>
      <c r="AL6983">
        <v>91.421858208827999</v>
      </c>
      <c r="AM6983">
        <v>88.4322993623597</v>
      </c>
      <c r="AN6983">
        <v>0.99999999205518597</v>
      </c>
    </row>
    <row r="6984" spans="1:40" x14ac:dyDescent="0.25">
      <c r="A6984" t="str">
        <f>"20190305135410307"</f>
        <v>20190305135410307</v>
      </c>
      <c r="B6984" t="str">
        <f>"1551765250296910"</f>
        <v>1551765250296910</v>
      </c>
      <c r="C6984" t="s">
        <v>40</v>
      </c>
      <c r="D6984">
        <v>4.7156830000000003</v>
      </c>
      <c r="E6984">
        <v>0.5458189</v>
      </c>
      <c r="F6984" t="s">
        <v>41</v>
      </c>
      <c r="G6984">
        <v>-143.423</v>
      </c>
      <c r="H6984">
        <v>0.93721529999999997</v>
      </c>
      <c r="I6984">
        <v>137.5523</v>
      </c>
      <c r="J6984">
        <v>-144.0213</v>
      </c>
      <c r="K6984">
        <v>1.112039</v>
      </c>
      <c r="L6984">
        <v>137.6456</v>
      </c>
      <c r="M6984">
        <v>0.99900540000000004</v>
      </c>
      <c r="N6984">
        <v>-3.2910439999999999E-2</v>
      </c>
      <c r="O6984">
        <v>3.0087849999999999E-2</v>
      </c>
      <c r="P6984">
        <v>0.99845269999999997</v>
      </c>
      <c r="Q6984">
        <v>-5.5542069999999999E-2</v>
      </c>
      <c r="R6984">
        <v>2.7768570000000002E-3</v>
      </c>
      <c r="S6984">
        <v>2.96434</v>
      </c>
      <c r="T6984">
        <v>-0.72509309999999905</v>
      </c>
      <c r="U6984">
        <v>-0.37492370000000003</v>
      </c>
      <c r="V6984">
        <v>2.7280370000000002E-2</v>
      </c>
      <c r="W6984">
        <v>-2.266636E-2</v>
      </c>
      <c r="X6984">
        <v>0.9993708</v>
      </c>
      <c r="Y6984">
        <v>0.1496749</v>
      </c>
      <c r="Z6984">
        <v>-2.673853E-2</v>
      </c>
      <c r="AA6984">
        <v>0.98837359999999996</v>
      </c>
      <c r="AB6984">
        <v>10</v>
      </c>
      <c r="AC6984">
        <v>0.59829999999999395</v>
      </c>
      <c r="AD6984">
        <v>-0.1748237</v>
      </c>
      <c r="AE6984">
        <v>-9.3299999999999203E-2</v>
      </c>
      <c r="AF6984">
        <v>0.10270788790895501</v>
      </c>
      <c r="AG6984">
        <v>-0.1748237</v>
      </c>
      <c r="AH6984">
        <v>0.54942333108397401</v>
      </c>
      <c r="AI6984">
        <v>107.368468273933</v>
      </c>
      <c r="AJ6984">
        <v>79.411475759458796</v>
      </c>
      <c r="AK6984">
        <v>0.58564343508641703</v>
      </c>
      <c r="AL6984">
        <v>91.298798007757298</v>
      </c>
      <c r="AM6984">
        <v>88.436354154701604</v>
      </c>
      <c r="AN6984">
        <v>0.99999998917781296</v>
      </c>
    </row>
    <row r="6985" spans="1:40" x14ac:dyDescent="0.25">
      <c r="A6985" t="str">
        <f>"20190305135410335"</f>
        <v>20190305135410335</v>
      </c>
      <c r="B6985" t="str">
        <f>"1551765250326698"</f>
        <v>1551765250326698</v>
      </c>
      <c r="C6985" t="s">
        <v>40</v>
      </c>
      <c r="D6985">
        <v>4.7010269999999998</v>
      </c>
      <c r="E6985">
        <v>0.54563019999999995</v>
      </c>
      <c r="F6985" t="s">
        <v>41</v>
      </c>
      <c r="G6985">
        <v>-143.26820000000001</v>
      </c>
      <c r="H6985">
        <v>0.92941280000000004</v>
      </c>
      <c r="I6985">
        <v>137.55070000000001</v>
      </c>
      <c r="J6985">
        <v>-143.91290000000001</v>
      </c>
      <c r="K6985">
        <v>1.1121620000000001</v>
      </c>
      <c r="L6985">
        <v>137.64850000000001</v>
      </c>
      <c r="M6985">
        <v>0.99900840000000002</v>
      </c>
      <c r="N6985">
        <v>-3.2984920000000001E-2</v>
      </c>
      <c r="O6985">
        <v>2.9908830000000001E-2</v>
      </c>
      <c r="P6985">
        <v>0.99850989999999995</v>
      </c>
      <c r="Q6985">
        <v>-5.4498749999999999E-2</v>
      </c>
      <c r="R6985">
        <v>2.8505800000000001E-3</v>
      </c>
      <c r="S6985">
        <v>2.9656829999999998</v>
      </c>
      <c r="T6985">
        <v>-0.71927479999999999</v>
      </c>
      <c r="U6985">
        <v>-0.37391659999999999</v>
      </c>
      <c r="V6985">
        <v>2.7034929999999999E-2</v>
      </c>
      <c r="W6985">
        <v>-2.1540440000000001E-2</v>
      </c>
      <c r="X6985">
        <v>0.99940240000000002</v>
      </c>
      <c r="Y6985">
        <v>0.14921960000000001</v>
      </c>
      <c r="Z6985">
        <v>-2.6435400000000001E-2</v>
      </c>
      <c r="AA6985">
        <v>0.98845059999999996</v>
      </c>
      <c r="AB6985">
        <v>9</v>
      </c>
      <c r="AC6985">
        <v>0.64470000000000005</v>
      </c>
      <c r="AD6985">
        <v>-0.1827492</v>
      </c>
      <c r="AE6985">
        <v>-9.7800000000006507E-2</v>
      </c>
      <c r="AF6985">
        <v>0.10852490381865899</v>
      </c>
      <c r="AG6985">
        <v>-0.1827492</v>
      </c>
      <c r="AH6985">
        <v>0.59476888090147895</v>
      </c>
      <c r="AI6985">
        <v>106.818503128213</v>
      </c>
      <c r="AJ6985">
        <v>79.659246297584005</v>
      </c>
      <c r="AK6985">
        <v>0.63160505582071402</v>
      </c>
      <c r="AL6985">
        <v>91.234271740134503</v>
      </c>
      <c r="AM6985">
        <v>88.450464273138806</v>
      </c>
      <c r="AN6985">
        <v>1.0000000175606201</v>
      </c>
    </row>
    <row r="6986" spans="1:40" x14ac:dyDescent="0.25">
      <c r="A6986" t="str">
        <f>"20190305135410355"</f>
        <v>20190305135410355</v>
      </c>
      <c r="B6986" t="str">
        <f>"1551765250347194"</f>
        <v>1551765250347194</v>
      </c>
      <c r="C6986" t="s">
        <v>40</v>
      </c>
      <c r="D6986">
        <v>4.7171209999999997</v>
      </c>
      <c r="E6986">
        <v>0.54543900000000001</v>
      </c>
      <c r="F6986" t="s">
        <v>41</v>
      </c>
      <c r="G6986">
        <v>-143.19030000000001</v>
      </c>
      <c r="H6986">
        <v>0.93757959999999996</v>
      </c>
      <c r="I6986">
        <v>137.55799999999999</v>
      </c>
      <c r="J6986">
        <v>-143.83850000000001</v>
      </c>
      <c r="K6986">
        <v>1.112223</v>
      </c>
      <c r="L6986">
        <v>137.6506</v>
      </c>
      <c r="M6986">
        <v>0.9990078</v>
      </c>
      <c r="N6986">
        <v>-3.3041590000000003E-2</v>
      </c>
      <c r="O6986">
        <v>2.9862039999999999E-2</v>
      </c>
      <c r="P6986">
        <v>0.99860000000000004</v>
      </c>
      <c r="Q6986">
        <v>-5.2779329999999999E-2</v>
      </c>
      <c r="R6986">
        <v>3.505836E-3</v>
      </c>
      <c r="S6986">
        <v>2.966415</v>
      </c>
      <c r="T6986">
        <v>-0.71683050000000004</v>
      </c>
      <c r="U6986">
        <v>-0.37080380000000002</v>
      </c>
      <c r="V6986">
        <v>2.633812E-2</v>
      </c>
      <c r="W6986">
        <v>-1.9758620000000001E-2</v>
      </c>
      <c r="X6986">
        <v>0.99945779999999995</v>
      </c>
      <c r="Y6986">
        <v>0.14819280000000001</v>
      </c>
      <c r="Z6986">
        <v>-2.6202099999999999E-2</v>
      </c>
      <c r="AA6986">
        <v>0.98861129999999997</v>
      </c>
      <c r="AB6986">
        <v>9</v>
      </c>
      <c r="AC6986">
        <v>0.648200000000002</v>
      </c>
      <c r="AD6986">
        <v>-0.174643399999999</v>
      </c>
      <c r="AE6986">
        <v>-9.2600000000004401E-2</v>
      </c>
      <c r="AF6986">
        <v>0.104492253046347</v>
      </c>
      <c r="AG6986">
        <v>-0.174643399999999</v>
      </c>
      <c r="AH6986">
        <v>0.60229663439367498</v>
      </c>
      <c r="AI6986">
        <v>105.944363437392</v>
      </c>
      <c r="AJ6986">
        <v>80.157739301000106</v>
      </c>
      <c r="AK6986">
        <v>0.63575166843053599</v>
      </c>
      <c r="AL6986">
        <v>91.132159213174603</v>
      </c>
      <c r="AM6986">
        <v>88.490467592409104</v>
      </c>
      <c r="AN6986">
        <v>0.99999999680513896</v>
      </c>
    </row>
    <row r="6987" spans="1:40" x14ac:dyDescent="0.25">
      <c r="A6987" t="str">
        <f>"20190305135410379"</f>
        <v>20190305135410379</v>
      </c>
      <c r="B6987" t="str">
        <f>"1551765250366714"</f>
        <v>1551765250366714</v>
      </c>
      <c r="C6987" t="s">
        <v>40</v>
      </c>
      <c r="D6987">
        <v>4.7309830000000002</v>
      </c>
      <c r="E6987">
        <v>0.54518180000000005</v>
      </c>
      <c r="F6987" t="s">
        <v>41</v>
      </c>
      <c r="G6987">
        <v>-143.11869999999999</v>
      </c>
      <c r="H6987">
        <v>0.93936790000000003</v>
      </c>
      <c r="I6987">
        <v>137.56180000000001</v>
      </c>
      <c r="J6987">
        <v>-143.7587</v>
      </c>
      <c r="K6987">
        <v>1.1122510000000001</v>
      </c>
      <c r="L6987">
        <v>137.65299999999999</v>
      </c>
      <c r="M6987">
        <v>0.99900560000000005</v>
      </c>
      <c r="N6987">
        <v>-3.3098669999999997E-2</v>
      </c>
      <c r="O6987">
        <v>2.9870219999999999E-2</v>
      </c>
      <c r="P6987">
        <v>0.99862169999999895</v>
      </c>
      <c r="Q6987">
        <v>-5.2349920000000001E-2</v>
      </c>
      <c r="R6987">
        <v>3.7734309999999998E-3</v>
      </c>
      <c r="S6987">
        <v>2.967819</v>
      </c>
      <c r="T6987">
        <v>-0.71272349999999995</v>
      </c>
      <c r="U6987">
        <v>-0.365921</v>
      </c>
      <c r="V6987">
        <v>2.6080530000000001E-2</v>
      </c>
      <c r="W6987">
        <v>-1.9269809999999998E-2</v>
      </c>
      <c r="X6987">
        <v>0.99947410000000003</v>
      </c>
      <c r="Y6987">
        <v>0.146652799999999</v>
      </c>
      <c r="Z6987">
        <v>-2.5851430000000002E-2</v>
      </c>
      <c r="AA6987">
        <v>0.98885020000000001</v>
      </c>
      <c r="AB6987">
        <v>8</v>
      </c>
      <c r="AC6987">
        <v>0.640000000000014</v>
      </c>
      <c r="AD6987">
        <v>-0.17288310000000001</v>
      </c>
      <c r="AE6987">
        <v>-9.1199999999986403E-2</v>
      </c>
      <c r="AF6987">
        <v>0.102925657976896</v>
      </c>
      <c r="AG6987">
        <v>-0.17288310000000001</v>
      </c>
      <c r="AH6987">
        <v>0.59447300699563799</v>
      </c>
      <c r="AI6987">
        <v>105.98987533063899</v>
      </c>
      <c r="AJ6987">
        <v>80.177321330420696</v>
      </c>
      <c r="AK6987">
        <v>0.62759892716767995</v>
      </c>
      <c r="AL6987">
        <v>91.104147127322904</v>
      </c>
      <c r="AM6987">
        <v>88.505248637563099</v>
      </c>
      <c r="AN6987">
        <v>0.99999999809666296</v>
      </c>
    </row>
    <row r="6988" spans="1:40" x14ac:dyDescent="0.25">
      <c r="A6988" t="str">
        <f>"20190305135410400"</f>
        <v>20190305135410400</v>
      </c>
      <c r="B6988" t="str">
        <f>"1551765250387209"</f>
        <v>1551765250387209</v>
      </c>
      <c r="C6988" t="s">
        <v>40</v>
      </c>
      <c r="D6988">
        <v>4.7571500000000002</v>
      </c>
      <c r="E6988">
        <v>0.54437139999999995</v>
      </c>
      <c r="F6988" t="s">
        <v>41</v>
      </c>
      <c r="G6988">
        <v>-143.05000000000001</v>
      </c>
      <c r="H6988">
        <v>0.94181159999999997</v>
      </c>
      <c r="I6988">
        <v>137.5667</v>
      </c>
      <c r="J6988">
        <v>-143.68899999999999</v>
      </c>
      <c r="K6988">
        <v>1.1123700000000001</v>
      </c>
      <c r="L6988">
        <v>137.6551</v>
      </c>
      <c r="M6988">
        <v>0.99898540000000002</v>
      </c>
      <c r="N6988">
        <v>-3.3669499999999998E-2</v>
      </c>
      <c r="O6988">
        <v>2.991183E-2</v>
      </c>
      <c r="P6988">
        <v>0.99850490000000003</v>
      </c>
      <c r="Q6988">
        <v>-5.4508359999999999E-2</v>
      </c>
      <c r="R6988">
        <v>4.1480390000000001E-3</v>
      </c>
      <c r="S6988">
        <v>2.9680789999999999</v>
      </c>
      <c r="T6988">
        <v>-0.71393479999999998</v>
      </c>
      <c r="U6988">
        <v>-0.36117549999999998</v>
      </c>
      <c r="V6988">
        <v>2.5744909999999999E-2</v>
      </c>
      <c r="W6988">
        <v>-2.0860299999999998E-2</v>
      </c>
      <c r="X6988">
        <v>0.99945090000000003</v>
      </c>
      <c r="Y6988">
        <v>0.14514959999999999</v>
      </c>
      <c r="Z6988">
        <v>-2.5722680000000001E-2</v>
      </c>
      <c r="AA6988">
        <v>0.98907529999999999</v>
      </c>
      <c r="AB6988">
        <v>8</v>
      </c>
      <c r="AC6988">
        <v>0.63899999999998103</v>
      </c>
      <c r="AD6988">
        <v>-0.1705584</v>
      </c>
      <c r="AE6988">
        <v>-8.8400000000007098E-2</v>
      </c>
      <c r="AF6988">
        <v>0.10046204988855199</v>
      </c>
      <c r="AG6988">
        <v>-0.1705584</v>
      </c>
      <c r="AH6988">
        <v>0.59450861666251997</v>
      </c>
      <c r="AI6988">
        <v>105.795108450651</v>
      </c>
      <c r="AJ6988">
        <v>80.408578524409904</v>
      </c>
      <c r="AK6988">
        <v>0.62659658997185197</v>
      </c>
      <c r="AL6988">
        <v>91.195293816887002</v>
      </c>
      <c r="AM6988">
        <v>88.524441205447701</v>
      </c>
      <c r="AN6988">
        <v>1.0000000270089</v>
      </c>
    </row>
    <row r="6989" spans="1:40" x14ac:dyDescent="0.25">
      <c r="A6989" t="str">
        <f>"20190305135410421"</f>
        <v>20190305135410421</v>
      </c>
      <c r="B6989" t="str">
        <f>"1551765250406731"</f>
        <v>1551765250406731</v>
      </c>
      <c r="C6989" t="s">
        <v>40</v>
      </c>
      <c r="D6989">
        <v>4.6629480000000001</v>
      </c>
      <c r="E6989">
        <v>0.54359919999999995</v>
      </c>
      <c r="F6989" t="s">
        <v>41</v>
      </c>
      <c r="G6989">
        <v>-142.98830000000001</v>
      </c>
      <c r="H6989">
        <v>0.94201409999999997</v>
      </c>
      <c r="I6989">
        <v>137.5718</v>
      </c>
      <c r="J6989">
        <v>-143.62989999999999</v>
      </c>
      <c r="K6989">
        <v>1.112574</v>
      </c>
      <c r="L6989">
        <v>137.65700000000001</v>
      </c>
      <c r="M6989">
        <v>0.99894799999999995</v>
      </c>
      <c r="N6989">
        <v>-3.4711289999999999E-2</v>
      </c>
      <c r="O6989">
        <v>2.9967669999999998E-2</v>
      </c>
      <c r="P6989">
        <v>0.99832140000000003</v>
      </c>
      <c r="Q6989">
        <v>-5.7741550000000003E-2</v>
      </c>
      <c r="R6989">
        <v>4.5343229999999998E-3</v>
      </c>
      <c r="S6989">
        <v>2.9666139999999999</v>
      </c>
      <c r="T6989">
        <v>-0.72126290000000004</v>
      </c>
      <c r="U6989">
        <v>-0.35263060000000002</v>
      </c>
      <c r="V6989">
        <v>2.5409770000000002E-2</v>
      </c>
      <c r="W6989">
        <v>-2.3057169999999998E-2</v>
      </c>
      <c r="X6989">
        <v>0.99941120000000006</v>
      </c>
      <c r="Y6989">
        <v>0.14242109999999999</v>
      </c>
      <c r="Z6989">
        <v>-2.5664349999999999E-2</v>
      </c>
      <c r="AA6989">
        <v>0.98947339999999995</v>
      </c>
      <c r="AB6989">
        <v>8</v>
      </c>
      <c r="AC6989">
        <v>0.64159999999998196</v>
      </c>
      <c r="AD6989">
        <v>-0.17055989999999999</v>
      </c>
      <c r="AE6989">
        <v>-8.5200000000014597E-2</v>
      </c>
      <c r="AF6989">
        <v>9.7621340193378106E-2</v>
      </c>
      <c r="AG6989">
        <v>-0.17055989999999999</v>
      </c>
      <c r="AH6989">
        <v>0.59727934971928098</v>
      </c>
      <c r="AI6989">
        <v>105.73899912802599</v>
      </c>
      <c r="AJ6989">
        <v>80.717461975998106</v>
      </c>
      <c r="AK6989">
        <v>0.62877915610351498</v>
      </c>
      <c r="AL6989">
        <v>91.321195587462896</v>
      </c>
      <c r="AM6989">
        <v>88.543583461391094</v>
      </c>
      <c r="AN6989">
        <v>1.00000001809265</v>
      </c>
    </row>
    <row r="6990" spans="1:40" x14ac:dyDescent="0.25">
      <c r="A6990" t="str">
        <f>"20190305135410440"</f>
        <v>20190305135410440</v>
      </c>
      <c r="B6990" t="str">
        <f>"1551765250426757"</f>
        <v>1551765250426757</v>
      </c>
      <c r="C6990" t="s">
        <v>40</v>
      </c>
      <c r="D6990">
        <v>4.7210109999999998</v>
      </c>
      <c r="E6990">
        <v>0.54286049999999997</v>
      </c>
      <c r="F6990" t="s">
        <v>41</v>
      </c>
      <c r="G6990">
        <v>-142.93299999999999</v>
      </c>
      <c r="H6990">
        <v>0.94065030000000005</v>
      </c>
      <c r="I6990">
        <v>137.57579999999999</v>
      </c>
      <c r="J6990">
        <v>-143.5806</v>
      </c>
      <c r="K6990">
        <v>1.112784</v>
      </c>
      <c r="L6990">
        <v>137.6585</v>
      </c>
      <c r="M6990">
        <v>0.99890579999999995</v>
      </c>
      <c r="N6990">
        <v>-3.5858760000000003E-2</v>
      </c>
      <c r="O6990">
        <v>3.0022449999999999E-2</v>
      </c>
      <c r="P6990">
        <v>0.99812749999999995</v>
      </c>
      <c r="Q6990">
        <v>-6.0939189999999997E-2</v>
      </c>
      <c r="R6990">
        <v>5.3002140000000001E-3</v>
      </c>
      <c r="S6990">
        <v>2.9643099999999998</v>
      </c>
      <c r="T6990">
        <v>-0.73130499999999998</v>
      </c>
      <c r="U6990">
        <v>-0.3447113</v>
      </c>
      <c r="V6990">
        <v>2.4693819999999998E-2</v>
      </c>
      <c r="W6990">
        <v>-2.5112800000000001E-2</v>
      </c>
      <c r="X6990">
        <v>0.99937960000000003</v>
      </c>
      <c r="Y6990">
        <v>0.139878799999999</v>
      </c>
      <c r="Z6990">
        <v>-2.5720639999999999E-2</v>
      </c>
      <c r="AA6990">
        <v>0.98983449999999995</v>
      </c>
      <c r="AB6990">
        <v>7</v>
      </c>
      <c r="AC6990">
        <v>0.64760000000001094</v>
      </c>
      <c r="AD6990">
        <v>-0.172133699999999</v>
      </c>
      <c r="AE6990">
        <v>-8.2700000000016802E-2</v>
      </c>
      <c r="AF6990">
        <v>9.5480198962329094E-2</v>
      </c>
      <c r="AG6990">
        <v>-0.172133699999999</v>
      </c>
      <c r="AH6990">
        <v>0.60291054024038604</v>
      </c>
      <c r="AI6990">
        <v>105.747939118182</v>
      </c>
      <c r="AJ6990">
        <v>81.001061446579797</v>
      </c>
      <c r="AK6990">
        <v>0.63422992565987502</v>
      </c>
      <c r="AL6990">
        <v>91.439008715158096</v>
      </c>
      <c r="AM6990">
        <v>88.584558030467605</v>
      </c>
      <c r="AN6990">
        <v>1.00000001118309</v>
      </c>
    </row>
    <row r="6991" spans="1:40" x14ac:dyDescent="0.25">
      <c r="A6991" t="str">
        <f>"20190305135410463"</f>
        <v>20190305135410463</v>
      </c>
      <c r="B6991" t="str">
        <f>"1551765250457013"</f>
        <v>1551765250457013</v>
      </c>
      <c r="C6991" t="s">
        <v>40</v>
      </c>
      <c r="D6991">
        <v>4.6094949999999999</v>
      </c>
      <c r="E6991">
        <v>0.54189659999999995</v>
      </c>
      <c r="F6991" t="s">
        <v>41</v>
      </c>
      <c r="G6991">
        <v>-142.88380000000001</v>
      </c>
      <c r="H6991">
        <v>0.93836980000000003</v>
      </c>
      <c r="I6991">
        <v>137.57929999999999</v>
      </c>
      <c r="J6991">
        <v>-143.52760000000001</v>
      </c>
      <c r="K6991">
        <v>1.113003</v>
      </c>
      <c r="L6991">
        <v>137.6602</v>
      </c>
      <c r="M6991">
        <v>0.99885259999999998</v>
      </c>
      <c r="N6991">
        <v>-3.7268469999999998E-2</v>
      </c>
      <c r="O6991">
        <v>3.0076800000000001E-2</v>
      </c>
      <c r="P6991">
        <v>0.99792740000000002</v>
      </c>
      <c r="Q6991">
        <v>-6.4058080000000003E-2</v>
      </c>
      <c r="R6991">
        <v>6.1291779999999999E-3</v>
      </c>
      <c r="S6991">
        <v>2.9621580000000001</v>
      </c>
      <c r="T6991">
        <v>-0.74138749999999998</v>
      </c>
      <c r="U6991">
        <v>-0.33654790000000001</v>
      </c>
      <c r="V6991">
        <v>2.3914230000000002E-2</v>
      </c>
      <c r="W6991">
        <v>-2.682764E-2</v>
      </c>
      <c r="X6991">
        <v>0.99935399999999996</v>
      </c>
      <c r="Y6991">
        <v>0.13724649999999999</v>
      </c>
      <c r="Z6991">
        <v>-2.5763620000000001E-2</v>
      </c>
      <c r="AA6991">
        <v>0.99020180000000002</v>
      </c>
      <c r="AB6991">
        <v>6</v>
      </c>
      <c r="AC6991">
        <v>0.64379999999999804</v>
      </c>
      <c r="AD6991">
        <v>-0.17463319999999899</v>
      </c>
      <c r="AE6991">
        <v>-8.0900000000013905E-2</v>
      </c>
      <c r="AF6991">
        <v>9.3469784202558998E-2</v>
      </c>
      <c r="AG6991">
        <v>-0.17463319999999899</v>
      </c>
      <c r="AH6991">
        <v>0.59777377725724901</v>
      </c>
      <c r="AI6991">
        <v>106.099839816052</v>
      </c>
      <c r="AJ6991">
        <v>81.113013063179196</v>
      </c>
      <c r="AK6991">
        <v>0.62973553486960898</v>
      </c>
      <c r="AL6991">
        <v>91.537294965103499</v>
      </c>
      <c r="AM6991">
        <v>88.629191454791595</v>
      </c>
      <c r="AN6991">
        <v>1.0000000149902299</v>
      </c>
    </row>
    <row r="6992" spans="1:40" x14ac:dyDescent="0.25">
      <c r="A6992" t="str">
        <f>"20190305135410488"</f>
        <v>20190305135410488</v>
      </c>
      <c r="B6992" t="str">
        <f>"1551765250477509"</f>
        <v>1551765250477509</v>
      </c>
      <c r="C6992" t="s">
        <v>40</v>
      </c>
      <c r="D6992">
        <v>4.6073370000000002</v>
      </c>
      <c r="E6992">
        <v>0.54127449999999999</v>
      </c>
      <c r="F6992" t="s">
        <v>41</v>
      </c>
      <c r="G6992">
        <v>-142.839</v>
      </c>
      <c r="H6992">
        <v>0.9384209</v>
      </c>
      <c r="I6992">
        <v>137.584</v>
      </c>
      <c r="J6992">
        <v>-143.47989999999999</v>
      </c>
      <c r="K6992">
        <v>1.1131230000000001</v>
      </c>
      <c r="L6992">
        <v>137.6617</v>
      </c>
      <c r="M6992">
        <v>0.99880539999999995</v>
      </c>
      <c r="N6992">
        <v>-3.8490999999999997E-2</v>
      </c>
      <c r="O6992">
        <v>3.0102719999999999E-2</v>
      </c>
      <c r="P6992">
        <v>0.99774980000000002</v>
      </c>
      <c r="Q6992">
        <v>-6.6658270000000006E-2</v>
      </c>
      <c r="R6992">
        <v>7.2214239999999997E-3</v>
      </c>
      <c r="S6992">
        <v>2.9600680000000001</v>
      </c>
      <c r="T6992">
        <v>-0.75040249999999997</v>
      </c>
      <c r="U6992">
        <v>-0.32696530000000001</v>
      </c>
      <c r="V6992">
        <v>2.2842850000000001E-2</v>
      </c>
      <c r="W6992">
        <v>-2.821038E-2</v>
      </c>
      <c r="X6992">
        <v>0.99934100000000003</v>
      </c>
      <c r="Y6992">
        <v>0.13414599999999999</v>
      </c>
      <c r="Z6992">
        <v>-2.567972E-2</v>
      </c>
      <c r="AA6992">
        <v>0.99062879999999998</v>
      </c>
      <c r="AB6992">
        <v>6</v>
      </c>
      <c r="AC6992">
        <v>0.64089999999998704</v>
      </c>
      <c r="AD6992">
        <v>-0.174702099999999</v>
      </c>
      <c r="AE6992">
        <v>-7.7699999999992997E-2</v>
      </c>
      <c r="AF6992">
        <v>9.0355311765709698E-2</v>
      </c>
      <c r="AG6992">
        <v>-0.174702099999999</v>
      </c>
      <c r="AH6992">
        <v>0.59471820987576496</v>
      </c>
      <c r="AI6992">
        <v>106.19453120355099</v>
      </c>
      <c r="AJ6992">
        <v>81.361138863273496</v>
      </c>
      <c r="AK6992">
        <v>0.62639816033136797</v>
      </c>
      <c r="AL6992">
        <v>91.616550131181</v>
      </c>
      <c r="AM6992">
        <v>88.690566056799597</v>
      </c>
      <c r="AN6992">
        <v>1.00000002780843</v>
      </c>
    </row>
    <row r="6993" spans="1:40" x14ac:dyDescent="0.25">
      <c r="A6993" t="str">
        <f>"20190305135410512"</f>
        <v>20190305135410512</v>
      </c>
      <c r="B6993" t="str">
        <f>"1551765250506790"</f>
        <v>1551765250506790</v>
      </c>
      <c r="C6993" t="s">
        <v>40</v>
      </c>
      <c r="D6993">
        <v>4.5983049999999999</v>
      </c>
      <c r="E6993">
        <v>0.54036359999999894</v>
      </c>
      <c r="F6993" t="s">
        <v>41</v>
      </c>
      <c r="G6993">
        <v>-142.76679999999999</v>
      </c>
      <c r="H6993">
        <v>0.9303863</v>
      </c>
      <c r="I6993">
        <v>137.5847</v>
      </c>
      <c r="J6993">
        <v>-143.43469999999999</v>
      </c>
      <c r="K6993">
        <v>1.112946</v>
      </c>
      <c r="L6993">
        <v>137.66319999999999</v>
      </c>
      <c r="M6993">
        <v>0.99879589999999996</v>
      </c>
      <c r="N6993">
        <v>-3.87529E-2</v>
      </c>
      <c r="O6993">
        <v>3.008452E-2</v>
      </c>
      <c r="P6993">
        <v>0.99764699999999995</v>
      </c>
      <c r="Q6993">
        <v>-6.8008319999999997E-2</v>
      </c>
      <c r="R6993">
        <v>8.6937159999999902E-3</v>
      </c>
      <c r="S6993">
        <v>2.9584350000000001</v>
      </c>
      <c r="T6993">
        <v>-0.75811450000000002</v>
      </c>
      <c r="U6993">
        <v>-0.31915280000000001</v>
      </c>
      <c r="V6993">
        <v>2.134749E-2</v>
      </c>
      <c r="W6993">
        <v>-2.9302080000000001E-2</v>
      </c>
      <c r="X6993">
        <v>0.99934259999999997</v>
      </c>
      <c r="Y6993">
        <v>0.13157869999999999</v>
      </c>
      <c r="Z6993">
        <v>-2.5570269999999999E-2</v>
      </c>
      <c r="AA6993">
        <v>0.99097590000000002</v>
      </c>
      <c r="AB6993">
        <v>4</v>
      </c>
      <c r="AC6993">
        <v>0.66790000000000205</v>
      </c>
      <c r="AD6993">
        <v>-0.18255969999999899</v>
      </c>
      <c r="AE6993">
        <v>-7.8499999999991105E-2</v>
      </c>
      <c r="AF6993">
        <v>9.1807370136221103E-2</v>
      </c>
      <c r="AG6993">
        <v>-0.18255969999999899</v>
      </c>
      <c r="AH6993">
        <v>0.61957520188473303</v>
      </c>
      <c r="AI6993">
        <v>106.249846989443</v>
      </c>
      <c r="AJ6993">
        <v>81.571361326904807</v>
      </c>
      <c r="AK6993">
        <v>0.65240330169759797</v>
      </c>
      <c r="AL6993">
        <v>91.679125893773403</v>
      </c>
      <c r="AM6993">
        <v>88.776260425356696</v>
      </c>
      <c r="AN6993">
        <v>0.99999997969819299</v>
      </c>
    </row>
    <row r="6994" spans="1:40" x14ac:dyDescent="0.25">
      <c r="A6994" t="str">
        <f>"20190305135410535"</f>
        <v>20190305135410535</v>
      </c>
      <c r="B6994" t="str">
        <f>"1551765250527286"</f>
        <v>1551765250527286</v>
      </c>
      <c r="C6994" t="s">
        <v>40</v>
      </c>
      <c r="D6994">
        <v>4.5943259999999997</v>
      </c>
      <c r="E6994">
        <v>0.53979949999999999</v>
      </c>
      <c r="F6994" t="s">
        <v>41</v>
      </c>
      <c r="G6994">
        <v>-142.73150000000001</v>
      </c>
      <c r="H6994">
        <v>0.93196869999999998</v>
      </c>
      <c r="I6994">
        <v>137.5898</v>
      </c>
      <c r="J6994">
        <v>-143.3982</v>
      </c>
      <c r="K6994">
        <v>1.112616</v>
      </c>
      <c r="L6994">
        <v>137.6643</v>
      </c>
      <c r="M6994">
        <v>0.99882090000000001</v>
      </c>
      <c r="N6994">
        <v>-3.8138989999999998E-2</v>
      </c>
      <c r="O6994">
        <v>3.0041849999999998E-2</v>
      </c>
      <c r="P6994">
        <v>0.99763769999999996</v>
      </c>
      <c r="Q6994">
        <v>-6.7915320000000001E-2</v>
      </c>
      <c r="R6994">
        <v>1.0319689999999999E-2</v>
      </c>
      <c r="S6994">
        <v>2.9578549999999999</v>
      </c>
      <c r="T6994">
        <v>-0.76131610000000005</v>
      </c>
      <c r="U6994">
        <v>-0.3083649</v>
      </c>
      <c r="V6994">
        <v>1.9676269999999999E-2</v>
      </c>
      <c r="W6994">
        <v>-2.98234E-2</v>
      </c>
      <c r="X6994">
        <v>0.99936150000000001</v>
      </c>
      <c r="Y6994">
        <v>0.12807069999999901</v>
      </c>
      <c r="Z6994">
        <v>-2.5133920000000001E-2</v>
      </c>
      <c r="AA6994">
        <v>0.99144650000000001</v>
      </c>
      <c r="AB6994">
        <v>4</v>
      </c>
      <c r="AC6994">
        <v>0.66669999999999097</v>
      </c>
      <c r="AD6994">
        <v>-0.18064730000000001</v>
      </c>
      <c r="AE6994">
        <v>-7.4500000000000399E-2</v>
      </c>
      <c r="AF6994">
        <v>8.8120007246600601E-2</v>
      </c>
      <c r="AG6994">
        <v>-0.18064730000000001</v>
      </c>
      <c r="AH6994">
        <v>0.61925517536036501</v>
      </c>
      <c r="AI6994">
        <v>106.10912158015699</v>
      </c>
      <c r="AJ6994">
        <v>81.901183960189599</v>
      </c>
      <c r="AK6994">
        <v>0.65105725929831104</v>
      </c>
      <c r="AL6994">
        <v>91.709008357938501</v>
      </c>
      <c r="AM6994">
        <v>88.872058222554898</v>
      </c>
      <c r="AN6994">
        <v>0.99999999923546101</v>
      </c>
    </row>
    <row r="6995" spans="1:40" x14ac:dyDescent="0.25">
      <c r="A6995" t="str">
        <f>"20190305135410552"</f>
        <v>20190305135410552</v>
      </c>
      <c r="B6995" t="str">
        <f>"1551765250546806"</f>
        <v>1551765250546806</v>
      </c>
      <c r="C6995" t="s">
        <v>40</v>
      </c>
      <c r="D6995">
        <v>4.6697860000000002</v>
      </c>
      <c r="E6995">
        <v>0.53923379999999999</v>
      </c>
      <c r="F6995" t="s">
        <v>41</v>
      </c>
      <c r="G6995">
        <v>-142.6987</v>
      </c>
      <c r="H6995">
        <v>0.93289979999999995</v>
      </c>
      <c r="I6995">
        <v>137.5932</v>
      </c>
      <c r="J6995">
        <v>-143.37029999999999</v>
      </c>
      <c r="K6995">
        <v>1.112366</v>
      </c>
      <c r="L6995">
        <v>137.6651</v>
      </c>
      <c r="M6995">
        <v>0.99884689999999998</v>
      </c>
      <c r="N6995">
        <v>-3.7482370000000001E-2</v>
      </c>
      <c r="O6995">
        <v>2.999982E-2</v>
      </c>
      <c r="P6995">
        <v>0.99764219999999904</v>
      </c>
      <c r="Q6995">
        <v>-6.7581639999999998E-2</v>
      </c>
      <c r="R6995">
        <v>1.1961960000000001E-2</v>
      </c>
      <c r="S6995">
        <v>2.958466</v>
      </c>
      <c r="T6995">
        <v>-0.76010159999999904</v>
      </c>
      <c r="U6995">
        <v>-0.2998962</v>
      </c>
      <c r="V6995">
        <v>1.7990320000000001E-2</v>
      </c>
      <c r="W6995">
        <v>-3.0145479999999999E-2</v>
      </c>
      <c r="X6995">
        <v>0.99938360000000004</v>
      </c>
      <c r="Y6995">
        <v>0.12532499999999999</v>
      </c>
      <c r="Z6995">
        <v>-2.4663549999999999E-2</v>
      </c>
      <c r="AA6995">
        <v>0.9918091</v>
      </c>
      <c r="AB6995">
        <v>4</v>
      </c>
      <c r="AC6995">
        <v>0.67159999999998299</v>
      </c>
      <c r="AD6995">
        <v>-0.17946619999999999</v>
      </c>
      <c r="AE6995">
        <v>-7.1899999999999395E-2</v>
      </c>
      <c r="AF6995">
        <v>8.5960937423703407E-2</v>
      </c>
      <c r="AG6995">
        <v>-0.17946619999999999</v>
      </c>
      <c r="AH6995">
        <v>0.62501383018808099</v>
      </c>
      <c r="AI6995">
        <v>105.879026213424</v>
      </c>
      <c r="AJ6995">
        <v>82.168985920746493</v>
      </c>
      <c r="AK6995">
        <v>0.65592658707478702</v>
      </c>
      <c r="AL6995">
        <v>91.727470498544704</v>
      </c>
      <c r="AM6995">
        <v>88.968706221394498</v>
      </c>
      <c r="AN6995">
        <v>0.99999999076354595</v>
      </c>
    </row>
    <row r="6996" spans="1:40" x14ac:dyDescent="0.25">
      <c r="A6996" t="str">
        <f>"20190305135410574"</f>
        <v>20190305135410574</v>
      </c>
      <c r="B6996" t="str">
        <f>"1551765250567302"</f>
        <v>1551765250567302</v>
      </c>
      <c r="C6996" t="s">
        <v>40</v>
      </c>
      <c r="D6996">
        <v>4.6022230000000004</v>
      </c>
      <c r="E6996">
        <v>0.53871939999999996</v>
      </c>
      <c r="F6996" t="s">
        <v>41</v>
      </c>
      <c r="G6996">
        <v>-142.6696</v>
      </c>
      <c r="H6996">
        <v>0.9327339</v>
      </c>
      <c r="I6996">
        <v>137.59610000000001</v>
      </c>
      <c r="J6996">
        <v>-143.33959999999999</v>
      </c>
      <c r="K6996">
        <v>1.112185</v>
      </c>
      <c r="L6996">
        <v>137.666</v>
      </c>
      <c r="M6996">
        <v>0.99887090000000001</v>
      </c>
      <c r="N6996">
        <v>-3.6881959999999998E-2</v>
      </c>
      <c r="O6996">
        <v>2.9947809999999998E-2</v>
      </c>
      <c r="P6996">
        <v>0.99771049999999994</v>
      </c>
      <c r="Q6996">
        <v>-6.6326979999999994E-2</v>
      </c>
      <c r="R6996">
        <v>1.3216800000000001E-2</v>
      </c>
      <c r="S6996">
        <v>2.9592130000000001</v>
      </c>
      <c r="T6996">
        <v>-0.75860609999999995</v>
      </c>
      <c r="U6996">
        <v>-0.2911377</v>
      </c>
      <c r="V6996">
        <v>1.6684689999999999E-2</v>
      </c>
      <c r="W6996">
        <v>-2.9488500000000001E-2</v>
      </c>
      <c r="X6996">
        <v>0.99942589999999998</v>
      </c>
      <c r="Y6996">
        <v>0.1224737</v>
      </c>
      <c r="Z6996">
        <v>-2.41713E-2</v>
      </c>
      <c r="AA6996">
        <v>0.99217739999999999</v>
      </c>
      <c r="AB6996">
        <v>4</v>
      </c>
      <c r="AC6996">
        <v>0.66999999999998705</v>
      </c>
      <c r="AD6996">
        <v>-0.179451099999999</v>
      </c>
      <c r="AE6996">
        <v>-6.9899999999989804E-2</v>
      </c>
      <c r="AF6996">
        <v>8.3987187255738199E-2</v>
      </c>
      <c r="AG6996">
        <v>-0.179451099999999</v>
      </c>
      <c r="AH6996">
        <v>0.62336734266306604</v>
      </c>
      <c r="AI6996">
        <v>105.92323501991601</v>
      </c>
      <c r="AJ6996">
        <v>82.326664027554003</v>
      </c>
      <c r="AK6996">
        <v>0.65409738480837298</v>
      </c>
      <c r="AL6996">
        <v>91.689811488869793</v>
      </c>
      <c r="AM6996">
        <v>89.043577391963098</v>
      </c>
      <c r="AN6996">
        <v>1.0000000400517199</v>
      </c>
    </row>
    <row r="6997" spans="1:40" x14ac:dyDescent="0.25">
      <c r="A6997" t="str">
        <f>"20190305135410596"</f>
        <v>20190305135410596</v>
      </c>
      <c r="B6997" t="str">
        <f>"1551765250586822"</f>
        <v>1551765250586822</v>
      </c>
      <c r="C6997" t="s">
        <v>40</v>
      </c>
      <c r="D6997">
        <v>4.5574399999999997</v>
      </c>
      <c r="E6997">
        <v>0.53824469999999902</v>
      </c>
      <c r="F6997" t="s">
        <v>41</v>
      </c>
      <c r="G6997">
        <v>-142.64320000000001</v>
      </c>
      <c r="H6997">
        <v>0.93486729999999996</v>
      </c>
      <c r="I6997">
        <v>137.59899999999999</v>
      </c>
      <c r="J6997">
        <v>-143.31360000000001</v>
      </c>
      <c r="K6997">
        <v>1.112155</v>
      </c>
      <c r="L6997">
        <v>137.66669999999999</v>
      </c>
      <c r="M6997">
        <v>0.99888270000000001</v>
      </c>
      <c r="N6997">
        <v>-3.6602250000000003E-2</v>
      </c>
      <c r="O6997">
        <v>2.9898620000000001E-2</v>
      </c>
      <c r="P6997">
        <v>0.99779680000000004</v>
      </c>
      <c r="Q6997">
        <v>-6.4917799999999998E-2</v>
      </c>
      <c r="R6997">
        <v>1.3694629999999999E-2</v>
      </c>
      <c r="S6997">
        <v>2.9605100000000002</v>
      </c>
      <c r="T6997">
        <v>-0.75378109999999998</v>
      </c>
      <c r="U6997">
        <v>-0.2842865</v>
      </c>
      <c r="V6997">
        <v>1.6160730000000002E-2</v>
      </c>
      <c r="W6997">
        <v>-2.8356010000000001E-2</v>
      </c>
      <c r="X6997">
        <v>0.99946729999999995</v>
      </c>
      <c r="Y6997">
        <v>0.120258</v>
      </c>
      <c r="Z6997">
        <v>-2.368323E-2</v>
      </c>
      <c r="AA6997">
        <v>0.99246009999999996</v>
      </c>
      <c r="AB6997">
        <v>3</v>
      </c>
      <c r="AC6997">
        <v>0.6704</v>
      </c>
      <c r="AD6997">
        <v>-0.17728769999999899</v>
      </c>
      <c r="AE6997">
        <v>-6.7700000000001995E-2</v>
      </c>
      <c r="AF6997">
        <v>8.2047189749526003E-2</v>
      </c>
      <c r="AG6997">
        <v>-0.17728769999999899</v>
      </c>
      <c r="AH6997">
        <v>0.62481930557947496</v>
      </c>
      <c r="AI6997">
        <v>105.712738077955</v>
      </c>
      <c r="AJ6997">
        <v>82.519094869307196</v>
      </c>
      <c r="AK6997">
        <v>0.65464634310588099</v>
      </c>
      <c r="AL6997">
        <v>91.624897405381901</v>
      </c>
      <c r="AM6997">
        <v>89.073645590591596</v>
      </c>
      <c r="AN6997">
        <v>1.00000005813326</v>
      </c>
    </row>
    <row r="6998" spans="1:40" x14ac:dyDescent="0.25">
      <c r="A6998" t="str">
        <f>"20190305135410618"</f>
        <v>20190305135410618</v>
      </c>
      <c r="B6998" t="str">
        <f>"1551765250607318"</f>
        <v>1551765250607318</v>
      </c>
      <c r="C6998" t="s">
        <v>40</v>
      </c>
      <c r="D6998">
        <v>4.5843809999999996</v>
      </c>
      <c r="E6998">
        <v>0.53779080000000001</v>
      </c>
      <c r="F6998" t="s">
        <v>41</v>
      </c>
      <c r="G6998">
        <v>-142.6207</v>
      </c>
      <c r="H6998">
        <v>0.93709030000000004</v>
      </c>
      <c r="I6998">
        <v>137.6011</v>
      </c>
      <c r="J6998">
        <v>-143.29259999999999</v>
      </c>
      <c r="K6998">
        <v>1.1122000000000001</v>
      </c>
      <c r="L6998">
        <v>137.66730000000001</v>
      </c>
      <c r="M6998">
        <v>0.99888719999999998</v>
      </c>
      <c r="N6998">
        <v>-3.6514030000000003E-2</v>
      </c>
      <c r="O6998">
        <v>2.9853129999999999E-2</v>
      </c>
      <c r="P6998">
        <v>0.99787009999999998</v>
      </c>
      <c r="Q6998">
        <v>-6.3671019999999995E-2</v>
      </c>
      <c r="R6998">
        <v>1.419463E-2</v>
      </c>
      <c r="S6998">
        <v>2.9617770000000001</v>
      </c>
      <c r="T6998">
        <v>-0.748334099999999</v>
      </c>
      <c r="U6998">
        <v>-0.28009030000000001</v>
      </c>
      <c r="V6998">
        <v>1.561888E-2</v>
      </c>
      <c r="W6998">
        <v>-2.7194369999999999E-2</v>
      </c>
      <c r="X6998">
        <v>0.99950810000000001</v>
      </c>
      <c r="Y6998">
        <v>0.1189023</v>
      </c>
      <c r="Z6998">
        <v>-2.331066E-2</v>
      </c>
      <c r="AA6998">
        <v>0.99263230000000002</v>
      </c>
      <c r="AB6998">
        <v>3</v>
      </c>
      <c r="AC6998">
        <v>0.67189999999999295</v>
      </c>
      <c r="AD6998">
        <v>-0.17510970000000001</v>
      </c>
      <c r="AE6998">
        <v>-6.6200000000009099E-2</v>
      </c>
      <c r="AF6998">
        <v>8.0806384876533299E-2</v>
      </c>
      <c r="AG6998">
        <v>-0.17510970000000001</v>
      </c>
      <c r="AH6998">
        <v>0.62741678012504698</v>
      </c>
      <c r="AI6998">
        <v>105.47261828394601</v>
      </c>
      <c r="AJ6998">
        <v>82.6611503455471</v>
      </c>
      <c r="AK6998">
        <v>0.65638776257132203</v>
      </c>
      <c r="AL6998">
        <v>91.558314797181396</v>
      </c>
      <c r="AM6998">
        <v>89.104736545935694</v>
      </c>
      <c r="AN6998">
        <v>0.99999996256888002</v>
      </c>
    </row>
    <row r="6999" spans="1:40" x14ac:dyDescent="0.25">
      <c r="A6999" t="str">
        <f>"20190305135410641"</f>
        <v>20190305135410641</v>
      </c>
      <c r="B6999" t="str">
        <f>"1551765250637576"</f>
        <v>1551765250637576</v>
      </c>
      <c r="C6999" t="s">
        <v>40</v>
      </c>
      <c r="D6999">
        <v>4.5734719999999998</v>
      </c>
      <c r="E6999">
        <v>0.53714390000000001</v>
      </c>
      <c r="F6999" t="s">
        <v>41</v>
      </c>
      <c r="G6999">
        <v>-142.60230000000001</v>
      </c>
      <c r="H6999">
        <v>0.93895700000000004</v>
      </c>
      <c r="I6999">
        <v>137.60299999999901</v>
      </c>
      <c r="J6999">
        <v>-143.27510000000001</v>
      </c>
      <c r="K6999">
        <v>1.1122369999999999</v>
      </c>
      <c r="L6999">
        <v>137.6677</v>
      </c>
      <c r="M6999">
        <v>0.99889220000000001</v>
      </c>
      <c r="N6999">
        <v>-3.6404770000000003E-2</v>
      </c>
      <c r="O6999">
        <v>2.9814500000000001E-2</v>
      </c>
      <c r="P6999">
        <v>0.99795250000000002</v>
      </c>
      <c r="Q6999">
        <v>-6.240768E-2</v>
      </c>
      <c r="R6999">
        <v>1.4011849999999999E-2</v>
      </c>
      <c r="S6999">
        <v>2.9628909999999999</v>
      </c>
      <c r="T6999">
        <v>-0.74364209999999997</v>
      </c>
      <c r="U6999">
        <v>-0.27569579999999999</v>
      </c>
      <c r="V6999">
        <v>1.5766450000000001E-2</v>
      </c>
      <c r="W6999">
        <v>-2.6037669999999999E-2</v>
      </c>
      <c r="X6999">
        <v>0.9995366</v>
      </c>
      <c r="Y6999">
        <v>0.117483199999999</v>
      </c>
      <c r="Z6999">
        <v>-2.2955449999999999E-2</v>
      </c>
      <c r="AA6999">
        <v>0.99280950000000001</v>
      </c>
      <c r="AB6999">
        <v>2</v>
      </c>
      <c r="AC6999">
        <v>0.67279999999999496</v>
      </c>
      <c r="AD6999">
        <v>-0.17327999999999999</v>
      </c>
      <c r="AE6999">
        <v>-6.4700000000016106E-2</v>
      </c>
      <c r="AF6999">
        <v>7.9517458955805004E-2</v>
      </c>
      <c r="AG6999">
        <v>-0.17327999999999999</v>
      </c>
      <c r="AH6999">
        <v>0.62921538128461396</v>
      </c>
      <c r="AI6999">
        <v>105.28125835967801</v>
      </c>
      <c r="AJ6999">
        <v>82.797394425512806</v>
      </c>
      <c r="AK6999">
        <v>0.65746557379373904</v>
      </c>
      <c r="AL6999">
        <v>91.492017252686395</v>
      </c>
      <c r="AM6999">
        <v>89.096305095067393</v>
      </c>
      <c r="AN6999">
        <v>0.99999997797209506</v>
      </c>
    </row>
    <row r="7000" spans="1:40" x14ac:dyDescent="0.25">
      <c r="A7000" t="str">
        <f>"20190305135410662"</f>
        <v>20190305135410662</v>
      </c>
      <c r="B7000" t="str">
        <f>"1551765250657094"</f>
        <v>1551765250657094</v>
      </c>
      <c r="C7000" t="s">
        <v>40</v>
      </c>
      <c r="D7000">
        <v>4.5902690000000002</v>
      </c>
      <c r="E7000">
        <v>0.53673930000000003</v>
      </c>
      <c r="F7000" t="s">
        <v>41</v>
      </c>
      <c r="G7000">
        <v>-142.5873</v>
      </c>
      <c r="H7000">
        <v>0.9406949</v>
      </c>
      <c r="I7000">
        <v>137.6046</v>
      </c>
      <c r="J7000">
        <v>-143.2619</v>
      </c>
      <c r="K7000">
        <v>1.112204</v>
      </c>
      <c r="L7000">
        <v>137.66810000000001</v>
      </c>
      <c r="M7000">
        <v>0.99890480000000004</v>
      </c>
      <c r="N7000">
        <v>-3.6078649999999997E-2</v>
      </c>
      <c r="O7000">
        <v>2.9793050000000001E-2</v>
      </c>
      <c r="P7000">
        <v>0.99805049999999995</v>
      </c>
      <c r="Q7000">
        <v>-6.0848300000000001E-2</v>
      </c>
      <c r="R7000">
        <v>1.388614E-2</v>
      </c>
      <c r="S7000">
        <v>2.9637600000000002</v>
      </c>
      <c r="T7000">
        <v>-0.73926009999999998</v>
      </c>
      <c r="U7000">
        <v>-0.27172849999999998</v>
      </c>
      <c r="V7000">
        <v>1.587423E-2</v>
      </c>
      <c r="W7000">
        <v>-2.4801630000000002E-2</v>
      </c>
      <c r="X7000">
        <v>0.99956639999999997</v>
      </c>
      <c r="Y7000">
        <v>0.11622059999999999</v>
      </c>
      <c r="Z7000">
        <v>-2.2632349999999999E-2</v>
      </c>
      <c r="AA7000">
        <v>0.99296549999999995</v>
      </c>
      <c r="AB7000">
        <v>2</v>
      </c>
      <c r="AC7000">
        <v>0.67459999999999798</v>
      </c>
      <c r="AD7000">
        <v>-0.1715091</v>
      </c>
      <c r="AE7000">
        <v>-6.3500000000004705E-2</v>
      </c>
      <c r="AF7000">
        <v>7.8550571915992295E-2</v>
      </c>
      <c r="AG7000">
        <v>-0.1715091</v>
      </c>
      <c r="AH7000">
        <v>0.63192030859286596</v>
      </c>
      <c r="AI7000">
        <v>105.074137299873</v>
      </c>
      <c r="AJ7000">
        <v>82.914220125282696</v>
      </c>
      <c r="AK7000">
        <v>0.65947618618358195</v>
      </c>
      <c r="AL7000">
        <v>91.421174377351903</v>
      </c>
      <c r="AM7000">
        <v>89.090155561699305</v>
      </c>
      <c r="AN7000">
        <v>1.00000005001885</v>
      </c>
    </row>
    <row r="7001" spans="1:40" x14ac:dyDescent="0.25">
      <c r="A7001" t="str">
        <f>"20190305135410687"</f>
        <v>20190305135410687</v>
      </c>
      <c r="B7001" t="str">
        <f>"1551765250676614"</f>
        <v>1551765250676614</v>
      </c>
      <c r="C7001" t="s">
        <v>40</v>
      </c>
      <c r="D7001">
        <v>4.5852279999999999</v>
      </c>
      <c r="E7001">
        <v>0.5363694</v>
      </c>
      <c r="F7001" t="s">
        <v>41</v>
      </c>
      <c r="G7001">
        <v>-142.5752</v>
      </c>
      <c r="H7001">
        <v>0.94215210000000005</v>
      </c>
      <c r="I7001">
        <v>137.60550000000001</v>
      </c>
      <c r="J7001">
        <v>-143.2509</v>
      </c>
      <c r="K7001">
        <v>1.112074</v>
      </c>
      <c r="L7001">
        <v>137.66839999999999</v>
      </c>
      <c r="M7001">
        <v>0.99893080000000001</v>
      </c>
      <c r="N7001">
        <v>-3.5354539999999997E-2</v>
      </c>
      <c r="O7001">
        <v>2.97872E-2</v>
      </c>
      <c r="P7001">
        <v>0.99813510000000005</v>
      </c>
      <c r="Q7001">
        <v>-5.9512099999999998E-2</v>
      </c>
      <c r="R7001">
        <v>1.357352E-2</v>
      </c>
      <c r="S7001">
        <v>2.9648439999999998</v>
      </c>
      <c r="T7001">
        <v>-0.73423669999999996</v>
      </c>
      <c r="U7001">
        <v>-0.269455</v>
      </c>
      <c r="V7001">
        <v>1.6183019999999999E-2</v>
      </c>
      <c r="W7001">
        <v>-2.4187609999999998E-2</v>
      </c>
      <c r="X7001">
        <v>0.99957640000000003</v>
      </c>
      <c r="Y7001">
        <v>0.1155204</v>
      </c>
      <c r="Z7001">
        <v>-2.236173E-2</v>
      </c>
      <c r="AA7001">
        <v>0.99305339999999998</v>
      </c>
      <c r="AB7001">
        <v>2</v>
      </c>
      <c r="AC7001">
        <v>0.67570000000000596</v>
      </c>
      <c r="AD7001">
        <v>-0.16992189999999899</v>
      </c>
      <c r="AE7001">
        <v>-6.2899999999984801E-2</v>
      </c>
      <c r="AF7001">
        <v>7.8114354860734994E-2</v>
      </c>
      <c r="AG7001">
        <v>-0.16992189999999899</v>
      </c>
      <c r="AH7001">
        <v>0.63378863763023696</v>
      </c>
      <c r="AI7001">
        <v>104.900650167731</v>
      </c>
      <c r="AJ7001">
        <v>82.973738292626194</v>
      </c>
      <c r="AK7001">
        <v>0.66080507089769802</v>
      </c>
      <c r="AL7001">
        <v>91.385983196968596</v>
      </c>
      <c r="AM7001">
        <v>89.072469351269802</v>
      </c>
      <c r="AN7001">
        <v>0.99999995502539496</v>
      </c>
    </row>
    <row r="7002" spans="1:40" x14ac:dyDescent="0.25">
      <c r="A7002" t="str">
        <f>"20190305135410715"</f>
        <v>20190305135410715</v>
      </c>
      <c r="B7002" t="str">
        <f>"1551765250706870"</f>
        <v>1551765250706870</v>
      </c>
      <c r="C7002" t="s">
        <v>40</v>
      </c>
      <c r="D7002">
        <v>4.590306</v>
      </c>
      <c r="E7002">
        <v>0.53585209999999905</v>
      </c>
      <c r="F7002" t="s">
        <v>41</v>
      </c>
      <c r="G7002">
        <v>-142.55860000000001</v>
      </c>
      <c r="H7002">
        <v>0.941604</v>
      </c>
      <c r="I7002">
        <v>137.60579999999999</v>
      </c>
      <c r="J7002">
        <v>-143.2406</v>
      </c>
      <c r="K7002">
        <v>1.1118049999999999</v>
      </c>
      <c r="L7002">
        <v>137.6687</v>
      </c>
      <c r="M7002">
        <v>0.99897939999999996</v>
      </c>
      <c r="N7002">
        <v>-3.3955869999999999E-2</v>
      </c>
      <c r="O7002">
        <v>2.978656E-2</v>
      </c>
      <c r="P7002">
        <v>0.9982084</v>
      </c>
      <c r="Q7002">
        <v>-5.8332309999999998E-2</v>
      </c>
      <c r="R7002">
        <v>1.3325409999999999E-2</v>
      </c>
      <c r="S7002">
        <v>2.965668</v>
      </c>
      <c r="T7002">
        <v>-0.73021169999999902</v>
      </c>
      <c r="U7002">
        <v>-0.26710509999999998</v>
      </c>
      <c r="V7002">
        <v>1.6430839999999999E-2</v>
      </c>
      <c r="W7002">
        <v>-2.4405090000000001E-2</v>
      </c>
      <c r="X7002">
        <v>0.99956710000000004</v>
      </c>
      <c r="Y7002">
        <v>0.1147996</v>
      </c>
      <c r="Z7002">
        <v>-2.2101369999999999E-2</v>
      </c>
      <c r="AA7002">
        <v>0.99314279999999999</v>
      </c>
      <c r="AB7002">
        <v>1</v>
      </c>
      <c r="AC7002">
        <v>0.68199999999998795</v>
      </c>
      <c r="AD7002">
        <v>-0.17020099999999899</v>
      </c>
      <c r="AE7002">
        <v>-6.2900000000013195E-2</v>
      </c>
      <c r="AF7002">
        <v>7.8359093216798195E-2</v>
      </c>
      <c r="AG7002">
        <v>-0.17020099999999899</v>
      </c>
      <c r="AH7002">
        <v>0.64028136715423001</v>
      </c>
      <c r="AI7002">
        <v>104.78083669697</v>
      </c>
      <c r="AJ7002">
        <v>83.022707804537603</v>
      </c>
      <c r="AK7002">
        <v>0.66713473677784796</v>
      </c>
      <c r="AL7002">
        <v>91.398447522408205</v>
      </c>
      <c r="AM7002">
        <v>89.058259313227097</v>
      </c>
      <c r="AN7002">
        <v>0.99999998416171099</v>
      </c>
    </row>
    <row r="7003" spans="1:40" x14ac:dyDescent="0.25">
      <c r="A7003" t="str">
        <f>"20190305135410736"</f>
        <v>20190305135410736</v>
      </c>
      <c r="B7003" t="str">
        <f>"1551765250727367"</f>
        <v>1551765250727367</v>
      </c>
      <c r="C7003" t="s">
        <v>40</v>
      </c>
      <c r="D7003">
        <v>4.602068</v>
      </c>
      <c r="E7003">
        <v>0.53549979999999997</v>
      </c>
      <c r="F7003" t="s">
        <v>41</v>
      </c>
      <c r="G7003">
        <v>-142.5515</v>
      </c>
      <c r="H7003">
        <v>0.94297439999999999</v>
      </c>
      <c r="I7003">
        <v>137.60749999999999</v>
      </c>
      <c r="J7003">
        <v>-143.23429999999999</v>
      </c>
      <c r="K7003">
        <v>1.111588</v>
      </c>
      <c r="L7003">
        <v>137.66890000000001</v>
      </c>
      <c r="M7003">
        <v>0.99902060000000004</v>
      </c>
      <c r="N7003">
        <v>-3.2724169999999997E-2</v>
      </c>
      <c r="O7003">
        <v>2.978308E-2</v>
      </c>
      <c r="P7003">
        <v>0.99825549999999996</v>
      </c>
      <c r="Q7003">
        <v>-5.7506109999999999E-2</v>
      </c>
      <c r="R7003">
        <v>1.337526E-2</v>
      </c>
      <c r="S7003">
        <v>2.966431</v>
      </c>
      <c r="T7003">
        <v>-0.72680429999999996</v>
      </c>
      <c r="U7003">
        <v>-0.2633972</v>
      </c>
      <c r="V7003">
        <v>1.6378070000000002E-2</v>
      </c>
      <c r="W7003">
        <v>-2.4809589999999999E-2</v>
      </c>
      <c r="X7003">
        <v>0.99955799999999995</v>
      </c>
      <c r="Y7003">
        <v>0.11363189999999999</v>
      </c>
      <c r="Z7003">
        <v>-2.1804090000000002E-2</v>
      </c>
      <c r="AA7003">
        <v>0.99328360000000004</v>
      </c>
      <c r="AB7003">
        <v>1</v>
      </c>
      <c r="AC7003">
        <v>0.68279999999998597</v>
      </c>
      <c r="AD7003">
        <v>-0.168613599999999</v>
      </c>
      <c r="AE7003">
        <v>-6.1400000000020299E-2</v>
      </c>
      <c r="AF7003">
        <v>7.7058091441202001E-2</v>
      </c>
      <c r="AG7003">
        <v>-0.168613599999999</v>
      </c>
      <c r="AH7003">
        <v>0.64184066351300295</v>
      </c>
      <c r="AI7003">
        <v>104.618758959137</v>
      </c>
      <c r="AJ7003">
        <v>83.1539519433761</v>
      </c>
      <c r="AK7003">
        <v>0.66807778955772201</v>
      </c>
      <c r="AL7003">
        <v>91.421630697152295</v>
      </c>
      <c r="AM7003">
        <v>89.061274761900293</v>
      </c>
      <c r="AN7003">
        <v>0.99999997614844605</v>
      </c>
    </row>
    <row r="7004" spans="1:40" x14ac:dyDescent="0.25">
      <c r="A7004" t="str">
        <f>"20190305135410754"</f>
        <v>20190305135410754</v>
      </c>
      <c r="B7004" t="str">
        <f>"1551765250746886"</f>
        <v>1551765250746886</v>
      </c>
      <c r="C7004" t="s">
        <v>40</v>
      </c>
      <c r="D7004">
        <v>4.5749839999999997</v>
      </c>
      <c r="E7004">
        <v>0.53514030000000001</v>
      </c>
      <c r="F7004" t="s">
        <v>41</v>
      </c>
      <c r="G7004">
        <v>-142.54580000000001</v>
      </c>
      <c r="H7004">
        <v>0.94356130000000005</v>
      </c>
      <c r="I7004">
        <v>137.60820000000001</v>
      </c>
      <c r="J7004">
        <v>-143.2295</v>
      </c>
      <c r="K7004">
        <v>1.1114010000000001</v>
      </c>
      <c r="L7004">
        <v>137.66909999999999</v>
      </c>
      <c r="M7004">
        <v>0.99906010000000001</v>
      </c>
      <c r="N7004">
        <v>-3.1498499999999999E-2</v>
      </c>
      <c r="O7004">
        <v>2.9777870000000001E-2</v>
      </c>
      <c r="P7004">
        <v>0.99830140000000001</v>
      </c>
      <c r="Q7004">
        <v>-5.6412959999999998E-2</v>
      </c>
      <c r="R7004">
        <v>1.455859E-2</v>
      </c>
      <c r="S7004">
        <v>2.9670260000000002</v>
      </c>
      <c r="T7004">
        <v>-0.72408869999999903</v>
      </c>
      <c r="U7004">
        <v>-0.26101679999999999</v>
      </c>
      <c r="V7004">
        <v>1.5189869999999999E-2</v>
      </c>
      <c r="W7004">
        <v>-2.4940250000000001E-2</v>
      </c>
      <c r="X7004">
        <v>0.9995735</v>
      </c>
      <c r="Y7004">
        <v>0.112885</v>
      </c>
      <c r="Z7004">
        <v>-2.15868E-2</v>
      </c>
      <c r="AA7004">
        <v>0.99337350000000002</v>
      </c>
      <c r="AB7004">
        <v>1</v>
      </c>
      <c r="AC7004">
        <v>0.68369999999998698</v>
      </c>
      <c r="AD7004">
        <v>-0.16783969999999901</v>
      </c>
      <c r="AE7004">
        <v>-6.08999999999753E-2</v>
      </c>
      <c r="AF7004">
        <v>7.6658800642300101E-2</v>
      </c>
      <c r="AG7004">
        <v>-0.16783969999999901</v>
      </c>
      <c r="AH7004">
        <v>0.64312963439968795</v>
      </c>
      <c r="AI7004">
        <v>104.527995953565</v>
      </c>
      <c r="AJ7004">
        <v>83.202614598976695</v>
      </c>
      <c r="AK7004">
        <v>0.66907582773186602</v>
      </c>
      <c r="AL7004">
        <v>91.429119296918103</v>
      </c>
      <c r="AM7004">
        <v>89.129380222749703</v>
      </c>
      <c r="AN7004">
        <v>0.99999996506146405</v>
      </c>
    </row>
    <row r="7005" spans="1:40" x14ac:dyDescent="0.25">
      <c r="A7005" t="str">
        <f>"20190305135410782"</f>
        <v>20190305135410782</v>
      </c>
      <c r="B7005" t="str">
        <f>"1551765250777141"</f>
        <v>1551765250777141</v>
      </c>
      <c r="C7005" t="s">
        <v>40</v>
      </c>
      <c r="D7005">
        <v>4.5931290000000002</v>
      </c>
      <c r="E7005">
        <v>0.53464389999999995</v>
      </c>
      <c r="F7005" t="s">
        <v>41</v>
      </c>
      <c r="G7005">
        <v>-142.5411</v>
      </c>
      <c r="H7005">
        <v>0.94428619999999996</v>
      </c>
      <c r="I7005">
        <v>137.60980000000001</v>
      </c>
      <c r="J7005">
        <v>-143.22389999999999</v>
      </c>
      <c r="K7005">
        <v>1.1111470000000001</v>
      </c>
      <c r="L7005">
        <v>137.66929999999999</v>
      </c>
      <c r="M7005">
        <v>0.99911570000000005</v>
      </c>
      <c r="N7005">
        <v>-2.9695869999999999E-2</v>
      </c>
      <c r="O7005">
        <v>2.976908E-2</v>
      </c>
      <c r="P7005">
        <v>0.99839860000000002</v>
      </c>
      <c r="Q7005">
        <v>-5.4466309999999997E-2</v>
      </c>
      <c r="R7005">
        <v>1.5295980000000001E-2</v>
      </c>
      <c r="S7005">
        <v>2.9681090000000001</v>
      </c>
      <c r="T7005">
        <v>-0.72054839999999998</v>
      </c>
      <c r="U7005">
        <v>-0.25515749999999998</v>
      </c>
      <c r="V7005">
        <v>1.444498E-2</v>
      </c>
      <c r="W7005">
        <v>-2.479377E-2</v>
      </c>
      <c r="X7005">
        <v>0.99958820000000004</v>
      </c>
      <c r="Y7005">
        <v>0.1110148</v>
      </c>
      <c r="Z7005">
        <v>-2.1177890000000001E-2</v>
      </c>
      <c r="AA7005">
        <v>0.99359310000000001</v>
      </c>
      <c r="AB7005">
        <v>1</v>
      </c>
      <c r="AC7005">
        <v>0.68279999999998597</v>
      </c>
      <c r="AD7005">
        <v>-0.166860799999999</v>
      </c>
      <c r="AE7005">
        <v>-5.9499999999985599E-2</v>
      </c>
      <c r="AF7005">
        <v>7.5343290149315095E-2</v>
      </c>
      <c r="AG7005">
        <v>-0.166860799999999</v>
      </c>
      <c r="AH7005">
        <v>0.64263593091122995</v>
      </c>
      <c r="AI7005">
        <v>104.46061130866499</v>
      </c>
      <c r="AJ7005">
        <v>83.313111146930297</v>
      </c>
      <c r="AK7005">
        <v>0.66820661299130102</v>
      </c>
      <c r="AL7005">
        <v>91.420723994897401</v>
      </c>
      <c r="AM7005">
        <v>89.172080277894494</v>
      </c>
      <c r="AN7005">
        <v>0.99999997902862603</v>
      </c>
    </row>
    <row r="7006" spans="1:40" x14ac:dyDescent="0.25">
      <c r="A7006" t="str">
        <f>"20190305135410799"</f>
        <v>20190305135410799</v>
      </c>
      <c r="B7006" t="str">
        <f>"1551765250786902"</f>
        <v>1551765250786902</v>
      </c>
      <c r="C7006" t="s">
        <v>40</v>
      </c>
      <c r="D7006">
        <v>4.6225239999999896</v>
      </c>
      <c r="E7006">
        <v>0.53452119999999903</v>
      </c>
      <c r="F7006" t="s">
        <v>41</v>
      </c>
      <c r="G7006">
        <v>-142.5367</v>
      </c>
      <c r="H7006">
        <v>0.94582310000000003</v>
      </c>
      <c r="I7006">
        <v>137.61150000000001</v>
      </c>
      <c r="J7006">
        <v>-143.22130000000001</v>
      </c>
      <c r="K7006">
        <v>1.1110199999999999</v>
      </c>
      <c r="L7006">
        <v>137.6694</v>
      </c>
      <c r="M7006">
        <v>0.99914619999999998</v>
      </c>
      <c r="N7006">
        <v>-2.8654059999999999E-2</v>
      </c>
      <c r="O7006">
        <v>2.97649E-2</v>
      </c>
      <c r="P7006">
        <v>0.99843950000000004</v>
      </c>
      <c r="Q7006">
        <v>-5.3565599999999998E-2</v>
      </c>
      <c r="R7006">
        <v>1.5796339999999999E-2</v>
      </c>
      <c r="S7006">
        <v>2.9696660000000001</v>
      </c>
      <c r="T7006">
        <v>-0.71449799999999997</v>
      </c>
      <c r="U7006">
        <v>-0.2496033</v>
      </c>
      <c r="V7006">
        <v>1.394073E-2</v>
      </c>
      <c r="W7006">
        <v>-2.4933750000000001E-2</v>
      </c>
      <c r="X7006">
        <v>0.99959189999999998</v>
      </c>
      <c r="Y7006">
        <v>0.109256199999999</v>
      </c>
      <c r="Z7006">
        <v>-2.0738889999999999E-2</v>
      </c>
      <c r="AA7006">
        <v>0.99379720000000005</v>
      </c>
      <c r="AB7006">
        <v>1</v>
      </c>
      <c r="AC7006">
        <v>0.68460000000001697</v>
      </c>
      <c r="AD7006">
        <v>-0.16519690000000001</v>
      </c>
      <c r="AE7006">
        <v>-5.7899999999989397E-2</v>
      </c>
      <c r="AF7006">
        <v>7.3982504756010301E-2</v>
      </c>
      <c r="AG7006">
        <v>-0.16519690000000001</v>
      </c>
      <c r="AH7006">
        <v>0.64526674189968802</v>
      </c>
      <c r="AI7006">
        <v>104.270418640469</v>
      </c>
      <c r="AJ7006">
        <v>83.459361912495496</v>
      </c>
      <c r="AK7006">
        <v>0.67017355586550997</v>
      </c>
      <c r="AL7006">
        <v>91.428746706853303</v>
      </c>
      <c r="AM7006">
        <v>89.2009807078649</v>
      </c>
      <c r="AN7006">
        <v>1.0000000011937999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2020-05-20T14:50:27Z</dcterms:created>
  <dcterms:modified xsi:type="dcterms:W3CDTF">2020-05-20T14:50:28Z</dcterms:modified>
</cp:coreProperties>
</file>